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6.xml" ContentType="application/vnd.openxmlformats-officedocument.drawing+xml"/>
  <Override PartName="/xl/drawings/drawing17.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8.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B13F0583-3CCD-4D3C-B0CA-E34F746C04A4}" xr6:coauthVersionLast="47" xr6:coauthVersionMax="47" xr10:uidLastSave="{00000000-0000-0000-0000-000000000000}"/>
  <bookViews>
    <workbookView xWindow="22395" yWindow="-2265" windowWidth="19740" windowHeight="10920" tabRatio="857" firstSheet="1" activeTab="2" xr2:uid="{EAE16046-CBDD-FF47-BD5A-93D2786FDCCF}"/>
  </bookViews>
  <sheets>
    <sheet name="Inicio" sheetId="24" state="veryHidden" r:id="rId1"/>
    <sheet name="Capa" sheetId="123" r:id="rId2"/>
    <sheet name="Gross-up" sheetId="139" r:id="rId3"/>
    <sheet name="Rebalanceamento" sheetId="136" r:id="rId4"/>
    <sheet name="Rebalanceamento Final" sheetId="137" r:id="rId5"/>
    <sheet name="Criação de Portfólio" sheetId="57" r:id="rId6"/>
    <sheet name="Portfólio Final" sheetId="69" r:id="rId7"/>
    <sheet name="Sim_1" sheetId="108" r:id="rId8"/>
    <sheet name="Sim_2" sheetId="111" r:id="rId9"/>
    <sheet name="Sim_3" sheetId="114" r:id="rId10"/>
    <sheet name="Sim_4" sheetId="112" r:id="rId11"/>
    <sheet name="Asset Allocation Estrutural" sheetId="60" r:id="rId12"/>
    <sheet name="Asset Allocation Tatico" sheetId="44" r:id="rId13"/>
    <sheet name="Produtos Selecionados" sheetId="55" r:id="rId14"/>
    <sheet name="Portfólios Modelo" sheetId="129" r:id="rId15"/>
    <sheet name="Fund Guide_old" sheetId="72" state="veryHidden" r:id="rId16"/>
    <sheet name="Fund Guide" sheetId="52" r:id="rId17"/>
    <sheet name="RF &amp; RV Guide" sheetId="130" r:id="rId18"/>
    <sheet name="AA DB" sheetId="133" state="hidden" r:id="rId19"/>
    <sheet name="Taxas Diárias" sheetId="70" state="hidden" r:id="rId20"/>
    <sheet name="Classificação" sheetId="54" state="veryHidden" r:id="rId21"/>
    <sheet name="Capa Rebalanceamento" sheetId="138" r:id="rId22"/>
    <sheet name="Disclaimer" sheetId="119" r:id="rId23"/>
    <sheet name="Fechamento" sheetId="124" r:id="rId24"/>
    <sheet name="Assets Returns" sheetId="135" state="veryHidden" r:id="rId25"/>
    <sheet name="Instruções" sheetId="134" state="veryHidden" r:id="rId26"/>
    <sheet name="Strategy AccReturns" sheetId="131" state="veryHidden" r:id="rId27"/>
    <sheet name="Alocation" sheetId="116" state="veryHidden" r:id="rId28"/>
    <sheet name="Performance Measurement" sheetId="102" state="veryHidden" r:id="rId29"/>
    <sheet name="AccReturns" sheetId="103" state="veryHidden" r:id="rId30"/>
    <sheet name="Correl" sheetId="105" state="veryHidden" r:id="rId31"/>
    <sheet name="MovingVol" sheetId="104" state="veryHidden" r:id="rId32"/>
    <sheet name="Drawdown" sheetId="106" state="veryHidden" r:id="rId33"/>
  </sheets>
  <functionGroups builtInGroupCount="19"/>
  <definedNames>
    <definedName name="_xlnm._FilterDatabase" localSheetId="16" hidden="1">'Fund Guide'!#REF!</definedName>
    <definedName name="_xlnm._FilterDatabase" localSheetId="15" hidden="1">'Fund Guide_old'!$B$5:$AT$1171</definedName>
    <definedName name="_xlchart.v1.0" hidden="1">'Performance Measurement'!$B$57:$B$65</definedName>
    <definedName name="_xlchart.v1.1" hidden="1">'Performance Measurement'!$C$57:$C$65</definedName>
    <definedName name="_xlchart.v1.2" hidden="1">'Performance Measurement'!$B$48:$B$51</definedName>
    <definedName name="_xlchart.v1.3" hidden="1">'Performance Measurement'!$C$48:$C$51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class2">OFFSET(Alocation!$H$4,1,,COUNTA(Alocation!$H:$H)-COUNTA(Alocation!$H$1:$H$4))&amp;" - "&amp;TEXT(OFFSET(Alocation!$I$4,1,,COUNTA(Alocation!$I:$I)-COUNTA(Alocation!$I$1:$I$4)),"0.00%")</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OFFSET(Classificação!$AB$27,1,,COUNTA(Classificação!$AB:$AB)-COUNTA(Classificação!$AB$1:$AB$27))</definedName>
    <definedName name="Arbitragem">OFFSET(Classificação!$Y$27,1,,COUNTA(Classificação!$Y:$Y)-COUNTA(Classificação!$Y$1:$Y$27))</definedName>
    <definedName name="China">OFFSET(Classificação!$AC$27,1,,COUNTA(Classificação!$AC:$AC)-COUNTA(Classificação!$AC$1:$AC$27))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EM">OFFSET(Classificação!$AG$27,1,,COUNTA(Classificação!$AG:$AG)-COUNTA(Classificação!$AG$1:$AG$27))</definedName>
    <definedName name="EUA">OFFSET(Classificação!$AD$27,1,,COUNTA(Classificação!$AD:$AD)-COUNTA(Classificação!$AD$1:$AD$27))</definedName>
    <definedName name="Europa">OFFSET(Classificação!$AE$27,1,,COUNTA(Classificação!$AE:$AE)-COUNTA(Classificação!$AE$1:$AE$27))</definedName>
    <definedName name="ExternalData_1" localSheetId="18" hidden="1">'AA DB'!$B$6:$G$67</definedName>
    <definedName name="ExternalData_1" localSheetId="16" hidden="1">'Fund Guide'!$B$5:$AU$1544</definedName>
    <definedName name="ExternalData_1" localSheetId="19" hidden="1">'Taxas Diárias'!$B$8:$H$61</definedName>
    <definedName name="Global">OFFSET(Classificação!$AF$27,1,,COUNTA(Classificação!$AF:$AF)-COUNTA(Classificação!$AF$1:$AF$27))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Internacional">OFFSET(Classificação!$T$27,1,,COUNTA(Classificação!$T:$T)-COUNTA(Classificação!$T$1:$T$27))</definedName>
    <definedName name="Long_Bias">OFFSET(Classificação!$AA$27,1,,COUNTA(Classificação!$AA:$AA)-COUNTA(Classificação!$AA$1:$AA$27))</definedName>
    <definedName name="Long_Only">OFFSET(Classificação!$Z$27,1,,COUNTA(Classificação!$Z:$Z)-COUNTA(Classificação!$Z$1:$Z$27))</definedName>
    <definedName name="Long_Short">OFFSET(Classificação!$W$27,1,,COUNTA(Classificação!$W:$W)-COUNTA(Classificação!$W$1:$W$27))</definedName>
    <definedName name="Macro">OFFSET(Classificação!$U$27,1,,COUNTA(Classificação!$U:$U)-COUNTA(Classificação!$U$1:$U$27))</definedName>
    <definedName name="Multiestratégia">OFFSET(Classificação!$X$27,1,,COUNTA(Classificação!$X:$X)-COUNTA(Classificação!$X$1:$X$27))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OFFSET(Classificação!$V$27,1,,COUNTA(Classificação!$V:$V)-COUNTA(Classificação!$V$1:$V$27))</definedName>
    <definedName name="retorno_benchmark">OFFSET(AccReturns!$D$2,1,,COUNTA(AccReturns!$D:$D)-COUNTA(AccReturns!$D$1:$D$2))</definedName>
    <definedName name="retorno_portfolio">OFFSET(AccReturns!$C$2,1,,COUNTA(AccReturns!$C:$C)-COUNTA(AccReturns!$C$1:$C$2))</definedName>
    <definedName name="str_acc_returns">OFFSET('Strategy AccReturns'!$B$2,,,COUNTA('Strategy AccReturns'!$B:$B)-COUNTA('Strategy AccReturns'!$B$1:$B$2), COUNTA('Strategy AccReturns'!$2:$2)-COUNTA('Strategy AccReturns'!$A$2))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 i="139" l="1"/>
  <c r="C21" i="139"/>
  <c r="C20" i="139"/>
  <c r="C19" i="139"/>
  <c r="C18" i="139"/>
  <c r="C12" i="139"/>
  <c r="C11" i="139"/>
  <c r="C10" i="139"/>
  <c r="C9" i="139"/>
  <c r="C8" i="139"/>
  <c r="S126" i="129"/>
  <c r="T126" i="129" s="1"/>
  <c r="R126" i="129"/>
  <c r="P126" i="129"/>
  <c r="N126" i="129"/>
  <c r="S125" i="129"/>
  <c r="T125" i="129" s="1"/>
  <c r="R125" i="129"/>
  <c r="P125" i="129"/>
  <c r="N125" i="129"/>
  <c r="S124" i="129"/>
  <c r="T124" i="129" s="1"/>
  <c r="R124" i="129"/>
  <c r="P124" i="129"/>
  <c r="N124" i="129"/>
  <c r="T123" i="129"/>
  <c r="S123" i="129"/>
  <c r="R123" i="129"/>
  <c r="P123" i="129"/>
  <c r="N123" i="129"/>
  <c r="T122" i="129"/>
  <c r="S122" i="129"/>
  <c r="R122" i="129"/>
  <c r="P122" i="129"/>
  <c r="N122" i="129"/>
  <c r="S121" i="129"/>
  <c r="T121" i="129" s="1"/>
  <c r="R121" i="129"/>
  <c r="P121" i="129"/>
  <c r="N121" i="129"/>
  <c r="S110" i="129"/>
  <c r="Q112" i="129"/>
  <c r="Q111" i="129"/>
  <c r="Q84" i="129"/>
  <c r="R84" i="129" s="1"/>
  <c r="S84" i="129"/>
  <c r="T84" i="129" s="1"/>
  <c r="P84" i="129"/>
  <c r="N84" i="129"/>
  <c r="T83" i="129"/>
  <c r="R83" i="129"/>
  <c r="P83" i="129"/>
  <c r="N83" i="129"/>
  <c r="S82" i="129"/>
  <c r="T82" i="129" s="1"/>
  <c r="Q82" i="129"/>
  <c r="R82" i="129" s="1"/>
  <c r="P82" i="129"/>
  <c r="N82" i="129"/>
  <c r="S81" i="129"/>
  <c r="T81" i="129" s="1"/>
  <c r="Q81" i="129"/>
  <c r="R81" i="129" s="1"/>
  <c r="O81" i="129"/>
  <c r="P81" i="129" s="1"/>
  <c r="M81" i="129"/>
  <c r="N81" i="129" s="1"/>
  <c r="S80" i="129"/>
  <c r="T80" i="129" s="1"/>
  <c r="Q80" i="129"/>
  <c r="R80" i="129" s="1"/>
  <c r="O80" i="129"/>
  <c r="P80" i="129" s="1"/>
  <c r="N80" i="129"/>
  <c r="M80" i="129"/>
  <c r="S79" i="129"/>
  <c r="T79" i="129" s="1"/>
  <c r="Q79" i="129"/>
  <c r="R79" i="129" s="1"/>
  <c r="O79" i="129"/>
  <c r="P79" i="129" s="1"/>
  <c r="M79" i="129"/>
  <c r="N79" i="129" s="1"/>
  <c r="S78" i="129"/>
  <c r="T78" i="129" s="1"/>
  <c r="R78" i="129"/>
  <c r="Q78" i="129"/>
  <c r="O78" i="129"/>
  <c r="P78" i="129" s="1"/>
  <c r="M78" i="129"/>
  <c r="N78" i="129" s="1"/>
  <c r="T77" i="129"/>
  <c r="R77" i="129"/>
  <c r="P77" i="129"/>
  <c r="N77" i="129"/>
  <c r="T76" i="129"/>
  <c r="R76" i="129"/>
  <c r="P76" i="129"/>
  <c r="N76" i="129"/>
  <c r="T75" i="129"/>
  <c r="R75" i="129"/>
  <c r="P75" i="129"/>
  <c r="N75" i="129"/>
  <c r="R32" i="129"/>
  <c r="P31" i="129"/>
  <c r="N31" i="129"/>
  <c r="L31" i="129"/>
  <c r="V31" i="129"/>
  <c r="T31" i="129"/>
  <c r="J31" i="129"/>
  <c r="I31" i="129"/>
  <c r="H31" i="129"/>
  <c r="G31" i="129"/>
  <c r="F31" i="129"/>
  <c r="R19" i="129"/>
  <c r="P19" i="129"/>
  <c r="N19" i="129"/>
  <c r="L19" i="129"/>
  <c r="R18" i="129"/>
  <c r="P18" i="129"/>
  <c r="N18" i="129"/>
  <c r="L18" i="129"/>
  <c r="V124" i="129"/>
  <c r="L124" i="129"/>
  <c r="J124" i="129"/>
  <c r="I124" i="129"/>
  <c r="H124" i="129"/>
  <c r="G124" i="129"/>
  <c r="F124" i="129"/>
  <c r="O34" i="111" a="1"/>
  <c r="O34" i="111" s="1"/>
  <c r="N34" i="111" a="1"/>
  <c r="N34" i="111" s="1"/>
  <c r="M34" i="111" a="1"/>
  <c r="M34" i="111" s="1"/>
  <c r="L34" i="111" a="1"/>
  <c r="L34" i="111" s="1"/>
  <c r="K34" i="111" a="1"/>
  <c r="K34" i="111" s="1"/>
  <c r="J34" i="111" a="1"/>
  <c r="J34" i="111" s="1"/>
  <c r="I34" i="111" a="1"/>
  <c r="I34" i="111" s="1"/>
  <c r="H34" i="111" a="1"/>
  <c r="H34" i="111" s="1"/>
  <c r="G34" i="111" a="1"/>
  <c r="G34" i="111" s="1"/>
  <c r="F34" i="111" a="1"/>
  <c r="F34" i="111" s="1"/>
  <c r="E34" i="111" a="1"/>
  <c r="E34" i="111" s="1"/>
  <c r="D34" i="111" a="1"/>
  <c r="D34" i="111" s="1"/>
  <c r="C34" i="111"/>
  <c r="O26" i="111" a="1"/>
  <c r="O26" i="111" s="1"/>
  <c r="N26" i="111" a="1"/>
  <c r="N26" i="111" s="1"/>
  <c r="M26" i="111" a="1"/>
  <c r="M26" i="111" s="1"/>
  <c r="L26" i="111" a="1"/>
  <c r="L26" i="111" s="1"/>
  <c r="K26" i="111" a="1"/>
  <c r="K26" i="111" s="1"/>
  <c r="J26" i="111" a="1"/>
  <c r="J26" i="111" s="1"/>
  <c r="I26" i="111" a="1"/>
  <c r="I26" i="111" s="1"/>
  <c r="H26" i="111" a="1"/>
  <c r="H26" i="111" s="1"/>
  <c r="G26" i="111" a="1"/>
  <c r="G26" i="111" s="1"/>
  <c r="F26" i="111" a="1"/>
  <c r="F26" i="111" s="1"/>
  <c r="E26" i="111" a="1"/>
  <c r="E26" i="111" s="1"/>
  <c r="D26" i="111" a="1"/>
  <c r="D26" i="111" s="1"/>
  <c r="C26" i="111"/>
  <c r="O18" i="111" a="1"/>
  <c r="O18" i="111" s="1"/>
  <c r="N18" i="111" a="1"/>
  <c r="N18" i="111" s="1"/>
  <c r="M18" i="111" a="1"/>
  <c r="M18" i="111" s="1"/>
  <c r="L18" i="111" a="1"/>
  <c r="L18" i="111" s="1"/>
  <c r="K18" i="111" a="1"/>
  <c r="K18" i="111" s="1"/>
  <c r="J18" i="111" a="1"/>
  <c r="J18" i="111" s="1"/>
  <c r="I18" i="111" a="1"/>
  <c r="I18" i="111" s="1"/>
  <c r="H18" i="111" a="1"/>
  <c r="H18" i="111" s="1"/>
  <c r="G18" i="111" a="1"/>
  <c r="G18" i="111" s="1"/>
  <c r="F18" i="111" a="1"/>
  <c r="F18" i="111" s="1"/>
  <c r="E18" i="111" a="1"/>
  <c r="E18" i="111" s="1"/>
  <c r="D18" i="111" a="1"/>
  <c r="D18" i="111" s="1"/>
  <c r="C18" i="111"/>
  <c r="C10" i="111"/>
  <c r="E10" i="111" a="1"/>
  <c r="E10" i="111" s="1"/>
  <c r="F10" i="111" a="1"/>
  <c r="F10" i="111" s="1"/>
  <c r="G10" i="111" a="1"/>
  <c r="G10" i="111" s="1"/>
  <c r="H10" i="111" a="1"/>
  <c r="H10" i="111" s="1"/>
  <c r="I10" i="111" a="1"/>
  <c r="I10" i="111" s="1"/>
  <c r="J10" i="111" a="1"/>
  <c r="J10" i="111" s="1"/>
  <c r="K10" i="111" a="1"/>
  <c r="K10" i="111" s="1"/>
  <c r="L10" i="111" a="1"/>
  <c r="L10" i="111" s="1"/>
  <c r="M10" i="111" a="1"/>
  <c r="M10" i="111" s="1"/>
  <c r="N10" i="111" a="1"/>
  <c r="N10" i="111" s="1"/>
  <c r="O10" i="111" a="1"/>
  <c r="O10" i="111" s="1"/>
  <c r="D10" i="111" a="1"/>
  <c r="D10" i="111" s="1"/>
  <c r="C35" i="111"/>
  <c r="C33" i="111"/>
  <c r="J84" i="136" a="1"/>
  <c r="J84" i="136" s="1"/>
  <c r="I84" i="136"/>
  <c r="H84" i="136"/>
  <c r="G84" i="136"/>
  <c r="F84" i="136"/>
  <c r="J81" i="136" a="1"/>
  <c r="J81" i="136" s="1"/>
  <c r="I81" i="136"/>
  <c r="H81" i="136"/>
  <c r="G81" i="136"/>
  <c r="F81" i="136"/>
  <c r="J78" i="136" a="1"/>
  <c r="J78" i="136" s="1"/>
  <c r="I78" i="136"/>
  <c r="H78" i="136"/>
  <c r="G78" i="136"/>
  <c r="F78" i="136"/>
  <c r="J75" i="136" a="1"/>
  <c r="J75" i="136" s="1"/>
  <c r="I75" i="136"/>
  <c r="H75" i="136"/>
  <c r="G75" i="136"/>
  <c r="F75" i="136"/>
  <c r="J72" i="136" a="1"/>
  <c r="J72" i="136" s="1"/>
  <c r="I72" i="136"/>
  <c r="H72" i="136"/>
  <c r="G72" i="136"/>
  <c r="F72" i="136"/>
  <c r="J67" i="136" a="1"/>
  <c r="J67" i="136" s="1"/>
  <c r="I67" i="136"/>
  <c r="H67" i="136"/>
  <c r="G67" i="136"/>
  <c r="F67" i="136"/>
  <c r="J64" i="136" a="1"/>
  <c r="J64" i="136" s="1"/>
  <c r="I64" i="136"/>
  <c r="H64" i="136"/>
  <c r="G64" i="136"/>
  <c r="F64" i="136"/>
  <c r="J61" i="136" a="1"/>
  <c r="J61" i="136" s="1"/>
  <c r="I61" i="136"/>
  <c r="H61" i="136"/>
  <c r="G61" i="136"/>
  <c r="F61" i="136"/>
  <c r="J54" i="136" a="1"/>
  <c r="J54" i="136" s="1"/>
  <c r="I54" i="136"/>
  <c r="H54" i="136"/>
  <c r="G54" i="136"/>
  <c r="F54" i="136"/>
  <c r="J51" i="136" a="1"/>
  <c r="J51" i="136" s="1"/>
  <c r="I51" i="136"/>
  <c r="H51" i="136"/>
  <c r="G51" i="136"/>
  <c r="F51" i="136"/>
  <c r="J48" i="136" a="1"/>
  <c r="J48" i="136" s="1"/>
  <c r="I48" i="136"/>
  <c r="H48" i="136"/>
  <c r="G48" i="136"/>
  <c r="F48" i="136"/>
  <c r="J43" i="136" a="1"/>
  <c r="J43" i="136" s="1"/>
  <c r="I43" i="136"/>
  <c r="H43" i="136"/>
  <c r="G43" i="136"/>
  <c r="F43" i="136"/>
  <c r="J38" i="136" a="1"/>
  <c r="J38" i="136" s="1"/>
  <c r="I38" i="136"/>
  <c r="H38" i="136"/>
  <c r="G38" i="136"/>
  <c r="F38" i="136"/>
  <c r="J35" i="136" a="1"/>
  <c r="J35" i="136" s="1"/>
  <c r="I35" i="136"/>
  <c r="H35" i="136"/>
  <c r="G35" i="136"/>
  <c r="F35" i="136"/>
  <c r="J32" i="136" a="1"/>
  <c r="J32" i="136" s="1"/>
  <c r="I32" i="136"/>
  <c r="H32" i="136"/>
  <c r="G32" i="136"/>
  <c r="F32" i="136"/>
  <c r="J29" i="136" a="1"/>
  <c r="J29" i="136" s="1"/>
  <c r="I29" i="136"/>
  <c r="H29" i="136"/>
  <c r="G29" i="136"/>
  <c r="F29" i="136"/>
  <c r="J24" i="136" a="1"/>
  <c r="J24" i="136" s="1"/>
  <c r="I24" i="136"/>
  <c r="H24" i="136"/>
  <c r="G24" i="136"/>
  <c r="F24" i="136"/>
  <c r="J21" i="136" a="1"/>
  <c r="J21" i="136" s="1"/>
  <c r="I21" i="136"/>
  <c r="H21" i="136"/>
  <c r="G21" i="136"/>
  <c r="F21" i="136"/>
  <c r="J18" i="136" a="1"/>
  <c r="J18" i="136" s="1"/>
  <c r="I18" i="136"/>
  <c r="H18" i="136"/>
  <c r="G18" i="136"/>
  <c r="F18" i="136"/>
  <c r="J13" i="136" a="1"/>
  <c r="J13" i="136" s="1"/>
  <c r="I13" i="136"/>
  <c r="H13" i="136"/>
  <c r="G13" i="136"/>
  <c r="F13" i="136"/>
  <c r="J84" i="57" a="1"/>
  <c r="J84" i="57" s="1"/>
  <c r="I84" i="57"/>
  <c r="H84" i="57"/>
  <c r="G84" i="57"/>
  <c r="F84" i="57"/>
  <c r="J81" i="57" a="1"/>
  <c r="J81" i="57" s="1"/>
  <c r="I81" i="57"/>
  <c r="H81" i="57"/>
  <c r="G81" i="57"/>
  <c r="F81" i="57"/>
  <c r="J78" i="57" a="1"/>
  <c r="J78" i="57" s="1"/>
  <c r="I78" i="57"/>
  <c r="H78" i="57"/>
  <c r="G78" i="57"/>
  <c r="F78" i="57"/>
  <c r="J75" i="57" a="1"/>
  <c r="J75" i="57" s="1"/>
  <c r="I75" i="57"/>
  <c r="H75" i="57"/>
  <c r="G75" i="57"/>
  <c r="F75" i="57"/>
  <c r="J72" i="57" a="1"/>
  <c r="J72" i="57" s="1"/>
  <c r="I72" i="57"/>
  <c r="H72" i="57"/>
  <c r="G72" i="57"/>
  <c r="F72" i="57"/>
  <c r="J67" i="57" a="1"/>
  <c r="J67" i="57" s="1"/>
  <c r="I67" i="57"/>
  <c r="H67" i="57"/>
  <c r="G67" i="57"/>
  <c r="F67" i="57"/>
  <c r="J64" i="57" a="1"/>
  <c r="J64" i="57" s="1"/>
  <c r="I64" i="57"/>
  <c r="H64" i="57"/>
  <c r="G64" i="57"/>
  <c r="F64" i="57"/>
  <c r="J61" i="57" a="1"/>
  <c r="J61" i="57" s="1"/>
  <c r="I61" i="57"/>
  <c r="H61" i="57"/>
  <c r="G61" i="57"/>
  <c r="F61" i="57"/>
  <c r="J54" i="57" a="1"/>
  <c r="J54" i="57" s="1"/>
  <c r="I54" i="57"/>
  <c r="H54" i="57"/>
  <c r="G54" i="57"/>
  <c r="F54" i="57"/>
  <c r="J51" i="57" a="1"/>
  <c r="J51" i="57" s="1"/>
  <c r="I51" i="57"/>
  <c r="H51" i="57"/>
  <c r="G51" i="57"/>
  <c r="F51" i="57"/>
  <c r="J48" i="57" a="1"/>
  <c r="J48" i="57" s="1"/>
  <c r="I48" i="57"/>
  <c r="H48" i="57"/>
  <c r="G48" i="57"/>
  <c r="F48" i="57"/>
  <c r="J43" i="57" a="1"/>
  <c r="J43" i="57" s="1"/>
  <c r="I43" i="57"/>
  <c r="H43" i="57"/>
  <c r="G43" i="57"/>
  <c r="F43" i="57"/>
  <c r="J38" i="57" a="1"/>
  <c r="J38" i="57" s="1"/>
  <c r="I38" i="57"/>
  <c r="H38" i="57"/>
  <c r="G38" i="57"/>
  <c r="F38" i="57"/>
  <c r="J35" i="57" a="1"/>
  <c r="J35" i="57" s="1"/>
  <c r="I35" i="57"/>
  <c r="H35" i="57"/>
  <c r="G35" i="57"/>
  <c r="F35" i="57"/>
  <c r="J32" i="57" a="1"/>
  <c r="J32" i="57" s="1"/>
  <c r="I32" i="57"/>
  <c r="H32" i="57"/>
  <c r="G32" i="57"/>
  <c r="F32" i="57"/>
  <c r="J29" i="57" a="1"/>
  <c r="J29" i="57" s="1"/>
  <c r="I29" i="57"/>
  <c r="H29" i="57"/>
  <c r="G29" i="57"/>
  <c r="F29" i="57"/>
  <c r="J24" i="57" a="1"/>
  <c r="J24" i="57" s="1"/>
  <c r="I24" i="57"/>
  <c r="H24" i="57"/>
  <c r="G24" i="57"/>
  <c r="F24" i="57"/>
  <c r="J21" i="57" a="1"/>
  <c r="J21" i="57" s="1"/>
  <c r="I21" i="57"/>
  <c r="H21" i="57"/>
  <c r="G21" i="57"/>
  <c r="F21" i="57"/>
  <c r="J18" i="57" a="1"/>
  <c r="J18" i="57" s="1"/>
  <c r="I18" i="57"/>
  <c r="H18" i="57"/>
  <c r="G18" i="57"/>
  <c r="F18" i="57"/>
  <c r="G13" i="57"/>
  <c r="J13" i="57" a="1"/>
  <c r="J13" i="57" s="1"/>
  <c r="T82" i="130"/>
  <c r="R82" i="130"/>
  <c r="D81" i="130"/>
  <c r="AY3" i="52"/>
  <c r="T2" i="69" l="1"/>
  <c r="H13" i="130" a="1"/>
  <c r="H13" i="130" s="1"/>
  <c r="E13" i="130" s="1"/>
  <c r="T13" i="130" s="1"/>
  <c r="J74" i="130" a="1"/>
  <c r="J74" i="130" s="1"/>
  <c r="H74" i="130" a="1"/>
  <c r="H74" i="130" s="1"/>
  <c r="E74" i="130" s="1"/>
  <c r="J65" i="130" a="1"/>
  <c r="J65" i="130" s="1"/>
  <c r="H65" i="130" a="1"/>
  <c r="H65" i="130" s="1"/>
  <c r="E65" i="130" s="1"/>
  <c r="J64" i="130" a="1"/>
  <c r="J64" i="130" s="1"/>
  <c r="H64" i="130" a="1"/>
  <c r="H64" i="130" s="1"/>
  <c r="E64" i="130" s="1"/>
  <c r="J63" i="130" a="1"/>
  <c r="J63" i="130" s="1"/>
  <c r="H63" i="130" a="1"/>
  <c r="H63" i="130" s="1"/>
  <c r="E63" i="130" s="1"/>
  <c r="J62" i="130" a="1"/>
  <c r="J62" i="130" s="1"/>
  <c r="H62" i="130" a="1"/>
  <c r="H62" i="130" s="1"/>
  <c r="E62" i="130" s="1"/>
  <c r="J52" i="130" a="1"/>
  <c r="J52" i="130" s="1"/>
  <c r="H52" i="130" a="1"/>
  <c r="H52" i="130" s="1"/>
  <c r="E52" i="130" s="1"/>
  <c r="J51" i="130" a="1"/>
  <c r="J51" i="130" s="1"/>
  <c r="H51" i="130" a="1"/>
  <c r="H51" i="130" s="1"/>
  <c r="E51" i="130" s="1"/>
  <c r="J50" i="130" a="1"/>
  <c r="J50" i="130" s="1"/>
  <c r="H50" i="130" a="1"/>
  <c r="H50" i="130" s="1"/>
  <c r="E50" i="130" s="1"/>
  <c r="J49" i="130" a="1"/>
  <c r="J49" i="130" s="1"/>
  <c r="H49" i="130" a="1"/>
  <c r="H49" i="130" s="1"/>
  <c r="E49" i="130" s="1"/>
  <c r="J48" i="130" a="1"/>
  <c r="J48" i="130" s="1"/>
  <c r="H48" i="130" a="1"/>
  <c r="H48" i="130" s="1"/>
  <c r="E48" i="130" s="1"/>
  <c r="T74" i="130" l="1"/>
  <c r="R74" i="130"/>
  <c r="T62" i="130"/>
  <c r="R62" i="130"/>
  <c r="T64" i="130"/>
  <c r="R64" i="130"/>
  <c r="R65" i="130"/>
  <c r="T65" i="130"/>
  <c r="T63" i="130"/>
  <c r="R63" i="130"/>
  <c r="T52" i="130"/>
  <c r="R52" i="130"/>
  <c r="T48" i="130"/>
  <c r="R48" i="130"/>
  <c r="R50" i="130"/>
  <c r="T50" i="130"/>
  <c r="T51" i="130"/>
  <c r="R51" i="130"/>
  <c r="T49" i="130"/>
  <c r="R49" i="130"/>
  <c r="O34" i="57" l="1"/>
  <c r="O32" i="57"/>
  <c r="Z32" i="57"/>
  <c r="Y32" i="57"/>
  <c r="X32" i="57"/>
  <c r="W32" i="57"/>
  <c r="V32" i="57"/>
  <c r="U32" i="57"/>
  <c r="T32" i="57"/>
  <c r="S32" i="57"/>
  <c r="R32" i="57"/>
  <c r="Q32" i="57"/>
  <c r="M32" i="57"/>
  <c r="K32" i="57"/>
  <c r="Z84" i="57"/>
  <c r="Y84" i="57"/>
  <c r="X84" i="57"/>
  <c r="W84" i="57"/>
  <c r="V84" i="57"/>
  <c r="U84" i="57"/>
  <c r="T84" i="57"/>
  <c r="S84" i="57"/>
  <c r="R84" i="57"/>
  <c r="Q84" i="57"/>
  <c r="Z81" i="57"/>
  <c r="Y81" i="57"/>
  <c r="X81" i="57"/>
  <c r="W81" i="57"/>
  <c r="V81" i="57"/>
  <c r="U81" i="57"/>
  <c r="T81" i="57"/>
  <c r="S81" i="57"/>
  <c r="R81" i="57"/>
  <c r="Q81" i="57"/>
  <c r="Z78" i="57"/>
  <c r="Y78" i="57"/>
  <c r="X78" i="57"/>
  <c r="W78" i="57"/>
  <c r="V78" i="57"/>
  <c r="U78" i="57"/>
  <c r="T78" i="57"/>
  <c r="S78" i="57"/>
  <c r="R78" i="57"/>
  <c r="Q78" i="57"/>
  <c r="Z75" i="57"/>
  <c r="Y75" i="57"/>
  <c r="X75" i="57"/>
  <c r="W75" i="57"/>
  <c r="V75" i="57"/>
  <c r="U75" i="57"/>
  <c r="T75" i="57"/>
  <c r="S75" i="57"/>
  <c r="R75" i="57"/>
  <c r="Q75" i="57"/>
  <c r="Z72" i="57"/>
  <c r="Y72" i="57"/>
  <c r="X72" i="57"/>
  <c r="W72" i="57"/>
  <c r="V72" i="57"/>
  <c r="U72" i="57"/>
  <c r="T72" i="57"/>
  <c r="S72" i="57"/>
  <c r="R72" i="57"/>
  <c r="Q72" i="57"/>
  <c r="Z67" i="57"/>
  <c r="Y67" i="57"/>
  <c r="X67" i="57"/>
  <c r="W67" i="57"/>
  <c r="V67" i="57"/>
  <c r="U67" i="57"/>
  <c r="T67" i="57"/>
  <c r="S67" i="57"/>
  <c r="R67" i="57"/>
  <c r="Q67" i="57"/>
  <c r="Z64" i="57"/>
  <c r="Y64" i="57"/>
  <c r="X64" i="57"/>
  <c r="W64" i="57"/>
  <c r="V64" i="57"/>
  <c r="U64" i="57"/>
  <c r="T64" i="57"/>
  <c r="S64" i="57"/>
  <c r="R64" i="57"/>
  <c r="Q64" i="57"/>
  <c r="Z61" i="57"/>
  <c r="Y61" i="57"/>
  <c r="X61" i="57"/>
  <c r="W61" i="57"/>
  <c r="V61" i="57"/>
  <c r="U61" i="57"/>
  <c r="T61" i="57"/>
  <c r="S61" i="57"/>
  <c r="R61" i="57"/>
  <c r="Q61" i="57"/>
  <c r="Z54" i="57"/>
  <c r="Y54" i="57"/>
  <c r="X54" i="57"/>
  <c r="W54" i="57"/>
  <c r="V54" i="57"/>
  <c r="U54" i="57"/>
  <c r="T54" i="57"/>
  <c r="S54" i="57"/>
  <c r="R54" i="57"/>
  <c r="Q54" i="57"/>
  <c r="Z51" i="57"/>
  <c r="Y51" i="57"/>
  <c r="X51" i="57"/>
  <c r="W51" i="57"/>
  <c r="V51" i="57"/>
  <c r="U51" i="57"/>
  <c r="T51" i="57"/>
  <c r="S51" i="57"/>
  <c r="R51" i="57"/>
  <c r="Q51" i="57"/>
  <c r="Z48" i="57"/>
  <c r="Y48" i="57"/>
  <c r="X48" i="57"/>
  <c r="W48" i="57"/>
  <c r="V48" i="57"/>
  <c r="U48" i="57"/>
  <c r="T48" i="57"/>
  <c r="S48" i="57"/>
  <c r="R48" i="57"/>
  <c r="Q48" i="57"/>
  <c r="Z43" i="57"/>
  <c r="Y43" i="57"/>
  <c r="X43" i="57"/>
  <c r="W43" i="57"/>
  <c r="V43" i="57"/>
  <c r="U43" i="57"/>
  <c r="T43" i="57"/>
  <c r="S43" i="57"/>
  <c r="R43" i="57"/>
  <c r="Q43" i="57"/>
  <c r="Z38" i="57"/>
  <c r="Y38" i="57"/>
  <c r="X38" i="57"/>
  <c r="W38" i="57"/>
  <c r="V38" i="57"/>
  <c r="U38" i="57"/>
  <c r="T38" i="57"/>
  <c r="S38" i="57"/>
  <c r="R38" i="57"/>
  <c r="Q38" i="57"/>
  <c r="Z35" i="57"/>
  <c r="Y35" i="57"/>
  <c r="X35" i="57"/>
  <c r="W35" i="57"/>
  <c r="V35" i="57"/>
  <c r="U35" i="57"/>
  <c r="T35" i="57"/>
  <c r="S35" i="57"/>
  <c r="R35" i="57"/>
  <c r="Q35" i="57"/>
  <c r="Z29" i="57"/>
  <c r="Y29" i="57"/>
  <c r="X29" i="57"/>
  <c r="W29" i="57"/>
  <c r="V29" i="57"/>
  <c r="U29" i="57"/>
  <c r="T29" i="57"/>
  <c r="S29" i="57"/>
  <c r="R29" i="57"/>
  <c r="Q29" i="57"/>
  <c r="Z24" i="57"/>
  <c r="Y24" i="57"/>
  <c r="X24" i="57"/>
  <c r="W24" i="57"/>
  <c r="V24" i="57"/>
  <c r="U24" i="57"/>
  <c r="T24" i="57"/>
  <c r="S24" i="57"/>
  <c r="R24" i="57"/>
  <c r="Q24" i="57"/>
  <c r="Z21" i="57"/>
  <c r="Y21" i="57"/>
  <c r="X21" i="57"/>
  <c r="W21" i="57"/>
  <c r="V21" i="57"/>
  <c r="U21" i="57"/>
  <c r="T21" i="57"/>
  <c r="S21" i="57"/>
  <c r="R21" i="57"/>
  <c r="Q21" i="57"/>
  <c r="Z18" i="57"/>
  <c r="Y18" i="57"/>
  <c r="X18" i="57"/>
  <c r="W18" i="57"/>
  <c r="V18" i="57"/>
  <c r="U18" i="57"/>
  <c r="T18" i="57"/>
  <c r="S18" i="57"/>
  <c r="R18" i="57"/>
  <c r="Q18" i="57"/>
  <c r="K84" i="57"/>
  <c r="K81" i="57"/>
  <c r="K78" i="57"/>
  <c r="K75" i="57"/>
  <c r="K72" i="57"/>
  <c r="K67" i="57"/>
  <c r="K64" i="57"/>
  <c r="K61" i="57"/>
  <c r="K54" i="57"/>
  <c r="K51" i="57"/>
  <c r="K48" i="57"/>
  <c r="K43" i="57"/>
  <c r="K38" i="57"/>
  <c r="K35" i="57"/>
  <c r="K29" i="57"/>
  <c r="K24" i="57"/>
  <c r="K21" i="57"/>
  <c r="K18" i="57"/>
  <c r="Z13" i="57"/>
  <c r="Y13" i="57"/>
  <c r="X13" i="57"/>
  <c r="W13" i="57"/>
  <c r="V13" i="57"/>
  <c r="U13" i="57"/>
  <c r="T13" i="57"/>
  <c r="S13" i="57"/>
  <c r="R13" i="57"/>
  <c r="Q13" i="57"/>
  <c r="K13" i="57"/>
  <c r="I13" i="57"/>
  <c r="H13" i="57"/>
  <c r="F13" i="57"/>
  <c r="AD3" i="57" s="1" a="1"/>
  <c r="AD3" i="57" s="1"/>
  <c r="AI32" i="57" l="1"/>
  <c r="G80" i="129"/>
  <c r="H80" i="129"/>
  <c r="I80" i="129"/>
  <c r="J80" i="129"/>
  <c r="F80" i="129"/>
  <c r="M8" i="44"/>
  <c r="K8" i="44"/>
  <c r="I8" i="44"/>
  <c r="G8" i="44"/>
  <c r="E8" i="44"/>
  <c r="AX3" i="52"/>
  <c r="AZ3" i="52"/>
  <c r="BA3" i="52"/>
  <c r="BB3" i="52"/>
  <c r="BC3" i="52"/>
  <c r="BD3" i="52"/>
  <c r="BE3" i="52"/>
  <c r="BF3" i="52"/>
  <c r="BG3" i="52"/>
  <c r="BH3" i="52"/>
  <c r="BI3" i="52"/>
  <c r="BJ3" i="52"/>
  <c r="BK3" i="52"/>
  <c r="BL3" i="52"/>
  <c r="BM3" i="52"/>
  <c r="BN3" i="52"/>
  <c r="BO3" i="52"/>
  <c r="BP3" i="52"/>
  <c r="BQ3" i="52"/>
  <c r="BR3" i="52"/>
  <c r="BS3" i="52"/>
  <c r="BT3" i="52"/>
  <c r="BU3" i="52"/>
  <c r="BV3" i="52"/>
  <c r="BW3" i="52"/>
  <c r="BX3" i="52"/>
  <c r="D96" i="130" l="1"/>
  <c r="R91" i="130"/>
  <c r="S29" i="129" l="1"/>
  <c r="S22" i="129"/>
  <c r="S12" i="129"/>
  <c r="L151" i="129" l="1"/>
  <c r="N69" i="57"/>
  <c r="N58" i="57"/>
  <c r="N45" i="57"/>
  <c r="N26" i="57"/>
  <c r="N15" i="57"/>
  <c r="Y3" i="57"/>
  <c r="S37" i="136"/>
  <c r="R15" i="136"/>
  <c r="R26" i="136"/>
  <c r="R45" i="136"/>
  <c r="R69" i="136"/>
  <c r="R58" i="136"/>
  <c r="K84" i="136" l="1"/>
  <c r="K81" i="136"/>
  <c r="K78" i="136"/>
  <c r="K75" i="136"/>
  <c r="K72" i="136"/>
  <c r="K67" i="136"/>
  <c r="K64" i="136"/>
  <c r="K61" i="136"/>
  <c r="K54" i="136"/>
  <c r="K51" i="136"/>
  <c r="K48" i="136"/>
  <c r="K43" i="136"/>
  <c r="K38" i="136"/>
  <c r="K35" i="136"/>
  <c r="K32" i="136"/>
  <c r="K24" i="136"/>
  <c r="K18" i="136"/>
  <c r="K13" i="136"/>
  <c r="S38" i="136"/>
  <c r="Q13" i="136" l="1"/>
  <c r="U13" i="136" s="1"/>
  <c r="N84" i="136"/>
  <c r="O84" i="136" s="1"/>
  <c r="N81" i="136"/>
  <c r="O81" i="136" s="1"/>
  <c r="N78" i="136"/>
  <c r="O78" i="136" s="1"/>
  <c r="N75" i="136"/>
  <c r="O75" i="136" s="1"/>
  <c r="N72" i="136"/>
  <c r="O72" i="136" s="1"/>
  <c r="N67" i="136"/>
  <c r="O67" i="136" s="1"/>
  <c r="N64" i="136"/>
  <c r="O64" i="136" s="1"/>
  <c r="N61" i="136"/>
  <c r="N54" i="136"/>
  <c r="O54" i="136" s="1"/>
  <c r="N51" i="136"/>
  <c r="O51" i="136" s="1"/>
  <c r="N48" i="136"/>
  <c r="N43" i="136"/>
  <c r="N38" i="136"/>
  <c r="O38" i="136" s="1"/>
  <c r="N35" i="136"/>
  <c r="O35" i="136" s="1"/>
  <c r="N32" i="136"/>
  <c r="O32" i="136" s="1"/>
  <c r="N29" i="136"/>
  <c r="N24" i="136"/>
  <c r="O24" i="136" s="1"/>
  <c r="N21" i="136"/>
  <c r="N18" i="136"/>
  <c r="N13" i="136"/>
  <c r="O85" i="136"/>
  <c r="O19" i="136"/>
  <c r="Q84" i="136"/>
  <c r="U84" i="136" s="1"/>
  <c r="Q83" i="136"/>
  <c r="Q81" i="136"/>
  <c r="U81" i="136" s="1"/>
  <c r="Q80" i="136"/>
  <c r="Q78" i="136"/>
  <c r="U78" i="136" s="1"/>
  <c r="Q77" i="136"/>
  <c r="Q75" i="136"/>
  <c r="U75" i="136" s="1"/>
  <c r="Q74" i="136"/>
  <c r="Q72" i="136"/>
  <c r="U72" i="136" s="1"/>
  <c r="Q71" i="136"/>
  <c r="Q69" i="136"/>
  <c r="Q67" i="136"/>
  <c r="U67" i="136" s="1"/>
  <c r="Q66" i="136"/>
  <c r="Q64" i="136"/>
  <c r="U64" i="136" s="1"/>
  <c r="Q63" i="136"/>
  <c r="Q61" i="136"/>
  <c r="U61" i="136" s="1"/>
  <c r="Q60" i="136"/>
  <c r="Q58" i="136"/>
  <c r="Q54" i="136"/>
  <c r="U54" i="136" s="1"/>
  <c r="Q53" i="136"/>
  <c r="Q51" i="136"/>
  <c r="U51" i="136" s="1"/>
  <c r="Q50" i="136"/>
  <c r="Q48" i="136"/>
  <c r="U48" i="136" s="1"/>
  <c r="Q47" i="136"/>
  <c r="Q45" i="136"/>
  <c r="Q42" i="136"/>
  <c r="Q38" i="136"/>
  <c r="U38" i="136" s="1"/>
  <c r="Q37" i="136"/>
  <c r="Q35" i="136"/>
  <c r="U35" i="136" s="1"/>
  <c r="Q34" i="136"/>
  <c r="Q32" i="136"/>
  <c r="U32" i="136" s="1"/>
  <c r="Q31" i="136"/>
  <c r="Q28" i="136"/>
  <c r="Q26" i="136"/>
  <c r="Q24" i="136"/>
  <c r="U24" i="136" s="1"/>
  <c r="Q23" i="136"/>
  <c r="Q21" i="136"/>
  <c r="U21" i="136" s="1"/>
  <c r="Q20" i="136"/>
  <c r="Q18" i="136"/>
  <c r="U18" i="136" s="1"/>
  <c r="Q17" i="136"/>
  <c r="Q15" i="136"/>
  <c r="Q12" i="136"/>
  <c r="Q29" i="136"/>
  <c r="U29" i="136" s="1"/>
  <c r="N83" i="136" l="1"/>
  <c r="M83" i="136" s="1"/>
  <c r="N37" i="136"/>
  <c r="N77" i="136"/>
  <c r="N74" i="136"/>
  <c r="N71" i="136"/>
  <c r="M71" i="136" s="1"/>
  <c r="N66" i="136"/>
  <c r="N63" i="136"/>
  <c r="N60" i="136"/>
  <c r="O61" i="136" s="1"/>
  <c r="N50" i="136"/>
  <c r="M50" i="136" s="1"/>
  <c r="N47" i="136"/>
  <c r="O48" i="136" s="1"/>
  <c r="N34" i="136"/>
  <c r="N31" i="136"/>
  <c r="M31" i="136" s="1"/>
  <c r="N23" i="136"/>
  <c r="M23" i="136" s="1"/>
  <c r="N17" i="136"/>
  <c r="O18" i="136" s="1"/>
  <c r="S85" i="136"/>
  <c r="S84" i="136"/>
  <c r="S83" i="136"/>
  <c r="S81" i="136"/>
  <c r="S80" i="136"/>
  <c r="S78" i="136"/>
  <c r="S77" i="136"/>
  <c r="S75" i="136"/>
  <c r="S74" i="136"/>
  <c r="S72" i="136"/>
  <c r="S71" i="136" s="1"/>
  <c r="S67" i="136"/>
  <c r="S66" i="136"/>
  <c r="S64" i="136"/>
  <c r="S63" i="136" s="1"/>
  <c r="S61" i="136"/>
  <c r="S60" i="136" s="1"/>
  <c r="S54" i="136"/>
  <c r="S53" i="136" s="1"/>
  <c r="S51" i="136"/>
  <c r="S50" i="136" s="1"/>
  <c r="S48" i="136"/>
  <c r="S47" i="136" s="1"/>
  <c r="S43" i="136"/>
  <c r="S42" i="136" s="1"/>
  <c r="S35" i="136"/>
  <c r="S34" i="136"/>
  <c r="S32" i="136"/>
  <c r="S31" i="136"/>
  <c r="S24" i="136"/>
  <c r="S23" i="136"/>
  <c r="S19" i="136"/>
  <c r="S18" i="136"/>
  <c r="S17" i="136" s="1"/>
  <c r="N26" i="138"/>
  <c r="R56" i="136"/>
  <c r="R40" i="136"/>
  <c r="AI62" i="57"/>
  <c r="M47" i="136" l="1"/>
  <c r="S69" i="136"/>
  <c r="M34" i="136"/>
  <c r="U34" i="136" s="1"/>
  <c r="O34" i="136"/>
  <c r="M37" i="136"/>
  <c r="U37" i="136" s="1"/>
  <c r="O37" i="136"/>
  <c r="S58" i="136"/>
  <c r="S45" i="136"/>
  <c r="M60" i="136"/>
  <c r="U60" i="136" s="1"/>
  <c r="O74" i="136"/>
  <c r="M74" i="136"/>
  <c r="U74" i="136" s="1"/>
  <c r="Q43" i="136"/>
  <c r="U43" i="136" s="1"/>
  <c r="O17" i="136"/>
  <c r="M17" i="136"/>
  <c r="U17" i="136" s="1"/>
  <c r="O63" i="136"/>
  <c r="M63" i="136"/>
  <c r="U63" i="136" s="1"/>
  <c r="M77" i="136"/>
  <c r="U77" i="136" s="1"/>
  <c r="O66" i="136"/>
  <c r="M66" i="136"/>
  <c r="U66" i="136" s="1"/>
  <c r="U71" i="136"/>
  <c r="O50" i="136"/>
  <c r="U50" i="136"/>
  <c r="U47" i="136"/>
  <c r="O77" i="136"/>
  <c r="N53" i="136"/>
  <c r="U31" i="136"/>
  <c r="U23" i="136"/>
  <c r="O83" i="136"/>
  <c r="U83" i="136"/>
  <c r="N58" i="136"/>
  <c r="M58" i="136" s="1"/>
  <c r="O71" i="136"/>
  <c r="O23" i="136"/>
  <c r="O31" i="136"/>
  <c r="Q40" i="136"/>
  <c r="N80" i="136"/>
  <c r="Q56" i="136"/>
  <c r="V152" i="129"/>
  <c r="V151" i="129"/>
  <c r="V148" i="129"/>
  <c r="V147" i="129"/>
  <c r="V144" i="129"/>
  <c r="V143" i="129"/>
  <c r="V140" i="129"/>
  <c r="V139" i="129"/>
  <c r="V136" i="129"/>
  <c r="V135" i="129"/>
  <c r="V130" i="129"/>
  <c r="V127" i="129"/>
  <c r="V123" i="129"/>
  <c r="V125" i="129"/>
  <c r="V126" i="129"/>
  <c r="V122" i="129"/>
  <c r="V121" i="129"/>
  <c r="V118" i="129"/>
  <c r="V117" i="129"/>
  <c r="V116" i="129"/>
  <c r="V115" i="129"/>
  <c r="V114" i="129"/>
  <c r="V113" i="129"/>
  <c r="V112" i="129"/>
  <c r="V111" i="129"/>
  <c r="V110" i="129"/>
  <c r="V103" i="129"/>
  <c r="V102" i="129"/>
  <c r="V101" i="129"/>
  <c r="V100" i="129"/>
  <c r="V99" i="129"/>
  <c r="V96" i="129"/>
  <c r="V95" i="129"/>
  <c r="V94" i="129"/>
  <c r="V91" i="129"/>
  <c r="V90" i="129"/>
  <c r="V85" i="129"/>
  <c r="V84" i="129"/>
  <c r="V83" i="129"/>
  <c r="V82" i="129"/>
  <c r="V81" i="129"/>
  <c r="V80" i="129"/>
  <c r="V79" i="129"/>
  <c r="V78" i="129"/>
  <c r="V77" i="129"/>
  <c r="V76" i="129"/>
  <c r="V75" i="129"/>
  <c r="V70" i="129"/>
  <c r="V69" i="129"/>
  <c r="V66" i="129"/>
  <c r="V65" i="129"/>
  <c r="V44" i="129"/>
  <c r="V43" i="129"/>
  <c r="V40" i="129"/>
  <c r="V39" i="129"/>
  <c r="V32" i="129"/>
  <c r="V30" i="129"/>
  <c r="V29" i="129"/>
  <c r="V28" i="129"/>
  <c r="V27" i="129"/>
  <c r="V26" i="129"/>
  <c r="V25" i="129"/>
  <c r="V24" i="129"/>
  <c r="V23" i="129"/>
  <c r="V22" i="129"/>
  <c r="V21" i="129"/>
  <c r="V20" i="129"/>
  <c r="V19" i="129"/>
  <c r="V18" i="129"/>
  <c r="V17" i="129"/>
  <c r="S35" i="114"/>
  <c r="P35" i="114"/>
  <c r="M35" i="114"/>
  <c r="J35" i="114"/>
  <c r="G35" i="114"/>
  <c r="E35" i="114"/>
  <c r="U35" i="114"/>
  <c r="T35" i="114"/>
  <c r="R35" i="114"/>
  <c r="Q35" i="114"/>
  <c r="O35" i="114"/>
  <c r="N35" i="114"/>
  <c r="L35" i="114"/>
  <c r="K35" i="114"/>
  <c r="I35" i="114"/>
  <c r="H35" i="114"/>
  <c r="U33" i="114"/>
  <c r="T33" i="114"/>
  <c r="S33" i="114"/>
  <c r="R33" i="114"/>
  <c r="Q33" i="114"/>
  <c r="P33" i="114"/>
  <c r="O33" i="114"/>
  <c r="N33" i="114"/>
  <c r="M33" i="114"/>
  <c r="L33" i="114"/>
  <c r="K33" i="114"/>
  <c r="J33" i="114"/>
  <c r="I33" i="114"/>
  <c r="H33" i="114"/>
  <c r="G33" i="114"/>
  <c r="S32" i="114"/>
  <c r="P32" i="114"/>
  <c r="M32" i="114"/>
  <c r="J32" i="114"/>
  <c r="G32" i="114"/>
  <c r="U32" i="114"/>
  <c r="T32" i="114"/>
  <c r="R32" i="114"/>
  <c r="Q32" i="114"/>
  <c r="O32" i="114"/>
  <c r="N32" i="114"/>
  <c r="L32" i="114"/>
  <c r="K32" i="114"/>
  <c r="I32" i="114"/>
  <c r="H32" i="114"/>
  <c r="E33" i="114"/>
  <c r="T115" i="129"/>
  <c r="R115" i="129"/>
  <c r="P115" i="129"/>
  <c r="N115" i="129"/>
  <c r="L115" i="129"/>
  <c r="J115" i="129"/>
  <c r="I115" i="129"/>
  <c r="H115" i="129"/>
  <c r="G115" i="129"/>
  <c r="F115" i="129"/>
  <c r="T112" i="129"/>
  <c r="T28" i="54" a="1"/>
  <c r="T28" i="54" s="1"/>
  <c r="T102" i="129"/>
  <c r="R102" i="129"/>
  <c r="P102" i="129"/>
  <c r="N102" i="129"/>
  <c r="L102" i="129"/>
  <c r="J102" i="129"/>
  <c r="I102" i="129"/>
  <c r="H102" i="129"/>
  <c r="G102" i="129"/>
  <c r="F102" i="129"/>
  <c r="T103" i="129"/>
  <c r="R103" i="129"/>
  <c r="S87" i="129"/>
  <c r="Q87" i="129"/>
  <c r="O87" i="129"/>
  <c r="M87" i="129"/>
  <c r="K87" i="129"/>
  <c r="R112" i="129"/>
  <c r="P112" i="129"/>
  <c r="N112" i="129"/>
  <c r="L112" i="129"/>
  <c r="J112" i="129"/>
  <c r="I112" i="129"/>
  <c r="H112" i="129"/>
  <c r="G112" i="129"/>
  <c r="F112" i="129"/>
  <c r="L84" i="129"/>
  <c r="J84" i="129"/>
  <c r="I84" i="129"/>
  <c r="H84" i="129"/>
  <c r="G84" i="129"/>
  <c r="F84" i="129"/>
  <c r="L83" i="129"/>
  <c r="J83" i="129"/>
  <c r="I83" i="129"/>
  <c r="H83" i="129"/>
  <c r="G83" i="129"/>
  <c r="F83" i="129"/>
  <c r="L82" i="129"/>
  <c r="J82" i="129"/>
  <c r="I82" i="129"/>
  <c r="H82" i="129"/>
  <c r="G82" i="129"/>
  <c r="F82" i="129"/>
  <c r="O47" i="136" l="1"/>
  <c r="O60" i="136"/>
  <c r="O58" i="136" s="1"/>
  <c r="M53" i="136"/>
  <c r="U53" i="136" s="1"/>
  <c r="M80" i="136"/>
  <c r="U80" i="136" s="1"/>
  <c r="S56" i="136"/>
  <c r="N45" i="136"/>
  <c r="O53" i="136"/>
  <c r="O45" i="136" s="1"/>
  <c r="O80" i="136"/>
  <c r="N69" i="136"/>
  <c r="O69" i="136" l="1"/>
  <c r="O56" i="136" s="1"/>
  <c r="M45" i="136"/>
  <c r="U45" i="136" s="1"/>
  <c r="M69" i="136"/>
  <c r="U69" i="136" s="1"/>
  <c r="N56" i="136"/>
  <c r="M56" i="136" s="1"/>
  <c r="U58" i="136"/>
  <c r="T18" i="129"/>
  <c r="J18" i="129"/>
  <c r="I18" i="129"/>
  <c r="H18" i="129"/>
  <c r="G18" i="129"/>
  <c r="F18" i="129"/>
  <c r="J28" i="129"/>
  <c r="I28" i="129"/>
  <c r="H28" i="129"/>
  <c r="G28" i="129"/>
  <c r="F28" i="129"/>
  <c r="B3" i="108"/>
  <c r="N26" i="123"/>
  <c r="O38" i="57"/>
  <c r="O37" i="57" s="1"/>
  <c r="M28" i="44" a="1"/>
  <c r="M28" i="44" s="1"/>
  <c r="M27" i="44" a="1"/>
  <c r="M27" i="44" s="1"/>
  <c r="M26" i="44" a="1"/>
  <c r="M26" i="44" s="1"/>
  <c r="M25" i="44" a="1"/>
  <c r="M25" i="44" s="1"/>
  <c r="M24" i="44" a="1"/>
  <c r="M24" i="44" s="1"/>
  <c r="K28" i="44" a="1"/>
  <c r="K28" i="44" s="1"/>
  <c r="K27" i="44" a="1"/>
  <c r="K27" i="44" s="1"/>
  <c r="K26" i="44" a="1"/>
  <c r="K26" i="44" s="1"/>
  <c r="K25" i="44" a="1"/>
  <c r="K25" i="44" s="1"/>
  <c r="K24" i="44" a="1"/>
  <c r="K24" i="44" s="1"/>
  <c r="I28" i="44" a="1"/>
  <c r="I28" i="44" s="1"/>
  <c r="I27" i="44" a="1"/>
  <c r="I27" i="44" s="1"/>
  <c r="I26" i="44" a="1"/>
  <c r="I26" i="44" s="1"/>
  <c r="I25" i="44" a="1"/>
  <c r="I25" i="44" s="1"/>
  <c r="I24" i="44" a="1"/>
  <c r="I24" i="44" s="1"/>
  <c r="E28" i="44" a="1"/>
  <c r="E28" i="44" s="1"/>
  <c r="E27" i="44" a="1"/>
  <c r="E27" i="44" s="1"/>
  <c r="E26" i="44" a="1"/>
  <c r="E26" i="44" s="1"/>
  <c r="E25" i="44" a="1"/>
  <c r="E25" i="44" s="1"/>
  <c r="E24" i="44" a="1"/>
  <c r="E24" i="44" s="1"/>
  <c r="G28" i="44" a="1"/>
  <c r="G28" i="44" s="1"/>
  <c r="G27" i="44" a="1"/>
  <c r="G27" i="44" s="1"/>
  <c r="G26" i="44" a="1"/>
  <c r="G26" i="44" s="1"/>
  <c r="G25" i="44" a="1"/>
  <c r="G25" i="44" s="1"/>
  <c r="G24" i="44" a="1"/>
  <c r="G24" i="44" s="1"/>
  <c r="L35" i="54"/>
  <c r="Z16" i="60" a="1"/>
  <c r="Z16" i="60" s="1"/>
  <c r="Z15" i="60" a="1"/>
  <c r="Z15" i="60" s="1"/>
  <c r="Z13" i="60" a="1"/>
  <c r="Z13" i="60" s="1"/>
  <c r="Z12" i="60" a="1"/>
  <c r="Z12" i="60" s="1"/>
  <c r="L19" i="44" s="1"/>
  <c r="Z11" i="60" a="1"/>
  <c r="Z11" i="60" s="1"/>
  <c r="Z10" i="60" a="1"/>
  <c r="Z10" i="60" s="1"/>
  <c r="Z9" i="60" a="1"/>
  <c r="Z9" i="60" s="1"/>
  <c r="U16" i="60" a="1"/>
  <c r="U16" i="60" s="1"/>
  <c r="U15" i="60" a="1"/>
  <c r="U15" i="60" s="1"/>
  <c r="U13" i="60" a="1"/>
  <c r="U13" i="60" s="1"/>
  <c r="U12" i="60" a="1"/>
  <c r="U12" i="60" s="1"/>
  <c r="J19" i="44" s="1"/>
  <c r="U11" i="60" a="1"/>
  <c r="U11" i="60" s="1"/>
  <c r="U10" i="60" a="1"/>
  <c r="U10" i="60" s="1"/>
  <c r="U9" i="60" a="1"/>
  <c r="U9" i="60" s="1"/>
  <c r="P16" i="60" a="1"/>
  <c r="P16" i="60" s="1"/>
  <c r="P15" i="60" a="1"/>
  <c r="P15" i="60" s="1"/>
  <c r="P13" i="60" a="1"/>
  <c r="P13" i="60" s="1"/>
  <c r="P12" i="60" a="1"/>
  <c r="P12" i="60" s="1"/>
  <c r="H19" i="44" s="1"/>
  <c r="P11" i="60" a="1"/>
  <c r="P11" i="60" s="1"/>
  <c r="P10" i="60" a="1"/>
  <c r="P10" i="60" s="1"/>
  <c r="P9" i="60" a="1"/>
  <c r="P9" i="60" s="1"/>
  <c r="F16" i="60" a="1"/>
  <c r="F16" i="60" s="1"/>
  <c r="D23" i="44" s="1"/>
  <c r="F15" i="60" a="1"/>
  <c r="F15" i="60" s="1"/>
  <c r="F13" i="60" a="1"/>
  <c r="F13" i="60" s="1"/>
  <c r="F12" i="60" a="1"/>
  <c r="F12" i="60" s="1"/>
  <c r="D19" i="44" s="1"/>
  <c r="F11" i="60" a="1"/>
  <c r="F11" i="60" s="1"/>
  <c r="F10" i="60" a="1"/>
  <c r="F10" i="60" s="1"/>
  <c r="F9" i="60" a="1"/>
  <c r="F9" i="60" s="1"/>
  <c r="K13" i="60" a="1"/>
  <c r="K13" i="60" s="1"/>
  <c r="K11" i="60" a="1"/>
  <c r="K11" i="60" s="1"/>
  <c r="K10" i="60" a="1"/>
  <c r="K10" i="60" s="1"/>
  <c r="K9" i="60" a="1"/>
  <c r="K9" i="60" s="1"/>
  <c r="K16" i="60" a="1"/>
  <c r="K16" i="60" s="1"/>
  <c r="K15" i="60" a="1"/>
  <c r="K15" i="60" s="1"/>
  <c r="K12" i="60" a="1"/>
  <c r="K12" i="60" s="1"/>
  <c r="F19" i="44" s="1"/>
  <c r="M22" i="44" a="1"/>
  <c r="M22" i="44" s="1"/>
  <c r="M20" i="44" a="1"/>
  <c r="M20" i="44" s="1"/>
  <c r="M19" i="44" a="1"/>
  <c r="M19" i="44" s="1"/>
  <c r="S68" i="129" s="1"/>
  <c r="T69" i="129" s="1"/>
  <c r="M10" i="44" a="1"/>
  <c r="M10" i="44" s="1"/>
  <c r="K10" i="44" a="1"/>
  <c r="K10" i="44" s="1"/>
  <c r="K20" i="44" a="1"/>
  <c r="K20" i="44" s="1"/>
  <c r="K19" i="44" a="1"/>
  <c r="K19" i="44" s="1"/>
  <c r="Q68" i="129" s="1"/>
  <c r="R69" i="129" s="1"/>
  <c r="K22" i="44" a="1"/>
  <c r="K22" i="44" s="1"/>
  <c r="I22" i="44" a="1"/>
  <c r="I22" i="44" s="1"/>
  <c r="I20" i="44" a="1"/>
  <c r="I20" i="44" s="1"/>
  <c r="I19" i="44" a="1"/>
  <c r="I19" i="44" s="1"/>
  <c r="O68" i="129" s="1"/>
  <c r="P69" i="129" s="1"/>
  <c r="I10" i="44" a="1"/>
  <c r="I10" i="44" s="1"/>
  <c r="G10" i="44" a="1"/>
  <c r="G10" i="44" s="1"/>
  <c r="G20" i="44" a="1"/>
  <c r="G20" i="44" s="1"/>
  <c r="G19" i="44" a="1"/>
  <c r="G19" i="44" s="1"/>
  <c r="M68" i="129" s="1"/>
  <c r="N69" i="129" s="1"/>
  <c r="G22" i="44" a="1"/>
  <c r="G22" i="44" s="1"/>
  <c r="E22" i="44" a="1"/>
  <c r="E22" i="44" s="1"/>
  <c r="E20" i="44" a="1"/>
  <c r="E20" i="44" s="1"/>
  <c r="E19" i="44" a="1"/>
  <c r="E19" i="44" s="1"/>
  <c r="K68" i="129" s="1"/>
  <c r="L69" i="129" s="1"/>
  <c r="E10" i="44" a="1"/>
  <c r="E10" i="44" s="1"/>
  <c r="T70" i="129"/>
  <c r="R70" i="129"/>
  <c r="P70" i="129"/>
  <c r="N70" i="129"/>
  <c r="J70" i="129"/>
  <c r="I70" i="129"/>
  <c r="H70" i="129"/>
  <c r="G70" i="129"/>
  <c r="F70" i="129"/>
  <c r="N10" i="57"/>
  <c r="M38" i="57"/>
  <c r="M37" i="57"/>
  <c r="D131" i="55"/>
  <c r="U56" i="136" l="1"/>
  <c r="AI38" i="57"/>
  <c r="G23" i="44"/>
  <c r="I23" i="44"/>
  <c r="M23" i="44"/>
  <c r="E23" i="44"/>
  <c r="F14" i="60"/>
  <c r="K23" i="44"/>
  <c r="P14" i="60"/>
  <c r="Z14" i="60"/>
  <c r="U14" i="60"/>
  <c r="F8" i="60"/>
  <c r="P8" i="60"/>
  <c r="U8" i="60"/>
  <c r="Z8" i="60"/>
  <c r="L70" i="129"/>
  <c r="F69" i="129"/>
  <c r="G69" i="129"/>
  <c r="H69" i="129"/>
  <c r="I69" i="129"/>
  <c r="J69" i="129"/>
  <c r="C26" i="108" a="1"/>
  <c r="C26" i="108" s="1"/>
  <c r="J29" i="129"/>
  <c r="I29" i="129"/>
  <c r="H29" i="129"/>
  <c r="G29" i="129"/>
  <c r="F29" i="129"/>
  <c r="T25" i="129"/>
  <c r="R25" i="129"/>
  <c r="P25" i="129"/>
  <c r="J25" i="129"/>
  <c r="I25" i="129"/>
  <c r="H25" i="129"/>
  <c r="G25" i="129"/>
  <c r="F25" i="129"/>
  <c r="L48" i="54" l="1"/>
  <c r="L47" i="54"/>
  <c r="L46" i="54"/>
  <c r="L45" i="54"/>
  <c r="L44" i="54"/>
  <c r="L43" i="54"/>
  <c r="L42" i="54"/>
  <c r="L41" i="54"/>
  <c r="L40" i="54"/>
  <c r="L39" i="54"/>
  <c r="L38" i="54"/>
  <c r="L37" i="54"/>
  <c r="L36" i="54"/>
  <c r="L34" i="54"/>
  <c r="L33" i="54"/>
  <c r="L32" i="54"/>
  <c r="L31" i="54"/>
  <c r="L30" i="54"/>
  <c r="L29" i="54"/>
  <c r="L28" i="54"/>
  <c r="D115" i="130"/>
  <c r="D112" i="130"/>
  <c r="D109" i="130"/>
  <c r="D106" i="130"/>
  <c r="D103" i="130"/>
  <c r="D100" i="130"/>
  <c r="D78" i="130"/>
  <c r="I79" i="130"/>
  <c r="H79" i="130" a="1"/>
  <c r="H79" i="130" s="1"/>
  <c r="E79" i="130" s="1"/>
  <c r="R79" i="130" s="1"/>
  <c r="I76" i="130"/>
  <c r="H76" i="130" a="1"/>
  <c r="H76" i="130" s="1"/>
  <c r="E76" i="130" s="1"/>
  <c r="I75" i="130"/>
  <c r="H75" i="130" a="1"/>
  <c r="H75" i="130" s="1"/>
  <c r="E75" i="130" s="1"/>
  <c r="J73" i="130" a="1"/>
  <c r="J73" i="130" s="1"/>
  <c r="H73" i="130" a="1"/>
  <c r="H73" i="130" s="1"/>
  <c r="E73" i="130" s="1"/>
  <c r="T73" i="130" s="1"/>
  <c r="J72" i="130" a="1"/>
  <c r="J72" i="130" s="1"/>
  <c r="H72" i="130" a="1"/>
  <c r="H72" i="130" s="1"/>
  <c r="E72" i="130" s="1"/>
  <c r="J71" i="130" a="1"/>
  <c r="J71" i="130" s="1"/>
  <c r="H71" i="130" a="1"/>
  <c r="H71" i="130" s="1"/>
  <c r="E71" i="130" s="1"/>
  <c r="D70" i="130"/>
  <c r="I68" i="130"/>
  <c r="H68" i="130" a="1"/>
  <c r="H68" i="130" s="1"/>
  <c r="E68" i="130" s="1"/>
  <c r="I67" i="130"/>
  <c r="H67" i="130" a="1"/>
  <c r="H67" i="130" s="1"/>
  <c r="E67" i="130" s="1"/>
  <c r="I66" i="130"/>
  <c r="H66" i="130" a="1"/>
  <c r="H66" i="130" s="1"/>
  <c r="E66" i="130" s="1"/>
  <c r="J61" i="130" a="1"/>
  <c r="J61" i="130" s="1"/>
  <c r="H61" i="130" a="1"/>
  <c r="H61" i="130" s="1"/>
  <c r="E61" i="130" s="1"/>
  <c r="J60" i="130" a="1"/>
  <c r="J60" i="130" s="1"/>
  <c r="H60" i="130" a="1"/>
  <c r="H60" i="130" s="1"/>
  <c r="E60" i="130" s="1"/>
  <c r="D59" i="130"/>
  <c r="H55" i="130" a="1"/>
  <c r="H55" i="130" s="1"/>
  <c r="E55" i="130" s="1"/>
  <c r="R55" i="130" s="1"/>
  <c r="H54" i="130" a="1"/>
  <c r="H54" i="130" s="1"/>
  <c r="E54" i="130" s="1"/>
  <c r="H53" i="130" a="1"/>
  <c r="H53" i="130" s="1"/>
  <c r="E53" i="130" s="1"/>
  <c r="J47" i="130" a="1"/>
  <c r="J47" i="130" s="1"/>
  <c r="H47" i="130" a="1"/>
  <c r="H47" i="130" s="1"/>
  <c r="J46" i="130" a="1"/>
  <c r="J46" i="130" s="1"/>
  <c r="H46" i="130" a="1"/>
  <c r="H46" i="130" s="1"/>
  <c r="E46" i="130" s="1"/>
  <c r="D45" i="130"/>
  <c r="H42" i="130" a="1"/>
  <c r="H42" i="130" s="1"/>
  <c r="E42" i="130" s="1"/>
  <c r="H41" i="130" a="1"/>
  <c r="H41" i="130" s="1"/>
  <c r="E41" i="130" s="1"/>
  <c r="I40" i="130"/>
  <c r="H40" i="130" a="1"/>
  <c r="H40" i="130" s="1"/>
  <c r="E40" i="130" s="1"/>
  <c r="I39" i="130"/>
  <c r="H39" i="130" a="1"/>
  <c r="H39" i="130" s="1"/>
  <c r="E39" i="130" s="1"/>
  <c r="R39" i="130" s="1"/>
  <c r="I38" i="130"/>
  <c r="H38" i="130" a="1"/>
  <c r="H38" i="130" s="1"/>
  <c r="E38" i="130" s="1"/>
  <c r="R38" i="130" s="1"/>
  <c r="J37" i="130" a="1"/>
  <c r="J37" i="130" s="1"/>
  <c r="H37" i="130" a="1"/>
  <c r="H37" i="130" s="1"/>
  <c r="E37" i="130" s="1"/>
  <c r="J36" i="130" a="1"/>
  <c r="J36" i="130" s="1"/>
  <c r="H36" i="130" a="1"/>
  <c r="H36" i="130" s="1"/>
  <c r="E36" i="130" s="1"/>
  <c r="D35" i="130"/>
  <c r="I33" i="130"/>
  <c r="H33" i="130" a="1"/>
  <c r="H33" i="130" s="1"/>
  <c r="E33" i="130" s="1"/>
  <c r="I32" i="130"/>
  <c r="H32" i="130" a="1"/>
  <c r="H32" i="130" s="1"/>
  <c r="E32" i="130" s="1"/>
  <c r="R32" i="130" s="1"/>
  <c r="I31" i="130"/>
  <c r="H31" i="130" a="1"/>
  <c r="H31" i="130" s="1"/>
  <c r="E31" i="130" s="1"/>
  <c r="R31" i="130" s="1"/>
  <c r="J30" i="130" a="1"/>
  <c r="J30" i="130" s="1"/>
  <c r="H30" i="130" a="1"/>
  <c r="H30" i="130" s="1"/>
  <c r="E30" i="130" s="1"/>
  <c r="J29" i="130" a="1"/>
  <c r="J29" i="130" s="1"/>
  <c r="H29" i="130" a="1"/>
  <c r="H29" i="130" s="1"/>
  <c r="E29" i="130" s="1"/>
  <c r="J28" i="130" a="1"/>
  <c r="J28" i="130" s="1"/>
  <c r="H28" i="130" a="1"/>
  <c r="H28" i="130" s="1"/>
  <c r="E28" i="130" s="1"/>
  <c r="J27" i="130" a="1"/>
  <c r="J27" i="130" s="1"/>
  <c r="H27" i="130" a="1"/>
  <c r="H27" i="130" s="1"/>
  <c r="E27" i="130" s="1"/>
  <c r="J26" i="130" a="1"/>
  <c r="J26" i="130" s="1"/>
  <c r="H26" i="130" a="1"/>
  <c r="H26" i="130" s="1"/>
  <c r="E26" i="130" s="1"/>
  <c r="D25" i="130"/>
  <c r="H21" i="130" a="1"/>
  <c r="H21" i="130" s="1"/>
  <c r="E21" i="130" s="1"/>
  <c r="H20" i="130" a="1"/>
  <c r="H20" i="130" s="1"/>
  <c r="E20" i="130" s="1"/>
  <c r="E16" i="129" s="1"/>
  <c r="V16" i="129" s="1"/>
  <c r="H19" i="130" a="1"/>
  <c r="H19" i="130" s="1"/>
  <c r="E19" i="130" s="1"/>
  <c r="E15" i="129" s="1"/>
  <c r="V15" i="129" s="1"/>
  <c r="I18" i="130"/>
  <c r="H18" i="130" a="1"/>
  <c r="H18" i="130" s="1"/>
  <c r="E18" i="130" s="1"/>
  <c r="R18" i="130" s="1"/>
  <c r="I17" i="130"/>
  <c r="H17" i="130" a="1"/>
  <c r="H17" i="130" s="1"/>
  <c r="E17" i="130" s="1"/>
  <c r="E14" i="129" s="1"/>
  <c r="V14" i="129" s="1"/>
  <c r="I16" i="130"/>
  <c r="H16" i="130" a="1"/>
  <c r="H16" i="130" s="1"/>
  <c r="E16" i="130" s="1"/>
  <c r="E13" i="129" s="1"/>
  <c r="V13" i="129" s="1"/>
  <c r="I15" i="130"/>
  <c r="H15" i="130" a="1"/>
  <c r="H15" i="130" s="1"/>
  <c r="E15" i="130" s="1"/>
  <c r="R15" i="130" s="1"/>
  <c r="H14" i="130" a="1"/>
  <c r="H14" i="130" s="1"/>
  <c r="E14" i="130" s="1"/>
  <c r="E12" i="129" s="1"/>
  <c r="V12" i="129" s="1"/>
  <c r="H12" i="130" a="1"/>
  <c r="H12" i="130" s="1"/>
  <c r="E12" i="130" s="1"/>
  <c r="E11" i="130"/>
  <c r="D10" i="130"/>
  <c r="DD3" i="52"/>
  <c r="DC3" i="52"/>
  <c r="DB3" i="52"/>
  <c r="DA3" i="52"/>
  <c r="CZ3" i="52"/>
  <c r="CY3" i="52"/>
  <c r="CX3" i="52"/>
  <c r="CW3" i="52"/>
  <c r="CV3" i="52"/>
  <c r="CU3" i="52"/>
  <c r="CT3" i="52"/>
  <c r="CS3" i="52"/>
  <c r="CR3" i="52"/>
  <c r="CQ3" i="52"/>
  <c r="CP3" i="52"/>
  <c r="CO3" i="52"/>
  <c r="CN3" i="52"/>
  <c r="CM3" i="52"/>
  <c r="CL3" i="52"/>
  <c r="CK3" i="52"/>
  <c r="CJ3" i="52"/>
  <c r="CI3" i="52"/>
  <c r="CH3" i="52"/>
  <c r="CG3" i="52"/>
  <c r="CF3" i="52"/>
  <c r="CE3" i="52"/>
  <c r="CD3" i="52"/>
  <c r="BW3" i="72"/>
  <c r="BV3" i="72"/>
  <c r="BU3" i="72"/>
  <c r="BT3" i="72"/>
  <c r="BS3" i="72"/>
  <c r="BR3" i="72"/>
  <c r="BQ3" i="72"/>
  <c r="BP3" i="72"/>
  <c r="BO3" i="72"/>
  <c r="BN3" i="72"/>
  <c r="BM3" i="72"/>
  <c r="BL3" i="72"/>
  <c r="BK3" i="72"/>
  <c r="BJ3" i="72"/>
  <c r="BI3" i="72"/>
  <c r="BH3" i="72"/>
  <c r="BG3" i="72"/>
  <c r="BF3" i="72"/>
  <c r="BE3" i="72"/>
  <c r="BD3" i="72"/>
  <c r="BC3" i="72"/>
  <c r="BA3" i="72"/>
  <c r="AZ3" i="72"/>
  <c r="AY3" i="72"/>
  <c r="AX3" i="72"/>
  <c r="AW3" i="72"/>
  <c r="Y3" i="72"/>
  <c r="S205" i="129"/>
  <c r="Q205" i="129"/>
  <c r="O205" i="129"/>
  <c r="M205" i="129"/>
  <c r="K205" i="129"/>
  <c r="S203" i="129"/>
  <c r="Q203" i="129"/>
  <c r="O203" i="129"/>
  <c r="M203" i="129"/>
  <c r="K203" i="129"/>
  <c r="S201" i="129"/>
  <c r="Q201" i="129"/>
  <c r="O201" i="129"/>
  <c r="M201" i="129"/>
  <c r="K201" i="129"/>
  <c r="S199" i="129"/>
  <c r="Q199" i="129"/>
  <c r="O199" i="129"/>
  <c r="M199" i="129"/>
  <c r="K199" i="129"/>
  <c r="S197" i="129"/>
  <c r="Q197" i="129"/>
  <c r="O197" i="129"/>
  <c r="M197" i="129"/>
  <c r="K197" i="129"/>
  <c r="S195" i="129"/>
  <c r="Q195" i="129"/>
  <c r="O195" i="129"/>
  <c r="M195" i="129"/>
  <c r="K195" i="129"/>
  <c r="S193" i="129"/>
  <c r="Q193" i="129"/>
  <c r="O193" i="129"/>
  <c r="M193" i="129"/>
  <c r="K193" i="129"/>
  <c r="S191" i="129"/>
  <c r="Q191" i="129"/>
  <c r="O191" i="129"/>
  <c r="M191" i="129"/>
  <c r="K191" i="129"/>
  <c r="S189" i="129"/>
  <c r="Q189" i="129"/>
  <c r="O189" i="129"/>
  <c r="M189" i="129"/>
  <c r="K189" i="129"/>
  <c r="S187" i="129"/>
  <c r="Q187" i="129"/>
  <c r="O187" i="129"/>
  <c r="M187" i="129"/>
  <c r="K187" i="129"/>
  <c r="S185" i="129"/>
  <c r="Q185" i="129"/>
  <c r="O185" i="129"/>
  <c r="M185" i="129"/>
  <c r="K185" i="129"/>
  <c r="S183" i="129"/>
  <c r="Q183" i="129"/>
  <c r="O183" i="129"/>
  <c r="M183" i="129"/>
  <c r="K183" i="129"/>
  <c r="S181" i="129"/>
  <c r="Q181" i="129"/>
  <c r="O181" i="129"/>
  <c r="M181" i="129"/>
  <c r="K181" i="129"/>
  <c r="S179" i="129"/>
  <c r="Q179" i="129"/>
  <c r="O179" i="129"/>
  <c r="M179" i="129"/>
  <c r="K179" i="129"/>
  <c r="S177" i="129"/>
  <c r="Q177" i="129"/>
  <c r="O177" i="129"/>
  <c r="M177" i="129"/>
  <c r="K177" i="129"/>
  <c r="S175" i="129"/>
  <c r="Q175" i="129"/>
  <c r="O175" i="129"/>
  <c r="M175" i="129"/>
  <c r="K175" i="129"/>
  <c r="S173" i="129"/>
  <c r="Q173" i="129"/>
  <c r="O173" i="129"/>
  <c r="M173" i="129"/>
  <c r="K173" i="129"/>
  <c r="S171" i="129"/>
  <c r="Q171" i="129"/>
  <c r="O171" i="129"/>
  <c r="M171" i="129"/>
  <c r="K171" i="129"/>
  <c r="S169" i="129"/>
  <c r="Q169" i="129"/>
  <c r="O169" i="129"/>
  <c r="M169" i="129"/>
  <c r="K169" i="129"/>
  <c r="S167" i="129"/>
  <c r="Q167" i="129"/>
  <c r="O167" i="129"/>
  <c r="M167" i="129"/>
  <c r="K167" i="129"/>
  <c r="S165" i="129"/>
  <c r="Q165" i="129"/>
  <c r="O165" i="129"/>
  <c r="M165" i="129"/>
  <c r="K165" i="129"/>
  <c r="S163" i="129"/>
  <c r="Q163" i="129"/>
  <c r="O163" i="129"/>
  <c r="M163" i="129"/>
  <c r="K163" i="129"/>
  <c r="T153" i="129"/>
  <c r="R153" i="129"/>
  <c r="P153" i="129"/>
  <c r="N153" i="129"/>
  <c r="L153" i="129"/>
  <c r="T152" i="129"/>
  <c r="R152" i="129"/>
  <c r="P152" i="129"/>
  <c r="N152" i="129"/>
  <c r="L152" i="129"/>
  <c r="J152" i="129"/>
  <c r="I152" i="129"/>
  <c r="H152" i="129"/>
  <c r="G152" i="129"/>
  <c r="F152" i="129"/>
  <c r="J151" i="129"/>
  <c r="I151" i="129"/>
  <c r="H151" i="129"/>
  <c r="G151" i="129"/>
  <c r="F151" i="129"/>
  <c r="T149" i="129"/>
  <c r="R149" i="129"/>
  <c r="P149" i="129"/>
  <c r="N149" i="129"/>
  <c r="L149" i="129"/>
  <c r="T148" i="129"/>
  <c r="R148" i="129"/>
  <c r="P148" i="129"/>
  <c r="N148" i="129"/>
  <c r="L148" i="129"/>
  <c r="J148" i="129"/>
  <c r="I148" i="129"/>
  <c r="H148" i="129"/>
  <c r="G148" i="129"/>
  <c r="F148" i="129"/>
  <c r="T147" i="129"/>
  <c r="R147" i="129"/>
  <c r="P147" i="129"/>
  <c r="L147" i="129"/>
  <c r="J147" i="129"/>
  <c r="I147" i="129"/>
  <c r="H147" i="129"/>
  <c r="G147" i="129"/>
  <c r="F147" i="129"/>
  <c r="T145" i="129"/>
  <c r="R145" i="129"/>
  <c r="P145" i="129"/>
  <c r="N145" i="129"/>
  <c r="L145" i="129"/>
  <c r="J145" i="129"/>
  <c r="I145" i="129"/>
  <c r="H145" i="129"/>
  <c r="G145" i="129"/>
  <c r="F145" i="129"/>
  <c r="T144" i="129"/>
  <c r="R144" i="129"/>
  <c r="P144" i="129"/>
  <c r="N144" i="129"/>
  <c r="L144" i="129"/>
  <c r="J144" i="129"/>
  <c r="I144" i="129"/>
  <c r="H144" i="129"/>
  <c r="G144" i="129"/>
  <c r="F144" i="129"/>
  <c r="T143" i="129"/>
  <c r="R143" i="129"/>
  <c r="P143" i="129"/>
  <c r="N143" i="129"/>
  <c r="L143" i="129"/>
  <c r="J143" i="129"/>
  <c r="I143" i="129"/>
  <c r="H143" i="129"/>
  <c r="G143" i="129"/>
  <c r="F143" i="129"/>
  <c r="T141" i="129"/>
  <c r="R141" i="129"/>
  <c r="P141" i="129"/>
  <c r="N141" i="129"/>
  <c r="L141" i="129"/>
  <c r="J141" i="129"/>
  <c r="I141" i="129"/>
  <c r="H141" i="129"/>
  <c r="G141" i="129"/>
  <c r="F141" i="129"/>
  <c r="T140" i="129"/>
  <c r="R140" i="129"/>
  <c r="P140" i="129"/>
  <c r="N140" i="129"/>
  <c r="L140" i="129"/>
  <c r="J140" i="129"/>
  <c r="I140" i="129"/>
  <c r="H140" i="129"/>
  <c r="G140" i="129"/>
  <c r="F140" i="129"/>
  <c r="N139" i="129"/>
  <c r="L139" i="129"/>
  <c r="J139" i="129"/>
  <c r="I139" i="129"/>
  <c r="H139" i="129"/>
  <c r="G139" i="129"/>
  <c r="F139" i="129"/>
  <c r="T137" i="129"/>
  <c r="R137" i="129"/>
  <c r="P137" i="129"/>
  <c r="N137" i="129"/>
  <c r="L137" i="129"/>
  <c r="J137" i="129"/>
  <c r="I137" i="129"/>
  <c r="H137" i="129"/>
  <c r="G137" i="129"/>
  <c r="F137" i="129"/>
  <c r="T136" i="129"/>
  <c r="R136" i="129"/>
  <c r="P136" i="129"/>
  <c r="N136" i="129"/>
  <c r="L136" i="129"/>
  <c r="J136" i="129"/>
  <c r="I136" i="129"/>
  <c r="H136" i="129"/>
  <c r="G136" i="129"/>
  <c r="F136" i="129"/>
  <c r="L135" i="129"/>
  <c r="J135" i="129"/>
  <c r="I135" i="129"/>
  <c r="H135" i="129"/>
  <c r="G135" i="129"/>
  <c r="F135" i="129"/>
  <c r="T131" i="129"/>
  <c r="R131" i="129"/>
  <c r="P131" i="129"/>
  <c r="N131" i="129"/>
  <c r="L131" i="129"/>
  <c r="T130" i="129"/>
  <c r="R130" i="129"/>
  <c r="P130" i="129"/>
  <c r="N130" i="129"/>
  <c r="L130" i="129"/>
  <c r="J130" i="129"/>
  <c r="I130" i="129"/>
  <c r="H130" i="129"/>
  <c r="G130" i="129"/>
  <c r="F130" i="129"/>
  <c r="T128" i="129"/>
  <c r="R128" i="129"/>
  <c r="P128" i="129"/>
  <c r="N128" i="129"/>
  <c r="L128" i="129"/>
  <c r="J128" i="129"/>
  <c r="I128" i="129"/>
  <c r="H128" i="129"/>
  <c r="G128" i="129"/>
  <c r="F128" i="129"/>
  <c r="T127" i="129"/>
  <c r="R127" i="129"/>
  <c r="P127" i="129"/>
  <c r="N127" i="129"/>
  <c r="L127" i="129"/>
  <c r="J127" i="129"/>
  <c r="I127" i="129"/>
  <c r="H127" i="129"/>
  <c r="G127" i="129"/>
  <c r="F127" i="129"/>
  <c r="L125" i="129"/>
  <c r="J125" i="129"/>
  <c r="I125" i="129"/>
  <c r="H125" i="129"/>
  <c r="G125" i="129"/>
  <c r="F125" i="129"/>
  <c r="L126" i="129"/>
  <c r="J126" i="129"/>
  <c r="I126" i="129"/>
  <c r="H126" i="129"/>
  <c r="G126" i="129"/>
  <c r="F126" i="129"/>
  <c r="L122" i="129"/>
  <c r="J122" i="129"/>
  <c r="I122" i="129"/>
  <c r="H122" i="129"/>
  <c r="G122" i="129"/>
  <c r="F122" i="129"/>
  <c r="L123" i="129"/>
  <c r="J123" i="129"/>
  <c r="I123" i="129"/>
  <c r="H123" i="129"/>
  <c r="G123" i="129"/>
  <c r="F123" i="129"/>
  <c r="L121" i="129"/>
  <c r="J121" i="129"/>
  <c r="I121" i="129"/>
  <c r="H121" i="129"/>
  <c r="G121" i="129"/>
  <c r="F121" i="129"/>
  <c r="T119" i="129"/>
  <c r="R119" i="129"/>
  <c r="P119" i="129"/>
  <c r="N119" i="129"/>
  <c r="L119" i="129"/>
  <c r="J119" i="129"/>
  <c r="I119" i="129"/>
  <c r="H119" i="129"/>
  <c r="G119" i="129"/>
  <c r="F119" i="129"/>
  <c r="T118" i="129"/>
  <c r="R118" i="129"/>
  <c r="P118" i="129"/>
  <c r="N118" i="129"/>
  <c r="L118" i="129"/>
  <c r="J118" i="129"/>
  <c r="I118" i="129"/>
  <c r="H118" i="129"/>
  <c r="G118" i="129"/>
  <c r="F118" i="129"/>
  <c r="T117" i="129"/>
  <c r="R117" i="129"/>
  <c r="P117" i="129"/>
  <c r="N117" i="129"/>
  <c r="L117" i="129"/>
  <c r="J117" i="129"/>
  <c r="I117" i="129"/>
  <c r="H117" i="129"/>
  <c r="G117" i="129"/>
  <c r="F117" i="129"/>
  <c r="T116" i="129"/>
  <c r="R116" i="129"/>
  <c r="P116" i="129"/>
  <c r="N116" i="129"/>
  <c r="L116" i="129"/>
  <c r="J116" i="129"/>
  <c r="I116" i="129"/>
  <c r="H116" i="129"/>
  <c r="G116" i="129"/>
  <c r="F116" i="129"/>
  <c r="T114" i="129"/>
  <c r="R114" i="129"/>
  <c r="P114" i="129"/>
  <c r="N114" i="129"/>
  <c r="L114" i="129"/>
  <c r="J114" i="129"/>
  <c r="I114" i="129"/>
  <c r="H114" i="129"/>
  <c r="G114" i="129"/>
  <c r="F114" i="129"/>
  <c r="T113" i="129"/>
  <c r="R113" i="129"/>
  <c r="P113" i="129"/>
  <c r="N113" i="129"/>
  <c r="L113" i="129"/>
  <c r="J113" i="129"/>
  <c r="I113" i="129"/>
  <c r="H113" i="129"/>
  <c r="G113" i="129"/>
  <c r="F113" i="129"/>
  <c r="T111" i="129"/>
  <c r="R111" i="129"/>
  <c r="P111" i="129"/>
  <c r="N111" i="129"/>
  <c r="L111" i="129"/>
  <c r="J111" i="129"/>
  <c r="I111" i="129"/>
  <c r="H111" i="129"/>
  <c r="G111" i="129"/>
  <c r="F111" i="129"/>
  <c r="T110" i="129"/>
  <c r="R110" i="129"/>
  <c r="P110" i="129"/>
  <c r="N110" i="129"/>
  <c r="L110" i="129"/>
  <c r="J110" i="129"/>
  <c r="I110" i="129"/>
  <c r="H110" i="129"/>
  <c r="G110" i="129"/>
  <c r="F110" i="129"/>
  <c r="T104" i="129"/>
  <c r="R104" i="129"/>
  <c r="P104" i="129"/>
  <c r="N104" i="129"/>
  <c r="L104" i="129"/>
  <c r="P103" i="129"/>
  <c r="N103" i="129"/>
  <c r="L103" i="129"/>
  <c r="J103" i="129"/>
  <c r="I103" i="129"/>
  <c r="H103" i="129"/>
  <c r="G103" i="129"/>
  <c r="F103" i="129"/>
  <c r="T101" i="129"/>
  <c r="R101" i="129"/>
  <c r="P101" i="129"/>
  <c r="N101" i="129"/>
  <c r="L101" i="129"/>
  <c r="J101" i="129"/>
  <c r="I101" i="129"/>
  <c r="H101" i="129"/>
  <c r="G101" i="129"/>
  <c r="F101" i="129"/>
  <c r="T100" i="129"/>
  <c r="R100" i="129"/>
  <c r="P100" i="129"/>
  <c r="N100" i="129"/>
  <c r="L100" i="129"/>
  <c r="J100" i="129"/>
  <c r="I100" i="129"/>
  <c r="H100" i="129"/>
  <c r="G100" i="129"/>
  <c r="F100" i="129"/>
  <c r="T99" i="129"/>
  <c r="R99" i="129"/>
  <c r="P99" i="129"/>
  <c r="N99" i="129"/>
  <c r="L99" i="129"/>
  <c r="J99" i="129"/>
  <c r="I99" i="129"/>
  <c r="H99" i="129"/>
  <c r="G99" i="129"/>
  <c r="F99" i="129"/>
  <c r="T97" i="129"/>
  <c r="R97" i="129"/>
  <c r="P97" i="129"/>
  <c r="N97" i="129"/>
  <c r="L97" i="129"/>
  <c r="J97" i="129"/>
  <c r="I97" i="129"/>
  <c r="H97" i="129"/>
  <c r="G97" i="129"/>
  <c r="F97" i="129"/>
  <c r="T96" i="129"/>
  <c r="R96" i="129"/>
  <c r="P96" i="129"/>
  <c r="N96" i="129"/>
  <c r="L96" i="129"/>
  <c r="J96" i="129"/>
  <c r="I96" i="129"/>
  <c r="H96" i="129"/>
  <c r="G96" i="129"/>
  <c r="F96" i="129"/>
  <c r="T95" i="129"/>
  <c r="R95" i="129"/>
  <c r="P95" i="129"/>
  <c r="N95" i="129"/>
  <c r="L95" i="129"/>
  <c r="J95" i="129"/>
  <c r="I95" i="129"/>
  <c r="H95" i="129"/>
  <c r="G95" i="129"/>
  <c r="F95" i="129"/>
  <c r="T94" i="129"/>
  <c r="R94" i="129"/>
  <c r="P94" i="129"/>
  <c r="N94" i="129"/>
  <c r="L94" i="129"/>
  <c r="J94" i="129"/>
  <c r="I94" i="129"/>
  <c r="H94" i="129"/>
  <c r="G94" i="129"/>
  <c r="F94" i="129"/>
  <c r="T92" i="129"/>
  <c r="R92" i="129"/>
  <c r="P92" i="129"/>
  <c r="N92" i="129"/>
  <c r="L92" i="129"/>
  <c r="J92" i="129"/>
  <c r="I92" i="129"/>
  <c r="H92" i="129"/>
  <c r="G92" i="129"/>
  <c r="F92" i="129"/>
  <c r="T91" i="129"/>
  <c r="R91" i="129"/>
  <c r="P91" i="129"/>
  <c r="N91" i="129"/>
  <c r="L91" i="129"/>
  <c r="J91" i="129"/>
  <c r="I91" i="129"/>
  <c r="H91" i="129"/>
  <c r="G91" i="129"/>
  <c r="F91" i="129"/>
  <c r="T90" i="129"/>
  <c r="R90" i="129"/>
  <c r="P90" i="129"/>
  <c r="N90" i="129"/>
  <c r="L90" i="129"/>
  <c r="J90" i="129"/>
  <c r="I90" i="129"/>
  <c r="H90" i="129"/>
  <c r="G90" i="129"/>
  <c r="F90" i="129"/>
  <c r="T86" i="129"/>
  <c r="R86" i="129"/>
  <c r="P86" i="129"/>
  <c r="N86" i="129"/>
  <c r="L86" i="129"/>
  <c r="T85" i="129"/>
  <c r="R85" i="129"/>
  <c r="P85" i="129"/>
  <c r="N85" i="129"/>
  <c r="L85" i="129"/>
  <c r="J85" i="129"/>
  <c r="I85" i="129"/>
  <c r="H85" i="129"/>
  <c r="G85" i="129"/>
  <c r="F85" i="129"/>
  <c r="L81" i="129"/>
  <c r="J81" i="129"/>
  <c r="I81" i="129"/>
  <c r="H81" i="129"/>
  <c r="G81" i="129"/>
  <c r="F81" i="129"/>
  <c r="L80" i="129"/>
  <c r="L79" i="129"/>
  <c r="J79" i="129"/>
  <c r="I79" i="129"/>
  <c r="H79" i="129"/>
  <c r="G79" i="129"/>
  <c r="F79" i="129"/>
  <c r="L78" i="129"/>
  <c r="J78" i="129"/>
  <c r="I78" i="129"/>
  <c r="H78" i="129"/>
  <c r="G78" i="129"/>
  <c r="F78" i="129"/>
  <c r="L77" i="129"/>
  <c r="J77" i="129"/>
  <c r="I77" i="129"/>
  <c r="H77" i="129"/>
  <c r="G77" i="129"/>
  <c r="F77" i="129"/>
  <c r="L76" i="129"/>
  <c r="J76" i="129"/>
  <c r="I76" i="129"/>
  <c r="H76" i="129"/>
  <c r="G76" i="129"/>
  <c r="F76" i="129"/>
  <c r="L75" i="129"/>
  <c r="J75" i="129"/>
  <c r="I75" i="129"/>
  <c r="H75" i="129"/>
  <c r="G75" i="129"/>
  <c r="F75" i="129"/>
  <c r="T71" i="129"/>
  <c r="T68" i="129" s="1"/>
  <c r="R71" i="129"/>
  <c r="R68" i="129" s="1"/>
  <c r="P71" i="129"/>
  <c r="P68" i="129" s="1"/>
  <c r="N71" i="129"/>
  <c r="N68" i="129" s="1"/>
  <c r="L71" i="129"/>
  <c r="L68" i="129" s="1"/>
  <c r="T66" i="129"/>
  <c r="R66" i="129"/>
  <c r="P66" i="129"/>
  <c r="N66" i="129"/>
  <c r="L66" i="129"/>
  <c r="J66" i="129"/>
  <c r="I66" i="129"/>
  <c r="H66" i="129"/>
  <c r="G66" i="129"/>
  <c r="F66" i="129"/>
  <c r="T65" i="129"/>
  <c r="R65" i="129"/>
  <c r="P65" i="129"/>
  <c r="N65" i="129"/>
  <c r="L65" i="129"/>
  <c r="J65" i="129"/>
  <c r="I65" i="129"/>
  <c r="H65" i="129"/>
  <c r="G65" i="129"/>
  <c r="F65" i="129"/>
  <c r="T63" i="129"/>
  <c r="R63" i="129"/>
  <c r="P63" i="129"/>
  <c r="N63" i="129"/>
  <c r="L63" i="129"/>
  <c r="J63" i="129"/>
  <c r="I63" i="129"/>
  <c r="H63" i="129"/>
  <c r="G63" i="129"/>
  <c r="F63" i="129"/>
  <c r="T62" i="129"/>
  <c r="R62" i="129"/>
  <c r="P62" i="129"/>
  <c r="N62" i="129"/>
  <c r="L62" i="129"/>
  <c r="T61" i="129"/>
  <c r="R61" i="129"/>
  <c r="P61" i="129"/>
  <c r="N61" i="129"/>
  <c r="L61" i="129"/>
  <c r="T59" i="129"/>
  <c r="R59" i="129"/>
  <c r="P59" i="129"/>
  <c r="N59" i="129"/>
  <c r="L59" i="129"/>
  <c r="J59" i="129"/>
  <c r="I59" i="129"/>
  <c r="H59" i="129"/>
  <c r="G59" i="129"/>
  <c r="F59" i="129"/>
  <c r="T52" i="129"/>
  <c r="R52" i="129"/>
  <c r="P52" i="129"/>
  <c r="N52" i="129"/>
  <c r="L52" i="129"/>
  <c r="T51" i="129"/>
  <c r="R51" i="129"/>
  <c r="P51" i="129"/>
  <c r="N51" i="129"/>
  <c r="L51" i="129"/>
  <c r="T50" i="129"/>
  <c r="R50" i="129"/>
  <c r="P50" i="129"/>
  <c r="N50" i="129"/>
  <c r="L50" i="129"/>
  <c r="T48" i="129"/>
  <c r="R48" i="129"/>
  <c r="P48" i="129"/>
  <c r="N48" i="129"/>
  <c r="L48" i="129"/>
  <c r="J44" i="129"/>
  <c r="I44" i="129"/>
  <c r="H44" i="129"/>
  <c r="G44" i="129"/>
  <c r="F44" i="129"/>
  <c r="J43" i="129"/>
  <c r="I43" i="129"/>
  <c r="H43" i="129"/>
  <c r="G43" i="129"/>
  <c r="F43" i="129"/>
  <c r="T41" i="129"/>
  <c r="R41" i="129"/>
  <c r="P41" i="129"/>
  <c r="N41" i="129"/>
  <c r="L41" i="129"/>
  <c r="T40" i="129"/>
  <c r="R40" i="129"/>
  <c r="P40" i="129"/>
  <c r="N40" i="129"/>
  <c r="L40" i="129"/>
  <c r="J40" i="129"/>
  <c r="I40" i="129"/>
  <c r="H40" i="129"/>
  <c r="G40" i="129"/>
  <c r="F40" i="129"/>
  <c r="T39" i="129"/>
  <c r="R39" i="129"/>
  <c r="P39" i="129"/>
  <c r="N39" i="129"/>
  <c r="L39" i="129"/>
  <c r="J39" i="129"/>
  <c r="I39" i="129"/>
  <c r="H39" i="129"/>
  <c r="G39" i="129"/>
  <c r="F39" i="129"/>
  <c r="T38" i="129"/>
  <c r="R38" i="129"/>
  <c r="P38" i="129"/>
  <c r="N38" i="129"/>
  <c r="L38" i="129"/>
  <c r="T37" i="129"/>
  <c r="R37" i="129"/>
  <c r="P37" i="129"/>
  <c r="N37" i="129"/>
  <c r="L37" i="129"/>
  <c r="T33" i="129"/>
  <c r="R33" i="129"/>
  <c r="P33" i="129"/>
  <c r="N33" i="129"/>
  <c r="L33" i="129"/>
  <c r="T32" i="129"/>
  <c r="J32" i="129"/>
  <c r="I32" i="129"/>
  <c r="H32" i="129"/>
  <c r="G32" i="129"/>
  <c r="F32" i="129"/>
  <c r="J30" i="129"/>
  <c r="I30" i="129"/>
  <c r="H30" i="129"/>
  <c r="G30" i="129"/>
  <c r="F30" i="129"/>
  <c r="T24" i="129"/>
  <c r="R24" i="129"/>
  <c r="J24" i="129"/>
  <c r="I24" i="129"/>
  <c r="H24" i="129"/>
  <c r="G24" i="129"/>
  <c r="F24" i="129"/>
  <c r="T26" i="129"/>
  <c r="R26" i="129"/>
  <c r="J26" i="129"/>
  <c r="I26" i="129"/>
  <c r="H26" i="129"/>
  <c r="G26" i="129"/>
  <c r="F26" i="129"/>
  <c r="T27" i="129"/>
  <c r="J27" i="129"/>
  <c r="I27" i="129"/>
  <c r="H27" i="129"/>
  <c r="G27" i="129"/>
  <c r="F27" i="129"/>
  <c r="T23" i="129"/>
  <c r="J23" i="129"/>
  <c r="I23" i="129"/>
  <c r="H23" i="129"/>
  <c r="G23" i="129"/>
  <c r="F23" i="129"/>
  <c r="J22" i="129"/>
  <c r="I22" i="129"/>
  <c r="H22" i="129"/>
  <c r="G22" i="129"/>
  <c r="F22" i="129"/>
  <c r="T21" i="129"/>
  <c r="J21" i="129"/>
  <c r="I21" i="129"/>
  <c r="H21" i="129"/>
  <c r="G21" i="129"/>
  <c r="F21" i="129"/>
  <c r="T20" i="129"/>
  <c r="J20" i="129"/>
  <c r="I20" i="129"/>
  <c r="H20" i="129"/>
  <c r="G20" i="129"/>
  <c r="F20" i="129"/>
  <c r="T19" i="129"/>
  <c r="J19" i="129"/>
  <c r="I19" i="129"/>
  <c r="H19" i="129"/>
  <c r="G19" i="129"/>
  <c r="F19" i="129"/>
  <c r="T17" i="129"/>
  <c r="J17" i="129"/>
  <c r="I17" i="129"/>
  <c r="H17" i="129"/>
  <c r="G17" i="129"/>
  <c r="F17" i="129"/>
  <c r="T16" i="129"/>
  <c r="T15" i="129"/>
  <c r="T14" i="129"/>
  <c r="T13" i="129"/>
  <c r="D295" i="55"/>
  <c r="D286" i="55"/>
  <c r="D283" i="55"/>
  <c r="D278" i="55"/>
  <c r="D273" i="55"/>
  <c r="D268" i="55"/>
  <c r="D249" i="55"/>
  <c r="D225" i="55"/>
  <c r="D215" i="55"/>
  <c r="D206" i="55"/>
  <c r="D197" i="55"/>
  <c r="D190" i="55"/>
  <c r="D143" i="55"/>
  <c r="D128" i="55"/>
  <c r="D121" i="55"/>
  <c r="D114" i="55"/>
  <c r="D101" i="55"/>
  <c r="D84" i="55"/>
  <c r="D71" i="55"/>
  <c r="D10" i="55"/>
  <c r="C38" i="44" a="1"/>
  <c r="C38" i="44" s="1"/>
  <c r="S150" i="129"/>
  <c r="T151" i="129" s="1"/>
  <c r="Q150" i="129"/>
  <c r="R151" i="129" s="1"/>
  <c r="O150" i="129"/>
  <c r="P151" i="129" s="1"/>
  <c r="M150" i="129"/>
  <c r="N151" i="129" s="1"/>
  <c r="K150" i="129"/>
  <c r="S146" i="129"/>
  <c r="Q146" i="129"/>
  <c r="O146" i="129"/>
  <c r="M146" i="129"/>
  <c r="N147" i="129" s="1"/>
  <c r="K146" i="129"/>
  <c r="S142" i="129"/>
  <c r="Q142" i="129"/>
  <c r="O142" i="129"/>
  <c r="M142" i="129"/>
  <c r="K142" i="129"/>
  <c r="S138" i="129"/>
  <c r="T139" i="129" s="1"/>
  <c r="Q138" i="129"/>
  <c r="R139" i="129" s="1"/>
  <c r="O138" i="129"/>
  <c r="P139" i="129" s="1"/>
  <c r="M138" i="129"/>
  <c r="K138" i="129"/>
  <c r="S107" i="129"/>
  <c r="Q107" i="129"/>
  <c r="O107" i="129"/>
  <c r="M107" i="129"/>
  <c r="M18" i="44" a="1"/>
  <c r="M18" i="44" s="1"/>
  <c r="S64" i="129" s="1"/>
  <c r="K18" i="44" a="1"/>
  <c r="K18" i="44" s="1"/>
  <c r="Q64" i="129" s="1"/>
  <c r="I18" i="44" a="1"/>
  <c r="I18" i="44" s="1"/>
  <c r="O64" i="129" s="1"/>
  <c r="G18" i="44" a="1"/>
  <c r="G18" i="44" s="1"/>
  <c r="E18" i="44" a="1"/>
  <c r="E18" i="44" s="1"/>
  <c r="K64" i="129" s="1"/>
  <c r="M17" i="44" a="1"/>
  <c r="M17" i="44" s="1"/>
  <c r="S60" i="129" s="1"/>
  <c r="K17" i="44" a="1"/>
  <c r="K17" i="44" s="1"/>
  <c r="Q60" i="129" s="1"/>
  <c r="I17" i="44" a="1"/>
  <c r="I17" i="44" s="1"/>
  <c r="O60" i="129" s="1"/>
  <c r="G17" i="44" a="1"/>
  <c r="G17" i="44" s="1"/>
  <c r="M60" i="129" s="1"/>
  <c r="E17" i="44" a="1"/>
  <c r="E17" i="44" s="1"/>
  <c r="K60" i="129" s="1"/>
  <c r="M16" i="44" a="1"/>
  <c r="M16" i="44" s="1"/>
  <c r="K16" i="44" a="1"/>
  <c r="K16" i="44" s="1"/>
  <c r="I16" i="44" a="1"/>
  <c r="I16" i="44" s="1"/>
  <c r="G16" i="44" a="1"/>
  <c r="G16" i="44" s="1"/>
  <c r="E16" i="44" a="1"/>
  <c r="E16" i="44" s="1"/>
  <c r="M14" i="44" a="1"/>
  <c r="M14" i="44" s="1"/>
  <c r="S49" i="129" s="1"/>
  <c r="K14" i="44" a="1"/>
  <c r="K14" i="44" s="1"/>
  <c r="Q49" i="129" s="1"/>
  <c r="I14" i="44" a="1"/>
  <c r="I14" i="44" s="1"/>
  <c r="O49" i="129" s="1"/>
  <c r="G14" i="44" a="1"/>
  <c r="G14" i="44" s="1"/>
  <c r="M49" i="129" s="1"/>
  <c r="E14" i="44" a="1"/>
  <c r="E14" i="44" s="1"/>
  <c r="K49" i="129" s="1"/>
  <c r="M13" i="44" a="1"/>
  <c r="M13" i="44" s="1"/>
  <c r="S42" i="129" s="1"/>
  <c r="T45" i="129" s="1"/>
  <c r="K13" i="44" a="1"/>
  <c r="K13" i="44" s="1"/>
  <c r="Q42" i="129" s="1"/>
  <c r="R44" i="129" s="1"/>
  <c r="I13" i="44" a="1"/>
  <c r="I13" i="44" s="1"/>
  <c r="O42" i="129" s="1"/>
  <c r="P47" i="129" s="1"/>
  <c r="G13" i="44" a="1"/>
  <c r="G13" i="44" s="1"/>
  <c r="M42" i="129" s="1"/>
  <c r="E13" i="44" a="1"/>
  <c r="E13" i="44" s="1"/>
  <c r="K42" i="129" s="1"/>
  <c r="L47" i="129" s="1"/>
  <c r="M12" i="44" a="1"/>
  <c r="M12" i="44" s="1"/>
  <c r="K12" i="44" a="1"/>
  <c r="K12" i="44" s="1"/>
  <c r="I12" i="44" a="1"/>
  <c r="I12" i="44" s="1"/>
  <c r="G12" i="44" a="1"/>
  <c r="G12" i="44" s="1"/>
  <c r="E12" i="44" a="1"/>
  <c r="E12" i="44" s="1"/>
  <c r="L23" i="44"/>
  <c r="J23" i="44"/>
  <c r="F23" i="44"/>
  <c r="L22" i="44"/>
  <c r="H22" i="44"/>
  <c r="F22" i="44"/>
  <c r="L20" i="44"/>
  <c r="J20" i="44"/>
  <c r="H20" i="44"/>
  <c r="F20" i="44"/>
  <c r="D20" i="44"/>
  <c r="L15" i="44"/>
  <c r="J15" i="44"/>
  <c r="H15" i="44"/>
  <c r="F15" i="44"/>
  <c r="D15" i="44"/>
  <c r="L11" i="44"/>
  <c r="J11" i="44"/>
  <c r="H11" i="44"/>
  <c r="F11" i="44"/>
  <c r="D11" i="44"/>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Y46" i="114"/>
  <c r="Y3" i="114"/>
  <c r="AA3" i="112"/>
  <c r="O44" i="111"/>
  <c r="M44" i="111"/>
  <c r="K44" i="111"/>
  <c r="I44" i="111"/>
  <c r="G44" i="111"/>
  <c r="E44" i="111"/>
  <c r="C44" i="111"/>
  <c r="O42" i="111"/>
  <c r="M42" i="111"/>
  <c r="K42" i="111"/>
  <c r="I42" i="111"/>
  <c r="G42" i="111"/>
  <c r="E42" i="111"/>
  <c r="C42" i="111"/>
  <c r="O41" i="111"/>
  <c r="M41" i="111"/>
  <c r="K41" i="111"/>
  <c r="I41" i="111"/>
  <c r="G41" i="111"/>
  <c r="E41" i="111"/>
  <c r="C27" i="111"/>
  <c r="C25" i="111"/>
  <c r="C19" i="111"/>
  <c r="C17" i="111"/>
  <c r="C11" i="111"/>
  <c r="C9" i="111"/>
  <c r="N9" i="111" a="1"/>
  <c r="N9" i="111" s="1"/>
  <c r="Q3" i="111"/>
  <c r="Y130" i="108"/>
  <c r="Y86" i="108"/>
  <c r="S77" i="108"/>
  <c r="O77" i="108"/>
  <c r="M77" i="108"/>
  <c r="K77" i="108"/>
  <c r="I77" i="108"/>
  <c r="G77" i="108"/>
  <c r="E77" i="108"/>
  <c r="C77" i="108"/>
  <c r="S75" i="108"/>
  <c r="O75" i="108"/>
  <c r="M75" i="108"/>
  <c r="K75" i="108"/>
  <c r="I75" i="108"/>
  <c r="G75" i="108"/>
  <c r="E75" i="108"/>
  <c r="C75" i="108"/>
  <c r="O74" i="108"/>
  <c r="Y45" i="108"/>
  <c r="Y5" i="108"/>
  <c r="O85" i="57"/>
  <c r="O84" i="57"/>
  <c r="M84" i="57"/>
  <c r="M83" i="57"/>
  <c r="O81" i="57"/>
  <c r="M81" i="57"/>
  <c r="O80" i="57"/>
  <c r="M80" i="57"/>
  <c r="O78" i="57"/>
  <c r="M78" i="57"/>
  <c r="O77" i="57"/>
  <c r="M77" i="57"/>
  <c r="O75" i="57"/>
  <c r="O74" i="57" s="1"/>
  <c r="M75" i="57"/>
  <c r="M74" i="57"/>
  <c r="O72" i="57"/>
  <c r="O71" i="57" s="1"/>
  <c r="M72" i="57"/>
  <c r="M71" i="57"/>
  <c r="M69" i="57"/>
  <c r="O67" i="57"/>
  <c r="M67" i="57"/>
  <c r="O66" i="57"/>
  <c r="M66" i="57"/>
  <c r="O64" i="57"/>
  <c r="O63" i="57" s="1"/>
  <c r="M64" i="57"/>
  <c r="M63" i="57"/>
  <c r="O61" i="57"/>
  <c r="O60" i="57" s="1"/>
  <c r="M61" i="57"/>
  <c r="M60" i="57"/>
  <c r="M58" i="57"/>
  <c r="N56" i="57"/>
  <c r="O54" i="57"/>
  <c r="O53" i="57" s="1"/>
  <c r="M54" i="57"/>
  <c r="M53" i="57"/>
  <c r="O51" i="57"/>
  <c r="O50" i="57" s="1"/>
  <c r="M51" i="57"/>
  <c r="M50" i="57"/>
  <c r="O48" i="57"/>
  <c r="O47" i="57" s="1"/>
  <c r="M48" i="57"/>
  <c r="M47" i="57"/>
  <c r="M45" i="57"/>
  <c r="O43" i="57"/>
  <c r="O42" i="57" s="1"/>
  <c r="M43" i="57"/>
  <c r="M42" i="57"/>
  <c r="N40" i="57"/>
  <c r="O35" i="57"/>
  <c r="M35" i="57"/>
  <c r="M34" i="57"/>
  <c r="O31" i="57"/>
  <c r="M31" i="57"/>
  <c r="O29" i="57"/>
  <c r="O28" i="57" s="1"/>
  <c r="M29" i="57"/>
  <c r="M28" i="57"/>
  <c r="M26" i="57"/>
  <c r="O24" i="57"/>
  <c r="M24" i="57"/>
  <c r="O23" i="57"/>
  <c r="M23" i="57"/>
  <c r="O21" i="57"/>
  <c r="O20" i="57" s="1"/>
  <c r="M21" i="57"/>
  <c r="M20" i="57"/>
  <c r="O18" i="57"/>
  <c r="M18" i="57"/>
  <c r="O17" i="57"/>
  <c r="M17" i="57"/>
  <c r="M15" i="57"/>
  <c r="O13" i="57"/>
  <c r="O12" i="57" s="1"/>
  <c r="M13" i="57"/>
  <c r="M12" i="57"/>
  <c r="S74" i="108"/>
  <c r="E47" i="130" l="1"/>
  <c r="T47" i="130" s="1"/>
  <c r="O83" i="57"/>
  <c r="O69" i="57" s="1"/>
  <c r="K21" i="136"/>
  <c r="K29" i="136"/>
  <c r="AI81" i="57"/>
  <c r="AI61" i="57"/>
  <c r="AI84" i="57"/>
  <c r="AI78" i="57"/>
  <c r="AI72" i="57"/>
  <c r="AI75" i="57"/>
  <c r="AI64" i="57"/>
  <c r="AI21" i="57"/>
  <c r="AI43" i="57"/>
  <c r="AI51" i="57"/>
  <c r="AI48" i="57"/>
  <c r="AI35" i="57"/>
  <c r="AI24" i="57"/>
  <c r="AI18" i="57"/>
  <c r="O45" i="57"/>
  <c r="O40" i="57" s="1"/>
  <c r="AI54" i="57"/>
  <c r="AI67" i="57"/>
  <c r="AI29" i="57"/>
  <c r="AI13" i="57"/>
  <c r="K30" i="44"/>
  <c r="Q159" i="129" s="1"/>
  <c r="M30" i="44"/>
  <c r="S159" i="129" s="1"/>
  <c r="E30" i="44"/>
  <c r="K159" i="129" s="1"/>
  <c r="G30" i="44"/>
  <c r="M159" i="129" s="1"/>
  <c r="I30" i="44"/>
  <c r="O159" i="129" s="1"/>
  <c r="N146" i="129"/>
  <c r="T64" i="129"/>
  <c r="R64" i="129"/>
  <c r="N150" i="129"/>
  <c r="L64" i="129"/>
  <c r="N64" i="129"/>
  <c r="P64" i="129"/>
  <c r="M10" i="57"/>
  <c r="G11" i="44"/>
  <c r="M34" i="129" s="1"/>
  <c r="I15" i="44"/>
  <c r="O53" i="129" s="1"/>
  <c r="K15" i="44"/>
  <c r="Q53" i="129" s="1"/>
  <c r="I11" i="44"/>
  <c r="K55" i="129"/>
  <c r="L56" i="129" s="1"/>
  <c r="E15" i="44"/>
  <c r="K53" i="129" s="1"/>
  <c r="K36" i="129"/>
  <c r="E11" i="44"/>
  <c r="M55" i="129"/>
  <c r="N56" i="129" s="1"/>
  <c r="G15" i="44"/>
  <c r="M53" i="129" s="1"/>
  <c r="K11" i="44"/>
  <c r="Q34" i="129" s="1"/>
  <c r="S55" i="129"/>
  <c r="T58" i="129" s="1"/>
  <c r="M15" i="44"/>
  <c r="S53" i="129" s="1"/>
  <c r="M11" i="44"/>
  <c r="S34" i="129" s="1"/>
  <c r="O11" i="129"/>
  <c r="O32" i="129" s="1"/>
  <c r="P32" i="129" s="1"/>
  <c r="M11" i="129"/>
  <c r="K8" i="60"/>
  <c r="K11" i="129"/>
  <c r="T60" i="129"/>
  <c r="L138" i="129"/>
  <c r="N129" i="129"/>
  <c r="L98" i="129"/>
  <c r="Q72" i="129"/>
  <c r="S72" i="129"/>
  <c r="P49" i="129"/>
  <c r="L142" i="129"/>
  <c r="O72" i="129"/>
  <c r="K72" i="129"/>
  <c r="L49" i="129"/>
  <c r="M72" i="129"/>
  <c r="M40" i="57"/>
  <c r="M56" i="57"/>
  <c r="R120" i="129"/>
  <c r="R138" i="129"/>
  <c r="T138" i="129"/>
  <c r="R150" i="129"/>
  <c r="R89" i="129"/>
  <c r="N138" i="129"/>
  <c r="L129" i="129"/>
  <c r="L134" i="129"/>
  <c r="L89" i="129"/>
  <c r="T49" i="129"/>
  <c r="R60" i="129"/>
  <c r="P74" i="129"/>
  <c r="P138" i="129"/>
  <c r="T89" i="129"/>
  <c r="P36" i="129"/>
  <c r="P142" i="129"/>
  <c r="R109" i="129"/>
  <c r="T142" i="129"/>
  <c r="R146" i="129"/>
  <c r="L150" i="129"/>
  <c r="L120" i="129"/>
  <c r="L36" i="129"/>
  <c r="N109" i="129"/>
  <c r="L60" i="129"/>
  <c r="P60" i="129"/>
  <c r="N89" i="129"/>
  <c r="R98" i="129"/>
  <c r="P120" i="129"/>
  <c r="N142" i="129"/>
  <c r="P150" i="129"/>
  <c r="T150" i="129"/>
  <c r="P109" i="129"/>
  <c r="P93" i="129"/>
  <c r="R49" i="129"/>
  <c r="N60" i="129"/>
  <c r="P89" i="129"/>
  <c r="T98" i="129"/>
  <c r="T120" i="129"/>
  <c r="R142" i="129"/>
  <c r="P146" i="129"/>
  <c r="N120" i="129"/>
  <c r="P129" i="129"/>
  <c r="T129" i="129"/>
  <c r="L146" i="129"/>
  <c r="T36" i="129"/>
  <c r="N49" i="129"/>
  <c r="L93" i="129"/>
  <c r="R129" i="129"/>
  <c r="T146" i="129"/>
  <c r="R36" i="129"/>
  <c r="N74" i="129"/>
  <c r="L74" i="129"/>
  <c r="N93" i="129"/>
  <c r="L109" i="129"/>
  <c r="N98" i="129"/>
  <c r="N36" i="129"/>
  <c r="R93" i="129"/>
  <c r="P98" i="129"/>
  <c r="T109" i="129"/>
  <c r="T93" i="129"/>
  <c r="R17" i="130"/>
  <c r="D22" i="44"/>
  <c r="D21" i="44" s="1"/>
  <c r="S36" i="129"/>
  <c r="H10" i="44"/>
  <c r="H9" i="44" s="1"/>
  <c r="J10" i="44"/>
  <c r="J9" i="44" s="1"/>
  <c r="M64" i="129"/>
  <c r="L10" i="44"/>
  <c r="L9" i="44" s="1"/>
  <c r="M36" i="129"/>
  <c r="K134" i="129"/>
  <c r="K132" i="129" s="1"/>
  <c r="Q11" i="129"/>
  <c r="Q36" i="129"/>
  <c r="K107" i="129"/>
  <c r="S11" i="129"/>
  <c r="J22" i="44"/>
  <c r="J21" i="44" s="1"/>
  <c r="Q134" i="129"/>
  <c r="O36" i="129"/>
  <c r="Q55" i="129"/>
  <c r="R57" i="129" s="1"/>
  <c r="M134" i="129"/>
  <c r="D10" i="44"/>
  <c r="D9" i="44" s="1"/>
  <c r="H23" i="44"/>
  <c r="H21" i="44" s="1"/>
  <c r="S134" i="129"/>
  <c r="M21" i="44"/>
  <c r="S105" i="129" s="1"/>
  <c r="K14" i="60"/>
  <c r="O55" i="129"/>
  <c r="P56" i="129" s="1"/>
  <c r="F10" i="44"/>
  <c r="F9" i="44" s="1"/>
  <c r="O134" i="129"/>
  <c r="R16" i="130"/>
  <c r="R19" i="130"/>
  <c r="T60" i="130"/>
  <c r="R60" i="130"/>
  <c r="E57" i="129"/>
  <c r="V57" i="129" s="1"/>
  <c r="R67" i="130"/>
  <c r="T27" i="130"/>
  <c r="E37" i="129"/>
  <c r="V37" i="129" s="1"/>
  <c r="R27" i="130"/>
  <c r="T30" i="130"/>
  <c r="R30" i="130"/>
  <c r="R41" i="130"/>
  <c r="E46" i="129"/>
  <c r="V46" i="129" s="1"/>
  <c r="R20" i="130"/>
  <c r="E47" i="129"/>
  <c r="V47" i="129" s="1"/>
  <c r="R42" i="130"/>
  <c r="R68" i="130"/>
  <c r="E58" i="129"/>
  <c r="V58" i="129" s="1"/>
  <c r="T12" i="130"/>
  <c r="R21" i="130"/>
  <c r="T36" i="130"/>
  <c r="R36" i="130"/>
  <c r="R53" i="130"/>
  <c r="E50" i="129"/>
  <c r="V50" i="129" s="1"/>
  <c r="H12" i="129"/>
  <c r="G12" i="129"/>
  <c r="F12" i="129"/>
  <c r="I12" i="129"/>
  <c r="J12" i="129"/>
  <c r="R28" i="130"/>
  <c r="T28" i="130"/>
  <c r="T61" i="130"/>
  <c r="R61" i="130"/>
  <c r="T26" i="130"/>
  <c r="R26" i="130"/>
  <c r="T46" i="130"/>
  <c r="R46" i="130"/>
  <c r="R54" i="130"/>
  <c r="E51" i="129"/>
  <c r="V51" i="129" s="1"/>
  <c r="T71" i="130"/>
  <c r="R71" i="130"/>
  <c r="R75" i="130"/>
  <c r="E61" i="129"/>
  <c r="V61" i="129" s="1"/>
  <c r="T29" i="130"/>
  <c r="R29" i="130"/>
  <c r="T37" i="130"/>
  <c r="R37" i="130"/>
  <c r="E56" i="129"/>
  <c r="V56" i="129" s="1"/>
  <c r="R66" i="130"/>
  <c r="E38" i="129"/>
  <c r="V38" i="129" s="1"/>
  <c r="R33" i="130"/>
  <c r="E45" i="129"/>
  <c r="V45" i="129" s="1"/>
  <c r="R40" i="130"/>
  <c r="T72" i="130"/>
  <c r="R72" i="130"/>
  <c r="E62" i="129"/>
  <c r="V62" i="129" s="1"/>
  <c r="R76" i="130"/>
  <c r="R47" i="130"/>
  <c r="R73" i="130"/>
  <c r="H43" i="130"/>
  <c r="AC28" i="54" a="1"/>
  <c r="AC28" i="54" s="1"/>
  <c r="AY27" i="54" s="1" a="1"/>
  <c r="AY27" i="54" s="1"/>
  <c r="O26" i="57"/>
  <c r="O15" i="57"/>
  <c r="N86" i="57"/>
  <c r="O58" i="57"/>
  <c r="R47" i="129"/>
  <c r="F21" i="44"/>
  <c r="N43" i="129"/>
  <c r="N44" i="129"/>
  <c r="R45" i="129"/>
  <c r="R43" i="129"/>
  <c r="L11" i="111" a="1"/>
  <c r="L11" i="111" s="1"/>
  <c r="L46" i="129"/>
  <c r="L21" i="44"/>
  <c r="L43" i="129"/>
  <c r="L44" i="129"/>
  <c r="N11" i="111" a="1"/>
  <c r="N11" i="111" s="1"/>
  <c r="N46" i="129"/>
  <c r="T46" i="129"/>
  <c r="P43" i="129"/>
  <c r="D11" i="111" a="1"/>
  <c r="D11" i="111" s="1"/>
  <c r="F11" i="111" a="1"/>
  <c r="F11" i="111" s="1"/>
  <c r="T44" i="129"/>
  <c r="T47" i="129"/>
  <c r="H11" i="111" a="1"/>
  <c r="H11" i="111" s="1"/>
  <c r="L45" i="129"/>
  <c r="J11" i="111" a="1"/>
  <c r="J11" i="111" s="1"/>
  <c r="G9" i="111" a="1"/>
  <c r="G9" i="111" s="1"/>
  <c r="K9" i="111" a="1"/>
  <c r="K9" i="111" s="1"/>
  <c r="O9" i="111" a="1"/>
  <c r="O9" i="111" s="1"/>
  <c r="P46" i="129"/>
  <c r="E11" i="111" a="1"/>
  <c r="E11" i="111" s="1"/>
  <c r="I11" i="111" a="1"/>
  <c r="I11" i="111" s="1"/>
  <c r="M11" i="111" a="1"/>
  <c r="M11" i="111" s="1"/>
  <c r="C15" i="111"/>
  <c r="T43" i="129"/>
  <c r="N45" i="129"/>
  <c r="R46" i="129"/>
  <c r="D9" i="111" a="1"/>
  <c r="D9" i="111" s="1"/>
  <c r="H9" i="111" a="1"/>
  <c r="H9" i="111" s="1"/>
  <c r="L9" i="111" a="1"/>
  <c r="L9" i="111" s="1"/>
  <c r="P45" i="129"/>
  <c r="E9" i="111" a="1"/>
  <c r="E9" i="111" s="1"/>
  <c r="I9" i="111" a="1"/>
  <c r="I9" i="111" s="1"/>
  <c r="M9" i="111" a="1"/>
  <c r="M9" i="111" s="1"/>
  <c r="P44" i="129"/>
  <c r="G11" i="111" a="1"/>
  <c r="G11" i="111" s="1"/>
  <c r="K11" i="111" a="1"/>
  <c r="K11" i="111" s="1"/>
  <c r="O11" i="111" a="1"/>
  <c r="O11" i="111" s="1"/>
  <c r="N47" i="129"/>
  <c r="F9" i="111" a="1"/>
  <c r="F9" i="111" s="1"/>
  <c r="J9" i="111" a="1"/>
  <c r="J9" i="111" s="1"/>
  <c r="Q31" i="129" l="1"/>
  <c r="R31" i="129" s="1"/>
  <c r="Q29" i="129"/>
  <c r="R29" i="129" s="1"/>
  <c r="Q28" i="129"/>
  <c r="R28" i="129" s="1"/>
  <c r="Q23" i="129"/>
  <c r="R23" i="129" s="1"/>
  <c r="Q22" i="129"/>
  <c r="R22" i="129" s="1"/>
  <c r="Q20" i="129"/>
  <c r="R20" i="129" s="1"/>
  <c r="M32" i="129"/>
  <c r="N32" i="129" s="1"/>
  <c r="M28" i="129"/>
  <c r="N28" i="129" s="1"/>
  <c r="K32" i="129"/>
  <c r="L32" i="129" s="1"/>
  <c r="K28" i="129"/>
  <c r="Q12" i="129"/>
  <c r="R12" i="129" s="1"/>
  <c r="K17" i="129"/>
  <c r="L17" i="129" s="1"/>
  <c r="K20" i="129"/>
  <c r="L20" i="129" s="1"/>
  <c r="M20" i="129"/>
  <c r="N20" i="129" s="1"/>
  <c r="M17" i="129"/>
  <c r="N17" i="129" s="1"/>
  <c r="O20" i="129"/>
  <c r="P20" i="129" s="1"/>
  <c r="O17" i="129"/>
  <c r="P17" i="129" s="1"/>
  <c r="Q17" i="129"/>
  <c r="R17" i="129" s="1"/>
  <c r="P9" i="111" a="1"/>
  <c r="P9" i="111" s="1"/>
  <c r="M14" i="129"/>
  <c r="N14" i="129" s="1"/>
  <c r="M13" i="129"/>
  <c r="N13" i="129" s="1"/>
  <c r="M16" i="129"/>
  <c r="N16" i="129" s="1"/>
  <c r="M15" i="129"/>
  <c r="N15" i="129" s="1"/>
  <c r="M12" i="129"/>
  <c r="N12" i="129" s="1"/>
  <c r="O16" i="129"/>
  <c r="P16" i="129" s="1"/>
  <c r="O13" i="129"/>
  <c r="P13" i="129" s="1"/>
  <c r="O15" i="129"/>
  <c r="P15" i="129" s="1"/>
  <c r="O12" i="129"/>
  <c r="P12" i="129" s="1"/>
  <c r="O14" i="129"/>
  <c r="P14" i="129" s="1"/>
  <c r="K16" i="129"/>
  <c r="L16" i="129" s="1"/>
  <c r="K15" i="129"/>
  <c r="L15" i="129" s="1"/>
  <c r="K14" i="129"/>
  <c r="L14" i="129" s="1"/>
  <c r="K13" i="129"/>
  <c r="L13" i="129" s="1"/>
  <c r="K12" i="129"/>
  <c r="T29" i="129"/>
  <c r="T22" i="129"/>
  <c r="O29" i="129"/>
  <c r="P29" i="129" s="1"/>
  <c r="O28" i="129"/>
  <c r="P28" i="129" s="1"/>
  <c r="O27" i="129"/>
  <c r="P27" i="129" s="1"/>
  <c r="O22" i="129"/>
  <c r="P22" i="129" s="1"/>
  <c r="O24" i="129"/>
  <c r="P24" i="129" s="1"/>
  <c r="O23" i="129"/>
  <c r="P23" i="129" s="1"/>
  <c r="M22" i="129"/>
  <c r="N22" i="129" s="1"/>
  <c r="M24" i="129"/>
  <c r="N24" i="129" s="1"/>
  <c r="M30" i="129"/>
  <c r="N30" i="129" s="1"/>
  <c r="M29" i="129"/>
  <c r="N29" i="129" s="1"/>
  <c r="M27" i="129"/>
  <c r="N27" i="129" s="1"/>
  <c r="N26" i="129"/>
  <c r="M25" i="129"/>
  <c r="N25" i="129" s="1"/>
  <c r="M23" i="129"/>
  <c r="N23" i="129" s="1"/>
  <c r="K22" i="129"/>
  <c r="L22" i="129" s="1"/>
  <c r="K30" i="129"/>
  <c r="L30" i="129" s="1"/>
  <c r="K21" i="129"/>
  <c r="L21" i="129" s="1"/>
  <c r="K29" i="129"/>
  <c r="L29" i="129" s="1"/>
  <c r="K27" i="129"/>
  <c r="L27" i="129" s="1"/>
  <c r="L26" i="129"/>
  <c r="K25" i="129"/>
  <c r="L25" i="129" s="1"/>
  <c r="K24" i="129"/>
  <c r="L24" i="129" s="1"/>
  <c r="K23" i="129"/>
  <c r="L23" i="129" s="1"/>
  <c r="H86" i="136"/>
  <c r="T87" i="129"/>
  <c r="I86" i="57"/>
  <c r="AD2" i="57" a="1"/>
  <c r="AD2" i="57" s="1"/>
  <c r="H86" i="57"/>
  <c r="I9" i="44"/>
  <c r="P87" i="129"/>
  <c r="P72" i="129" s="1"/>
  <c r="R87" i="129"/>
  <c r="N87" i="129"/>
  <c r="N72" i="129" s="1"/>
  <c r="L87" i="129"/>
  <c r="L72" i="129" s="1"/>
  <c r="P30" i="129"/>
  <c r="L28" i="129"/>
  <c r="T28" i="129"/>
  <c r="R27" i="129"/>
  <c r="R13" i="129"/>
  <c r="R14" i="129"/>
  <c r="M86" i="57"/>
  <c r="O10" i="57"/>
  <c r="T56" i="129"/>
  <c r="N135" i="129"/>
  <c r="N134" i="129" s="1"/>
  <c r="N132" i="129" s="1"/>
  <c r="M132" i="129"/>
  <c r="R135" i="129"/>
  <c r="R134" i="129" s="1"/>
  <c r="R132" i="129" s="1"/>
  <c r="Q132" i="129"/>
  <c r="T135" i="129"/>
  <c r="T134" i="129" s="1"/>
  <c r="T132" i="129" s="1"/>
  <c r="S132" i="129"/>
  <c r="P135" i="129"/>
  <c r="P134" i="129" s="1"/>
  <c r="P132" i="129" s="1"/>
  <c r="O132" i="129"/>
  <c r="L58" i="129"/>
  <c r="L57" i="129"/>
  <c r="N58" i="129"/>
  <c r="P21" i="129"/>
  <c r="N57" i="129"/>
  <c r="P26" i="129"/>
  <c r="N21" i="129"/>
  <c r="T57" i="129"/>
  <c r="F32" i="44"/>
  <c r="E9" i="44"/>
  <c r="M9" i="44"/>
  <c r="G9" i="44"/>
  <c r="M9" i="129" s="1"/>
  <c r="K9" i="44"/>
  <c r="L132" i="129"/>
  <c r="Z28" i="54" a="1"/>
  <c r="Z28" i="54" s="1"/>
  <c r="AV27" i="54" s="1" a="1"/>
  <c r="AV27" i="54" s="1"/>
  <c r="AE28" i="54" a="1"/>
  <c r="AE28" i="54" s="1"/>
  <c r="BA27" i="54" s="1" a="1"/>
  <c r="BA27" i="54" s="1"/>
  <c r="T30" i="129"/>
  <c r="R30" i="129"/>
  <c r="R107" i="129"/>
  <c r="P107" i="129"/>
  <c r="L107" i="129"/>
  <c r="N107" i="129"/>
  <c r="T107" i="129"/>
  <c r="I14" i="129"/>
  <c r="H14" i="129"/>
  <c r="G14" i="129"/>
  <c r="F14" i="129"/>
  <c r="J14" i="129"/>
  <c r="R21" i="129"/>
  <c r="R16" i="129"/>
  <c r="R15" i="129"/>
  <c r="P58" i="129"/>
  <c r="P57" i="129"/>
  <c r="T12" i="129"/>
  <c r="R58" i="129"/>
  <c r="R56" i="129"/>
  <c r="K21" i="44"/>
  <c r="K34" i="129"/>
  <c r="G21" i="44"/>
  <c r="O34" i="129"/>
  <c r="E21" i="44"/>
  <c r="I21" i="44"/>
  <c r="J45" i="129"/>
  <c r="I45" i="129"/>
  <c r="H45" i="129"/>
  <c r="G45" i="129"/>
  <c r="F45" i="129"/>
  <c r="J46" i="129"/>
  <c r="I46" i="129"/>
  <c r="H46" i="129"/>
  <c r="G46" i="129"/>
  <c r="F46" i="129"/>
  <c r="H57" i="129"/>
  <c r="G57" i="129"/>
  <c r="F57" i="129"/>
  <c r="J57" i="129"/>
  <c r="I57" i="129"/>
  <c r="J61" i="129"/>
  <c r="I61" i="129"/>
  <c r="H61" i="129"/>
  <c r="G61" i="129"/>
  <c r="F61" i="129"/>
  <c r="J38" i="129"/>
  <c r="I38" i="129"/>
  <c r="H38" i="129"/>
  <c r="G38" i="129"/>
  <c r="F38" i="129"/>
  <c r="H58" i="129"/>
  <c r="G58" i="129"/>
  <c r="J58" i="129"/>
  <c r="F58" i="129"/>
  <c r="I58" i="129"/>
  <c r="J15" i="129"/>
  <c r="I15" i="129"/>
  <c r="G15" i="129"/>
  <c r="F15" i="129"/>
  <c r="H15" i="129"/>
  <c r="F62" i="129"/>
  <c r="J62" i="129"/>
  <c r="I62" i="129"/>
  <c r="H62" i="129"/>
  <c r="G62" i="129"/>
  <c r="H56" i="129"/>
  <c r="G56" i="129"/>
  <c r="F56" i="129"/>
  <c r="J56" i="129"/>
  <c r="I56" i="129"/>
  <c r="J51" i="129"/>
  <c r="I51" i="129"/>
  <c r="G51" i="129"/>
  <c r="F51" i="129"/>
  <c r="H51" i="129"/>
  <c r="J47" i="129"/>
  <c r="I47" i="129"/>
  <c r="H47" i="129"/>
  <c r="G47" i="129"/>
  <c r="F47" i="129"/>
  <c r="J37" i="129"/>
  <c r="H37" i="129"/>
  <c r="G37" i="129"/>
  <c r="I37" i="129"/>
  <c r="F37" i="129"/>
  <c r="H13" i="129"/>
  <c r="G13" i="129"/>
  <c r="I13" i="129"/>
  <c r="J13" i="129"/>
  <c r="F13" i="129"/>
  <c r="H50" i="129"/>
  <c r="G50" i="129"/>
  <c r="F50" i="129"/>
  <c r="J50" i="129"/>
  <c r="I50" i="129"/>
  <c r="H16" i="129"/>
  <c r="G16" i="129"/>
  <c r="J16" i="129"/>
  <c r="I16" i="129"/>
  <c r="F16" i="129"/>
  <c r="O28" i="54" a="1"/>
  <c r="O28" i="54" s="1"/>
  <c r="AK27" i="54" s="1" a="1"/>
  <c r="AK27" i="54" s="1"/>
  <c r="R28" i="54" a="1"/>
  <c r="R28" i="54" s="1"/>
  <c r="AN27" i="54" s="1" a="1"/>
  <c r="AN27" i="54" s="1"/>
  <c r="X28" i="54" a="1"/>
  <c r="X28" i="54" s="1"/>
  <c r="AT27" i="54" s="1" a="1"/>
  <c r="AT27" i="54" s="1"/>
  <c r="AA28" i="54" a="1"/>
  <c r="AA28" i="54" s="1"/>
  <c r="AW27" i="54" s="1" a="1"/>
  <c r="AW27" i="54" s="1"/>
  <c r="AF28" i="54" a="1"/>
  <c r="AF28" i="54" s="1"/>
  <c r="BB27" i="54" s="1" a="1"/>
  <c r="BB27" i="54" s="1"/>
  <c r="M28" i="54" a="1"/>
  <c r="M28" i="54" s="1"/>
  <c r="AI27" i="54" s="1" a="1"/>
  <c r="AI27" i="54" s="1"/>
  <c r="V28" i="54" a="1"/>
  <c r="V28" i="54" s="1"/>
  <c r="AR27" i="54" s="1" a="1"/>
  <c r="AR27" i="54" s="1"/>
  <c r="P28" i="54" a="1"/>
  <c r="P28" i="54" s="1"/>
  <c r="AL27" i="54" s="1" a="1"/>
  <c r="AL27" i="54" s="1"/>
  <c r="S28" i="54" a="1"/>
  <c r="S28" i="54" s="1"/>
  <c r="AO27" i="54" s="1" a="1"/>
  <c r="AO27" i="54" s="1"/>
  <c r="AD28" i="54" a="1"/>
  <c r="AD28" i="54" s="1"/>
  <c r="AZ27" i="54" s="1" a="1"/>
  <c r="AZ27" i="54" s="1"/>
  <c r="Y28" i="54" a="1"/>
  <c r="Y28" i="54" s="1"/>
  <c r="AU27" i="54" s="1" a="1"/>
  <c r="AU27" i="54" s="1"/>
  <c r="AB28" i="54" a="1"/>
  <c r="AB28" i="54" s="1"/>
  <c r="AX27" i="54" s="1" a="1"/>
  <c r="AX27" i="54" s="1"/>
  <c r="N28" i="54" a="1"/>
  <c r="N28" i="54" s="1"/>
  <c r="AJ27" i="54" s="1" a="1"/>
  <c r="AJ27" i="54" s="1"/>
  <c r="AG28" i="54" a="1"/>
  <c r="AG28" i="54" s="1"/>
  <c r="BC27" i="54" s="1" a="1"/>
  <c r="BC27" i="54" s="1"/>
  <c r="U28" i="54" a="1"/>
  <c r="U28" i="54" s="1"/>
  <c r="W28" i="54" a="1"/>
  <c r="W28" i="54" s="1"/>
  <c r="AS27" i="54" s="1" a="1"/>
  <c r="AS27" i="54" s="1"/>
  <c r="Q28" i="54" a="1"/>
  <c r="Q28" i="54" s="1"/>
  <c r="AM27" i="54" s="1" a="1"/>
  <c r="AM27" i="54" s="1"/>
  <c r="O56" i="57"/>
  <c r="H32" i="44"/>
  <c r="L32" i="44"/>
  <c r="D32" i="44"/>
  <c r="R42" i="129"/>
  <c r="R34" i="129" s="1"/>
  <c r="J32" i="44"/>
  <c r="L42" i="129"/>
  <c r="L34" i="129" s="1"/>
  <c r="N42" i="129"/>
  <c r="N34" i="129" s="1"/>
  <c r="P11" i="111" a="1"/>
  <c r="P11" i="111" s="1"/>
  <c r="P42" i="129"/>
  <c r="P34" i="129" s="1"/>
  <c r="T42" i="129"/>
  <c r="T34" i="129" s="1"/>
  <c r="F17" i="111" a="1"/>
  <c r="F17" i="111" s="1"/>
  <c r="O19" i="111" a="1"/>
  <c r="O19" i="111" s="1"/>
  <c r="K19" i="111" a="1"/>
  <c r="K19" i="111" s="1"/>
  <c r="G19" i="111" a="1"/>
  <c r="G19" i="111" s="1"/>
  <c r="H17" i="111" a="1"/>
  <c r="H17" i="111" s="1"/>
  <c r="M17" i="111" a="1"/>
  <c r="M17" i="111" s="1"/>
  <c r="I17" i="111" a="1"/>
  <c r="I17" i="111" s="1"/>
  <c r="E17" i="111" a="1"/>
  <c r="E17" i="111" s="1"/>
  <c r="L17" i="111" a="1"/>
  <c r="L17" i="111" s="1"/>
  <c r="N19" i="111" a="1"/>
  <c r="N19" i="111" s="1"/>
  <c r="J19" i="111" a="1"/>
  <c r="J19" i="111" s="1"/>
  <c r="F19" i="111" a="1"/>
  <c r="F19" i="111" s="1"/>
  <c r="D17" i="111" a="1"/>
  <c r="D17" i="111" s="1"/>
  <c r="C23" i="111"/>
  <c r="C31" i="111" s="1"/>
  <c r="M19" i="111" a="1"/>
  <c r="M19" i="111" s="1"/>
  <c r="I19" i="111" a="1"/>
  <c r="I19" i="111" s="1"/>
  <c r="E19" i="111" a="1"/>
  <c r="E19" i="111" s="1"/>
  <c r="J17" i="111" a="1"/>
  <c r="J17" i="111" s="1"/>
  <c r="O17" i="111" a="1"/>
  <c r="O17" i="111" s="1"/>
  <c r="K17" i="111" a="1"/>
  <c r="K17" i="111" s="1"/>
  <c r="G17" i="111" a="1"/>
  <c r="G17" i="111" s="1"/>
  <c r="L19" i="111" a="1"/>
  <c r="L19" i="111" s="1"/>
  <c r="H19" i="111" a="1"/>
  <c r="H19" i="111" s="1"/>
  <c r="D19" i="111" a="1"/>
  <c r="D19" i="111" s="1"/>
  <c r="N17" i="111" a="1"/>
  <c r="N17" i="111" s="1"/>
  <c r="P10" i="111" l="1" a="1"/>
  <c r="P10" i="111" s="1"/>
  <c r="P17" i="111" a="1"/>
  <c r="P17" i="111" s="1"/>
  <c r="O33" i="111" a="1"/>
  <c r="O33" i="111" s="1"/>
  <c r="K33" i="111" a="1"/>
  <c r="K33" i="111" s="1"/>
  <c r="G33" i="111" a="1"/>
  <c r="G33" i="111" s="1"/>
  <c r="D33" i="111" a="1"/>
  <c r="D33" i="111" s="1"/>
  <c r="L35" i="111" a="1"/>
  <c r="L35" i="111" s="1"/>
  <c r="H35" i="111" a="1"/>
  <c r="H35" i="111" s="1"/>
  <c r="D35" i="111" a="1"/>
  <c r="D35" i="111" s="1"/>
  <c r="L33" i="111" a="1"/>
  <c r="L33" i="111" s="1"/>
  <c r="E35" i="111" a="1"/>
  <c r="E35" i="111" s="1"/>
  <c r="N33" i="111" a="1"/>
  <c r="N33" i="111" s="1"/>
  <c r="J33" i="111" a="1"/>
  <c r="J33" i="111" s="1"/>
  <c r="F33" i="111" a="1"/>
  <c r="F33" i="111" s="1"/>
  <c r="O35" i="111" a="1"/>
  <c r="O35" i="111" s="1"/>
  <c r="K35" i="111" a="1"/>
  <c r="K35" i="111" s="1"/>
  <c r="G35" i="111" a="1"/>
  <c r="G35" i="111" s="1"/>
  <c r="M35" i="111" a="1"/>
  <c r="M35" i="111" s="1"/>
  <c r="M33" i="111" a="1"/>
  <c r="M33" i="111" s="1"/>
  <c r="I33" i="111" a="1"/>
  <c r="I33" i="111" s="1"/>
  <c r="E33" i="111" a="1"/>
  <c r="E33" i="111" s="1"/>
  <c r="H33" i="111" a="1"/>
  <c r="H33" i="111" s="1"/>
  <c r="N35" i="111" a="1"/>
  <c r="N35" i="111" s="1"/>
  <c r="J35" i="111" a="1"/>
  <c r="J35" i="111" s="1"/>
  <c r="F35" i="111" a="1"/>
  <c r="F35" i="111" s="1"/>
  <c r="I35" i="111" a="1"/>
  <c r="I35" i="111" s="1"/>
  <c r="N11" i="129"/>
  <c r="L12" i="129"/>
  <c r="L105" i="129"/>
  <c r="L55" i="129"/>
  <c r="L53" i="129" s="1"/>
  <c r="N55" i="129"/>
  <c r="N53" i="129" s="1"/>
  <c r="AQ27" i="54" a="1"/>
  <c r="AQ27" i="54" s="1"/>
  <c r="AP27" i="54" a="1"/>
  <c r="AP27" i="54" s="1"/>
  <c r="P11" i="129"/>
  <c r="T55" i="129"/>
  <c r="R105" i="129"/>
  <c r="O105" i="129"/>
  <c r="K105" i="129"/>
  <c r="Q105" i="129"/>
  <c r="M105" i="129"/>
  <c r="M155" i="129" s="1"/>
  <c r="O86" i="57"/>
  <c r="AD1" i="57" s="1"/>
  <c r="P105" i="129"/>
  <c r="N105" i="129"/>
  <c r="T105" i="129"/>
  <c r="R11" i="129"/>
  <c r="P55" i="129"/>
  <c r="P53" i="129" s="1"/>
  <c r="G32" i="44"/>
  <c r="R55" i="129"/>
  <c r="R53" i="129" s="1"/>
  <c r="T11" i="129"/>
  <c r="O9" i="129"/>
  <c r="I32" i="44"/>
  <c r="K9" i="129"/>
  <c r="E32" i="44"/>
  <c r="K32" i="44"/>
  <c r="Q9" i="129"/>
  <c r="M32" i="44"/>
  <c r="S9" i="129"/>
  <c r="S155" i="129" s="1"/>
  <c r="P19" i="111" a="1"/>
  <c r="P19" i="111" s="1"/>
  <c r="O27" i="111" a="1"/>
  <c r="O27" i="111" s="1"/>
  <c r="G27" i="111" a="1"/>
  <c r="G27" i="111" s="1"/>
  <c r="M25" i="111" a="1"/>
  <c r="M25" i="111" s="1"/>
  <c r="I25" i="111" a="1"/>
  <c r="I25" i="111" s="1"/>
  <c r="E25" i="111" a="1"/>
  <c r="E25" i="111" s="1"/>
  <c r="M27" i="111" a="1"/>
  <c r="M27" i="111" s="1"/>
  <c r="N27" i="111" a="1"/>
  <c r="N27" i="111" s="1"/>
  <c r="J27" i="111" a="1"/>
  <c r="J27" i="111" s="1"/>
  <c r="F27" i="111" a="1"/>
  <c r="F27" i="111" s="1"/>
  <c r="I27" i="111" a="1"/>
  <c r="I27" i="111" s="1"/>
  <c r="L25" i="111" a="1"/>
  <c r="L25" i="111" s="1"/>
  <c r="H25" i="111" a="1"/>
  <c r="H25" i="111" s="1"/>
  <c r="D25" i="111" a="1"/>
  <c r="D25" i="111" s="1"/>
  <c r="E27" i="111" a="1"/>
  <c r="E27" i="111" s="1"/>
  <c r="O25" i="111" a="1"/>
  <c r="O25" i="111" s="1"/>
  <c r="K25" i="111" a="1"/>
  <c r="K25" i="111" s="1"/>
  <c r="G25" i="111" a="1"/>
  <c r="G25" i="111" s="1"/>
  <c r="K27" i="111" a="1"/>
  <c r="K27" i="111" s="1"/>
  <c r="L27" i="111" a="1"/>
  <c r="L27" i="111" s="1"/>
  <c r="H27" i="111" a="1"/>
  <c r="H27" i="111" s="1"/>
  <c r="D27" i="111" a="1"/>
  <c r="D27" i="111" s="1"/>
  <c r="N25" i="111" a="1"/>
  <c r="N25" i="111" s="1"/>
  <c r="J25" i="111" a="1"/>
  <c r="J25" i="111" s="1"/>
  <c r="F25" i="111" a="1"/>
  <c r="F25" i="111" s="1"/>
  <c r="P18" i="111" l="1" a="1"/>
  <c r="P18" i="111" s="1"/>
  <c r="P33" i="111" a="1"/>
  <c r="P33" i="111" s="1"/>
  <c r="P25" i="111" a="1"/>
  <c r="P25" i="111" s="1"/>
  <c r="P35" i="111" a="1"/>
  <c r="P35" i="111" s="1"/>
  <c r="L11" i="129"/>
  <c r="L9" i="129" s="1"/>
  <c r="L155" i="129" s="1"/>
  <c r="P9" i="129"/>
  <c r="P155" i="129" s="1"/>
  <c r="T53" i="129"/>
  <c r="T9" i="129" s="1"/>
  <c r="N9" i="129"/>
  <c r="N155" i="129" s="1"/>
  <c r="N159" i="129" a="1"/>
  <c r="N159" i="129" s="1"/>
  <c r="R9" i="129"/>
  <c r="N157" i="129"/>
  <c r="O155" i="129"/>
  <c r="Q155" i="129"/>
  <c r="K155" i="129"/>
  <c r="P159" i="129" a="1"/>
  <c r="P159" i="129" s="1"/>
  <c r="P157" i="129"/>
  <c r="P27" i="111" a="1"/>
  <c r="P27" i="111" s="1"/>
  <c r="P26" i="111" l="1" a="1"/>
  <c r="P26" i="111" s="1"/>
  <c r="P34" i="111" a="1"/>
  <c r="P34" i="111" s="1"/>
  <c r="L157" i="129"/>
  <c r="L159" i="129" a="1"/>
  <c r="L159" i="129" s="1"/>
  <c r="S13" i="136" l="1"/>
  <c r="S12" i="136" s="1"/>
  <c r="S40" i="136"/>
  <c r="S29" i="136"/>
  <c r="S28" i="136" s="1"/>
  <c r="S26" i="136" s="1"/>
  <c r="S21" i="136" l="1"/>
  <c r="S20" i="136" s="1"/>
  <c r="S15" i="136" l="1"/>
  <c r="S10" i="136" s="1"/>
  <c r="S86" i="136" s="1"/>
  <c r="R10" i="136"/>
  <c r="R86" i="136" s="1"/>
  <c r="R4" i="136" s="1"/>
  <c r="Q10" i="136" l="1"/>
  <c r="Q86" i="136" l="1"/>
  <c r="N42" i="136"/>
  <c r="N20" i="136"/>
  <c r="N28" i="136"/>
  <c r="N12" i="136"/>
  <c r="O29" i="136" l="1"/>
  <c r="M42" i="136"/>
  <c r="U42" i="136" s="1"/>
  <c r="U40" i="136" s="1"/>
  <c r="O43" i="136"/>
  <c r="M20" i="136"/>
  <c r="U20" i="136" s="1"/>
  <c r="O21" i="136"/>
  <c r="O13" i="136"/>
  <c r="N40" i="136"/>
  <c r="M40" i="136" s="1"/>
  <c r="N26" i="136"/>
  <c r="M28" i="136"/>
  <c r="U28" i="136" s="1"/>
  <c r="N15" i="136"/>
  <c r="M15" i="136" s="1"/>
  <c r="U15" i="136" s="1"/>
  <c r="M12" i="136"/>
  <c r="O42" i="136" l="1"/>
  <c r="O40" i="136" s="1"/>
  <c r="O20" i="136"/>
  <c r="O15" i="136" s="1"/>
  <c r="O28" i="136"/>
  <c r="O26" i="136" s="1"/>
  <c r="O12" i="136"/>
  <c r="N10" i="136"/>
  <c r="N86" i="136" s="1"/>
  <c r="I86" i="136"/>
  <c r="M26" i="136"/>
  <c r="U26" i="136" s="1"/>
  <c r="U12" i="136"/>
  <c r="O10" i="136" l="1"/>
  <c r="O86" i="136" s="1"/>
  <c r="U3" i="136" s="1"/>
  <c r="M10" i="136"/>
  <c r="M86" i="136" s="1"/>
  <c r="N4" i="136"/>
  <c r="U10" i="136" l="1"/>
  <c r="U86" i="136" l="1"/>
  <c r="U4" i="136" s="1" a="1"/>
  <c r="U4" i="136" s="1"/>
  <c r="R74" i="129" l="1"/>
  <c r="R72" i="129" s="1"/>
  <c r="R155" i="129" s="1"/>
  <c r="R157" i="129"/>
  <c r="R159" i="129" a="1"/>
  <c r="R159" i="129" s="1"/>
  <c r="T74" i="129" l="1"/>
  <c r="T72" i="129" s="1"/>
  <c r="T155" i="129" s="1"/>
  <c r="T159" i="129" l="1" a="1"/>
  <c r="T159" i="129" s="1"/>
  <c r="T157" i="12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CE8E25-7F36-4D1F-AD6B-C782D1DC2195}" keepAlive="1" name="Query - Tbl_AssetAllocation" description="Connection to the 'Tbl_AssetAllocation' query in the workbook." type="5" refreshedVersion="8" background="1" refreshOnLoad="1" saveData="1">
    <dbPr connection="Provider=Microsoft.Mashup.OleDb.1;Data Source=$Workbook$;Location=Tbl_AssetAllocation;Extended Properties=&quot;&quot;" command="SELECT * FROM [Tbl_AssetAllocation]"/>
  </connection>
  <connection id="2"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3" xr16:uid="{41513039-8CBF-4FB7-B97B-F4F068CB7C36}" keepAlive="1" name="Query - Tbl_TaxasDiarias" description="Connection to the 'Tbl_TaxasDiarias' query in the workbook." type="5" refreshedVersion="8" background="1" refreshOnLoad="1" saveData="1">
    <dbPr connection="Provider=Microsoft.Mashup.OleDb.1;Data Source=$Workbook$;Location=Tbl_TaxasDiarias;Extended Properties=&quot;&quot;" command="SELECT * FROM [Tbl_TaxasDiarias]"/>
  </connection>
  <connection id="4" xr16:uid="{1EF01F56-196D-49D2-9F1E-57F11DB7B61B}"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<sst xmlns="http://schemas.openxmlformats.org/spreadsheetml/2006/main" count="69614" uniqueCount="4784">
  <si>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</si>
  <si>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</si>
  <si>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</si>
  <si>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</si>
  <si>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</si>
  <si>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</si>
  <si>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</si>
  <si>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</si>
  <si>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</si>
  <si>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</si>
  <si>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</si>
  <si>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</si>
  <si>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</si>
  <si>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</si>
  <si>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</si>
  <si>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</si>
  <si>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</si>
  <si>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</si>
  <si>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</si>
  <si>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</si>
  <si>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</si>
  <si>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</si>
  <si>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</si>
  <si>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</si>
  <si>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</si>
  <si>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</si>
  <si>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</si>
  <si>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</si>
  <si>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</si>
  <si>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</si>
  <si>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</si>
  <si>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</si>
  <si>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</si>
  <si>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</si>
  <si>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</si>
  <si>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</si>
  <si>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</si>
  <si>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</si>
  <si>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</si>
  <si>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</si>
  <si>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</si>
  <si>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</si>
  <si>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</si>
  <si>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</si>
  <si>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</si>
  <si>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</si>
  <si>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</si>
  <si>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</si>
  <si>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</si>
  <si>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</si>
  <si>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</si>
  <si>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</si>
  <si>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</si>
  <si>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</si>
  <si>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</si>
  <si>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</si>
  <si>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</si>
  <si>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</si>
  <si>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</si>
  <si>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</si>
  <si>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</si>
  <si>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</si>
  <si>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</si>
  <si>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</si>
  <si>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</si>
  <si>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</si>
  <si>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</si>
  <si>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</si>
  <si>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</si>
  <si>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</si>
  <si>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</si>
  <si>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</si>
  <si>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</si>
  <si>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</si>
  <si>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</si>
  <si>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</si>
  <si>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</si>
  <si>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</si>
  <si>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</si>
  <si>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</si>
  <si>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</si>
  <si>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</si>
  <si>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</si>
  <si>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</si>
  <si>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</si>
  <si>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</si>
  <si>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</si>
  <si>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</si>
  <si>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</si>
  <si>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</si>
  <si>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</si>
  <si>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</si>
  <si>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</si>
  <si>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</si>
  <si>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</si>
  <si>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</si>
  <si>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</si>
  <si>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</si>
  <si>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</si>
  <si>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</si>
  <si>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</si>
  <si>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</si>
  <si>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</si>
  <si>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</si>
  <si>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</si>
  <si>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</si>
  <si>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</si>
  <si>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</si>
  <si>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</si>
  <si>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</si>
  <si>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</si>
  <si>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</si>
  <si>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</si>
  <si>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</si>
  <si>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</si>
  <si>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</si>
  <si>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</si>
  <si>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</si>
  <si>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</si>
  <si>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</si>
  <si>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</si>
  <si>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</si>
  <si>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</si>
  <si>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</si>
  <si>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</si>
  <si>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</si>
  <si>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</si>
  <si>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</si>
  <si>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</si>
  <si>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</si>
  <si>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</si>
  <si>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</si>
  <si>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</si>
  <si>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</si>
  <si>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</si>
  <si>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</si>
  <si>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</si>
  <si>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</si>
  <si>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</si>
  <si>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</si>
  <si>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</si>
  <si>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</si>
  <si>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</si>
  <si>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</si>
  <si>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</si>
  <si>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</si>
  <si>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</si>
  <si>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</si>
  <si>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</si>
  <si>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</si>
  <si>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</si>
  <si>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</si>
  <si>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</si>
  <si>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</si>
  <si>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</si>
  <si>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</si>
  <si>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</si>
  <si>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</si>
  <si>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</si>
  <si>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</si>
  <si>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</si>
  <si>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</si>
  <si>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</si>
  <si>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</si>
  <si>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</si>
  <si>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</si>
  <si>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</si>
  <si>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</si>
  <si>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</si>
  <si>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</si>
  <si>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</si>
  <si>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</si>
  <si>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</si>
  <si>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</si>
  <si>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</si>
  <si>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</si>
  <si>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</si>
  <si>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</si>
  <si>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</si>
  <si>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</si>
  <si>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</si>
  <si>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</si>
  <si>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</si>
  <si>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</si>
  <si>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</si>
  <si>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</si>
  <si>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</si>
  <si>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</si>
  <si>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</si>
  <si>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</si>
  <si>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</si>
  <si>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</si>
  <si>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</si>
  <si>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</si>
  <si>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</si>
  <si>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</si>
  <si>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</si>
  <si>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</si>
  <si>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</si>
  <si>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</si>
  <si>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</si>
  <si>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</si>
  <si>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</si>
  <si>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</si>
  <si>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</si>
  <si>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</si>
  <si>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</si>
  <si>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</si>
  <si>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</si>
  <si>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</si>
  <si>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</si>
  <si>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</si>
  <si>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</si>
  <si>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</si>
  <si>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</si>
  <si>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</si>
  <si>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</si>
  <si>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</si>
  <si>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</si>
  <si>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</si>
  <si>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</si>
  <si>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</si>
  <si>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</si>
  <si>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</si>
  <si>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</si>
  <si>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</si>
  <si>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</si>
  <si>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</si>
  <si>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</si>
  <si>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</si>
  <si>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</si>
  <si>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</si>
  <si>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</si>
  <si>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</si>
  <si>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</si>
  <si>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</si>
  <si>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</si>
  <si>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</si>
  <si>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</si>
  <si>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</si>
  <si>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</si>
  <si>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</si>
  <si>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</si>
  <si>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</si>
  <si>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</si>
  <si>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</si>
  <si>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</si>
  <si>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</si>
  <si>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</si>
  <si>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</si>
  <si>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</si>
  <si>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</si>
  <si>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</si>
  <si>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</si>
  <si>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</si>
  <si>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</si>
  <si>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</si>
  <si>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</si>
  <si>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</si>
  <si>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</si>
  <si>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</si>
  <si>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</si>
  <si>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</si>
  <si>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</si>
  <si>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</si>
  <si>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</si>
  <si>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</si>
  <si>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</si>
  <si>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</si>
  <si>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</si>
  <si>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</si>
  <si>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</si>
  <si>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</si>
  <si>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</si>
  <si>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</si>
  <si>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</si>
  <si>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</si>
  <si>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</si>
  <si>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</si>
  <si>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</si>
  <si>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</si>
  <si>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</si>
  <si>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</si>
  <si>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</si>
  <si>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</si>
  <si>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</si>
  <si>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</si>
  <si>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</si>
  <si>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</si>
  <si>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</si>
  <si>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</si>
  <si>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</si>
  <si>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</si>
  <si>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</si>
  <si>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</si>
  <si>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</si>
  <si>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</si>
  <si>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</si>
  <si>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</si>
  <si>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</si>
  <si>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</si>
  <si>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</si>
  <si>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</si>
  <si>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</si>
  <si>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</si>
  <si>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</si>
  <si>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</si>
  <si>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</si>
  <si>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</si>
  <si>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</si>
  <si>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</si>
  <si>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</si>
  <si>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</si>
  <si>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</si>
  <si>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</si>
  <si>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</si>
  <si>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</si>
  <si>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</si>
  <si>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</si>
  <si>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</si>
  <si>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</si>
  <si>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</si>
  <si>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</si>
  <si>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</si>
  <si>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</si>
  <si>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</si>
  <si>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</si>
  <si>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</si>
  <si>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</si>
  <si>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</si>
  <si>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</si>
  <si>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</si>
  <si>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</si>
  <si>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</si>
  <si>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</si>
  <si>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</si>
  <si>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</si>
  <si>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</si>
  <si>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</si>
  <si>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</si>
  <si>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</si>
  <si>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</si>
  <si>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</si>
  <si>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</si>
  <si>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</si>
  <si>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</si>
  <si>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</si>
  <si>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</si>
  <si>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</si>
  <si>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</si>
  <si>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</si>
  <si>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</si>
  <si>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</si>
  <si>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</si>
  <si>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</si>
  <si>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</si>
  <si>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</si>
  <si>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</si>
  <si>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</si>
  <si>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</si>
  <si>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</si>
  <si>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</si>
  <si>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</si>
  <si>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</si>
  <si>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</si>
  <si>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</si>
  <si>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</si>
  <si>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</si>
  <si>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</si>
  <si>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</si>
  <si>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</si>
  <si>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</si>
  <si>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</si>
  <si>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</si>
  <si>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</si>
  <si>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</si>
  <si>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</si>
  <si>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</si>
  <si>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</si>
  <si>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</si>
  <si>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</si>
  <si>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</si>
  <si>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</si>
  <si>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</si>
  <si>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</si>
  <si>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</si>
  <si>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</si>
  <si>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</si>
  <si>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</si>
  <si>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</si>
  <si>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</si>
  <si>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</si>
  <si>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</si>
  <si>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</si>
  <si>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</si>
  <si>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</si>
  <si>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</si>
  <si>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</si>
  <si>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</si>
  <si>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</si>
  <si>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</si>
  <si>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</si>
  <si>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</si>
  <si>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</si>
  <si>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</si>
  <si>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</si>
  <si>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</si>
  <si>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</si>
  <si>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</si>
  <si>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</si>
  <si>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</si>
  <si>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</si>
  <si>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</si>
  <si>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</si>
  <si>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</si>
  <si>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</si>
  <si>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</si>
  <si>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</si>
  <si>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</si>
  <si>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</si>
  <si>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</si>
  <si>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</si>
  <si>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</si>
  <si>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</si>
  <si>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</si>
  <si>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</si>
  <si>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</si>
  <si>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</si>
  <si>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</si>
  <si>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</si>
  <si>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</si>
  <si>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</si>
  <si>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</si>
  <si>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</si>
  <si>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</si>
  <si>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</si>
  <si>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</si>
  <si>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</si>
  <si>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</si>
  <si>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</si>
  <si>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</si>
  <si>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</si>
  <si>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</si>
  <si>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</si>
  <si>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</si>
  <si>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</si>
  <si>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</si>
  <si>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</si>
  <si>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</si>
  <si>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</si>
  <si>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</si>
  <si>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</si>
  <si>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</si>
  <si>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</si>
  <si>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</si>
  <si>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</si>
  <si>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</si>
  <si>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</si>
  <si>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</si>
  <si>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</si>
  <si>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</si>
  <si>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</si>
  <si>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</si>
  <si>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</si>
  <si>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</si>
  <si>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</si>
  <si>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</si>
  <si>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</si>
  <si>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</si>
  <si>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</si>
  <si>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</si>
  <si>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</si>
  <si>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</si>
  <si>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</si>
  <si>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</si>
  <si>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</si>
  <si>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</si>
  <si>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</si>
  <si>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</si>
  <si>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</si>
  <si>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</si>
  <si>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</si>
  <si>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</si>
  <si>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</si>
  <si>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</si>
  <si>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</si>
  <si>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</si>
  <si>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</si>
  <si>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</si>
  <si>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</si>
  <si>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</si>
  <si>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</si>
  <si>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</si>
  <si>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</si>
  <si>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</si>
  <si>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</si>
  <si>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</si>
  <si>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</si>
  <si>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</si>
  <si>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</si>
  <si>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</si>
  <si>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</si>
  <si>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</si>
  <si>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</si>
  <si>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</si>
  <si>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</si>
  <si>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</si>
  <si>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</si>
  <si>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</si>
  <si>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</si>
  <si>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</si>
  <si>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</si>
  <si>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</si>
  <si>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</si>
  <si>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</si>
  <si>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</si>
  <si>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</si>
  <si>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</si>
  <si>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</si>
  <si>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</si>
  <si>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</si>
  <si>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</si>
  <si>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</si>
  <si>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</si>
  <si>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</si>
  <si>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</si>
  <si>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</si>
  <si>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</si>
  <si>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</si>
  <si>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</si>
  <si>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</si>
  <si>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</si>
  <si>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</si>
  <si>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</si>
  <si>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</si>
  <si>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</si>
  <si>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</si>
  <si>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</si>
  <si>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</si>
  <si>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</si>
  <si>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</si>
  <si>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</si>
  <si>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</si>
  <si>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</si>
  <si>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</si>
  <si>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</si>
  <si>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</si>
  <si>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</si>
  <si>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</si>
  <si>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</si>
  <si>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</si>
  <si>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</si>
  <si>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</si>
  <si>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</si>
  <si>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</si>
  <si>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</si>
  <si>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</si>
  <si>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</si>
  <si>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</si>
  <si>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</si>
  <si>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</si>
  <si>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</si>
  <si>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</si>
  <si>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</si>
  <si>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</si>
  <si>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</si>
  <si>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</si>
  <si>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</si>
  <si>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</si>
  <si>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</si>
  <si>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</si>
  <si>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</si>
  <si>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</si>
  <si>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</si>
  <si>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</si>
  <si>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</si>
  <si>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</si>
  <si>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</si>
  <si>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</si>
  <si>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</si>
  <si>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</si>
  <si>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</si>
  <si>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</si>
  <si>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</si>
  <si>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</si>
  <si>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</si>
  <si>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</si>
  <si>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</si>
  <si>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</si>
  <si>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</si>
  <si>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</si>
  <si>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</si>
  <si>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</si>
  <si>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</si>
  <si>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</si>
  <si>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</si>
  <si>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</si>
  <si>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</si>
  <si>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</si>
  <si>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</si>
  <si>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</si>
  <si>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</si>
  <si>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</si>
  <si>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</si>
  <si>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</si>
  <si>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</si>
  <si>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</si>
  <si>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</si>
  <si>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</si>
  <si>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</si>
  <si>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</si>
  <si>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</si>
  <si>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</si>
  <si>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</si>
  <si>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</si>
  <si>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</si>
  <si>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</si>
  <si>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</si>
  <si>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</si>
  <si>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</si>
  <si>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</si>
  <si>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</si>
  <si>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</si>
  <si>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</si>
  <si>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</si>
  <si>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</si>
  <si>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</si>
  <si>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</si>
  <si>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</si>
  <si>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</si>
  <si>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</si>
  <si>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</si>
  <si>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</si>
  <si>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</si>
  <si>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</si>
  <si>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</si>
  <si>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</si>
  <si>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</si>
  <si>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</si>
  <si>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</si>
  <si>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</si>
  <si>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</si>
  <si>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</si>
  <si>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</si>
  <si>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</si>
  <si>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</si>
  <si>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</si>
  <si>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</si>
  <si>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</si>
  <si>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</si>
  <si>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</si>
  <si>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</si>
  <si>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</si>
  <si>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</si>
  <si>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</si>
  <si>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</si>
  <si>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</si>
  <si>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</si>
  <si>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</si>
  <si>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</si>
  <si>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</si>
  <si>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</si>
  <si>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</si>
  <si>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</si>
  <si>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</si>
  <si>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</si>
  <si>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</si>
  <si>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</si>
  <si>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</si>
  <si>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</si>
  <si>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</si>
  <si>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</si>
  <si>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</si>
  <si>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</si>
  <si>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</si>
  <si>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</si>
  <si>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</si>
  <si>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</si>
  <si>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</si>
  <si>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</si>
  <si>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</si>
  <si>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</si>
  <si>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</si>
  <si>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</si>
  <si>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</si>
  <si>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</si>
  <si>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</si>
  <si>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</si>
  <si>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</si>
  <si>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</si>
  <si>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</si>
  <si>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</si>
  <si>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</si>
  <si>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</si>
  <si>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</si>
  <si>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</si>
  <si>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</si>
  <si>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</si>
  <si>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</si>
  <si>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</si>
  <si>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</si>
  <si>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</si>
  <si>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</si>
  <si>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</si>
  <si>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</si>
  <si>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</si>
  <si>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</si>
  <si>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</si>
  <si>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</si>
  <si>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</si>
  <si>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</si>
  <si>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</si>
  <si>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</si>
  <si>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</si>
  <si>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</si>
  <si>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</si>
  <si>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</si>
  <si>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</si>
  <si>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</si>
  <si>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</si>
  <si>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</si>
  <si>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</si>
  <si>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</si>
  <si>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</si>
  <si>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</si>
  <si>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</si>
  <si>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</si>
  <si>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</si>
  <si>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</si>
  <si>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</si>
  <si>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</si>
  <si>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</si>
  <si>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</si>
  <si>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</si>
  <si>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</si>
  <si>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</si>
  <si>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</si>
  <si>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</si>
  <si>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</si>
  <si>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</si>
  <si>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</si>
  <si>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</si>
  <si>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</si>
  <si>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</si>
  <si>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</si>
  <si>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</si>
  <si>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</si>
  <si>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</si>
  <si>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</si>
  <si>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</si>
  <si>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</si>
  <si>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</si>
  <si>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</si>
  <si>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</si>
  <si>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</si>
  <si>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</si>
  <si>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</si>
  <si>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</si>
  <si>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</si>
  <si>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</si>
  <si>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</si>
  <si>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</si>
  <si>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</si>
  <si>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</si>
  <si>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</si>
  <si>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</si>
  <si>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</si>
  <si>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</si>
  <si>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</si>
  <si>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</si>
  <si>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</si>
  <si>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</si>
  <si>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</si>
  <si>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</si>
  <si>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</si>
  <si>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</si>
  <si>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</si>
  <si>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</si>
  <si>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</si>
  <si>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</si>
  <si>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</si>
  <si>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</si>
  <si>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</si>
  <si>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</si>
  <si>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</si>
  <si>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</si>
  <si>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</si>
  <si>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</si>
  <si>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</si>
  <si>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</si>
  <si>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</si>
  <si>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</si>
  <si>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</si>
  <si>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</si>
  <si>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</si>
  <si>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</si>
  <si>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</si>
  <si>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</si>
  <si>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</si>
  <si>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</si>
  <si>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</si>
  <si>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</si>
  <si>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</si>
  <si>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</si>
  <si>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</si>
  <si>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</si>
  <si>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</si>
  <si>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</si>
  <si>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</si>
  <si>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</si>
  <si>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</si>
  <si>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</si>
  <si>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</si>
  <si>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</si>
  <si>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</si>
  <si>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</si>
  <si>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</si>
  <si>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</si>
  <si>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</si>
  <si>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</si>
  <si>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</si>
  <si>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</si>
  <si>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</si>
  <si>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</si>
  <si>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</si>
  <si>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</si>
  <si>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</si>
  <si>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</si>
  <si>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</si>
  <si>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</si>
  <si>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</si>
  <si>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</si>
  <si>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</si>
  <si>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</si>
  <si>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</si>
  <si>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</si>
  <si>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</si>
  <si>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</si>
  <si>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</si>
  <si>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</si>
  <si>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</si>
  <si>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</si>
  <si>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</si>
  <si>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</si>
  <si>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</si>
  <si>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</si>
  <si>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</si>
  <si>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</si>
  <si>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</si>
  <si>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</si>
  <si>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</si>
  <si>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</si>
  <si>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</si>
  <si>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</si>
  <si>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</si>
  <si>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</si>
  <si>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</si>
  <si>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</si>
  <si>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</si>
  <si>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</si>
  <si>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</si>
  <si>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</si>
  <si>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</si>
  <si>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</si>
  <si>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</si>
  <si>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</si>
  <si>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</si>
  <si>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</si>
  <si>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</si>
  <si>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</si>
  <si>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</si>
  <si>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</si>
  <si>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</si>
  <si>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</si>
  <si>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</si>
  <si>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</si>
  <si>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</si>
  <si>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</si>
  <si>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</si>
  <si>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</si>
  <si>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</si>
  <si>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</si>
  <si>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</si>
  <si>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</si>
  <si>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</si>
  <si>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</si>
  <si>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</si>
  <si>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</si>
  <si>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</si>
  <si>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</si>
  <si>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</si>
  <si>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</si>
  <si>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</si>
  <si>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</si>
  <si>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</si>
  <si>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</si>
  <si>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</si>
  <si>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</si>
  <si>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</si>
  <si>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</si>
  <si>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</si>
  <si>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</si>
  <si>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</si>
  <si>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</si>
  <si>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</si>
  <si>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</si>
  <si>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</si>
  <si>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</si>
  <si>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</si>
  <si>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</si>
  <si>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</si>
  <si>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</si>
  <si>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</si>
  <si>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</si>
  <si>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</si>
  <si>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</si>
  <si>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</si>
  <si>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</si>
  <si>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</si>
  <si>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</si>
  <si>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</si>
  <si>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</si>
  <si>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</si>
  <si>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</si>
  <si>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</si>
  <si>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</si>
  <si>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</si>
  <si>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</si>
  <si>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</si>
  <si>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</si>
  <si>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</si>
  <si>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</si>
  <si>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</si>
  <si>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</si>
  <si>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</si>
  <si>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</si>
  <si>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</si>
  <si>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</si>
  <si>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</si>
  <si>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</si>
  <si>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</si>
  <si>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</si>
  <si>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</si>
  <si>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</si>
  <si>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</si>
  <si>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</si>
  <si>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</si>
  <si>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</si>
  <si>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</si>
  <si>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</si>
  <si>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</si>
  <si>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</si>
  <si>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</si>
  <si>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</si>
  <si>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</si>
  <si>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</si>
  <si>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</si>
  <si>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</si>
  <si>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</si>
  <si>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</si>
  <si>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</si>
  <si>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</si>
  <si>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</si>
  <si>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</si>
  <si>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</si>
  <si>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</si>
  <si>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</si>
  <si>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</si>
  <si>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</si>
  <si>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</si>
  <si>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</si>
  <si>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</si>
  <si>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</si>
  <si>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</si>
  <si>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</si>
  <si>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</si>
  <si>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</si>
  <si>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</si>
  <si>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</si>
  <si>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</si>
  <si>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</si>
  <si>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</si>
  <si>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</si>
  <si>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</si>
  <si>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</si>
  <si>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</si>
  <si>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</si>
  <si>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</si>
  <si>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</si>
  <si>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</si>
  <si>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</si>
  <si>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</si>
  <si>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</si>
  <si>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</si>
  <si>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</si>
  <si>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</si>
  <si>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</si>
  <si>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</si>
  <si>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</si>
  <si>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</si>
  <si>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</si>
  <si>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</si>
  <si>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</si>
  <si>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</si>
  <si>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</si>
  <si>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</si>
  <si>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</si>
  <si>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</si>
  <si>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</si>
  <si>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</si>
  <si>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</si>
  <si>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</si>
  <si>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</si>
  <si>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</si>
  <si>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</si>
  <si>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</si>
  <si>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</si>
  <si>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</si>
  <si>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</si>
  <si>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</si>
  <si>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</si>
  <si>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</si>
  <si>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</si>
  <si>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</si>
  <si>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</si>
  <si>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</si>
  <si>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</si>
  <si>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</si>
  <si>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</si>
  <si>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</si>
  <si>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</si>
  <si>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</si>
  <si>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</si>
  <si>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</si>
  <si>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</si>
  <si>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</si>
  <si>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</si>
  <si>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</si>
  <si>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</si>
  <si>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</si>
  <si>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</si>
  <si>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</si>
  <si>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</si>
  <si>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</si>
  <si>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</si>
  <si>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</si>
  <si>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</si>
  <si>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</si>
  <si>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</si>
  <si>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</si>
  <si>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</si>
  <si>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</si>
  <si>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</si>
  <si>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</si>
  <si>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</si>
  <si>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</si>
  <si>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</si>
  <si>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</si>
  <si>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</si>
  <si>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</si>
  <si>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</si>
  <si>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</si>
  <si>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</si>
  <si>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</si>
  <si>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</si>
  <si>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</si>
  <si>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</si>
  <si>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</si>
  <si>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</si>
  <si>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</si>
  <si>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</si>
  <si>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</si>
  <si>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</si>
  <si>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</si>
  <si>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</si>
  <si>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</si>
  <si>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</si>
  <si>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</si>
  <si>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</si>
  <si>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</si>
  <si>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</si>
  <si>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</si>
  <si>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</si>
  <si>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</si>
  <si>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</si>
  <si>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</si>
  <si>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</si>
  <si>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</si>
  <si>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</si>
  <si>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</si>
  <si>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</si>
  <si>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</si>
  <si>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</si>
  <si>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</si>
  <si>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</si>
  <si>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</si>
  <si>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</si>
  <si>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</si>
  <si>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</si>
  <si>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</si>
  <si>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</si>
  <si>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</si>
  <si>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</si>
  <si>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</si>
  <si>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</si>
  <si>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</si>
  <si>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</si>
  <si>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</si>
  <si>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</si>
  <si>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</si>
  <si>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</si>
  <si>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</si>
  <si>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</si>
  <si>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</si>
  <si>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</si>
  <si>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</si>
  <si>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</si>
  <si>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</si>
  <si>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</si>
  <si>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</si>
  <si>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</si>
  <si>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</si>
  <si>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</si>
  <si>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</si>
  <si>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</si>
  <si>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</si>
  <si>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</si>
  <si>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</si>
  <si>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</si>
  <si>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</si>
  <si>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</si>
  <si>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</si>
  <si>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</si>
  <si>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</si>
  <si>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</si>
  <si>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</si>
  <si>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</si>
  <si>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</si>
  <si>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</si>
  <si>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</si>
  <si>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</si>
  <si>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</si>
  <si>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</si>
  <si>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</si>
  <si>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</si>
  <si>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</si>
  <si>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</si>
  <si>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</si>
  <si>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</si>
  <si>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</si>
  <si>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</si>
  <si>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</si>
  <si>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</si>
  <si>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</si>
  <si>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</si>
  <si>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</si>
  <si>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</si>
  <si>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</si>
  <si>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</si>
  <si>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</si>
  <si>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</si>
  <si>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</si>
  <si>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</si>
  <si>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</si>
  <si>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</si>
  <si>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</si>
  <si>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</si>
  <si>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</si>
  <si>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</si>
  <si>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</si>
  <si>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</si>
  <si>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</si>
  <si>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</si>
  <si>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</si>
  <si>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</si>
  <si>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</si>
  <si>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</si>
  <si>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</si>
  <si>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</si>
  <si>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</si>
  <si>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</si>
  <si>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</si>
  <si>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</si>
  <si>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</si>
  <si>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</si>
  <si>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</si>
  <si>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</si>
  <si>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</si>
  <si>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</si>
  <si>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</si>
  <si>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</si>
  <si>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</si>
  <si>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</si>
  <si>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</si>
  <si>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</si>
  <si>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</si>
  <si>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</si>
  <si>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</si>
  <si>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</si>
  <si>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</si>
  <si>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</si>
  <si>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</si>
  <si>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</si>
  <si>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</si>
  <si>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</si>
  <si>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</si>
  <si>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</si>
  <si>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</si>
  <si>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</si>
  <si>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</si>
  <si>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</si>
  <si>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</si>
  <si>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</si>
  <si>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</si>
  <si>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</si>
  <si>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</si>
  <si>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</si>
  <si>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</si>
  <si>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</si>
  <si>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</si>
  <si>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</si>
  <si>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</si>
  <si>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</si>
  <si>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</si>
  <si>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</si>
  <si>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</si>
  <si>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</si>
  <si>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</si>
  <si>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</si>
  <si>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</si>
  <si>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</si>
  <si>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</si>
  <si>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</si>
  <si>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</si>
  <si>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</si>
  <si>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</si>
  <si>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</si>
  <si>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</si>
  <si>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</si>
  <si>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</si>
  <si>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</si>
  <si>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</si>
  <si>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</si>
  <si>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</si>
  <si>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</si>
  <si>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</si>
  <si>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</si>
  <si>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</si>
  <si>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</si>
  <si>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</si>
  <si>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</si>
  <si>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</si>
  <si>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</si>
  <si>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</si>
  <si>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</si>
  <si>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</si>
  <si>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</si>
  <si>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</si>
  <si>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</si>
  <si>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</si>
  <si>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</si>
  <si>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</si>
  <si>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</si>
  <si>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</si>
  <si>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</si>
  <si>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</si>
  <si>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</si>
  <si>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</si>
  <si>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</si>
  <si>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</si>
  <si>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</si>
  <si>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</si>
  <si>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</si>
  <si>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</si>
  <si>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</si>
  <si>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</si>
  <si>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</si>
  <si>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</si>
  <si>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</si>
  <si>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</si>
  <si>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</si>
  <si>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</si>
  <si>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</si>
  <si>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</si>
  <si>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</si>
  <si>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</si>
  <si>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</si>
  <si>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</si>
  <si>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</si>
  <si>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</si>
  <si>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</si>
  <si>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</si>
  <si>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</si>
  <si>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</si>
  <si>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</si>
  <si>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</si>
  <si>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</si>
  <si>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</si>
  <si>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</si>
  <si>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</si>
  <si>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</si>
  <si>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</si>
  <si>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</si>
  <si>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</si>
  <si>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</si>
  <si>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</si>
  <si>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</si>
  <si>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</si>
  <si>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</si>
  <si>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</si>
  <si>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</si>
  <si>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</si>
  <si>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</si>
  <si>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</si>
  <si>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</si>
  <si>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</si>
  <si>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</si>
  <si>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</si>
  <si>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</si>
  <si>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</si>
  <si>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</si>
  <si>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</si>
  <si>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</si>
  <si>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</si>
  <si>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</si>
  <si>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</si>
  <si>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</si>
  <si>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</si>
  <si>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</si>
  <si>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</si>
  <si>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</si>
  <si>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</si>
  <si>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</si>
  <si>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</si>
  <si>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</si>
  <si>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</si>
  <si>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</si>
  <si>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</si>
  <si>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</si>
  <si>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</si>
  <si>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</si>
  <si>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</si>
  <si>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</si>
  <si>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</si>
  <si>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</si>
  <si>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</si>
  <si>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</si>
  <si>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</si>
  <si>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</si>
  <si>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</si>
  <si>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</si>
  <si>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</si>
  <si>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</si>
  <si>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</si>
  <si>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</si>
  <si>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</si>
  <si>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</si>
  <si>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</si>
  <si>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</si>
  <si>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</si>
  <si>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</si>
  <si>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</si>
  <si>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</si>
  <si>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</si>
  <si>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</si>
  <si>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</si>
  <si>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</si>
  <si>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</si>
  <si>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</si>
  <si>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</si>
  <si>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</si>
  <si>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</si>
  <si>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</si>
  <si>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</si>
  <si>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</si>
  <si>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</si>
  <si>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</si>
  <si>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</si>
  <si>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</si>
  <si>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</si>
  <si>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</si>
  <si>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</si>
  <si>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</si>
  <si>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</si>
  <si>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</si>
  <si>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</si>
  <si>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</si>
  <si>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</si>
  <si>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</si>
  <si>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</si>
  <si>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</si>
  <si>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</si>
  <si>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</si>
  <si>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</si>
  <si>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</si>
  <si>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</si>
  <si>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XINA11</t>
  </si>
  <si>
    <t>EURP11</t>
  </si>
  <si>
    <t>WRLD11</t>
  </si>
  <si>
    <t>ETF</t>
  </si>
  <si>
    <t>ASIA11</t>
  </si>
  <si>
    <t>S/ Under</t>
  </si>
  <si>
    <t>Under</t>
  </si>
  <si>
    <t>Over</t>
  </si>
  <si>
    <t>S/ Over</t>
  </si>
  <si>
    <t>ACS TB FIC FIA BDR NIVEL I</t>
  </si>
  <si>
    <t>ITAU PRECISION CP DISTRIBUIDORES FIC FIM</t>
  </si>
  <si>
    <t>TOTAL</t>
  </si>
  <si>
    <t>Repasse Adm.</t>
  </si>
  <si>
    <t>Liquidez</t>
  </si>
  <si>
    <t>Repasse Adm</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</si>
  <si>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</si>
  <si>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</si>
  <si>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</si>
  <si>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</si>
  <si>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</si>
  <si>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</si>
  <si>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</si>
  <si>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</si>
  <si>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</si>
  <si>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</si>
  <si>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</si>
  <si>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</si>
  <si>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</si>
  <si>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</si>
  <si>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</si>
  <si>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</si>
  <si>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</si>
  <si>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</si>
  <si>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</si>
  <si>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</si>
  <si>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BDIF11 (IMA-B+2.20%)</t>
  </si>
  <si>
    <t>Banco BTG Pactual</t>
  </si>
  <si>
    <t>BNY Mellon Banco</t>
  </si>
  <si>
    <t>Banco B3</t>
  </si>
  <si>
    <t>Banco do Brasil</t>
  </si>
  <si>
    <t>Banco Safra</t>
  </si>
  <si>
    <t>Aberto?</t>
  </si>
  <si>
    <t>Aberto p/ Captação?</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</si>
  <si>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</si>
  <si>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</si>
  <si>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</si>
  <si>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</si>
  <si>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</si>
  <si>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</si>
  <si>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</si>
  <si>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</si>
  <si>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</si>
  <si>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</si>
  <si>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</si>
  <si>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</si>
  <si>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</si>
  <si>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</si>
  <si>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</si>
  <si>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</si>
  <si>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</si>
  <si>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</si>
  <si>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</si>
  <si>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</si>
  <si>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</si>
  <si>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</si>
  <si>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</si>
  <si>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</si>
  <si>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</si>
  <si>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</si>
  <si>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</si>
  <si>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</si>
  <si>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</si>
  <si>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</si>
  <si>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</si>
  <si>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2025 (PRE)</t>
  </si>
  <si>
    <t>Títulos Bancários - 1 ano (PRE)</t>
  </si>
  <si>
    <t>Títulos Bancários - 2 anos (PRE)</t>
  </si>
  <si>
    <t>Títulos Bancários - 3 anos (PRE)</t>
  </si>
  <si>
    <t>NTN-F 2027 (PRE)</t>
  </si>
  <si>
    <t>NTN-F 2029 (PRE)</t>
  </si>
  <si>
    <t>NTN-F 2031 (PRE)</t>
  </si>
  <si>
    <t>Títulos Bancários - 4 anos (PRE)</t>
  </si>
  <si>
    <t>Títulos Bancários - 5 anos (PRE)</t>
  </si>
  <si>
    <t>Títulos Bancários - 6 anos (PRE)</t>
  </si>
  <si>
    <t>Corporativo</t>
  </si>
  <si>
    <t>Data Ref.</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</si>
  <si>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</si>
  <si>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</si>
  <si>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</si>
  <si>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</si>
  <si>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</si>
  <si>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</si>
  <si>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</si>
  <si>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</si>
  <si>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</si>
  <si>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</si>
  <si>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</si>
  <si>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</si>
  <si>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</si>
  <si>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</si>
  <si>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</si>
  <si>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</si>
  <si>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</si>
  <si>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</si>
  <si>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</si>
  <si>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</si>
  <si>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</si>
  <si>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</si>
  <si>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</si>
  <si>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</si>
  <si>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</si>
  <si>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</si>
  <si>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</si>
  <si>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</si>
  <si>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</si>
  <si>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</si>
  <si>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</si>
  <si>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</si>
  <si>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</si>
  <si>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</si>
  <si>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</si>
  <si>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</si>
  <si>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</si>
  <si>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</si>
  <si>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</si>
  <si>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</si>
  <si>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</si>
  <si>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</si>
  <si>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</si>
  <si>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</si>
  <si>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</si>
  <si>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</si>
  <si>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</si>
  <si>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</si>
  <si>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</si>
  <si>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</si>
  <si>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</si>
  <si>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</si>
  <si>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</si>
  <si>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</si>
  <si>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</si>
  <si>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</si>
  <si>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</si>
  <si>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</si>
  <si>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</si>
  <si>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</si>
  <si>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</si>
  <si>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</si>
  <si>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</si>
  <si>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</si>
  <si>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</si>
  <si>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</si>
  <si>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</si>
  <si>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</si>
  <si>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</si>
  <si>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</si>
  <si>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</si>
  <si>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</si>
  <si>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</si>
  <si>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</si>
  <si>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</si>
  <si>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</si>
  <si>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</si>
  <si>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</si>
  <si>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</si>
  <si>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</si>
  <si>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</si>
  <si>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</si>
  <si>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</si>
  <si>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</si>
  <si>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</si>
  <si>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</si>
  <si>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</si>
  <si>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</si>
  <si>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</si>
  <si>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</si>
  <si>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</si>
  <si>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</si>
  <si>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</si>
  <si>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</si>
  <si>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</si>
  <si>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</si>
  <si>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</si>
  <si>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</si>
  <si>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</si>
  <si>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</si>
  <si>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</si>
  <si>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</si>
  <si>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</si>
  <si>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</si>
  <si>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</si>
  <si>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</si>
  <si>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</si>
  <si>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</si>
  <si>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</si>
  <si>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</si>
  <si>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</si>
  <si>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</si>
  <si>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</si>
  <si>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</si>
  <si>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</si>
  <si>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</si>
  <si>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</si>
  <si>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</si>
  <si>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</si>
  <si>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</si>
  <si>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</si>
  <si>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</si>
  <si>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</si>
  <si>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</si>
  <si>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</si>
  <si>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</si>
  <si>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</si>
  <si>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</si>
  <si>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</si>
  <si>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</si>
  <si>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</si>
  <si>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</si>
  <si>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</si>
  <si>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</si>
  <si>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</si>
  <si>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</si>
  <si>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</si>
  <si>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</si>
  <si>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</si>
  <si>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</si>
  <si>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</si>
  <si>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</si>
  <si>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</si>
  <si>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</si>
  <si>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</si>
  <si>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</si>
  <si>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</si>
  <si>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</si>
  <si>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</si>
  <si>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</si>
  <si>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</si>
  <si>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</si>
  <si>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</si>
  <si>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</si>
  <si>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</si>
  <si>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</si>
  <si>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</si>
  <si>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</si>
  <si>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</si>
  <si>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</si>
  <si>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</si>
  <si>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</si>
  <si>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</si>
  <si>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</si>
  <si>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</si>
  <si>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</si>
  <si>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</si>
  <si>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</si>
  <si>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</si>
  <si>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</si>
  <si>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</si>
  <si>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</si>
  <si>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</si>
  <si>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</si>
  <si>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</si>
  <si>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</si>
  <si>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</si>
  <si>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</si>
  <si>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</si>
  <si>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</si>
  <si>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</si>
  <si>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</si>
  <si>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</si>
  <si>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</si>
  <si>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</si>
  <si>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</si>
  <si>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</si>
  <si>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</si>
  <si>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</si>
  <si>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</si>
  <si>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</si>
  <si>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</si>
  <si>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</si>
  <si>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</si>
  <si>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</si>
  <si>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</si>
  <si>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</si>
  <si>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</si>
  <si>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</si>
  <si>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</si>
  <si>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</si>
  <si>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</si>
  <si>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</si>
  <si>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</si>
  <si>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</si>
  <si>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</si>
  <si>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</si>
  <si>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</si>
  <si>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</si>
  <si>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</si>
  <si>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</si>
  <si>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</si>
  <si>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</si>
  <si>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</si>
  <si>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</si>
  <si>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</si>
  <si>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</si>
  <si>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</si>
  <si>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</si>
  <si>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</si>
  <si>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</si>
  <si>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</si>
  <si>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</si>
  <si>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</si>
  <si>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</si>
  <si>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</si>
  <si>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</si>
  <si>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</si>
  <si>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</si>
  <si>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</si>
  <si>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</si>
  <si>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</si>
  <si>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</si>
  <si>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</si>
  <si>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Vinci Valorem FIM</t>
  </si>
  <si>
    <t>Daemon Nous Global FIC FIM</t>
  </si>
  <si>
    <t>Genoa Capital Radar FIC FIM</t>
  </si>
  <si>
    <t>Ibiuna Hedge Sth FIC FIM</t>
  </si>
  <si>
    <t>Kapitalo K10 FIC FIM</t>
  </si>
  <si>
    <t>Legacy Capital FIC FIM Access</t>
  </si>
  <si>
    <t>Norte Long Bias FIC FIM</t>
  </si>
  <si>
    <t>Genoa Capital Arpa FIC FIM</t>
  </si>
  <si>
    <t>Giant Zarathustra FIC FIM</t>
  </si>
  <si>
    <t>Vinland Long Bias FIC FIM</t>
  </si>
  <si>
    <t>Absolute Alpha Marb FIC FIM</t>
  </si>
  <si>
    <t>Ace Capital FIC FIM</t>
  </si>
  <si>
    <t>INVESTIDOR PROFISSIONAL GESTÃO DE RECURSOS LTDA</t>
  </si>
  <si>
    <t>BNY MELLON SERVICOS FINANCEIROS DTVM S.A.</t>
  </si>
  <si>
    <t>Qualificado</t>
  </si>
  <si>
    <t>Fundo de Ações</t>
  </si>
  <si>
    <t>CREDIT SUISSE HEDGING-GRIFFO WEALTH MANAGEMENT S.A.</t>
  </si>
  <si>
    <t>CREDIT SUISSE HEDGING-GRIFFO CORRETORA DE VALORES S.A.</t>
  </si>
  <si>
    <t>Público Geral</t>
  </si>
  <si>
    <t>Fundo de Renda Fixa</t>
  </si>
  <si>
    <t>BRAM - BRADESCO ASSET MANAGEMENT S.A. DISTRIBUIDORA DE TITULOS E VALORES MOBILIARIOS</t>
  </si>
  <si>
    <t>BANCO BRADESCO S.A.</t>
  </si>
  <si>
    <t>WESTERN ASSET MANAGEMENT COMPANY DTVM LIMITADA</t>
  </si>
  <si>
    <t>BANCO BNP PARIBAS BRASIL S/A</t>
  </si>
  <si>
    <t>Fundo Cambial</t>
  </si>
  <si>
    <t>DAYCOVAL ASSET MANAGEMENT ADMINISTRACAO DE RECURSOS LTDA</t>
  </si>
  <si>
    <t>BANCO DAYCOVAL S.A.</t>
  </si>
  <si>
    <t>N</t>
  </si>
  <si>
    <t>FAR FATOR ADMINISTRAÇÃO DE RECURSOS LTDA</t>
  </si>
  <si>
    <t>BTG PACTUAL SERVIÇOS FINANCEIROS S/A DTVM</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</si>
  <si>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</si>
  <si>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</si>
  <si>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</si>
  <si>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</si>
  <si>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</si>
  <si>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</si>
  <si>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</si>
  <si>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</si>
  <si>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</si>
  <si>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</si>
  <si>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</si>
  <si>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</si>
  <si>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</si>
  <si>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</si>
  <si>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</si>
  <si>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</si>
  <si>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</si>
  <si>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</si>
  <si>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</si>
  <si>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</si>
  <si>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</si>
  <si>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</si>
  <si>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</si>
  <si>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</si>
  <si>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</si>
  <si>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</si>
  <si>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</si>
  <si>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</si>
  <si>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SHARP CAPITAL GESTORA DE RECURSOS LTDA</t>
  </si>
  <si>
    <t>ICATU VANGUARDA GESTÃO DE RECURSOS LTDA</t>
  </si>
  <si>
    <t>MAPFRE INVESTIMENTOS LTDA.</t>
  </si>
  <si>
    <t>META ASSET MANAGEMENT LTDA.</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</si>
  <si>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</si>
  <si>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</si>
  <si>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</si>
  <si>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</si>
  <si>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</si>
  <si>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</si>
  <si>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</si>
  <si>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</si>
  <si>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</si>
  <si>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</si>
  <si>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</si>
  <si>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</si>
  <si>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</si>
  <si>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</si>
  <si>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</si>
  <si>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</si>
  <si>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</si>
  <si>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</si>
  <si>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</si>
  <si>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</si>
  <si>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</si>
  <si>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</si>
  <si>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</si>
  <si>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</si>
  <si>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</si>
  <si>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</si>
  <si>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</si>
  <si>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</si>
  <si>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</si>
  <si>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</si>
  <si>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</si>
  <si>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</si>
  <si>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</si>
  <si>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</si>
  <si>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</si>
  <si>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</si>
  <si>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</si>
  <si>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</si>
  <si>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</si>
  <si>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</si>
  <si>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</si>
  <si>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</si>
  <si>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</si>
  <si>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</si>
  <si>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</si>
  <si>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</si>
  <si>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</si>
  <si>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</si>
  <si>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</si>
  <si>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</si>
  <si>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</si>
  <si>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</si>
  <si>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</si>
  <si>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</si>
  <si>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</si>
  <si>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</si>
  <si>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</si>
  <si>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</si>
  <si>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</si>
  <si>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</si>
  <si>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</si>
  <si>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</si>
  <si>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</si>
  <si>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</si>
  <si>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</si>
  <si>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</si>
  <si>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</si>
  <si>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</si>
  <si>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</si>
  <si>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</si>
  <si>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</si>
  <si>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</si>
  <si>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</si>
  <si>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</si>
  <si>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</si>
  <si>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</si>
  <si>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</si>
  <si>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</si>
  <si>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</si>
  <si>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</si>
  <si>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</si>
  <si>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</si>
  <si>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</si>
  <si>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</si>
  <si>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</si>
  <si>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</si>
  <si>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</si>
  <si>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</si>
  <si>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</si>
  <si>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</si>
  <si>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</si>
  <si>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</si>
  <si>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</si>
  <si>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</si>
  <si>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</si>
  <si>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</si>
  <si>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</si>
  <si>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</si>
  <si>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</si>
  <si>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</si>
  <si>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</si>
  <si>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</si>
  <si>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</si>
  <si>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</si>
  <si>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</si>
  <si>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</si>
  <si>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</si>
  <si>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</si>
  <si>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</si>
  <si>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</si>
  <si>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</si>
  <si>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</si>
  <si>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</si>
  <si>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</si>
  <si>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</si>
  <si>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</si>
  <si>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</si>
  <si>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</si>
  <si>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</si>
  <si>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</si>
  <si>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</si>
  <si>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</si>
  <si>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</si>
  <si>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</si>
  <si>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</si>
  <si>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</si>
  <si>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</si>
  <si>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</si>
  <si>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</si>
  <si>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</si>
  <si>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</si>
  <si>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</si>
  <si>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</si>
  <si>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</si>
  <si>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</si>
  <si>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</si>
  <si>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</si>
  <si>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</si>
  <si>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</si>
  <si>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</si>
  <si>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</si>
  <si>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</si>
  <si>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</si>
  <si>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</si>
  <si>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</si>
  <si>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</si>
  <si>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</si>
  <si>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</si>
  <si>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</si>
  <si>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</si>
  <si>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</si>
  <si>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</si>
  <si>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</si>
  <si>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</si>
  <si>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</si>
  <si>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</si>
  <si>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</si>
  <si>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</si>
  <si>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</si>
  <si>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</si>
  <si>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</si>
  <si>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</si>
  <si>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</si>
  <si>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</si>
  <si>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</si>
  <si>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</si>
  <si>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</si>
  <si>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</si>
  <si>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</si>
  <si>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</si>
  <si>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</si>
  <si>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</si>
  <si>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</si>
  <si>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</si>
  <si>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</si>
  <si>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</si>
  <si>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</si>
  <si>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</si>
  <si>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</si>
  <si>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</si>
  <si>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</si>
  <si>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</si>
  <si>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</si>
  <si>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</si>
  <si>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</si>
  <si>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</si>
  <si>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</si>
  <si>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</si>
  <si>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</si>
  <si>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</si>
  <si>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</si>
  <si>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</si>
  <si>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</si>
  <si>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</si>
  <si>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</si>
  <si>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</si>
  <si>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</si>
  <si>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</si>
  <si>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</si>
  <si>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</si>
  <si>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</si>
  <si>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</si>
  <si>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</si>
  <si>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</si>
  <si>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</si>
  <si>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</si>
  <si>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</si>
  <si>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</si>
  <si>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</si>
  <si>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</si>
  <si>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</si>
  <si>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</si>
  <si>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</si>
  <si>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</si>
  <si>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</si>
  <si>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</si>
  <si>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</si>
  <si>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</si>
  <si>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</si>
  <si>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</si>
  <si>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</si>
  <si>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</si>
  <si>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</si>
  <si>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</si>
  <si>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</si>
  <si>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</si>
  <si>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</si>
  <si>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</si>
  <si>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</si>
  <si>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</si>
  <si>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</si>
  <si>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</si>
  <si>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</si>
  <si>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</si>
  <si>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</si>
  <si>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</si>
  <si>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</si>
  <si>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</si>
  <si>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</si>
  <si>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</si>
  <si>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</si>
  <si>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</si>
  <si>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</si>
  <si>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</si>
  <si>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</si>
  <si>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</si>
  <si>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</si>
  <si>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</si>
  <si>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</si>
  <si>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</si>
  <si>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</si>
  <si>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</si>
  <si>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</si>
  <si>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</si>
  <si>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</si>
  <si>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</si>
  <si>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</si>
  <si>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</si>
  <si>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</si>
  <si>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</si>
  <si>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</si>
  <si>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</si>
  <si>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</si>
  <si>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</si>
  <si>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</si>
  <si>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</si>
  <si>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</si>
  <si>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</si>
  <si>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</si>
  <si>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</si>
  <si>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</si>
  <si>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</si>
  <si>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</si>
  <si>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</si>
  <si>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</si>
  <si>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</si>
  <si>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</si>
  <si>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</si>
  <si>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</si>
  <si>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</si>
  <si>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</si>
  <si>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</si>
  <si>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</si>
  <si>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</si>
  <si>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</si>
  <si>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</si>
  <si>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</si>
  <si>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</si>
  <si>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</si>
  <si>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</si>
  <si>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</si>
  <si>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</si>
  <si>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</si>
  <si>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</si>
  <si>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Everest High Yield FIC FIM - CP E1</t>
  </si>
  <si>
    <t>Vinland Macro Access FIC MM</t>
  </si>
  <si>
    <t>Trigono Flagship Small Caps FIC FIA</t>
  </si>
  <si>
    <t>Trigono Delphos Income FIC FIA</t>
  </si>
  <si>
    <t>Sul America Excellence FIRF CP</t>
  </si>
  <si>
    <t>Tarpon Gt FIC FIA</t>
  </si>
  <si>
    <t>Vinland Long Only FIC FIA</t>
  </si>
  <si>
    <t>Anga Portfolio FIM CP</t>
  </si>
  <si>
    <t>ARX Denali FIRF CP</t>
  </si>
  <si>
    <t>ARX Vinson FIC FI RF CP</t>
  </si>
  <si>
    <t>Leste Credit Access IE FIC MM CP</t>
  </si>
  <si>
    <t>ARX Elbrus FIC FI Infraestrutura RF</t>
  </si>
  <si>
    <t>Gavea Macro Plus II FIC FIM</t>
  </si>
  <si>
    <t>Solana LS FIC FIM</t>
  </si>
  <si>
    <t>BTG Pactual Debêntures Incentivadas Inflação Infra FIC Renda Fixa</t>
  </si>
  <si>
    <t>Invesco Greater China Equity Dolar FIC FIA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</si>
  <si>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</si>
  <si>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</si>
  <si>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</si>
  <si>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</si>
  <si>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</si>
  <si>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</si>
  <si>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</si>
  <si>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</si>
  <si>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</si>
  <si>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</si>
  <si>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</si>
  <si>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</si>
  <si>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</si>
  <si>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</si>
  <si>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</si>
  <si>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</si>
  <si>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</si>
  <si>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</si>
  <si>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Kinea Gama FIC FIA</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</si>
  <si>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</si>
  <si>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</si>
  <si>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</si>
  <si>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</si>
  <si>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</si>
  <si>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</si>
  <si>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</si>
  <si>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</si>
  <si>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</si>
  <si>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</si>
  <si>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</si>
  <si>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</si>
  <si>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</si>
  <si>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</si>
  <si>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</si>
  <si>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</si>
  <si>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</si>
  <si>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</si>
  <si>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</si>
  <si>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</si>
  <si>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</si>
  <si>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</si>
  <si>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</si>
  <si>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</si>
  <si>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</si>
  <si>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</si>
  <si>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</si>
  <si>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</si>
  <si>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</si>
  <si>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</si>
  <si>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</si>
  <si>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</si>
  <si>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</si>
  <si>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</si>
  <si>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</si>
  <si>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</si>
  <si>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</si>
  <si>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</si>
  <si>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</si>
  <si>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</si>
  <si>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</si>
  <si>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</si>
  <si>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</si>
  <si>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</si>
  <si>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</si>
  <si>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</si>
  <si>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</si>
  <si>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</si>
  <si>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</si>
  <si>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</si>
  <si>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</si>
  <si>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</si>
  <si>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</si>
  <si>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</si>
  <si>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</si>
  <si>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</si>
  <si>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</si>
  <si>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</si>
  <si>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</si>
  <si>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</si>
  <si>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</si>
  <si>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</si>
  <si>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</si>
  <si>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</si>
  <si>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</si>
  <si>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</si>
  <si>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</si>
  <si>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</si>
  <si>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</si>
  <si>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</si>
  <si>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</si>
  <si>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</si>
  <si>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</si>
  <si>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</si>
  <si>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</si>
  <si>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</si>
  <si>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</si>
  <si>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</si>
  <si>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</si>
  <si>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</si>
  <si>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</si>
  <si>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</si>
  <si>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</si>
  <si>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</si>
  <si>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</si>
  <si>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</si>
  <si>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</si>
  <si>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</si>
  <si>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</si>
  <si>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</si>
  <si>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</si>
  <si>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</si>
  <si>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</si>
  <si>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</si>
  <si>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</si>
  <si>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</si>
  <si>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</si>
  <si>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</si>
  <si>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</si>
  <si>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</si>
  <si>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</si>
  <si>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</si>
  <si>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</si>
  <si>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</si>
  <si>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</si>
  <si>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</si>
  <si>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</si>
  <si>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</si>
  <si>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</si>
  <si>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</si>
  <si>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</si>
  <si>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</si>
  <si>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</si>
  <si>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</si>
  <si>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</si>
  <si>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</si>
  <si>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</si>
  <si>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</si>
  <si>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</si>
  <si>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</si>
  <si>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</si>
  <si>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</si>
  <si>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</si>
  <si>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</si>
  <si>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</si>
  <si>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</si>
  <si>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</si>
  <si>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</si>
  <si>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</si>
  <si>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</si>
  <si>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</si>
  <si>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</si>
  <si>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</si>
  <si>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</si>
  <si>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</si>
  <si>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</si>
  <si>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</si>
  <si>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</si>
  <si>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</si>
  <si>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</si>
  <si>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</si>
  <si>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</si>
  <si>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</si>
  <si>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</si>
  <si>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</si>
  <si>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</si>
  <si>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</si>
  <si>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</si>
  <si>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</si>
  <si>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</si>
  <si>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</si>
  <si>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</si>
  <si>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</si>
  <si>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</si>
  <si>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</si>
  <si>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</si>
  <si>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</si>
  <si>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</si>
  <si>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</si>
  <si>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</si>
  <si>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</si>
  <si>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</si>
  <si>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</si>
  <si>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</si>
  <si>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</si>
  <si>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</si>
  <si>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</si>
  <si>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</si>
  <si>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</si>
  <si>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</si>
  <si>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</si>
  <si>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</si>
  <si>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</si>
  <si>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</si>
  <si>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</si>
  <si>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</si>
  <si>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</si>
  <si>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</si>
  <si>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</si>
  <si>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</si>
  <si>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</si>
  <si>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</si>
  <si>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</si>
  <si>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</si>
  <si>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</si>
  <si>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</si>
  <si>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</si>
  <si>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</si>
  <si>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</si>
  <si>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</si>
  <si>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</si>
  <si>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</si>
  <si>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</si>
  <si>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</si>
  <si>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</si>
  <si>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</si>
  <si>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</si>
  <si>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</si>
  <si>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</si>
  <si>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</si>
  <si>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</si>
  <si>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</si>
  <si>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</si>
  <si>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</si>
  <si>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</si>
  <si>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</si>
  <si>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</si>
  <si>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</si>
  <si>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</si>
  <si>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</si>
  <si>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</si>
  <si>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</si>
  <si>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</si>
  <si>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</si>
  <si>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</si>
  <si>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</si>
  <si>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</si>
  <si>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</si>
  <si>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</si>
  <si>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</si>
  <si>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</si>
  <si>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</si>
  <si>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</si>
  <si>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</si>
  <si>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</si>
  <si>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</si>
  <si>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</si>
  <si>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</si>
  <si>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</si>
  <si>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</si>
  <si>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</si>
  <si>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</si>
  <si>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</si>
  <si>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</si>
  <si>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</si>
  <si>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</si>
  <si>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</si>
  <si>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</si>
  <si>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</si>
  <si>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</si>
  <si>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</si>
  <si>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</si>
  <si>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</si>
  <si>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</si>
  <si>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</si>
  <si>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</si>
  <si>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</si>
  <si>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</si>
  <si>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</si>
  <si>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</si>
  <si>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</si>
  <si>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</si>
  <si>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</si>
  <si>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</si>
  <si>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</si>
  <si>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</si>
  <si>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</si>
  <si>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</si>
  <si>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</si>
  <si>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</si>
  <si>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</si>
  <si>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</si>
  <si>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</si>
  <si>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</si>
  <si>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</si>
  <si>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</si>
  <si>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</si>
  <si>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</si>
  <si>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</si>
  <si>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</si>
  <si>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</si>
  <si>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</si>
  <si>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</si>
  <si>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</si>
  <si>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</si>
  <si>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</si>
  <si>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</si>
  <si>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</si>
  <si>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</si>
  <si>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</si>
  <si>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</si>
  <si>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</si>
  <si>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</si>
  <si>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</si>
  <si>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</si>
  <si>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</si>
  <si>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</si>
  <si>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</si>
  <si>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</si>
  <si>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</si>
  <si>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</si>
  <si>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</si>
  <si>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</si>
  <si>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</si>
  <si>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</si>
  <si>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</si>
  <si>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</si>
  <si>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</si>
  <si>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</si>
  <si>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</si>
  <si>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</si>
  <si>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</si>
  <si>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</si>
  <si>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</si>
  <si>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</si>
  <si>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</si>
  <si>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</si>
  <si>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</si>
  <si>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</si>
  <si>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</si>
  <si>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</si>
  <si>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</si>
  <si>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</si>
  <si>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</si>
  <si>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</si>
  <si>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</si>
  <si>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</si>
  <si>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</si>
  <si>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</si>
  <si>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</si>
  <si>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</si>
  <si>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</si>
  <si>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</si>
  <si>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</si>
  <si>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</si>
  <si>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</si>
  <si>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</si>
  <si>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</si>
  <si>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</si>
  <si>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</si>
  <si>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</si>
  <si>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</si>
  <si>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</si>
  <si>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</si>
  <si>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</si>
  <si>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</si>
  <si>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</si>
  <si>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</si>
  <si>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</si>
  <si>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</si>
  <si>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</si>
  <si>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</si>
  <si>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</si>
  <si>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</si>
  <si>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</si>
  <si>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</si>
  <si>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</si>
  <si>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</si>
  <si>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</si>
  <si>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</si>
  <si>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</si>
  <si>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</si>
  <si>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</si>
  <si>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</si>
  <si>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</si>
  <si>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</si>
  <si>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</si>
  <si>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</si>
  <si>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</si>
  <si>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</si>
  <si>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</si>
  <si>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</si>
  <si>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</si>
  <si>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</si>
  <si>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</si>
  <si>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</si>
  <si>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</si>
  <si>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</si>
  <si>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</si>
  <si>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</si>
  <si>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</si>
  <si>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</si>
  <si>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</si>
  <si>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</si>
  <si>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</si>
  <si>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</si>
  <si>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</si>
  <si>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</si>
  <si>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</si>
  <si>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</si>
  <si>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</si>
  <si>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</si>
  <si>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</si>
  <si>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</si>
  <si>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</si>
  <si>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</si>
  <si>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</si>
  <si>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</si>
  <si>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</si>
  <si>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</si>
  <si>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</si>
  <si>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</si>
  <si>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</si>
  <si>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</si>
  <si>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</si>
  <si>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</si>
  <si>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</si>
  <si>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</si>
  <si>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</si>
  <si>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</si>
  <si>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</si>
  <si>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</si>
  <si>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</si>
  <si>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</si>
  <si>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</si>
  <si>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</si>
  <si>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</si>
  <si>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</si>
  <si>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</si>
  <si>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</si>
  <si>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</si>
  <si>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</si>
  <si>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</si>
  <si>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</si>
  <si>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</si>
  <si>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</si>
  <si>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</si>
  <si>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</si>
  <si>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</si>
  <si>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</si>
  <si>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</si>
  <si>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</si>
  <si>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</si>
  <si>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</si>
  <si>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</si>
  <si>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</si>
  <si>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</si>
  <si>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</si>
  <si>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</si>
  <si>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</si>
  <si>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</si>
  <si>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</si>
  <si>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</si>
  <si>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</si>
  <si>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</si>
  <si>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</si>
  <si>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</si>
  <si>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</si>
  <si>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</si>
  <si>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</si>
  <si>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</si>
  <si>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</si>
  <si>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</si>
  <si>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</si>
  <si>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</si>
  <si>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</si>
  <si>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</si>
  <si>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</si>
  <si>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</si>
  <si>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Composição das Carteiras</t>
  </si>
  <si>
    <t xml:space="preserve">Índice Sharpe     </t>
  </si>
  <si>
    <t>Simulação do Portfólio</t>
  </si>
  <si>
    <t>/b-side-investimentos</t>
  </si>
  <si>
    <t>SÃO PAULO</t>
  </si>
  <si>
    <t>Avenida Horácio Lafer, 160 - 9º andar</t>
  </si>
  <si>
    <t>Itaim Bibi - São Paulo/SP</t>
  </si>
  <si>
    <t>CEP 04538-080</t>
  </si>
  <si>
    <t>Rua Bernardo Figueiredo, 33 - 12º andar</t>
  </si>
  <si>
    <t>Serra - Belo Horizonte/MG</t>
  </si>
  <si>
    <t>CEP 30220-140</t>
  </si>
  <si>
    <t>BELO HORIZONTE</t>
  </si>
  <si>
    <t>Saldo Inicial (01/01/2020)</t>
  </si>
  <si>
    <t>2020Jan.</t>
  </si>
  <si>
    <t>2020Fev.</t>
  </si>
  <si>
    <t>2020Mar.</t>
  </si>
  <si>
    <t>2020Abr.</t>
  </si>
  <si>
    <t>2020Mai.</t>
  </si>
  <si>
    <t>2020Jun.</t>
  </si>
  <si>
    <t>2020Jul.</t>
  </si>
  <si>
    <t>2020Ago.</t>
  </si>
  <si>
    <t>2020Set.</t>
  </si>
  <si>
    <t>Correlação (Fundos de Investimentos)</t>
  </si>
  <si>
    <t>Avisos / Disclaimers</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</si>
  <si>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</si>
  <si>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</si>
  <si>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</si>
  <si>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</si>
  <si>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</si>
  <si>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</si>
  <si>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</si>
  <si>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</si>
  <si>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</si>
  <si>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</si>
  <si>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</si>
  <si>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</si>
  <si>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</si>
  <si>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</si>
  <si>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</si>
  <si>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</si>
  <si>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</si>
  <si>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Títulos Corporativos - 5 anos (CDI+)</t>
  </si>
  <si>
    <t>contato@bsideinvestimentos.com.br</t>
  </si>
  <si>
    <t>http://bsideinvestimentos.com.br</t>
  </si>
  <si>
    <t>Títulos Corporativos - 7 anos (IPCA+)</t>
  </si>
  <si>
    <t>Sparta Max FIC FI RF CP LP</t>
  </si>
  <si>
    <t>d</t>
  </si>
  <si>
    <t>LFT 2025 - Liquidez Diária (Selic+)</t>
  </si>
  <si>
    <t>Títulos Bancários - Liquidez Diária (%CDI)</t>
  </si>
  <si>
    <t>FOCUS ASSESSORIA EM INVESTIMENTO LTDA</t>
  </si>
  <si>
    <t xml:space="preserve">STUDIO INVESTIMENTOS ADMINISTRADORA DE RECURSOS LTDA. </t>
  </si>
  <si>
    <t>TRIVELLA INVESTIMENTOS S.A.</t>
  </si>
  <si>
    <t>NCH CASH FIM</t>
  </si>
  <si>
    <t>HIGH GESTÃO E INVESTIMENTOS LTDA</t>
  </si>
  <si>
    <t>VÓRTX SERVIÇOS FIDUCIÁRIOS LTDA.</t>
  </si>
  <si>
    <t>NAVI YIELD - ADMINISTRADORA E GESTORA DE RECURSOS FINANCEIROS LTDA.</t>
  </si>
  <si>
    <t>WMR CAPITAL GESTORA DE RECURSOS LTDA.</t>
  </si>
  <si>
    <t>VINCI EQUILIBRIO PREV FIM</t>
  </si>
  <si>
    <t>Previdência Renda Fixa Duração Baixa Grau de Investimento</t>
  </si>
  <si>
    <t>JOURNEY CAPITAL ADMINISTRACAO DE RECURSOS LTDA</t>
  </si>
  <si>
    <t xml:space="preserve">MONGERAL AEGON INVESTIMENTOS LTDA </t>
  </si>
  <si>
    <t>HASHDEX GESTORA DE RECURSOS LTDA</t>
  </si>
  <si>
    <t>FACT INVESTMENTS GESTAO DE RECURSOS LTDA</t>
  </si>
  <si>
    <t>MILÊNIO CAPITAL GESTÃO DE INVESTIMENTOS LTDA.</t>
  </si>
  <si>
    <t>PNBY GESTORA DE RECURSOS LTDA.</t>
  </si>
  <si>
    <t>DEX CAPITAL GESTÃO DE RECURSOS LTDA.</t>
  </si>
  <si>
    <t>3J GESTORA DE RECURSOS LTDA. - ME</t>
  </si>
  <si>
    <t>ÓRAMA SINGULAR GESTÃO DE RECURSOS LTDA</t>
  </si>
  <si>
    <t>SAKS GESTÃO DE RECURSOS LTDA.</t>
  </si>
  <si>
    <t>STERNA CAPITAL GESTORA DE RECURSOS LTDA.</t>
  </si>
  <si>
    <t>SKADE CAPITAL GESTÃO DE INVESTMENTOS LTDA.</t>
  </si>
  <si>
    <t xml:space="preserve">MODAL DISTRIBUIDORA DE TITULOS E VALORES MOBILIARIOS LTDA </t>
  </si>
  <si>
    <t xml:space="preserve">EOS INVESTIMENTOS LTDA. </t>
  </si>
  <si>
    <t>TRÍGONO CAPITAL LTDA</t>
  </si>
  <si>
    <t>Moat Capital Equity Hedge FIC FIM</t>
  </si>
  <si>
    <t>NCH Cash FIM</t>
  </si>
  <si>
    <t>ICATU VANGUARDA FIC DE FIRF PLUS PREV</t>
  </si>
  <si>
    <t>Previdência Renda Fixa Duração Média Grau de Investimento</t>
  </si>
  <si>
    <t>OCCAM ICATU PREV FIC DE FIM</t>
  </si>
  <si>
    <t>WESTERN ASSET FIA BDR NIVEL I</t>
  </si>
  <si>
    <t>BTG PACTUAL PREV IMA-B FIC FI RF</t>
  </si>
  <si>
    <t>Previdência Renda Fixa Duração Alta Soberano</t>
  </si>
  <si>
    <t>VERDE AM ICATU PREV FIC DE FIM PREV</t>
  </si>
  <si>
    <t>AZ QUEST PREV ICATU LUCE FIC FIRF CP</t>
  </si>
  <si>
    <t>CAPITÂNIA CREDPREV ICATU FIC DE FIRF CP</t>
  </si>
  <si>
    <t>CAPITANIA PREV S.A.</t>
  </si>
  <si>
    <t>BTG PACTUAL TESOURO IPCA LON PREV FICRF</t>
  </si>
  <si>
    <t>ADAM BP PREV FIC FIM</t>
  </si>
  <si>
    <t>SPX LANCER BTGP PREV FIC FIM</t>
  </si>
  <si>
    <t>Previdência Renda Fixa Duração Livre Soberano</t>
  </si>
  <si>
    <t>ABSOLUTE ICATU I PREV FIC DE FIM</t>
  </si>
  <si>
    <t>NEO ARGO EQUITY HEDGE I FIC FIM</t>
  </si>
  <si>
    <t>SPARTA PREV B FIC FI RF CP</t>
  </si>
  <si>
    <t>Previdência Renda Fixa Duração Média Crédito Livre</t>
  </si>
  <si>
    <t>CLARITAS BTG PREV FI FIM</t>
  </si>
  <si>
    <t>MILES VIRTUS ICATU PREV QUALIFICADO FIC DE FIA</t>
  </si>
  <si>
    <t>REAL INVESTOR 70 PREV FI FIM</t>
  </si>
  <si>
    <t>TRIGONO 70 PREV FIC FI FIM</t>
  </si>
  <si>
    <t>MILES VIRTUS PREV II FIC FIA</t>
  </si>
  <si>
    <t>KADIMA LS BTG PACTUAL PREV FIC FI FIM</t>
  </si>
  <si>
    <t>KINEA PREV XTR II PLANOS ICATU FIC DE FIM</t>
  </si>
  <si>
    <t>ARX K2 PREV FIC FI FIM CRED PRIV</t>
  </si>
  <si>
    <t>FORPUS 70 PREV FIM</t>
  </si>
  <si>
    <t>TRÍGONO ICATU 100 FIA PREV</t>
  </si>
  <si>
    <t>SULAMÉRICA PREV FIC FI RF CP</t>
  </si>
  <si>
    <t>BTGP FIMI ACOES 100 PREV FIC FIA</t>
  </si>
  <si>
    <t>DAHLIA GLOBAL 50 PREV FIC FIM</t>
  </si>
  <si>
    <t>GIANT PREV BTG FIE FIC FIM</t>
  </si>
  <si>
    <t>FORPUS 100 ICATU PREV QUALIFICADO FIC DE FIA</t>
  </si>
  <si>
    <t>ALASKA PREV 100 FIC FI FIMI</t>
  </si>
  <si>
    <t>VINLAND MACRO BTG PACTUAL PREV FIC FIM</t>
  </si>
  <si>
    <t>LEGACY CAPITAL PREV BS FIC FIM</t>
  </si>
  <si>
    <t>BTG CORP PLUS PREV FC FI FIM CRED PRIV</t>
  </si>
  <si>
    <t>KAPITALO K10 GLOBAL BP PREV FIC FIM</t>
  </si>
  <si>
    <t>BTG PACTUAL MACRO HF FIE PREV FC FI FIM</t>
  </si>
  <si>
    <t>SPX LANCER PLUS XXX PREV FC FI FIM ACS</t>
  </si>
  <si>
    <t>GENOA CAPITAL CRUISE PREV BTG FIC FIM</t>
  </si>
  <si>
    <t>Western Asset FIA BDR Nivel I</t>
  </si>
  <si>
    <t>Neo Argo Equity Hedge I FIC FIM</t>
  </si>
  <si>
    <t>Nome Cliente</t>
  </si>
  <si>
    <t>2022Nov.</t>
  </si>
  <si>
    <t>Por Estratégia de Ativo</t>
  </si>
  <si>
    <t>Rentabilidade das Estratégias dos Ativos</t>
  </si>
  <si>
    <t>(B) ARX Denali</t>
  </si>
  <si>
    <t>DtRef</t>
  </si>
  <si>
    <t>Perfil</t>
  </si>
  <si>
    <t>TipoPerfil</t>
  </si>
  <si>
    <t>Peso</t>
  </si>
  <si>
    <t>PERFIL 5</t>
  </si>
  <si>
    <t>TÁTICO</t>
  </si>
  <si>
    <t>ESTRUTURAL</t>
  </si>
  <si>
    <t>PERFIL 4</t>
  </si>
  <si>
    <t>PERFIL 3</t>
  </si>
  <si>
    <t>PERFIL 2</t>
  </si>
  <si>
    <t>PERFIL 1</t>
  </si>
  <si>
    <t>Instruções de Atualização</t>
  </si>
  <si>
    <r>
      <rPr>
        <b/>
        <sz val="14"/>
        <color theme="1"/>
        <rFont val="Calibri"/>
        <family val="2"/>
        <scheme val="minor"/>
      </rPr>
      <t>1. Taxas Diárias:</t>
    </r>
    <r>
      <rPr>
        <sz val="14"/>
        <color theme="1"/>
        <rFont val="Calibri"/>
        <family val="2"/>
        <scheme val="minor"/>
      </rPr>
      <t xml:space="preserve"> atualiza Query automaticamente ao abrir o Excel. A fonte está em I:\GESTAO\5) Produtos\5.1) RUN e Pipeline\Curvas de Juros e Taxas Ref.xlsm</t>
    </r>
  </si>
  <si>
    <r>
      <rPr>
        <b/>
        <sz val="14"/>
        <color theme="1"/>
        <rFont val="Calibri"/>
        <family val="2"/>
        <scheme val="minor"/>
      </rPr>
      <t>2. Asset Allocation:</t>
    </r>
    <r>
      <rPr>
        <sz val="14"/>
        <color theme="1"/>
        <rFont val="Calibri"/>
        <family val="2"/>
        <scheme val="minor"/>
      </rPr>
      <t xml:space="preserve"> atualiza Query automaticamente ao abrir o Excel. A fonte está emI:\GESTAO\2) Asset Allocation\Asset Allocation\Asset Allocation.xlsm. A única coisa que é manual são os ranges do estrutural e o USD estrutural.</t>
    </r>
  </si>
  <si>
    <r>
      <rPr>
        <b/>
        <sz val="14"/>
        <color theme="1"/>
        <rFont val="Calibri"/>
        <family val="2"/>
        <scheme val="minor"/>
      </rPr>
      <t>5. Portfólio Modelo:</t>
    </r>
    <r>
      <rPr>
        <sz val="14"/>
        <color theme="1"/>
        <rFont val="Calibri"/>
        <family val="2"/>
        <scheme val="minor"/>
      </rPr>
      <t xml:space="preserve"> atualiza manualmente sob demanda</t>
    </r>
  </si>
  <si>
    <r>
      <t xml:space="preserve">4. Fund Guide: </t>
    </r>
    <r>
      <rPr>
        <sz val="14"/>
        <color theme="1"/>
        <rFont val="Calibri"/>
        <family val="2"/>
        <scheme val="minor"/>
      </rPr>
      <t>atualiza sob demanda (demora para rodar a Query).</t>
    </r>
  </si>
  <si>
    <r>
      <rPr>
        <b/>
        <sz val="14"/>
        <color theme="1"/>
        <rFont val="Calibri"/>
        <family val="2"/>
        <scheme val="minor"/>
      </rPr>
      <t>3. Produtos Selecionados:</t>
    </r>
    <r>
      <rPr>
        <sz val="14"/>
        <color theme="1"/>
        <rFont val="Calibri"/>
        <family val="2"/>
        <scheme val="minor"/>
      </rPr>
      <t xml:space="preserve"> roda automaticamente a macro ao abrir o Excel (fontes são: aba Fund Guide e RF &amp; RV Guide)</t>
    </r>
  </si>
  <si>
    <t>MSCI China</t>
  </si>
  <si>
    <t>MSCI Europe</t>
  </si>
  <si>
    <t>MSCI World</t>
  </si>
  <si>
    <t>MSCI EM</t>
  </si>
  <si>
    <t>USD Mín</t>
  </si>
  <si>
    <t>USD Máx.</t>
  </si>
  <si>
    <t>Access China Advantage Ag21 FIA IE</t>
  </si>
  <si>
    <t>Western Asset US Index 500 FIM</t>
  </si>
  <si>
    <t>ARX Macro FIC FIM</t>
  </si>
  <si>
    <t>ARX Everest FIC FIRF CP</t>
  </si>
  <si>
    <t>ARX Income FIC FIA</t>
  </si>
  <si>
    <t>SPX Nimitz Feeder FIC de FIM</t>
  </si>
  <si>
    <t>BTG Pactual Cred Corp Plus FI RF CP</t>
  </si>
  <si>
    <t>ARX Elbrus Pro FI Infraestrutura RF</t>
  </si>
  <si>
    <t>Vinland Macro Plus FIC FIM</t>
  </si>
  <si>
    <t>Vinland RF Ativo LP FIC FI</t>
  </si>
  <si>
    <t>Itau Optimus RF Longo Prazo Distribuidores FIC FI</t>
  </si>
  <si>
    <t>Truxt I Valor FIC FIA</t>
  </si>
  <si>
    <t>Ibiuna Total Credit FIC FIM CP</t>
  </si>
  <si>
    <t>M8 Credit Opportunities FIC FIM CP</t>
  </si>
  <si>
    <t>Tenax Macro FIC FIM</t>
  </si>
  <si>
    <t>Mar Absoluto FIC FIM</t>
  </si>
  <si>
    <t>SPX Falcon Access FIC FIA</t>
  </si>
  <si>
    <t>Pimco Income FIC FIM IE</t>
  </si>
  <si>
    <t>BTGP Mobius Emerging Markets FIM IE</t>
  </si>
  <si>
    <t>Sparta Top FIC RF CP LP</t>
  </si>
  <si>
    <t>M Ca II FIC FIM CP</t>
  </si>
  <si>
    <t>Kapitalo Kappa Access FIC MM</t>
  </si>
  <si>
    <t>JGP Corporate Plus FIC FIM CP</t>
  </si>
  <si>
    <t>M8 Capital Plus FI RF CP LP</t>
  </si>
  <si>
    <t>SPX Seahawk Access FIC RF CP LP</t>
  </si>
  <si>
    <t>SPX Patriot FIC FIA</t>
  </si>
  <si>
    <t>Augme 90 FIC FIM CP</t>
  </si>
  <si>
    <t>BTG Pactual Digital Dolar FI Cambial</t>
  </si>
  <si>
    <t>BTG Pactual Ouro USD FI MM</t>
  </si>
  <si>
    <t>BTG Pactual Ouro FIM</t>
  </si>
  <si>
    <t>BTG PACTUAL TESOURO SELIC PREV FI RF REF DI</t>
  </si>
  <si>
    <t>XP SEG HORIZONTE FC FI RF PREV</t>
  </si>
  <si>
    <t>XP VISTA ASSET MANAGEMENT LTDA.</t>
  </si>
  <si>
    <t>CAPITANIA PREV BP FI RF CP</t>
  </si>
  <si>
    <t>IBIUNA ST PREV FIC FIM CP ACCESS</t>
  </si>
  <si>
    <t>ABSOLUTE HIDRA CDI FIC INCENTIVADOS INFRA RF CP</t>
  </si>
  <si>
    <t>ABSOLUTE CRÉDITO GESTÃO DE INVESTIMENTOS LTDA.</t>
  </si>
  <si>
    <t>Absolute Hidra CDI FIC Incentivados Infra RF CP</t>
  </si>
  <si>
    <t>Classe (Gráfico)</t>
  </si>
  <si>
    <t>ARX Denali</t>
  </si>
  <si>
    <t>Everest High Yield - E1</t>
  </si>
  <si>
    <t>BTG Pactual Deb. Inc. Inflação Infra RF</t>
  </si>
  <si>
    <t>ARX Elbrus FI Infraestrutura</t>
  </si>
  <si>
    <t>Pré Média (4-5)</t>
  </si>
  <si>
    <t>Inflação Curta (0-3)</t>
  </si>
  <si>
    <t>Inflação Média (4-6)</t>
  </si>
  <si>
    <t>Onshore/Offshore</t>
  </si>
  <si>
    <t>563404</t>
  </si>
  <si>
    <t>Onshore</t>
  </si>
  <si>
    <t>542407</t>
  </si>
  <si>
    <t>400531</t>
  </si>
  <si>
    <t>588881</t>
  </si>
  <si>
    <t>423084</t>
  </si>
  <si>
    <t>213705</t>
  </si>
  <si>
    <t>213691</t>
  </si>
  <si>
    <t>531715</t>
  </si>
  <si>
    <t>396729</t>
  </si>
  <si>
    <t>519790</t>
  </si>
  <si>
    <t>350273</t>
  </si>
  <si>
    <t>677299</t>
  </si>
  <si>
    <t>476781</t>
  </si>
  <si>
    <t>585971</t>
  </si>
  <si>
    <t>485675</t>
  </si>
  <si>
    <t>499943</t>
  </si>
  <si>
    <t>484350</t>
  </si>
  <si>
    <t>348341</t>
  </si>
  <si>
    <t>465488</t>
  </si>
  <si>
    <t>410901</t>
  </si>
  <si>
    <t>507113</t>
  </si>
  <si>
    <t>507083</t>
  </si>
  <si>
    <t>555886</t>
  </si>
  <si>
    <t>431011</t>
  </si>
  <si>
    <t>388041</t>
  </si>
  <si>
    <t>390887</t>
  </si>
  <si>
    <t>569062</t>
  </si>
  <si>
    <t>428582</t>
  </si>
  <si>
    <t>440922</t>
  </si>
  <si>
    <t>659622</t>
  </si>
  <si>
    <t>125466</t>
  </si>
  <si>
    <t>616370</t>
  </si>
  <si>
    <t>639605</t>
  </si>
  <si>
    <t>550681</t>
  </si>
  <si>
    <t>286664</t>
  </si>
  <si>
    <t>622435</t>
  </si>
  <si>
    <t>440906</t>
  </si>
  <si>
    <t>634697</t>
  </si>
  <si>
    <t>253154</t>
  </si>
  <si>
    <t>509061</t>
  </si>
  <si>
    <t>668443</t>
  </si>
  <si>
    <t>533432</t>
  </si>
  <si>
    <t>416762</t>
  </si>
  <si>
    <t>458953</t>
  </si>
  <si>
    <t>416770</t>
  </si>
  <si>
    <t>459526</t>
  </si>
  <si>
    <t>443921</t>
  </si>
  <si>
    <t>459518</t>
  </si>
  <si>
    <t>443123</t>
  </si>
  <si>
    <t>443999</t>
  </si>
  <si>
    <t>547166</t>
  </si>
  <si>
    <t>216658</t>
  </si>
  <si>
    <t>462276</t>
  </si>
  <si>
    <t>242322</t>
  </si>
  <si>
    <t>509892</t>
  </si>
  <si>
    <t>267163</t>
  </si>
  <si>
    <t>432105</t>
  </si>
  <si>
    <t>435325</t>
  </si>
  <si>
    <t>567681</t>
  </si>
  <si>
    <t>268127</t>
  </si>
  <si>
    <t>190330</t>
  </si>
  <si>
    <t>511005</t>
  </si>
  <si>
    <t>59447</t>
  </si>
  <si>
    <t>502766</t>
  </si>
  <si>
    <t>475696</t>
  </si>
  <si>
    <t>446394</t>
  </si>
  <si>
    <t>527874</t>
  </si>
  <si>
    <t>540188</t>
  </si>
  <si>
    <t>615307</t>
  </si>
  <si>
    <t>463825</t>
  </si>
  <si>
    <t>ANGÁ CRÉDITO ESTRUTURADO FIC FIM CP</t>
  </si>
  <si>
    <t>416649</t>
  </si>
  <si>
    <t>491391</t>
  </si>
  <si>
    <t>476250</t>
  </si>
  <si>
    <t>212660</t>
  </si>
  <si>
    <t>541079</t>
  </si>
  <si>
    <t>311502</t>
  </si>
  <si>
    <t>566101</t>
  </si>
  <si>
    <t>292540</t>
  </si>
  <si>
    <t>576743</t>
  </si>
  <si>
    <t>333115</t>
  </si>
  <si>
    <t>311456</t>
  </si>
  <si>
    <t>455482</t>
  </si>
  <si>
    <t>534706</t>
  </si>
  <si>
    <t>455539</t>
  </si>
  <si>
    <t>544965</t>
  </si>
  <si>
    <t>610933</t>
  </si>
  <si>
    <t>527882</t>
  </si>
  <si>
    <t>187941</t>
  </si>
  <si>
    <t>379360</t>
  </si>
  <si>
    <t>393959</t>
  </si>
  <si>
    <t>593151</t>
  </si>
  <si>
    <t>631108</t>
  </si>
  <si>
    <t>366706</t>
  </si>
  <si>
    <t>537454</t>
  </si>
  <si>
    <t>511897</t>
  </si>
  <si>
    <t>501476</t>
  </si>
  <si>
    <t>637157</t>
  </si>
  <si>
    <t>494747</t>
  </si>
  <si>
    <t>371688</t>
  </si>
  <si>
    <t>420530</t>
  </si>
  <si>
    <t>221201</t>
  </si>
  <si>
    <t>514594</t>
  </si>
  <si>
    <t>474819</t>
  </si>
  <si>
    <t>480274</t>
  </si>
  <si>
    <t>670189</t>
  </si>
  <si>
    <t>477664</t>
  </si>
  <si>
    <t>547263</t>
  </si>
  <si>
    <t>485357</t>
  </si>
  <si>
    <t>129925</t>
  </si>
  <si>
    <t>93386</t>
  </si>
  <si>
    <t>67229</t>
  </si>
  <si>
    <t>542717</t>
  </si>
  <si>
    <t>216542</t>
  </si>
  <si>
    <t>603996</t>
  </si>
  <si>
    <t>398322</t>
  </si>
  <si>
    <t>474843</t>
  </si>
  <si>
    <t>375918</t>
  </si>
  <si>
    <t>592854</t>
  </si>
  <si>
    <t>592455</t>
  </si>
  <si>
    <t>626007</t>
  </si>
  <si>
    <t>625906</t>
  </si>
  <si>
    <t>484156</t>
  </si>
  <si>
    <t>568945</t>
  </si>
  <si>
    <t>616338</t>
  </si>
  <si>
    <t>383651</t>
  </si>
  <si>
    <t>481769</t>
  </si>
  <si>
    <t>375322</t>
  </si>
  <si>
    <t>367427</t>
  </si>
  <si>
    <t>407194</t>
  </si>
  <si>
    <t>320358</t>
  </si>
  <si>
    <t>532339</t>
  </si>
  <si>
    <t>599190</t>
  </si>
  <si>
    <t>655521</t>
  </si>
  <si>
    <t>523496</t>
  </si>
  <si>
    <t>291781</t>
  </si>
  <si>
    <t>332232</t>
  </si>
  <si>
    <t>492221</t>
  </si>
  <si>
    <t>506060</t>
  </si>
  <si>
    <t>145327</t>
  </si>
  <si>
    <t>414141</t>
  </si>
  <si>
    <t>578381</t>
  </si>
  <si>
    <t>428515</t>
  </si>
  <si>
    <t>423394</t>
  </si>
  <si>
    <t>198978</t>
  </si>
  <si>
    <t>221260</t>
  </si>
  <si>
    <t>412449</t>
  </si>
  <si>
    <t>350631</t>
  </si>
  <si>
    <t>437468</t>
  </si>
  <si>
    <t>423572</t>
  </si>
  <si>
    <t>240737</t>
  </si>
  <si>
    <t>539643</t>
  </si>
  <si>
    <t>403822</t>
  </si>
  <si>
    <t>288888</t>
  </si>
  <si>
    <t>296139</t>
  </si>
  <si>
    <t>369888</t>
  </si>
  <si>
    <t>314331</t>
  </si>
  <si>
    <t>566241</t>
  </si>
  <si>
    <t>210269</t>
  </si>
  <si>
    <t>410314</t>
  </si>
  <si>
    <t>526789</t>
  </si>
  <si>
    <t>455156</t>
  </si>
  <si>
    <t>323683</t>
  </si>
  <si>
    <t>210277</t>
  </si>
  <si>
    <t>253839</t>
  </si>
  <si>
    <t>421162</t>
  </si>
  <si>
    <t>542520</t>
  </si>
  <si>
    <t>546534</t>
  </si>
  <si>
    <t>553875</t>
  </si>
  <si>
    <t>505341</t>
  </si>
  <si>
    <t>570451</t>
  </si>
  <si>
    <t>613231</t>
  </si>
  <si>
    <t>621285</t>
  </si>
  <si>
    <t>644498</t>
  </si>
  <si>
    <t>651222</t>
  </si>
  <si>
    <t>505234</t>
  </si>
  <si>
    <t>570461</t>
  </si>
  <si>
    <t>505323</t>
  </si>
  <si>
    <t>351164</t>
  </si>
  <si>
    <t>158666</t>
  </si>
  <si>
    <t>254843</t>
  </si>
  <si>
    <t>566039</t>
  </si>
  <si>
    <t>582670</t>
  </si>
  <si>
    <t>501794</t>
  </si>
  <si>
    <t>501859</t>
  </si>
  <si>
    <t>501891</t>
  </si>
  <si>
    <t>600547</t>
  </si>
  <si>
    <t>548936</t>
  </si>
  <si>
    <t>529125</t>
  </si>
  <si>
    <t>581410</t>
  </si>
  <si>
    <t>601322</t>
  </si>
  <si>
    <t>497258</t>
  </si>
  <si>
    <t>559741</t>
  </si>
  <si>
    <t>253091</t>
  </si>
  <si>
    <t>287393</t>
  </si>
  <si>
    <t>459453</t>
  </si>
  <si>
    <t>576859</t>
  </si>
  <si>
    <t>107816</t>
  </si>
  <si>
    <t>432016</t>
  </si>
  <si>
    <t>217018</t>
  </si>
  <si>
    <t>478210</t>
  </si>
  <si>
    <t>170437</t>
  </si>
  <si>
    <t>56448</t>
  </si>
  <si>
    <t>385883</t>
  </si>
  <si>
    <t>237191</t>
  </si>
  <si>
    <t>218111</t>
  </si>
  <si>
    <t>143529</t>
  </si>
  <si>
    <t>548294</t>
  </si>
  <si>
    <t>339423</t>
  </si>
  <si>
    <t>483036</t>
  </si>
  <si>
    <t>305261</t>
  </si>
  <si>
    <t>212962</t>
  </si>
  <si>
    <t>602353</t>
  </si>
  <si>
    <t>463302</t>
  </si>
  <si>
    <t>586625</t>
  </si>
  <si>
    <t>508039</t>
  </si>
  <si>
    <t>527017</t>
  </si>
  <si>
    <t>484040</t>
  </si>
  <si>
    <t>509541</t>
  </si>
  <si>
    <t>485683</t>
  </si>
  <si>
    <t>508608</t>
  </si>
  <si>
    <t>483214</t>
  </si>
  <si>
    <t>483222</t>
  </si>
  <si>
    <t>537373</t>
  </si>
  <si>
    <t>567477</t>
  </si>
  <si>
    <t>502464</t>
  </si>
  <si>
    <t>636797</t>
  </si>
  <si>
    <t>452319</t>
  </si>
  <si>
    <t>563188</t>
  </si>
  <si>
    <t>593672</t>
  </si>
  <si>
    <t>541680</t>
  </si>
  <si>
    <t>556432</t>
  </si>
  <si>
    <t>563153</t>
  </si>
  <si>
    <t>507865</t>
  </si>
  <si>
    <t>531855</t>
  </si>
  <si>
    <t>531626</t>
  </si>
  <si>
    <t>629588</t>
  </si>
  <si>
    <t>14761</t>
  </si>
  <si>
    <t>557821</t>
  </si>
  <si>
    <t>557471</t>
  </si>
  <si>
    <t>198935</t>
  </si>
  <si>
    <t>311774</t>
  </si>
  <si>
    <t>529222</t>
  </si>
  <si>
    <t>617539</t>
  </si>
  <si>
    <t>219436</t>
  </si>
  <si>
    <t>593397</t>
  </si>
  <si>
    <t>425524</t>
  </si>
  <si>
    <t>492558</t>
  </si>
  <si>
    <t>180246</t>
  </si>
  <si>
    <t>305121</t>
  </si>
  <si>
    <t>245062</t>
  </si>
  <si>
    <t>534331</t>
  </si>
  <si>
    <t>528889</t>
  </si>
  <si>
    <t>535451</t>
  </si>
  <si>
    <t>129100</t>
  </si>
  <si>
    <t>459984</t>
  </si>
  <si>
    <t>108741</t>
  </si>
  <si>
    <t>181722</t>
  </si>
  <si>
    <t>505501</t>
  </si>
  <si>
    <t>586870</t>
  </si>
  <si>
    <t>586889</t>
  </si>
  <si>
    <t>648604</t>
  </si>
  <si>
    <t>613657</t>
  </si>
  <si>
    <t>616125</t>
  </si>
  <si>
    <t>433772</t>
  </si>
  <si>
    <t>520111</t>
  </si>
  <si>
    <t>287342</t>
  </si>
  <si>
    <t>407771</t>
  </si>
  <si>
    <t>408565</t>
  </si>
  <si>
    <t>252311</t>
  </si>
  <si>
    <t>296961</t>
  </si>
  <si>
    <t>551831</t>
  </si>
  <si>
    <t>314153</t>
  </si>
  <si>
    <t>108081</t>
  </si>
  <si>
    <t>400513</t>
  </si>
  <si>
    <t>613398</t>
  </si>
  <si>
    <t>91367</t>
  </si>
  <si>
    <t>311715</t>
  </si>
  <si>
    <t>453420</t>
  </si>
  <si>
    <t>293075</t>
  </si>
  <si>
    <t>500399</t>
  </si>
  <si>
    <t>634778</t>
  </si>
  <si>
    <t>388491</t>
  </si>
  <si>
    <t>506893</t>
  </si>
  <si>
    <t>543128</t>
  </si>
  <si>
    <t>483400</t>
  </si>
  <si>
    <t>503681</t>
  </si>
  <si>
    <t>483397</t>
  </si>
  <si>
    <t>494828</t>
  </si>
  <si>
    <t>70815</t>
  </si>
  <si>
    <t>563242</t>
  </si>
  <si>
    <t>206032</t>
  </si>
  <si>
    <t>555401</t>
  </si>
  <si>
    <t>551252</t>
  </si>
  <si>
    <t>249378</t>
  </si>
  <si>
    <t>640492</t>
  </si>
  <si>
    <t>212385</t>
  </si>
  <si>
    <t>644781</t>
  </si>
  <si>
    <t>22780</t>
  </si>
  <si>
    <t>503576</t>
  </si>
  <si>
    <t>503606</t>
  </si>
  <si>
    <t>204579</t>
  </si>
  <si>
    <t>548065</t>
  </si>
  <si>
    <t>208728</t>
  </si>
  <si>
    <t>637610</t>
  </si>
  <si>
    <t>633216</t>
  </si>
  <si>
    <t>236977</t>
  </si>
  <si>
    <t>585378</t>
  </si>
  <si>
    <t>498874</t>
  </si>
  <si>
    <t>534341</t>
  </si>
  <si>
    <t>402486</t>
  </si>
  <si>
    <t>387150</t>
  </si>
  <si>
    <t>617083</t>
  </si>
  <si>
    <t>589421</t>
  </si>
  <si>
    <t>589381</t>
  </si>
  <si>
    <t>582425</t>
  </si>
  <si>
    <t>626198</t>
  </si>
  <si>
    <t>606261</t>
  </si>
  <si>
    <t>490164</t>
  </si>
  <si>
    <t>535370</t>
  </si>
  <si>
    <t>534803</t>
  </si>
  <si>
    <t>611301</t>
  </si>
  <si>
    <t>533718</t>
  </si>
  <si>
    <t>215163</t>
  </si>
  <si>
    <t>458163</t>
  </si>
  <si>
    <t>377546</t>
  </si>
  <si>
    <t>631264</t>
  </si>
  <si>
    <t>204102</t>
  </si>
  <si>
    <t>547999</t>
  </si>
  <si>
    <t>465127</t>
  </si>
  <si>
    <t>108766</t>
  </si>
  <si>
    <t>491225</t>
  </si>
  <si>
    <t>417971</t>
  </si>
  <si>
    <t>336246</t>
  </si>
  <si>
    <t>417017</t>
  </si>
  <si>
    <t>448370</t>
  </si>
  <si>
    <t>327840</t>
  </si>
  <si>
    <t>648582</t>
  </si>
  <si>
    <t>634824</t>
  </si>
  <si>
    <t>555509</t>
  </si>
  <si>
    <t>537942</t>
  </si>
  <si>
    <t>483516</t>
  </si>
  <si>
    <t>482315</t>
  </si>
  <si>
    <t>558885</t>
  </si>
  <si>
    <t>558877</t>
  </si>
  <si>
    <t>471682</t>
  </si>
  <si>
    <t>588857</t>
  </si>
  <si>
    <t>563471</t>
  </si>
  <si>
    <t>552275</t>
  </si>
  <si>
    <t>411051</t>
  </si>
  <si>
    <t>412155</t>
  </si>
  <si>
    <t>410802</t>
  </si>
  <si>
    <t>541508</t>
  </si>
  <si>
    <t>412570</t>
  </si>
  <si>
    <t>143359</t>
  </si>
  <si>
    <t>72176</t>
  </si>
  <si>
    <t>180734</t>
  </si>
  <si>
    <t>200565</t>
  </si>
  <si>
    <t>204285</t>
  </si>
  <si>
    <t>213403</t>
  </si>
  <si>
    <t>142468</t>
  </si>
  <si>
    <t>501646</t>
  </si>
  <si>
    <t>208401</t>
  </si>
  <si>
    <t>551201</t>
  </si>
  <si>
    <t>359890</t>
  </si>
  <si>
    <t>62812</t>
  </si>
  <si>
    <t>412171</t>
  </si>
  <si>
    <t>372986</t>
  </si>
  <si>
    <t>450944</t>
  </si>
  <si>
    <t>125970</t>
  </si>
  <si>
    <t>405469</t>
  </si>
  <si>
    <t>474045</t>
  </si>
  <si>
    <t>284211</t>
  </si>
  <si>
    <t>631256</t>
  </si>
  <si>
    <t>631507</t>
  </si>
  <si>
    <t>455431</t>
  </si>
  <si>
    <t>456217</t>
  </si>
  <si>
    <t>322733</t>
  </si>
  <si>
    <t>271020</t>
  </si>
  <si>
    <t>512869</t>
  </si>
  <si>
    <t>455210</t>
  </si>
  <si>
    <t>456381</t>
  </si>
  <si>
    <t>410942</t>
  </si>
  <si>
    <t>614548</t>
  </si>
  <si>
    <t>441104</t>
  </si>
  <si>
    <t>579076</t>
  </si>
  <si>
    <t>484504</t>
  </si>
  <si>
    <t>381934</t>
  </si>
  <si>
    <t>636614</t>
  </si>
  <si>
    <t>481467</t>
  </si>
  <si>
    <t>403806</t>
  </si>
  <si>
    <t>284491</t>
  </si>
  <si>
    <t>532541</t>
  </si>
  <si>
    <t>425559</t>
  </si>
  <si>
    <t>591904</t>
  </si>
  <si>
    <t>366471</t>
  </si>
  <si>
    <t>367745</t>
  </si>
  <si>
    <t>383732</t>
  </si>
  <si>
    <t>470724</t>
  </si>
  <si>
    <t>604887</t>
  </si>
  <si>
    <t>409804</t>
  </si>
  <si>
    <t>259047</t>
  </si>
  <si>
    <t>497843</t>
  </si>
  <si>
    <t>248185</t>
  </si>
  <si>
    <t>488623</t>
  </si>
  <si>
    <t>462888</t>
  </si>
  <si>
    <t>113190</t>
  </si>
  <si>
    <t>288561</t>
  </si>
  <si>
    <t>230065</t>
  </si>
  <si>
    <t>505668</t>
  </si>
  <si>
    <t>109241</t>
  </si>
  <si>
    <t>483311</t>
  </si>
  <si>
    <t>464597</t>
  </si>
  <si>
    <t>241210</t>
  </si>
  <si>
    <t>245755</t>
  </si>
  <si>
    <t>594482</t>
  </si>
  <si>
    <t>376711</t>
  </si>
  <si>
    <t>616011</t>
  </si>
  <si>
    <t>594474</t>
  </si>
  <si>
    <t>520901</t>
  </si>
  <si>
    <t>566012</t>
  </si>
  <si>
    <t>583472</t>
  </si>
  <si>
    <t>583502</t>
  </si>
  <si>
    <t>566179</t>
  </si>
  <si>
    <t>462802</t>
  </si>
  <si>
    <t>236942</t>
  </si>
  <si>
    <t>539570</t>
  </si>
  <si>
    <t>617067</t>
  </si>
  <si>
    <t>264611</t>
  </si>
  <si>
    <t>471569</t>
  </si>
  <si>
    <t>558907</t>
  </si>
  <si>
    <t>449792</t>
  </si>
  <si>
    <t>539082</t>
  </si>
  <si>
    <t>320757</t>
  </si>
  <si>
    <t>534757</t>
  </si>
  <si>
    <t>544884</t>
  </si>
  <si>
    <t>549576</t>
  </si>
  <si>
    <t>487392</t>
  </si>
  <si>
    <t>418846</t>
  </si>
  <si>
    <t>483540</t>
  </si>
  <si>
    <t>524621</t>
  </si>
  <si>
    <t>452688</t>
  </si>
  <si>
    <t>271276</t>
  </si>
  <si>
    <t>524638</t>
  </si>
  <si>
    <t>469742</t>
  </si>
  <si>
    <t>447951</t>
  </si>
  <si>
    <t>460532</t>
  </si>
  <si>
    <t>520136</t>
  </si>
  <si>
    <t>487597</t>
  </si>
  <si>
    <t>487600</t>
  </si>
  <si>
    <t>313114</t>
  </si>
  <si>
    <t>262358</t>
  </si>
  <si>
    <t>357898</t>
  </si>
  <si>
    <t>514144</t>
  </si>
  <si>
    <t>478156</t>
  </si>
  <si>
    <t>498701</t>
  </si>
  <si>
    <t>443093</t>
  </si>
  <si>
    <t>97081</t>
  </si>
  <si>
    <t>433004</t>
  </si>
  <si>
    <t>392111</t>
  </si>
  <si>
    <t>462349</t>
  </si>
  <si>
    <t>0</t>
  </si>
  <si>
    <t>548774</t>
  </si>
  <si>
    <t>21369</t>
  </si>
  <si>
    <t>7552</t>
  </si>
  <si>
    <t>286109</t>
  </si>
  <si>
    <t>210587</t>
  </si>
  <si>
    <t>521574</t>
  </si>
  <si>
    <t>520152</t>
  </si>
  <si>
    <t>448842</t>
  </si>
  <si>
    <t>423637</t>
  </si>
  <si>
    <t>89796</t>
  </si>
  <si>
    <t>493228</t>
  </si>
  <si>
    <t>219746</t>
  </si>
  <si>
    <t>147753</t>
  </si>
  <si>
    <t>343889</t>
  </si>
  <si>
    <t>321303</t>
  </si>
  <si>
    <t>308404</t>
  </si>
  <si>
    <t>40177</t>
  </si>
  <si>
    <t>344435</t>
  </si>
  <si>
    <t>352691</t>
  </si>
  <si>
    <t>530042</t>
  </si>
  <si>
    <t>553794</t>
  </si>
  <si>
    <t>497673</t>
  </si>
  <si>
    <t>561071</t>
  </si>
  <si>
    <t>518174</t>
  </si>
  <si>
    <t>466999</t>
  </si>
  <si>
    <t>588849</t>
  </si>
  <si>
    <t>470473</t>
  </si>
  <si>
    <t>259624</t>
  </si>
  <si>
    <t>431923</t>
  </si>
  <si>
    <t>19119</t>
  </si>
  <si>
    <t>524433</t>
  </si>
  <si>
    <t>403679</t>
  </si>
  <si>
    <t>259640</t>
  </si>
  <si>
    <t>289140</t>
  </si>
  <si>
    <t>223131</t>
  </si>
  <si>
    <t>126251</t>
  </si>
  <si>
    <t>554588</t>
  </si>
  <si>
    <t>443328</t>
  </si>
  <si>
    <t>263168</t>
  </si>
  <si>
    <t>287288</t>
  </si>
  <si>
    <t>644668</t>
  </si>
  <si>
    <t>564540</t>
  </si>
  <si>
    <t>352349</t>
  </si>
  <si>
    <t>581259</t>
  </si>
  <si>
    <t>412112</t>
  </si>
  <si>
    <t>488569</t>
  </si>
  <si>
    <t>654957</t>
  </si>
  <si>
    <t>573256</t>
  </si>
  <si>
    <t>573231</t>
  </si>
  <si>
    <t>511943</t>
  </si>
  <si>
    <t>644651</t>
  </si>
  <si>
    <t>547409</t>
  </si>
  <si>
    <t>568872</t>
  </si>
  <si>
    <t>567833</t>
  </si>
  <si>
    <t>568007</t>
  </si>
  <si>
    <t>464635</t>
  </si>
  <si>
    <t>568740</t>
  </si>
  <si>
    <t>251429</t>
  </si>
  <si>
    <t>308374</t>
  </si>
  <si>
    <t>497339</t>
  </si>
  <si>
    <t>606979</t>
  </si>
  <si>
    <t>429661</t>
  </si>
  <si>
    <t>551791</t>
  </si>
  <si>
    <t>550175</t>
  </si>
  <si>
    <t>560081</t>
  </si>
  <si>
    <t>448168</t>
  </si>
  <si>
    <t>370126</t>
  </si>
  <si>
    <t>526908</t>
  </si>
  <si>
    <t>625566</t>
  </si>
  <si>
    <t>503703</t>
  </si>
  <si>
    <t>24813</t>
  </si>
  <si>
    <t>236357</t>
  </si>
  <si>
    <t>408840</t>
  </si>
  <si>
    <t>20583</t>
  </si>
  <si>
    <t>235261</t>
  </si>
  <si>
    <t>275591</t>
  </si>
  <si>
    <t>483761</t>
  </si>
  <si>
    <t>434213</t>
  </si>
  <si>
    <t>621692</t>
  </si>
  <si>
    <t>616826</t>
  </si>
  <si>
    <t>295183</t>
  </si>
  <si>
    <t>270369</t>
  </si>
  <si>
    <t>269026</t>
  </si>
  <si>
    <t>360600</t>
  </si>
  <si>
    <t>216178</t>
  </si>
  <si>
    <t>566071</t>
  </si>
  <si>
    <t>543561</t>
  </si>
  <si>
    <t>394181</t>
  </si>
  <si>
    <t>551007</t>
  </si>
  <si>
    <t>583391</t>
  </si>
  <si>
    <t>553719</t>
  </si>
  <si>
    <t>470627</t>
  </si>
  <si>
    <t>61311</t>
  </si>
  <si>
    <t>500712</t>
  </si>
  <si>
    <t>585084</t>
  </si>
  <si>
    <t>349232</t>
  </si>
  <si>
    <t>75686811</t>
  </si>
  <si>
    <t>586897</t>
  </si>
  <si>
    <t>524859</t>
  </si>
  <si>
    <t>568651</t>
  </si>
  <si>
    <t>568686</t>
  </si>
  <si>
    <t>550086</t>
  </si>
  <si>
    <t>555061</t>
  </si>
  <si>
    <t>536547</t>
  </si>
  <si>
    <t>609323</t>
  </si>
  <si>
    <t>541338</t>
  </si>
  <si>
    <t>109630</t>
  </si>
  <si>
    <t>99589</t>
  </si>
  <si>
    <t>483788</t>
  </si>
  <si>
    <t>355283</t>
  </si>
  <si>
    <t>355259</t>
  </si>
  <si>
    <t>416665</t>
  </si>
  <si>
    <t>611069</t>
  </si>
  <si>
    <t>545651</t>
  </si>
  <si>
    <t>449822</t>
  </si>
  <si>
    <t>553344</t>
  </si>
  <si>
    <t>452653</t>
  </si>
  <si>
    <t>226025</t>
  </si>
  <si>
    <t>380776</t>
  </si>
  <si>
    <t>425257</t>
  </si>
  <si>
    <t>436070</t>
  </si>
  <si>
    <t>344095</t>
  </si>
  <si>
    <t>211788</t>
  </si>
  <si>
    <t>211796</t>
  </si>
  <si>
    <t>476080</t>
  </si>
  <si>
    <t>539538</t>
  </si>
  <si>
    <t>415391</t>
  </si>
  <si>
    <t>593559</t>
  </si>
  <si>
    <t>645710</t>
  </si>
  <si>
    <t>541941</t>
  </si>
  <si>
    <t>541419</t>
  </si>
  <si>
    <t>482641</t>
  </si>
  <si>
    <t>454117</t>
  </si>
  <si>
    <t>557021</t>
  </si>
  <si>
    <t>441996</t>
  </si>
  <si>
    <t>478385</t>
  </si>
  <si>
    <t>539740</t>
  </si>
  <si>
    <t>564303</t>
  </si>
  <si>
    <t>481645</t>
  </si>
  <si>
    <t>340091</t>
  </si>
  <si>
    <t>592366</t>
  </si>
  <si>
    <t>555959</t>
  </si>
  <si>
    <t>592528</t>
  </si>
  <si>
    <t>591191</t>
  </si>
  <si>
    <t>576891</t>
  </si>
  <si>
    <t>579459</t>
  </si>
  <si>
    <t>361402</t>
  </si>
  <si>
    <t>141720</t>
  </si>
  <si>
    <t>199567</t>
  </si>
  <si>
    <t>535151</t>
  </si>
  <si>
    <t>552291</t>
  </si>
  <si>
    <t>176400</t>
  </si>
  <si>
    <t>349011</t>
  </si>
  <si>
    <t>420591</t>
  </si>
  <si>
    <t>214019</t>
  </si>
  <si>
    <t>581038</t>
  </si>
  <si>
    <t>602701</t>
  </si>
  <si>
    <t>504505</t>
  </si>
  <si>
    <t>501506</t>
  </si>
  <si>
    <t>518514</t>
  </si>
  <si>
    <t>555071</t>
  </si>
  <si>
    <t>568929</t>
  </si>
  <si>
    <t>484768</t>
  </si>
  <si>
    <t>558958</t>
  </si>
  <si>
    <t>417122</t>
  </si>
  <si>
    <t>323950</t>
  </si>
  <si>
    <t>407496</t>
  </si>
  <si>
    <t>458406</t>
  </si>
  <si>
    <t>443311</t>
  </si>
  <si>
    <t>523453</t>
  </si>
  <si>
    <t>553174</t>
  </si>
  <si>
    <t>132500</t>
  </si>
  <si>
    <t>545661</t>
  </si>
  <si>
    <t>475467</t>
  </si>
  <si>
    <t>546887</t>
  </si>
  <si>
    <t>432814</t>
  </si>
  <si>
    <t>282219</t>
  </si>
  <si>
    <t>260088</t>
  </si>
  <si>
    <t>320153</t>
  </si>
  <si>
    <t>438091</t>
  </si>
  <si>
    <t>337250</t>
  </si>
  <si>
    <t>342092</t>
  </si>
  <si>
    <t>657271</t>
  </si>
  <si>
    <t>591572</t>
  </si>
  <si>
    <t>157491</t>
  </si>
  <si>
    <t>498599</t>
  </si>
  <si>
    <t>173126</t>
  </si>
  <si>
    <t>494976</t>
  </si>
  <si>
    <t>367354</t>
  </si>
  <si>
    <t>337463</t>
  </si>
  <si>
    <t>263109</t>
  </si>
  <si>
    <t>148342</t>
  </si>
  <si>
    <t>402354</t>
  </si>
  <si>
    <t>366153</t>
  </si>
  <si>
    <t>171751</t>
  </si>
  <si>
    <t>518204</t>
  </si>
  <si>
    <t>325325</t>
  </si>
  <si>
    <t>567876</t>
  </si>
  <si>
    <t>559989</t>
  </si>
  <si>
    <t>633860</t>
  </si>
  <si>
    <t>589438</t>
  </si>
  <si>
    <t>332208</t>
  </si>
  <si>
    <t>541753</t>
  </si>
  <si>
    <t>387444</t>
  </si>
  <si>
    <t>217913</t>
  </si>
  <si>
    <t>451703</t>
  </si>
  <si>
    <t>505161</t>
  </si>
  <si>
    <t>430595</t>
  </si>
  <si>
    <t>559199</t>
  </si>
  <si>
    <t>596949</t>
  </si>
  <si>
    <t>627674</t>
  </si>
  <si>
    <t>532010</t>
  </si>
  <si>
    <t>5193</t>
  </si>
  <si>
    <t>253200</t>
  </si>
  <si>
    <t>167029</t>
  </si>
  <si>
    <t>456497</t>
  </si>
  <si>
    <t>452734</t>
  </si>
  <si>
    <t>574767</t>
  </si>
  <si>
    <t>594326</t>
  </si>
  <si>
    <t>595543</t>
  </si>
  <si>
    <t>645923</t>
  </si>
  <si>
    <t>555411</t>
  </si>
  <si>
    <t>487465</t>
  </si>
  <si>
    <t>469068</t>
  </si>
  <si>
    <t>548219</t>
  </si>
  <si>
    <t>474282</t>
  </si>
  <si>
    <t>657638</t>
  </si>
  <si>
    <t>627372</t>
  </si>
  <si>
    <t>581453</t>
  </si>
  <si>
    <t>627089</t>
  </si>
  <si>
    <t>592293</t>
  </si>
  <si>
    <t>667218</t>
  </si>
  <si>
    <t>627402</t>
  </si>
  <si>
    <t>222585</t>
  </si>
  <si>
    <t>604801</t>
  </si>
  <si>
    <t>374296</t>
  </si>
  <si>
    <t>582883</t>
  </si>
  <si>
    <t>156981</t>
  </si>
  <si>
    <t>564461</t>
  </si>
  <si>
    <t>391573</t>
  </si>
  <si>
    <t>425338</t>
  </si>
  <si>
    <t>559806</t>
  </si>
  <si>
    <t>491055</t>
  </si>
  <si>
    <t>602957</t>
  </si>
  <si>
    <t>271012</t>
  </si>
  <si>
    <t>211958</t>
  </si>
  <si>
    <t>535818</t>
  </si>
  <si>
    <t>552704</t>
  </si>
  <si>
    <t>416703</t>
  </si>
  <si>
    <t>73652</t>
  </si>
  <si>
    <t>241474</t>
  </si>
  <si>
    <t>249181</t>
  </si>
  <si>
    <t>191663</t>
  </si>
  <si>
    <t>471941</t>
  </si>
  <si>
    <t>393185</t>
  </si>
  <si>
    <t>444456</t>
  </si>
  <si>
    <t>487181</t>
  </si>
  <si>
    <t>285560</t>
  </si>
  <si>
    <t>624489</t>
  </si>
  <si>
    <t>480967</t>
  </si>
  <si>
    <t>635685</t>
  </si>
  <si>
    <t>419761</t>
  </si>
  <si>
    <t>465429</t>
  </si>
  <si>
    <t>454281</t>
  </si>
  <si>
    <t>405396</t>
  </si>
  <si>
    <t>363103</t>
  </si>
  <si>
    <t>579610</t>
  </si>
  <si>
    <t>639011</t>
  </si>
  <si>
    <t>263435</t>
  </si>
  <si>
    <t>184519</t>
  </si>
  <si>
    <t>299677</t>
  </si>
  <si>
    <t>208809</t>
  </si>
  <si>
    <t>505307</t>
  </si>
  <si>
    <t>482986</t>
  </si>
  <si>
    <t>536474</t>
  </si>
  <si>
    <t>537152</t>
  </si>
  <si>
    <t>484032</t>
  </si>
  <si>
    <t>494429</t>
  </si>
  <si>
    <t>452750</t>
  </si>
  <si>
    <t>539457</t>
  </si>
  <si>
    <t>465501</t>
  </si>
  <si>
    <t>622125</t>
  </si>
  <si>
    <t>329118</t>
  </si>
  <si>
    <t>464661</t>
  </si>
  <si>
    <t>256579</t>
  </si>
  <si>
    <t>452637</t>
  </si>
  <si>
    <t>255343</t>
  </si>
  <si>
    <t>519650</t>
  </si>
  <si>
    <t>645605</t>
  </si>
  <si>
    <t>523771</t>
  </si>
  <si>
    <t>469106</t>
  </si>
  <si>
    <t>397679</t>
  </si>
  <si>
    <t>523968</t>
  </si>
  <si>
    <t>562335</t>
  </si>
  <si>
    <t>534536</t>
  </si>
  <si>
    <t>538760</t>
  </si>
  <si>
    <t>467286</t>
  </si>
  <si>
    <t>604811</t>
  </si>
  <si>
    <t>493511</t>
  </si>
  <si>
    <t>273589</t>
  </si>
  <si>
    <t>422967</t>
  </si>
  <si>
    <t>452556</t>
  </si>
  <si>
    <t>472311</t>
  </si>
  <si>
    <t>273066</t>
  </si>
  <si>
    <t>490067</t>
  </si>
  <si>
    <t>558842</t>
  </si>
  <si>
    <t>452599</t>
  </si>
  <si>
    <t>433543</t>
  </si>
  <si>
    <t>537764</t>
  </si>
  <si>
    <t>519618</t>
  </si>
  <si>
    <t>542385</t>
  </si>
  <si>
    <t>592463</t>
  </si>
  <si>
    <t>544310</t>
  </si>
  <si>
    <t>219118</t>
  </si>
  <si>
    <t>436747</t>
  </si>
  <si>
    <t>621749</t>
  </si>
  <si>
    <t>468894</t>
  </si>
  <si>
    <t>469025</t>
  </si>
  <si>
    <t>562033</t>
  </si>
  <si>
    <t>524468</t>
  </si>
  <si>
    <t>494968</t>
  </si>
  <si>
    <t>587771</t>
  </si>
  <si>
    <t>446467</t>
  </si>
  <si>
    <t>453935</t>
  </si>
  <si>
    <t>453722</t>
  </si>
  <si>
    <t>536636</t>
  </si>
  <si>
    <t>446742</t>
  </si>
  <si>
    <t>453951</t>
  </si>
  <si>
    <t>579971</t>
  </si>
  <si>
    <t>503843</t>
  </si>
  <si>
    <t>535133</t>
  </si>
  <si>
    <t>640824</t>
  </si>
  <si>
    <t>471331</t>
  </si>
  <si>
    <t>407410</t>
  </si>
  <si>
    <t>384844</t>
  </si>
  <si>
    <t>487198</t>
  </si>
  <si>
    <t>414948</t>
  </si>
  <si>
    <t>507075</t>
  </si>
  <si>
    <t>483257</t>
  </si>
  <si>
    <t>304425</t>
  </si>
  <si>
    <t>553786</t>
  </si>
  <si>
    <t>354465</t>
  </si>
  <si>
    <t>600520</t>
  </si>
  <si>
    <t>600482</t>
  </si>
  <si>
    <t>367771</t>
  </si>
  <si>
    <t>421960</t>
  </si>
  <si>
    <t>301485</t>
  </si>
  <si>
    <t>474274</t>
  </si>
  <si>
    <t>344788</t>
  </si>
  <si>
    <t>565849</t>
  </si>
  <si>
    <t>446701</t>
  </si>
  <si>
    <t>490350</t>
  </si>
  <si>
    <t>442984</t>
  </si>
  <si>
    <t>505961</t>
  </si>
  <si>
    <t>627054</t>
  </si>
  <si>
    <t>256765</t>
  </si>
  <si>
    <t>378615</t>
  </si>
  <si>
    <t>555568</t>
  </si>
  <si>
    <t>382485</t>
  </si>
  <si>
    <t>471704</t>
  </si>
  <si>
    <t>496596</t>
  </si>
  <si>
    <t>523917</t>
  </si>
  <si>
    <t>555096</t>
  </si>
  <si>
    <t>548669</t>
  </si>
  <si>
    <t>470503</t>
  </si>
  <si>
    <t>503010</t>
  </si>
  <si>
    <t>504580</t>
  </si>
  <si>
    <t>511455</t>
  </si>
  <si>
    <t>536318</t>
  </si>
  <si>
    <t>419753</t>
  </si>
  <si>
    <t>460486</t>
  </si>
  <si>
    <t>444391</t>
  </si>
  <si>
    <t>513822</t>
  </si>
  <si>
    <t>342823</t>
  </si>
  <si>
    <t>471860</t>
  </si>
  <si>
    <t>480142</t>
  </si>
  <si>
    <t>459021</t>
  </si>
  <si>
    <t>546593</t>
  </si>
  <si>
    <t>337064</t>
  </si>
  <si>
    <t>434922</t>
  </si>
  <si>
    <t>539406</t>
  </si>
  <si>
    <t>526150</t>
  </si>
  <si>
    <t>530956</t>
  </si>
  <si>
    <t>521752</t>
  </si>
  <si>
    <t>484751</t>
  </si>
  <si>
    <t>544418</t>
  </si>
  <si>
    <t>484717</t>
  </si>
  <si>
    <t>518433</t>
  </si>
  <si>
    <t>494275</t>
  </si>
  <si>
    <t>285773</t>
  </si>
  <si>
    <t>406597</t>
  </si>
  <si>
    <t>484113</t>
  </si>
  <si>
    <t>482013</t>
  </si>
  <si>
    <t>535427</t>
  </si>
  <si>
    <t>572063</t>
  </si>
  <si>
    <t>437190</t>
  </si>
  <si>
    <t>503551</t>
  </si>
  <si>
    <t>443298</t>
  </si>
  <si>
    <t>517895</t>
  </si>
  <si>
    <t>513237</t>
  </si>
  <si>
    <t>480533</t>
  </si>
  <si>
    <t>491004</t>
  </si>
  <si>
    <t>467014</t>
  </si>
  <si>
    <t>508063</t>
  </si>
  <si>
    <t>525847</t>
  </si>
  <si>
    <t>433421</t>
  </si>
  <si>
    <t>433411</t>
  </si>
  <si>
    <t>498262</t>
  </si>
  <si>
    <t>492876</t>
  </si>
  <si>
    <t>311243</t>
  </si>
  <si>
    <t>536261</t>
  </si>
  <si>
    <t>446981</t>
  </si>
  <si>
    <t>500321</t>
  </si>
  <si>
    <t>517951</t>
  </si>
  <si>
    <t>434930</t>
  </si>
  <si>
    <t>486574</t>
  </si>
  <si>
    <t>504572</t>
  </si>
  <si>
    <t>397520</t>
  </si>
  <si>
    <t>264105</t>
  </si>
  <si>
    <t>366226</t>
  </si>
  <si>
    <t>365981</t>
  </si>
  <si>
    <t>267805</t>
  </si>
  <si>
    <t>541893</t>
  </si>
  <si>
    <t>307092</t>
  </si>
  <si>
    <t>516856</t>
  </si>
  <si>
    <t>487449</t>
  </si>
  <si>
    <t>445940</t>
  </si>
  <si>
    <t>500313</t>
  </si>
  <si>
    <t>442410</t>
  </si>
  <si>
    <t>442429</t>
  </si>
  <si>
    <t>546836</t>
  </si>
  <si>
    <t>513474</t>
  </si>
  <si>
    <t>477044</t>
  </si>
  <si>
    <t>476366</t>
  </si>
  <si>
    <t>418935</t>
  </si>
  <si>
    <t>459070</t>
  </si>
  <si>
    <t>367044</t>
  </si>
  <si>
    <t>219517</t>
  </si>
  <si>
    <t>220272</t>
  </si>
  <si>
    <t>153524</t>
  </si>
  <si>
    <t>180203</t>
  </si>
  <si>
    <t>486280</t>
  </si>
  <si>
    <t>272922</t>
  </si>
  <si>
    <t>550124</t>
  </si>
  <si>
    <t>550159</t>
  </si>
  <si>
    <t>156906</t>
  </si>
  <si>
    <t>640931</t>
  </si>
  <si>
    <t>550779</t>
  </si>
  <si>
    <t>482633</t>
  </si>
  <si>
    <t>450308</t>
  </si>
  <si>
    <t>516961</t>
  </si>
  <si>
    <t>460672</t>
  </si>
  <si>
    <t>498361</t>
  </si>
  <si>
    <t>511854</t>
  </si>
  <si>
    <t>518761</t>
  </si>
  <si>
    <t>221661</t>
  </si>
  <si>
    <t>278912</t>
  </si>
  <si>
    <t>354341</t>
  </si>
  <si>
    <t>427977</t>
  </si>
  <si>
    <t>395511</t>
  </si>
  <si>
    <t>489719</t>
  </si>
  <si>
    <t>340944</t>
  </si>
  <si>
    <t>355739</t>
  </si>
  <si>
    <t>223336</t>
  </si>
  <si>
    <t>524174</t>
  </si>
  <si>
    <t>482145</t>
  </si>
  <si>
    <t>498629</t>
  </si>
  <si>
    <t>348120</t>
  </si>
  <si>
    <t>293458</t>
  </si>
  <si>
    <t>305367</t>
  </si>
  <si>
    <t>503835</t>
  </si>
  <si>
    <t>308560</t>
  </si>
  <si>
    <t>379018</t>
  </si>
  <si>
    <t>415359</t>
  </si>
  <si>
    <t>569690</t>
  </si>
  <si>
    <t>568066</t>
  </si>
  <si>
    <t>187003</t>
  </si>
  <si>
    <t>248401</t>
  </si>
  <si>
    <t>603430</t>
  </si>
  <si>
    <t>211451</t>
  </si>
  <si>
    <t>520780</t>
  </si>
  <si>
    <t>511676</t>
  </si>
  <si>
    <t>453552</t>
  </si>
  <si>
    <t>287989</t>
  </si>
  <si>
    <t>431214</t>
  </si>
  <si>
    <t>257885</t>
  </si>
  <si>
    <t>377856</t>
  </si>
  <si>
    <t>395951</t>
  </si>
  <si>
    <t>474436</t>
  </si>
  <si>
    <t>586099</t>
  </si>
  <si>
    <t>566128</t>
  </si>
  <si>
    <t>477591</t>
  </si>
  <si>
    <t>480819</t>
  </si>
  <si>
    <t>318221</t>
  </si>
  <si>
    <t>483729</t>
  </si>
  <si>
    <t>198889</t>
  </si>
  <si>
    <t>436607</t>
  </si>
  <si>
    <t>303593</t>
  </si>
  <si>
    <t>443808</t>
  </si>
  <si>
    <t>522929</t>
  </si>
  <si>
    <t>528846</t>
  </si>
  <si>
    <t>456561</t>
  </si>
  <si>
    <t>433977</t>
  </si>
  <si>
    <t>581674</t>
  </si>
  <si>
    <t>592978</t>
  </si>
  <si>
    <t>615315</t>
  </si>
  <si>
    <t>606278</t>
  </si>
  <si>
    <t>570621</t>
  </si>
  <si>
    <t>235911</t>
  </si>
  <si>
    <t>336408</t>
  </si>
  <si>
    <t>605875</t>
  </si>
  <si>
    <t>574759</t>
  </si>
  <si>
    <t>604054</t>
  </si>
  <si>
    <t>388483</t>
  </si>
  <si>
    <t>133825</t>
  </si>
  <si>
    <t>295906</t>
  </si>
  <si>
    <t>331341</t>
  </si>
  <si>
    <t>483583</t>
  </si>
  <si>
    <t>432091</t>
  </si>
  <si>
    <t>568678</t>
  </si>
  <si>
    <t>566284</t>
  </si>
  <si>
    <t>475572</t>
  </si>
  <si>
    <t>468584</t>
  </si>
  <si>
    <t>585211</t>
  </si>
  <si>
    <t>245054</t>
  </si>
  <si>
    <t>479561</t>
  </si>
  <si>
    <t>378100</t>
  </si>
  <si>
    <t>412831</t>
  </si>
  <si>
    <t>347264</t>
  </si>
  <si>
    <t>307998</t>
  </si>
  <si>
    <t>246972</t>
  </si>
  <si>
    <t>368091</t>
  </si>
  <si>
    <t>333077</t>
  </si>
  <si>
    <t>326860</t>
  </si>
  <si>
    <t>522643</t>
  </si>
  <si>
    <t>265519</t>
  </si>
  <si>
    <t>499374</t>
  </si>
  <si>
    <t>375756</t>
  </si>
  <si>
    <t>531162</t>
  </si>
  <si>
    <t>321141</t>
  </si>
  <si>
    <t>567795</t>
  </si>
  <si>
    <t>480673</t>
  </si>
  <si>
    <t>480193</t>
  </si>
  <si>
    <t>480681</t>
  </si>
  <si>
    <t>480861</t>
  </si>
  <si>
    <t>416691</t>
  </si>
  <si>
    <t>351830</t>
  </si>
  <si>
    <t>42651</t>
  </si>
  <si>
    <t>110574</t>
  </si>
  <si>
    <t>271063</t>
  </si>
  <si>
    <t>114995</t>
  </si>
  <si>
    <t>488704</t>
  </si>
  <si>
    <t>426911</t>
  </si>
  <si>
    <t>291854</t>
  </si>
  <si>
    <t>535486</t>
  </si>
  <si>
    <t>318396</t>
  </si>
  <si>
    <t>327794</t>
  </si>
  <si>
    <t>387894</t>
  </si>
  <si>
    <t>454109</t>
  </si>
  <si>
    <t>443387</t>
  </si>
  <si>
    <t>487163</t>
  </si>
  <si>
    <t>308110</t>
  </si>
  <si>
    <t>422991</t>
  </si>
  <si>
    <t>287962</t>
  </si>
  <si>
    <t>451533</t>
  </si>
  <si>
    <t>337625</t>
  </si>
  <si>
    <t>469777</t>
  </si>
  <si>
    <t>403075</t>
  </si>
  <si>
    <t>519057</t>
  </si>
  <si>
    <t>418803</t>
  </si>
  <si>
    <t>438448</t>
  </si>
  <si>
    <t>501883</t>
  </si>
  <si>
    <t>410349</t>
  </si>
  <si>
    <t>518700</t>
  </si>
  <si>
    <t>483877</t>
  </si>
  <si>
    <t>512338</t>
  </si>
  <si>
    <t>44253</t>
  </si>
  <si>
    <t>196517</t>
  </si>
  <si>
    <t>209376</t>
  </si>
  <si>
    <t>301116</t>
  </si>
  <si>
    <t>282553</t>
  </si>
  <si>
    <t>652271</t>
  </si>
  <si>
    <t>568546</t>
  </si>
  <si>
    <t>478288</t>
  </si>
  <si>
    <t>640581</t>
  </si>
  <si>
    <t>548960</t>
  </si>
  <si>
    <t>370797</t>
  </si>
  <si>
    <t>502243</t>
  </si>
  <si>
    <t>585424</t>
  </si>
  <si>
    <t>456330</t>
  </si>
  <si>
    <t>488755</t>
  </si>
  <si>
    <t>414069</t>
  </si>
  <si>
    <t>347582</t>
  </si>
  <si>
    <t>567183</t>
  </si>
  <si>
    <t>545333</t>
  </si>
  <si>
    <t>544507</t>
  </si>
  <si>
    <t>444278</t>
  </si>
  <si>
    <t>451584</t>
  </si>
  <si>
    <t>132691</t>
  </si>
  <si>
    <t>414972</t>
  </si>
  <si>
    <t>331066</t>
  </si>
  <si>
    <t>143367</t>
  </si>
  <si>
    <t>361445</t>
  </si>
  <si>
    <t>388211</t>
  </si>
  <si>
    <t>427950</t>
  </si>
  <si>
    <t>523666</t>
  </si>
  <si>
    <t>392979</t>
  </si>
  <si>
    <t>242918</t>
  </si>
  <si>
    <t>342106</t>
  </si>
  <si>
    <t>550752</t>
  </si>
  <si>
    <t>331597</t>
  </si>
  <si>
    <t>342084</t>
  </si>
  <si>
    <t>345865</t>
  </si>
  <si>
    <t>619922</t>
  </si>
  <si>
    <t>591521</t>
  </si>
  <si>
    <t>482765</t>
  </si>
  <si>
    <t>520101</t>
  </si>
  <si>
    <t>551724</t>
  </si>
  <si>
    <t>268755</t>
  </si>
  <si>
    <t>413259</t>
  </si>
  <si>
    <t>447511</t>
  </si>
  <si>
    <t>471501</t>
  </si>
  <si>
    <t>472204</t>
  </si>
  <si>
    <t>623156</t>
  </si>
  <si>
    <t>570931</t>
  </si>
  <si>
    <t>395102</t>
  </si>
  <si>
    <t>349836</t>
  </si>
  <si>
    <t>216569</t>
  </si>
  <si>
    <t>422754</t>
  </si>
  <si>
    <t>416517</t>
  </si>
  <si>
    <t>447137</t>
  </si>
  <si>
    <t>466743</t>
  </si>
  <si>
    <t>646547</t>
  </si>
  <si>
    <t>568767</t>
  </si>
  <si>
    <t>634964</t>
  </si>
  <si>
    <t>383872</t>
  </si>
  <si>
    <t>432369</t>
  </si>
  <si>
    <t>506516</t>
  </si>
  <si>
    <t>298761</t>
  </si>
  <si>
    <t>456748</t>
  </si>
  <si>
    <t>439924</t>
  </si>
  <si>
    <t>386278</t>
  </si>
  <si>
    <t>440582</t>
  </si>
  <si>
    <t>159824</t>
  </si>
  <si>
    <t>215740</t>
  </si>
  <si>
    <t>141690</t>
  </si>
  <si>
    <t>402362</t>
  </si>
  <si>
    <t>402346</t>
  </si>
  <si>
    <t>187933</t>
  </si>
  <si>
    <t>220681</t>
  </si>
  <si>
    <t>526827</t>
  </si>
  <si>
    <t>531553</t>
  </si>
  <si>
    <t>573825</t>
  </si>
  <si>
    <t>531154</t>
  </si>
  <si>
    <t>632260</t>
  </si>
  <si>
    <t>446750</t>
  </si>
  <si>
    <t>550183</t>
  </si>
  <si>
    <t>450456</t>
  </si>
  <si>
    <t>558524</t>
  </si>
  <si>
    <t>488720</t>
  </si>
  <si>
    <t>483303</t>
  </si>
  <si>
    <t>588741</t>
  </si>
  <si>
    <t>364010</t>
  </si>
  <si>
    <t>619868</t>
  </si>
  <si>
    <t>589268</t>
  </si>
  <si>
    <t>613509</t>
  </si>
  <si>
    <t>589403</t>
  </si>
  <si>
    <t>613517</t>
  </si>
  <si>
    <t>632309</t>
  </si>
  <si>
    <t>483575</t>
  </si>
  <si>
    <t>513229</t>
  </si>
  <si>
    <t>416681</t>
  </si>
  <si>
    <t>333956</t>
  </si>
  <si>
    <t>563595</t>
  </si>
  <si>
    <t>137057</t>
  </si>
  <si>
    <t>359130</t>
  </si>
  <si>
    <t>359149</t>
  </si>
  <si>
    <t>472921</t>
  </si>
  <si>
    <t>383791</t>
  </si>
  <si>
    <t>222097</t>
  </si>
  <si>
    <t>559172</t>
  </si>
  <si>
    <t>433454</t>
  </si>
  <si>
    <t>418439</t>
  </si>
  <si>
    <t>503746</t>
  </si>
  <si>
    <t>572314</t>
  </si>
  <si>
    <t>97101</t>
  </si>
  <si>
    <t>524042</t>
  </si>
  <si>
    <t>618098</t>
  </si>
  <si>
    <t>496065</t>
  </si>
  <si>
    <t>548049</t>
  </si>
  <si>
    <t>549622</t>
  </si>
  <si>
    <t>534021</t>
  </si>
  <si>
    <t>239372</t>
  </si>
  <si>
    <t>446270</t>
  </si>
  <si>
    <t>427616</t>
  </si>
  <si>
    <t>202770</t>
  </si>
  <si>
    <t>534374</t>
  </si>
  <si>
    <t>263117</t>
  </si>
  <si>
    <t>342191</t>
  </si>
  <si>
    <t>191876</t>
  </si>
  <si>
    <t>482544</t>
  </si>
  <si>
    <t>576190</t>
  </si>
  <si>
    <t>396941</t>
  </si>
  <si>
    <t>378860</t>
  </si>
  <si>
    <t>148040</t>
  </si>
  <si>
    <t>509396</t>
  </si>
  <si>
    <t>630144</t>
  </si>
  <si>
    <t>321265</t>
  </si>
  <si>
    <t>528854</t>
  </si>
  <si>
    <t>453791</t>
  </si>
  <si>
    <t>550353</t>
  </si>
  <si>
    <t>476072</t>
  </si>
  <si>
    <t>428035</t>
  </si>
  <si>
    <t>355208</t>
  </si>
  <si>
    <t>251666</t>
  </si>
  <si>
    <t>301426</t>
  </si>
  <si>
    <t>508926</t>
  </si>
  <si>
    <t>292966</t>
  </si>
  <si>
    <t>466352</t>
  </si>
  <si>
    <t>247995</t>
  </si>
  <si>
    <t>462209</t>
  </si>
  <si>
    <t>476791</t>
  </si>
  <si>
    <t>160253</t>
  </si>
  <si>
    <t>593141</t>
  </si>
  <si>
    <t>641812</t>
  </si>
  <si>
    <t>442976</t>
  </si>
  <si>
    <t>298875</t>
  </si>
  <si>
    <t>439282</t>
  </si>
  <si>
    <t>389651</t>
  </si>
  <si>
    <t>488747</t>
  </si>
  <si>
    <t>296430</t>
  </si>
  <si>
    <t>553743</t>
  </si>
  <si>
    <t>331155</t>
  </si>
  <si>
    <t>313947</t>
  </si>
  <si>
    <t>462241</t>
  </si>
  <si>
    <t>638498</t>
  </si>
  <si>
    <t>459542</t>
  </si>
  <si>
    <t>262773</t>
  </si>
  <si>
    <t>320021</t>
  </si>
  <si>
    <t>595446</t>
  </si>
  <si>
    <t>263486</t>
  </si>
  <si>
    <t>262821</t>
  </si>
  <si>
    <t>519421</t>
  </si>
  <si>
    <t>523879</t>
  </si>
  <si>
    <t>599743</t>
  </si>
  <si>
    <t>496286</t>
  </si>
  <si>
    <t>206891</t>
  </si>
  <si>
    <t>206881</t>
  </si>
  <si>
    <t>604951</t>
  </si>
  <si>
    <t>257982</t>
  </si>
  <si>
    <t>321771</t>
  </si>
  <si>
    <t>569666</t>
  </si>
  <si>
    <t>336106</t>
  </si>
  <si>
    <t>329169</t>
  </si>
  <si>
    <t>416630</t>
  </si>
  <si>
    <t>238341</t>
  </si>
  <si>
    <t>473596</t>
  </si>
  <si>
    <t>299588</t>
  </si>
  <si>
    <t>541771</t>
  </si>
  <si>
    <t>255173</t>
  </si>
  <si>
    <t>268471</t>
  </si>
  <si>
    <t>109215</t>
  </si>
  <si>
    <t>95141</t>
  </si>
  <si>
    <t>372994</t>
  </si>
  <si>
    <t>212873</t>
  </si>
  <si>
    <t>329355</t>
  </si>
  <si>
    <t>284701</t>
  </si>
  <si>
    <t>520470</t>
  </si>
  <si>
    <t>435430</t>
  </si>
  <si>
    <t>563341</t>
  </si>
  <si>
    <t>104019</t>
  </si>
  <si>
    <t>440779</t>
  </si>
  <si>
    <t>547077</t>
  </si>
  <si>
    <t>573541</t>
  </si>
  <si>
    <t>600504</t>
  </si>
  <si>
    <t>555835</t>
  </si>
  <si>
    <t>555827</t>
  </si>
  <si>
    <t>596388</t>
  </si>
  <si>
    <t>597236</t>
  </si>
  <si>
    <t>406619</t>
  </si>
  <si>
    <t>354491</t>
  </si>
  <si>
    <t>317748</t>
  </si>
  <si>
    <t>646581</t>
  </si>
  <si>
    <t>401463</t>
  </si>
  <si>
    <t>560162</t>
  </si>
  <si>
    <t>532479</t>
  </si>
  <si>
    <t>624926</t>
  </si>
  <si>
    <t>511765</t>
  </si>
  <si>
    <t>564427</t>
  </si>
  <si>
    <t>455962</t>
  </si>
  <si>
    <t>505013</t>
  </si>
  <si>
    <t>503401</t>
  </si>
  <si>
    <t>378631</t>
  </si>
  <si>
    <t>504122</t>
  </si>
  <si>
    <t>573019</t>
  </si>
  <si>
    <t>444790</t>
  </si>
  <si>
    <t>640441</t>
  </si>
  <si>
    <t>640506</t>
  </si>
  <si>
    <t>640530</t>
  </si>
  <si>
    <t>640565</t>
  </si>
  <si>
    <t>152900</t>
  </si>
  <si>
    <t>436410</t>
  </si>
  <si>
    <t>464716</t>
  </si>
  <si>
    <t>427128</t>
  </si>
  <si>
    <t>516538</t>
  </si>
  <si>
    <t>515434</t>
  </si>
  <si>
    <t>485225</t>
  </si>
  <si>
    <t>478857</t>
  </si>
  <si>
    <t>538264</t>
  </si>
  <si>
    <t>478415</t>
  </si>
  <si>
    <t>582905</t>
  </si>
  <si>
    <t>599433</t>
  </si>
  <si>
    <t>600954</t>
  </si>
  <si>
    <t>464074</t>
  </si>
  <si>
    <t>511730</t>
  </si>
  <si>
    <t>463698</t>
  </si>
  <si>
    <t>529478</t>
  </si>
  <si>
    <t>624438</t>
  </si>
  <si>
    <t>463396</t>
  </si>
  <si>
    <t>610828</t>
  </si>
  <si>
    <t>546208</t>
  </si>
  <si>
    <t>573035</t>
  </si>
  <si>
    <t>658626</t>
  </si>
  <si>
    <t>475823</t>
  </si>
  <si>
    <t>536830</t>
  </si>
  <si>
    <t>481025</t>
  </si>
  <si>
    <t>483801</t>
  </si>
  <si>
    <t>147370</t>
  </si>
  <si>
    <t>479764</t>
  </si>
  <si>
    <t>555878</t>
  </si>
  <si>
    <t>444571</t>
  </si>
  <si>
    <t>441309</t>
  </si>
  <si>
    <t>441465</t>
  </si>
  <si>
    <t>441449</t>
  </si>
  <si>
    <t>446246</t>
  </si>
  <si>
    <t>557927</t>
  </si>
  <si>
    <t>441910</t>
  </si>
  <si>
    <t>442011</t>
  </si>
  <si>
    <t>442720</t>
  </si>
  <si>
    <t>617040</t>
  </si>
  <si>
    <t>282944</t>
  </si>
  <si>
    <t>593338</t>
  </si>
  <si>
    <t>331945</t>
  </si>
  <si>
    <t>477461</t>
  </si>
  <si>
    <t>479667</t>
  </si>
  <si>
    <t>431931</t>
  </si>
  <si>
    <t>297593</t>
  </si>
  <si>
    <t>384021</t>
  </si>
  <si>
    <t>497606</t>
  </si>
  <si>
    <t>467006</t>
  </si>
  <si>
    <t>453919</t>
  </si>
  <si>
    <t>546496</t>
  </si>
  <si>
    <t>528404</t>
  </si>
  <si>
    <t>222836</t>
  </si>
  <si>
    <t>248738</t>
  </si>
  <si>
    <t>424854</t>
  </si>
  <si>
    <t>333468</t>
  </si>
  <si>
    <t>495174</t>
  </si>
  <si>
    <t>582700</t>
  </si>
  <si>
    <t>539929</t>
  </si>
  <si>
    <t>560170</t>
  </si>
  <si>
    <t>539937</t>
  </si>
  <si>
    <t>195571</t>
  </si>
  <si>
    <t>533610</t>
  </si>
  <si>
    <t>535354</t>
  </si>
  <si>
    <t>240631</t>
  </si>
  <si>
    <t>174394</t>
  </si>
  <si>
    <t>174378</t>
  </si>
  <si>
    <t>378003</t>
  </si>
  <si>
    <t>185779</t>
  </si>
  <si>
    <t>242950</t>
  </si>
  <si>
    <t>342319</t>
  </si>
  <si>
    <t>357308</t>
  </si>
  <si>
    <t>409073</t>
  </si>
  <si>
    <t>436615</t>
  </si>
  <si>
    <t>541400</t>
  </si>
  <si>
    <t>525081</t>
  </si>
  <si>
    <t>396052</t>
  </si>
  <si>
    <t>575879</t>
  </si>
  <si>
    <t>538108</t>
  </si>
  <si>
    <t>640948</t>
  </si>
  <si>
    <t>541737</t>
  </si>
  <si>
    <t>469173</t>
  </si>
  <si>
    <t>552348</t>
  </si>
  <si>
    <t>484687</t>
  </si>
  <si>
    <t>350729</t>
  </si>
  <si>
    <t>473677</t>
  </si>
  <si>
    <t>424390</t>
  </si>
  <si>
    <t>421715</t>
  </si>
  <si>
    <t>514993</t>
  </si>
  <si>
    <t>514977</t>
  </si>
  <si>
    <t>470902</t>
  </si>
  <si>
    <t>363871</t>
  </si>
  <si>
    <t>585858</t>
  </si>
  <si>
    <t>270679</t>
  </si>
  <si>
    <t>270466</t>
  </si>
  <si>
    <t>522661</t>
  </si>
  <si>
    <t>527971</t>
  </si>
  <si>
    <t>311278</t>
  </si>
  <si>
    <t>464244</t>
  </si>
  <si>
    <t>485691</t>
  </si>
  <si>
    <t>462081</t>
  </si>
  <si>
    <t>569615</t>
  </si>
  <si>
    <t>486124</t>
  </si>
  <si>
    <t>609811</t>
  </si>
  <si>
    <t>388467</t>
  </si>
  <si>
    <t>645915</t>
  </si>
  <si>
    <t>465119</t>
  </si>
  <si>
    <t>477958</t>
  </si>
  <si>
    <t>397806</t>
  </si>
  <si>
    <t>532363</t>
  </si>
  <si>
    <t>636932</t>
  </si>
  <si>
    <t>599476</t>
  </si>
  <si>
    <t>601551</t>
  </si>
  <si>
    <t>609481</t>
  </si>
  <si>
    <t>612421</t>
  </si>
  <si>
    <t>524085</t>
  </si>
  <si>
    <t>518719</t>
  </si>
  <si>
    <t>586511</t>
  </si>
  <si>
    <t>502871</t>
  </si>
  <si>
    <t>624985</t>
  </si>
  <si>
    <t>612618</t>
  </si>
  <si>
    <t>615986</t>
  </si>
  <si>
    <t>626082</t>
  </si>
  <si>
    <t>582220</t>
  </si>
  <si>
    <t>530026</t>
  </si>
  <si>
    <t>616052</t>
  </si>
  <si>
    <t>626090</t>
  </si>
  <si>
    <t>619711</t>
  </si>
  <si>
    <t>607215</t>
  </si>
  <si>
    <t>599484</t>
  </si>
  <si>
    <t>537527</t>
  </si>
  <si>
    <t>495255</t>
  </si>
  <si>
    <t>532444</t>
  </si>
  <si>
    <t>576492</t>
  </si>
  <si>
    <t>552852</t>
  </si>
  <si>
    <t>606308</t>
  </si>
  <si>
    <t>626112</t>
  </si>
  <si>
    <t>609471</t>
  </si>
  <si>
    <t>519979</t>
  </si>
  <si>
    <t>579319</t>
  </si>
  <si>
    <t>554995</t>
  </si>
  <si>
    <t>560189</t>
  </si>
  <si>
    <t>538663</t>
  </si>
  <si>
    <t>572330</t>
  </si>
  <si>
    <t>302139</t>
  </si>
  <si>
    <t>302147</t>
  </si>
  <si>
    <t>270148</t>
  </si>
  <si>
    <t>419958</t>
  </si>
  <si>
    <t>606715</t>
  </si>
  <si>
    <t>420808</t>
  </si>
  <si>
    <t>547816</t>
  </si>
  <si>
    <t>558508</t>
  </si>
  <si>
    <t>17949</t>
  </si>
  <si>
    <t>184764</t>
  </si>
  <si>
    <t>251127</t>
  </si>
  <si>
    <t>367222</t>
  </si>
  <si>
    <t>504467</t>
  </si>
  <si>
    <t>17973</t>
  </si>
  <si>
    <t>257079</t>
  </si>
  <si>
    <t>348430</t>
  </si>
  <si>
    <t>410373</t>
  </si>
  <si>
    <t>122041</t>
  </si>
  <si>
    <t>75124</t>
  </si>
  <si>
    <t>337031</t>
  </si>
  <si>
    <t>250686</t>
  </si>
  <si>
    <t>421693</t>
  </si>
  <si>
    <t>616699</t>
  </si>
  <si>
    <t>594210</t>
  </si>
  <si>
    <t>594350</t>
  </si>
  <si>
    <t>610879</t>
  </si>
  <si>
    <t>600563</t>
  </si>
  <si>
    <t>469882</t>
  </si>
  <si>
    <t>499961</t>
  </si>
  <si>
    <t>492248</t>
  </si>
  <si>
    <t>519431</t>
  </si>
  <si>
    <t>388343</t>
  </si>
  <si>
    <t>385875</t>
  </si>
  <si>
    <t>MUZINICH ENHANCED YIELD SHORT TERM HEDGED USD</t>
  </si>
  <si>
    <t>IE0033759436</t>
  </si>
  <si>
    <t>Muzinich &amp; Co Inc</t>
  </si>
  <si>
    <t>State Street Fund Services Ireland Ltd</t>
  </si>
  <si>
    <t>State Street Custodial Services Ireland Ltd</t>
  </si>
  <si>
    <t>Offshore</t>
  </si>
  <si>
    <t>BLACKROCK GLOBAL HY</t>
  </si>
  <si>
    <t>LU0171284937</t>
  </si>
  <si>
    <t>BlackRock Inc</t>
  </si>
  <si>
    <t>Bank of New York Mellon SA-NV/Luxembourg</t>
  </si>
  <si>
    <t>ICE BofA Global High Yield Con</t>
  </si>
  <si>
    <t>NINETY ONE GLOBAL FRANCHISE FEEDER FUND</t>
  </si>
  <si>
    <t>LU0426412945</t>
  </si>
  <si>
    <t>Ninety One PLC</t>
  </si>
  <si>
    <t>State Street Bank International GmbH/Luxembourg</t>
  </si>
  <si>
    <t>State Street Bank And Trust Co</t>
  </si>
  <si>
    <t>MSCI ACWI Net Total Return USD</t>
  </si>
  <si>
    <t>GOLDMAN SACHS EM CORPORATE BONDS</t>
  </si>
  <si>
    <t>LU0622305505</t>
  </si>
  <si>
    <t>Goldman Sachs Group Inc/The</t>
  </si>
  <si>
    <t>State Street Bank International GmbH</t>
  </si>
  <si>
    <t>NN L US CREDIT</t>
  </si>
  <si>
    <t>LU0756537279</t>
  </si>
  <si>
    <t>ING Groep NV</t>
  </si>
  <si>
    <t>Brown Brothers Harriman Luxembourg SCA</t>
  </si>
  <si>
    <t>Bloomberg US Agg Total Return</t>
  </si>
  <si>
    <t>JPM GLOBAL CORPORATE BOND</t>
  </si>
  <si>
    <t>LU0814389432</t>
  </si>
  <si>
    <t>JPMorgan Chase &amp; Co</t>
  </si>
  <si>
    <t>JP Morgan Bank Luxembourg SA</t>
  </si>
  <si>
    <t>JP Morgan SE</t>
  </si>
  <si>
    <t>Bloomberg Global Aggregate Cor</t>
  </si>
  <si>
    <t>NATIXIS LOOMIS SAYLES ST EM BOND</t>
  </si>
  <si>
    <t>LU0980583388</t>
  </si>
  <si>
    <t>Groupe BPCE</t>
  </si>
  <si>
    <t xml:space="preserve">LORD ABBETT SHORT DURATION INCOME FUND </t>
  </si>
  <si>
    <t>US5439161002</t>
  </si>
  <si>
    <t>Lord Abbett &amp; Co LLC</t>
  </si>
  <si>
    <t>State Street Bank &amp; Trust Co</t>
  </si>
  <si>
    <t>Bloomberg 1-3 Yr US Gov/Credit</t>
  </si>
  <si>
    <t>PIMCO TOTAL RETURN</t>
  </si>
  <si>
    <t>US6933904459</t>
  </si>
  <si>
    <t>Allianz SE</t>
  </si>
  <si>
    <t>Pacific Investment Management Co LLC</t>
  </si>
  <si>
    <t>RF Internacional</t>
  </si>
  <si>
    <t>OCTANTE CP FIM IE</t>
  </si>
  <si>
    <t>229822</t>
  </si>
  <si>
    <t>OCTANTE GESTÃO DE RECURSOS LTDA</t>
  </si>
  <si>
    <t>SPARTA MAX 60 FC FI RF CP LP</t>
  </si>
  <si>
    <t>644692</t>
  </si>
  <si>
    <t>FUNDSMITH EQUITY</t>
  </si>
  <si>
    <t>GBP</t>
  </si>
  <si>
    <t>GB00B4Q5X527</t>
  </si>
  <si>
    <t>Fundsmith LLP</t>
  </si>
  <si>
    <t>MSCI World Index</t>
  </si>
  <si>
    <t>POLEN FOCUS US GROWTH</t>
  </si>
  <si>
    <t>IE00BGK04N24</t>
  </si>
  <si>
    <t>Polen Capital Management LLC</t>
  </si>
  <si>
    <t>RBC Investor Services Ireland Ltd</t>
  </si>
  <si>
    <t>RBC Investor Services Bank SA/Ireland</t>
  </si>
  <si>
    <t>JUPITER STRATEGIC ABSOLUTE RETURN BOND</t>
  </si>
  <si>
    <t>IE00BMT64330</t>
  </si>
  <si>
    <t>Jupiter Fund Management PLC</t>
  </si>
  <si>
    <t>Citibank Europe PLC</t>
  </si>
  <si>
    <t>Citi Depositary Services Ireland DAC</t>
  </si>
  <si>
    <t>WELLINGTON GLOBAL QUALITY GROWTH</t>
  </si>
  <si>
    <t>LU0629158030</t>
  </si>
  <si>
    <t>Wellington Management Group LL</t>
  </si>
  <si>
    <t>MSCI ACWI Index</t>
  </si>
  <si>
    <t>BLACKROCK GLOBAL EVENT DRIVEN</t>
  </si>
  <si>
    <t>LU1251620883</t>
  </si>
  <si>
    <t>BlackRock Luxembourg SA</t>
  </si>
  <si>
    <t>AXA WF GLOBAL INFLATION SHORT DURATION</t>
  </si>
  <si>
    <t>LU1353950568</t>
  </si>
  <si>
    <t>AXA SA</t>
  </si>
  <si>
    <t>PICTET TR ATLAS</t>
  </si>
  <si>
    <t>LU1433231963</t>
  </si>
  <si>
    <t>Pictet &amp; Cie Group SCA</t>
  </si>
  <si>
    <t>BNP Paribas Securities Services/Luxembourg</t>
  </si>
  <si>
    <t>BNP Paribas Luxembourg SA</t>
  </si>
  <si>
    <t>MSCI AC World USD</t>
  </si>
  <si>
    <t>GQG PARTNERS EM EQUITY</t>
  </si>
  <si>
    <t>US00771X4198</t>
  </si>
  <si>
    <t>GQG Partners LLC</t>
  </si>
  <si>
    <t>SEI Investments Global Funds Services</t>
  </si>
  <si>
    <t>Brown Brothers Harriman &amp; Co</t>
  </si>
  <si>
    <t>MSCI Emerging Markets Index</t>
  </si>
  <si>
    <t>S&amp;P US Agg Bond</t>
  </si>
  <si>
    <t>SP US Agg Bond</t>
  </si>
  <si>
    <t>SP 500</t>
  </si>
  <si>
    <t>RV - Internacional</t>
  </si>
  <si>
    <t>RV - Brasil</t>
  </si>
  <si>
    <t>2022Dez.</t>
  </si>
  <si>
    <t>Pimco Income</t>
  </si>
  <si>
    <t>VINLAND MACRO PLUS P FIC FIM</t>
  </si>
  <si>
    <t>680842</t>
  </si>
  <si>
    <t>Operações Estruturadas</t>
  </si>
  <si>
    <t>COE</t>
  </si>
  <si>
    <t>Vinland Macro Plus P FIC FIM</t>
  </si>
  <si>
    <t>BOVA11</t>
  </si>
  <si>
    <t>PTAX</t>
  </si>
  <si>
    <t>SP500</t>
  </si>
  <si>
    <t>NCH Cash</t>
  </si>
  <si>
    <t>Itau Precision Distribuidores</t>
  </si>
  <si>
    <t>Sparta Top</t>
  </si>
  <si>
    <t>SPX Seahawk</t>
  </si>
  <si>
    <t>M Ca II</t>
  </si>
  <si>
    <t>ITAU PRIVILEGE RF REF DI DISTRIBUIDORES FIC</t>
  </si>
  <si>
    <t>Carteira Atual</t>
  </si>
  <si>
    <t>Movimentação</t>
  </si>
  <si>
    <t>R$ / $</t>
  </si>
  <si>
    <t>ATIVO</t>
  </si>
  <si>
    <t>PORTFÓLIO ATUAL</t>
  </si>
  <si>
    <t>MOVIMENTAÇÃO</t>
  </si>
  <si>
    <t>PORTFÓLIO REBALANCEADO</t>
  </si>
  <si>
    <t>Rebalanceamento de Portfólio</t>
  </si>
  <si>
    <t>Rebalanceamento</t>
  </si>
  <si>
    <t>Volume Final</t>
  </si>
  <si>
    <t>Volume Inicial</t>
  </si>
  <si>
    <t>RV - EM</t>
  </si>
  <si>
    <t>RV - China</t>
  </si>
  <si>
    <t>ITAU MULT CRED PRIV PRECISION FIC</t>
  </si>
  <si>
    <t>463914</t>
  </si>
  <si>
    <t>ITAU PRIVILEGE RF REF DI FIC</t>
  </si>
  <si>
    <t>429325</t>
  </si>
  <si>
    <t>Títulos Corporativos - 4 anos (IPCA+8.55%)</t>
  </si>
  <si>
    <t>Títulos Corporativos - 5 anos (IPCA+9.05%)</t>
  </si>
  <si>
    <t>Títulos Corporativos - 6 anos (IPCA+9.20%)</t>
  </si>
  <si>
    <t>Títulos Bancários - 1 ano (14.75%)</t>
  </si>
  <si>
    <t>Títulos Bancários - 2 anos (14.45%)</t>
  </si>
  <si>
    <t>Títulos Bancários - 3 anos (14.85%)</t>
  </si>
  <si>
    <t>Realocação de Portfólio</t>
  </si>
  <si>
    <t>Saldo Final (31/01/2023)</t>
  </si>
  <si>
    <t>2023Jan.</t>
  </si>
  <si>
    <t>23/03/2020</t>
  </si>
  <si>
    <t>RF Intl.</t>
  </si>
  <si>
    <t>RV Intl.</t>
  </si>
  <si>
    <t xml:space="preserve">(T) </t>
  </si>
  <si>
    <t xml:space="preserve">(U) </t>
  </si>
  <si>
    <t xml:space="preserve">(V) </t>
  </si>
  <si>
    <t xml:space="preserve">(W) </t>
  </si>
  <si>
    <t xml:space="preserve">(X) </t>
  </si>
  <si>
    <t xml:space="preserve">(Y) </t>
  </si>
  <si>
    <t xml:space="preserve">(Z) </t>
  </si>
  <si>
    <t xml:space="preserve">(AA) </t>
  </si>
  <si>
    <t xml:space="preserve">(AB) </t>
  </si>
  <si>
    <t>(C) NCH Cash</t>
  </si>
  <si>
    <t>(D) Itau Precision Distribuidores</t>
  </si>
  <si>
    <t>(E) Sparta Top</t>
  </si>
  <si>
    <t>(F) SPX Seahawk</t>
  </si>
  <si>
    <t>(G) M Ca II</t>
  </si>
  <si>
    <t>(H) Everest High Yield - E1</t>
  </si>
  <si>
    <t>(I) BTG Pactual Deb. Inc. Inflação Infra RF</t>
  </si>
  <si>
    <t>(J) ARX Elbrus FI Infraestrutura</t>
  </si>
  <si>
    <t>(K) Pimco Income</t>
  </si>
  <si>
    <t>(L) Kapitalo K10</t>
  </si>
  <si>
    <t>(M) SPX Nimitz</t>
  </si>
  <si>
    <t>(N) Vinland Macro</t>
  </si>
  <si>
    <t>(O) Genoa Capital Radar</t>
  </si>
  <si>
    <t>(P) Absolute Vertex II</t>
  </si>
  <si>
    <t>(Q) Gavea Macro Plus II</t>
  </si>
  <si>
    <t>(R) Daemon Nous Global</t>
  </si>
  <si>
    <t>(S) Giant Zarathustra</t>
  </si>
  <si>
    <t>(T) Solana LS</t>
  </si>
  <si>
    <t>(U) Carteira Ações B.Side</t>
  </si>
  <si>
    <t>(V) Quasar Tropos</t>
  </si>
  <si>
    <t>(W) Kinea Gama</t>
  </si>
  <si>
    <t>(X) Rps Long Bias</t>
  </si>
  <si>
    <t>(Y) Absolute Pace LB</t>
  </si>
  <si>
    <t>(Z) Genoa Capital Arpa</t>
  </si>
  <si>
    <t>(AA) Norte Long Bias</t>
  </si>
  <si>
    <t>(AB) IVVB11</t>
  </si>
  <si>
    <t>Kapitalo K10</t>
  </si>
  <si>
    <t>SPX Nimitz</t>
  </si>
  <si>
    <t>Vinland Macro</t>
  </si>
  <si>
    <t>Genoa Capital Radar</t>
  </si>
  <si>
    <t>Absolute Vertex II</t>
  </si>
  <si>
    <t>Gavea Macro Plus II</t>
  </si>
  <si>
    <t>Daemon Nous Global</t>
  </si>
  <si>
    <t>Giant Zarathustra</t>
  </si>
  <si>
    <t>Solana LS</t>
  </si>
  <si>
    <t>Carteira Ações B.Side</t>
  </si>
  <si>
    <t>Quasar Tropos</t>
  </si>
  <si>
    <t>Kinea Gama</t>
  </si>
  <si>
    <t>Rps Long Bias</t>
  </si>
  <si>
    <t>Absolute Pace LB</t>
  </si>
  <si>
    <t>Genoa Capital Arpa</t>
  </si>
  <si>
    <t>Norte Long Bias</t>
  </si>
  <si>
    <t>Invesco Greater China Equity Dolar</t>
  </si>
  <si>
    <t>BTGP Mobius Emerging Markets</t>
  </si>
  <si>
    <t>Conversor de Taxas (Líquida &lt;&gt; Bruta de IR)</t>
  </si>
  <si>
    <t>Premissas</t>
  </si>
  <si>
    <t>BOGARI VALUE Q ACCESS PREV FIC FIA</t>
  </si>
  <si>
    <t>CONSTELLATION 70 PREV FI FIM</t>
  </si>
  <si>
    <t>DAHLIA 100 PREV FIC FIM</t>
  </si>
  <si>
    <t>BTG Pactual Cdb Plus FI RF CP</t>
  </si>
  <si>
    <t>Carteira de Ações</t>
  </si>
  <si>
    <t>Carteira de FII</t>
  </si>
  <si>
    <t>ICATU VANG FC FI RF INFLACAO CURTA PREV</t>
  </si>
  <si>
    <t>282499</t>
  </si>
  <si>
    <t>Previdência Renda Fixa Indexados</t>
  </si>
  <si>
    <t>SPARTA PREVIDENCIA INFLAÇÃO B FIC FI RF CP</t>
  </si>
  <si>
    <t>669075</t>
  </si>
  <si>
    <t>Multimercados</t>
  </si>
  <si>
    <t>Descorrelacionados Multiestratégia</t>
  </si>
  <si>
    <t>GOLD11</t>
  </si>
  <si>
    <t>Icatu</t>
  </si>
  <si>
    <t>ACCESS ABSOLUTE ALPHA MARB PREV FIE FIC FIM</t>
  </si>
  <si>
    <t>686875</t>
  </si>
  <si>
    <t>BTG-V&amp;P</t>
  </si>
  <si>
    <t>ACCESS SPX SEAHAWK PREV FIC FIM CP</t>
  </si>
  <si>
    <t>643531</t>
  </si>
  <si>
    <t>ACE CAPITAL VANTAGE PREV BP FIC RF LP</t>
  </si>
  <si>
    <t>679844</t>
  </si>
  <si>
    <t>Previdência Renda Fixa Duração Livre Grau de Investimento</t>
  </si>
  <si>
    <t>ACS ABSOLUTE VERTEX PREV FI FIM</t>
  </si>
  <si>
    <t>673455</t>
  </si>
  <si>
    <t>ACS ARX DENALI PREV FIC RF CP</t>
  </si>
  <si>
    <t>686220</t>
  </si>
  <si>
    <t>ACS RIZA LÓTUS PREV FIC RF CP</t>
  </si>
  <si>
    <t>684041</t>
  </si>
  <si>
    <t>APEX EQUITY HEDGE PREV FIE FIC FIM</t>
  </si>
  <si>
    <t>647470</t>
  </si>
  <si>
    <t>APEX LB ICATU 70 FI FIM PREV</t>
  </si>
  <si>
    <t>470422</t>
  </si>
  <si>
    <t>APEX LB ICATU PREV 49 FI FIM</t>
  </si>
  <si>
    <t>390550</t>
  </si>
  <si>
    <t>ARX DENALI ICATU PREV FIC FI RF CP</t>
  </si>
  <si>
    <t>ARX INCOME ICATU PREV 100 FIC FIA</t>
  </si>
  <si>
    <t>557511</t>
  </si>
  <si>
    <t>ARX INCOME ICATU PREV FI FIM</t>
  </si>
  <si>
    <t>100676</t>
  </si>
  <si>
    <t>ATHENA ICATU 70 FI FIM PREV</t>
  </si>
  <si>
    <t>466255</t>
  </si>
  <si>
    <t>ATHENA ICATU PREV 49 FI FIM</t>
  </si>
  <si>
    <t>440590</t>
  </si>
  <si>
    <t>BTG ICATU VANGUARDA ABSOLUTO II FI RF PREV CP</t>
  </si>
  <si>
    <t>681474</t>
  </si>
  <si>
    <t>BTG PACTUAL ABSOLUTO LS PREV FIC FIM</t>
  </si>
  <si>
    <t>563234</t>
  </si>
  <si>
    <t>BTG PACTUAL ABSOLUTO PREV FIC FIM CP</t>
  </si>
  <si>
    <t>533939</t>
  </si>
  <si>
    <t>BTG PACTUAL CRÉDITO CORPORATIVO II PREV FIC FIM CP</t>
  </si>
  <si>
    <t>649058</t>
  </si>
  <si>
    <t>BTG PACTUAL CRÉDITO CORPORATIVO PREV FI RF IPCA CP</t>
  </si>
  <si>
    <t>BTG PACTUAL CRÉDITO CORPORATIVO PREV FIC FIM CP</t>
  </si>
  <si>
    <t>BTG PACTUAL DISCOVERY PREV FIC FIM</t>
  </si>
  <si>
    <t>481629</t>
  </si>
  <si>
    <t>BTG PACTUAL EXPLORER PREV FIC FIM</t>
  </si>
  <si>
    <t>663891</t>
  </si>
  <si>
    <t>BTG PACTUAL NTN-B 2035 YIELD PREV FI RF</t>
  </si>
  <si>
    <t>620769</t>
  </si>
  <si>
    <t>BTG PACTUAL REFERENCE S&amp;P500 USD PREV FI FIM</t>
  </si>
  <si>
    <t>639559</t>
  </si>
  <si>
    <t>CONSTÂNCIA ICATU FIM PREV CP</t>
  </si>
  <si>
    <t>CONSTELLATION BP 100 PREV FIC FIA</t>
  </si>
  <si>
    <t>642711</t>
  </si>
  <si>
    <t>Previdência Ações Indexados</t>
  </si>
  <si>
    <t>DAHLIA 100 ICATU PREV FIC FIM</t>
  </si>
  <si>
    <t>631401</t>
  </si>
  <si>
    <t>DAHLIA BP PREV TOTAL RETURN 70 FIC FIM</t>
  </si>
  <si>
    <t>678139</t>
  </si>
  <si>
    <t>EXES PREV FIE FIC FIM CP</t>
  </si>
  <si>
    <t>618251</t>
  </si>
  <si>
    <t>GAUSS ICATU FIC FIM PREV</t>
  </si>
  <si>
    <t>445231</t>
  </si>
  <si>
    <t>IBIUNA CREDIT PREV ACCESS FIC FIM CP</t>
  </si>
  <si>
    <t>665215</t>
  </si>
  <si>
    <t>ICATU SEG BRASIL TOTAL FIC FIM</t>
  </si>
  <si>
    <t>265225</t>
  </si>
  <si>
    <t>ICATU SEGUROS S/A</t>
  </si>
  <si>
    <t>ICATU SEG CLASSIC CONSERVADOR FIC RF</t>
  </si>
  <si>
    <t>118478</t>
  </si>
  <si>
    <t>ICATU SEG CLASSIC FIC RF</t>
  </si>
  <si>
    <t>114715</t>
  </si>
  <si>
    <t>ICATU SEG DURATION FI RF</t>
  </si>
  <si>
    <t>100390</t>
  </si>
  <si>
    <t>Previdência Renda Fixa Duração Alta Grau de Investimento</t>
  </si>
  <si>
    <t>ICATU SEG GLOBAL EQUITY INCOME 10 FI FIM PREV</t>
  </si>
  <si>
    <t>451312</t>
  </si>
  <si>
    <t>ICATU SEG INSIGNE FIC RF CP</t>
  </si>
  <si>
    <t>444774</t>
  </si>
  <si>
    <t>ICATU SEG TESOURO JURO REAL 2024 FIC RF</t>
  </si>
  <si>
    <t>466514</t>
  </si>
  <si>
    <t>ICATU SEG WESTERN ASSET PREV FI FIM</t>
  </si>
  <si>
    <t>403814</t>
  </si>
  <si>
    <t>ICATU SELEÇÃO JÚPITER PREV FI FIM</t>
  </si>
  <si>
    <t>489247</t>
  </si>
  <si>
    <t>ICATU VANGUARDA ABSOLUTO FI RF PREV CP</t>
  </si>
  <si>
    <t>396389</t>
  </si>
  <si>
    <t>ICATU VANGUARDA CRÉDITO GLOBAL PREV FIC FIM CP</t>
  </si>
  <si>
    <t>555789</t>
  </si>
  <si>
    <t>ICATU VANGUARDA DIVIDENDOS FIA PREV</t>
  </si>
  <si>
    <t>567388</t>
  </si>
  <si>
    <t>ICATU VANGUARDA FOF FI FIM PREV CP</t>
  </si>
  <si>
    <t>567401</t>
  </si>
  <si>
    <t>ICATU VANGUARDA HEDGE FI FIM PREV</t>
  </si>
  <si>
    <t>475645</t>
  </si>
  <si>
    <t>ICATU VANGUARDA HEDGE II PREV FI FIM</t>
  </si>
  <si>
    <t>462756</t>
  </si>
  <si>
    <t>ICATU VANGUARDA INFLAÇÃO LONGA FIC RF PREV</t>
  </si>
  <si>
    <t>99481</t>
  </si>
  <si>
    <t>ICATU VANGUARDA MULTIMERCADO ESTRATÉGIA ARROJADO FI FIM PREV</t>
  </si>
  <si>
    <t>337455</t>
  </si>
  <si>
    <t>ICATU VANGUARDA PÓS-FIXADO FI RF PREV</t>
  </si>
  <si>
    <t>542229</t>
  </si>
  <si>
    <t>IP PREV ICATU QUALIFICADO FIC FIM</t>
  </si>
  <si>
    <t>576883</t>
  </si>
  <si>
    <t>ITAÚ HIGH YIELD PREV P DIST BP FIC RF CP</t>
  </si>
  <si>
    <t>664707</t>
  </si>
  <si>
    <t>ITAÚ MACRO OPPORTUNITIES PREV DISTRIBUIDORES BTG FIC FIM</t>
  </si>
  <si>
    <t>622699</t>
  </si>
  <si>
    <t>ITAÚ OPTIMUS PREV BTG DISTRIBUIDORES FIC RF LP</t>
  </si>
  <si>
    <t>635898</t>
  </si>
  <si>
    <t>JGP AÇÕES ESG 100 ICATU SEGUROS FIC FIA PREV</t>
  </si>
  <si>
    <t>549010</t>
  </si>
  <si>
    <t>JGP BP CRÉDITO FIC RF IPCA PREV CP LP</t>
  </si>
  <si>
    <t>679879</t>
  </si>
  <si>
    <t>KAIRÓS MACRO ICATU PREV FIE I FIC FIM</t>
  </si>
  <si>
    <t>574872</t>
  </si>
  <si>
    <t xml:space="preserve">KAIRÓS CAPITAL GESTÃO DE RECURSOS LTDA. </t>
  </si>
  <si>
    <t>KAPITALO KAPPA BP QUALIFICADO I FIC FIM PREV</t>
  </si>
  <si>
    <t>635596</t>
  </si>
  <si>
    <t>KINEA PREV ATLAS BTG PACTUAL FIC FIM</t>
  </si>
  <si>
    <t>580521</t>
  </si>
  <si>
    <t>KINEA PREV DINÂMICO II BTG PACTUAL FIC RF IPCA</t>
  </si>
  <si>
    <t>678708</t>
  </si>
  <si>
    <t>LEBLON 100 ICATU PREV FI FIM</t>
  </si>
  <si>
    <t>534455</t>
  </si>
  <si>
    <t>LEBLON ICATU PREV FI FIM</t>
  </si>
  <si>
    <t>238805</t>
  </si>
  <si>
    <t>NAVI LONG SHORT ICATU PREV FI FIM</t>
  </si>
  <si>
    <t>440541</t>
  </si>
  <si>
    <t>NAVI QUALIFICADO ICATU PREV FIE I FI FIM CP</t>
  </si>
  <si>
    <t>563021</t>
  </si>
  <si>
    <t>OCCAM EQUITY HEDGE BP PREV FIC FIM</t>
  </si>
  <si>
    <t>654418</t>
  </si>
  <si>
    <t>OPPORTUNITY ICATU PREV FIC FIM</t>
  </si>
  <si>
    <t>487831</t>
  </si>
  <si>
    <t>REAL INVESTOR 100 ICATU PREV QUALIFICADO FIC FIA</t>
  </si>
  <si>
    <t>602515</t>
  </si>
  <si>
    <t>ROOT CAPITAL CRÉDITO HG PREV FIC RF CP</t>
  </si>
  <si>
    <t>679127</t>
  </si>
  <si>
    <t>RPS PREV ABSOLUTO BP FIC FIM</t>
  </si>
  <si>
    <t>621978</t>
  </si>
  <si>
    <t>RPS PREV ABSOLUTO ICATU FIC FIM</t>
  </si>
  <si>
    <t>497703</t>
  </si>
  <si>
    <t>SAFARI PREV FIC FIM</t>
  </si>
  <si>
    <t>489948</t>
  </si>
  <si>
    <t>SCHRODER ICATU PREV LOW VOL FI FIM</t>
  </si>
  <si>
    <t>533629</t>
  </si>
  <si>
    <t>SOLIS ANTARES BTG SEGUROS PREV FIC RF CP</t>
  </si>
  <si>
    <t>684031</t>
  </si>
  <si>
    <t>VINCI EQUILÍBRIO ICATU PREV II FIC FIM</t>
  </si>
  <si>
    <t>415979</t>
  </si>
  <si>
    <t>VINCI GLOBAL ALLOCATION QUALIFICADO FIC FIM PREV</t>
  </si>
  <si>
    <t>601764</t>
  </si>
  <si>
    <t>VINLAND ATIVO BTG SEGUROS PREV FIC RF LP</t>
  </si>
  <si>
    <t>673625</t>
  </si>
  <si>
    <t>VINLAND MACRO BTG PACTUAL V PREV FIC FIM</t>
  </si>
  <si>
    <t>674648</t>
  </si>
  <si>
    <t>VINTAGE ASSET ALLOCATION PLATAFORMAS ICATU FIC FIM PREV</t>
  </si>
  <si>
    <t>581984</t>
  </si>
  <si>
    <t xml:space="preserve">VINTAGE INVESTIMENTOS LTDA </t>
  </si>
  <si>
    <t>WESTERN ASSET GLOBAL OPPORTUNITIES ICATU QUALIFICADO PREV FI FIM CP</t>
  </si>
  <si>
    <t>583952</t>
  </si>
  <si>
    <t>WESTERN ASSET ICATU ATIVO PREV FI RF</t>
  </si>
  <si>
    <t>443379</t>
  </si>
  <si>
    <t>WESTERN ASSET INCOME GENERATION ICATU PREV FI RF CP</t>
  </si>
  <si>
    <t>242489</t>
  </si>
  <si>
    <t>Seguradora Prev.</t>
  </si>
  <si>
    <t>Vinland Ativo BTG Seguros Prev FIC RF LP</t>
  </si>
  <si>
    <t>BTG Pactual REFerence S&amp;P500 USD Prev FI FIM</t>
  </si>
  <si>
    <t>Acs ARX Denali Prev FIC RF CP</t>
  </si>
  <si>
    <t>Genoa Capital Cruise Prev BTG FIC FIM</t>
  </si>
  <si>
    <t>Kapitalo K10 Global Bp Prev FIC FIM</t>
  </si>
  <si>
    <t>Real Investor 70 Prev FI FIM</t>
  </si>
  <si>
    <t>Absolute Vertex FIC FIM Access</t>
  </si>
  <si>
    <t>Trígono Icatu 100 FIA Prev</t>
  </si>
  <si>
    <t>Acs Absolute Vertex Prev FI FIM</t>
  </si>
  <si>
    <t>Neutro (Prv)</t>
  </si>
  <si>
    <t>Ativo (Prv)</t>
  </si>
  <si>
    <t>LEGACY CAPITAL ICATU FIC FIM PREV</t>
  </si>
  <si>
    <t>Itau Privilege RF REF DI FIC</t>
  </si>
  <si>
    <t>Tesouro Selic Simples FI RF</t>
  </si>
  <si>
    <t>Newton Global Tech Fund FIA IE</t>
  </si>
  <si>
    <t>Garin Cíclico LB FIM</t>
  </si>
  <si>
    <t>Quantitas Galapagos FIM</t>
  </si>
  <si>
    <t>Itau Mult Cred Priv Precision FIC</t>
  </si>
  <si>
    <t>Gávea Macro FIC FIM</t>
  </si>
  <si>
    <t>JGP Debentures Incentivadas Juros Reais FIC FIM CP</t>
  </si>
  <si>
    <t>Ibiuna Hedge STH FIC FIM</t>
  </si>
  <si>
    <t>Kapitalo Alpha Global FIC FIM</t>
  </si>
  <si>
    <t>Sparta Deb Inc Infla FIC FIRF Infra</t>
  </si>
  <si>
    <t>Clave Total Return FIC FIM Access</t>
  </si>
  <si>
    <t>Itaú Distribuidores  Hedge Plus II FICfim</t>
  </si>
  <si>
    <t>Capstone Macro FIC FIM</t>
  </si>
  <si>
    <t>Porto Seguro FI REF DI Crédito Privado</t>
  </si>
  <si>
    <t>Capitania Top CP FIC RF</t>
  </si>
  <si>
    <t>Icatu Vanguarda CP FI RF LP</t>
  </si>
  <si>
    <t>Tesouro Ipca Curto RF</t>
  </si>
  <si>
    <t>BTG Pactual Tesouro Ipca Geral FI RF REF</t>
  </si>
  <si>
    <t>BTG Pactual Tesouro Ipca Longo FI RF REF</t>
  </si>
  <si>
    <t>Blackrock Global Event Driven FIC FIM IE</t>
  </si>
  <si>
    <t>Absolute Hedge FIC de FIM</t>
  </si>
  <si>
    <t>Pimco Global Financ Credit FIC FIM IE</t>
  </si>
  <si>
    <t>Pimco Income Dolar FIC FIM IE</t>
  </si>
  <si>
    <t>Vitreo Carbono FIM</t>
  </si>
  <si>
    <t>Vitreo Uranio FIM</t>
  </si>
  <si>
    <t>Giant Prev BTG Fie FIC FIM</t>
  </si>
  <si>
    <t>Giant Sigma FIC FIM</t>
  </si>
  <si>
    <t>Ip Atlas USD FIC FIA IE</t>
  </si>
  <si>
    <t>Occam Equity Hedge FIC FIM Access</t>
  </si>
  <si>
    <t>Quantitas FIC FIM Mallorca</t>
  </si>
  <si>
    <t>Sharp Long Short FIM</t>
  </si>
  <si>
    <t>Octante CP FIM IE</t>
  </si>
  <si>
    <t>Claritas Quant FIC FIM</t>
  </si>
  <si>
    <t>Absolute Alpha Global FIC FIM</t>
  </si>
  <si>
    <t>Itaú Distribuidores Global Dinâmico Plus FIC FIM</t>
  </si>
  <si>
    <t>Itaú Distribuidores Hunter Total Return FIC FIM</t>
  </si>
  <si>
    <t>Oaktree Credit Access IE FIC MM</t>
  </si>
  <si>
    <t>Velt FIC FIA</t>
  </si>
  <si>
    <t>Porto Seguro Ipe FIC RF CP LP</t>
  </si>
  <si>
    <t>Gauss FIC FIM</t>
  </si>
  <si>
    <t>Gavea Macro Dolar FIC FIM</t>
  </si>
  <si>
    <t>Tenax Total Return FIC FIM</t>
  </si>
  <si>
    <t>Nw3 Event Driven Plus FIC FIM</t>
  </si>
  <si>
    <t>Ibiuna Credit FIC FIM CP</t>
  </si>
  <si>
    <t>M Ca FIC FIM CP</t>
  </si>
  <si>
    <t>Clave Alpha Macro FIC FIM Access</t>
  </si>
  <si>
    <t>JGP Strategy Access FIC MM</t>
  </si>
  <si>
    <t>JGP Strategy FIC FIM</t>
  </si>
  <si>
    <t>Helius Lux Long Biased FIC FIM</t>
  </si>
  <si>
    <t>Ip Participacoes FIC FIA BDR Nivel I</t>
  </si>
  <si>
    <t>JGP Long Only FIC FIA</t>
  </si>
  <si>
    <t>Truxt I Long Bias FIC FIM</t>
  </si>
  <si>
    <t>Truxt Long Bias FIC FIA Access</t>
  </si>
  <si>
    <t>Dahlia Total Return FIC FIM</t>
  </si>
  <si>
    <t>Trigono Verbier FIC de FIA</t>
  </si>
  <si>
    <t>Truxt Long Short Access FIC MM</t>
  </si>
  <si>
    <t>Dahlia Global Allocation FIC FIM</t>
  </si>
  <si>
    <t>Occam Retorno Absoluto  FIC FIM</t>
  </si>
  <si>
    <t>Dao Multifactor FIM</t>
  </si>
  <si>
    <t>Quasar Tropos FIA</t>
  </si>
  <si>
    <t>Capitania Premium FIC de FIRF CP LP</t>
  </si>
  <si>
    <t>JGP Corporate FIC FI RF CP LP</t>
  </si>
  <si>
    <t>SPX Seahawk Global FIC FIM CP</t>
  </si>
  <si>
    <t>JGP Debêntures Incentivadas FIC FI RF CP</t>
  </si>
  <si>
    <t>Arcah FIC FIM CP</t>
  </si>
  <si>
    <t>Vrb FIC FIA</t>
  </si>
  <si>
    <t>Vrb FIM</t>
  </si>
  <si>
    <t>Kapitalo Zeta FIC FIM</t>
  </si>
  <si>
    <t>Absoluto Partners II Access FIC FIA</t>
  </si>
  <si>
    <t>Constellation FIC FIA Access</t>
  </si>
  <si>
    <t>JGP Select FIC FIM CP</t>
  </si>
  <si>
    <t>JGP Select Premium FIM CP IE</t>
  </si>
  <si>
    <t>Solana Equity Hedge FIC FIM</t>
  </si>
  <si>
    <t>Sharp Long Short 2X FIM</t>
  </si>
  <si>
    <t>Sharp Long Biased Feeder FIC FIA</t>
  </si>
  <si>
    <t>More Crédito FIC FIM CP</t>
  </si>
  <si>
    <t>Leste Credit Abs I FIC FIM CP IE</t>
  </si>
  <si>
    <t>Leste CP Brasil FIC FIM CP IE</t>
  </si>
  <si>
    <t>FIQ FIDC Via Multicrédito - Senior (CDI+2.50%)</t>
  </si>
  <si>
    <t>LFT 2025 - Liquidez Diária (Selic+0.04%)</t>
  </si>
  <si>
    <t>Títulos Bancários - 6 meses (117.0% CDI)</t>
  </si>
  <si>
    <t>Títulos Bancários - 1 ano (113.5% CDI)</t>
  </si>
  <si>
    <t>Títulos Bancários - 2 anos (113.5% CDI)</t>
  </si>
  <si>
    <t>Títulos Bancários - 3 anos (113.5% CDI)</t>
  </si>
  <si>
    <t>Títulos Corporativos - 2 anos (CDI+1.65%)</t>
  </si>
  <si>
    <t>Títulos Corporativos - 3 anos (CDI+2.00%)</t>
  </si>
  <si>
    <t>Títulos Corporativos - 4 anos (CDI+2.30%)</t>
  </si>
  <si>
    <t>NTN-B 2023 (IPCA+4.40%)</t>
  </si>
  <si>
    <t>NTN-B 2024 (IPCA+6.15%)</t>
  </si>
  <si>
    <t>NTN-B 2025 (IPCA+5.75%)</t>
  </si>
  <si>
    <t>NTN-B 2026 (IPCA+5.90%)</t>
  </si>
  <si>
    <t>NTN-B 2027 (IPCA+5.90%)</t>
  </si>
  <si>
    <t>Títulos Bancários - 1 ano (IPCA+6.45%)</t>
  </si>
  <si>
    <t>Títulos Bancários - 2 anos (IPCA+6.70%)</t>
  </si>
  <si>
    <t>Títulos Bancários - 3 anos (IPCA+6.90%)</t>
  </si>
  <si>
    <t>NTN-B 2028 (IPCA+6.15%)</t>
  </si>
  <si>
    <t>NTN-B 2030 (IPCA+6.15%)</t>
  </si>
  <si>
    <t>Títulos Bancários - 4 anos (IPCA+6.95%)</t>
  </si>
  <si>
    <t>Títulos Bancários - 5 anos (IPCA+6.95%)</t>
  </si>
  <si>
    <t>Títulos Corporativos - 4 anos (IPCA+8.45%)</t>
  </si>
  <si>
    <t>NTN-B 2032 (IPCA+6.25%)</t>
  </si>
  <si>
    <t>NTN-B 2035 (IPCA+6.35%)</t>
  </si>
  <si>
    <t>Títulos Corporativos - 8 anos (IPCA+9.50%)</t>
  </si>
  <si>
    <t>Títulos Corporativos - 9 anos (IPCA+8.50%)</t>
  </si>
  <si>
    <t>Títulos Corporativos - 10 anos (IPCA+9.60%)</t>
  </si>
  <si>
    <t>NTN-F 2023 (-)</t>
  </si>
  <si>
    <t>NTN-F 2025 (12.60%)</t>
  </si>
  <si>
    <t>Títulos Bancários - 1 ano (14.55%)</t>
  </si>
  <si>
    <t>Títulos Bancários - 2 anos (14.25%)</t>
  </si>
  <si>
    <t>Títulos Bancários - 3 anos (14.55%)</t>
  </si>
  <si>
    <t>NTN-F 2027 (12.95%)</t>
  </si>
  <si>
    <t>NTN-F 2029 (13.30%)</t>
  </si>
  <si>
    <t>NTN-F 2031 (13.40%)</t>
  </si>
  <si>
    <t>Títulos Bancários - 4 anos (14.35%)</t>
  </si>
  <si>
    <t>Títulos Bancários - 5 anos (14.10%)</t>
  </si>
  <si>
    <t>Títulos Bancários - 6 anos (14.25%)</t>
  </si>
  <si>
    <t>Todos Selecionados</t>
  </si>
  <si>
    <t>Itaú Optimus Prev BTG Distribuidores FIC RF LP</t>
  </si>
  <si>
    <t>BTG Pactual Tesouro Selic Prev FI RF REF DI</t>
  </si>
  <si>
    <t>BTG Pactual Prev Ima-B FIC FI RF</t>
  </si>
  <si>
    <t>SPX Lancer BTGP Prev FIC FIM</t>
  </si>
  <si>
    <t>Trigono 70 Prev FIC FI FIM</t>
  </si>
  <si>
    <t>Access SPX Seahawk Prev FIC FIM CP</t>
  </si>
  <si>
    <t>Vinland Macro BTG Pactual V Prev FIC FIM</t>
  </si>
  <si>
    <t>Real Investor 100 Icatu Prev Qualificado FIC FIA</t>
  </si>
  <si>
    <t>Ibiuna St Prev FIC FIM CP Access</t>
  </si>
  <si>
    <t>BTG Pactual Tesouro Ipca Lon Prev FICrf</t>
  </si>
  <si>
    <t>Vinci Equilíbrio Icatu Prev II FIC FIM</t>
  </si>
  <si>
    <t>Vinci Equilibrio Prev FIM</t>
  </si>
  <si>
    <t>BTG Pactual Ntn-B 2035 Yield Prev FI RF</t>
  </si>
  <si>
    <t>Legacy Capital Icatu FIC FIM Prev</t>
  </si>
  <si>
    <t>Legacy Capital Prev Bs FIC FIM</t>
  </si>
  <si>
    <t>Sparta Previdencia Inflação B FIC FI RF CP</t>
  </si>
  <si>
    <t>BTG Pactual Crédito Corporativo II Prev FIC FIM CP</t>
  </si>
  <si>
    <t>JGP Bp Crédito FIC RF Ipca Prev CP LP</t>
  </si>
  <si>
    <t>Acs Riza Lótus Prev FIC RF CP</t>
  </si>
  <si>
    <t>Root Capital Crédito Hg Prev FIC RF CP</t>
  </si>
  <si>
    <t>Access Absolute Alpha Marb Prev Fie FIC FIM</t>
  </si>
  <si>
    <t>Kapitalo Kappa Bp Qualificado I FIC FIM Prev</t>
  </si>
  <si>
    <t>Ibiuna Credit Prev Access FIC FIM CP</t>
  </si>
  <si>
    <t>IEE</t>
  </si>
  <si>
    <t>Títulos Corporativos - 5 anos (IPCA+9.15%)</t>
  </si>
  <si>
    <t>Títulos Corporativos - 6 anos (IPCA+9.30%)</t>
  </si>
  <si>
    <t>Títulos Bancários - 1 ano (14.60%)</t>
  </si>
  <si>
    <t>Títulos Bancários - 2 anos (14.40%)</t>
  </si>
  <si>
    <t>Títulos Bancários - 3 anos (15.00%)</t>
  </si>
  <si>
    <t>Títulos Bancários - 1 ano (111.5% CDI)</t>
  </si>
  <si>
    <t>Títulos Bancários - 2 anos (115.0% CDI)</t>
  </si>
  <si>
    <t>Títulos Corporativos - 2 anos (CDI+1.70%)</t>
  </si>
  <si>
    <t>Títulos Corporativos - 3 anos (CDI+2.05%)</t>
  </si>
  <si>
    <t>LFT 2029 - Liquidez Diária (Selic+)</t>
  </si>
  <si>
    <t>LTN 202401 (PRE)</t>
  </si>
  <si>
    <t>LTN</t>
  </si>
  <si>
    <t>LTN 202407 (PRE)</t>
  </si>
  <si>
    <t>LTN 202501 (PRE)</t>
  </si>
  <si>
    <t>LTN 202507 (PRE)</t>
  </si>
  <si>
    <t>LTN 202601 (PRE)</t>
  </si>
  <si>
    <t>NTN-B 2040 (IPCA+)</t>
  </si>
  <si>
    <t>NTN-B 2045 (IPCA+)</t>
  </si>
  <si>
    <t>NTN-B 2050 (IPCA+)</t>
  </si>
  <si>
    <t>NTN-B 2055 (IPCA+)</t>
  </si>
  <si>
    <t>NTN-B 2060 (IPCA+)</t>
  </si>
  <si>
    <t>NTN-F 2033 (PRE)</t>
  </si>
  <si>
    <t>ISIN</t>
  </si>
  <si>
    <t>BRSTNCLF1RD2</t>
  </si>
  <si>
    <t>BRSTNCLF1RL5</t>
  </si>
  <si>
    <t>BRSTNCNTB4O9</t>
  </si>
  <si>
    <t>BRSTNCNTB096</t>
  </si>
  <si>
    <t>BRSTNCNTB633</t>
  </si>
  <si>
    <t>BRSTNCNTB4U6</t>
  </si>
  <si>
    <t>BRSTNCNTB682</t>
  </si>
  <si>
    <t>BRSTNCNTB4X0</t>
  </si>
  <si>
    <t>BRSTNCNTB3B8</t>
  </si>
  <si>
    <t>BRSTNCNTB674</t>
  </si>
  <si>
    <t>BRSTNCNTB0O7</t>
  </si>
  <si>
    <t>BRSTNCNTB3C6</t>
  </si>
  <si>
    <t>BRSTNCNTB0A6</t>
  </si>
  <si>
    <t>BRSTNCNTB3D4</t>
  </si>
  <si>
    <t>BRSTNCNTB4Q4</t>
  </si>
  <si>
    <t>BRSTNCNTB690</t>
  </si>
  <si>
    <t>BRSTNCNTF170</t>
  </si>
  <si>
    <t>BRSTNCLTN7S1</t>
  </si>
  <si>
    <t>BRSTNCLTN7W3</t>
  </si>
  <si>
    <t>BRSTNCLTN7N2</t>
  </si>
  <si>
    <t>BRSTNCLTN7Z6</t>
  </si>
  <si>
    <t>BRSTNCLTN7U7</t>
  </si>
  <si>
    <t>BRSTNCNTF1P8</t>
  </si>
  <si>
    <t>BRSTNCNTF1Q6</t>
  </si>
  <si>
    <t>BRSTNCNTF204</t>
  </si>
  <si>
    <t>BRSTNCNTF212</t>
  </si>
  <si>
    <t>HASH11</t>
  </si>
  <si>
    <t>BITH11</t>
  </si>
  <si>
    <t>ETHE11</t>
  </si>
  <si>
    <t>Deb. Perpétua Vale - CRVDA6</t>
  </si>
  <si>
    <t>CP</t>
  </si>
  <si>
    <t>BRVALEDBS028</t>
  </si>
  <si>
    <t>PERFORMANCE ATTRIBUTION - ESTRATÉGIA</t>
  </si>
  <si>
    <t>Ibiuna Long Biased FIC FIM</t>
  </si>
  <si>
    <t>Ativo: Taxa Isenta</t>
  </si>
  <si>
    <t>DI</t>
  </si>
  <si>
    <t>Inflação Implícita</t>
  </si>
  <si>
    <t>Taxa Isenta</t>
  </si>
  <si>
    <t>Taxa Líquida CDI+</t>
  </si>
  <si>
    <t>Taxa Líquida IPCA+</t>
  </si>
  <si>
    <t>Taxa Gross-up IPCA+</t>
  </si>
  <si>
    <t>Taxa Gross-up %CDI</t>
  </si>
  <si>
    <t>Taxa Gross-up Pré</t>
  </si>
  <si>
    <t>Ativo: Taxa Não Isenta</t>
  </si>
  <si>
    <t>Taxa Bruta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</si>
</sst>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2" formatCode="_(&quot;$&quot;* #,##0_);_(&quot;$&quot;* \(#,##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quot; &quot;00&quot;.&quot;000&quot;.&quot;000&quot;/&quot;0000\-00;&quot; &quot;00&quot;.&quot;000&quot;.&quot;000&quot;/&quot;0000\-00;\ &quot;-&quot;\ "/>
    <numFmt numFmtId="182" formatCode="0.0%;\-0.0%;&quot;-&quot;"/>
    <numFmt numFmtId="183" formatCode="#,##0.00_);\(#,##0.00\);&quot;-&quot;"/>
    <numFmt numFmtId="184" formatCode="0.0000%"/>
    <numFmt numFmtId="185" formatCode="_-[$R$-416]\ * #,##0.00_-;\-[$R$-416]\ * #,##0.00_-;_-[$R$-416]\ * &quot;-&quot;??_-;_-@_-"/>
    <numFmt numFmtId="186" formatCode="[$-416]mmmm;@"/>
  </numFmts>
  <fonts count="187">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2"/>
      <color rgb="FFC00000"/>
      <name val="Archia Regular"/>
    </font>
    <font>
      <b/>
      <sz val="14"/>
      <color theme="3"/>
      <name val="Calibri"/>
      <family val="2"/>
      <scheme val="minor"/>
    </font>
    <font>
      <sz val="11"/>
      <color rgb="FF0000C0"/>
      <name val="Sarabun Regular"/>
    </font>
    <font>
      <sz val="14"/>
      <color rgb="FF0000C0"/>
      <name val="Sarabun Regular"/>
    </font>
    <font>
      <sz val="22"/>
      <color rgb="FF0000C0"/>
      <name val="Archia SemiBold"/>
      <family val="3"/>
    </font>
    <font>
      <sz val="14"/>
      <color rgb="FF0000C0"/>
      <name val="Archia Regular"/>
    </font>
    <font>
      <b/>
      <sz val="18"/>
      <color theme="1"/>
      <name val="Calibri"/>
      <family val="2"/>
      <scheme val="minor"/>
    </font>
    <font>
      <sz val="14"/>
      <color theme="9" tint="-0.499984740745262"/>
      <name val="Calibri"/>
      <family val="2"/>
      <scheme val="minor"/>
    </font>
    <font>
      <b/>
      <sz val="11"/>
      <color rgb="FF0000C0"/>
      <name val="Sarabun Regular"/>
    </font>
    <font>
      <b/>
      <sz val="14"/>
      <color rgb="FF0000C0"/>
      <name val="Sarabun Regular"/>
    </font>
    <font>
      <b/>
      <sz val="14"/>
      <color rgb="FF0000C0"/>
      <name val="Archia Regular"/>
    </font>
    <font>
      <sz val="11"/>
      <color theme="0" tint="-4.9989318521683403E-2"/>
      <name val="Calibri"/>
      <family val="2"/>
      <scheme val="minor"/>
    </font>
    <font>
      <sz val="14"/>
      <color rgb="FF000000"/>
      <name val="Calibri"/>
      <family val="2"/>
    </font>
    <font>
      <b/>
      <sz val="14"/>
      <color rgb="FF000000"/>
      <name val="Calibri"/>
      <family val="2"/>
    </font>
    <font>
      <sz val="10"/>
      <color rgb="FF000000"/>
      <name val="Calibri"/>
      <family val="2"/>
    </font>
    <font>
      <i/>
      <sz val="12"/>
      <color rgb="FFC00000"/>
      <name val="Archia Regular"/>
    </font>
    <font>
      <b/>
      <sz val="9"/>
      <color theme="0"/>
      <name val="Calibri"/>
      <family val="2"/>
      <scheme val="minor"/>
    </font>
    <font>
      <sz val="14"/>
      <color rgb="FF0000C0"/>
      <name val="Calibri"/>
      <family val="2"/>
      <scheme val="minor"/>
    </font>
  </fonts>
  <fills count="54">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7"/>
        <bgColor indexed="64"/>
      </patternFill>
    </fill>
    <fill>
      <patternFill patternType="solid">
        <fgColor theme="8"/>
        <bgColor indexed="64"/>
      </patternFill>
    </fill>
  </fills>
  <borders count="105">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ck">
        <color theme="0"/>
      </left>
      <right/>
      <top/>
      <bottom/>
      <diagonal/>
    </border>
    <border>
      <left/>
      <right style="thick">
        <color theme="0"/>
      </right>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thick">
        <color theme="0"/>
      </left>
      <right style="thin">
        <color theme="0"/>
      </right>
      <top/>
      <bottom/>
      <diagonal/>
    </border>
    <border>
      <left style="thick">
        <color theme="0"/>
      </left>
      <right style="thin">
        <color theme="0"/>
      </right>
      <top/>
      <bottom style="thick">
        <color theme="0"/>
      </bottom>
      <diagonal/>
    </border>
    <border>
      <left style="thin">
        <color theme="0"/>
      </left>
      <right style="thin">
        <color theme="0"/>
      </right>
      <top/>
      <bottom style="thick">
        <color theme="0"/>
      </bottom>
      <diagonal/>
    </border>
    <border>
      <left style="thin">
        <color theme="0"/>
      </left>
      <right style="thin">
        <color theme="0"/>
      </right>
      <top/>
      <bottom/>
      <diagonal/>
    </border>
    <border>
      <left/>
      <right style="medium">
        <color theme="0"/>
      </right>
      <top/>
      <bottom/>
      <diagonal/>
    </border>
    <border>
      <left/>
      <right style="thin">
        <color theme="0"/>
      </right>
      <top/>
      <bottom/>
      <diagonal/>
    </border>
    <border>
      <left style="thick">
        <color rgb="FFFFFFFF"/>
      </left>
      <right style="thick">
        <color rgb="FFFFFFFF"/>
      </right>
      <top/>
      <bottom/>
      <diagonal/>
    </border>
    <border>
      <left/>
      <right/>
      <top/>
      <bottom style="medium">
        <color theme="4"/>
      </bottom>
      <diagonal/>
    </border>
    <border>
      <left style="medium">
        <color theme="4"/>
      </left>
      <right style="medium">
        <color theme="4"/>
      </right>
      <top style="medium">
        <color theme="4"/>
      </top>
      <bottom style="medium">
        <color theme="4"/>
      </bottom>
      <diagonal/>
    </border>
    <border>
      <left style="medium">
        <color theme="4"/>
      </left>
      <right/>
      <top style="medium">
        <color theme="4"/>
      </top>
      <bottom style="thin">
        <color theme="4"/>
      </bottom>
      <diagonal/>
    </border>
    <border>
      <left/>
      <right style="medium">
        <color theme="4"/>
      </right>
      <top style="medium">
        <color theme="4"/>
      </top>
      <bottom style="thin">
        <color theme="4"/>
      </bottom>
      <diagonal/>
    </border>
    <border>
      <left style="medium">
        <color theme="4"/>
      </left>
      <right/>
      <top style="thin">
        <color theme="4"/>
      </top>
      <bottom style="medium">
        <color theme="4"/>
      </bottom>
      <diagonal/>
    </border>
    <border>
      <left/>
      <right style="medium">
        <color theme="4"/>
      </right>
      <top style="thin">
        <color theme="4"/>
      </top>
      <bottom style="medium">
        <color theme="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56">
    <xf numFmtId="0" fontId="0" fillId="0" borderId="0"/>
    <xf numFmtId="43" fontId="31" fillId="0" borderId="0" applyFont="0" applyFill="0" applyBorder="0" applyAlignment="0" applyProtection="0"/>
    <xf numFmtId="9" fontId="31" fillId="0" borderId="0" applyFont="0" applyFill="0" applyBorder="0" applyAlignment="0" applyProtection="0"/>
    <xf numFmtId="0" fontId="107" fillId="5" borderId="0">
      <alignment vertical="center"/>
      <protection locked="0"/>
    </xf>
    <xf numFmtId="9" fontId="108" fillId="0" borderId="11">
      <alignment horizontal="center" vertical="center"/>
      <protection locked="0"/>
    </xf>
    <xf numFmtId="164" fontId="108" fillId="0" borderId="11">
      <alignment horizontal="center" vertical="center"/>
      <protection locked="0"/>
    </xf>
    <xf numFmtId="39" fontId="108" fillId="0" borderId="11">
      <alignment horizontal="center" vertical="center"/>
      <protection locked="0"/>
    </xf>
    <xf numFmtId="176" fontId="108" fillId="0" borderId="11">
      <alignment horizontal="center" vertical="center"/>
      <protection locked="0"/>
    </xf>
    <xf numFmtId="0" fontId="108" fillId="0" borderId="11">
      <alignment horizontal="left" vertical="center"/>
      <protection locked="0"/>
    </xf>
    <xf numFmtId="0" fontId="107" fillId="3" borderId="0">
      <alignment horizontal="left" vertical="center"/>
      <protection locked="0"/>
    </xf>
    <xf numFmtId="0" fontId="106" fillId="17" borderId="0">
      <alignment vertical="center"/>
      <protection locked="0"/>
    </xf>
    <xf numFmtId="0" fontId="124" fillId="0" borderId="0" applyNumberFormat="0" applyFill="0" applyBorder="0" applyAlignment="0" applyProtection="0"/>
    <xf numFmtId="0" fontId="125" fillId="0" borderId="68" applyNumberFormat="0" applyFill="0" applyAlignment="0" applyProtection="0"/>
    <xf numFmtId="0" fontId="126" fillId="0" borderId="69" applyNumberFormat="0" applyFill="0" applyAlignment="0" applyProtection="0"/>
    <xf numFmtId="0" fontId="86" fillId="0" borderId="70" applyNumberFormat="0" applyFill="0" applyAlignment="0" applyProtection="0"/>
    <xf numFmtId="0" fontId="86" fillId="0" borderId="0" applyNumberFormat="0" applyFill="0" applyBorder="0" applyAlignment="0" applyProtection="0"/>
    <xf numFmtId="0" fontId="127" fillId="20" borderId="0" applyNumberFormat="0" applyBorder="0" applyAlignment="0" applyProtection="0"/>
    <xf numFmtId="0" fontId="128" fillId="21" borderId="0" applyNumberFormat="0" applyBorder="0" applyAlignment="0" applyProtection="0"/>
    <xf numFmtId="0" fontId="129" fillId="22" borderId="0" applyNumberFormat="0" applyBorder="0" applyAlignment="0" applyProtection="0"/>
    <xf numFmtId="0" fontId="130" fillId="23" borderId="71" applyNumberFormat="0" applyAlignment="0" applyProtection="0"/>
    <xf numFmtId="0" fontId="131" fillId="24" borderId="72" applyNumberFormat="0" applyAlignment="0" applyProtection="0"/>
    <xf numFmtId="0" fontId="132" fillId="24" borderId="71" applyNumberFormat="0" applyAlignment="0" applyProtection="0"/>
    <xf numFmtId="0" fontId="133" fillId="0" borderId="73" applyNumberFormat="0" applyFill="0" applyAlignment="0" applyProtection="0"/>
    <xf numFmtId="0" fontId="87" fillId="25" borderId="74" applyNumberFormat="0" applyAlignment="0" applyProtection="0"/>
    <xf numFmtId="0" fontId="134" fillId="0" borderId="0" applyNumberFormat="0" applyFill="0" applyBorder="0" applyAlignment="0" applyProtection="0"/>
    <xf numFmtId="0" fontId="135" fillId="0" borderId="0" applyNumberFormat="0" applyFill="0" applyBorder="0" applyAlignment="0" applyProtection="0"/>
    <xf numFmtId="0" fontId="43" fillId="0" borderId="76" applyNumberFormat="0" applyFill="0" applyAlignment="0" applyProtection="0"/>
    <xf numFmtId="0" fontId="4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13" fillId="30" borderId="0" applyNumberFormat="0" applyBorder="0" applyAlignment="0" applyProtection="0"/>
    <xf numFmtId="0" fontId="42" fillId="31"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13" fillId="34" borderId="0" applyNumberFormat="0" applyBorder="0" applyAlignment="0" applyProtection="0"/>
    <xf numFmtId="0" fontId="42" fillId="35" borderId="0" applyNumberFormat="0" applyBorder="0" applyAlignment="0" applyProtection="0"/>
    <xf numFmtId="0" fontId="13" fillId="36" borderId="0" applyNumberFormat="0" applyBorder="0" applyAlignment="0" applyProtection="0"/>
    <xf numFmtId="0" fontId="13" fillId="37" borderId="0" applyNumberFormat="0" applyBorder="0" applyAlignment="0" applyProtection="0"/>
    <xf numFmtId="0" fontId="13" fillId="38" borderId="0" applyNumberFormat="0" applyBorder="0" applyAlignment="0" applyProtection="0"/>
    <xf numFmtId="0" fontId="42"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13" fillId="42" borderId="0" applyNumberFormat="0" applyBorder="0" applyAlignment="0" applyProtection="0"/>
    <xf numFmtId="0" fontId="42" fillId="43" borderId="0" applyNumberFormat="0" applyBorder="0" applyAlignment="0" applyProtection="0"/>
    <xf numFmtId="0" fontId="13" fillId="44" borderId="0" applyNumberFormat="0" applyBorder="0" applyAlignment="0" applyProtection="0"/>
    <xf numFmtId="0" fontId="13" fillId="45" borderId="0" applyNumberFormat="0" applyBorder="0" applyAlignment="0" applyProtection="0"/>
    <xf numFmtId="0" fontId="13" fillId="46" borderId="0" applyNumberFormat="0" applyBorder="0" applyAlignment="0" applyProtection="0"/>
    <xf numFmtId="0" fontId="42"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6" fillId="0" borderId="0"/>
    <xf numFmtId="0" fontId="13" fillId="0" borderId="0"/>
    <xf numFmtId="0" fontId="13" fillId="26" borderId="75" applyNumberFormat="0" applyFont="0" applyAlignment="0" applyProtection="0"/>
    <xf numFmtId="0" fontId="13" fillId="0" borderId="0"/>
    <xf numFmtId="0" fontId="156" fillId="0" borderId="0" applyNumberFormat="0" applyFill="0" applyBorder="0" applyAlignment="0" applyProtection="0"/>
  </cellStyleXfs>
  <cellXfs count="1075">
    <xf numFmtId="0" fontId="0" fillId="0" borderId="0" xfId="0"/>
    <xf numFmtId="0" fontId="0" fillId="0" borderId="0" xfId="0" applyAlignment="1">
      <alignment horizontal="center"/>
    </xf>
    <xf numFmtId="0" fontId="33" fillId="0" borderId="0" xfId="0" applyFont="1"/>
    <xf numFmtId="0" fontId="36"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7" fillId="0" borderId="0" xfId="0" applyFont="1" applyAlignment="1">
      <alignment horizontal="center" vertical="center"/>
    </xf>
    <xf numFmtId="0" fontId="40" fillId="0" borderId="0" xfId="0" applyFont="1"/>
    <xf numFmtId="0" fontId="55" fillId="3" borderId="3" xfId="0" applyFont="1" applyFill="1" applyBorder="1" applyAlignment="1">
      <alignment horizontal="center"/>
    </xf>
    <xf numFmtId="0" fontId="58" fillId="0" borderId="0" xfId="0" applyFont="1" applyAlignment="1">
      <alignment horizontal="center"/>
    </xf>
    <xf numFmtId="164" fontId="32" fillId="4" borderId="24" xfId="2" applyNumberFormat="1" applyFont="1" applyFill="1" applyBorder="1" applyAlignment="1" applyProtection="1">
      <alignment horizontal="center" vertical="center"/>
    </xf>
    <xf numFmtId="164" fontId="44" fillId="5" borderId="24" xfId="2" applyNumberFormat="1" applyFont="1" applyFill="1" applyBorder="1" applyAlignment="1" applyProtection="1">
      <alignment horizontal="center" vertical="center"/>
    </xf>
    <xf numFmtId="164" fontId="31" fillId="3" borderId="16" xfId="2" applyNumberFormat="1" applyFont="1" applyFill="1" applyBorder="1" applyAlignment="1" applyProtection="1">
      <alignment horizontal="center" vertical="center"/>
    </xf>
    <xf numFmtId="164" fontId="31" fillId="3" borderId="18" xfId="2" applyNumberFormat="1" applyFont="1" applyFill="1" applyBorder="1" applyAlignment="1" applyProtection="1">
      <alignment horizontal="center" vertical="center"/>
    </xf>
    <xf numFmtId="164" fontId="31" fillId="3" borderId="20" xfId="2" applyNumberFormat="1" applyFont="1" applyFill="1" applyBorder="1" applyAlignment="1" applyProtection="1">
      <alignment horizontal="center" vertical="center"/>
    </xf>
    <xf numFmtId="164" fontId="31" fillId="3" borderId="30" xfId="2" applyNumberFormat="1" applyFont="1" applyFill="1" applyBorder="1" applyAlignment="1" applyProtection="1">
      <alignment horizontal="center" vertical="center"/>
    </xf>
    <xf numFmtId="164" fontId="44" fillId="3" borderId="23" xfId="2" applyNumberFormat="1" applyFont="1" applyFill="1" applyBorder="1" applyAlignment="1" applyProtection="1">
      <alignment horizontal="center" vertical="center"/>
    </xf>
    <xf numFmtId="164" fontId="44" fillId="3" borderId="24" xfId="2" applyNumberFormat="1" applyFont="1" applyFill="1" applyBorder="1" applyAlignment="1" applyProtection="1">
      <alignment horizontal="center" vertical="center"/>
    </xf>
    <xf numFmtId="0" fontId="44" fillId="0" borderId="14" xfId="0" applyFont="1" applyBorder="1" applyAlignment="1">
      <alignment horizontal="center" vertical="center"/>
    </xf>
    <xf numFmtId="0" fontId="44" fillId="0" borderId="0" xfId="0" applyFont="1" applyAlignment="1">
      <alignment horizontal="center" vertical="center"/>
    </xf>
    <xf numFmtId="0" fontId="32" fillId="0" borderId="14" xfId="0" applyFont="1" applyBorder="1" applyAlignment="1">
      <alignment horizontal="center" vertical="center"/>
    </xf>
    <xf numFmtId="0" fontId="45" fillId="0" borderId="0" xfId="0" applyFont="1" applyAlignment="1" applyProtection="1">
      <alignment vertical="center"/>
      <protection locked="0"/>
    </xf>
    <xf numFmtId="0" fontId="44" fillId="0" borderId="0" xfId="0" applyFont="1" applyAlignment="1" applyProtection="1">
      <alignment horizontal="center" vertical="center"/>
      <protection locked="0"/>
    </xf>
    <xf numFmtId="164" fontId="32" fillId="4" borderId="23" xfId="2" applyNumberFormat="1" applyFont="1" applyFill="1" applyBorder="1" applyAlignment="1" applyProtection="1">
      <alignment horizontal="center" vertical="center"/>
    </xf>
    <xf numFmtId="164" fontId="44" fillId="5" borderId="23" xfId="2" applyNumberFormat="1" applyFont="1" applyFill="1" applyBorder="1" applyAlignment="1" applyProtection="1">
      <alignment horizontal="center" vertical="center"/>
    </xf>
    <xf numFmtId="164" fontId="31" fillId="3" borderId="1" xfId="2" applyNumberFormat="1" applyFont="1" applyFill="1" applyBorder="1" applyAlignment="1" applyProtection="1">
      <alignment horizontal="center" vertical="center"/>
    </xf>
    <xf numFmtId="1" fontId="33" fillId="0" borderId="0" xfId="1" applyNumberFormat="1" applyFont="1" applyProtection="1"/>
    <xf numFmtId="0" fontId="34" fillId="0" borderId="0" xfId="0" applyFont="1"/>
    <xf numFmtId="0" fontId="31" fillId="0" borderId="0" xfId="0" applyFont="1"/>
    <xf numFmtId="1" fontId="40" fillId="0" borderId="0" xfId="1" applyNumberFormat="1" applyFont="1" applyProtection="1"/>
    <xf numFmtId="0" fontId="63" fillId="0" borderId="0" xfId="0" applyFont="1"/>
    <xf numFmtId="0" fontId="56" fillId="0" borderId="0" xfId="0" applyFont="1"/>
    <xf numFmtId="0" fontId="39" fillId="0" borderId="0" xfId="0" applyFont="1"/>
    <xf numFmtId="0" fontId="46" fillId="0" borderId="0" xfId="0" applyFont="1" applyAlignment="1">
      <alignment horizontal="center"/>
    </xf>
    <xf numFmtId="0" fontId="47" fillId="0" borderId="0" xfId="0" applyFont="1" applyAlignment="1">
      <alignment horizontal="center"/>
    </xf>
    <xf numFmtId="1" fontId="40" fillId="0" borderId="0" xfId="1" applyNumberFormat="1" applyFont="1" applyAlignment="1" applyProtection="1">
      <alignment vertical="center"/>
    </xf>
    <xf numFmtId="0" fontId="40" fillId="0" borderId="0" xfId="0" applyFont="1" applyAlignment="1">
      <alignment vertical="center"/>
    </xf>
    <xf numFmtId="0" fontId="31" fillId="0" borderId="0" xfId="0" applyFont="1" applyAlignment="1">
      <alignment vertical="center"/>
    </xf>
    <xf numFmtId="1" fontId="0" fillId="0" borderId="0" xfId="1" applyNumberFormat="1" applyFont="1" applyAlignment="1" applyProtection="1">
      <alignment vertical="center"/>
    </xf>
    <xf numFmtId="0" fontId="48" fillId="0" borderId="14" xfId="0" applyFont="1" applyBorder="1" applyAlignment="1">
      <alignment horizontal="center" vertical="center"/>
    </xf>
    <xf numFmtId="0" fontId="45" fillId="0" borderId="15" xfId="0" applyFont="1" applyBorder="1" applyAlignment="1">
      <alignment horizontal="center" vertical="center"/>
    </xf>
    <xf numFmtId="0" fontId="48" fillId="0" borderId="0" xfId="0" applyFont="1" applyAlignment="1">
      <alignment horizontal="center" vertical="center"/>
    </xf>
    <xf numFmtId="0" fontId="45" fillId="0" borderId="0" xfId="0" applyFont="1" applyAlignment="1">
      <alignment horizontal="center" vertical="center"/>
    </xf>
    <xf numFmtId="1" fontId="49" fillId="0" borderId="0" xfId="1" applyNumberFormat="1" applyFont="1" applyFill="1" applyAlignment="1" applyProtection="1">
      <alignment horizontal="center" vertical="center"/>
    </xf>
    <xf numFmtId="0" fontId="31" fillId="0" borderId="0" xfId="0" applyFont="1" applyAlignment="1">
      <alignment horizontal="center" vertical="center"/>
    </xf>
    <xf numFmtId="1" fontId="44" fillId="0" borderId="0" xfId="1" applyNumberFormat="1" applyFont="1" applyAlignment="1" applyProtection="1">
      <alignment vertical="center"/>
    </xf>
    <xf numFmtId="0" fontId="49" fillId="2" borderId="23" xfId="0" applyFont="1" applyFill="1" applyBorder="1" applyAlignment="1">
      <alignment vertical="center"/>
    </xf>
    <xf numFmtId="0" fontId="44" fillId="0" borderId="0" xfId="0" applyFont="1" applyAlignment="1">
      <alignment vertical="center"/>
    </xf>
    <xf numFmtId="1" fontId="50" fillId="0" borderId="0" xfId="1" applyNumberFormat="1" applyFont="1" applyAlignment="1" applyProtection="1">
      <alignment horizontal="center" vertical="center"/>
    </xf>
    <xf numFmtId="0" fontId="44" fillId="5" borderId="23" xfId="0" applyFont="1" applyFill="1" applyBorder="1" applyAlignment="1">
      <alignment vertical="center"/>
    </xf>
    <xf numFmtId="0" fontId="53" fillId="5" borderId="23" xfId="0" applyFont="1" applyFill="1" applyBorder="1" applyAlignment="1">
      <alignment horizontal="center" vertical="center"/>
    </xf>
    <xf numFmtId="1" fontId="60" fillId="0" borderId="0" xfId="1" applyNumberFormat="1" applyFont="1" applyAlignment="1" applyProtection="1">
      <alignment horizontal="center" vertical="center"/>
    </xf>
    <xf numFmtId="0" fontId="44" fillId="3" borderId="1" xfId="0" applyFont="1" applyFill="1" applyBorder="1" applyAlignment="1">
      <alignment horizontal="left" vertical="center" indent="1"/>
    </xf>
    <xf numFmtId="0" fontId="53" fillId="3" borderId="1" xfId="0" applyFont="1" applyFill="1" applyBorder="1" applyAlignment="1">
      <alignment horizontal="center" vertical="center"/>
    </xf>
    <xf numFmtId="0" fontId="44" fillId="3" borderId="17" xfId="0" applyFont="1" applyFill="1" applyBorder="1" applyAlignment="1">
      <alignment horizontal="left" vertical="center" indent="1"/>
    </xf>
    <xf numFmtId="0" fontId="53" fillId="3" borderId="17" xfId="0" applyFont="1" applyFill="1" applyBorder="1" applyAlignment="1">
      <alignment horizontal="center" vertical="center"/>
    </xf>
    <xf numFmtId="0" fontId="44" fillId="3" borderId="19" xfId="0" applyFont="1" applyFill="1" applyBorder="1" applyAlignment="1">
      <alignment horizontal="left" vertical="center" indent="1"/>
    </xf>
    <xf numFmtId="0" fontId="53" fillId="3" borderId="19" xfId="0" applyFont="1" applyFill="1" applyBorder="1" applyAlignment="1">
      <alignment horizontal="center" vertical="center"/>
    </xf>
    <xf numFmtId="0" fontId="61" fillId="2" borderId="23" xfId="0" applyFont="1" applyFill="1" applyBorder="1" applyAlignment="1">
      <alignment horizontal="center" vertical="center"/>
    </xf>
    <xf numFmtId="0" fontId="44" fillId="3" borderId="23" xfId="0" applyFont="1" applyFill="1" applyBorder="1" applyAlignment="1">
      <alignment vertical="center"/>
    </xf>
    <xf numFmtId="0" fontId="0" fillId="0" borderId="0" xfId="0" applyAlignment="1">
      <alignment vertical="center"/>
    </xf>
    <xf numFmtId="164" fontId="44" fillId="0" borderId="14" xfId="2" applyNumberFormat="1" applyFont="1" applyBorder="1" applyAlignment="1" applyProtection="1">
      <alignment vertical="center"/>
    </xf>
    <xf numFmtId="164" fontId="0" fillId="0" borderId="15" xfId="2" applyNumberFormat="1" applyFont="1" applyBorder="1" applyAlignment="1" applyProtection="1">
      <alignment vertical="center"/>
    </xf>
    <xf numFmtId="164" fontId="44" fillId="0" borderId="0" xfId="2" applyNumberFormat="1" applyFont="1" applyAlignment="1" applyProtection="1">
      <alignment vertical="center"/>
    </xf>
    <xf numFmtId="164" fontId="0" fillId="0" borderId="0" xfId="2" applyNumberFormat="1" applyFont="1" applyAlignment="1" applyProtection="1">
      <alignment vertical="center"/>
    </xf>
    <xf numFmtId="0" fontId="44" fillId="0" borderId="14" xfId="0" applyFont="1" applyBorder="1" applyAlignment="1">
      <alignment vertical="center"/>
    </xf>
    <xf numFmtId="0" fontId="44" fillId="0" borderId="15"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32" fillId="9" borderId="21" xfId="0" applyFont="1" applyFill="1" applyBorder="1" applyAlignment="1">
      <alignment vertical="center"/>
    </xf>
    <xf numFmtId="0" fontId="32" fillId="9" borderId="28" xfId="0" applyFont="1" applyFill="1" applyBorder="1" applyAlignment="1">
      <alignment vertical="center"/>
    </xf>
    <xf numFmtId="0" fontId="32" fillId="9" borderId="23" xfId="0" applyFont="1" applyFill="1" applyBorder="1" applyAlignment="1">
      <alignment vertical="center"/>
    </xf>
    <xf numFmtId="0" fontId="32" fillId="9" borderId="27" xfId="0" applyFont="1" applyFill="1" applyBorder="1" applyAlignment="1">
      <alignment vertical="center"/>
    </xf>
    <xf numFmtId="0" fontId="32" fillId="9" borderId="25" xfId="0" applyFont="1" applyFill="1" applyBorder="1" applyAlignment="1">
      <alignment vertical="center"/>
    </xf>
    <xf numFmtId="0" fontId="32" fillId="9" borderId="29" xfId="0" applyFont="1" applyFill="1" applyBorder="1" applyAlignment="1">
      <alignment vertical="center"/>
    </xf>
    <xf numFmtId="1" fontId="31" fillId="0" borderId="0" xfId="1" applyNumberFormat="1" applyFont="1" applyProtection="1"/>
    <xf numFmtId="0" fontId="44" fillId="0" borderId="0" xfId="0" applyFont="1" applyAlignment="1">
      <alignment horizontal="center"/>
    </xf>
    <xf numFmtId="0" fontId="51" fillId="0" borderId="0" xfId="0" applyFont="1" applyAlignment="1">
      <alignment horizontal="center"/>
    </xf>
    <xf numFmtId="0" fontId="31" fillId="0" borderId="0" xfId="0" applyFont="1" applyAlignment="1">
      <alignment horizontal="center"/>
    </xf>
    <xf numFmtId="0" fontId="44" fillId="0" borderId="0" xfId="0" applyFont="1"/>
    <xf numFmtId="2" fontId="51" fillId="0" borderId="0" xfId="0" applyNumberFormat="1" applyFont="1" applyAlignment="1">
      <alignment horizontal="center"/>
    </xf>
    <xf numFmtId="0" fontId="52" fillId="10" borderId="0" xfId="0" applyFont="1" applyFill="1" applyAlignment="1">
      <alignment horizontal="center" vertical="center" wrapText="1"/>
    </xf>
    <xf numFmtId="0" fontId="41" fillId="0" borderId="0" xfId="0" applyFont="1" applyAlignment="1">
      <alignment horizontal="center" vertical="center" wrapText="1"/>
    </xf>
    <xf numFmtId="166" fontId="58"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8" fillId="0" borderId="0" xfId="0" applyFont="1" applyAlignment="1">
      <alignment horizontal="left"/>
    </xf>
    <xf numFmtId="165" fontId="58" fillId="0" borderId="0" xfId="0" applyNumberFormat="1" applyFont="1" applyAlignment="1">
      <alignment horizontal="left"/>
    </xf>
    <xf numFmtId="10" fontId="58" fillId="0" borderId="0" xfId="2" applyNumberFormat="1" applyFont="1" applyBorder="1" applyAlignment="1">
      <alignment horizontal="center"/>
    </xf>
    <xf numFmtId="171" fontId="65" fillId="0" borderId="0" xfId="0" applyNumberFormat="1" applyFont="1" applyAlignment="1">
      <alignment horizontal="center"/>
    </xf>
    <xf numFmtId="170" fontId="54" fillId="0" borderId="0" xfId="0" applyNumberFormat="1" applyFont="1" applyAlignment="1">
      <alignment horizontal="center"/>
    </xf>
    <xf numFmtId="0" fontId="66" fillId="0" borderId="31" xfId="0" applyFont="1" applyBorder="1"/>
    <xf numFmtId="0" fontId="66" fillId="0" borderId="32" xfId="0" applyFont="1" applyBorder="1"/>
    <xf numFmtId="0" fontId="66" fillId="0" borderId="32" xfId="0" applyFont="1" applyBorder="1" applyAlignment="1">
      <alignment horizontal="center"/>
    </xf>
    <xf numFmtId="0" fontId="66" fillId="0" borderId="33" xfId="0" applyFont="1" applyBorder="1"/>
    <xf numFmtId="0" fontId="66" fillId="0" borderId="7" xfId="0" applyFont="1" applyBorder="1"/>
    <xf numFmtId="0" fontId="66" fillId="0" borderId="7" xfId="0" applyFont="1" applyBorder="1" applyAlignment="1">
      <alignment horizontal="center"/>
    </xf>
    <xf numFmtId="0" fontId="41" fillId="0" borderId="34" xfId="0" applyFont="1" applyBorder="1"/>
    <xf numFmtId="0" fontId="41" fillId="0" borderId="0" xfId="0" applyFont="1"/>
    <xf numFmtId="0" fontId="66" fillId="0" borderId="0" xfId="0" applyFont="1" applyAlignment="1" applyProtection="1">
      <alignment vertical="center"/>
      <protection locked="0"/>
    </xf>
    <xf numFmtId="0" fontId="41" fillId="0" borderId="0" xfId="0" applyFont="1" applyProtection="1">
      <protection locked="0"/>
    </xf>
    <xf numFmtId="0" fontId="44" fillId="3" borderId="1" xfId="0" applyFont="1" applyFill="1" applyBorder="1" applyAlignment="1" applyProtection="1">
      <alignment horizontal="left" vertical="center" indent="1"/>
      <protection locked="0"/>
    </xf>
    <xf numFmtId="0" fontId="44" fillId="3" borderId="17" xfId="0" applyFont="1" applyFill="1" applyBorder="1" applyAlignment="1" applyProtection="1">
      <alignment horizontal="left" vertical="center" indent="1"/>
      <protection locked="0"/>
    </xf>
    <xf numFmtId="0" fontId="44" fillId="3" borderId="19" xfId="0" applyFont="1" applyFill="1" applyBorder="1" applyAlignment="1" applyProtection="1">
      <alignment horizontal="left" vertical="center" indent="1"/>
      <protection locked="0"/>
    </xf>
    <xf numFmtId="0" fontId="44" fillId="5" borderId="23" xfId="0" applyFont="1" applyFill="1" applyBorder="1" applyAlignment="1" applyProtection="1">
      <alignment vertical="center"/>
      <protection locked="0"/>
    </xf>
    <xf numFmtId="0" fontId="52"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52" fillId="11" borderId="0" xfId="0" applyFont="1" applyFill="1" applyAlignment="1">
      <alignment horizontal="center" vertical="center" wrapText="1"/>
    </xf>
    <xf numFmtId="0" fontId="41" fillId="0" borderId="35" xfId="0" applyFont="1" applyBorder="1"/>
    <xf numFmtId="0" fontId="68" fillId="0" borderId="36" xfId="0" applyFont="1" applyBorder="1"/>
    <xf numFmtId="0" fontId="66" fillId="0" borderId="37" xfId="0" applyFont="1" applyBorder="1"/>
    <xf numFmtId="0" fontId="41" fillId="0" borderId="37" xfId="0" applyFont="1" applyBorder="1"/>
    <xf numFmtId="0" fontId="68" fillId="0" borderId="37" xfId="0" applyFont="1" applyBorder="1"/>
    <xf numFmtId="0" fontId="41" fillId="0" borderId="38" xfId="0" applyFont="1" applyBorder="1"/>
    <xf numFmtId="0" fontId="68" fillId="0" borderId="5" xfId="0" applyFont="1" applyBorder="1"/>
    <xf numFmtId="0" fontId="66" fillId="0" borderId="0" xfId="0" applyFont="1"/>
    <xf numFmtId="0" fontId="68" fillId="0" borderId="0" xfId="0" applyFont="1"/>
    <xf numFmtId="0" fontId="41" fillId="0" borderId="39" xfId="0" applyFont="1" applyBorder="1"/>
    <xf numFmtId="0" fontId="69" fillId="0" borderId="5" xfId="0" applyFont="1" applyBorder="1"/>
    <xf numFmtId="0" fontId="70" fillId="0" borderId="0" xfId="0" applyFont="1"/>
    <xf numFmtId="0" fontId="69" fillId="0" borderId="0" xfId="0" applyFont="1"/>
    <xf numFmtId="0" fontId="69" fillId="0" borderId="6" xfId="0" applyFont="1" applyBorder="1"/>
    <xf numFmtId="0" fontId="41" fillId="0" borderId="7" xfId="0" applyFont="1" applyBorder="1"/>
    <xf numFmtId="0" fontId="70" fillId="0" borderId="7" xfId="0" applyFont="1" applyBorder="1"/>
    <xf numFmtId="0" fontId="69" fillId="0" borderId="7" xfId="0" applyFont="1" applyBorder="1"/>
    <xf numFmtId="0" fontId="41" fillId="0" borderId="40" xfId="0" applyFont="1" applyBorder="1"/>
    <xf numFmtId="0" fontId="71" fillId="0" borderId="37" xfId="0" applyFont="1" applyBorder="1"/>
    <xf numFmtId="0" fontId="71" fillId="0" borderId="0" xfId="0" applyFont="1"/>
    <xf numFmtId="0" fontId="68" fillId="0" borderId="6" xfId="0" applyFont="1" applyBorder="1"/>
    <xf numFmtId="0" fontId="68" fillId="0" borderId="7" xfId="0" applyFont="1" applyBorder="1"/>
    <xf numFmtId="0" fontId="71" fillId="0" borderId="7" xfId="0" applyFont="1" applyBorder="1"/>
    <xf numFmtId="0" fontId="70" fillId="0" borderId="37" xfId="0" applyFont="1" applyBorder="1"/>
    <xf numFmtId="0" fontId="41" fillId="0" borderId="41" xfId="0" applyFont="1" applyBorder="1"/>
    <xf numFmtId="0" fontId="41" fillId="0" borderId="3" xfId="0" applyFont="1" applyBorder="1"/>
    <xf numFmtId="0" fontId="41" fillId="0" borderId="42" xfId="0" applyFont="1" applyBorder="1"/>
    <xf numFmtId="0" fontId="41" fillId="0" borderId="6" xfId="0" applyFont="1" applyBorder="1"/>
    <xf numFmtId="0" fontId="0" fillId="0" borderId="0" xfId="0" applyAlignment="1" applyProtection="1">
      <alignment vertical="center"/>
      <protection locked="0"/>
    </xf>
    <xf numFmtId="0" fontId="43" fillId="0" borderId="0" xfId="0" applyFont="1" applyAlignment="1" applyProtection="1">
      <alignment horizontal="left" vertical="center" indent="1"/>
      <protection locked="0"/>
    </xf>
    <xf numFmtId="0" fontId="43" fillId="0" borderId="0" xfId="0" applyFont="1" applyAlignment="1" applyProtection="1">
      <alignment vertical="center"/>
      <protection locked="0"/>
    </xf>
    <xf numFmtId="1" fontId="43" fillId="0" borderId="0" xfId="1" applyNumberFormat="1" applyFont="1" applyAlignment="1" applyProtection="1">
      <alignment horizontal="center" vertical="center"/>
      <protection locked="0"/>
    </xf>
    <xf numFmtId="0" fontId="43" fillId="5" borderId="0" xfId="0" applyFont="1" applyFill="1" applyAlignment="1" applyProtection="1">
      <alignment vertical="center"/>
      <protection locked="0"/>
    </xf>
    <xf numFmtId="0" fontId="43" fillId="5" borderId="0" xfId="0" applyFont="1" applyFill="1" applyAlignment="1" applyProtection="1">
      <alignment horizontal="center" vertical="center"/>
      <protection locked="0"/>
    </xf>
    <xf numFmtId="1" fontId="72" fillId="0" borderId="0" xfId="1" applyNumberFormat="1" applyFont="1" applyAlignment="1" applyProtection="1">
      <alignment horizontal="center" vertical="center"/>
      <protection locked="0"/>
    </xf>
    <xf numFmtId="0" fontId="43" fillId="3" borderId="0" xfId="0" applyFont="1" applyFill="1" applyAlignment="1" applyProtection="1">
      <alignment horizontal="left" vertical="center" indent="1"/>
      <protection locked="0"/>
    </xf>
    <xf numFmtId="0" fontId="43" fillId="3" borderId="0" xfId="0" applyFont="1" applyFill="1" applyAlignment="1" applyProtection="1">
      <alignment horizontal="center" vertical="center"/>
      <protection locked="0"/>
    </xf>
    <xf numFmtId="0" fontId="30" fillId="0" borderId="12" xfId="0" applyFont="1" applyBorder="1" applyAlignment="1">
      <alignment horizontal="center"/>
    </xf>
    <xf numFmtId="167" fontId="30" fillId="0" borderId="12" xfId="0" applyNumberFormat="1" applyFont="1" applyBorder="1" applyAlignment="1">
      <alignment horizontal="center"/>
    </xf>
    <xf numFmtId="10" fontId="30" fillId="0" borderId="12" xfId="2" applyNumberFormat="1" applyFont="1" applyBorder="1" applyAlignment="1">
      <alignment horizontal="center"/>
    </xf>
    <xf numFmtId="0" fontId="30" fillId="0" borderId="0" xfId="0" applyFont="1" applyProtection="1">
      <protection locked="0"/>
    </xf>
    <xf numFmtId="0" fontId="73" fillId="0" borderId="13" xfId="0" applyFont="1" applyBorder="1" applyProtection="1">
      <protection locked="0"/>
    </xf>
    <xf numFmtId="0" fontId="30" fillId="0" borderId="0" xfId="0" applyFont="1" applyAlignment="1" applyProtection="1">
      <alignment horizontal="center"/>
      <protection locked="0"/>
    </xf>
    <xf numFmtId="0" fontId="30" fillId="0" borderId="0" xfId="0" applyFont="1" applyAlignment="1" applyProtection="1">
      <alignment vertical="center"/>
      <protection locked="0"/>
    </xf>
    <xf numFmtId="0" fontId="74" fillId="0" borderId="0" xfId="0" applyFont="1" applyAlignment="1" applyProtection="1">
      <alignment horizontal="left" vertical="center" indent="1"/>
      <protection locked="0"/>
    </xf>
    <xf numFmtId="173" fontId="43" fillId="5" borderId="0" xfId="0" applyNumberFormat="1" applyFont="1" applyFill="1" applyAlignment="1" applyProtection="1">
      <alignment vertical="center"/>
      <protection locked="0"/>
    </xf>
    <xf numFmtId="173" fontId="43"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5" fillId="0" borderId="0" xfId="0" applyFont="1" applyAlignment="1" applyProtection="1">
      <alignment vertical="center"/>
      <protection locked="0"/>
    </xf>
    <xf numFmtId="0" fontId="76" fillId="6" borderId="0" xfId="0" applyFont="1" applyFill="1" applyAlignment="1" applyProtection="1">
      <alignment vertical="center"/>
      <protection locked="0"/>
    </xf>
    <xf numFmtId="0" fontId="76" fillId="6" borderId="0" xfId="0" applyFont="1" applyFill="1" applyAlignment="1" applyProtection="1">
      <alignment horizontal="center" vertical="center"/>
      <protection locked="0"/>
    </xf>
    <xf numFmtId="0" fontId="30" fillId="0" borderId="0" xfId="0" applyFont="1" applyAlignment="1">
      <alignment horizontal="center"/>
    </xf>
    <xf numFmtId="167" fontId="30" fillId="0" borderId="0" xfId="0" applyNumberFormat="1" applyFont="1" applyAlignment="1">
      <alignment horizontal="center"/>
    </xf>
    <xf numFmtId="10" fontId="30" fillId="0" borderId="0" xfId="2" applyNumberFormat="1" applyFont="1" applyBorder="1" applyAlignment="1">
      <alignment horizontal="center"/>
    </xf>
    <xf numFmtId="166" fontId="30" fillId="0" borderId="0" xfId="2" applyNumberFormat="1" applyFont="1" applyBorder="1" applyAlignment="1">
      <alignment horizontal="center"/>
    </xf>
    <xf numFmtId="4" fontId="30" fillId="0" borderId="0" xfId="2" applyNumberFormat="1" applyFont="1" applyBorder="1" applyAlignment="1">
      <alignment horizontal="center"/>
    </xf>
    <xf numFmtId="39" fontId="30" fillId="0" borderId="0" xfId="2" applyNumberFormat="1" applyFont="1" applyBorder="1" applyAlignment="1">
      <alignment horizontal="center"/>
    </xf>
    <xf numFmtId="0" fontId="43" fillId="0" borderId="0" xfId="0" applyFont="1" applyAlignment="1" applyProtection="1">
      <alignment horizontal="center" vertical="center"/>
      <protection locked="0"/>
    </xf>
    <xf numFmtId="0" fontId="52" fillId="12" borderId="0" xfId="0" applyFont="1" applyFill="1" applyAlignment="1" applyProtection="1">
      <alignment horizontal="center" vertical="center"/>
      <protection locked="0"/>
    </xf>
    <xf numFmtId="0" fontId="43" fillId="0" borderId="0" xfId="0" applyFont="1" applyAlignment="1" applyProtection="1">
      <alignment horizontal="center"/>
      <protection locked="0"/>
    </xf>
    <xf numFmtId="0" fontId="44" fillId="0" borderId="0" xfId="0" applyFont="1" applyAlignment="1" applyProtection="1">
      <alignment horizontal="center"/>
      <protection locked="0"/>
    </xf>
    <xf numFmtId="0" fontId="66" fillId="0" borderId="0" xfId="0" applyFont="1" applyAlignment="1" applyProtection="1">
      <alignment horizontal="center"/>
      <protection locked="0"/>
    </xf>
    <xf numFmtId="0" fontId="77" fillId="0" borderId="0" xfId="0" applyFont="1" applyAlignment="1" applyProtection="1">
      <alignment horizontal="center" vertical="center"/>
      <protection locked="0"/>
    </xf>
    <xf numFmtId="0" fontId="52" fillId="13" borderId="0" xfId="0" applyFont="1" applyFill="1" applyAlignment="1" applyProtection="1">
      <alignment horizontal="center" vertical="center"/>
      <protection locked="0"/>
    </xf>
    <xf numFmtId="0" fontId="52" fillId="13" borderId="0" xfId="0" applyFont="1" applyFill="1" applyAlignment="1">
      <alignment horizontal="center" vertical="center" wrapText="1"/>
    </xf>
    <xf numFmtId="0" fontId="30" fillId="0" borderId="0" xfId="0" applyFont="1" applyAlignment="1" applyProtection="1">
      <alignment horizontal="left"/>
      <protection locked="0"/>
    </xf>
    <xf numFmtId="173" fontId="30" fillId="0" borderId="0" xfId="2" applyNumberFormat="1" applyFont="1" applyBorder="1" applyAlignment="1">
      <alignment horizontal="center"/>
    </xf>
    <xf numFmtId="0" fontId="78" fillId="0" borderId="0" xfId="0" applyFont="1" applyAlignment="1" applyProtection="1">
      <alignment horizontal="center" vertical="center"/>
      <protection locked="0"/>
    </xf>
    <xf numFmtId="172" fontId="43" fillId="5" borderId="0" xfId="0" applyNumberFormat="1" applyFont="1" applyFill="1" applyAlignment="1" applyProtection="1">
      <alignment vertical="center"/>
      <protection locked="0"/>
    </xf>
    <xf numFmtId="172" fontId="43" fillId="3" borderId="0" xfId="0" applyNumberFormat="1" applyFont="1" applyFill="1" applyAlignment="1" applyProtection="1">
      <alignment horizontal="left" vertical="center" indent="1"/>
      <protection locked="0"/>
    </xf>
    <xf numFmtId="0" fontId="29" fillId="0" borderId="12" xfId="0" applyFont="1" applyBorder="1" applyAlignment="1">
      <alignment horizontal="center"/>
    </xf>
    <xf numFmtId="0" fontId="29" fillId="0" borderId="12" xfId="0" applyFont="1" applyBorder="1" applyAlignment="1" applyProtection="1">
      <alignment horizontal="left" indent="2"/>
      <protection locked="0"/>
    </xf>
    <xf numFmtId="10" fontId="29" fillId="0" borderId="12" xfId="2" applyNumberFormat="1" applyFont="1" applyBorder="1" applyAlignment="1">
      <alignment horizontal="center"/>
    </xf>
    <xf numFmtId="10" fontId="30" fillId="0" borderId="0" xfId="2" applyNumberFormat="1" applyFont="1" applyAlignment="1" applyProtection="1">
      <alignment horizontal="center"/>
      <protection locked="0"/>
    </xf>
    <xf numFmtId="10" fontId="43" fillId="3" borderId="0" xfId="2" applyNumberFormat="1" applyFont="1" applyFill="1" applyBorder="1" applyAlignment="1" applyProtection="1">
      <alignment horizontal="center" vertical="center"/>
      <protection locked="0"/>
    </xf>
    <xf numFmtId="10" fontId="43" fillId="0" borderId="0" xfId="2" applyNumberFormat="1" applyFont="1" applyAlignment="1" applyProtection="1">
      <alignment horizontal="center" vertical="center"/>
      <protection locked="0"/>
    </xf>
    <xf numFmtId="10" fontId="43" fillId="5" borderId="0" xfId="2" applyNumberFormat="1" applyFont="1" applyFill="1" applyAlignment="1" applyProtection="1">
      <alignment horizontal="center" vertical="center"/>
      <protection locked="0"/>
    </xf>
    <xf numFmtId="10" fontId="72" fillId="0" borderId="0" xfId="2" applyNumberFormat="1" applyFont="1" applyAlignment="1" applyProtection="1">
      <alignment horizontal="center" vertical="center"/>
      <protection locked="0"/>
    </xf>
    <xf numFmtId="1" fontId="30" fillId="0" borderId="0" xfId="0" applyNumberFormat="1" applyFont="1" applyAlignment="1" applyProtection="1">
      <alignment horizontal="center"/>
      <protection locked="0"/>
    </xf>
    <xf numFmtId="1" fontId="43" fillId="3" borderId="0" xfId="0" applyNumberFormat="1" applyFont="1" applyFill="1" applyAlignment="1" applyProtection="1">
      <alignment horizontal="center" vertical="center"/>
      <protection locked="0"/>
    </xf>
    <xf numFmtId="1" fontId="43" fillId="5" borderId="0" xfId="0" applyNumberFormat="1" applyFont="1" applyFill="1" applyAlignment="1" applyProtection="1">
      <alignment horizontal="center" vertical="center"/>
      <protection locked="0"/>
    </xf>
    <xf numFmtId="0" fontId="28" fillId="0" borderId="12" xfId="0" applyFont="1" applyBorder="1" applyAlignment="1">
      <alignment horizontal="center"/>
    </xf>
    <xf numFmtId="175" fontId="30" fillId="0" borderId="12" xfId="0" applyNumberFormat="1" applyFont="1" applyBorder="1" applyAlignment="1">
      <alignment horizontal="center"/>
    </xf>
    <xf numFmtId="175" fontId="28" fillId="0" borderId="12" xfId="0" applyNumberFormat="1" applyFont="1" applyBorder="1" applyAlignment="1">
      <alignment horizontal="center"/>
    </xf>
    <xf numFmtId="10" fontId="28" fillId="0" borderId="12" xfId="2" applyNumberFormat="1" applyFont="1" applyBorder="1" applyAlignment="1">
      <alignment horizontal="center"/>
    </xf>
    <xf numFmtId="172" fontId="58" fillId="0" borderId="0" xfId="0" applyNumberFormat="1" applyFont="1" applyAlignment="1">
      <alignment horizontal="center"/>
    </xf>
    <xf numFmtId="0" fontId="27" fillId="0" borderId="12" xfId="0" applyFont="1" applyBorder="1" applyAlignment="1">
      <alignment horizontal="center"/>
    </xf>
    <xf numFmtId="0" fontId="41" fillId="0" borderId="0" xfId="0" applyFont="1" applyAlignment="1" applyProtection="1">
      <alignment vertical="center"/>
      <protection locked="0"/>
    </xf>
    <xf numFmtId="10" fontId="73" fillId="0" borderId="11" xfId="2" applyNumberFormat="1" applyFont="1" applyBorder="1" applyAlignment="1" applyProtection="1">
      <alignment horizontal="center"/>
      <protection locked="0"/>
    </xf>
    <xf numFmtId="9" fontId="73" fillId="0" borderId="11" xfId="2" applyFont="1" applyBorder="1" applyAlignment="1" applyProtection="1">
      <alignment horizontal="center"/>
      <protection locked="0"/>
    </xf>
    <xf numFmtId="0" fontId="96" fillId="0" borderId="0" xfId="0" applyFont="1" applyAlignment="1">
      <alignment horizontal="center" vertical="center" wrapText="1"/>
    </xf>
    <xf numFmtId="0" fontId="66" fillId="0" borderId="0" xfId="0" applyFont="1" applyAlignment="1">
      <alignment horizontal="center" vertical="center" wrapText="1"/>
    </xf>
    <xf numFmtId="10" fontId="43" fillId="5" borderId="0" xfId="2" applyNumberFormat="1" applyFont="1" applyFill="1" applyBorder="1" applyAlignment="1" applyProtection="1">
      <alignment horizontal="center" vertical="center"/>
      <protection locked="0"/>
    </xf>
    <xf numFmtId="10" fontId="25" fillId="0" borderId="11" xfId="2" applyNumberFormat="1" applyFont="1" applyBorder="1" applyAlignment="1" applyProtection="1">
      <alignment horizontal="center"/>
    </xf>
    <xf numFmtId="0" fontId="24" fillId="0" borderId="12" xfId="0" applyFont="1" applyBorder="1" applyAlignment="1" applyProtection="1">
      <alignment horizontal="left" indent="2"/>
      <protection locked="0"/>
    </xf>
    <xf numFmtId="0" fontId="24" fillId="0" borderId="12" xfId="0" applyFont="1" applyBorder="1" applyAlignment="1">
      <alignment horizontal="center"/>
    </xf>
    <xf numFmtId="10" fontId="24" fillId="0" borderId="12" xfId="2" applyNumberFormat="1" applyFont="1" applyBorder="1" applyAlignment="1">
      <alignment horizontal="center"/>
    </xf>
    <xf numFmtId="173" fontId="24" fillId="0" borderId="12" xfId="2" applyNumberFormat="1" applyFont="1" applyBorder="1" applyAlignment="1">
      <alignment horizontal="center"/>
    </xf>
    <xf numFmtId="172" fontId="24" fillId="0" borderId="12" xfId="0" applyNumberFormat="1" applyFont="1" applyBorder="1" applyAlignment="1">
      <alignment horizontal="center"/>
    </xf>
    <xf numFmtId="0" fontId="24" fillId="0" borderId="0" xfId="0" applyFont="1" applyProtection="1">
      <protection locked="0"/>
    </xf>
    <xf numFmtId="1" fontId="33" fillId="0" borderId="0" xfId="1" applyNumberFormat="1" applyFont="1"/>
    <xf numFmtId="1" fontId="40" fillId="0" borderId="0" xfId="1" applyNumberFormat="1" applyFont="1"/>
    <xf numFmtId="1" fontId="40" fillId="0" borderId="0" xfId="1" applyNumberFormat="1" applyFont="1" applyAlignment="1">
      <alignment vertical="center"/>
    </xf>
    <xf numFmtId="1" fontId="0" fillId="0" borderId="0" xfId="1" applyNumberFormat="1" applyFont="1" applyAlignment="1">
      <alignment vertical="center"/>
    </xf>
    <xf numFmtId="1" fontId="49" fillId="0" borderId="0" xfId="1" applyNumberFormat="1" applyFont="1" applyFill="1" applyAlignment="1">
      <alignment horizontal="center" vertical="center"/>
    </xf>
    <xf numFmtId="164" fontId="32" fillId="2" borderId="14" xfId="2" quotePrefix="1" applyNumberFormat="1" applyFont="1" applyFill="1" applyBorder="1" applyAlignment="1">
      <alignment horizontal="center" vertical="center"/>
    </xf>
    <xf numFmtId="164" fontId="32" fillId="2" borderId="0" xfId="2" applyNumberFormat="1" applyFont="1" applyFill="1" applyBorder="1" applyAlignment="1">
      <alignment horizontal="center" vertical="center"/>
    </xf>
    <xf numFmtId="164" fontId="32" fillId="2" borderId="51" xfId="2" applyNumberFormat="1" applyFont="1" applyFill="1" applyBorder="1" applyAlignment="1">
      <alignment horizontal="center" vertical="center" wrapText="1"/>
    </xf>
    <xf numFmtId="164" fontId="32" fillId="2" borderId="52" xfId="2" quotePrefix="1" applyNumberFormat="1" applyFont="1" applyFill="1" applyBorder="1" applyAlignment="1">
      <alignment horizontal="center" vertical="center" wrapText="1"/>
    </xf>
    <xf numFmtId="164" fontId="32" fillId="2" borderId="51" xfId="2" quotePrefix="1" applyNumberFormat="1" applyFont="1" applyFill="1" applyBorder="1" applyAlignment="1">
      <alignment horizontal="center" vertical="center" wrapText="1"/>
    </xf>
    <xf numFmtId="0" fontId="49" fillId="0" borderId="0" xfId="0" applyFont="1" applyAlignment="1">
      <alignment horizontal="center" vertical="center"/>
    </xf>
    <xf numFmtId="1" fontId="44" fillId="0" borderId="0" xfId="1" applyNumberFormat="1" applyFont="1" applyAlignment="1">
      <alignment vertical="center"/>
    </xf>
    <xf numFmtId="164" fontId="32" fillId="4" borderId="24" xfId="2" applyNumberFormat="1" applyFont="1" applyFill="1" applyBorder="1" applyAlignment="1">
      <alignment horizontal="center" vertical="center"/>
    </xf>
    <xf numFmtId="164" fontId="32" fillId="4" borderId="23" xfId="2" applyNumberFormat="1" applyFont="1" applyFill="1" applyBorder="1" applyAlignment="1">
      <alignment horizontal="center" vertical="center"/>
    </xf>
    <xf numFmtId="164" fontId="32" fillId="2" borderId="23" xfId="2" applyNumberFormat="1" applyFont="1" applyFill="1" applyBorder="1" applyAlignment="1">
      <alignment horizontal="center" vertical="center"/>
    </xf>
    <xf numFmtId="1" fontId="50" fillId="0" borderId="0" xfId="1" applyNumberFormat="1" applyFont="1" applyAlignment="1">
      <alignment horizontal="center" vertical="center"/>
    </xf>
    <xf numFmtId="164" fontId="44" fillId="5" borderId="24" xfId="2" applyNumberFormat="1" applyFont="1" applyFill="1" applyBorder="1" applyAlignment="1">
      <alignment horizontal="center" vertical="center"/>
    </xf>
    <xf numFmtId="164" fontId="44" fillId="5" borderId="23" xfId="2" applyNumberFormat="1" applyFont="1" applyFill="1" applyBorder="1" applyAlignment="1">
      <alignment horizontal="center" vertical="center"/>
    </xf>
    <xf numFmtId="164" fontId="44" fillId="13" borderId="23" xfId="2" applyNumberFormat="1" applyFont="1" applyFill="1" applyBorder="1" applyAlignment="1">
      <alignment horizontal="center" vertical="center"/>
    </xf>
    <xf numFmtId="164" fontId="44" fillId="5" borderId="27" xfId="2" applyNumberFormat="1" applyFont="1" applyFill="1" applyBorder="1" applyAlignment="1">
      <alignment horizontal="center" vertical="center"/>
    </xf>
    <xf numFmtId="0" fontId="32" fillId="0" borderId="0" xfId="0" applyFont="1" applyAlignment="1">
      <alignment horizontal="center" vertical="center"/>
    </xf>
    <xf numFmtId="164" fontId="44" fillId="3" borderId="24" xfId="2" applyNumberFormat="1" applyFont="1" applyFill="1" applyBorder="1" applyAlignment="1">
      <alignment horizontal="center" vertical="center"/>
    </xf>
    <xf numFmtId="164" fontId="44" fillId="3" borderId="23" xfId="2" applyNumberFormat="1" applyFont="1" applyFill="1" applyBorder="1" applyAlignment="1">
      <alignment horizontal="center" vertical="center"/>
    </xf>
    <xf numFmtId="164" fontId="44" fillId="0" borderId="14" xfId="2" applyNumberFormat="1" applyFont="1" applyBorder="1" applyAlignment="1">
      <alignment vertical="center"/>
    </xf>
    <xf numFmtId="164" fontId="44"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5" xfId="2" applyNumberFormat="1" applyFont="1" applyBorder="1" applyAlignment="1">
      <alignment vertical="center"/>
    </xf>
    <xf numFmtId="164" fontId="44" fillId="0" borderId="0" xfId="2" applyNumberFormat="1" applyFont="1" applyAlignment="1">
      <alignment vertical="center"/>
    </xf>
    <xf numFmtId="164" fontId="0" fillId="0" borderId="0" xfId="2" applyNumberFormat="1" applyFont="1" applyAlignment="1">
      <alignment vertical="center"/>
    </xf>
    <xf numFmtId="1" fontId="31" fillId="0" borderId="0" xfId="1" applyNumberFormat="1" applyFont="1"/>
    <xf numFmtId="2" fontId="44" fillId="0" borderId="0" xfId="0" applyNumberFormat="1" applyFont="1" applyAlignment="1">
      <alignment horizontal="center"/>
    </xf>
    <xf numFmtId="0" fontId="23" fillId="0" borderId="12" xfId="0" applyFont="1" applyBorder="1" applyAlignment="1">
      <alignment horizontal="center"/>
    </xf>
    <xf numFmtId="10" fontId="23" fillId="0" borderId="12" xfId="2" applyNumberFormat="1" applyFont="1" applyBorder="1" applyAlignment="1">
      <alignment horizontal="center"/>
    </xf>
    <xf numFmtId="1" fontId="23" fillId="0" borderId="12" xfId="0" applyNumberFormat="1" applyFont="1" applyBorder="1" applyAlignment="1">
      <alignment horizontal="center"/>
    </xf>
    <xf numFmtId="174" fontId="23" fillId="0" borderId="12" xfId="0" applyNumberFormat="1" applyFont="1" applyBorder="1" applyAlignment="1">
      <alignment horizontal="center"/>
    </xf>
    <xf numFmtId="0" fontId="41" fillId="0" borderId="0" xfId="0" applyFont="1" applyAlignment="1" applyProtection="1">
      <alignment horizontal="center" vertical="center"/>
      <protection locked="0"/>
    </xf>
    <xf numFmtId="0" fontId="21" fillId="0" borderId="12" xfId="0" applyFont="1" applyBorder="1" applyAlignment="1">
      <alignment horizontal="center"/>
    </xf>
    <xf numFmtId="0" fontId="52" fillId="14" borderId="0" xfId="0" applyFont="1" applyFill="1" applyAlignment="1">
      <alignment horizontal="center" vertical="center" wrapText="1"/>
    </xf>
    <xf numFmtId="0" fontId="52" fillId="14" borderId="53" xfId="0" applyFont="1" applyFill="1" applyBorder="1" applyAlignment="1">
      <alignment horizontal="center" vertical="center" wrapText="1"/>
    </xf>
    <xf numFmtId="0" fontId="52" fillId="15" borderId="0" xfId="0" applyFont="1" applyFill="1" applyAlignment="1">
      <alignment horizontal="center" vertical="center" wrapText="1"/>
    </xf>
    <xf numFmtId="0" fontId="58" fillId="0" borderId="54" xfId="0" applyFont="1" applyBorder="1"/>
    <xf numFmtId="167" fontId="58" fillId="0" borderId="55" xfId="0" applyNumberFormat="1" applyFont="1" applyBorder="1" applyAlignment="1">
      <alignment horizontal="center"/>
    </xf>
    <xf numFmtId="0" fontId="58" fillId="0" borderId="55" xfId="0" applyFont="1" applyBorder="1"/>
    <xf numFmtId="0" fontId="58" fillId="0" borderId="55" xfId="0" applyFont="1" applyBorder="1" applyAlignment="1">
      <alignment horizontal="center"/>
    </xf>
    <xf numFmtId="0" fontId="58" fillId="0" borderId="54" xfId="0" applyFont="1" applyBorder="1" applyAlignment="1">
      <alignment horizontal="center"/>
    </xf>
    <xf numFmtId="168" fontId="58" fillId="16" borderId="54" xfId="0" applyNumberFormat="1" applyFont="1" applyFill="1" applyBorder="1" applyAlignment="1">
      <alignment horizontal="center"/>
    </xf>
    <xf numFmtId="10" fontId="58" fillId="0" borderId="54" xfId="2" applyNumberFormat="1" applyFont="1" applyBorder="1" applyAlignment="1">
      <alignment horizontal="center"/>
    </xf>
    <xf numFmtId="0" fontId="58" fillId="0" borderId="54" xfId="0" applyFont="1" applyBorder="1" applyAlignment="1">
      <alignment horizontal="left"/>
    </xf>
    <xf numFmtId="168" fontId="58" fillId="0" borderId="54" xfId="0" applyNumberFormat="1" applyFont="1" applyBorder="1" applyAlignment="1">
      <alignment horizontal="center"/>
    </xf>
    <xf numFmtId="166" fontId="58" fillId="0" borderId="54" xfId="2" applyNumberFormat="1" applyFont="1" applyBorder="1" applyAlignment="1">
      <alignment horizontal="center"/>
    </xf>
    <xf numFmtId="4" fontId="58" fillId="0" borderId="54" xfId="2" applyNumberFormat="1" applyFont="1" applyBorder="1" applyAlignment="1">
      <alignment horizontal="center"/>
    </xf>
    <xf numFmtId="165" fontId="58" fillId="0" borderId="54" xfId="0" applyNumberFormat="1" applyFont="1" applyBorder="1" applyAlignment="1">
      <alignment horizontal="left"/>
    </xf>
    <xf numFmtId="0" fontId="52" fillId="15" borderId="56" xfId="0" applyFont="1" applyFill="1" applyBorder="1" applyAlignment="1">
      <alignment horizontal="center" vertical="center" wrapText="1"/>
    </xf>
    <xf numFmtId="10" fontId="58" fillId="0" borderId="54" xfId="2" applyNumberFormat="1" applyFont="1" applyBorder="1" applyAlignment="1">
      <alignment horizontal="left"/>
    </xf>
    <xf numFmtId="173" fontId="20" fillId="0" borderId="12" xfId="2" applyNumberFormat="1" applyFont="1" applyBorder="1" applyAlignment="1">
      <alignment horizontal="center"/>
    </xf>
    <xf numFmtId="0" fontId="59" fillId="0" borderId="0" xfId="0" applyFont="1" applyAlignment="1" applyProtection="1">
      <alignment horizontal="center" vertical="center" wrapText="1"/>
      <protection locked="0"/>
    </xf>
    <xf numFmtId="0" fontId="108" fillId="0" borderId="0" xfId="0" applyFont="1" applyAlignment="1" applyProtection="1">
      <alignment vertical="center"/>
      <protection locked="0"/>
    </xf>
    <xf numFmtId="0" fontId="110" fillId="0" borderId="0" xfId="0" applyFont="1" applyAlignment="1" applyProtection="1">
      <alignment horizontal="center" vertical="center"/>
      <protection locked="0"/>
    </xf>
    <xf numFmtId="0" fontId="73" fillId="0" borderId="11" xfId="0" applyFont="1" applyBorder="1" applyAlignment="1" applyProtection="1">
      <alignment horizontal="left" indent="1"/>
      <protection locked="0"/>
    </xf>
    <xf numFmtId="0" fontId="108" fillId="0" borderId="0" xfId="0" applyFont="1" applyAlignment="1" applyProtection="1">
      <alignment horizontal="center" vertical="center"/>
      <protection locked="0"/>
    </xf>
    <xf numFmtId="0" fontId="109" fillId="0" borderId="0" xfId="0" applyFont="1" applyAlignment="1" applyProtection="1">
      <alignment horizontal="center" vertical="center"/>
      <protection locked="0"/>
    </xf>
    <xf numFmtId="166" fontId="74" fillId="3" borderId="59" xfId="0" applyNumberFormat="1" applyFont="1" applyFill="1" applyBorder="1" applyAlignment="1" applyProtection="1">
      <alignment horizontal="center" vertical="center"/>
      <protection locked="0"/>
    </xf>
    <xf numFmtId="172" fontId="113" fillId="3" borderId="61" xfId="1" applyNumberFormat="1" applyFont="1" applyFill="1" applyBorder="1" applyAlignment="1" applyProtection="1">
      <alignment horizontal="center" vertical="center"/>
      <protection locked="0"/>
    </xf>
    <xf numFmtId="172" fontId="113" fillId="3" borderId="63" xfId="1" applyNumberFormat="1" applyFont="1" applyFill="1" applyBorder="1" applyAlignment="1" applyProtection="1">
      <alignment horizontal="center" vertical="center"/>
      <protection locked="0"/>
    </xf>
    <xf numFmtId="0" fontId="114" fillId="0" borderId="0" xfId="0" applyFont="1" applyAlignment="1" applyProtection="1">
      <alignment horizontal="left" indent="1"/>
      <protection locked="0"/>
    </xf>
    <xf numFmtId="0" fontId="107" fillId="18" borderId="0" xfId="0" applyFont="1" applyFill="1" applyAlignment="1" applyProtection="1">
      <alignment vertical="center"/>
      <protection locked="0"/>
    </xf>
    <xf numFmtId="0" fontId="107" fillId="18" borderId="0" xfId="0" applyFont="1" applyFill="1" applyAlignment="1" applyProtection="1">
      <alignment horizontal="center" vertical="center"/>
      <protection locked="0"/>
    </xf>
    <xf numFmtId="0" fontId="107" fillId="18" borderId="64" xfId="0" applyFont="1" applyFill="1" applyBorder="1" applyAlignment="1" applyProtection="1">
      <alignment horizontal="center" vertical="center"/>
      <protection locked="0"/>
    </xf>
    <xf numFmtId="0" fontId="108" fillId="0" borderId="66" xfId="0" applyFont="1" applyBorder="1" applyAlignment="1" applyProtection="1">
      <alignment vertical="center"/>
      <protection locked="0"/>
    </xf>
    <xf numFmtId="173" fontId="108" fillId="0" borderId="66" xfId="0" applyNumberFormat="1" applyFont="1" applyBorder="1" applyAlignment="1" applyProtection="1">
      <alignment vertical="center"/>
      <protection locked="0"/>
    </xf>
    <xf numFmtId="2" fontId="108" fillId="0" borderId="66" xfId="0" applyNumberFormat="1" applyFont="1" applyBorder="1" applyAlignment="1" applyProtection="1">
      <alignment horizontal="center" vertical="center"/>
      <protection locked="0"/>
    </xf>
    <xf numFmtId="176" fontId="108" fillId="0" borderId="66" xfId="0" applyNumberFormat="1" applyFont="1" applyBorder="1" applyAlignment="1" applyProtection="1">
      <alignment horizontal="center" vertical="center"/>
      <protection locked="0"/>
    </xf>
    <xf numFmtId="0" fontId="108" fillId="0" borderId="65" xfId="0" applyFont="1" applyBorder="1" applyAlignment="1" applyProtection="1">
      <alignment vertical="center"/>
      <protection locked="0"/>
    </xf>
    <xf numFmtId="173" fontId="108" fillId="0" borderId="65" xfId="0" applyNumberFormat="1" applyFont="1" applyBorder="1" applyAlignment="1" applyProtection="1">
      <alignment vertical="center"/>
      <protection locked="0"/>
    </xf>
    <xf numFmtId="2" fontId="108" fillId="0" borderId="65" xfId="0" applyNumberFormat="1" applyFont="1" applyBorder="1" applyAlignment="1" applyProtection="1">
      <alignment horizontal="center" vertical="center"/>
      <protection locked="0"/>
    </xf>
    <xf numFmtId="176" fontId="108" fillId="0" borderId="65" xfId="0" applyNumberFormat="1" applyFont="1" applyBorder="1" applyAlignment="1" applyProtection="1">
      <alignment horizontal="center" vertical="center"/>
      <protection locked="0"/>
    </xf>
    <xf numFmtId="173" fontId="107" fillId="18" borderId="0" xfId="0" applyNumberFormat="1" applyFont="1" applyFill="1" applyAlignment="1" applyProtection="1">
      <alignment vertical="center"/>
      <protection locked="0"/>
    </xf>
    <xf numFmtId="0" fontId="108" fillId="0" borderId="67" xfId="0" applyFont="1" applyBorder="1" applyAlignment="1" applyProtection="1">
      <alignment vertical="center"/>
      <protection locked="0"/>
    </xf>
    <xf numFmtId="173" fontId="108" fillId="0" borderId="67" xfId="0" applyNumberFormat="1" applyFont="1" applyBorder="1" applyAlignment="1" applyProtection="1">
      <alignment vertical="center"/>
      <protection locked="0"/>
    </xf>
    <xf numFmtId="2" fontId="108" fillId="0" borderId="67" xfId="0" applyNumberFormat="1" applyFont="1" applyBorder="1" applyAlignment="1" applyProtection="1">
      <alignment horizontal="center" vertical="center"/>
      <protection locked="0"/>
    </xf>
    <xf numFmtId="176" fontId="108" fillId="0" borderId="67" xfId="0" applyNumberFormat="1" applyFont="1" applyBorder="1" applyAlignment="1" applyProtection="1">
      <alignment horizontal="center" vertical="center"/>
      <protection locked="0"/>
    </xf>
    <xf numFmtId="0" fontId="107" fillId="19" borderId="0" xfId="0" applyFont="1" applyFill="1" applyAlignment="1" applyProtection="1">
      <alignment vertical="center"/>
      <protection locked="0"/>
    </xf>
    <xf numFmtId="0" fontId="107" fillId="19" borderId="0" xfId="0" applyFont="1" applyFill="1" applyAlignment="1" applyProtection="1">
      <alignment horizontal="center" vertical="center"/>
      <protection locked="0"/>
    </xf>
    <xf numFmtId="0" fontId="107" fillId="19" borderId="64" xfId="0" applyFont="1" applyFill="1" applyBorder="1" applyAlignment="1" applyProtection="1">
      <alignment horizontal="center" vertical="center"/>
      <protection locked="0"/>
    </xf>
    <xf numFmtId="173" fontId="107" fillId="19" borderId="0" xfId="0" applyNumberFormat="1" applyFont="1" applyFill="1" applyAlignment="1" applyProtection="1">
      <alignment vertical="center"/>
      <protection locked="0"/>
    </xf>
    <xf numFmtId="0" fontId="117" fillId="2" borderId="0" xfId="0" applyFont="1" applyFill="1" applyAlignment="1" applyProtection="1">
      <alignment vertical="center"/>
      <protection locked="0"/>
    </xf>
    <xf numFmtId="173" fontId="117" fillId="2" borderId="0" xfId="0" applyNumberFormat="1" applyFont="1" applyFill="1" applyAlignment="1" applyProtection="1">
      <alignment vertical="center"/>
      <protection locked="0"/>
    </xf>
    <xf numFmtId="0" fontId="117" fillId="2" borderId="0" xfId="0" applyFont="1" applyFill="1" applyAlignment="1" applyProtection="1">
      <alignment horizontal="center" vertical="center"/>
      <protection locked="0"/>
    </xf>
    <xf numFmtId="0" fontId="117" fillId="2" borderId="64" xfId="0" applyFont="1" applyFill="1" applyBorder="1" applyAlignment="1" applyProtection="1">
      <alignment horizontal="center" vertical="center"/>
      <protection locked="0"/>
    </xf>
    <xf numFmtId="0" fontId="112" fillId="0" borderId="0" xfId="0" applyFont="1" applyProtection="1">
      <protection locked="0"/>
    </xf>
    <xf numFmtId="0" fontId="109" fillId="0" borderId="0" xfId="0" applyFont="1" applyAlignment="1" applyProtection="1">
      <alignment vertical="center"/>
      <protection locked="0"/>
    </xf>
    <xf numFmtId="0" fontId="118" fillId="0" borderId="0" xfId="0" applyFont="1" applyAlignment="1">
      <alignment vertical="top" wrapText="1"/>
    </xf>
    <xf numFmtId="0" fontId="18" fillId="0" borderId="12" xfId="0" applyFont="1" applyBorder="1" applyAlignment="1">
      <alignment horizontal="center"/>
    </xf>
    <xf numFmtId="172" fontId="18" fillId="0" borderId="12" xfId="0" applyNumberFormat="1" applyFont="1" applyBorder="1" applyAlignment="1">
      <alignment horizontal="center"/>
    </xf>
    <xf numFmtId="173" fontId="18" fillId="0" borderId="12" xfId="2" applyNumberFormat="1" applyFont="1" applyBorder="1" applyAlignment="1">
      <alignment horizontal="center"/>
    </xf>
    <xf numFmtId="10" fontId="18" fillId="0" borderId="12" xfId="2" applyNumberFormat="1" applyFont="1" applyBorder="1" applyAlignment="1">
      <alignment horizontal="center"/>
    </xf>
    <xf numFmtId="10" fontId="98" fillId="0" borderId="12" xfId="2" applyNumberFormat="1" applyFont="1" applyBorder="1" applyAlignment="1">
      <alignment horizontal="center"/>
    </xf>
    <xf numFmtId="10" fontId="17" fillId="0" borderId="12" xfId="2" applyNumberFormat="1" applyFont="1" applyBorder="1" applyAlignment="1">
      <alignment horizontal="center"/>
    </xf>
    <xf numFmtId="164" fontId="31" fillId="0" borderId="0" xfId="2" applyNumberFormat="1" applyFont="1" applyAlignment="1">
      <alignment vertical="center"/>
    </xf>
    <xf numFmtId="164" fontId="44" fillId="0" borderId="0" xfId="0" applyNumberFormat="1" applyFont="1" applyAlignment="1">
      <alignment vertical="center"/>
    </xf>
    <xf numFmtId="10" fontId="44" fillId="0" borderId="0" xfId="0" applyNumberFormat="1" applyFont="1" applyAlignment="1">
      <alignment vertical="center"/>
    </xf>
    <xf numFmtId="0" fontId="95" fillId="0" borderId="0" xfId="0" applyFont="1"/>
    <xf numFmtId="0" fontId="79" fillId="0" borderId="48" xfId="0" applyFont="1" applyBorder="1"/>
    <xf numFmtId="0" fontId="79" fillId="0" borderId="0" xfId="0" applyFont="1"/>
    <xf numFmtId="0" fontId="88" fillId="0" borderId="0" xfId="0" applyFont="1"/>
    <xf numFmtId="0" fontId="94" fillId="0" borderId="0" xfId="0" applyFont="1"/>
    <xf numFmtId="0" fontId="81" fillId="0" borderId="48" xfId="0" applyFont="1" applyBorder="1" applyAlignment="1">
      <alignment horizontal="left" vertical="center"/>
    </xf>
    <xf numFmtId="0" fontId="86" fillId="0" borderId="0" xfId="0" applyFont="1" applyAlignment="1">
      <alignment horizontal="center" vertical="top"/>
    </xf>
    <xf numFmtId="0" fontId="41" fillId="0" borderId="60" xfId="0" applyFont="1" applyBorder="1" applyAlignment="1">
      <alignment horizontal="center" vertical="center"/>
    </xf>
    <xf numFmtId="0" fontId="41" fillId="0" borderId="14" xfId="0" applyFont="1" applyBorder="1"/>
    <xf numFmtId="166" fontId="74" fillId="3" borderId="58" xfId="0" applyNumberFormat="1" applyFont="1" applyFill="1" applyBorder="1" applyAlignment="1">
      <alignment horizontal="center" vertical="center"/>
    </xf>
    <xf numFmtId="166" fontId="74" fillId="0" borderId="0" xfId="0" applyNumberFormat="1" applyFont="1" applyAlignment="1">
      <alignment vertical="center"/>
    </xf>
    <xf numFmtId="0" fontId="41" fillId="0" borderId="0" xfId="0" applyFont="1" applyAlignment="1">
      <alignment horizontal="right" vertical="center"/>
    </xf>
    <xf numFmtId="0" fontId="82" fillId="0" borderId="0" xfId="0" applyFont="1" applyAlignment="1">
      <alignment horizontal="center" vertical="center"/>
    </xf>
    <xf numFmtId="1" fontId="41" fillId="0" borderId="0" xfId="1" applyNumberFormat="1" applyFont="1" applyFill="1" applyBorder="1" applyProtection="1"/>
    <xf numFmtId="1" fontId="41" fillId="0" borderId="0" xfId="1" applyNumberFormat="1" applyFont="1" applyProtection="1"/>
    <xf numFmtId="0" fontId="91" fillId="0" borderId="0" xfId="0" applyFont="1" applyAlignment="1">
      <alignment horizontal="center" vertical="center" wrapText="1"/>
    </xf>
    <xf numFmtId="0" fontId="48" fillId="6" borderId="0" xfId="0" applyFont="1" applyFill="1" applyAlignment="1">
      <alignment horizontal="center" vertical="center" wrapText="1"/>
    </xf>
    <xf numFmtId="0" fontId="0" fillId="0" borderId="0" xfId="0" applyAlignment="1">
      <alignment horizontal="center" vertical="center" wrapText="1"/>
    </xf>
    <xf numFmtId="0" fontId="94" fillId="0" borderId="0" xfId="0" applyFont="1" applyAlignment="1">
      <alignment vertical="center"/>
    </xf>
    <xf numFmtId="0" fontId="80" fillId="0" borderId="0" xfId="0" applyFont="1" applyAlignment="1">
      <alignment vertical="center"/>
    </xf>
    <xf numFmtId="0" fontId="41" fillId="0" borderId="0" xfId="0" applyFont="1" applyAlignment="1">
      <alignment vertical="center"/>
    </xf>
    <xf numFmtId="0" fontId="83" fillId="0" borderId="0" xfId="0" applyFont="1" applyAlignment="1">
      <alignment horizontal="center" vertical="center"/>
    </xf>
    <xf numFmtId="0" fontId="80" fillId="0" borderId="0" xfId="0" applyFont="1" applyAlignment="1">
      <alignment horizontal="center" vertical="center"/>
    </xf>
    <xf numFmtId="1" fontId="41" fillId="0" borderId="0" xfId="1" applyNumberFormat="1" applyFont="1" applyAlignment="1" applyProtection="1">
      <alignment vertical="center"/>
    </xf>
    <xf numFmtId="0" fontId="94" fillId="0" borderId="0" xfId="0" applyFont="1" applyAlignment="1">
      <alignment horizontal="center" vertical="center" wrapText="1"/>
    </xf>
    <xf numFmtId="164" fontId="52" fillId="2" borderId="15" xfId="2" applyNumberFormat="1" applyFont="1" applyFill="1" applyBorder="1" applyAlignment="1" applyProtection="1">
      <alignment horizontal="center" vertical="center" wrapText="1"/>
    </xf>
    <xf numFmtId="164" fontId="52" fillId="2" borderId="14" xfId="2" applyNumberFormat="1" applyFont="1" applyFill="1" applyBorder="1" applyAlignment="1" applyProtection="1">
      <alignment horizontal="center" vertical="center" wrapText="1"/>
    </xf>
    <xf numFmtId="0" fontId="52" fillId="0" borderId="0" xfId="0" applyFont="1" applyAlignment="1">
      <alignment horizontal="center" vertical="center" wrapText="1"/>
    </xf>
    <xf numFmtId="164" fontId="52" fillId="2" borderId="0" xfId="2" applyNumberFormat="1" applyFont="1" applyFill="1" applyBorder="1" applyAlignment="1" applyProtection="1">
      <alignment horizontal="center" vertical="center" wrapText="1"/>
    </xf>
    <xf numFmtId="0" fontId="41" fillId="0" borderId="15" xfId="0" applyFont="1" applyBorder="1" applyAlignment="1">
      <alignment vertical="center"/>
    </xf>
    <xf numFmtId="0" fontId="41" fillId="0" borderId="48" xfId="0" applyFont="1" applyBorder="1" applyAlignment="1">
      <alignment vertical="center"/>
    </xf>
    <xf numFmtId="0" fontId="41" fillId="0" borderId="14" xfId="0" applyFont="1" applyBorder="1" applyAlignment="1">
      <alignment vertical="center"/>
    </xf>
    <xf numFmtId="0" fontId="99" fillId="0" borderId="0" xfId="0" applyFont="1" applyAlignment="1">
      <alignment vertical="center"/>
    </xf>
    <xf numFmtId="0" fontId="42" fillId="2" borderId="15" xfId="0" applyFont="1" applyFill="1" applyBorder="1" applyAlignment="1">
      <alignment vertical="center"/>
    </xf>
    <xf numFmtId="164" fontId="87" fillId="2" borderId="48" xfId="2" applyNumberFormat="1" applyFont="1" applyFill="1" applyBorder="1" applyAlignment="1" applyProtection="1">
      <alignment horizontal="center" vertical="center"/>
    </xf>
    <xf numFmtId="164" fontId="87" fillId="2" borderId="14" xfId="2" applyNumberFormat="1" applyFont="1" applyFill="1" applyBorder="1" applyAlignment="1" applyProtection="1">
      <alignment horizontal="center" vertical="center"/>
    </xf>
    <xf numFmtId="0" fontId="43" fillId="0" borderId="0" xfId="0" applyFont="1" applyAlignment="1">
      <alignment vertical="center"/>
    </xf>
    <xf numFmtId="173" fontId="87" fillId="2" borderId="14" xfId="2" applyNumberFormat="1" applyFont="1" applyFill="1" applyBorder="1" applyAlignment="1" applyProtection="1">
      <alignment horizontal="center" vertical="center"/>
    </xf>
    <xf numFmtId="10" fontId="87" fillId="2" borderId="0" xfId="2" applyNumberFormat="1" applyFont="1" applyFill="1" applyBorder="1" applyAlignment="1" applyProtection="1">
      <alignment horizontal="center" vertical="center"/>
    </xf>
    <xf numFmtId="164" fontId="87" fillId="2" borderId="0" xfId="2" applyNumberFormat="1" applyFont="1" applyFill="1" applyBorder="1" applyAlignment="1" applyProtection="1">
      <alignment horizontal="center" vertical="center"/>
    </xf>
    <xf numFmtId="173" fontId="41" fillId="0" borderId="14" xfId="0" applyNumberFormat="1" applyFont="1" applyBorder="1" applyAlignment="1">
      <alignment vertical="center"/>
    </xf>
    <xf numFmtId="0" fontId="43" fillId="5" borderId="15" xfId="0" applyFont="1" applyFill="1" applyBorder="1" applyAlignment="1">
      <alignment vertical="center"/>
    </xf>
    <xf numFmtId="164" fontId="43" fillId="5" borderId="48" xfId="2" applyNumberFormat="1" applyFont="1" applyFill="1" applyBorder="1" applyAlignment="1" applyProtection="1">
      <alignment horizontal="center" vertical="center"/>
    </xf>
    <xf numFmtId="164" fontId="43" fillId="5" borderId="14" xfId="2" applyNumberFormat="1" applyFont="1" applyFill="1" applyBorder="1" applyAlignment="1" applyProtection="1">
      <alignment horizontal="center" vertical="center"/>
    </xf>
    <xf numFmtId="173" fontId="43" fillId="5" borderId="14" xfId="2" applyNumberFormat="1" applyFont="1" applyFill="1" applyBorder="1" applyAlignment="1" applyProtection="1">
      <alignment horizontal="center" vertical="center"/>
    </xf>
    <xf numFmtId="164" fontId="43" fillId="5" borderId="0" xfId="2" applyNumberFormat="1" applyFont="1" applyFill="1" applyBorder="1" applyAlignment="1" applyProtection="1">
      <alignment horizontal="center" vertical="center"/>
    </xf>
    <xf numFmtId="0" fontId="97" fillId="0" borderId="0" xfId="0" applyFont="1"/>
    <xf numFmtId="167" fontId="26" fillId="0" borderId="49" xfId="2" applyNumberFormat="1" applyFont="1" applyBorder="1" applyAlignment="1" applyProtection="1">
      <alignment horizontal="center"/>
    </xf>
    <xf numFmtId="176" fontId="26" fillId="0" borderId="49" xfId="2" applyNumberFormat="1" applyFont="1" applyBorder="1" applyAlignment="1" applyProtection="1">
      <alignment horizontal="center"/>
    </xf>
    <xf numFmtId="10" fontId="26" fillId="0" borderId="49" xfId="2" applyNumberFormat="1" applyFont="1" applyBorder="1" applyAlignment="1" applyProtection="1">
      <alignment horizontal="center"/>
    </xf>
    <xf numFmtId="10" fontId="26" fillId="0" borderId="50" xfId="2" applyNumberFormat="1" applyFont="1" applyBorder="1" applyAlignment="1" applyProtection="1">
      <alignment horizontal="center"/>
    </xf>
    <xf numFmtId="172" fontId="19" fillId="0" borderId="11" xfId="2" applyNumberFormat="1" applyFont="1" applyBorder="1" applyAlignment="1" applyProtection="1">
      <alignment horizontal="center"/>
    </xf>
    <xf numFmtId="0" fontId="26" fillId="0" borderId="0" xfId="0" applyFont="1"/>
    <xf numFmtId="173" fontId="26" fillId="0" borderId="11" xfId="2" applyNumberFormat="1" applyFont="1" applyBorder="1" applyAlignment="1" applyProtection="1">
      <alignment horizontal="center"/>
    </xf>
    <xf numFmtId="164" fontId="98" fillId="0" borderId="11" xfId="2" applyNumberFormat="1" applyFont="1" applyBorder="1" applyAlignment="1" applyProtection="1">
      <alignment horizontal="center"/>
    </xf>
    <xf numFmtId="0" fontId="41" fillId="0" borderId="15" xfId="0" applyFont="1" applyBorder="1" applyAlignment="1">
      <alignment horizontal="left" vertical="center"/>
    </xf>
    <xf numFmtId="167" fontId="41" fillId="0" borderId="48" xfId="0" applyNumberFormat="1" applyFont="1" applyBorder="1" applyAlignment="1">
      <alignment vertical="center"/>
    </xf>
    <xf numFmtId="0" fontId="97" fillId="0" borderId="0" xfId="0" applyFont="1" applyAlignment="1">
      <alignment vertical="center"/>
    </xf>
    <xf numFmtId="0" fontId="26" fillId="0" borderId="15" xfId="0" applyFont="1" applyBorder="1" applyAlignment="1">
      <alignment vertical="center"/>
    </xf>
    <xf numFmtId="0" fontId="26" fillId="0" borderId="48" xfId="0" applyFont="1" applyBorder="1" applyAlignment="1">
      <alignment vertical="center"/>
    </xf>
    <xf numFmtId="0" fontId="26" fillId="0" borderId="14" xfId="0" applyFont="1" applyBorder="1" applyAlignment="1">
      <alignment vertical="center"/>
    </xf>
    <xf numFmtId="0" fontId="26" fillId="0" borderId="0" xfId="0" applyFont="1" applyAlignment="1">
      <alignment vertical="center"/>
    </xf>
    <xf numFmtId="173" fontId="26" fillId="0" borderId="14" xfId="0" applyNumberFormat="1" applyFont="1" applyBorder="1" applyAlignment="1">
      <alignment vertical="center"/>
    </xf>
    <xf numFmtId="0" fontId="73" fillId="0" borderId="0" xfId="0" applyFont="1" applyAlignment="1">
      <alignment vertical="center"/>
    </xf>
    <xf numFmtId="0" fontId="43" fillId="3" borderId="15" xfId="0" applyFont="1" applyFill="1" applyBorder="1" applyAlignment="1">
      <alignment horizontal="left" vertical="center" indent="1"/>
    </xf>
    <xf numFmtId="164" fontId="43" fillId="3" borderId="48" xfId="2" applyNumberFormat="1" applyFont="1" applyFill="1" applyBorder="1" applyAlignment="1" applyProtection="1">
      <alignment horizontal="center" vertical="center"/>
    </xf>
    <xf numFmtId="164" fontId="43" fillId="3" borderId="14" xfId="2" applyNumberFormat="1" applyFont="1" applyFill="1" applyBorder="1" applyAlignment="1" applyProtection="1">
      <alignment horizontal="center" vertical="center"/>
    </xf>
    <xf numFmtId="173" fontId="43" fillId="3" borderId="14" xfId="2" applyNumberFormat="1" applyFont="1" applyFill="1" applyBorder="1" applyAlignment="1" applyProtection="1">
      <alignment horizontal="center" vertical="center"/>
    </xf>
    <xf numFmtId="164" fontId="43" fillId="3" borderId="0" xfId="2" applyNumberFormat="1" applyFont="1" applyFill="1" applyBorder="1" applyAlignment="1" applyProtection="1">
      <alignment horizontal="center" vertical="center"/>
    </xf>
    <xf numFmtId="9" fontId="98" fillId="0" borderId="11" xfId="2" applyFont="1" applyBorder="1" applyAlignment="1" applyProtection="1">
      <alignment horizontal="center"/>
    </xf>
    <xf numFmtId="167" fontId="26" fillId="0" borderId="48" xfId="0" applyNumberFormat="1" applyFont="1" applyBorder="1" applyAlignment="1">
      <alignment vertical="center"/>
    </xf>
    <xf numFmtId="0" fontId="22" fillId="0" borderId="0" xfId="0" applyFont="1"/>
    <xf numFmtId="0" fontId="67" fillId="0" borderId="0" xfId="0" applyFont="1" applyAlignment="1">
      <alignment vertical="center"/>
    </xf>
    <xf numFmtId="164" fontId="74" fillId="3" borderId="48" xfId="2" applyNumberFormat="1" applyFont="1" applyFill="1" applyBorder="1" applyAlignment="1" applyProtection="1">
      <alignment horizontal="center" vertical="center"/>
    </xf>
    <xf numFmtId="164" fontId="74" fillId="3" borderId="14" xfId="2" applyNumberFormat="1" applyFont="1" applyFill="1" applyBorder="1" applyAlignment="1" applyProtection="1">
      <alignment horizontal="center" vertical="center"/>
    </xf>
    <xf numFmtId="164" fontId="74" fillId="3" borderId="0" xfId="2" applyNumberFormat="1" applyFont="1" applyFill="1" applyBorder="1" applyAlignment="1" applyProtection="1">
      <alignment horizontal="center" vertical="center"/>
    </xf>
    <xf numFmtId="167" fontId="41" fillId="0" borderId="0" xfId="0" applyNumberFormat="1" applyFont="1" applyAlignment="1">
      <alignment vertical="center"/>
    </xf>
    <xf numFmtId="0" fontId="87" fillId="2" borderId="0" xfId="0" applyFont="1" applyFill="1" applyAlignment="1">
      <alignment horizontal="left" vertical="center"/>
    </xf>
    <xf numFmtId="173" fontId="87" fillId="2" borderId="0" xfId="2" applyNumberFormat="1" applyFont="1" applyFill="1" applyBorder="1" applyAlignment="1" applyProtection="1">
      <alignment horizontal="center" vertical="center"/>
    </xf>
    <xf numFmtId="0" fontId="91" fillId="0" borderId="0" xfId="0" applyFont="1" applyAlignment="1">
      <alignment vertical="center"/>
    </xf>
    <xf numFmtId="0" fontId="92" fillId="0" borderId="0" xfId="0" applyFont="1" applyAlignment="1">
      <alignment vertical="center"/>
    </xf>
    <xf numFmtId="164" fontId="44"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6" fillId="0" borderId="14" xfId="0" applyFont="1" applyBorder="1" applyAlignment="1">
      <alignment vertical="center"/>
    </xf>
    <xf numFmtId="10" fontId="66" fillId="0" borderId="0" xfId="0" applyNumberFormat="1" applyFont="1" applyAlignment="1">
      <alignment horizontal="center" vertical="center"/>
    </xf>
    <xf numFmtId="0" fontId="93" fillId="0" borderId="0" xfId="0" applyFont="1"/>
    <xf numFmtId="0" fontId="84" fillId="0" borderId="15" xfId="0" applyFont="1" applyBorder="1"/>
    <xf numFmtId="0" fontId="84" fillId="0" borderId="48" xfId="0" applyFont="1" applyBorder="1"/>
    <xf numFmtId="0" fontId="84" fillId="0" borderId="14" xfId="0" applyFont="1" applyBorder="1"/>
    <xf numFmtId="0" fontId="84" fillId="0" borderId="0" xfId="0" applyFont="1"/>
    <xf numFmtId="0" fontId="85" fillId="0" borderId="0" xfId="0" applyFont="1"/>
    <xf numFmtId="0" fontId="84" fillId="0" borderId="0" xfId="0" applyFont="1" applyAlignment="1">
      <alignment horizontal="center"/>
    </xf>
    <xf numFmtId="0" fontId="16" fillId="0" borderId="0" xfId="0" applyFont="1"/>
    <xf numFmtId="169" fontId="64" fillId="0" borderId="43" xfId="2" applyNumberFormat="1" applyFont="1" applyBorder="1" applyAlignment="1"/>
    <xf numFmtId="167" fontId="58" fillId="0" borderId="54" xfId="0" applyNumberFormat="1" applyFont="1" applyBorder="1" applyAlignment="1">
      <alignment horizontal="left"/>
    </xf>
    <xf numFmtId="10" fontId="58" fillId="0" borderId="0" xfId="2" applyNumberFormat="1" applyFont="1" applyFill="1" applyBorder="1" applyAlignment="1">
      <alignment horizontal="center"/>
    </xf>
    <xf numFmtId="0" fontId="59" fillId="0" borderId="0" xfId="0" applyFont="1" applyAlignment="1">
      <alignment horizontal="center" vertical="center" wrapText="1"/>
    </xf>
    <xf numFmtId="0" fontId="112" fillId="0" borderId="0" xfId="0" applyFont="1"/>
    <xf numFmtId="0" fontId="108" fillId="0" borderId="0" xfId="0" applyFont="1" applyAlignment="1">
      <alignment vertical="center"/>
    </xf>
    <xf numFmtId="0" fontId="109" fillId="0" borderId="0" xfId="0" applyFont="1" applyAlignment="1">
      <alignment horizontal="center" vertical="center"/>
    </xf>
    <xf numFmtId="0" fontId="108" fillId="0" borderId="0" xfId="0" applyFont="1" applyAlignment="1">
      <alignment horizontal="center" vertical="center"/>
    </xf>
    <xf numFmtId="0" fontId="110" fillId="0" borderId="0" xfId="0" applyFont="1" applyAlignment="1">
      <alignment horizontal="center" vertical="center"/>
    </xf>
    <xf numFmtId="0" fontId="114" fillId="0" borderId="0" xfId="0" applyFont="1" applyAlignment="1">
      <alignment horizontal="left" indent="1"/>
    </xf>
    <xf numFmtId="0" fontId="111" fillId="0" borderId="0" xfId="0" applyFont="1" applyAlignment="1">
      <alignment vertical="center"/>
    </xf>
    <xf numFmtId="0" fontId="111" fillId="0" borderId="0" xfId="0" applyFont="1" applyAlignment="1">
      <alignment horizontal="center" vertical="center"/>
    </xf>
    <xf numFmtId="0" fontId="116" fillId="0" borderId="0" xfId="0" applyFont="1" applyAlignment="1">
      <alignment horizontal="center" vertical="center" wrapText="1"/>
    </xf>
    <xf numFmtId="0" fontId="115" fillId="0" borderId="0" xfId="0" applyFont="1" applyAlignment="1">
      <alignment horizontal="center" vertical="center"/>
    </xf>
    <xf numFmtId="164" fontId="59" fillId="2" borderId="0" xfId="2" applyNumberFormat="1" applyFont="1" applyFill="1" applyBorder="1" applyAlignment="1" applyProtection="1">
      <alignment horizontal="center" vertical="center" wrapText="1"/>
    </xf>
    <xf numFmtId="164" fontId="59" fillId="2" borderId="14" xfId="2" applyNumberFormat="1" applyFont="1" applyFill="1" applyBorder="1" applyAlignment="1" applyProtection="1">
      <alignment horizontal="center" vertical="center" wrapText="1"/>
    </xf>
    <xf numFmtId="0" fontId="30" fillId="0" borderId="0" xfId="0" applyFont="1"/>
    <xf numFmtId="0" fontId="43" fillId="0" borderId="0" xfId="0" applyFont="1" applyAlignment="1">
      <alignment horizontal="center"/>
    </xf>
    <xf numFmtId="0" fontId="66" fillId="0" borderId="0" xfId="0" applyFont="1" applyAlignment="1">
      <alignment horizontal="center"/>
    </xf>
    <xf numFmtId="0" fontId="41" fillId="0" borderId="44" xfId="0" applyFont="1" applyBorder="1" applyAlignment="1">
      <alignment horizontal="center" vertical="center"/>
    </xf>
    <xf numFmtId="14" fontId="41" fillId="0" borderId="0" xfId="0" applyNumberFormat="1" applyFont="1"/>
    <xf numFmtId="14" fontId="65" fillId="0" borderId="0" xfId="0" quotePrefix="1" applyNumberFormat="1" applyFont="1" applyAlignment="1">
      <alignment horizontal="right"/>
    </xf>
    <xf numFmtId="172" fontId="65" fillId="0" borderId="0" xfId="0" applyNumberFormat="1" applyFont="1" applyAlignment="1">
      <alignment horizontal="center"/>
    </xf>
    <xf numFmtId="1" fontId="0" fillId="0" borderId="0" xfId="1" applyNumberFormat="1" applyFont="1" applyAlignment="1" applyProtection="1">
      <alignment horizontal="center"/>
    </xf>
    <xf numFmtId="0" fontId="75" fillId="0" borderId="0" xfId="0" applyFont="1" applyAlignment="1">
      <alignment vertical="center"/>
    </xf>
    <xf numFmtId="0" fontId="77" fillId="0" borderId="0" xfId="0" applyFont="1" applyAlignment="1">
      <alignment horizontal="center" vertical="center"/>
    </xf>
    <xf numFmtId="0" fontId="76" fillId="6" borderId="0" xfId="0" applyFont="1" applyFill="1" applyAlignment="1">
      <alignment vertical="center"/>
    </xf>
    <xf numFmtId="0" fontId="76" fillId="6" borderId="0" xfId="0" applyFont="1" applyFill="1" applyAlignment="1">
      <alignment horizontal="center" vertical="center"/>
    </xf>
    <xf numFmtId="0" fontId="45" fillId="0" borderId="0" xfId="0" applyFont="1" applyAlignment="1">
      <alignment vertical="center"/>
    </xf>
    <xf numFmtId="0" fontId="66" fillId="0" borderId="0" xfId="0" applyFont="1" applyAlignment="1">
      <alignment vertical="center"/>
    </xf>
    <xf numFmtId="0" fontId="52" fillId="12" borderId="0" xfId="0" applyFont="1" applyFill="1" applyAlignment="1">
      <alignment horizontal="center" vertical="center"/>
    </xf>
    <xf numFmtId="0" fontId="52" fillId="2" borderId="0" xfId="0" applyFont="1" applyFill="1" applyAlignment="1">
      <alignment horizontal="center" vertical="center"/>
    </xf>
    <xf numFmtId="0" fontId="43" fillId="0" borderId="0" xfId="0" applyFont="1" applyAlignment="1">
      <alignment horizontal="center" vertical="center"/>
    </xf>
    <xf numFmtId="0" fontId="43" fillId="0" borderId="0" xfId="0" applyFont="1" applyAlignment="1">
      <alignment horizontal="left" vertical="center" indent="1"/>
    </xf>
    <xf numFmtId="1" fontId="43" fillId="0" borderId="0" xfId="1" applyNumberFormat="1" applyFont="1" applyAlignment="1" applyProtection="1">
      <alignment horizontal="center" vertical="center"/>
    </xf>
    <xf numFmtId="173" fontId="43" fillId="0" borderId="0" xfId="0" applyNumberFormat="1" applyFont="1" applyAlignment="1">
      <alignment vertical="center"/>
    </xf>
    <xf numFmtId="0" fontId="30" fillId="0" borderId="0" xfId="0" applyFont="1" applyAlignment="1">
      <alignment vertical="center"/>
    </xf>
    <xf numFmtId="0" fontId="43" fillId="5" borderId="0" xfId="0" applyFont="1" applyFill="1" applyAlignment="1">
      <alignment vertical="center"/>
    </xf>
    <xf numFmtId="0" fontId="43" fillId="5" borderId="0" xfId="0" applyFont="1" applyFill="1" applyAlignment="1">
      <alignment horizontal="center" vertical="center"/>
    </xf>
    <xf numFmtId="173" fontId="43" fillId="5" borderId="0" xfId="0" applyNumberFormat="1" applyFont="1" applyFill="1" applyAlignment="1">
      <alignment vertical="center"/>
    </xf>
    <xf numFmtId="172" fontId="43" fillId="5" borderId="0" xfId="0" applyNumberFormat="1" applyFont="1" applyFill="1" applyAlignment="1">
      <alignment vertical="center"/>
    </xf>
    <xf numFmtId="39" fontId="43" fillId="5" borderId="0" xfId="0" applyNumberFormat="1" applyFont="1" applyFill="1" applyAlignment="1">
      <alignment vertical="center"/>
    </xf>
    <xf numFmtId="0" fontId="30" fillId="0" borderId="12" xfId="0" applyFont="1" applyBorder="1" applyAlignment="1">
      <alignment horizontal="left" indent="2"/>
    </xf>
    <xf numFmtId="10" fontId="30" fillId="0" borderId="12" xfId="2" applyNumberFormat="1" applyFont="1" applyBorder="1" applyAlignment="1" applyProtection="1">
      <alignment horizontal="center"/>
    </xf>
    <xf numFmtId="173" fontId="30" fillId="0" borderId="12" xfId="2" applyNumberFormat="1" applyFont="1" applyBorder="1" applyAlignment="1" applyProtection="1">
      <alignment horizontal="center"/>
    </xf>
    <xf numFmtId="172" fontId="30" fillId="0" borderId="12" xfId="0" applyNumberFormat="1" applyFont="1" applyBorder="1" applyAlignment="1">
      <alignment horizontal="center"/>
    </xf>
    <xf numFmtId="10" fontId="58" fillId="0" borderId="12" xfId="2" applyNumberFormat="1" applyFont="1" applyBorder="1" applyAlignment="1" applyProtection="1">
      <alignment horizontal="center"/>
    </xf>
    <xf numFmtId="9" fontId="58" fillId="0" borderId="12" xfId="2" applyFont="1" applyBorder="1" applyAlignment="1" applyProtection="1">
      <alignment horizontal="center"/>
    </xf>
    <xf numFmtId="4" fontId="58" fillId="0" borderId="12" xfId="2" applyNumberFormat="1" applyFont="1" applyBorder="1" applyAlignment="1" applyProtection="1">
      <alignment horizontal="center"/>
    </xf>
    <xf numFmtId="0" fontId="73" fillId="0" borderId="13" xfId="0" applyFont="1" applyBorder="1"/>
    <xf numFmtId="172" fontId="43" fillId="0" borderId="0" xfId="0" applyNumberFormat="1" applyFont="1" applyAlignment="1">
      <alignment vertical="center"/>
    </xf>
    <xf numFmtId="0" fontId="78" fillId="0" borderId="0" xfId="0" applyFont="1" applyAlignment="1">
      <alignment horizontal="center" vertical="center"/>
    </xf>
    <xf numFmtId="1" fontId="72" fillId="0" borderId="0" xfId="1" applyNumberFormat="1" applyFont="1" applyAlignment="1" applyProtection="1">
      <alignment horizontal="center" vertical="center"/>
    </xf>
    <xf numFmtId="39" fontId="43" fillId="0" borderId="0" xfId="0" applyNumberFormat="1" applyFont="1" applyAlignment="1">
      <alignment vertical="center"/>
    </xf>
    <xf numFmtId="0" fontId="43" fillId="3" borderId="0" xfId="0" applyFont="1" applyFill="1" applyAlignment="1">
      <alignment horizontal="left" vertical="center" indent="1"/>
    </xf>
    <xf numFmtId="0" fontId="43" fillId="3" borderId="0" xfId="0" applyFont="1" applyFill="1" applyAlignment="1">
      <alignment horizontal="center" vertical="center"/>
    </xf>
    <xf numFmtId="173" fontId="43" fillId="3" borderId="0" xfId="0" applyNumberFormat="1" applyFont="1" applyFill="1" applyAlignment="1">
      <alignment horizontal="left" vertical="center" indent="1"/>
    </xf>
    <xf numFmtId="172" fontId="43" fillId="3" borderId="0" xfId="0" applyNumberFormat="1" applyFont="1" applyFill="1" applyAlignment="1">
      <alignment horizontal="left" vertical="center" indent="1"/>
    </xf>
    <xf numFmtId="39" fontId="43" fillId="3" borderId="0" xfId="0" applyNumberFormat="1" applyFont="1" applyFill="1" applyAlignment="1">
      <alignment horizontal="left" vertical="center" indent="1"/>
    </xf>
    <xf numFmtId="173" fontId="30" fillId="0" borderId="0" xfId="0" applyNumberFormat="1" applyFont="1"/>
    <xf numFmtId="172" fontId="30" fillId="0" borderId="0" xfId="0" applyNumberFormat="1" applyFont="1"/>
    <xf numFmtId="39" fontId="30" fillId="0" borderId="0" xfId="0" applyNumberFormat="1" applyFont="1"/>
    <xf numFmtId="173" fontId="76" fillId="6" borderId="0" xfId="0" applyNumberFormat="1" applyFont="1" applyFill="1" applyAlignment="1">
      <alignment vertical="center"/>
    </xf>
    <xf numFmtId="172" fontId="76" fillId="6" borderId="0" xfId="0" applyNumberFormat="1" applyFont="1" applyFill="1" applyAlignment="1">
      <alignment vertical="center"/>
    </xf>
    <xf numFmtId="1" fontId="50" fillId="0" borderId="0" xfId="1" applyNumberFormat="1" applyFont="1" applyFill="1" applyAlignment="1" applyProtection="1">
      <alignment horizontal="center" vertical="center"/>
    </xf>
    <xf numFmtId="173" fontId="44" fillId="0" borderId="0" xfId="0" applyNumberFormat="1" applyFont="1" applyAlignment="1">
      <alignment vertical="center"/>
    </xf>
    <xf numFmtId="0" fontId="29" fillId="0" borderId="0" xfId="0" applyFont="1" applyAlignment="1">
      <alignment vertical="center"/>
    </xf>
    <xf numFmtId="1" fontId="44" fillId="0" borderId="0" xfId="1" applyNumberFormat="1" applyFont="1" applyAlignment="1" applyProtection="1">
      <alignment horizontal="center" vertical="center"/>
    </xf>
    <xf numFmtId="1" fontId="30" fillId="0" borderId="0" xfId="1" applyNumberFormat="1" applyFont="1" applyAlignment="1" applyProtection="1">
      <alignment horizontal="center" vertical="center"/>
    </xf>
    <xf numFmtId="173" fontId="30" fillId="0" borderId="0" xfId="0" applyNumberFormat="1" applyFont="1" applyAlignment="1">
      <alignment vertical="center"/>
    </xf>
    <xf numFmtId="172" fontId="30" fillId="0" borderId="0" xfId="0" applyNumberFormat="1" applyFont="1" applyAlignment="1">
      <alignment vertical="center"/>
    </xf>
    <xf numFmtId="39" fontId="30" fillId="0" borderId="0" xfId="0" applyNumberFormat="1" applyFont="1" applyAlignment="1">
      <alignment vertical="center"/>
    </xf>
    <xf numFmtId="0" fontId="43" fillId="0" borderId="10" xfId="0" applyFont="1" applyBorder="1"/>
    <xf numFmtId="1" fontId="30" fillId="0" borderId="0" xfId="1" applyNumberFormat="1" applyFont="1" applyAlignment="1" applyProtection="1">
      <alignment horizontal="center"/>
    </xf>
    <xf numFmtId="0" fontId="42" fillId="8" borderId="5" xfId="0" applyFont="1" applyFill="1" applyBorder="1"/>
    <xf numFmtId="0" fontId="30" fillId="0" borderId="8" xfId="0" applyFont="1" applyBorder="1"/>
    <xf numFmtId="0" fontId="30" fillId="0" borderId="5" xfId="0" applyFont="1" applyBorder="1"/>
    <xf numFmtId="0" fontId="30" fillId="0" borderId="9" xfId="0" applyFont="1" applyBorder="1"/>
    <xf numFmtId="0" fontId="42" fillId="6" borderId="5" xfId="0" applyFont="1" applyFill="1" applyBorder="1"/>
    <xf numFmtId="0" fontId="42" fillId="6" borderId="9" xfId="0" applyFont="1" applyFill="1" applyBorder="1"/>
    <xf numFmtId="0" fontId="42" fillId="7" borderId="5" xfId="0" applyFont="1" applyFill="1" applyBorder="1"/>
    <xf numFmtId="0" fontId="42" fillId="7" borderId="6" xfId="0" applyFont="1" applyFill="1" applyBorder="1"/>
    <xf numFmtId="0" fontId="42" fillId="8" borderId="9" xfId="0" applyFont="1" applyFill="1" applyBorder="1"/>
    <xf numFmtId="164" fontId="52" fillId="2" borderId="14" xfId="2" applyNumberFormat="1" applyFont="1" applyFill="1" applyBorder="1" applyAlignment="1" applyProtection="1">
      <alignment horizontal="center" wrapText="1"/>
    </xf>
    <xf numFmtId="0" fontId="15" fillId="0" borderId="12" xfId="0" applyFont="1" applyBorder="1" applyAlignment="1">
      <alignment horizontal="center"/>
    </xf>
    <xf numFmtId="10" fontId="74" fillId="5" borderId="0" xfId="2" applyNumberFormat="1" applyFont="1" applyFill="1" applyBorder="1" applyAlignment="1" applyProtection="1">
      <alignment horizontal="center" vertical="center"/>
      <protection locked="0"/>
    </xf>
    <xf numFmtId="10" fontId="74" fillId="3" borderId="0" xfId="2" applyNumberFormat="1" applyFont="1" applyFill="1" applyBorder="1" applyAlignment="1" applyProtection="1">
      <alignment horizontal="center" vertical="center"/>
      <protection locked="0"/>
    </xf>
    <xf numFmtId="0" fontId="14" fillId="0" borderId="0" xfId="0" applyFont="1" applyProtection="1">
      <protection locked="0"/>
    </xf>
    <xf numFmtId="0" fontId="98" fillId="0" borderId="0" xfId="0" applyFont="1" applyProtection="1">
      <protection locked="0"/>
    </xf>
    <xf numFmtId="0" fontId="98" fillId="0" borderId="0" xfId="0" applyFont="1" applyAlignment="1" applyProtection="1">
      <alignment horizontal="center"/>
      <protection locked="0"/>
    </xf>
    <xf numFmtId="0" fontId="120" fillId="0" borderId="0" xfId="0" applyFont="1" applyAlignment="1" applyProtection="1">
      <alignment horizontal="center"/>
      <protection locked="0"/>
    </xf>
    <xf numFmtId="0" fontId="120" fillId="0" borderId="0" xfId="0" applyFont="1" applyProtection="1">
      <protection locked="0"/>
    </xf>
    <xf numFmtId="0" fontId="120" fillId="0" borderId="0" xfId="0" applyFont="1" applyAlignment="1" applyProtection="1">
      <alignment vertical="center"/>
      <protection locked="0"/>
    </xf>
    <xf numFmtId="1" fontId="120" fillId="0" borderId="0" xfId="1" applyNumberFormat="1" applyFont="1" applyAlignment="1" applyProtection="1">
      <alignment horizontal="center" vertical="center"/>
      <protection locked="0"/>
    </xf>
    <xf numFmtId="0" fontId="121" fillId="6" borderId="0" xfId="0" applyFont="1" applyFill="1" applyAlignment="1" applyProtection="1">
      <alignment vertical="center"/>
      <protection locked="0"/>
    </xf>
    <xf numFmtId="0" fontId="121" fillId="6" borderId="0" xfId="0" applyFont="1" applyFill="1" applyAlignment="1" applyProtection="1">
      <alignment horizontal="center" vertical="center"/>
      <protection locked="0"/>
    </xf>
    <xf numFmtId="0" fontId="14" fillId="0" borderId="12" xfId="0" applyFont="1" applyBorder="1" applyAlignment="1" applyProtection="1">
      <alignment horizontal="left" indent="2"/>
      <protection locked="0"/>
    </xf>
    <xf numFmtId="174" fontId="98" fillId="0" borderId="12" xfId="0" applyNumberFormat="1" applyFont="1" applyBorder="1" applyAlignment="1">
      <alignment horizontal="center"/>
    </xf>
    <xf numFmtId="0" fontId="14" fillId="0" borderId="12" xfId="0" applyFont="1" applyBorder="1" applyAlignment="1">
      <alignment horizontal="center"/>
    </xf>
    <xf numFmtId="10" fontId="98" fillId="0" borderId="12" xfId="2" quotePrefix="1" applyNumberFormat="1" applyFont="1" applyBorder="1" applyAlignment="1">
      <alignment horizontal="center"/>
    </xf>
    <xf numFmtId="172" fontId="98" fillId="0" borderId="12" xfId="2" applyNumberFormat="1" applyFont="1" applyBorder="1" applyAlignment="1">
      <alignment horizontal="center"/>
    </xf>
    <xf numFmtId="1" fontId="123" fillId="0" borderId="12" xfId="0" applyNumberFormat="1" applyFont="1" applyBorder="1" applyAlignment="1">
      <alignment horizontal="center"/>
    </xf>
    <xf numFmtId="0" fontId="123" fillId="0" borderId="12" xfId="0" applyFont="1" applyBorder="1" applyAlignment="1">
      <alignment horizontal="center"/>
    </xf>
    <xf numFmtId="10" fontId="123" fillId="0" borderId="12" xfId="2" applyNumberFormat="1" applyFont="1" applyBorder="1" applyAlignment="1">
      <alignment horizontal="center"/>
    </xf>
    <xf numFmtId="0" fontId="12" fillId="0" borderId="0" xfId="0" applyFont="1" applyAlignment="1" applyProtection="1">
      <alignment horizontal="left"/>
      <protection locked="0"/>
    </xf>
    <xf numFmtId="0" fontId="12" fillId="0" borderId="0" xfId="0" applyFont="1" applyAlignment="1">
      <alignment horizontal="center"/>
    </xf>
    <xf numFmtId="10" fontId="12" fillId="0" borderId="0" xfId="2" applyNumberFormat="1" applyFont="1" applyBorder="1" applyAlignment="1">
      <alignment horizontal="center"/>
    </xf>
    <xf numFmtId="173" fontId="12" fillId="0" borderId="0" xfId="2" applyNumberFormat="1" applyFont="1" applyBorder="1" applyAlignment="1">
      <alignment horizontal="center"/>
    </xf>
    <xf numFmtId="39" fontId="12" fillId="0" borderId="0" xfId="2" applyNumberFormat="1" applyFont="1" applyBorder="1" applyAlignment="1">
      <alignment horizontal="center"/>
    </xf>
    <xf numFmtId="166" fontId="12" fillId="0" borderId="0" xfId="2" applyNumberFormat="1" applyFont="1" applyBorder="1" applyAlignment="1">
      <alignment horizontal="center"/>
    </xf>
    <xf numFmtId="4" fontId="12" fillId="0" borderId="0" xfId="2" applyNumberFormat="1" applyFont="1" applyBorder="1" applyAlignment="1">
      <alignment horizontal="center"/>
    </xf>
    <xf numFmtId="167" fontId="12" fillId="0" borderId="0" xfId="0" applyNumberFormat="1" applyFont="1" applyAlignment="1">
      <alignment horizontal="center"/>
    </xf>
    <xf numFmtId="0" fontId="137" fillId="0" borderId="0" xfId="0" applyFont="1" applyAlignment="1">
      <alignment horizontal="center"/>
    </xf>
    <xf numFmtId="10" fontId="137" fillId="0" borderId="0" xfId="2" applyNumberFormat="1" applyFont="1" applyAlignment="1">
      <alignment horizontal="center"/>
    </xf>
    <xf numFmtId="2" fontId="137" fillId="0" borderId="0" xfId="0" applyNumberFormat="1" applyFont="1" applyAlignment="1">
      <alignment horizontal="center"/>
    </xf>
    <xf numFmtId="2" fontId="58" fillId="0" borderId="54" xfId="2" applyNumberFormat="1" applyFont="1" applyBorder="1" applyAlignment="1">
      <alignment horizontal="center"/>
    </xf>
    <xf numFmtId="0" fontId="11" fillId="51" borderId="0" xfId="0" applyFont="1" applyFill="1" applyAlignment="1">
      <alignment horizontal="center"/>
    </xf>
    <xf numFmtId="10" fontId="12" fillId="51" borderId="0" xfId="2" applyNumberFormat="1" applyFont="1" applyFill="1" applyBorder="1" applyAlignment="1">
      <alignment horizontal="center"/>
    </xf>
    <xf numFmtId="167" fontId="58" fillId="0" borderId="0" xfId="0" applyNumberFormat="1" applyFont="1" applyAlignment="1">
      <alignment horizontal="center"/>
    </xf>
    <xf numFmtId="0" fontId="58" fillId="0" borderId="0" xfId="2" applyNumberFormat="1" applyFont="1" applyBorder="1"/>
    <xf numFmtId="0" fontId="58" fillId="0" borderId="0" xfId="0" applyFont="1"/>
    <xf numFmtId="0" fontId="58" fillId="0" borderId="0" xfId="2" applyNumberFormat="1" applyFont="1" applyBorder="1" applyAlignment="1">
      <alignment horizontal="center"/>
    </xf>
    <xf numFmtId="0" fontId="41" fillId="0" borderId="77" xfId="0" applyFont="1" applyBorder="1" applyAlignment="1">
      <alignment horizontal="center" vertical="center"/>
    </xf>
    <xf numFmtId="172" fontId="113" fillId="3" borderId="78" xfId="1" applyNumberFormat="1" applyFont="1" applyFill="1" applyBorder="1" applyAlignment="1" applyProtection="1">
      <alignment horizontal="center" vertical="center"/>
      <protection locked="0"/>
    </xf>
    <xf numFmtId="0" fontId="41" fillId="0" borderId="62" xfId="0" applyFont="1" applyBorder="1" applyAlignment="1">
      <alignment horizontal="left" vertical="center"/>
    </xf>
    <xf numFmtId="10" fontId="0" fillId="0" borderId="0" xfId="2" applyNumberFormat="1" applyFont="1"/>
    <xf numFmtId="173" fontId="114"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8" fillId="0" borderId="79" xfId="0" applyFont="1" applyBorder="1" applyAlignment="1" applyProtection="1">
      <alignment vertical="center"/>
      <protection locked="0"/>
    </xf>
    <xf numFmtId="0" fontId="108" fillId="0" borderId="79" xfId="0" applyFont="1" applyBorder="1" applyAlignment="1" applyProtection="1">
      <alignment horizontal="center" vertical="center"/>
      <protection locked="0"/>
    </xf>
    <xf numFmtId="0" fontId="140" fillId="0" borderId="0" xfId="0" applyFont="1"/>
    <xf numFmtId="0" fontId="141" fillId="0" borderId="79" xfId="0" applyFont="1" applyBorder="1" applyAlignment="1" applyProtection="1">
      <alignment vertical="center"/>
      <protection locked="0"/>
    </xf>
    <xf numFmtId="0" fontId="142" fillId="0" borderId="0" xfId="0" applyFont="1" applyAlignment="1" applyProtection="1">
      <alignment vertical="center"/>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143" fillId="0" borderId="0" xfId="0" applyFont="1" applyAlignment="1" applyProtection="1">
      <alignment vertical="center"/>
      <protection locked="0"/>
    </xf>
    <xf numFmtId="0" fontId="143" fillId="0" borderId="0" xfId="0" applyFont="1" applyAlignment="1" applyProtection="1">
      <alignment horizontal="center" vertical="center" wrapText="1"/>
      <protection locked="0"/>
    </xf>
    <xf numFmtId="0" fontId="145" fillId="0" borderId="0" xfId="0" applyFont="1" applyAlignment="1" applyProtection="1">
      <alignment vertical="center"/>
      <protection locked="0"/>
    </xf>
    <xf numFmtId="0" fontId="145" fillId="0" borderId="0" xfId="0" applyFont="1" applyAlignment="1" applyProtection="1">
      <alignment horizontal="center" vertical="center"/>
      <protection locked="0"/>
    </xf>
    <xf numFmtId="0" fontId="144" fillId="3" borderId="80" xfId="0" applyFont="1" applyFill="1" applyBorder="1" applyAlignment="1" applyProtection="1">
      <alignment horizontal="left" vertical="center" indent="2"/>
      <protection locked="0"/>
    </xf>
    <xf numFmtId="0" fontId="144" fillId="3" borderId="81" xfId="0" applyFont="1" applyFill="1" applyBorder="1" applyAlignment="1" applyProtection="1">
      <alignment horizontal="left" vertical="center" indent="2"/>
      <protection locked="0"/>
    </xf>
    <xf numFmtId="0" fontId="114" fillId="0" borderId="79" xfId="0" applyFont="1" applyBorder="1" applyAlignment="1" applyProtection="1">
      <alignment horizontal="right" vertical="center"/>
      <protection locked="0"/>
    </xf>
    <xf numFmtId="0" fontId="0" fillId="0" borderId="82" xfId="0" applyBorder="1"/>
    <xf numFmtId="10" fontId="0" fillId="0" borderId="82" xfId="2" applyNumberFormat="1" applyFont="1" applyBorder="1"/>
    <xf numFmtId="2" fontId="0" fillId="0" borderId="82" xfId="0" applyNumberFormat="1" applyBorder="1"/>
    <xf numFmtId="0" fontId="146" fillId="14" borderId="0" xfId="0" applyFont="1" applyFill="1" applyAlignment="1">
      <alignment horizontal="center" vertical="center" wrapText="1"/>
    </xf>
    <xf numFmtId="0" fontId="147" fillId="0" borderId="0" xfId="0" applyFont="1"/>
    <xf numFmtId="1" fontId="0" fillId="0" borderId="82" xfId="2" applyNumberFormat="1" applyFont="1" applyBorder="1" applyAlignment="1">
      <alignment horizontal="center"/>
    </xf>
    <xf numFmtId="178" fontId="0" fillId="0" borderId="82" xfId="2" applyNumberFormat="1" applyFont="1" applyBorder="1"/>
    <xf numFmtId="0" fontId="0" fillId="0" borderId="82" xfId="2" applyNumberFormat="1" applyFont="1" applyBorder="1" applyAlignment="1">
      <alignment horizontal="center"/>
    </xf>
    <xf numFmtId="10" fontId="0" fillId="0" borderId="82" xfId="2" applyNumberFormat="1" applyFont="1" applyBorder="1" applyAlignment="1">
      <alignment horizontal="center"/>
    </xf>
    <xf numFmtId="0" fontId="9" fillId="0" borderId="0" xfId="0" applyFont="1" applyAlignment="1">
      <alignment wrapText="1"/>
    </xf>
    <xf numFmtId="0" fontId="9" fillId="0" borderId="0" xfId="0" applyFont="1"/>
    <xf numFmtId="0" fontId="42" fillId="12" borderId="86" xfId="0" applyFont="1" applyFill="1" applyBorder="1"/>
    <xf numFmtId="0" fontId="58" fillId="0" borderId="84" xfId="0" applyFont="1" applyBorder="1" applyAlignment="1">
      <alignment horizontal="center" vertical="center"/>
    </xf>
    <xf numFmtId="0" fontId="142" fillId="0" borderId="0" xfId="0" applyFont="1"/>
    <xf numFmtId="2" fontId="58" fillId="0" borderId="84" xfId="0" applyNumberFormat="1" applyFont="1" applyBorder="1" applyAlignment="1">
      <alignment horizontal="center" vertical="center"/>
    </xf>
    <xf numFmtId="0" fontId="150" fillId="12" borderId="85" xfId="0" applyFont="1" applyFill="1" applyBorder="1" applyAlignment="1">
      <alignment horizontal="left" vertical="top"/>
    </xf>
    <xf numFmtId="0" fontId="150" fillId="12" borderId="86" xfId="0" applyFont="1" applyFill="1" applyBorder="1" applyAlignment="1">
      <alignment horizontal="left" vertical="top"/>
    </xf>
    <xf numFmtId="0" fontId="58" fillId="0" borderId="0" xfId="0" applyFont="1" applyAlignment="1">
      <alignment horizontal="center" vertical="center"/>
    </xf>
    <xf numFmtId="14" fontId="9" fillId="0" borderId="0" xfId="0" applyNumberFormat="1" applyFont="1"/>
    <xf numFmtId="14" fontId="9" fillId="0" borderId="0" xfId="0" applyNumberFormat="1" applyFont="1" applyAlignment="1">
      <alignment wrapText="1"/>
    </xf>
    <xf numFmtId="14" fontId="0" fillId="0" borderId="0" xfId="0" applyNumberFormat="1"/>
    <xf numFmtId="0" fontId="151" fillId="0" borderId="0" xfId="0" applyFont="1" applyAlignment="1" applyProtection="1">
      <alignment horizontal="left" vertical="center"/>
      <protection locked="0"/>
    </xf>
    <xf numFmtId="0" fontId="143" fillId="0" borderId="0" xfId="0" applyFont="1" applyAlignment="1" applyProtection="1">
      <alignment vertical="center" wrapText="1"/>
      <protection locked="0"/>
    </xf>
    <xf numFmtId="0" fontId="144" fillId="3" borderId="0" xfId="0" applyFont="1" applyFill="1" applyAlignment="1" applyProtection="1">
      <alignment horizontal="left" vertical="center" indent="2"/>
      <protection locked="0"/>
    </xf>
    <xf numFmtId="0" fontId="152" fillId="3" borderId="80" xfId="0" applyFont="1" applyFill="1" applyBorder="1" applyAlignment="1" applyProtection="1">
      <alignment horizontal="left" vertical="center" indent="2"/>
      <protection locked="0"/>
    </xf>
    <xf numFmtId="0" fontId="152" fillId="3" borderId="81" xfId="0" applyFont="1" applyFill="1" applyBorder="1" applyAlignment="1" applyProtection="1">
      <alignment horizontal="left" vertical="center" indent="2"/>
      <protection locked="0"/>
    </xf>
    <xf numFmtId="0" fontId="152" fillId="3" borderId="0" xfId="0" applyFont="1" applyFill="1" applyAlignment="1" applyProtection="1">
      <alignment vertical="center"/>
      <protection locked="0"/>
    </xf>
    <xf numFmtId="0" fontId="152" fillId="3" borderId="0" xfId="0" applyFont="1" applyFill="1"/>
    <xf numFmtId="0" fontId="152" fillId="0" borderId="0" xfId="0" applyFont="1" applyAlignment="1" applyProtection="1">
      <alignment vertical="center"/>
      <protection locked="0"/>
    </xf>
    <xf numFmtId="10" fontId="146" fillId="14" borderId="0" xfId="2" applyNumberFormat="1" applyFont="1" applyFill="1" applyAlignment="1">
      <alignment horizontal="center" vertical="center" wrapText="1"/>
    </xf>
    <xf numFmtId="0" fontId="9" fillId="0" borderId="0" xfId="0" applyFont="1" applyAlignment="1">
      <alignment horizontal="center"/>
    </xf>
    <xf numFmtId="0" fontId="143" fillId="0" borderId="87" xfId="0" applyFont="1" applyBorder="1" applyAlignment="1" applyProtection="1">
      <alignment horizontal="center" vertical="center"/>
      <protection locked="0"/>
    </xf>
    <xf numFmtId="0" fontId="144" fillId="0" borderId="81" xfId="0" applyFont="1" applyBorder="1" applyAlignment="1" applyProtection="1">
      <alignment horizontal="left" vertical="center" indent="2"/>
      <protection locked="0"/>
    </xf>
    <xf numFmtId="179" fontId="9" fillId="0" borderId="0" xfId="2" applyNumberFormat="1" applyFont="1" applyAlignment="1">
      <alignment horizontal="center"/>
    </xf>
    <xf numFmtId="0" fontId="144" fillId="0" borderId="0" xfId="0" applyFont="1" applyAlignment="1" applyProtection="1">
      <alignment horizontal="left" vertical="center" indent="2"/>
      <protection locked="0"/>
    </xf>
    <xf numFmtId="10" fontId="9" fillId="0" borderId="0" xfId="2" applyNumberFormat="1" applyFont="1" applyAlignment="1">
      <alignment horizontal="center"/>
    </xf>
    <xf numFmtId="179" fontId="152" fillId="3" borderId="0" xfId="2" applyNumberFormat="1" applyFont="1" applyFill="1" applyAlignment="1">
      <alignment horizontal="center"/>
    </xf>
    <xf numFmtId="180" fontId="152" fillId="3" borderId="0" xfId="2" applyNumberFormat="1" applyFont="1" applyFill="1" applyAlignment="1">
      <alignment horizontal="center"/>
    </xf>
    <xf numFmtId="9" fontId="152" fillId="3" borderId="0" xfId="2" applyFont="1" applyFill="1" applyAlignment="1">
      <alignment horizontal="center"/>
    </xf>
    <xf numFmtId="0" fontId="153" fillId="0" borderId="87" xfId="0" applyFont="1" applyBorder="1" applyAlignment="1" applyProtection="1">
      <alignment horizontal="center" vertical="center"/>
      <protection locked="0"/>
    </xf>
    <xf numFmtId="0" fontId="153" fillId="12" borderId="88" xfId="0" applyFont="1" applyFill="1" applyBorder="1" applyAlignment="1">
      <alignment horizontal="center"/>
    </xf>
    <xf numFmtId="0" fontId="9" fillId="12" borderId="88" xfId="0" applyFont="1" applyFill="1" applyBorder="1" applyAlignment="1">
      <alignment horizontal="center"/>
    </xf>
    <xf numFmtId="0" fontId="151" fillId="0" borderId="0" xfId="0" applyFont="1" applyAlignment="1" applyProtection="1">
      <alignment vertical="center"/>
      <protection locked="0"/>
    </xf>
    <xf numFmtId="164" fontId="0" fillId="0" borderId="82" xfId="2" applyNumberFormat="1" applyFont="1" applyBorder="1"/>
    <xf numFmtId="0" fontId="0" fillId="0" borderId="0" xfId="0" quotePrefix="1"/>
    <xf numFmtId="0" fontId="108" fillId="14" borderId="1" xfId="0" applyFont="1" applyFill="1" applyBorder="1" applyAlignment="1" applyProtection="1">
      <alignment vertical="center"/>
      <protection locked="0"/>
    </xf>
    <xf numFmtId="0" fontId="108" fillId="12" borderId="17" xfId="0" applyFont="1" applyFill="1" applyBorder="1" applyAlignment="1" applyProtection="1">
      <alignment vertical="center"/>
      <protection locked="0"/>
    </xf>
    <xf numFmtId="0" fontId="108" fillId="17" borderId="19" xfId="0" applyFont="1" applyFill="1" applyBorder="1" applyAlignment="1" applyProtection="1">
      <alignment vertical="center"/>
      <protection locked="0"/>
    </xf>
    <xf numFmtId="0" fontId="149" fillId="0" borderId="11" xfId="0" applyFont="1" applyBorder="1" applyAlignment="1" applyProtection="1">
      <alignment horizontal="left" vertical="center" indent="1"/>
      <protection locked="0"/>
    </xf>
    <xf numFmtId="14" fontId="0" fillId="0" borderId="82" xfId="2" applyNumberFormat="1" applyFont="1" applyBorder="1" applyAlignment="1">
      <alignment horizontal="center"/>
    </xf>
    <xf numFmtId="0" fontId="152" fillId="0" borderId="0" xfId="0" applyFont="1" applyAlignment="1" applyProtection="1">
      <alignment horizontal="center" vertical="center"/>
      <protection locked="0"/>
    </xf>
    <xf numFmtId="173" fontId="114" fillId="0" borderId="0" xfId="0" applyNumberFormat="1" applyFont="1" applyProtection="1">
      <protection locked="0"/>
    </xf>
    <xf numFmtId="0" fontId="108" fillId="14" borderId="0" xfId="0" applyFont="1" applyFill="1" applyAlignment="1" applyProtection="1">
      <alignment horizontal="center" vertical="center"/>
      <protection locked="0"/>
    </xf>
    <xf numFmtId="0" fontId="108" fillId="14" borderId="0" xfId="0" applyFont="1" applyFill="1" applyAlignment="1" applyProtection="1">
      <alignment vertical="center"/>
      <protection locked="0"/>
    </xf>
    <xf numFmtId="0" fontId="154" fillId="14" borderId="0" xfId="0" applyFont="1" applyFill="1" applyAlignment="1" applyProtection="1">
      <alignment vertical="center" wrapText="1"/>
      <protection locked="0"/>
    </xf>
    <xf numFmtId="0" fontId="155" fillId="14" borderId="0" xfId="0" applyFont="1" applyFill="1" applyAlignment="1" applyProtection="1">
      <alignment vertical="center"/>
      <protection locked="0"/>
    </xf>
    <xf numFmtId="0" fontId="157" fillId="14" borderId="0" xfId="0" applyFont="1" applyFill="1" applyAlignment="1" applyProtection="1">
      <alignment vertical="center"/>
      <protection locked="0"/>
    </xf>
    <xf numFmtId="0" fontId="158" fillId="14" borderId="0" xfId="55" applyFont="1" applyFill="1" applyAlignment="1" applyProtection="1">
      <alignment vertical="center"/>
      <protection locked="0"/>
    </xf>
    <xf numFmtId="0" fontId="158" fillId="14" borderId="0" xfId="55" applyFont="1" applyFill="1" applyAlignment="1" applyProtection="1">
      <alignment horizontal="left" vertical="center"/>
      <protection locked="0"/>
    </xf>
    <xf numFmtId="0" fontId="159" fillId="14" borderId="0" xfId="0" applyFont="1" applyFill="1" applyAlignment="1" applyProtection="1">
      <alignment vertical="center"/>
      <protection locked="0"/>
    </xf>
    <xf numFmtId="0" fontId="42" fillId="14" borderId="0" xfId="0" applyFont="1" applyFill="1" applyAlignment="1" applyProtection="1">
      <alignment vertical="center"/>
      <protection locked="0"/>
    </xf>
    <xf numFmtId="0" fontId="42" fillId="14" borderId="0" xfId="0" applyFont="1" applyFill="1" applyAlignment="1" applyProtection="1">
      <alignment horizontal="center" vertical="center"/>
      <protection locked="0"/>
    </xf>
    <xf numFmtId="0" fontId="161"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60" fillId="14" borderId="0" xfId="0" applyFont="1" applyFill="1" applyAlignment="1" applyProtection="1">
      <alignment vertical="center" wrapText="1"/>
      <protection locked="0"/>
    </xf>
    <xf numFmtId="0" fontId="162" fillId="14" borderId="0" xfId="0" applyFont="1" applyFill="1" applyAlignment="1" applyProtection="1">
      <alignment horizontal="center" vertical="center"/>
      <protection locked="0"/>
    </xf>
    <xf numFmtId="0" fontId="163" fillId="14" borderId="0" xfId="0" applyFont="1" applyFill="1" applyAlignment="1" applyProtection="1">
      <alignment horizontal="left" vertical="center"/>
      <protection locked="0"/>
    </xf>
    <xf numFmtId="0" fontId="164" fillId="14" borderId="0" xfId="0" applyFont="1" applyFill="1" applyAlignment="1" applyProtection="1">
      <alignment vertical="center" wrapText="1"/>
      <protection locked="0"/>
    </xf>
    <xf numFmtId="0" fontId="165"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8" fillId="0" borderId="11" xfId="0" applyFont="1" applyBorder="1" applyAlignment="1" applyProtection="1">
      <alignment vertical="center"/>
      <protection locked="0"/>
    </xf>
    <xf numFmtId="0" fontId="108" fillId="0" borderId="12" xfId="0" applyFont="1" applyBorder="1" applyAlignment="1" applyProtection="1">
      <alignment vertical="center"/>
      <protection locked="0"/>
    </xf>
    <xf numFmtId="0" fontId="108" fillId="0" borderId="89" xfId="0" applyFont="1" applyBorder="1" applyAlignment="1" applyProtection="1">
      <alignment vertical="center"/>
      <protection locked="0"/>
    </xf>
    <xf numFmtId="2" fontId="58" fillId="0" borderId="90" xfId="0" applyNumberFormat="1" applyFont="1" applyBorder="1" applyAlignment="1">
      <alignment horizontal="center" vertical="center"/>
    </xf>
    <xf numFmtId="0" fontId="144" fillId="17" borderId="21" xfId="0" applyFont="1" applyFill="1" applyBorder="1" applyAlignment="1">
      <alignment horizontal="center" vertical="center" wrapText="1"/>
    </xf>
    <xf numFmtId="0" fontId="41" fillId="0" borderId="0" xfId="0" applyFont="1" applyAlignment="1">
      <alignment horizontal="right"/>
    </xf>
    <xf numFmtId="9" fontId="58" fillId="0" borderId="0" xfId="2" applyFont="1" applyBorder="1" applyAlignment="1">
      <alignment horizontal="center"/>
    </xf>
    <xf numFmtId="168" fontId="58" fillId="0" borderId="0" xfId="2" applyNumberFormat="1" applyFont="1" applyBorder="1" applyAlignment="1">
      <alignment horizontal="center"/>
    </xf>
    <xf numFmtId="10" fontId="139" fillId="0" borderId="0" xfId="2" applyNumberFormat="1" applyFont="1" applyBorder="1" applyAlignment="1">
      <alignment horizontal="center"/>
    </xf>
    <xf numFmtId="4" fontId="58" fillId="0" borderId="0" xfId="2" applyNumberFormat="1" applyFont="1" applyBorder="1" applyAlignment="1">
      <alignment horizontal="center"/>
    </xf>
    <xf numFmtId="167" fontId="58" fillId="0" borderId="0" xfId="2" applyNumberFormat="1" applyFont="1" applyBorder="1" applyAlignment="1">
      <alignment horizontal="left"/>
    </xf>
    <xf numFmtId="0" fontId="58" fillId="0" borderId="0" xfId="2" applyNumberFormat="1" applyFont="1" applyBorder="1" applyAlignment="1">
      <alignment horizontal="left"/>
    </xf>
    <xf numFmtId="10" fontId="139" fillId="0" borderId="0" xfId="2" applyNumberFormat="1" applyFont="1" applyBorder="1" applyAlignment="1">
      <alignment horizontal="left"/>
    </xf>
    <xf numFmtId="165" fontId="58" fillId="0" borderId="0" xfId="2" applyNumberFormat="1" applyFont="1" applyBorder="1" applyAlignment="1">
      <alignment horizontal="left"/>
    </xf>
    <xf numFmtId="2" fontId="58" fillId="0" borderId="0" xfId="2" applyNumberFormat="1" applyFont="1" applyBorder="1" applyAlignment="1">
      <alignment horizontal="center"/>
    </xf>
    <xf numFmtId="10" fontId="58" fillId="0" borderId="0" xfId="2" applyNumberFormat="1" applyFont="1" applyBorder="1" applyAlignment="1">
      <alignment horizontal="left"/>
    </xf>
    <xf numFmtId="0" fontId="152" fillId="3" borderId="0" xfId="0" applyFont="1" applyFill="1" applyAlignment="1" applyProtection="1">
      <alignment horizontal="left" vertical="center" indent="2"/>
      <protection locked="0"/>
    </xf>
    <xf numFmtId="0" fontId="141" fillId="0" borderId="0" xfId="0" applyFont="1" applyAlignment="1" applyProtection="1">
      <alignment vertical="center"/>
      <protection locked="0"/>
    </xf>
    <xf numFmtId="0" fontId="167" fillId="14" borderId="0" xfId="0" applyFont="1" applyFill="1" applyAlignment="1" applyProtection="1">
      <alignment horizontal="center" vertical="center"/>
      <protection locked="0"/>
    </xf>
    <xf numFmtId="0" fontId="8" fillId="0" borderId="12" xfId="0" applyFont="1" applyBorder="1" applyAlignment="1">
      <alignment horizontal="center"/>
    </xf>
    <xf numFmtId="0" fontId="141" fillId="0" borderId="79" xfId="0" applyFont="1" applyBorder="1" applyAlignment="1" applyProtection="1">
      <alignment vertical="top"/>
      <protection locked="0"/>
    </xf>
    <xf numFmtId="0" fontId="108" fillId="0" borderId="0" xfId="0" applyFont="1" applyAlignment="1" applyProtection="1">
      <alignment horizontal="center" vertical="top"/>
      <protection locked="0"/>
    </xf>
    <xf numFmtId="0" fontId="114" fillId="0" borderId="79" xfId="0" applyFont="1" applyBorder="1" applyAlignment="1" applyProtection="1">
      <alignment vertical="top"/>
      <protection locked="0"/>
    </xf>
    <xf numFmtId="0" fontId="108" fillId="0" borderId="79" xfId="0" applyFont="1" applyBorder="1" applyAlignment="1" applyProtection="1">
      <alignment horizontal="center" vertical="top"/>
      <protection locked="0"/>
    </xf>
    <xf numFmtId="0" fontId="114" fillId="0" borderId="79" xfId="0" applyFont="1" applyBorder="1" applyAlignment="1" applyProtection="1">
      <alignment horizontal="right" vertical="top"/>
      <protection locked="0"/>
    </xf>
    <xf numFmtId="0" fontId="108" fillId="0" borderId="0" xfId="0" applyFont="1" applyAlignment="1" applyProtection="1">
      <alignment vertical="top"/>
      <protection locked="0"/>
    </xf>
    <xf numFmtId="0" fontId="108" fillId="0" borderId="79" xfId="0" applyFont="1" applyBorder="1" applyAlignment="1" applyProtection="1">
      <alignment vertical="top"/>
      <protection locked="0"/>
    </xf>
    <xf numFmtId="0" fontId="10" fillId="0" borderId="0" xfId="0" applyFont="1" applyAlignment="1" applyProtection="1">
      <alignment horizontal="center" vertical="top"/>
      <protection locked="0"/>
    </xf>
    <xf numFmtId="0" fontId="168" fillId="6" borderId="0" xfId="0" applyFont="1" applyFill="1" applyAlignment="1" applyProtection="1">
      <alignment vertical="center"/>
      <protection locked="0"/>
    </xf>
    <xf numFmtId="0" fontId="168" fillId="6" borderId="0" xfId="0" applyFont="1" applyFill="1" applyAlignment="1" applyProtection="1">
      <alignment horizontal="center" vertical="center"/>
      <protection locked="0"/>
    </xf>
    <xf numFmtId="0" fontId="168" fillId="6" borderId="64" xfId="0" applyFont="1" applyFill="1" applyBorder="1" applyAlignment="1" applyProtection="1">
      <alignment horizontal="center" vertical="center"/>
      <protection locked="0"/>
    </xf>
    <xf numFmtId="173" fontId="168" fillId="6" borderId="0" xfId="0" applyNumberFormat="1" applyFont="1" applyFill="1" applyAlignment="1" applyProtection="1">
      <alignment vertical="center"/>
      <protection locked="0"/>
    </xf>
    <xf numFmtId="0" fontId="114" fillId="0" borderId="0" xfId="0" applyFont="1" applyAlignment="1" applyProtection="1">
      <alignment horizontal="right" indent="1"/>
      <protection locked="0"/>
    </xf>
    <xf numFmtId="0" fontId="74" fillId="3" borderId="57" xfId="0" applyFont="1" applyFill="1" applyBorder="1" applyAlignment="1" applyProtection="1">
      <alignment horizontal="center" vertical="center"/>
      <protection locked="0"/>
    </xf>
    <xf numFmtId="0" fontId="58" fillId="0" borderId="0" xfId="0" applyFont="1" applyAlignment="1">
      <alignment horizontal="center" vertical="center" wrapText="1"/>
    </xf>
    <xf numFmtId="174" fontId="98" fillId="0" borderId="0" xfId="0" applyNumberFormat="1" applyFont="1" applyAlignment="1" applyProtection="1">
      <alignment horizontal="center"/>
      <protection locked="0"/>
    </xf>
    <xf numFmtId="1" fontId="30" fillId="0" borderId="12" xfId="0" applyNumberFormat="1" applyFont="1" applyBorder="1" applyAlignment="1">
      <alignment horizontal="center"/>
    </xf>
    <xf numFmtId="168" fontId="58" fillId="16" borderId="55" xfId="0" applyNumberFormat="1" applyFont="1" applyFill="1" applyBorder="1" applyAlignment="1">
      <alignment horizontal="center"/>
    </xf>
    <xf numFmtId="168" fontId="58" fillId="0" borderId="55" xfId="0" applyNumberFormat="1" applyFont="1" applyBorder="1" applyAlignment="1">
      <alignment horizontal="center"/>
    </xf>
    <xf numFmtId="166" fontId="58" fillId="0" borderId="55" xfId="2" applyNumberFormat="1" applyFont="1" applyBorder="1" applyAlignment="1">
      <alignment horizontal="center"/>
    </xf>
    <xf numFmtId="10" fontId="58" fillId="0" borderId="55" xfId="2" applyNumberFormat="1" applyFont="1" applyBorder="1" applyAlignment="1">
      <alignment horizontal="center"/>
    </xf>
    <xf numFmtId="10" fontId="139" fillId="0" borderId="55" xfId="2" applyNumberFormat="1" applyFont="1" applyBorder="1" applyAlignment="1">
      <alignment horizontal="center"/>
    </xf>
    <xf numFmtId="4" fontId="58" fillId="0" borderId="55" xfId="2" applyNumberFormat="1" applyFont="1" applyBorder="1" applyAlignment="1">
      <alignment horizontal="center"/>
    </xf>
    <xf numFmtId="10" fontId="139" fillId="0" borderId="55" xfId="0" applyNumberFormat="1" applyFont="1" applyBorder="1" applyAlignment="1">
      <alignment horizontal="left"/>
    </xf>
    <xf numFmtId="165" fontId="58" fillId="0" borderId="55" xfId="0" applyNumberFormat="1" applyFont="1" applyBorder="1" applyAlignment="1">
      <alignment horizontal="left"/>
    </xf>
    <xf numFmtId="10" fontId="58" fillId="0" borderId="55" xfId="2" applyNumberFormat="1" applyFont="1" applyBorder="1" applyAlignment="1">
      <alignment horizontal="left"/>
    </xf>
    <xf numFmtId="166" fontId="58" fillId="0" borderId="0" xfId="2" applyNumberFormat="1" applyFont="1" applyFill="1" applyBorder="1" applyAlignment="1">
      <alignment horizontal="center"/>
    </xf>
    <xf numFmtId="10" fontId="12" fillId="0" borderId="0" xfId="2" applyNumberFormat="1" applyFont="1" applyFill="1" applyBorder="1" applyAlignment="1">
      <alignment horizontal="center"/>
    </xf>
    <xf numFmtId="168" fontId="58" fillId="0" borderId="0" xfId="0" applyNumberFormat="1" applyFont="1" applyAlignment="1">
      <alignment horizontal="center"/>
    </xf>
    <xf numFmtId="10" fontId="139" fillId="0" borderId="0" xfId="2" applyNumberFormat="1" applyFont="1" applyFill="1" applyBorder="1" applyAlignment="1">
      <alignment horizontal="center"/>
    </xf>
    <xf numFmtId="4" fontId="58" fillId="0" borderId="0" xfId="2" applyNumberFormat="1" applyFont="1" applyFill="1" applyBorder="1" applyAlignment="1">
      <alignment horizontal="center"/>
    </xf>
    <xf numFmtId="167" fontId="58" fillId="0" borderId="0" xfId="0" applyNumberFormat="1" applyFont="1" applyAlignment="1">
      <alignment horizontal="left"/>
    </xf>
    <xf numFmtId="10" fontId="139" fillId="0" borderId="0" xfId="0" applyNumberFormat="1" applyFont="1" applyAlignment="1">
      <alignment horizontal="left"/>
    </xf>
    <xf numFmtId="2" fontId="58" fillId="0" borderId="0" xfId="2" applyNumberFormat="1" applyFont="1" applyFill="1" applyBorder="1" applyAlignment="1">
      <alignment horizontal="center"/>
    </xf>
    <xf numFmtId="10" fontId="58" fillId="0" borderId="0" xfId="2" applyNumberFormat="1" applyFont="1" applyFill="1" applyBorder="1" applyAlignment="1">
      <alignment horizontal="left"/>
    </xf>
    <xf numFmtId="10" fontId="0" fillId="0" borderId="0" xfId="2" applyNumberFormat="1" applyFont="1" applyFill="1" applyBorder="1" applyAlignment="1">
      <alignment horizontal="center"/>
    </xf>
    <xf numFmtId="0" fontId="58" fillId="0" borderId="0" xfId="2" applyNumberFormat="1" applyFont="1" applyFill="1" applyBorder="1"/>
    <xf numFmtId="0" fontId="58" fillId="0" borderId="0" xfId="2" applyNumberFormat="1" applyFont="1" applyFill="1" applyBorder="1" applyAlignment="1">
      <alignment horizontal="center"/>
    </xf>
    <xf numFmtId="168" fontId="58" fillId="0" borderId="0" xfId="2" applyNumberFormat="1" applyFont="1" applyFill="1" applyBorder="1" applyAlignment="1">
      <alignment horizontal="center"/>
    </xf>
    <xf numFmtId="9" fontId="58" fillId="0" borderId="0" xfId="2" applyFont="1" applyFill="1" applyBorder="1" applyAlignment="1">
      <alignment horizontal="center"/>
    </xf>
    <xf numFmtId="167" fontId="58" fillId="0" borderId="0" xfId="2" applyNumberFormat="1" applyFont="1" applyFill="1" applyBorder="1" applyAlignment="1">
      <alignment horizontal="left"/>
    </xf>
    <xf numFmtId="0" fontId="58" fillId="0" borderId="0" xfId="2" applyNumberFormat="1" applyFont="1" applyFill="1" applyBorder="1" applyAlignment="1">
      <alignment horizontal="left"/>
    </xf>
    <xf numFmtId="10" fontId="139" fillId="0" borderId="0" xfId="2" applyNumberFormat="1" applyFont="1" applyFill="1" applyBorder="1" applyAlignment="1">
      <alignment horizontal="left"/>
    </xf>
    <xf numFmtId="165" fontId="58" fillId="0" borderId="0" xfId="2" applyNumberFormat="1" applyFont="1" applyFill="1" applyBorder="1" applyAlignment="1">
      <alignment horizontal="left"/>
    </xf>
    <xf numFmtId="181" fontId="58" fillId="0" borderId="55" xfId="0" applyNumberFormat="1" applyFont="1" applyBorder="1" applyAlignment="1">
      <alignment horizontal="center"/>
    </xf>
    <xf numFmtId="180" fontId="26" fillId="0" borderId="11" xfId="2" applyNumberFormat="1" applyFont="1" applyBorder="1" applyAlignment="1" applyProtection="1">
      <alignment horizontal="center"/>
    </xf>
    <xf numFmtId="182" fontId="26" fillId="0" borderId="11" xfId="2" applyNumberFormat="1" applyFont="1" applyBorder="1" applyAlignment="1" applyProtection="1">
      <alignment horizontal="center"/>
    </xf>
    <xf numFmtId="183" fontId="26" fillId="0" borderId="11" xfId="2" applyNumberFormat="1" applyFont="1" applyBorder="1" applyAlignment="1" applyProtection="1">
      <alignment horizontal="center"/>
    </xf>
    <xf numFmtId="172" fontId="169" fillId="0" borderId="15" xfId="0" applyNumberFormat="1" applyFont="1" applyBorder="1" applyAlignment="1">
      <alignment horizontal="center"/>
    </xf>
    <xf numFmtId="179" fontId="26" fillId="0" borderId="11" xfId="2" applyNumberFormat="1" applyFont="1" applyBorder="1" applyAlignment="1" applyProtection="1">
      <alignment horizontal="center"/>
    </xf>
    <xf numFmtId="0" fontId="70" fillId="0" borderId="0" xfId="0" applyFont="1" applyAlignment="1">
      <alignment horizontal="center" vertical="center" wrapText="1"/>
    </xf>
    <xf numFmtId="184" fontId="0" fillId="0" borderId="0" xfId="2" applyNumberFormat="1" applyFont="1"/>
    <xf numFmtId="0" fontId="9" fillId="0" borderId="0" xfId="0" applyFont="1" applyAlignment="1">
      <alignment horizontal="center" vertical="center" wrapText="1"/>
    </xf>
    <xf numFmtId="0" fontId="148" fillId="17" borderId="21" xfId="0" applyFont="1" applyFill="1" applyBorder="1" applyAlignment="1">
      <alignment horizontal="center" vertical="center" wrapText="1"/>
    </xf>
    <xf numFmtId="2" fontId="58" fillId="0" borderId="83" xfId="0" applyNumberFormat="1" applyFont="1" applyBorder="1" applyAlignment="1">
      <alignment horizontal="center" vertical="center"/>
    </xf>
    <xf numFmtId="172" fontId="41" fillId="0" borderId="0" xfId="0" applyNumberFormat="1" applyFont="1" applyAlignment="1">
      <alignment horizontal="center"/>
    </xf>
    <xf numFmtId="164" fontId="41" fillId="0" borderId="0" xfId="2" applyNumberFormat="1" applyFont="1" applyAlignment="1">
      <alignment horizontal="center"/>
    </xf>
    <xf numFmtId="0" fontId="122" fillId="0" borderId="0" xfId="0" applyFont="1" applyProtection="1">
      <protection locked="0"/>
    </xf>
    <xf numFmtId="185" fontId="0" fillId="0" borderId="0" xfId="0" applyNumberFormat="1"/>
    <xf numFmtId="0" fontId="175" fillId="0" borderId="0" xfId="0" applyFont="1" applyAlignment="1">
      <alignment vertical="center"/>
    </xf>
    <xf numFmtId="164" fontId="0" fillId="3" borderId="16" xfId="2" applyNumberFormat="1" applyFont="1" applyFill="1" applyBorder="1" applyAlignment="1" applyProtection="1">
      <alignment horizontal="center" vertical="center"/>
    </xf>
    <xf numFmtId="164" fontId="0" fillId="3" borderId="18" xfId="2" applyNumberFormat="1" applyFont="1" applyFill="1" applyBorder="1" applyAlignment="1" applyProtection="1">
      <alignment horizontal="center" vertical="center"/>
    </xf>
    <xf numFmtId="164" fontId="0" fillId="3" borderId="20" xfId="2" applyNumberFormat="1" applyFont="1" applyFill="1" applyBorder="1" applyAlignment="1" applyProtection="1">
      <alignment horizontal="center" vertical="center"/>
    </xf>
    <xf numFmtId="185" fontId="176" fillId="0" borderId="0" xfId="0" applyNumberFormat="1" applyFont="1"/>
    <xf numFmtId="1" fontId="60" fillId="0" borderId="0" xfId="1" applyNumberFormat="1" applyFont="1" applyBorder="1" applyAlignment="1" applyProtection="1">
      <alignment horizontal="center" vertical="center"/>
    </xf>
    <xf numFmtId="164" fontId="31" fillId="3" borderId="0" xfId="2" applyNumberFormat="1" applyFont="1" applyFill="1" applyBorder="1" applyAlignment="1" applyProtection="1">
      <alignment horizontal="center" vertical="center"/>
    </xf>
    <xf numFmtId="10" fontId="31" fillId="0" borderId="0" xfId="2" applyNumberFormat="1" applyFont="1" applyBorder="1" applyAlignment="1">
      <alignment vertical="center"/>
    </xf>
    <xf numFmtId="186" fontId="48" fillId="0" borderId="15" xfId="1" applyNumberFormat="1" applyFont="1" applyFill="1" applyBorder="1" applyAlignment="1" applyProtection="1">
      <alignment horizontal="center" vertical="center" wrapText="1"/>
    </xf>
    <xf numFmtId="164" fontId="32" fillId="2" borderId="15" xfId="2" applyNumberFormat="1" applyFont="1" applyFill="1" applyBorder="1" applyAlignment="1" applyProtection="1">
      <alignment horizontal="center" vertical="center" wrapText="1"/>
    </xf>
    <xf numFmtId="164" fontId="32" fillId="2" borderId="94" xfId="2" applyNumberFormat="1" applyFont="1" applyFill="1" applyBorder="1" applyAlignment="1" applyProtection="1">
      <alignment horizontal="center" vertical="center" wrapText="1"/>
    </xf>
    <xf numFmtId="186" fontId="48" fillId="0" borderId="93" xfId="1" applyNumberFormat="1" applyFont="1" applyFill="1" applyBorder="1" applyAlignment="1" applyProtection="1">
      <alignment horizontal="center" vertical="center" wrapText="1"/>
    </xf>
    <xf numFmtId="179" fontId="168" fillId="6" borderId="0" xfId="0" applyNumberFormat="1" applyFont="1" applyFill="1" applyAlignment="1" applyProtection="1">
      <alignment horizontal="center" vertical="center"/>
      <protection locked="0"/>
    </xf>
    <xf numFmtId="179" fontId="107" fillId="18" borderId="0" xfId="0" applyNumberFormat="1" applyFont="1" applyFill="1" applyAlignment="1" applyProtection="1">
      <alignment horizontal="center" vertical="center"/>
      <protection locked="0"/>
    </xf>
    <xf numFmtId="179" fontId="108" fillId="0" borderId="67" xfId="0" applyNumberFormat="1" applyFont="1" applyBorder="1" applyAlignment="1" applyProtection="1">
      <alignment horizontal="center" vertical="center"/>
      <protection locked="0"/>
    </xf>
    <xf numFmtId="180" fontId="108" fillId="0" borderId="67" xfId="0" applyNumberFormat="1" applyFont="1" applyBorder="1" applyAlignment="1" applyProtection="1">
      <alignment horizontal="center" vertical="center"/>
      <protection locked="0"/>
    </xf>
    <xf numFmtId="182" fontId="108" fillId="0" borderId="67" xfId="0" applyNumberFormat="1" applyFont="1" applyBorder="1" applyAlignment="1" applyProtection="1">
      <alignment horizontal="center" vertical="center"/>
      <protection locked="0"/>
    </xf>
    <xf numFmtId="179" fontId="108" fillId="0" borderId="65" xfId="0" applyNumberFormat="1" applyFont="1" applyBorder="1" applyAlignment="1" applyProtection="1">
      <alignment horizontal="center" vertical="center"/>
      <protection locked="0"/>
    </xf>
    <xf numFmtId="180" fontId="108" fillId="0" borderId="65" xfId="0" applyNumberFormat="1" applyFont="1" applyBorder="1" applyAlignment="1" applyProtection="1">
      <alignment horizontal="center" vertical="center"/>
      <protection locked="0"/>
    </xf>
    <xf numFmtId="182" fontId="108" fillId="0" borderId="65" xfId="0" applyNumberFormat="1" applyFont="1" applyBorder="1" applyAlignment="1" applyProtection="1">
      <alignment horizontal="center" vertical="center"/>
      <protection locked="0"/>
    </xf>
    <xf numFmtId="179" fontId="108" fillId="0" borderId="66" xfId="0" applyNumberFormat="1" applyFont="1" applyBorder="1" applyAlignment="1" applyProtection="1">
      <alignment horizontal="center" vertical="center"/>
      <protection locked="0"/>
    </xf>
    <xf numFmtId="180" fontId="108" fillId="0" borderId="66" xfId="0" applyNumberFormat="1" applyFont="1" applyBorder="1" applyAlignment="1" applyProtection="1">
      <alignment horizontal="center" vertical="center"/>
      <protection locked="0"/>
    </xf>
    <xf numFmtId="182" fontId="108" fillId="0" borderId="66" xfId="0" applyNumberFormat="1" applyFont="1" applyBorder="1" applyAlignment="1" applyProtection="1">
      <alignment horizontal="center" vertical="center"/>
      <protection locked="0"/>
    </xf>
    <xf numFmtId="179" fontId="107" fillId="19" borderId="0" xfId="0" applyNumberFormat="1" applyFont="1" applyFill="1" applyAlignment="1" applyProtection="1">
      <alignment horizontal="center" vertical="center"/>
      <protection locked="0"/>
    </xf>
    <xf numFmtId="179" fontId="117" fillId="2" borderId="0" xfId="0" applyNumberFormat="1" applyFont="1" applyFill="1" applyAlignment="1" applyProtection="1">
      <alignment horizontal="center" vertical="center"/>
      <protection locked="0"/>
    </xf>
    <xf numFmtId="0" fontId="41" fillId="0" borderId="0" xfId="0" applyFont="1" applyAlignment="1">
      <alignment horizontal="center"/>
    </xf>
    <xf numFmtId="0" fontId="41" fillId="0" borderId="0" xfId="0" applyFont="1" applyAlignment="1">
      <alignment vertical="top" wrapText="1"/>
    </xf>
    <xf numFmtId="0" fontId="41" fillId="0" borderId="0" xfId="0" applyFont="1" applyAlignment="1">
      <alignment horizontal="left"/>
    </xf>
    <xf numFmtId="0" fontId="7" fillId="0" borderId="12" xfId="0" applyFont="1" applyBorder="1" applyAlignment="1" applyProtection="1">
      <alignment horizontal="left" indent="2"/>
      <protection locked="0"/>
    </xf>
    <xf numFmtId="0" fontId="7" fillId="0" borderId="12" xfId="0" applyFont="1" applyBorder="1" applyAlignment="1">
      <alignment horizontal="center"/>
    </xf>
    <xf numFmtId="10" fontId="7" fillId="0" borderId="12" xfId="2" applyNumberFormat="1" applyFont="1" applyBorder="1" applyAlignment="1">
      <alignment horizontal="center"/>
    </xf>
    <xf numFmtId="0" fontId="180" fillId="0" borderId="0" xfId="0" applyFont="1"/>
    <xf numFmtId="0" fontId="6" fillId="0" borderId="0" xfId="0" applyFont="1" applyAlignment="1">
      <alignment horizontal="center"/>
    </xf>
    <xf numFmtId="9" fontId="6" fillId="0" borderId="0" xfId="2" applyFont="1" applyAlignment="1">
      <alignment horizontal="center"/>
    </xf>
    <xf numFmtId="10" fontId="6" fillId="0" borderId="0" xfId="2" applyNumberFormat="1" applyFont="1" applyAlignment="1">
      <alignment horizontal="center"/>
    </xf>
    <xf numFmtId="164" fontId="86" fillId="2" borderId="0" xfId="2" applyNumberFormat="1" applyFont="1" applyFill="1" applyBorder="1" applyAlignment="1" applyProtection="1">
      <alignment horizontal="center" vertical="center"/>
    </xf>
    <xf numFmtId="0" fontId="48" fillId="6" borderId="47" xfId="0" applyFont="1" applyFill="1" applyBorder="1" applyAlignment="1">
      <alignment horizontal="center" vertical="center" wrapText="1"/>
    </xf>
    <xf numFmtId="172" fontId="184" fillId="0" borderId="15" xfId="0" applyNumberFormat="1" applyFont="1" applyBorder="1" applyAlignment="1">
      <alignment horizontal="center"/>
    </xf>
    <xf numFmtId="0" fontId="79" fillId="0" borderId="0" xfId="0" applyFont="1" applyAlignment="1">
      <alignment horizontal="left"/>
    </xf>
    <xf numFmtId="0" fontId="81" fillId="0" borderId="14" xfId="0" applyFont="1" applyBorder="1" applyAlignment="1">
      <alignment horizontal="left" vertical="center"/>
    </xf>
    <xf numFmtId="0" fontId="0" fillId="0" borderId="95" xfId="0" applyBorder="1" applyAlignment="1">
      <alignment horizontal="center" vertical="center" wrapText="1"/>
    </xf>
    <xf numFmtId="0" fontId="0" fillId="0" borderId="96" xfId="0" applyBorder="1" applyAlignment="1">
      <alignment horizontal="center" vertical="center" wrapText="1"/>
    </xf>
    <xf numFmtId="0" fontId="41" fillId="0" borderId="95" xfId="0" applyFont="1" applyBorder="1" applyAlignment="1">
      <alignment vertical="center"/>
    </xf>
    <xf numFmtId="0" fontId="83" fillId="52" borderId="0" xfId="0" applyFont="1" applyFill="1" applyAlignment="1">
      <alignment horizontal="center" vertical="center"/>
    </xf>
    <xf numFmtId="0" fontId="80" fillId="52" borderId="0" xfId="0" applyFont="1" applyFill="1" applyAlignment="1">
      <alignment horizontal="center" vertical="center"/>
    </xf>
    <xf numFmtId="0" fontId="41" fillId="0" borderId="96" xfId="0" applyFont="1" applyBorder="1" applyAlignment="1">
      <alignment vertical="center"/>
    </xf>
    <xf numFmtId="0" fontId="83" fillId="53" borderId="0" xfId="0" applyFont="1" applyFill="1" applyAlignment="1">
      <alignment horizontal="center" vertical="center"/>
    </xf>
    <xf numFmtId="0" fontId="80" fillId="53" borderId="0" xfId="0" applyFont="1" applyFill="1" applyAlignment="1">
      <alignment horizontal="center" vertical="center"/>
    </xf>
    <xf numFmtId="0" fontId="52" fillId="0" borderId="95" xfId="0" applyFont="1" applyBorder="1" applyAlignment="1">
      <alignment horizontal="center" vertical="center" wrapText="1"/>
    </xf>
    <xf numFmtId="0" fontId="52" fillId="0" borderId="96" xfId="0" applyFont="1" applyBorder="1" applyAlignment="1">
      <alignment horizontal="center" vertical="center" wrapText="1"/>
    </xf>
    <xf numFmtId="185" fontId="43" fillId="5" borderId="14" xfId="2" applyNumberFormat="1" applyFont="1" applyFill="1" applyBorder="1" applyAlignment="1" applyProtection="1">
      <alignment horizontal="center" vertical="center"/>
    </xf>
    <xf numFmtId="10" fontId="43" fillId="5" borderId="0" xfId="2" applyNumberFormat="1" applyFont="1" applyFill="1" applyBorder="1" applyAlignment="1" applyProtection="1">
      <alignment horizontal="center" vertical="center"/>
    </xf>
    <xf numFmtId="0" fontId="5" fillId="0" borderId="0" xfId="0" applyFont="1"/>
    <xf numFmtId="172" fontId="5" fillId="0" borderId="11" xfId="2" applyNumberFormat="1" applyFont="1" applyBorder="1" applyAlignment="1" applyProtection="1">
      <alignment horizontal="center"/>
    </xf>
    <xf numFmtId="185" fontId="5" fillId="0" borderId="11" xfId="2" applyNumberFormat="1" applyFont="1" applyBorder="1" applyAlignment="1" applyProtection="1">
      <alignment horizontal="center"/>
    </xf>
    <xf numFmtId="0" fontId="5" fillId="0" borderId="15" xfId="0" applyFont="1" applyBorder="1" applyAlignment="1">
      <alignment vertical="center"/>
    </xf>
    <xf numFmtId="0" fontId="5" fillId="0" borderId="48" xfId="0" applyFont="1" applyBorder="1" applyAlignment="1">
      <alignment vertical="center"/>
    </xf>
    <xf numFmtId="0" fontId="5" fillId="0" borderId="14" xfId="0" applyFont="1" applyBorder="1" applyAlignment="1">
      <alignment vertical="center"/>
    </xf>
    <xf numFmtId="0" fontId="5" fillId="0" borderId="0" xfId="0" applyFont="1" applyAlignment="1">
      <alignment vertical="center"/>
    </xf>
    <xf numFmtId="173" fontId="5" fillId="0" borderId="14" xfId="0" applyNumberFormat="1" applyFont="1" applyBorder="1" applyAlignment="1">
      <alignment vertical="center"/>
    </xf>
    <xf numFmtId="167" fontId="5" fillId="0" borderId="48" xfId="0" applyNumberFormat="1" applyFont="1" applyBorder="1" applyAlignment="1">
      <alignment vertical="center"/>
    </xf>
    <xf numFmtId="164" fontId="74" fillId="3" borderId="0" xfId="2" applyNumberFormat="1" applyFont="1" applyFill="1" applyBorder="1" applyAlignment="1" applyProtection="1">
      <alignment horizontal="center" vertical="center"/>
      <protection locked="0"/>
    </xf>
    <xf numFmtId="42" fontId="114" fillId="0" borderId="0" xfId="0" applyNumberFormat="1" applyFont="1" applyProtection="1">
      <protection locked="0"/>
    </xf>
    <xf numFmtId="164" fontId="185" fillId="2" borderId="48" xfId="2" applyNumberFormat="1" applyFont="1" applyFill="1" applyBorder="1" applyAlignment="1" applyProtection="1">
      <alignment horizontal="center" vertical="center" wrapText="1"/>
    </xf>
    <xf numFmtId="164" fontId="59" fillId="2" borderId="15" xfId="2" applyNumberFormat="1" applyFont="1" applyFill="1" applyBorder="1" applyAlignment="1" applyProtection="1">
      <alignment horizontal="center" vertical="center" wrapText="1"/>
    </xf>
    <xf numFmtId="0" fontId="108" fillId="0" borderId="14" xfId="0" applyFont="1" applyBorder="1" applyAlignment="1" applyProtection="1">
      <alignment vertical="center"/>
      <protection locked="0"/>
    </xf>
    <xf numFmtId="0" fontId="108" fillId="0" borderId="15" xfId="0" applyFont="1" applyBorder="1" applyAlignment="1" applyProtection="1">
      <alignment horizontal="center" vertical="center"/>
      <protection locked="0"/>
    </xf>
    <xf numFmtId="0" fontId="108" fillId="0" borderId="48" xfId="0" applyFont="1" applyBorder="1" applyAlignment="1" applyProtection="1">
      <alignment vertical="center"/>
      <protection locked="0"/>
    </xf>
    <xf numFmtId="164" fontId="59" fillId="2" borderId="48" xfId="2" applyNumberFormat="1" applyFont="1" applyFill="1" applyBorder="1" applyAlignment="1" applyProtection="1">
      <alignment horizontal="center" vertical="center" wrapText="1"/>
    </xf>
    <xf numFmtId="0" fontId="168" fillId="6" borderId="64" xfId="0" applyFont="1" applyFill="1" applyBorder="1" applyAlignment="1" applyProtection="1">
      <alignment vertical="center"/>
      <protection locked="0"/>
    </xf>
    <xf numFmtId="173" fontId="168" fillId="6" borderId="97" xfId="0" applyNumberFormat="1" applyFont="1" applyFill="1" applyBorder="1" applyAlignment="1" applyProtection="1">
      <alignment vertical="center"/>
      <protection locked="0"/>
    </xf>
    <xf numFmtId="0" fontId="107" fillId="18" borderId="64" xfId="0" applyFont="1" applyFill="1" applyBorder="1" applyAlignment="1" applyProtection="1">
      <alignment vertical="center"/>
      <protection locked="0"/>
    </xf>
    <xf numFmtId="173" fontId="107" fillId="18" borderId="97" xfId="0" applyNumberFormat="1" applyFont="1" applyFill="1" applyBorder="1" applyAlignment="1" applyProtection="1">
      <alignment vertical="center"/>
      <protection locked="0"/>
    </xf>
    <xf numFmtId="0" fontId="117" fillId="2" borderId="64" xfId="0" applyFont="1" applyFill="1" applyBorder="1" applyAlignment="1" applyProtection="1">
      <alignment vertical="center"/>
      <protection locked="0"/>
    </xf>
    <xf numFmtId="173" fontId="117" fillId="2" borderId="97" xfId="0" applyNumberFormat="1" applyFont="1" applyFill="1" applyBorder="1" applyAlignment="1" applyProtection="1">
      <alignment vertical="center"/>
      <protection locked="0"/>
    </xf>
    <xf numFmtId="178" fontId="43" fillId="5" borderId="14" xfId="2" applyNumberFormat="1" applyFont="1" applyFill="1" applyBorder="1" applyAlignment="1" applyProtection="1">
      <alignment horizontal="center" vertical="center"/>
    </xf>
    <xf numFmtId="0" fontId="86" fillId="0" borderId="98" xfId="0" applyFont="1" applyBorder="1"/>
    <xf numFmtId="0" fontId="74" fillId="3" borderId="99" xfId="0" applyFont="1" applyFill="1" applyBorder="1" applyAlignment="1" applyProtection="1">
      <alignment horizontal="center" vertical="center"/>
      <protection locked="0"/>
    </xf>
    <xf numFmtId="0" fontId="86" fillId="0" borderId="0" xfId="0" applyFont="1" applyAlignment="1">
      <alignment vertical="top"/>
    </xf>
    <xf numFmtId="0" fontId="74" fillId="0" borderId="77" xfId="0" applyFont="1" applyBorder="1" applyAlignment="1" applyProtection="1">
      <alignment vertical="center"/>
      <protection locked="0"/>
    </xf>
    <xf numFmtId="0" fontId="86" fillId="0" borderId="0" xfId="0" applyFont="1" applyAlignment="1">
      <alignment horizontal="center"/>
    </xf>
    <xf numFmtId="0" fontId="86" fillId="0" borderId="0" xfId="0" applyFont="1" applyAlignment="1">
      <alignment horizontal="center" vertical="center"/>
    </xf>
    <xf numFmtId="179" fontId="168" fillId="6" borderId="64" xfId="0" applyNumberFormat="1" applyFont="1" applyFill="1" applyBorder="1" applyAlignment="1" applyProtection="1">
      <alignment horizontal="center" vertical="center"/>
      <protection locked="0"/>
    </xf>
    <xf numFmtId="179" fontId="107" fillId="18" borderId="64" xfId="0" applyNumberFormat="1" applyFont="1" applyFill="1" applyBorder="1" applyAlignment="1" applyProtection="1">
      <alignment horizontal="center" vertical="center"/>
      <protection locked="0"/>
    </xf>
    <xf numFmtId="179" fontId="117" fillId="2" borderId="64" xfId="0" applyNumberFormat="1" applyFont="1" applyFill="1" applyBorder="1" applyAlignment="1" applyProtection="1">
      <alignment horizontal="center" vertical="center"/>
      <protection locked="0"/>
    </xf>
    <xf numFmtId="0" fontId="89" fillId="0" borderId="0" xfId="0" applyFont="1"/>
    <xf numFmtId="0" fontId="33" fillId="0" borderId="0" xfId="0" applyFont="1" applyAlignment="1">
      <alignment horizontal="center"/>
    </xf>
    <xf numFmtId="164" fontId="34" fillId="0" borderId="0" xfId="0" applyNumberFormat="1" applyFont="1"/>
    <xf numFmtId="0" fontId="35" fillId="0" borderId="0" xfId="0" applyFont="1"/>
    <xf numFmtId="164" fontId="178" fillId="0" borderId="0" xfId="0" applyNumberFormat="1" applyFont="1" applyAlignment="1">
      <alignment horizontal="center"/>
    </xf>
    <xf numFmtId="9" fontId="172" fillId="0" borderId="0" xfId="2" applyFont="1" applyAlignment="1" applyProtection="1">
      <alignment horizontal="center"/>
    </xf>
    <xf numFmtId="10" fontId="172" fillId="0" borderId="0" xfId="2" applyNumberFormat="1" applyFont="1" applyAlignment="1" applyProtection="1">
      <alignment horizontal="center"/>
    </xf>
    <xf numFmtId="0" fontId="90" fillId="0" borderId="0" xfId="0" applyFont="1"/>
    <xf numFmtId="0" fontId="119" fillId="0" borderId="0" xfId="0" applyFont="1" applyAlignment="1">
      <alignment horizontal="center"/>
    </xf>
    <xf numFmtId="164" fontId="39" fillId="0" borderId="0" xfId="0" applyNumberFormat="1" applyFont="1"/>
    <xf numFmtId="0" fontId="47" fillId="0" borderId="0" xfId="0" applyFont="1"/>
    <xf numFmtId="164" fontId="179" fillId="0" borderId="0" xfId="0" applyNumberFormat="1" applyFont="1" applyAlignment="1">
      <alignment horizontal="center"/>
    </xf>
    <xf numFmtId="9" fontId="173" fillId="0" borderId="0" xfId="2" applyFont="1" applyAlignment="1" applyProtection="1">
      <alignment horizontal="center"/>
    </xf>
    <xf numFmtId="10" fontId="173" fillId="0" borderId="0" xfId="2" applyNumberFormat="1" applyFont="1" applyAlignment="1" applyProtection="1">
      <alignment horizontal="center"/>
    </xf>
    <xf numFmtId="0" fontId="40" fillId="0" borderId="0" xfId="0" applyFont="1" applyAlignment="1">
      <alignment horizontal="center"/>
    </xf>
    <xf numFmtId="164" fontId="46" fillId="0" borderId="0" xfId="0" applyNumberFormat="1" applyFont="1" applyAlignment="1">
      <alignment horizontal="center"/>
    </xf>
    <xf numFmtId="9" fontId="174" fillId="0" borderId="0" xfId="2" applyFont="1" applyAlignment="1" applyProtection="1">
      <alignment horizontal="center"/>
    </xf>
    <xf numFmtId="10" fontId="174" fillId="0" borderId="0" xfId="2" applyNumberFormat="1" applyFont="1" applyAlignment="1" applyProtection="1">
      <alignment horizontal="center"/>
    </xf>
    <xf numFmtId="0" fontId="83" fillId="6" borderId="0" xfId="0" applyFont="1" applyFill="1" applyAlignment="1">
      <alignment vertical="center"/>
    </xf>
    <xf numFmtId="0" fontId="66" fillId="6" borderId="0" xfId="0" applyFont="1" applyFill="1" applyAlignment="1">
      <alignment horizontal="center" vertical="center"/>
    </xf>
    <xf numFmtId="0" fontId="82" fillId="6" borderId="15" xfId="0" applyFont="1" applyFill="1" applyBorder="1" applyAlignment="1">
      <alignment horizontal="center" vertical="center"/>
    </xf>
    <xf numFmtId="0" fontId="41" fillId="0" borderId="0" xfId="0" applyFont="1" applyAlignment="1">
      <alignment horizontal="center" vertical="center"/>
    </xf>
    <xf numFmtId="164" fontId="83" fillId="0" borderId="14" xfId="0" applyNumberFormat="1" applyFont="1" applyBorder="1" applyAlignment="1">
      <alignment horizontal="center" vertical="center"/>
    </xf>
    <xf numFmtId="0" fontId="80" fillId="0" borderId="15" xfId="0" applyFont="1" applyBorder="1" applyAlignment="1">
      <alignment horizontal="center" vertical="center"/>
    </xf>
    <xf numFmtId="164" fontId="83" fillId="0" borderId="0" xfId="0" applyNumberFormat="1" applyFont="1" applyAlignment="1">
      <alignment horizontal="center" vertical="center"/>
    </xf>
    <xf numFmtId="0" fontId="52" fillId="0" borderId="15" xfId="0" applyFont="1" applyBorder="1" applyAlignment="1">
      <alignment horizontal="center" vertical="center"/>
    </xf>
    <xf numFmtId="164" fontId="113" fillId="0" borderId="0" xfId="0" applyNumberFormat="1" applyFont="1" applyAlignment="1">
      <alignment horizontal="center" vertical="center"/>
    </xf>
    <xf numFmtId="9" fontId="67" fillId="0" borderId="0" xfId="2" applyFont="1" applyAlignment="1" applyProtection="1">
      <alignment horizontal="center" vertical="center"/>
    </xf>
    <xf numFmtId="10" fontId="67" fillId="0" borderId="0" xfId="2" applyNumberFormat="1" applyFont="1" applyAlignment="1" applyProtection="1">
      <alignment horizontal="center" vertical="center"/>
    </xf>
    <xf numFmtId="0" fontId="94" fillId="0" borderId="0" xfId="0" applyFont="1" applyAlignment="1">
      <alignment horizontal="center" vertical="center"/>
    </xf>
    <xf numFmtId="164" fontId="82" fillId="2" borderId="0" xfId="2" applyNumberFormat="1" applyFont="1" applyFill="1" applyBorder="1" applyAlignment="1" applyProtection="1">
      <alignment horizontal="center" vertical="center"/>
    </xf>
    <xf numFmtId="164" fontId="82" fillId="2" borderId="14" xfId="2" applyNumberFormat="1" applyFont="1" applyFill="1" applyBorder="1" applyAlignment="1" applyProtection="1">
      <alignment horizontal="center" vertical="center"/>
    </xf>
    <xf numFmtId="164" fontId="82" fillId="2" borderId="15" xfId="2" applyNumberFormat="1" applyFont="1" applyFill="1" applyBorder="1" applyAlignment="1" applyProtection="1">
      <alignment horizontal="center" vertical="center" wrapText="1"/>
    </xf>
    <xf numFmtId="164" fontId="82" fillId="2" borderId="0" xfId="2" applyNumberFormat="1" applyFont="1" applyFill="1" applyBorder="1" applyAlignment="1" applyProtection="1">
      <alignment horizontal="center" vertical="center" wrapText="1"/>
    </xf>
    <xf numFmtId="1" fontId="52" fillId="0" borderId="0" xfId="1" applyNumberFormat="1" applyFont="1" applyFill="1" applyAlignment="1" applyProtection="1">
      <alignment horizontal="center" vertical="center"/>
    </xf>
    <xf numFmtId="9" fontId="82" fillId="2" borderId="0" xfId="2" applyFont="1" applyFill="1" applyBorder="1" applyAlignment="1" applyProtection="1">
      <alignment horizontal="center" vertical="center"/>
    </xf>
    <xf numFmtId="10" fontId="82" fillId="2" borderId="0" xfId="2" applyNumberFormat="1" applyFont="1" applyFill="1" applyBorder="1" applyAlignment="1" applyProtection="1">
      <alignment horizontal="center" vertical="center"/>
    </xf>
    <xf numFmtId="0" fontId="52" fillId="0" borderId="0" xfId="0" applyFont="1" applyAlignment="1">
      <alignment horizontal="center" vertical="center"/>
    </xf>
    <xf numFmtId="164" fontId="41" fillId="0" borderId="14" xfId="0" applyNumberFormat="1" applyFont="1" applyBorder="1" applyAlignment="1">
      <alignment vertical="center"/>
    </xf>
    <xf numFmtId="164" fontId="41" fillId="0" borderId="0" xfId="0" applyNumberFormat="1" applyFont="1" applyAlignment="1">
      <alignment vertical="center"/>
    </xf>
    <xf numFmtId="0" fontId="52" fillId="0" borderId="15" xfId="0" applyFont="1" applyBorder="1" applyAlignment="1">
      <alignment vertical="center"/>
    </xf>
    <xf numFmtId="164" fontId="67" fillId="0" borderId="0" xfId="0" applyNumberFormat="1" applyFont="1" applyAlignment="1">
      <alignment horizontal="center" vertical="center"/>
    </xf>
    <xf numFmtId="0" fontId="104" fillId="0" borderId="0" xfId="0" applyFont="1" applyAlignment="1">
      <alignment vertical="center"/>
    </xf>
    <xf numFmtId="0" fontId="52" fillId="2" borderId="0" xfId="0" applyFont="1" applyFill="1" applyAlignment="1">
      <alignment vertical="center"/>
    </xf>
    <xf numFmtId="0" fontId="41" fillId="2" borderId="0" xfId="0" applyFont="1" applyFill="1" applyAlignment="1">
      <alignment horizontal="center" vertical="center"/>
    </xf>
    <xf numFmtId="1" fontId="66" fillId="0" borderId="0" xfId="1" applyNumberFormat="1" applyFont="1" applyAlignment="1" applyProtection="1">
      <alignment vertical="center"/>
    </xf>
    <xf numFmtId="164" fontId="113" fillId="2" borderId="14" xfId="2" applyNumberFormat="1" applyFont="1" applyFill="1" applyBorder="1" applyAlignment="1" applyProtection="1">
      <alignment horizontal="center" vertical="center"/>
    </xf>
    <xf numFmtId="9" fontId="67" fillId="2" borderId="0" xfId="2" applyFont="1" applyFill="1" applyAlignment="1" applyProtection="1">
      <alignment horizontal="center" vertical="center"/>
    </xf>
    <xf numFmtId="10" fontId="67" fillId="2" borderId="0" xfId="2" applyNumberFormat="1" applyFont="1" applyFill="1" applyAlignment="1" applyProtection="1">
      <alignment horizontal="center" vertical="center"/>
    </xf>
    <xf numFmtId="164" fontId="87" fillId="0" borderId="14" xfId="0" applyNumberFormat="1" applyFont="1" applyBorder="1" applyAlignment="1">
      <alignment horizontal="center" vertical="center"/>
    </xf>
    <xf numFmtId="0" fontId="87" fillId="0" borderId="0" xfId="0" applyFont="1" applyAlignment="1">
      <alignment horizontal="center" vertical="center"/>
    </xf>
    <xf numFmtId="1" fontId="43" fillId="0" borderId="0" xfId="1" applyNumberFormat="1" applyFont="1" applyAlignment="1" applyProtection="1">
      <alignment vertical="center"/>
    </xf>
    <xf numFmtId="164" fontId="74" fillId="0" borderId="14" xfId="0" applyNumberFormat="1" applyFont="1" applyBorder="1" applyAlignment="1">
      <alignment horizontal="center" vertical="center"/>
    </xf>
    <xf numFmtId="9" fontId="74" fillId="0" borderId="0" xfId="2" applyFont="1" applyAlignment="1" applyProtection="1">
      <alignment horizontal="center" vertical="center"/>
    </xf>
    <xf numFmtId="10" fontId="74" fillId="0" borderId="0" xfId="2" applyNumberFormat="1" applyFont="1" applyAlignment="1" applyProtection="1">
      <alignment horizontal="center" vertical="center"/>
    </xf>
    <xf numFmtId="10" fontId="43" fillId="5" borderId="15" xfId="2" applyNumberFormat="1" applyFont="1" applyFill="1" applyBorder="1" applyAlignment="1" applyProtection="1">
      <alignment horizontal="center" vertical="center"/>
    </xf>
    <xf numFmtId="10" fontId="87" fillId="5" borderId="15" xfId="2" applyNumberFormat="1" applyFont="1" applyFill="1" applyBorder="1" applyAlignment="1" applyProtection="1">
      <alignment horizontal="center" vertical="center"/>
    </xf>
    <xf numFmtId="164" fontId="74" fillId="5" borderId="14" xfId="2" applyNumberFormat="1" applyFont="1" applyFill="1" applyBorder="1" applyAlignment="1" applyProtection="1">
      <alignment horizontal="center" vertical="center"/>
    </xf>
    <xf numFmtId="9" fontId="74" fillId="5" borderId="0" xfId="2" applyFont="1" applyFill="1" applyAlignment="1" applyProtection="1">
      <alignment horizontal="center" vertical="center"/>
    </xf>
    <xf numFmtId="10" fontId="74" fillId="5" borderId="0" xfId="2" applyNumberFormat="1" applyFont="1" applyFill="1" applyAlignment="1" applyProtection="1">
      <alignment horizontal="center" vertical="center"/>
    </xf>
    <xf numFmtId="0" fontId="73" fillId="0" borderId="11" xfId="0" applyFont="1" applyBorder="1" applyAlignment="1">
      <alignment horizontal="left" indent="2"/>
    </xf>
    <xf numFmtId="10" fontId="16" fillId="0" borderId="11" xfId="2" applyNumberFormat="1" applyFont="1" applyBorder="1" applyAlignment="1" applyProtection="1">
      <alignment horizontal="center"/>
    </xf>
    <xf numFmtId="0" fontId="16" fillId="0" borderId="11" xfId="0" applyFont="1" applyBorder="1" applyAlignment="1">
      <alignment horizontal="center"/>
    </xf>
    <xf numFmtId="164" fontId="73" fillId="0" borderId="11" xfId="2" applyNumberFormat="1" applyFont="1" applyBorder="1" applyAlignment="1" applyProtection="1">
      <alignment horizontal="center"/>
    </xf>
    <xf numFmtId="0" fontId="25" fillId="0" borderId="0" xfId="0" applyFont="1"/>
    <xf numFmtId="10" fontId="42" fillId="0" borderId="11" xfId="2" applyNumberFormat="1" applyFont="1" applyBorder="1" applyAlignment="1" applyProtection="1">
      <alignment horizontal="center"/>
    </xf>
    <xf numFmtId="9" fontId="73" fillId="0" borderId="11" xfId="2" applyFont="1" applyBorder="1" applyAlignment="1" applyProtection="1">
      <alignment horizontal="center"/>
    </xf>
    <xf numFmtId="10" fontId="73" fillId="0" borderId="11" xfId="2" applyNumberFormat="1" applyFont="1" applyBorder="1" applyAlignment="1" applyProtection="1">
      <alignment horizontal="center"/>
    </xf>
    <xf numFmtId="0" fontId="74" fillId="0" borderId="0" xfId="0" applyFont="1" applyAlignment="1">
      <alignment horizontal="left" vertical="center" indent="1"/>
    </xf>
    <xf numFmtId="164" fontId="25" fillId="0" borderId="13" xfId="2" applyNumberFormat="1" applyFont="1" applyBorder="1" applyAlignment="1" applyProtection="1">
      <alignment horizontal="center"/>
    </xf>
    <xf numFmtId="10" fontId="25" fillId="0" borderId="13" xfId="2" applyNumberFormat="1" applyFont="1" applyBorder="1" applyAlignment="1" applyProtection="1">
      <alignment horizontal="center"/>
    </xf>
    <xf numFmtId="10" fontId="42" fillId="0" borderId="13" xfId="2" applyNumberFormat="1" applyFont="1" applyBorder="1" applyAlignment="1" applyProtection="1">
      <alignment horizontal="center"/>
    </xf>
    <xf numFmtId="164" fontId="87" fillId="0" borderId="14" xfId="2" applyNumberFormat="1" applyFont="1" applyBorder="1" applyAlignment="1" applyProtection="1">
      <alignment horizontal="center" vertical="center"/>
    </xf>
    <xf numFmtId="10" fontId="87" fillId="0" borderId="0" xfId="2" applyNumberFormat="1" applyFont="1" applyBorder="1" applyAlignment="1" applyProtection="1">
      <alignment horizontal="center" vertical="center"/>
    </xf>
    <xf numFmtId="164" fontId="74" fillId="0" borderId="14" xfId="2" applyNumberFormat="1" applyFont="1" applyBorder="1" applyAlignment="1" applyProtection="1">
      <alignment horizontal="center" vertical="center"/>
    </xf>
    <xf numFmtId="10" fontId="43" fillId="3" borderId="0" xfId="2" applyNumberFormat="1" applyFont="1" applyFill="1" applyBorder="1" applyAlignment="1" applyProtection="1">
      <alignment horizontal="center" vertical="center"/>
    </xf>
    <xf numFmtId="10" fontId="87" fillId="3" borderId="0" xfId="2" applyNumberFormat="1" applyFont="1" applyFill="1" applyBorder="1" applyAlignment="1" applyProtection="1">
      <alignment horizontal="center" vertical="center"/>
    </xf>
    <xf numFmtId="9" fontId="74" fillId="3" borderId="0" xfId="2" applyFont="1" applyFill="1" applyAlignment="1" applyProtection="1">
      <alignment horizontal="center" vertical="center"/>
    </xf>
    <xf numFmtId="10" fontId="74" fillId="3" borderId="0" xfId="2" applyNumberFormat="1" applyFont="1" applyFill="1" applyAlignment="1" applyProtection="1">
      <alignment horizontal="center" vertical="center"/>
    </xf>
    <xf numFmtId="164" fontId="73" fillId="0" borderId="13" xfId="2" applyNumberFormat="1" applyFont="1" applyBorder="1" applyAlignment="1" applyProtection="1">
      <alignment horizontal="center"/>
    </xf>
    <xf numFmtId="0" fontId="16" fillId="0" borderId="13" xfId="0" applyFont="1" applyBorder="1" applyAlignment="1">
      <alignment horizontal="center"/>
    </xf>
    <xf numFmtId="9" fontId="73" fillId="0" borderId="13" xfId="2" applyFont="1" applyBorder="1" applyAlignment="1" applyProtection="1">
      <alignment horizontal="center"/>
    </xf>
    <xf numFmtId="10" fontId="73" fillId="0" borderId="13" xfId="2" applyNumberFormat="1" applyFont="1" applyBorder="1" applyAlignment="1" applyProtection="1">
      <alignment horizontal="center"/>
    </xf>
    <xf numFmtId="0" fontId="74" fillId="0" borderId="13" xfId="0" applyFont="1" applyBorder="1" applyAlignment="1">
      <alignment horizontal="left" vertical="center" indent="1"/>
    </xf>
    <xf numFmtId="0" fontId="43" fillId="0" borderId="13" xfId="0" applyFont="1" applyBorder="1" applyAlignment="1">
      <alignment horizontal="center" vertical="center"/>
    </xf>
    <xf numFmtId="9" fontId="74" fillId="0" borderId="13" xfId="2" applyFont="1" applyBorder="1" applyAlignment="1" applyProtection="1">
      <alignment horizontal="center" vertical="center"/>
    </xf>
    <xf numFmtId="10" fontId="74" fillId="0" borderId="13" xfId="2" applyNumberFormat="1" applyFont="1" applyBorder="1" applyAlignment="1" applyProtection="1">
      <alignment horizontal="center" vertical="center"/>
    </xf>
    <xf numFmtId="164" fontId="87" fillId="0" borderId="14" xfId="2" applyNumberFormat="1" applyFont="1" applyFill="1" applyBorder="1" applyAlignment="1" applyProtection="1">
      <alignment horizontal="center" vertical="center"/>
    </xf>
    <xf numFmtId="10" fontId="87" fillId="0" borderId="0" xfId="2" applyNumberFormat="1" applyFont="1" applyFill="1" applyBorder="1" applyAlignment="1" applyProtection="1">
      <alignment horizontal="center" vertical="center"/>
    </xf>
    <xf numFmtId="164" fontId="74" fillId="0" borderId="14" xfId="2" applyNumberFormat="1" applyFont="1" applyFill="1" applyBorder="1" applyAlignment="1" applyProtection="1">
      <alignment horizontal="center" vertical="center"/>
    </xf>
    <xf numFmtId="164" fontId="73" fillId="0" borderId="0" xfId="2" applyNumberFormat="1" applyFont="1" applyBorder="1" applyAlignment="1" applyProtection="1">
      <alignment horizontal="center"/>
    </xf>
    <xf numFmtId="0" fontId="25" fillId="0" borderId="0" xfId="0" applyFont="1" applyAlignment="1">
      <alignment vertical="center"/>
    </xf>
    <xf numFmtId="0" fontId="16" fillId="0" borderId="0" xfId="0" applyFont="1" applyAlignment="1">
      <alignment horizontal="center" vertical="center"/>
    </xf>
    <xf numFmtId="164" fontId="43" fillId="0" borderId="14" xfId="2" applyNumberFormat="1" applyFont="1" applyBorder="1" applyAlignment="1" applyProtection="1">
      <alignment vertical="center"/>
    </xf>
    <xf numFmtId="164" fontId="25" fillId="0" borderId="15" xfId="2" applyNumberFormat="1" applyFont="1" applyBorder="1" applyAlignment="1" applyProtection="1">
      <alignment vertical="center"/>
    </xf>
    <xf numFmtId="164" fontId="43" fillId="0" borderId="0" xfId="2" applyNumberFormat="1" applyFont="1" applyAlignment="1" applyProtection="1">
      <alignment vertical="center"/>
    </xf>
    <xf numFmtId="164" fontId="25" fillId="0" borderId="0" xfId="2" applyNumberFormat="1" applyFont="1" applyAlignment="1" applyProtection="1">
      <alignment vertical="center"/>
    </xf>
    <xf numFmtId="164" fontId="43" fillId="0" borderId="14" xfId="0" applyNumberFormat="1" applyFont="1" applyBorder="1" applyAlignment="1">
      <alignment vertical="center"/>
    </xf>
    <xf numFmtId="164" fontId="43" fillId="0" borderId="0" xfId="0" applyNumberFormat="1" applyFont="1" applyAlignment="1">
      <alignment vertical="center"/>
    </xf>
    <xf numFmtId="1" fontId="25" fillId="0" borderId="0" xfId="1" applyNumberFormat="1" applyFont="1" applyAlignment="1" applyProtection="1">
      <alignment vertical="center"/>
    </xf>
    <xf numFmtId="164" fontId="42" fillId="0" borderId="15" xfId="2" applyNumberFormat="1" applyFont="1" applyBorder="1" applyAlignment="1" applyProtection="1">
      <alignment vertical="center"/>
    </xf>
    <xf numFmtId="164" fontId="74" fillId="0" borderId="0" xfId="2" applyNumberFormat="1" applyFont="1" applyAlignment="1" applyProtection="1">
      <alignment horizontal="center" vertical="center"/>
    </xf>
    <xf numFmtId="9" fontId="73" fillId="0" borderId="0" xfId="2" applyFont="1" applyAlignment="1" applyProtection="1">
      <alignment horizontal="center" vertical="center"/>
    </xf>
    <xf numFmtId="10" fontId="73" fillId="0" borderId="0" xfId="2" applyNumberFormat="1" applyFont="1" applyAlignment="1" applyProtection="1">
      <alignment horizontal="center" vertical="center"/>
    </xf>
    <xf numFmtId="0" fontId="82" fillId="12" borderId="0" xfId="0" applyFont="1" applyFill="1" applyAlignment="1">
      <alignment vertical="center"/>
    </xf>
    <xf numFmtId="0" fontId="41" fillId="12" borderId="0" xfId="0" applyFont="1" applyFill="1" applyAlignment="1">
      <alignment horizontal="center" vertical="center"/>
    </xf>
    <xf numFmtId="164" fontId="82" fillId="12" borderId="14" xfId="2" applyNumberFormat="1" applyFont="1" applyFill="1" applyBorder="1" applyAlignment="1" applyProtection="1">
      <alignment horizontal="center" vertical="center"/>
    </xf>
    <xf numFmtId="10" fontId="82" fillId="12" borderId="0" xfId="2" applyNumberFormat="1" applyFont="1" applyFill="1" applyBorder="1" applyAlignment="1" applyProtection="1">
      <alignment horizontal="center" vertical="center"/>
    </xf>
    <xf numFmtId="164" fontId="113" fillId="12" borderId="14" xfId="2" applyNumberFormat="1" applyFont="1" applyFill="1" applyBorder="1" applyAlignment="1" applyProtection="1">
      <alignment horizontal="center" vertical="center"/>
    </xf>
    <xf numFmtId="9" fontId="67" fillId="12" borderId="0" xfId="2" applyFont="1" applyFill="1" applyAlignment="1" applyProtection="1">
      <alignment horizontal="center" vertical="center"/>
    </xf>
    <xf numFmtId="10" fontId="67" fillId="12" borderId="0" xfId="2" applyNumberFormat="1" applyFont="1" applyFill="1" applyAlignment="1" applyProtection="1">
      <alignment horizontal="center" vertical="center"/>
    </xf>
    <xf numFmtId="10" fontId="43" fillId="3" borderId="14" xfId="2" applyNumberFormat="1" applyFont="1" applyFill="1" applyBorder="1" applyAlignment="1" applyProtection="1">
      <alignment horizontal="center" vertical="center"/>
    </xf>
    <xf numFmtId="10" fontId="74" fillId="3" borderId="14" xfId="2" applyNumberFormat="1" applyFont="1" applyFill="1" applyBorder="1" applyAlignment="1" applyProtection="1">
      <alignment horizontal="center" vertical="center"/>
    </xf>
    <xf numFmtId="0" fontId="25" fillId="0" borderId="15" xfId="0" applyFont="1" applyBorder="1" applyAlignment="1">
      <alignment vertical="center"/>
    </xf>
    <xf numFmtId="0" fontId="42" fillId="0" borderId="15" xfId="0" applyFont="1" applyBorder="1" applyAlignment="1">
      <alignment vertical="center"/>
    </xf>
    <xf numFmtId="164" fontId="74" fillId="0" borderId="0" xfId="0" applyNumberFormat="1" applyFont="1" applyAlignment="1">
      <alignment horizontal="center" vertical="center"/>
    </xf>
    <xf numFmtId="0" fontId="87" fillId="0" borderId="15" xfId="0" applyFont="1" applyBorder="1" applyAlignment="1">
      <alignment horizontal="center" vertical="center"/>
    </xf>
    <xf numFmtId="1" fontId="25" fillId="0" borderId="0" xfId="1" applyNumberFormat="1" applyFont="1" applyProtection="1"/>
    <xf numFmtId="9" fontId="74" fillId="0" borderId="0" xfId="2" applyFont="1" applyAlignment="1" applyProtection="1">
      <alignment horizontal="center"/>
    </xf>
    <xf numFmtId="10" fontId="74" fillId="0" borderId="0" xfId="2" applyNumberFormat="1" applyFont="1" applyAlignment="1" applyProtection="1">
      <alignment horizontal="center"/>
    </xf>
    <xf numFmtId="0" fontId="16" fillId="8" borderId="0" xfId="0" applyFont="1" applyFill="1" applyAlignment="1">
      <alignment horizontal="center"/>
    </xf>
    <xf numFmtId="164" fontId="100" fillId="6" borderId="14" xfId="2" applyNumberFormat="1" applyFont="1" applyFill="1" applyBorder="1" applyAlignment="1" applyProtection="1">
      <alignment horizontal="center" vertical="center"/>
    </xf>
    <xf numFmtId="10" fontId="100" fillId="6" borderId="15" xfId="2" applyNumberFormat="1" applyFont="1" applyFill="1" applyBorder="1" applyAlignment="1" applyProtection="1">
      <alignment horizontal="center" vertical="center"/>
    </xf>
    <xf numFmtId="10" fontId="100" fillId="6" borderId="0" xfId="2" applyNumberFormat="1" applyFont="1" applyFill="1" applyBorder="1" applyAlignment="1" applyProtection="1">
      <alignment horizontal="center" vertical="center"/>
    </xf>
    <xf numFmtId="10" fontId="87" fillId="6" borderId="15" xfId="2" applyNumberFormat="1" applyFont="1" applyFill="1" applyBorder="1" applyAlignment="1" applyProtection="1">
      <alignment horizontal="center" vertical="center"/>
    </xf>
    <xf numFmtId="164" fontId="74" fillId="6" borderId="14" xfId="2" applyNumberFormat="1" applyFont="1" applyFill="1" applyBorder="1" applyAlignment="1" applyProtection="1">
      <alignment horizontal="center" vertical="center"/>
    </xf>
    <xf numFmtId="9" fontId="73" fillId="8" borderId="0" xfId="2" applyFont="1" applyFill="1" applyAlignment="1" applyProtection="1">
      <alignment horizontal="center"/>
    </xf>
    <xf numFmtId="10" fontId="73" fillId="8" borderId="0" xfId="2" applyNumberFormat="1" applyFont="1" applyFill="1" applyAlignment="1" applyProtection="1">
      <alignment horizontal="center"/>
    </xf>
    <xf numFmtId="0" fontId="25" fillId="0" borderId="8" xfId="0" applyFont="1" applyBorder="1"/>
    <xf numFmtId="0" fontId="16" fillId="0" borderId="0" xfId="0" applyFont="1" applyAlignment="1">
      <alignment horizontal="center"/>
    </xf>
    <xf numFmtId="9" fontId="73" fillId="0" borderId="0" xfId="2" applyFont="1" applyAlignment="1" applyProtection="1">
      <alignment horizontal="center"/>
    </xf>
    <xf numFmtId="10" fontId="73" fillId="0" borderId="0" xfId="2" applyNumberFormat="1" applyFont="1" applyAlignment="1" applyProtection="1">
      <alignment horizontal="center"/>
    </xf>
    <xf numFmtId="0" fontId="25" fillId="0" borderId="5" xfId="0" applyFont="1" applyBorder="1"/>
    <xf numFmtId="0" fontId="25" fillId="0" borderId="9" xfId="0" applyFont="1" applyBorder="1"/>
    <xf numFmtId="0" fontId="16" fillId="6" borderId="0" xfId="0" applyFont="1" applyFill="1" applyAlignment="1">
      <alignment horizontal="center"/>
    </xf>
    <xf numFmtId="9" fontId="73" fillId="6" borderId="0" xfId="2" applyFont="1" applyFill="1" applyAlignment="1" applyProtection="1">
      <alignment horizontal="center"/>
    </xf>
    <xf numFmtId="10" fontId="73" fillId="6" borderId="0" xfId="2" applyNumberFormat="1" applyFont="1" applyFill="1" applyAlignment="1" applyProtection="1">
      <alignment horizontal="center"/>
    </xf>
    <xf numFmtId="0" fontId="16" fillId="7" borderId="0" xfId="0" applyFont="1" applyFill="1" applyAlignment="1">
      <alignment horizontal="center"/>
    </xf>
    <xf numFmtId="9" fontId="73" fillId="7" borderId="0" xfId="2" applyFont="1" applyFill="1" applyAlignment="1" applyProtection="1">
      <alignment horizontal="center"/>
    </xf>
    <xf numFmtId="10" fontId="73" fillId="7" borderId="0" xfId="2" applyNumberFormat="1" applyFont="1" applyFill="1" applyAlignment="1" applyProtection="1">
      <alignment horizontal="center"/>
    </xf>
    <xf numFmtId="0" fontId="101" fillId="0" borderId="0" xfId="0" applyFont="1"/>
    <xf numFmtId="0" fontId="102" fillId="0" borderId="0" xfId="0" applyFont="1"/>
    <xf numFmtId="0" fontId="102" fillId="0" borderId="0" xfId="0" applyFont="1" applyAlignment="1">
      <alignment horizontal="center"/>
    </xf>
    <xf numFmtId="0" fontId="103" fillId="0" borderId="0" xfId="0" applyFont="1"/>
    <xf numFmtId="0" fontId="105" fillId="0" borderId="0" xfId="0" applyFont="1"/>
    <xf numFmtId="0" fontId="171" fillId="0" borderId="0" xfId="0" applyFont="1" applyAlignment="1">
      <alignment horizontal="center"/>
    </xf>
    <xf numFmtId="9" fontId="171" fillId="0" borderId="0" xfId="2" applyFont="1" applyAlignment="1" applyProtection="1">
      <alignment horizontal="center"/>
    </xf>
    <xf numFmtId="10" fontId="171" fillId="0" borderId="0" xfId="2" applyNumberFormat="1" applyFont="1" applyAlignment="1" applyProtection="1">
      <alignment horizontal="center"/>
    </xf>
    <xf numFmtId="164" fontId="102" fillId="0" borderId="0" xfId="0" applyNumberFormat="1" applyFont="1"/>
    <xf numFmtId="164" fontId="171" fillId="0" borderId="0" xfId="0" applyNumberFormat="1" applyFont="1" applyAlignment="1">
      <alignment horizontal="center"/>
    </xf>
    <xf numFmtId="164" fontId="103" fillId="0" borderId="0" xfId="0" applyNumberFormat="1" applyFont="1"/>
    <xf numFmtId="164" fontId="177" fillId="0" borderId="0" xfId="0" applyNumberFormat="1" applyFont="1" applyAlignment="1">
      <alignment horizontal="center"/>
    </xf>
    <xf numFmtId="185" fontId="73" fillId="0" borderId="11" xfId="2" applyNumberFormat="1" applyFont="1" applyBorder="1" applyAlignment="1" applyProtection="1">
      <alignment horizontal="center"/>
      <protection locked="0"/>
    </xf>
    <xf numFmtId="10" fontId="5" fillId="0" borderId="11" xfId="2" applyNumberFormat="1" applyFont="1" applyBorder="1" applyAlignment="1" applyProtection="1">
      <alignment horizontal="center"/>
    </xf>
    <xf numFmtId="0" fontId="0" fillId="0" borderId="104" xfId="0" applyBorder="1"/>
    <xf numFmtId="10" fontId="0" fillId="0" borderId="104" xfId="0" applyNumberFormat="1" applyBorder="1"/>
    <xf numFmtId="10" fontId="0" fillId="0" borderId="0" xfId="0" applyNumberFormat="1"/>
    <xf numFmtId="10" fontId="0" fillId="0" borderId="104" xfId="0" applyNumberFormat="1" applyBorder="1" applyAlignment="1">
      <alignment horizontal="center"/>
    </xf>
    <xf numFmtId="0" fontId="44" fillId="0" borderId="104" xfId="0" applyFont="1" applyBorder="1"/>
    <xf numFmtId="10" fontId="186" fillId="5" borderId="104" xfId="0" applyNumberFormat="1" applyFont="1" applyFill="1" applyBorder="1" applyAlignment="1" applyProtection="1">
      <alignment horizontal="center"/>
      <protection locked="0"/>
    </xf>
    <xf numFmtId="2" fontId="186" fillId="5" borderId="104" xfId="0" applyNumberFormat="1" applyFont="1" applyFill="1" applyBorder="1" applyAlignment="1" applyProtection="1">
      <alignment horizontal="center"/>
      <protection locked="0"/>
    </xf>
    <xf numFmtId="0" fontId="4" fillId="0" borderId="12" xfId="0" applyFont="1" applyBorder="1" applyAlignment="1" applyProtection="1">
      <alignment horizontal="left" indent="2"/>
      <protection locked="0"/>
    </xf>
    <xf numFmtId="0" fontId="58" fillId="0" borderId="55" xfId="0" applyFont="1" applyBorder="1" applyAlignment="1">
      <alignment horizontal="left"/>
    </xf>
    <xf numFmtId="173" fontId="108" fillId="0" borderId="0" xfId="0" applyNumberFormat="1" applyFont="1" applyAlignment="1" applyProtection="1">
      <alignment vertical="center"/>
      <protection locked="0"/>
    </xf>
    <xf numFmtId="179" fontId="108" fillId="0" borderId="0" xfId="0" applyNumberFormat="1" applyFont="1" applyAlignment="1" applyProtection="1">
      <alignment horizontal="center" vertical="center"/>
      <protection locked="0"/>
    </xf>
    <xf numFmtId="180" fontId="108" fillId="0" borderId="0" xfId="0" applyNumberFormat="1" applyFont="1" applyAlignment="1" applyProtection="1">
      <alignment horizontal="center" vertical="center"/>
      <protection locked="0"/>
    </xf>
    <xf numFmtId="182" fontId="108" fillId="0" borderId="0" xfId="0" applyNumberFormat="1" applyFont="1" applyAlignment="1" applyProtection="1">
      <alignment horizontal="center" vertical="center"/>
      <protection locked="0"/>
    </xf>
    <xf numFmtId="2" fontId="108" fillId="0" borderId="0" xfId="0" applyNumberFormat="1" applyFont="1" applyAlignment="1" applyProtection="1">
      <alignment horizontal="center" vertical="center"/>
      <protection locked="0"/>
    </xf>
    <xf numFmtId="176" fontId="108" fillId="0" borderId="0" xfId="0" applyNumberFormat="1" applyFont="1" applyAlignment="1" applyProtection="1">
      <alignment horizontal="center" vertical="center"/>
      <protection locked="0"/>
    </xf>
    <xf numFmtId="0" fontId="109" fillId="0" borderId="0" xfId="0" applyFont="1" applyAlignment="1">
      <alignment vertical="center"/>
    </xf>
    <xf numFmtId="0" fontId="112" fillId="0" borderId="0" xfId="0" applyFont="1" applyAlignment="1">
      <alignment vertical="center"/>
    </xf>
    <xf numFmtId="0" fontId="168" fillId="0" borderId="0" xfId="0" applyFont="1" applyAlignment="1" applyProtection="1">
      <alignment vertical="center"/>
      <protection locked="0"/>
    </xf>
    <xf numFmtId="0" fontId="107" fillId="0" borderId="0" xfId="0" applyFont="1" applyAlignment="1" applyProtection="1">
      <alignment vertical="center"/>
      <protection locked="0"/>
    </xf>
    <xf numFmtId="0" fontId="117" fillId="0" borderId="0" xfId="0" applyFont="1" applyAlignment="1" applyProtection="1">
      <alignment vertical="center"/>
      <protection locked="0"/>
    </xf>
    <xf numFmtId="0" fontId="115" fillId="0" borderId="0" xfId="0" applyFont="1" applyAlignment="1">
      <alignment vertical="center"/>
    </xf>
    <xf numFmtId="179" fontId="108" fillId="0" borderId="0" xfId="0" applyNumberFormat="1" applyFont="1" applyAlignment="1" applyProtection="1">
      <alignment vertical="center"/>
      <protection locked="0"/>
    </xf>
    <xf numFmtId="179" fontId="108" fillId="0" borderId="66" xfId="0" applyNumberFormat="1" applyFont="1" applyBorder="1" applyAlignment="1" applyProtection="1">
      <alignment vertical="center"/>
      <protection locked="0"/>
    </xf>
    <xf numFmtId="179" fontId="108" fillId="0" borderId="65" xfId="0" applyNumberFormat="1" applyFont="1" applyBorder="1" applyAlignment="1" applyProtection="1">
      <alignment vertical="center"/>
      <protection locked="0"/>
    </xf>
    <xf numFmtId="179" fontId="108" fillId="0" borderId="67" xfId="0" applyNumberFormat="1" applyFont="1" applyBorder="1" applyAlignment="1" applyProtection="1">
      <alignment vertical="center"/>
      <protection locked="0"/>
    </xf>
    <xf numFmtId="0" fontId="168" fillId="0" borderId="0" xfId="0" applyFont="1" applyAlignment="1" applyProtection="1">
      <alignment horizontal="center" vertical="center"/>
      <protection locked="0"/>
    </xf>
    <xf numFmtId="0" fontId="107" fillId="0" borderId="0" xfId="0" applyFont="1" applyAlignment="1" applyProtection="1">
      <alignment horizontal="center" vertical="center"/>
      <protection locked="0"/>
    </xf>
    <xf numFmtId="0" fontId="108" fillId="0" borderId="66" xfId="0" applyFont="1" applyBorder="1" applyAlignment="1" applyProtection="1">
      <alignment horizontal="center" vertical="center"/>
      <protection locked="0"/>
    </xf>
    <xf numFmtId="0" fontId="108" fillId="0" borderId="65" xfId="0" applyFont="1" applyBorder="1" applyAlignment="1" applyProtection="1">
      <alignment horizontal="center" vertical="center"/>
      <protection locked="0"/>
    </xf>
    <xf numFmtId="0" fontId="108" fillId="0" borderId="67" xfId="0" applyFont="1" applyBorder="1" applyAlignment="1" applyProtection="1">
      <alignment horizontal="center" vertical="center"/>
      <protection locked="0"/>
    </xf>
    <xf numFmtId="0" fontId="117" fillId="0" borderId="0" xfId="0" applyFont="1" applyAlignment="1" applyProtection="1">
      <alignment horizontal="center" vertical="center"/>
      <protection locked="0"/>
    </xf>
    <xf numFmtId="0" fontId="3" fillId="0" borderId="12" xfId="0" applyFont="1" applyBorder="1" applyAlignment="1" applyProtection="1">
      <alignment horizontal="left" indent="2"/>
      <protection locked="0"/>
    </xf>
    <xf numFmtId="0" fontId="3" fillId="0" borderId="11" xfId="0" applyFont="1" applyBorder="1" applyAlignment="1" applyProtection="1">
      <alignment horizontal="left" indent="2"/>
      <protection locked="0"/>
    </xf>
    <xf numFmtId="0" fontId="3" fillId="0" borderId="13" xfId="0" applyFont="1" applyBorder="1" applyAlignment="1" applyProtection="1">
      <alignment horizontal="left" indent="2"/>
      <protection locked="0"/>
    </xf>
    <xf numFmtId="0" fontId="3" fillId="0" borderId="12" xfId="0" applyFont="1" applyBorder="1" applyAlignment="1">
      <alignment horizontal="center"/>
    </xf>
    <xf numFmtId="0" fontId="3" fillId="0" borderId="11" xfId="0" applyFont="1" applyBorder="1" applyAlignment="1">
      <alignment horizontal="center"/>
    </xf>
    <xf numFmtId="0" fontId="3" fillId="0" borderId="13" xfId="0" applyFont="1" applyBorder="1" applyAlignment="1">
      <alignment horizontal="center"/>
    </xf>
    <xf numFmtId="10" fontId="3" fillId="0" borderId="12" xfId="2" applyNumberFormat="1" applyFont="1" applyBorder="1" applyAlignment="1">
      <alignment horizontal="center"/>
    </xf>
    <xf numFmtId="10" fontId="3" fillId="0" borderId="11" xfId="2" applyNumberFormat="1" applyFont="1" applyBorder="1" applyAlignment="1">
      <alignment horizontal="center"/>
    </xf>
    <xf numFmtId="10" fontId="3" fillId="0" borderId="13" xfId="2" applyNumberFormat="1" applyFont="1" applyBorder="1" applyAlignment="1">
      <alignment horizontal="center"/>
    </xf>
    <xf numFmtId="174" fontId="3" fillId="0" borderId="12" xfId="0" applyNumberFormat="1" applyFont="1" applyBorder="1" applyAlignment="1">
      <alignment horizontal="center"/>
    </xf>
    <xf numFmtId="174" fontId="3" fillId="0" borderId="11" xfId="0" applyNumberFormat="1" applyFont="1" applyBorder="1" applyAlignment="1">
      <alignment horizontal="center"/>
    </xf>
    <xf numFmtId="174" fontId="3" fillId="0" borderId="13" xfId="0" applyNumberFormat="1" applyFont="1" applyBorder="1" applyAlignment="1">
      <alignment horizontal="center"/>
    </xf>
    <xf numFmtId="172" fontId="98" fillId="0" borderId="11" xfId="2" applyNumberFormat="1" applyFont="1" applyBorder="1" applyAlignment="1">
      <alignment horizontal="center"/>
    </xf>
    <xf numFmtId="172" fontId="98" fillId="0" borderId="13" xfId="2" applyNumberFormat="1" applyFont="1" applyBorder="1" applyAlignment="1">
      <alignment horizontal="center"/>
    </xf>
    <xf numFmtId="0" fontId="2" fillId="0" borderId="12" xfId="0" applyFont="1" applyBorder="1" applyAlignment="1" applyProtection="1">
      <alignment horizontal="left" indent="2"/>
      <protection locked="0"/>
    </xf>
    <xf numFmtId="172" fontId="2" fillId="0" borderId="12" xfId="0" applyNumberFormat="1" applyFont="1" applyBorder="1" applyAlignment="1">
      <alignment horizontal="center"/>
    </xf>
    <xf numFmtId="173" fontId="2" fillId="0" borderId="12" xfId="2" applyNumberFormat="1" applyFont="1" applyBorder="1" applyAlignment="1">
      <alignment horizontal="center"/>
    </xf>
    <xf numFmtId="173" fontId="59" fillId="0" borderId="0" xfId="0" applyNumberFormat="1" applyFont="1" applyAlignment="1">
      <alignment horizontal="center" vertical="center" wrapText="1"/>
    </xf>
    <xf numFmtId="0" fontId="107" fillId="19" borderId="64" xfId="0" applyFont="1" applyFill="1" applyBorder="1" applyAlignment="1" applyProtection="1">
      <alignment vertical="center"/>
      <protection locked="0"/>
    </xf>
    <xf numFmtId="173" fontId="107" fillId="19" borderId="97" xfId="0" applyNumberFormat="1" applyFont="1" applyFill="1" applyBorder="1" applyAlignment="1" applyProtection="1">
      <alignment vertical="center"/>
      <protection locked="0"/>
    </xf>
    <xf numFmtId="179" fontId="107" fillId="19" borderId="64" xfId="0" applyNumberFormat="1" applyFont="1" applyFill="1" applyBorder="1" applyAlignment="1" applyProtection="1">
      <alignment horizontal="center" vertical="center"/>
      <protection locked="0"/>
    </xf>
    <xf numFmtId="172" fontId="1" fillId="0" borderId="12" xfId="0" applyNumberFormat="1" applyFont="1" applyBorder="1" applyAlignment="1">
      <alignment horizontal="center"/>
    </xf>
    <xf numFmtId="0" fontId="1" fillId="0" borderId="0" xfId="0" applyFont="1" applyAlignment="1">
      <alignment vertical="center"/>
    </xf>
    <xf numFmtId="0" fontId="43" fillId="0" borderId="0" xfId="0" applyFont="1" applyAlignment="1">
      <alignment horizontal="left" vertical="center"/>
    </xf>
    <xf numFmtId="0" fontId="1" fillId="0" borderId="0" xfId="0" applyFont="1" applyProtection="1">
      <protection locked="0"/>
    </xf>
    <xf numFmtId="0" fontId="1" fillId="0" borderId="12" xfId="0" applyFont="1" applyBorder="1" applyAlignment="1" applyProtection="1">
      <alignment horizontal="left" indent="2"/>
      <protection locked="0"/>
    </xf>
    <xf numFmtId="0" fontId="1" fillId="0" borderId="12" xfId="0" applyFont="1" applyBorder="1" applyAlignment="1">
      <alignment horizontal="center"/>
    </xf>
    <xf numFmtId="10" fontId="1" fillId="0" borderId="12" xfId="2" applyNumberFormat="1" applyFont="1" applyBorder="1" applyAlignment="1">
      <alignment horizontal="center"/>
    </xf>
    <xf numFmtId="1" fontId="1" fillId="0" borderId="12" xfId="0" applyNumberFormat="1" applyFont="1" applyBorder="1" applyAlignment="1">
      <alignment horizontal="center"/>
    </xf>
    <xf numFmtId="174" fontId="1" fillId="0" borderId="12" xfId="0" applyNumberFormat="1" applyFont="1" applyBorder="1" applyAlignment="1">
      <alignment horizontal="center"/>
    </xf>
    <xf numFmtId="173" fontId="1" fillId="0" borderId="12" xfId="2" applyNumberFormat="1" applyFont="1" applyBorder="1" applyAlignment="1">
      <alignment horizontal="center"/>
    </xf>
    <xf numFmtId="164" fontId="73" fillId="0" borderId="11" xfId="2" applyNumberFormat="1" applyFont="1" applyBorder="1" applyAlignment="1" applyProtection="1">
      <alignment horizontal="center"/>
      <protection locked="0"/>
    </xf>
    <xf numFmtId="0" fontId="57" fillId="0" borderId="0" xfId="0" applyFont="1" applyAlignment="1">
      <alignment horizontal="left" vertical="center"/>
    </xf>
    <xf numFmtId="0" fontId="166" fillId="14" borderId="0" xfId="0" applyFont="1" applyFill="1" applyAlignment="1" applyProtection="1">
      <alignment horizontal="right" vertical="center" wrapText="1"/>
      <protection locked="0"/>
    </xf>
    <xf numFmtId="0" fontId="154" fillId="14" borderId="0" xfId="0" applyFont="1" applyFill="1" applyAlignment="1" applyProtection="1">
      <alignment horizontal="right" vertical="center" wrapText="1"/>
      <protection locked="0"/>
    </xf>
    <xf numFmtId="0" fontId="170" fillId="17" borderId="0" xfId="0" applyFont="1" applyFill="1" applyAlignment="1">
      <alignment horizontal="center" vertical="center"/>
    </xf>
    <xf numFmtId="0" fontId="49" fillId="14" borderId="0" xfId="0" applyFont="1" applyFill="1" applyAlignment="1">
      <alignment horizontal="center" vertical="center" wrapText="1"/>
    </xf>
    <xf numFmtId="0" fontId="48" fillId="6" borderId="14" xfId="0" applyFont="1" applyFill="1" applyBorder="1" applyAlignment="1">
      <alignment horizontal="center" vertical="center" wrapText="1"/>
    </xf>
    <xf numFmtId="0" fontId="48" fillId="6" borderId="0" xfId="0" applyFont="1" applyFill="1" applyAlignment="1">
      <alignment horizontal="center" vertical="center" wrapText="1"/>
    </xf>
    <xf numFmtId="0" fontId="56" fillId="0" borderId="0" xfId="0" applyFont="1" applyAlignment="1">
      <alignment horizontal="center"/>
    </xf>
    <xf numFmtId="173" fontId="74" fillId="3" borderId="100" xfId="0" applyNumberFormat="1" applyFont="1" applyFill="1" applyBorder="1" applyAlignment="1" applyProtection="1">
      <alignment horizontal="center" vertical="center"/>
      <protection locked="0"/>
    </xf>
    <xf numFmtId="173" fontId="74" fillId="3" borderId="101" xfId="0" applyNumberFormat="1" applyFont="1" applyFill="1" applyBorder="1" applyAlignment="1" applyProtection="1">
      <alignment horizontal="center" vertical="center"/>
      <protection locked="0"/>
    </xf>
    <xf numFmtId="1" fontId="67" fillId="3" borderId="57" xfId="1" applyNumberFormat="1" applyFont="1" applyFill="1" applyBorder="1" applyAlignment="1" applyProtection="1">
      <alignment horizontal="left" vertical="center"/>
      <protection locked="0"/>
    </xf>
    <xf numFmtId="1" fontId="67" fillId="3" borderId="59" xfId="1" applyNumberFormat="1" applyFont="1" applyFill="1" applyBorder="1" applyAlignment="1" applyProtection="1">
      <alignment horizontal="left" vertical="center"/>
      <protection locked="0"/>
    </xf>
    <xf numFmtId="0" fontId="41" fillId="0" borderId="0" xfId="0" applyFont="1" applyAlignment="1">
      <alignment horizontal="left"/>
    </xf>
    <xf numFmtId="10" fontId="5" fillId="0" borderId="0" xfId="0" applyNumberFormat="1" applyFont="1" applyAlignment="1">
      <alignment horizontal="center" vertical="center"/>
    </xf>
    <xf numFmtId="173" fontId="74" fillId="3" borderId="102" xfId="0" applyNumberFormat="1" applyFont="1" applyFill="1" applyBorder="1" applyAlignment="1" applyProtection="1">
      <alignment horizontal="center" vertical="center"/>
      <protection locked="0"/>
    </xf>
    <xf numFmtId="173" fontId="74" fillId="3" borderId="103" xfId="0" applyNumberFormat="1" applyFont="1" applyFill="1" applyBorder="1" applyAlignment="1" applyProtection="1">
      <alignment horizontal="center" vertical="center"/>
      <protection locked="0"/>
    </xf>
    <xf numFmtId="164" fontId="185" fillId="2" borderId="14" xfId="2" applyNumberFormat="1" applyFont="1" applyFill="1" applyBorder="1" applyAlignment="1" applyProtection="1">
      <alignment horizontal="center" vertical="center" wrapText="1"/>
    </xf>
    <xf numFmtId="164" fontId="185" fillId="2" borderId="15" xfId="2" applyNumberFormat="1" applyFont="1" applyFill="1" applyBorder="1" applyAlignment="1" applyProtection="1">
      <alignment horizontal="center" vertical="center" wrapText="1"/>
    </xf>
    <xf numFmtId="164" fontId="185" fillId="2" borderId="0" xfId="2" applyNumberFormat="1" applyFont="1" applyFill="1" applyBorder="1" applyAlignment="1" applyProtection="1">
      <alignment horizontal="center" vertical="center" wrapText="1"/>
    </xf>
    <xf numFmtId="164" fontId="59" fillId="2" borderId="14" xfId="2" applyNumberFormat="1" applyFont="1" applyFill="1" applyBorder="1" applyAlignment="1" applyProtection="1">
      <alignment horizontal="center" vertical="center" wrapText="1"/>
    </xf>
    <xf numFmtId="173" fontId="114" fillId="0" borderId="0" xfId="0" applyNumberFormat="1" applyFont="1" applyAlignment="1" applyProtection="1">
      <alignment horizontal="center"/>
      <protection locked="0"/>
    </xf>
    <xf numFmtId="0" fontId="56" fillId="0" borderId="0" xfId="0" applyFont="1" applyAlignment="1">
      <alignment horizontal="center" vertical="center"/>
    </xf>
    <xf numFmtId="0" fontId="48" fillId="6" borderId="47" xfId="0" applyFont="1" applyFill="1" applyBorder="1" applyAlignment="1">
      <alignment horizontal="center" vertical="center" wrapText="1"/>
    </xf>
    <xf numFmtId="0" fontId="41" fillId="0" borderId="0" xfId="0" applyFont="1" applyAlignment="1">
      <alignment horizontal="left" vertical="top" wrapText="1"/>
    </xf>
    <xf numFmtId="0" fontId="86" fillId="0" borderId="0" xfId="0" applyFont="1" applyAlignment="1">
      <alignment horizontal="center" vertical="top"/>
    </xf>
    <xf numFmtId="0" fontId="151" fillId="0" borderId="0" xfId="0" applyFont="1" applyAlignment="1" applyProtection="1">
      <alignment horizontal="center" vertical="center"/>
      <protection locked="0"/>
    </xf>
    <xf numFmtId="0" fontId="143" fillId="0" borderId="0" xfId="0" applyFont="1" applyAlignment="1" applyProtection="1">
      <alignment horizontal="center" vertical="center"/>
      <protection locked="0"/>
    </xf>
    <xf numFmtId="0" fontId="143" fillId="0" borderId="0" xfId="0" applyFont="1" applyAlignment="1" applyProtection="1">
      <alignment horizontal="center" vertical="center" wrapText="1"/>
      <protection locked="0"/>
    </xf>
    <xf numFmtId="10" fontId="144" fillId="3" borderId="0" xfId="2" applyNumberFormat="1" applyFont="1" applyFill="1" applyAlignment="1" applyProtection="1">
      <alignment horizontal="center" vertical="center"/>
      <protection locked="0"/>
    </xf>
    <xf numFmtId="177" fontId="144" fillId="3" borderId="0" xfId="0" applyNumberFormat="1" applyFont="1" applyFill="1" applyAlignment="1" applyProtection="1">
      <alignment horizontal="center" vertical="center"/>
      <protection locked="0"/>
    </xf>
    <xf numFmtId="10" fontId="152" fillId="3" borderId="0" xfId="2" applyNumberFormat="1" applyFont="1" applyFill="1" applyAlignment="1" applyProtection="1">
      <alignment horizontal="center" vertical="center"/>
      <protection locked="0"/>
    </xf>
    <xf numFmtId="10" fontId="152" fillId="3" borderId="0" xfId="2" applyNumberFormat="1" applyFont="1" applyFill="1" applyAlignment="1">
      <alignment horizontal="center"/>
    </xf>
    <xf numFmtId="0" fontId="152" fillId="3" borderId="0" xfId="0" applyFont="1" applyFill="1" applyAlignment="1" applyProtection="1">
      <alignment horizontal="center" vertical="center"/>
      <protection locked="0"/>
    </xf>
    <xf numFmtId="0" fontId="143" fillId="0" borderId="0" xfId="0" applyFont="1" applyAlignment="1">
      <alignment horizontal="center" vertical="center" wrapText="1"/>
    </xf>
    <xf numFmtId="1" fontId="152" fillId="3" borderId="0" xfId="0" applyNumberFormat="1" applyFont="1" applyFill="1" applyAlignment="1">
      <alignment horizontal="center"/>
    </xf>
    <xf numFmtId="172" fontId="152" fillId="3" borderId="0" xfId="2" applyNumberFormat="1" applyFont="1" applyFill="1" applyAlignment="1">
      <alignment horizontal="center"/>
    </xf>
    <xf numFmtId="10" fontId="152" fillId="3" borderId="0" xfId="0" applyNumberFormat="1" applyFont="1" applyFill="1" applyAlignment="1" applyProtection="1">
      <alignment horizontal="center" vertical="center"/>
      <protection locked="0"/>
    </xf>
    <xf numFmtId="0" fontId="152" fillId="3" borderId="0" xfId="2" applyNumberFormat="1" applyFont="1" applyFill="1" applyAlignment="1">
      <alignment horizontal="center"/>
    </xf>
    <xf numFmtId="0" fontId="152" fillId="3" borderId="0" xfId="2" applyNumberFormat="1" applyFont="1" applyFill="1" applyAlignment="1" applyProtection="1">
      <alignment horizontal="center" vertical="center"/>
      <protection locked="0"/>
    </xf>
    <xf numFmtId="0" fontId="38" fillId="6" borderId="14" xfId="0" applyFont="1" applyFill="1" applyBorder="1" applyAlignment="1">
      <alignment horizontal="center" vertical="center"/>
    </xf>
    <xf numFmtId="0" fontId="38" fillId="6" borderId="0" xfId="0" applyFont="1" applyFill="1" applyAlignment="1">
      <alignment horizontal="center" vertical="center"/>
    </xf>
    <xf numFmtId="0" fontId="62" fillId="6" borderId="0" xfId="0" applyFont="1" applyFill="1" applyAlignment="1">
      <alignment horizontal="center" vertical="center"/>
    </xf>
    <xf numFmtId="0" fontId="38" fillId="6" borderId="15" xfId="0" applyFont="1" applyFill="1" applyBorder="1" applyAlignment="1">
      <alignment horizontal="center" vertical="center"/>
    </xf>
    <xf numFmtId="164" fontId="32" fillId="9" borderId="24" xfId="2" applyNumberFormat="1" applyFont="1" applyFill="1" applyBorder="1" applyAlignment="1">
      <alignment horizontal="center" vertical="center"/>
    </xf>
    <xf numFmtId="164" fontId="32" fillId="9" borderId="23" xfId="2" applyNumberFormat="1" applyFont="1" applyFill="1" applyBorder="1" applyAlignment="1">
      <alignment horizontal="center" vertical="center"/>
    </xf>
    <xf numFmtId="164" fontId="32" fillId="9" borderId="27" xfId="2" applyNumberFormat="1" applyFont="1" applyFill="1" applyBorder="1" applyAlignment="1">
      <alignment horizontal="center" vertical="center"/>
    </xf>
    <xf numFmtId="164" fontId="32" fillId="9" borderId="22" xfId="2" applyNumberFormat="1" applyFont="1" applyFill="1" applyBorder="1" applyAlignment="1">
      <alignment horizontal="center" vertical="center"/>
    </xf>
    <xf numFmtId="164" fontId="32" fillId="9" borderId="21" xfId="2" applyNumberFormat="1" applyFont="1" applyFill="1" applyBorder="1" applyAlignment="1">
      <alignment horizontal="center" vertical="center"/>
    </xf>
    <xf numFmtId="164" fontId="32" fillId="9" borderId="28" xfId="2" applyNumberFormat="1" applyFont="1" applyFill="1" applyBorder="1" applyAlignment="1">
      <alignment horizontal="center" vertical="center"/>
    </xf>
    <xf numFmtId="164" fontId="32" fillId="9" borderId="26" xfId="2" applyNumberFormat="1" applyFont="1" applyFill="1" applyBorder="1" applyAlignment="1">
      <alignment horizontal="center" vertical="center"/>
    </xf>
    <xf numFmtId="164" fontId="32" fillId="9" borderId="25" xfId="2" applyNumberFormat="1" applyFont="1" applyFill="1" applyBorder="1" applyAlignment="1">
      <alignment horizontal="center" vertical="center"/>
    </xf>
    <xf numFmtId="164" fontId="32" fillId="9" borderId="29" xfId="2" applyNumberFormat="1" applyFont="1" applyFill="1" applyBorder="1" applyAlignment="1">
      <alignment horizontal="center" vertical="center"/>
    </xf>
    <xf numFmtId="0" fontId="62" fillId="6" borderId="15" xfId="0" applyFont="1" applyFill="1" applyBorder="1" applyAlignment="1">
      <alignment horizontal="center" vertical="center"/>
    </xf>
    <xf numFmtId="0" fontId="62" fillId="6" borderId="21" xfId="0" applyFont="1" applyFill="1" applyBorder="1" applyAlignment="1">
      <alignment horizontal="center" vertical="center"/>
    </xf>
    <xf numFmtId="0" fontId="62" fillId="6" borderId="28" xfId="0" applyFont="1" applyFill="1" applyBorder="1" applyAlignment="1">
      <alignment horizontal="center" vertical="center"/>
    </xf>
    <xf numFmtId="164" fontId="32" fillId="2" borderId="91" xfId="2" applyNumberFormat="1" applyFont="1" applyFill="1" applyBorder="1" applyAlignment="1" applyProtection="1">
      <alignment horizontal="center" vertical="center"/>
    </xf>
    <xf numFmtId="164" fontId="32" fillId="2" borderId="92" xfId="2" applyNumberFormat="1" applyFont="1" applyFill="1" applyBorder="1" applyAlignment="1" applyProtection="1">
      <alignment horizontal="center" vertical="center"/>
    </xf>
    <xf numFmtId="164" fontId="32" fillId="9" borderId="24" xfId="2" applyNumberFormat="1" applyFont="1" applyFill="1" applyBorder="1" applyAlignment="1" applyProtection="1">
      <alignment horizontal="center" vertical="center"/>
    </xf>
    <xf numFmtId="164" fontId="32" fillId="9" borderId="23" xfId="2" applyNumberFormat="1" applyFont="1" applyFill="1" applyBorder="1" applyAlignment="1" applyProtection="1">
      <alignment horizontal="center" vertical="center"/>
    </xf>
    <xf numFmtId="164" fontId="32" fillId="9" borderId="22" xfId="2" applyNumberFormat="1" applyFont="1" applyFill="1" applyBorder="1" applyAlignment="1" applyProtection="1">
      <alignment horizontal="center" vertical="center"/>
    </xf>
    <xf numFmtId="164" fontId="32" fillId="9" borderId="28" xfId="2" applyNumberFormat="1" applyFont="1" applyFill="1" applyBorder="1" applyAlignment="1" applyProtection="1">
      <alignment horizontal="center" vertical="center"/>
    </xf>
    <xf numFmtId="164" fontId="32" fillId="9" borderId="21" xfId="2" applyNumberFormat="1" applyFont="1" applyFill="1" applyBorder="1" applyAlignment="1" applyProtection="1">
      <alignment horizontal="center" vertical="center"/>
    </xf>
    <xf numFmtId="164" fontId="32" fillId="9" borderId="27" xfId="2" applyNumberFormat="1" applyFont="1" applyFill="1" applyBorder="1" applyAlignment="1" applyProtection="1">
      <alignment horizontal="center" vertical="center"/>
    </xf>
    <xf numFmtId="164" fontId="32" fillId="9" borderId="26" xfId="2" applyNumberFormat="1" applyFont="1" applyFill="1" applyBorder="1" applyAlignment="1" applyProtection="1">
      <alignment horizontal="center" vertical="center"/>
    </xf>
    <xf numFmtId="164" fontId="32" fillId="9" borderId="29" xfId="2" applyNumberFormat="1" applyFont="1" applyFill="1" applyBorder="1" applyAlignment="1" applyProtection="1">
      <alignment horizontal="center" vertical="center"/>
    </xf>
    <xf numFmtId="164" fontId="32" fillId="9" borderId="25" xfId="2" applyNumberFormat="1" applyFont="1" applyFill="1" applyBorder="1" applyAlignment="1" applyProtection="1">
      <alignment horizontal="center" vertical="center"/>
    </xf>
    <xf numFmtId="0" fontId="56" fillId="0" borderId="0" xfId="0" applyFont="1" applyAlignment="1">
      <alignment horizontal="left"/>
    </xf>
    <xf numFmtId="1" fontId="67" fillId="5" borderId="45" xfId="1" applyNumberFormat="1" applyFont="1" applyFill="1" applyBorder="1" applyAlignment="1" applyProtection="1">
      <alignment horizontal="center" vertical="center"/>
      <protection locked="0"/>
    </xf>
    <xf numFmtId="1" fontId="67" fillId="5" borderId="46" xfId="1" applyNumberFormat="1" applyFont="1" applyFill="1" applyBorder="1" applyAlignment="1" applyProtection="1">
      <alignment horizontal="center" vertical="center"/>
      <protection locked="0"/>
    </xf>
    <xf numFmtId="0" fontId="170" fillId="6" borderId="14" xfId="0" applyFont="1" applyFill="1" applyBorder="1" applyAlignment="1">
      <alignment horizontal="center" vertical="center"/>
    </xf>
    <xf numFmtId="0" fontId="170" fillId="6" borderId="0" xfId="0" applyFont="1" applyFill="1" applyAlignment="1">
      <alignment horizontal="center" vertical="center"/>
    </xf>
    <xf numFmtId="0" fontId="48" fillId="6" borderId="14" xfId="0" applyFont="1" applyFill="1" applyBorder="1" applyAlignment="1">
      <alignment horizontal="center" vertical="center"/>
    </xf>
    <xf numFmtId="0" fontId="48" fillId="6" borderId="15" xfId="0" applyFont="1" applyFill="1" applyBorder="1" applyAlignment="1">
      <alignment horizontal="center" vertical="center"/>
    </xf>
    <xf numFmtId="0" fontId="48" fillId="6" borderId="0" xfId="0" applyFont="1" applyFill="1" applyAlignment="1">
      <alignment horizontal="center" vertical="center"/>
    </xf>
    <xf numFmtId="171" fontId="65" fillId="0" borderId="0" xfId="0" applyNumberFormat="1" applyFont="1" applyAlignment="1">
      <alignment horizontal="center"/>
    </xf>
    <xf numFmtId="0" fontId="56" fillId="0" borderId="0" xfId="0" applyFont="1" applyAlignment="1" applyProtection="1">
      <alignment horizontal="left"/>
      <protection locked="0"/>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198">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174" formatCode="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
      <font>
        <strike val="0"/>
        <outline val="0"/>
        <shadow val="0"/>
        <u val="none"/>
        <vertAlign val="baseline"/>
        <sz val="12"/>
        <color theme="1"/>
        <name val="Calibri"/>
        <family val="2"/>
        <scheme val="minor"/>
      </font>
      <numFmt numFmtId="164" formatCode="0.0%"/>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172" formatCode="dd/mm/yyyy"/>
      <alignment horizontal="center" vertical="bottom" textRotation="0" wrapText="0" indent="0" justifyLastLine="0" shrinkToFit="0" readingOrder="0"/>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0"/>
        <name val="Calibri"/>
        <family val="2"/>
        <scheme val="minor"/>
      </font>
      <fill>
        <patternFill patternType="solid">
          <fgColor indexed="64"/>
          <bgColor rgb="FF343A51"/>
        </patternFill>
      </fill>
      <alignment horizontal="center" vertical="center" textRotation="0" wrapText="0" indent="0" justifyLastLine="0" shrinkToFit="0" readingOrder="0"/>
      <protection locked="0" hidden="0"/>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sz val="10"/>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81" formatCode="&quot; &quot;00&quot;.&quot;000&quot;.&quot;000&quot;/&quot;0000\-00;&quot; &quot;00&quot;.&quot;000&quot;.&quot;000&quot;/&quot;0000\-00;\ &quot;-&quot;\ "/>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numFmt numFmtId="187" formatCode="0.00%;\-0.00;&quot;-&quot;"/>
    </dxf>
    <dxf>
      <font>
        <b val="0"/>
        <i/>
      </font>
    </dxf>
    <dxf>
      <font>
        <color rgb="FF0000C0"/>
      </font>
    </dxf>
    <dxf>
      <fill>
        <patternFill>
          <bgColor rgb="FFFAFFB9"/>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C0000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0"/>
      </font>
    </dxf>
    <dxf>
      <numFmt numFmtId="32" formatCode="_(&quot;$&quot;* #,##0_);_(&quot;$&quot;* \(#,##0\);_(&quot;$&quot;* &quot;-&quot;_);_(@_)"/>
    </dxf>
    <dxf>
      <fill>
        <patternFill>
          <bgColor rgb="FFFAFFB9"/>
        </patternFill>
      </fill>
    </dxf>
    <dxf>
      <fill>
        <patternFill>
          <bgColor rgb="FFFAFFB9"/>
        </patternFill>
      </fill>
    </dxf>
    <dxf>
      <fill>
        <patternFill>
          <bgColor rgb="FFFAFFB9"/>
        </patternFill>
      </fill>
    </dxf>
    <dxf>
      <font>
        <color rgb="FFC00000"/>
      </font>
    </dxf>
    <dxf>
      <font>
        <color theme="1"/>
      </font>
      <fill>
        <patternFill>
          <bgColor rgb="FFFFFF00"/>
        </patternFill>
      </fill>
    </dxf>
    <dxf>
      <font>
        <color rgb="FF008000"/>
      </font>
    </dxf>
    <dxf>
      <font>
        <color rgb="FFC00000"/>
      </font>
    </dxf>
    <dxf>
      <font>
        <color theme="1"/>
      </font>
      <fill>
        <patternFill>
          <bgColor rgb="FFFFFF00"/>
        </patternFill>
      </fill>
    </dxf>
    <dxf>
      <numFmt numFmtId="32" formatCode="_(&quot;$&quot;* #,##0_);_(&quot;$&quot;* \(#,##0\);_(&quot;$&quot;* &quot;-&quot;_);_(@_)"/>
    </dxf>
    <dxf>
      <font>
        <b/>
        <i val="0"/>
        <color rgb="FFC00000"/>
      </font>
      <fill>
        <patternFill>
          <bgColor rgb="FFFFFF00"/>
        </patternFill>
      </fill>
    </dxf>
    <dxf>
      <font>
        <b/>
        <i val="0"/>
        <color rgb="FFC00000"/>
      </font>
      <fill>
        <patternFill>
          <bgColor rgb="FFFFFF00"/>
        </patternFill>
      </fill>
    </dxf>
    <dxf>
      <font>
        <color rgb="FFC00000"/>
      </font>
    </dxf>
    <dxf>
      <font>
        <color theme="1"/>
      </font>
      <fill>
        <patternFill>
          <bgColor rgb="FFFFFF00"/>
        </patternFill>
      </fill>
    </dxf>
  </dxfs>
  <tableStyles count="0" defaultTableStyle="TableStyleMedium2" defaultPivotStyle="PivotStyleLight16"/>
  <colors>
    <mruColors>
      <color rgb="FF0000C0"/>
      <color rgb="FFFAFFB9"/>
      <color rgb="FF776A9E"/>
      <color rgb="FFB5BBCF"/>
      <color rgb="FFF8696B"/>
      <color rgb="FF63BE7B"/>
      <color rgb="FF000076"/>
      <color rgb="FFFFC35C"/>
      <color rgb="FF343A51"/>
      <color rgb="FFFFFF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SupportingPropertyBagStructure" Target="richData/rdsupportingpropertybagstructure.xml"/><Relationship Id="rId47" Type="http://schemas.openxmlformats.org/officeDocument/2006/relationships/customXml" Target="../customXml/item2.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17/06/relationships/rdRichValueStructure" Target="richData/rdrichvaluestructure.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dSupportingPropertyBag" Target="richData/rdsupportingpropertybag.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5.1326332954847807E-2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2.6962687951847062E-3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0.10828399096626362</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6.6576961803419099E-2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0.81258540717363414</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[0]!retorno_portfolio</c:f>
              <c:numCache>
                <c:formatCode>0.00%</c:formatCode>
                <c:ptCount val="774"/>
                <c:pt idx="0">
                  <c:v>4.7124292995339582E-3</c:v>
                </c:pt>
                <c:pt idx="1">
                  <c:v>3.631207438849815E-3</c:v>
                </c:pt>
                <c:pt idx="2">
                  <c:v>2.4466753622733872E-3</c:v>
                </c:pt>
                <c:pt idx="3">
                  <c:v>2.6645895297727762E-3</c:v>
                </c:pt>
                <c:pt idx="4">
                  <c:v>2.1816139565005166E-3</c:v>
                </c:pt>
                <c:pt idx="5">
                  <c:v>2.9209014314224291E-3</c:v>
                </c:pt>
                <c:pt idx="6">
                  <c:v>2.9855061542671812E-3</c:v>
                </c:pt>
                <c:pt idx="7">
                  <c:v>6.307296709668897E-3</c:v>
                </c:pt>
                <c:pt idx="8">
                  <c:v>7.0076341624973892E-3</c:v>
                </c:pt>
                <c:pt idx="9">
                  <c:v>6.1536675554769715E-3</c:v>
                </c:pt>
                <c:pt idx="10">
                  <c:v>6.793032690411982E-3</c:v>
                </c:pt>
                <c:pt idx="11">
                  <c:v>9.6252161224421595E-3</c:v>
                </c:pt>
                <c:pt idx="12">
                  <c:v>1.0756288578062767E-2</c:v>
                </c:pt>
                <c:pt idx="13">
                  <c:v>7.8376924202370191E-3</c:v>
                </c:pt>
                <c:pt idx="14">
                  <c:v>1.0015850823264616E-2</c:v>
                </c:pt>
                <c:pt idx="15">
                  <c:v>1.1597934838385449E-2</c:v>
                </c:pt>
                <c:pt idx="16">
                  <c:v>9.5337384162874628E-3</c:v>
                </c:pt>
                <c:pt idx="17">
                  <c:v>3.490264190627812E-3</c:v>
                </c:pt>
                <c:pt idx="18">
                  <c:v>7.241749730465985E-3</c:v>
                </c:pt>
                <c:pt idx="19">
                  <c:v>6.3734292714605623E-3</c:v>
                </c:pt>
                <c:pt idx="20">
                  <c:v>5.7972337899938609E-3</c:v>
                </c:pt>
                <c:pt idx="21">
                  <c:v>3.6858917691284798E-3</c:v>
                </c:pt>
                <c:pt idx="22">
                  <c:v>5.0721977453784817E-3</c:v>
                </c:pt>
                <c:pt idx="23">
                  <c:v>7.4867805986491565E-3</c:v>
                </c:pt>
                <c:pt idx="24">
                  <c:v>9.8970500127986138E-3</c:v>
                </c:pt>
                <c:pt idx="25">
                  <c:v>9.332824463019973E-3</c:v>
                </c:pt>
                <c:pt idx="26">
                  <c:v>7.0841496825815309E-3</c:v>
                </c:pt>
                <c:pt idx="27">
                  <c:v>4.7913273627433473E-3</c:v>
                </c:pt>
                <c:pt idx="28">
                  <c:v>9.770126060475226E-3</c:v>
                </c:pt>
                <c:pt idx="29">
                  <c:v>1.2787557403758143E-2</c:v>
                </c:pt>
                <c:pt idx="30">
                  <c:v>1.1923143222319688E-2</c:v>
                </c:pt>
                <c:pt idx="31">
                  <c:v>1.0600105695616424E-2</c:v>
                </c:pt>
                <c:pt idx="32">
                  <c:v>1.2498250705072822E-2</c:v>
                </c:pt>
                <c:pt idx="33">
                  <c:v>1.2164145469449217E-2</c:v>
                </c:pt>
                <c:pt idx="34">
                  <c:v>1.495443422791376E-2</c:v>
                </c:pt>
                <c:pt idx="35">
                  <c:v>1.2403952511812477E-2</c:v>
                </c:pt>
                <c:pt idx="36">
                  <c:v>1.0817641207198081E-2</c:v>
                </c:pt>
                <c:pt idx="37">
                  <c:v>-2.6177712423468558E-3</c:v>
                </c:pt>
                <c:pt idx="38">
                  <c:v>-7.2004996814047928E-3</c:v>
                </c:pt>
                <c:pt idx="39">
                  <c:v>-5.7374050198172322E-3</c:v>
                </c:pt>
                <c:pt idx="40">
                  <c:v>6.2892360554789306E-4</c:v>
                </c:pt>
                <c:pt idx="41">
                  <c:v>1.7407206745101433E-4</c:v>
                </c:pt>
                <c:pt idx="42">
                  <c:v>5.2501885072417931E-3</c:v>
                </c:pt>
                <c:pt idx="43">
                  <c:v>-3.4050708577713085E-3</c:v>
                </c:pt>
                <c:pt idx="44">
                  <c:v>-1.1419039935529285E-2</c:v>
                </c:pt>
                <c:pt idx="45">
                  <c:v>-3.2601832698277766E-2</c:v>
                </c:pt>
                <c:pt idx="46">
                  <c:v>-2.0910105734278761E-2</c:v>
                </c:pt>
                <c:pt idx="47">
                  <c:v>-3.4926271785617802E-2</c:v>
                </c:pt>
                <c:pt idx="48">
                  <c:v>-6.0479517083251833E-2</c:v>
                </c:pt>
                <c:pt idx="49">
                  <c:v>-3.852384167723133E-2</c:v>
                </c:pt>
                <c:pt idx="50">
                  <c:v>-5.8938341459939037E-2</c:v>
                </c:pt>
                <c:pt idx="51">
                  <c:v>-5.2665586782809304E-2</c:v>
                </c:pt>
                <c:pt idx="52">
                  <c:v>-7.1428211108871209E-2</c:v>
                </c:pt>
                <c:pt idx="53">
                  <c:v>-7.0171892574237282E-2</c:v>
                </c:pt>
                <c:pt idx="54">
                  <c:v>-7.22485749134264E-2</c:v>
                </c:pt>
                <c:pt idx="55">
                  <c:v>-7.9379189032679154E-2</c:v>
                </c:pt>
                <c:pt idx="56">
                  <c:v>-6.4897959038048736E-2</c:v>
                </c:pt>
                <c:pt idx="57">
                  <c:v>-5.5244016765682691E-2</c:v>
                </c:pt>
                <c:pt idx="58">
                  <c:v>-4.7403563078028399E-2</c:v>
                </c:pt>
                <c:pt idx="59">
                  <c:v>-5.3072235613877639E-2</c:v>
                </c:pt>
                <c:pt idx="60">
                  <c:v>-4.9066223217639204E-2</c:v>
                </c:pt>
                <c:pt idx="61">
                  <c:v>-5.192253092409016E-2</c:v>
                </c:pt>
                <c:pt idx="62">
                  <c:v>-5.6663019884312327E-2</c:v>
                </c:pt>
                <c:pt idx="63">
                  <c:v>-5.4600324146663048E-2</c:v>
                </c:pt>
                <c:pt idx="64">
                  <c:v>-5.8590501469807044E-2</c:v>
                </c:pt>
                <c:pt idx="65">
                  <c:v>-4.8541154010923959E-2</c:v>
                </c:pt>
                <c:pt idx="66">
                  <c:v>-4.433855609416526E-2</c:v>
                </c:pt>
                <c:pt idx="67">
                  <c:v>-4.0717349401340197E-2</c:v>
                </c:pt>
                <c:pt idx="68">
                  <c:v>-4.0735202557126371E-2</c:v>
                </c:pt>
                <c:pt idx="69">
                  <c:v>-3.8254337114721593E-2</c:v>
                </c:pt>
                <c:pt idx="70">
                  <c:v>-3.3145155799027326E-2</c:v>
                </c:pt>
                <c:pt idx="71">
                  <c:v>-3.4172455353001396E-2</c:v>
                </c:pt>
                <c:pt idx="72">
                  <c:v>-3.3847092212895724E-2</c:v>
                </c:pt>
                <c:pt idx="73">
                  <c:v>-3.1743327355948647E-2</c:v>
                </c:pt>
                <c:pt idx="74">
                  <c:v>-2.9853274668048435E-2</c:v>
                </c:pt>
                <c:pt idx="75">
                  <c:v>-2.3775383634082603E-2</c:v>
                </c:pt>
                <c:pt idx="76">
                  <c:v>-2.5438160858363479E-2</c:v>
                </c:pt>
                <c:pt idx="77">
                  <c:v>-3.4030513369803006E-2</c:v>
                </c:pt>
                <c:pt idx="78">
                  <c:v>-2.8841243748788159E-2</c:v>
                </c:pt>
                <c:pt idx="79">
                  <c:v>-2.3647958244857326E-2</c:v>
                </c:pt>
                <c:pt idx="80">
                  <c:v>-2.0936872883979607E-2</c:v>
                </c:pt>
                <c:pt idx="81">
                  <c:v>-2.4423040733353552E-2</c:v>
                </c:pt>
                <c:pt idx="82">
                  <c:v>-2.7416825351199159E-2</c:v>
                </c:pt>
                <c:pt idx="83">
                  <c:v>-2.5590129170037779E-2</c:v>
                </c:pt>
                <c:pt idx="84">
                  <c:v>-2.4766664181511189E-2</c:v>
                </c:pt>
                <c:pt idx="85">
                  <c:v>-2.3802132868803394E-2</c:v>
                </c:pt>
                <c:pt idx="86">
                  <c:v>-2.0913427704378651E-2</c:v>
                </c:pt>
                <c:pt idx="87">
                  <c:v>-2.1837921731643006E-2</c:v>
                </c:pt>
                <c:pt idx="88">
                  <c:v>-2.4521771434864004E-2</c:v>
                </c:pt>
                <c:pt idx="89">
                  <c:v>-2.429092794465415E-2</c:v>
                </c:pt>
                <c:pt idx="90">
                  <c:v>-2.2829851224854814E-2</c:v>
                </c:pt>
                <c:pt idx="91">
                  <c:v>-2.4696365117865549E-2</c:v>
                </c:pt>
                <c:pt idx="92">
                  <c:v>-1.9121656450638902E-2</c:v>
                </c:pt>
                <c:pt idx="93">
                  <c:v>-1.8482783239632816E-2</c:v>
                </c:pt>
                <c:pt idx="94">
                  <c:v>-1.7184125917487414E-2</c:v>
                </c:pt>
                <c:pt idx="95">
                  <c:v>-1.5304028699662187E-2</c:v>
                </c:pt>
                <c:pt idx="96">
                  <c:v>-1.6854626326500255E-2</c:v>
                </c:pt>
                <c:pt idx="97">
                  <c:v>-1.0743464314156626E-2</c:v>
                </c:pt>
                <c:pt idx="98">
                  <c:v>-1.0999325404434823E-2</c:v>
                </c:pt>
                <c:pt idx="99">
                  <c:v>-6.8005627108124189E-3</c:v>
                </c:pt>
                <c:pt idx="100">
                  <c:v>-7.6337356441760207E-3</c:v>
                </c:pt>
                <c:pt idx="101">
                  <c:v>-6.0997683094298205E-3</c:v>
                </c:pt>
                <c:pt idx="102">
                  <c:v>-3.2810038052540902E-3</c:v>
                </c:pt>
                <c:pt idx="103">
                  <c:v>1.0077111744499767E-4</c:v>
                </c:pt>
                <c:pt idx="104">
                  <c:v>4.379249040695532E-3</c:v>
                </c:pt>
                <c:pt idx="105">
                  <c:v>6.2526073148629902E-3</c:v>
                </c:pt>
                <c:pt idx="106">
                  <c:v>8.0042792219880976E-3</c:v>
                </c:pt>
                <c:pt idx="107">
                  <c:v>1.2840817568407825E-2</c:v>
                </c:pt>
                <c:pt idx="108">
                  <c:v>1.1599407432037356E-2</c:v>
                </c:pt>
                <c:pt idx="109">
                  <c:v>9.1986998077666637E-3</c:v>
                </c:pt>
                <c:pt idx="110">
                  <c:v>5.5817776470803437E-3</c:v>
                </c:pt>
                <c:pt idx="111">
                  <c:v>5.760767358639729E-3</c:v>
                </c:pt>
                <c:pt idx="112">
                  <c:v>8.6604274334343145E-3</c:v>
                </c:pt>
                <c:pt idx="113">
                  <c:v>1.2667665391374872E-2</c:v>
                </c:pt>
                <c:pt idx="114">
                  <c:v>1.4788318142908707E-2</c:v>
                </c:pt>
                <c:pt idx="115">
                  <c:v>1.5589816626889963E-2</c:v>
                </c:pt>
                <c:pt idx="116">
                  <c:v>1.4523065751252062E-2</c:v>
                </c:pt>
                <c:pt idx="117">
                  <c:v>1.5679392335299136E-2</c:v>
                </c:pt>
                <c:pt idx="118">
                  <c:v>1.3074247234099445E-2</c:v>
                </c:pt>
                <c:pt idx="119">
                  <c:v>1.6393211910646022E-2</c:v>
                </c:pt>
                <c:pt idx="120">
                  <c:v>1.2680328333018576E-2</c:v>
                </c:pt>
                <c:pt idx="121">
                  <c:v>1.6057554387521877E-2</c:v>
                </c:pt>
                <c:pt idx="122">
                  <c:v>1.670821844925352E-2</c:v>
                </c:pt>
                <c:pt idx="123">
                  <c:v>1.9046826764953506E-2</c:v>
                </c:pt>
                <c:pt idx="124">
                  <c:v>2.0257239361039181E-2</c:v>
                </c:pt>
                <c:pt idx="125">
                  <c:v>2.226284244788812E-2</c:v>
                </c:pt>
                <c:pt idx="126">
                  <c:v>2.7080227011302638E-2</c:v>
                </c:pt>
                <c:pt idx="127">
                  <c:v>2.507348485505978E-2</c:v>
                </c:pt>
                <c:pt idx="128">
                  <c:v>2.9028769630195184E-2</c:v>
                </c:pt>
                <c:pt idx="129">
                  <c:v>2.9054540524308559E-2</c:v>
                </c:pt>
                <c:pt idx="130">
                  <c:v>3.1065866955076737E-2</c:v>
                </c:pt>
                <c:pt idx="131">
                  <c:v>2.8914240041556738E-2</c:v>
                </c:pt>
                <c:pt idx="132">
                  <c:v>3.1367034589479648E-2</c:v>
                </c:pt>
                <c:pt idx="133">
                  <c:v>3.4025036316064572E-2</c:v>
                </c:pt>
                <c:pt idx="134">
                  <c:v>3.1140665441858006E-2</c:v>
                </c:pt>
                <c:pt idx="135">
                  <c:v>3.6463258458938164E-2</c:v>
                </c:pt>
                <c:pt idx="136">
                  <c:v>4.0308853101214792E-2</c:v>
                </c:pt>
                <c:pt idx="137">
                  <c:v>3.9682928524758188E-2</c:v>
                </c:pt>
                <c:pt idx="138">
                  <c:v>3.9882260245696521E-2</c:v>
                </c:pt>
                <c:pt idx="139">
                  <c:v>3.6604896359384576E-2</c:v>
                </c:pt>
                <c:pt idx="140">
                  <c:v>3.6006954584177686E-2</c:v>
                </c:pt>
                <c:pt idx="141">
                  <c:v>3.9731371474901467E-2</c:v>
                </c:pt>
                <c:pt idx="142">
                  <c:v>3.9469672681920143E-2</c:v>
                </c:pt>
                <c:pt idx="143">
                  <c:v>4.2786593466085376E-2</c:v>
                </c:pt>
                <c:pt idx="144">
                  <c:v>4.2601400601799622E-2</c:v>
                </c:pt>
                <c:pt idx="145">
                  <c:v>4.061775602291906E-2</c:v>
                </c:pt>
                <c:pt idx="146">
                  <c:v>4.1936883270007996E-2</c:v>
                </c:pt>
                <c:pt idx="147">
                  <c:v>4.0323267442913924E-2</c:v>
                </c:pt>
                <c:pt idx="148">
                  <c:v>4.4034952534953486E-2</c:v>
                </c:pt>
                <c:pt idx="149">
                  <c:v>4.7539645765596106E-2</c:v>
                </c:pt>
                <c:pt idx="150">
                  <c:v>4.530639656072788E-2</c:v>
                </c:pt>
                <c:pt idx="151">
                  <c:v>4.5842994957055572E-2</c:v>
                </c:pt>
                <c:pt idx="152">
                  <c:v>4.288648715057497E-2</c:v>
                </c:pt>
                <c:pt idx="153">
                  <c:v>4.3534024084484146E-2</c:v>
                </c:pt>
                <c:pt idx="154">
                  <c:v>4.1630240872084778E-2</c:v>
                </c:pt>
                <c:pt idx="155">
                  <c:v>4.3434535581422962E-2</c:v>
                </c:pt>
                <c:pt idx="156">
                  <c:v>4.1748288266602485E-2</c:v>
                </c:pt>
                <c:pt idx="157">
                  <c:v>4.7043762335210237E-2</c:v>
                </c:pt>
                <c:pt idx="158">
                  <c:v>4.4505811284845986E-2</c:v>
                </c:pt>
                <c:pt idx="159">
                  <c:v>4.5403781842400681E-2</c:v>
                </c:pt>
                <c:pt idx="160">
                  <c:v>4.6212526657322561E-2</c:v>
                </c:pt>
                <c:pt idx="161">
                  <c:v>4.8023164992913703E-2</c:v>
                </c:pt>
                <c:pt idx="162">
                  <c:v>4.8388949052229124E-2</c:v>
                </c:pt>
                <c:pt idx="163">
                  <c:v>4.7550120397782614E-2</c:v>
                </c:pt>
                <c:pt idx="164">
                  <c:v>4.7230979210520108E-2</c:v>
                </c:pt>
                <c:pt idx="165">
                  <c:v>4.995283603422096E-2</c:v>
                </c:pt>
                <c:pt idx="166">
                  <c:v>4.6444665389698159E-2</c:v>
                </c:pt>
                <c:pt idx="167">
                  <c:v>5.080174460237652E-2</c:v>
                </c:pt>
                <c:pt idx="168">
                  <c:v>5.0941833721548591E-2</c:v>
                </c:pt>
                <c:pt idx="169">
                  <c:v>4.6284321058311262E-2</c:v>
                </c:pt>
                <c:pt idx="170">
                  <c:v>4.6893233863728456E-2</c:v>
                </c:pt>
                <c:pt idx="171">
                  <c:v>4.311918759019373E-2</c:v>
                </c:pt>
                <c:pt idx="172">
                  <c:v>4.5997155178712612E-2</c:v>
                </c:pt>
                <c:pt idx="173">
                  <c:v>4.1476420020269966E-2</c:v>
                </c:pt>
                <c:pt idx="174">
                  <c:v>4.1606153510209909E-2</c:v>
                </c:pt>
                <c:pt idx="175">
                  <c:v>4.5734533964110424E-2</c:v>
                </c:pt>
                <c:pt idx="176">
                  <c:v>4.6296090362391462E-2</c:v>
                </c:pt>
                <c:pt idx="177">
                  <c:v>4.4910526925660665E-2</c:v>
                </c:pt>
                <c:pt idx="178">
                  <c:v>4.5065408933758766E-2</c:v>
                </c:pt>
                <c:pt idx="179">
                  <c:v>4.185002737511434E-2</c:v>
                </c:pt>
                <c:pt idx="180">
                  <c:v>3.8043073440058306E-2</c:v>
                </c:pt>
                <c:pt idx="181">
                  <c:v>3.9758760468819654E-2</c:v>
                </c:pt>
                <c:pt idx="182">
                  <c:v>3.6616574340965657E-2</c:v>
                </c:pt>
                <c:pt idx="183">
                  <c:v>3.8159568731517046E-2</c:v>
                </c:pt>
                <c:pt idx="184">
                  <c:v>3.8922118543007311E-2</c:v>
                </c:pt>
                <c:pt idx="185">
                  <c:v>3.5777501158547276E-2</c:v>
                </c:pt>
                <c:pt idx="186">
                  <c:v>3.442941451416881E-2</c:v>
                </c:pt>
                <c:pt idx="187">
                  <c:v>3.6654504958997025E-2</c:v>
                </c:pt>
                <c:pt idx="188">
                  <c:v>3.9014476882166527E-2</c:v>
                </c:pt>
                <c:pt idx="189">
                  <c:v>3.5966086756545668E-2</c:v>
                </c:pt>
                <c:pt idx="190">
                  <c:v>3.936691950016491E-2</c:v>
                </c:pt>
                <c:pt idx="191">
                  <c:v>3.8590179303027661E-2</c:v>
                </c:pt>
                <c:pt idx="192">
                  <c:v>3.9576796158182992E-2</c:v>
                </c:pt>
                <c:pt idx="193">
                  <c:v>4.3217020101639525E-2</c:v>
                </c:pt>
                <c:pt idx="194">
                  <c:v>4.4294783789569303E-2</c:v>
                </c:pt>
                <c:pt idx="195">
                  <c:v>4.684375523992923E-2</c:v>
                </c:pt>
                <c:pt idx="196">
                  <c:v>4.8323936026341663E-2</c:v>
                </c:pt>
                <c:pt idx="197">
                  <c:v>4.7732386661208048E-2</c:v>
                </c:pt>
                <c:pt idx="198">
                  <c:v>4.7673975624759057E-2</c:v>
                </c:pt>
                <c:pt idx="199">
                  <c:v>4.728497402311449E-2</c:v>
                </c:pt>
                <c:pt idx="200">
                  <c:v>5.1380932647244304E-2</c:v>
                </c:pt>
                <c:pt idx="201">
                  <c:v>5.2922902332550148E-2</c:v>
                </c:pt>
                <c:pt idx="202">
                  <c:v>5.4574453845334325E-2</c:v>
                </c:pt>
                <c:pt idx="203">
                  <c:v>5.4276693084624794E-2</c:v>
                </c:pt>
                <c:pt idx="204">
                  <c:v>5.257857260907417E-2</c:v>
                </c:pt>
                <c:pt idx="205">
                  <c:v>5.0988296381643261E-2</c:v>
                </c:pt>
                <c:pt idx="206">
                  <c:v>4.3329483244106459E-2</c:v>
                </c:pt>
                <c:pt idx="207">
                  <c:v>4.6512421041532415E-2</c:v>
                </c:pt>
                <c:pt idx="208">
                  <c:v>4.1797175996533875E-2</c:v>
                </c:pt>
                <c:pt idx="209">
                  <c:v>4.6308221540731553E-2</c:v>
                </c:pt>
                <c:pt idx="210">
                  <c:v>5.0499830455647432E-2</c:v>
                </c:pt>
                <c:pt idx="211">
                  <c:v>5.7314303010374879E-2</c:v>
                </c:pt>
                <c:pt idx="212">
                  <c:v>5.8004729123672716E-2</c:v>
                </c:pt>
                <c:pt idx="213">
                  <c:v>6.1126855490744036E-2</c:v>
                </c:pt>
                <c:pt idx="214">
                  <c:v>6.1967740492308687E-2</c:v>
                </c:pt>
                <c:pt idx="215">
                  <c:v>6.1878373300931599E-2</c:v>
                </c:pt>
                <c:pt idx="216">
                  <c:v>5.7349934646478751E-2</c:v>
                </c:pt>
                <c:pt idx="217">
                  <c:v>6.1691812454246708E-2</c:v>
                </c:pt>
                <c:pt idx="218">
                  <c:v>6.4756106999936058E-2</c:v>
                </c:pt>
                <c:pt idx="219">
                  <c:v>6.5400081008936573E-2</c:v>
                </c:pt>
                <c:pt idx="220">
                  <c:v>6.3263120672219175E-2</c:v>
                </c:pt>
                <c:pt idx="221">
                  <c:v>6.431811287376199E-2</c:v>
                </c:pt>
                <c:pt idx="222">
                  <c:v>6.3966485400069217E-2</c:v>
                </c:pt>
                <c:pt idx="223">
                  <c:v>6.7091977049679841E-2</c:v>
                </c:pt>
                <c:pt idx="224">
                  <c:v>7.1956710596006834E-2</c:v>
                </c:pt>
                <c:pt idx="225">
                  <c:v>7.2587650923175984E-2</c:v>
                </c:pt>
                <c:pt idx="226">
                  <c:v>7.3646266650667203E-2</c:v>
                </c:pt>
                <c:pt idx="227">
                  <c:v>7.5664868178426437E-2</c:v>
                </c:pt>
                <c:pt idx="228">
                  <c:v>7.3095316473904548E-2</c:v>
                </c:pt>
                <c:pt idx="229">
                  <c:v>7.7527657264180538E-2</c:v>
                </c:pt>
                <c:pt idx="230">
                  <c:v>7.8587899213943935E-2</c:v>
                </c:pt>
                <c:pt idx="231">
                  <c:v>7.9637266805919538E-2</c:v>
                </c:pt>
                <c:pt idx="232">
                  <c:v>8.2719010303011764E-2</c:v>
                </c:pt>
                <c:pt idx="233">
                  <c:v>8.1978552381301917E-2</c:v>
                </c:pt>
                <c:pt idx="234">
                  <c:v>8.2974425708024047E-2</c:v>
                </c:pt>
                <c:pt idx="235">
                  <c:v>8.1588486294303042E-2</c:v>
                </c:pt>
                <c:pt idx="236">
                  <c:v>8.4488985518211379E-2</c:v>
                </c:pt>
                <c:pt idx="237">
                  <c:v>8.5527682320606591E-2</c:v>
                </c:pt>
                <c:pt idx="238">
                  <c:v>8.5076012242940813E-2</c:v>
                </c:pt>
                <c:pt idx="239">
                  <c:v>8.9128802099711635E-2</c:v>
                </c:pt>
                <c:pt idx="240">
                  <c:v>9.2027557193841591E-2</c:v>
                </c:pt>
                <c:pt idx="241">
                  <c:v>9.4099059347467984E-2</c:v>
                </c:pt>
                <c:pt idx="242">
                  <c:v>9.3943682197664025E-2</c:v>
                </c:pt>
                <c:pt idx="243">
                  <c:v>9.0384854320504138E-2</c:v>
                </c:pt>
                <c:pt idx="244">
                  <c:v>9.1106820536713151E-2</c:v>
                </c:pt>
                <c:pt idx="245">
                  <c:v>9.4657656908432308E-2</c:v>
                </c:pt>
                <c:pt idx="246">
                  <c:v>9.4756961035457499E-2</c:v>
                </c:pt>
                <c:pt idx="247">
                  <c:v>9.7235813838412399E-2</c:v>
                </c:pt>
                <c:pt idx="248">
                  <c:v>9.8648540812371621E-2</c:v>
                </c:pt>
                <c:pt idx="249">
                  <c:v>9.9795819944806796E-2</c:v>
                </c:pt>
                <c:pt idx="250">
                  <c:v>0.10022883031310403</c:v>
                </c:pt>
                <c:pt idx="251">
                  <c:v>0.10023422548274596</c:v>
                </c:pt>
                <c:pt idx="252">
                  <c:v>0.10236730400576022</c:v>
                </c:pt>
                <c:pt idx="253">
                  <c:v>0.10187213030347864</c:v>
                </c:pt>
                <c:pt idx="254">
                  <c:v>0.10751944711842998</c:v>
                </c:pt>
                <c:pt idx="255">
                  <c:v>0.11255712009852514</c:v>
                </c:pt>
                <c:pt idx="256">
                  <c:v>0.10978456976625717</c:v>
                </c:pt>
                <c:pt idx="257">
                  <c:v>0.1114445784448852</c:v>
                </c:pt>
                <c:pt idx="258">
                  <c:v>0.10869912340015131</c:v>
                </c:pt>
                <c:pt idx="259">
                  <c:v>0.11135070067401909</c:v>
                </c:pt>
                <c:pt idx="260">
                  <c:v>0.10725259246198049</c:v>
                </c:pt>
                <c:pt idx="261">
                  <c:v>0.1084263579473097</c:v>
                </c:pt>
                <c:pt idx="262">
                  <c:v>0.10896630027221699</c:v>
                </c:pt>
                <c:pt idx="263">
                  <c:v>0.10960526943556759</c:v>
                </c:pt>
                <c:pt idx="264">
                  <c:v>0.10862529711792623</c:v>
                </c:pt>
                <c:pt idx="265">
                  <c:v>0.10674038125956775</c:v>
                </c:pt>
                <c:pt idx="266">
                  <c:v>0.10695232289560708</c:v>
                </c:pt>
                <c:pt idx="267">
                  <c:v>0.104694284397993</c:v>
                </c:pt>
                <c:pt idx="268">
                  <c:v>0.10117198330620703</c:v>
                </c:pt>
                <c:pt idx="269">
                  <c:v>0.1065214359466331</c:v>
                </c:pt>
                <c:pt idx="270">
                  <c:v>0.10065414781935722</c:v>
                </c:pt>
                <c:pt idx="271">
                  <c:v>0.107140688192227</c:v>
                </c:pt>
                <c:pt idx="272">
                  <c:v>0.11020550090232017</c:v>
                </c:pt>
                <c:pt idx="273">
                  <c:v>0.1136051417486692</c:v>
                </c:pt>
                <c:pt idx="274">
                  <c:v>0.11570304837226519</c:v>
                </c:pt>
                <c:pt idx="275">
                  <c:v>0.12022086296005785</c:v>
                </c:pt>
                <c:pt idx="276">
                  <c:v>0.12155466019573735</c:v>
                </c:pt>
                <c:pt idx="277">
                  <c:v>0.12120916350894739</c:v>
                </c:pt>
                <c:pt idx="278">
                  <c:v>0.11915027496542696</c:v>
                </c:pt>
                <c:pt idx="279">
                  <c:v>0.12127301415580027</c:v>
                </c:pt>
                <c:pt idx="280">
                  <c:v>0.1227162140087501</c:v>
                </c:pt>
                <c:pt idx="281">
                  <c:v>0.12576071307132963</c:v>
                </c:pt>
                <c:pt idx="282">
                  <c:v>0.1243763184557698</c:v>
                </c:pt>
                <c:pt idx="283">
                  <c:v>0.12580010333153613</c:v>
                </c:pt>
                <c:pt idx="284">
                  <c:v>0.11851008429431631</c:v>
                </c:pt>
                <c:pt idx="285">
                  <c:v>0.12161179802423061</c:v>
                </c:pt>
                <c:pt idx="286">
                  <c:v>0.12374602893674247</c:v>
                </c:pt>
                <c:pt idx="287">
                  <c:v>0.11701650678159625</c:v>
                </c:pt>
                <c:pt idx="288">
                  <c:v>0.11217084425624191</c:v>
                </c:pt>
                <c:pt idx="289">
                  <c:v>0.11601040908780047</c:v>
                </c:pt>
                <c:pt idx="290">
                  <c:v>0.11625884536162578</c:v>
                </c:pt>
                <c:pt idx="291">
                  <c:v>0.1150098872114873</c:v>
                </c:pt>
                <c:pt idx="292">
                  <c:v>0.11516815972279937</c:v>
                </c:pt>
                <c:pt idx="293">
                  <c:v>0.12057399210192976</c:v>
                </c:pt>
                <c:pt idx="294">
                  <c:v>0.11297324296879085</c:v>
                </c:pt>
                <c:pt idx="295">
                  <c:v>0.11310973356680964</c:v>
                </c:pt>
                <c:pt idx="296">
                  <c:v>0.11371372495694176</c:v>
                </c:pt>
                <c:pt idx="297">
                  <c:v>0.11945152702586226</c:v>
                </c:pt>
                <c:pt idx="298">
                  <c:v>0.11875899243650889</c:v>
                </c:pt>
                <c:pt idx="299">
                  <c:v>0.12019041461665303</c:v>
                </c:pt>
                <c:pt idx="300">
                  <c:v>0.12009976351722562</c:v>
                </c:pt>
                <c:pt idx="301">
                  <c:v>0.12395168844579896</c:v>
                </c:pt>
                <c:pt idx="302">
                  <c:v>0.11890953743433563</c:v>
                </c:pt>
                <c:pt idx="303">
                  <c:v>0.1200060384377748</c:v>
                </c:pt>
                <c:pt idx="304">
                  <c:v>0.11905483396527528</c:v>
                </c:pt>
                <c:pt idx="305">
                  <c:v>0.11574925331995356</c:v>
                </c:pt>
                <c:pt idx="306">
                  <c:v>0.11361624701130668</c:v>
                </c:pt>
                <c:pt idx="307">
                  <c:v>0.11647072678659809</c:v>
                </c:pt>
                <c:pt idx="308">
                  <c:v>0.11998961167313649</c:v>
                </c:pt>
                <c:pt idx="309">
                  <c:v>0.12061475029476187</c:v>
                </c:pt>
                <c:pt idx="310">
                  <c:v>0.12338419188994587</c:v>
                </c:pt>
                <c:pt idx="311">
                  <c:v>0.12406694269865359</c:v>
                </c:pt>
                <c:pt idx="312">
                  <c:v>0.12420352844676374</c:v>
                </c:pt>
                <c:pt idx="313">
                  <c:v>0.1273006556227021</c:v>
                </c:pt>
                <c:pt idx="314">
                  <c:v>0.12760697689975875</c:v>
                </c:pt>
                <c:pt idx="315">
                  <c:v>0.12804380078576405</c:v>
                </c:pt>
                <c:pt idx="316">
                  <c:v>0.13004490463933571</c:v>
                </c:pt>
                <c:pt idx="317">
                  <c:v>0.13029693381910934</c:v>
                </c:pt>
                <c:pt idx="318">
                  <c:v>0.13173429251354052</c:v>
                </c:pt>
                <c:pt idx="319">
                  <c:v>0.13131004568869331</c:v>
                </c:pt>
                <c:pt idx="320">
                  <c:v>0.13296002783170069</c:v>
                </c:pt>
                <c:pt idx="321">
                  <c:v>0.13386049689424073</c:v>
                </c:pt>
                <c:pt idx="322">
                  <c:v>0.13577734923371709</c:v>
                </c:pt>
                <c:pt idx="323">
                  <c:v>0.13575984157238552</c:v>
                </c:pt>
                <c:pt idx="324">
                  <c:v>0.13347543118967486</c:v>
                </c:pt>
                <c:pt idx="325">
                  <c:v>0.13280453321389629</c:v>
                </c:pt>
                <c:pt idx="326">
                  <c:v>0.13627010639265746</c:v>
                </c:pt>
                <c:pt idx="327">
                  <c:v>0.13749900808555537</c:v>
                </c:pt>
                <c:pt idx="328">
                  <c:v>0.13710586648983392</c:v>
                </c:pt>
                <c:pt idx="329">
                  <c:v>0.13884898971245074</c:v>
                </c:pt>
                <c:pt idx="330">
                  <c:v>0.13945664055918572</c:v>
                </c:pt>
                <c:pt idx="331">
                  <c:v>0.13834291596602166</c:v>
                </c:pt>
                <c:pt idx="332">
                  <c:v>0.13844782901493735</c:v>
                </c:pt>
                <c:pt idx="333">
                  <c:v>0.13684325539012665</c:v>
                </c:pt>
                <c:pt idx="334">
                  <c:v>0.13898749161820967</c:v>
                </c:pt>
                <c:pt idx="335">
                  <c:v>0.14014392239287554</c:v>
                </c:pt>
                <c:pt idx="336">
                  <c:v>0.14331210950650819</c:v>
                </c:pt>
                <c:pt idx="337">
                  <c:v>0.14176479345489734</c:v>
                </c:pt>
                <c:pt idx="338">
                  <c:v>0.14311558338718222</c:v>
                </c:pt>
                <c:pt idx="339">
                  <c:v>0.13844151748014055</c:v>
                </c:pt>
                <c:pt idx="340">
                  <c:v>0.13857969287946714</c:v>
                </c:pt>
                <c:pt idx="341">
                  <c:v>0.14111746923638746</c:v>
                </c:pt>
                <c:pt idx="342">
                  <c:v>0.14394511004786947</c:v>
                </c:pt>
                <c:pt idx="343">
                  <c:v>0.14342802597120108</c:v>
                </c:pt>
                <c:pt idx="344">
                  <c:v>0.14230378417511291</c:v>
                </c:pt>
                <c:pt idx="345">
                  <c:v>0.14434774826058683</c:v>
                </c:pt>
                <c:pt idx="346">
                  <c:v>0.14477693987248075</c:v>
                </c:pt>
                <c:pt idx="347">
                  <c:v>0.14710825082211176</c:v>
                </c:pt>
                <c:pt idx="348">
                  <c:v>0.14617306935592889</c:v>
                </c:pt>
                <c:pt idx="349">
                  <c:v>0.14771123147293297</c:v>
                </c:pt>
                <c:pt idx="350">
                  <c:v>0.14986700189454649</c:v>
                </c:pt>
                <c:pt idx="351">
                  <c:v>0.15199820299799471</c:v>
                </c:pt>
                <c:pt idx="352">
                  <c:v>0.15405911664233285</c:v>
                </c:pt>
                <c:pt idx="353">
                  <c:v>0.15585374571862576</c:v>
                </c:pt>
                <c:pt idx="354">
                  <c:v>0.15722173943483742</c:v>
                </c:pt>
                <c:pt idx="355">
                  <c:v>0.1582137154678569</c:v>
                </c:pt>
                <c:pt idx="356">
                  <c:v>0.15823857924067197</c:v>
                </c:pt>
                <c:pt idx="357">
                  <c:v>0.15717341050862221</c:v>
                </c:pt>
                <c:pt idx="358">
                  <c:v>0.15742014221052192</c:v>
                </c:pt>
                <c:pt idx="359">
                  <c:v>0.15854525441896627</c:v>
                </c:pt>
                <c:pt idx="360">
                  <c:v>0.15812004961823356</c:v>
                </c:pt>
                <c:pt idx="361">
                  <c:v>0.1599366268893494</c:v>
                </c:pt>
                <c:pt idx="362">
                  <c:v>0.15990552762320487</c:v>
                </c:pt>
                <c:pt idx="363">
                  <c:v>0.15985465841540258</c:v>
                </c:pt>
                <c:pt idx="364">
                  <c:v>0.15764222400969219</c:v>
                </c:pt>
                <c:pt idx="365">
                  <c:v>0.15834660675892986</c:v>
                </c:pt>
                <c:pt idx="366">
                  <c:v>0.16125012597066268</c:v>
                </c:pt>
                <c:pt idx="367">
                  <c:v>0.16149151517740901</c:v>
                </c:pt>
                <c:pt idx="368">
                  <c:v>0.16273232401125504</c:v>
                </c:pt>
                <c:pt idx="369">
                  <c:v>0.16464969472419755</c:v>
                </c:pt>
                <c:pt idx="370">
                  <c:v>0.16446883832148562</c:v>
                </c:pt>
                <c:pt idx="371">
                  <c:v>0.16574711153597477</c:v>
                </c:pt>
                <c:pt idx="372">
                  <c:v>0.16622695331137871</c:v>
                </c:pt>
                <c:pt idx="373">
                  <c:v>0.1667153198303124</c:v>
                </c:pt>
                <c:pt idx="374">
                  <c:v>0.16633832858677255</c:v>
                </c:pt>
                <c:pt idx="375">
                  <c:v>0.16938840972604208</c:v>
                </c:pt>
                <c:pt idx="376">
                  <c:v>0.16921077334347978</c:v>
                </c:pt>
                <c:pt idx="377">
                  <c:v>0.16533365502974218</c:v>
                </c:pt>
                <c:pt idx="378">
                  <c:v>0.166685836973538</c:v>
                </c:pt>
                <c:pt idx="379">
                  <c:v>0.1628451732792926</c:v>
                </c:pt>
                <c:pt idx="380">
                  <c:v>0.16414311336331688</c:v>
                </c:pt>
                <c:pt idx="381">
                  <c:v>0.16749572179229899</c:v>
                </c:pt>
                <c:pt idx="382">
                  <c:v>0.16946127280014345</c:v>
                </c:pt>
                <c:pt idx="383">
                  <c:v>0.16951913462476398</c:v>
                </c:pt>
                <c:pt idx="384">
                  <c:v>0.16837735198924775</c:v>
                </c:pt>
                <c:pt idx="385">
                  <c:v>0.1673380451569324</c:v>
                </c:pt>
                <c:pt idx="386">
                  <c:v>0.16178690652855088</c:v>
                </c:pt>
                <c:pt idx="387">
                  <c:v>0.16438557076364635</c:v>
                </c:pt>
                <c:pt idx="388">
                  <c:v>0.16718457677808662</c:v>
                </c:pt>
                <c:pt idx="389">
                  <c:v>0.17017751763862354</c:v>
                </c:pt>
                <c:pt idx="390">
                  <c:v>0.16948059102685509</c:v>
                </c:pt>
                <c:pt idx="391">
                  <c:v>0.16834868573441897</c:v>
                </c:pt>
                <c:pt idx="392">
                  <c:v>0.16361999174088848</c:v>
                </c:pt>
                <c:pt idx="393">
                  <c:v>0.16718475529414034</c:v>
                </c:pt>
                <c:pt idx="394">
                  <c:v>0.16933421512035274</c:v>
                </c:pt>
                <c:pt idx="395">
                  <c:v>0.16472320622474035</c:v>
                </c:pt>
                <c:pt idx="396">
                  <c:v>0.16554281221648193</c:v>
                </c:pt>
                <c:pt idx="397">
                  <c:v>0.16686264341555201</c:v>
                </c:pt>
                <c:pt idx="398">
                  <c:v>0.16510129889267122</c:v>
                </c:pt>
                <c:pt idx="399">
                  <c:v>0.1666507866968201</c:v>
                </c:pt>
                <c:pt idx="400">
                  <c:v>0.16901213027985085</c:v>
                </c:pt>
                <c:pt idx="401">
                  <c:v>0.16968538987875958</c:v>
                </c:pt>
                <c:pt idx="402">
                  <c:v>0.17038156773038193</c:v>
                </c:pt>
                <c:pt idx="403">
                  <c:v>0.17043607506567238</c:v>
                </c:pt>
                <c:pt idx="404">
                  <c:v>0.16916303448405534</c:v>
                </c:pt>
                <c:pt idx="405">
                  <c:v>0.16744497763844879</c:v>
                </c:pt>
                <c:pt idx="406">
                  <c:v>0.16177140711094329</c:v>
                </c:pt>
                <c:pt idx="407">
                  <c:v>0.15750052118428326</c:v>
                </c:pt>
                <c:pt idx="408">
                  <c:v>0.15646777254411437</c:v>
                </c:pt>
                <c:pt idx="409">
                  <c:v>0.15798951175003695</c:v>
                </c:pt>
                <c:pt idx="410">
                  <c:v>0.16037080725091868</c:v>
                </c:pt>
                <c:pt idx="411">
                  <c:v>0.1612232930109827</c:v>
                </c:pt>
                <c:pt idx="412">
                  <c:v>0.16577039812360361</c:v>
                </c:pt>
                <c:pt idx="413">
                  <c:v>0.168313381792631</c:v>
                </c:pt>
                <c:pt idx="414">
                  <c:v>0.16558790086463571</c:v>
                </c:pt>
                <c:pt idx="415">
                  <c:v>0.16957137552605173</c:v>
                </c:pt>
                <c:pt idx="416">
                  <c:v>0.1691232122572337</c:v>
                </c:pt>
                <c:pt idx="417">
                  <c:v>0.16799366045413411</c:v>
                </c:pt>
                <c:pt idx="418">
                  <c:v>0.16932563606186379</c:v>
                </c:pt>
                <c:pt idx="419">
                  <c:v>0.16676244276541552</c:v>
                </c:pt>
                <c:pt idx="420">
                  <c:v>0.16788640687753453</c:v>
                </c:pt>
                <c:pt idx="421">
                  <c:v>0.16961555202778578</c:v>
                </c:pt>
                <c:pt idx="422">
                  <c:v>0.16578014446796052</c:v>
                </c:pt>
                <c:pt idx="423">
                  <c:v>0.1672103678423591</c:v>
                </c:pt>
                <c:pt idx="424">
                  <c:v>0.16691523832380528</c:v>
                </c:pt>
                <c:pt idx="425">
                  <c:v>0.16933820057625559</c:v>
                </c:pt>
                <c:pt idx="426">
                  <c:v>0.1696457693757083</c:v>
                </c:pt>
                <c:pt idx="427">
                  <c:v>0.17043751482330372</c:v>
                </c:pt>
                <c:pt idx="428">
                  <c:v>0.17010127435614719</c:v>
                </c:pt>
                <c:pt idx="429">
                  <c:v>0.16767939858268588</c:v>
                </c:pt>
                <c:pt idx="430">
                  <c:v>0.16170063368711118</c:v>
                </c:pt>
                <c:pt idx="431">
                  <c:v>0.16382639834472523</c:v>
                </c:pt>
                <c:pt idx="432">
                  <c:v>0.16803354595777087</c:v>
                </c:pt>
                <c:pt idx="433">
                  <c:v>0.17366310320886047</c:v>
                </c:pt>
                <c:pt idx="434">
                  <c:v>0.17430826979597325</c:v>
                </c:pt>
                <c:pt idx="435">
                  <c:v>0.17526113757791473</c:v>
                </c:pt>
                <c:pt idx="436">
                  <c:v>0.17109329564725462</c:v>
                </c:pt>
                <c:pt idx="437">
                  <c:v>0.17231751132891082</c:v>
                </c:pt>
                <c:pt idx="438">
                  <c:v>0.17301291369047989</c:v>
                </c:pt>
                <c:pt idx="439">
                  <c:v>0.17601745455920215</c:v>
                </c:pt>
                <c:pt idx="440">
                  <c:v>0.17244572802098901</c:v>
                </c:pt>
                <c:pt idx="441">
                  <c:v>0.17334854458155524</c:v>
                </c:pt>
                <c:pt idx="442">
                  <c:v>0.17257822523834188</c:v>
                </c:pt>
                <c:pt idx="443">
                  <c:v>0.17439949035896296</c:v>
                </c:pt>
                <c:pt idx="444">
                  <c:v>0.17777570313272428</c:v>
                </c:pt>
                <c:pt idx="445">
                  <c:v>0.17711980387434023</c:v>
                </c:pt>
                <c:pt idx="446">
                  <c:v>0.17727778134237671</c:v>
                </c:pt>
                <c:pt idx="447">
                  <c:v>0.17878410994742211</c:v>
                </c:pt>
                <c:pt idx="448">
                  <c:v>0.18111615511807599</c:v>
                </c:pt>
                <c:pt idx="449">
                  <c:v>0.18246138830687175</c:v>
                </c:pt>
                <c:pt idx="450">
                  <c:v>0.17823294251741717</c:v>
                </c:pt>
                <c:pt idx="451">
                  <c:v>0.17815745074267419</c:v>
                </c:pt>
                <c:pt idx="452">
                  <c:v>0.17492708784061994</c:v>
                </c:pt>
                <c:pt idx="453">
                  <c:v>0.17089342727660184</c:v>
                </c:pt>
                <c:pt idx="454">
                  <c:v>0.1740979818666919</c:v>
                </c:pt>
                <c:pt idx="455">
                  <c:v>0.1698980259104621</c:v>
                </c:pt>
                <c:pt idx="456">
                  <c:v>0.16739301240261462</c:v>
                </c:pt>
                <c:pt idx="457">
                  <c:v>0.16732114881940241</c:v>
                </c:pt>
                <c:pt idx="458">
                  <c:v>0.16607794510855167</c:v>
                </c:pt>
                <c:pt idx="459">
                  <c:v>0.16932246936374895</c:v>
                </c:pt>
                <c:pt idx="460">
                  <c:v>0.17233839493035674</c:v>
                </c:pt>
                <c:pt idx="461">
                  <c:v>0.17002429955143827</c:v>
                </c:pt>
                <c:pt idx="462">
                  <c:v>0.17217850382648026</c:v>
                </c:pt>
                <c:pt idx="463">
                  <c:v>0.1721043643516873</c:v>
                </c:pt>
                <c:pt idx="464">
                  <c:v>0.17220597080054456</c:v>
                </c:pt>
                <c:pt idx="465">
                  <c:v>0.17522473469367017</c:v>
                </c:pt>
                <c:pt idx="466">
                  <c:v>0.17960334527260535</c:v>
                </c:pt>
                <c:pt idx="467">
                  <c:v>0.17924566749919402</c:v>
                </c:pt>
                <c:pt idx="468">
                  <c:v>0.17710421571990342</c:v>
                </c:pt>
                <c:pt idx="469">
                  <c:v>0.17457708482566159</c:v>
                </c:pt>
                <c:pt idx="470">
                  <c:v>0.17499326545977567</c:v>
                </c:pt>
                <c:pt idx="471">
                  <c:v>0.17659536317221081</c:v>
                </c:pt>
                <c:pt idx="472">
                  <c:v>0.17452470898343342</c:v>
                </c:pt>
                <c:pt idx="473">
                  <c:v>0.17665621475844184</c:v>
                </c:pt>
                <c:pt idx="474">
                  <c:v>0.1779097347948122</c:v>
                </c:pt>
                <c:pt idx="475">
                  <c:v>0.18105147604449034</c:v>
                </c:pt>
                <c:pt idx="476">
                  <c:v>0.17127468576309735</c:v>
                </c:pt>
                <c:pt idx="477">
                  <c:v>0.17360084848639001</c:v>
                </c:pt>
                <c:pt idx="478">
                  <c:v>0.16834965854985251</c:v>
                </c:pt>
                <c:pt idx="479">
                  <c:v>0.16663924491364424</c:v>
                </c:pt>
                <c:pt idx="480">
                  <c:v>0.17313278118108211</c:v>
                </c:pt>
                <c:pt idx="481">
                  <c:v>0.17514478864175942</c:v>
                </c:pt>
                <c:pt idx="482">
                  <c:v>0.17799546830490609</c:v>
                </c:pt>
                <c:pt idx="483">
                  <c:v>0.17966234753962995</c:v>
                </c:pt>
                <c:pt idx="484">
                  <c:v>0.18162209288263553</c:v>
                </c:pt>
                <c:pt idx="485">
                  <c:v>0.17934734364407956</c:v>
                </c:pt>
                <c:pt idx="486">
                  <c:v>0.18287666144502523</c:v>
                </c:pt>
                <c:pt idx="487">
                  <c:v>0.18201140669958593</c:v>
                </c:pt>
                <c:pt idx="488">
                  <c:v>0.18037373411571522</c:v>
                </c:pt>
                <c:pt idx="489">
                  <c:v>0.18260745051640415</c:v>
                </c:pt>
                <c:pt idx="490">
                  <c:v>0.1819315431288242</c:v>
                </c:pt>
                <c:pt idx="491">
                  <c:v>0.18024388127787905</c:v>
                </c:pt>
                <c:pt idx="492">
                  <c:v>0.17502062528025197</c:v>
                </c:pt>
                <c:pt idx="493">
                  <c:v>0.17906696715237924</c:v>
                </c:pt>
                <c:pt idx="494">
                  <c:v>0.17961897652475245</c:v>
                </c:pt>
                <c:pt idx="495">
                  <c:v>0.18024044016147611</c:v>
                </c:pt>
                <c:pt idx="496">
                  <c:v>0.18050617784727918</c:v>
                </c:pt>
                <c:pt idx="497">
                  <c:v>0.18292954824721575</c:v>
                </c:pt>
                <c:pt idx="498">
                  <c:v>0.18270274986489077</c:v>
                </c:pt>
                <c:pt idx="499">
                  <c:v>0.18175608104641294</c:v>
                </c:pt>
                <c:pt idx="500">
                  <c:v>0.18488814942610454</c:v>
                </c:pt>
                <c:pt idx="501">
                  <c:v>0.18543503806206374</c:v>
                </c:pt>
                <c:pt idx="502">
                  <c:v>0.18487078666241286</c:v>
                </c:pt>
                <c:pt idx="503">
                  <c:v>0.18410843573187918</c:v>
                </c:pt>
                <c:pt idx="504">
                  <c:v>0.17862499589552305</c:v>
                </c:pt>
                <c:pt idx="505">
                  <c:v>0.18020310539801065</c:v>
                </c:pt>
                <c:pt idx="506">
                  <c:v>0.18249559556889849</c:v>
                </c:pt>
                <c:pt idx="507">
                  <c:v>0.18220756180809428</c:v>
                </c:pt>
                <c:pt idx="508">
                  <c:v>0.18479871513868495</c:v>
                </c:pt>
                <c:pt idx="509">
                  <c:v>0.189012985505288</c:v>
                </c:pt>
                <c:pt idx="510">
                  <c:v>0.18773214819751338</c:v>
                </c:pt>
                <c:pt idx="511">
                  <c:v>0.19110296964413598</c:v>
                </c:pt>
                <c:pt idx="512">
                  <c:v>0.1910924637889011</c:v>
                </c:pt>
                <c:pt idx="513">
                  <c:v>0.19208555989551179</c:v>
                </c:pt>
                <c:pt idx="514">
                  <c:v>0.19391643305743567</c:v>
                </c:pt>
                <c:pt idx="515">
                  <c:v>0.19713075989200202</c:v>
                </c:pt>
                <c:pt idx="516">
                  <c:v>0.19471599858468136</c:v>
                </c:pt>
                <c:pt idx="517">
                  <c:v>0.19316496032910546</c:v>
                </c:pt>
                <c:pt idx="518">
                  <c:v>0.19682639129669588</c:v>
                </c:pt>
                <c:pt idx="519">
                  <c:v>0.20047543953481917</c:v>
                </c:pt>
                <c:pt idx="520">
                  <c:v>0.20259870037052918</c:v>
                </c:pt>
                <c:pt idx="521">
                  <c:v>0.20300025282277812</c:v>
                </c:pt>
                <c:pt idx="522">
                  <c:v>0.20525421873296845</c:v>
                </c:pt>
                <c:pt idx="523">
                  <c:v>0.20662716325578123</c:v>
                </c:pt>
                <c:pt idx="524">
                  <c:v>0.20655763563508822</c:v>
                </c:pt>
                <c:pt idx="525">
                  <c:v>0.20645350353793201</c:v>
                </c:pt>
                <c:pt idx="526">
                  <c:v>0.20959048041893791</c:v>
                </c:pt>
                <c:pt idx="527">
                  <c:v>0.20938915438845274</c:v>
                </c:pt>
                <c:pt idx="528">
                  <c:v>0.20979479814260449</c:v>
                </c:pt>
                <c:pt idx="529">
                  <c:v>0.21105826815258766</c:v>
                </c:pt>
                <c:pt idx="530">
                  <c:v>0.21347330516647278</c:v>
                </c:pt>
                <c:pt idx="531">
                  <c:v>0.21247906107542747</c:v>
                </c:pt>
                <c:pt idx="532">
                  <c:v>0.21435824277275595</c:v>
                </c:pt>
                <c:pt idx="533">
                  <c:v>0.21579548864767739</c:v>
                </c:pt>
                <c:pt idx="534">
                  <c:v>0.21626359458373678</c:v>
                </c:pt>
                <c:pt idx="535">
                  <c:v>0.21387872092747573</c:v>
                </c:pt>
                <c:pt idx="536">
                  <c:v>0.21188138105430476</c:v>
                </c:pt>
                <c:pt idx="537">
                  <c:v>0.20964981760967616</c:v>
                </c:pt>
                <c:pt idx="538">
                  <c:v>0.21166478130417965</c:v>
                </c:pt>
                <c:pt idx="539">
                  <c:v>0.21066490039620311</c:v>
                </c:pt>
                <c:pt idx="540">
                  <c:v>0.21050289537749944</c:v>
                </c:pt>
                <c:pt idx="541">
                  <c:v>0.21441701001814817</c:v>
                </c:pt>
                <c:pt idx="542">
                  <c:v>0.21531947318446787</c:v>
                </c:pt>
                <c:pt idx="543">
                  <c:v>0.21604197104491374</c:v>
                </c:pt>
                <c:pt idx="544">
                  <c:v>0.21433860499493096</c:v>
                </c:pt>
                <c:pt idx="545">
                  <c:v>0.2106213253929341</c:v>
                </c:pt>
                <c:pt idx="546">
                  <c:v>0.21187686838433795</c:v>
                </c:pt>
                <c:pt idx="547">
                  <c:v>0.21764628847771572</c:v>
                </c:pt>
                <c:pt idx="548">
                  <c:v>0.21932032743393126</c:v>
                </c:pt>
                <c:pt idx="549">
                  <c:v>0.21625113023164477</c:v>
                </c:pt>
                <c:pt idx="550">
                  <c:v>0.21392881276958264</c:v>
                </c:pt>
                <c:pt idx="551">
                  <c:v>0.21396431527307458</c:v>
                </c:pt>
                <c:pt idx="552">
                  <c:v>0.22012284101222823</c:v>
                </c:pt>
                <c:pt idx="553">
                  <c:v>0.22562107336937065</c:v>
                </c:pt>
                <c:pt idx="554">
                  <c:v>0.23090801951925211</c:v>
                </c:pt>
                <c:pt idx="555">
                  <c:v>0.23497813485713337</c:v>
                </c:pt>
                <c:pt idx="556">
                  <c:v>0.23993253726160368</c:v>
                </c:pt>
                <c:pt idx="557">
                  <c:v>0.24157841932052326</c:v>
                </c:pt>
                <c:pt idx="558">
                  <c:v>0.24676710327485263</c:v>
                </c:pt>
                <c:pt idx="559">
                  <c:v>0.25004685042464359</c:v>
                </c:pt>
                <c:pt idx="560">
                  <c:v>0.24967831049264855</c:v>
                </c:pt>
                <c:pt idx="561">
                  <c:v>0.25094438031448929</c:v>
                </c:pt>
                <c:pt idx="562">
                  <c:v>0.25043897296273077</c:v>
                </c:pt>
                <c:pt idx="563">
                  <c:v>0.24982717761569151</c:v>
                </c:pt>
                <c:pt idx="564">
                  <c:v>0.25602151322323641</c:v>
                </c:pt>
                <c:pt idx="565">
                  <c:v>0.25716699008810573</c:v>
                </c:pt>
                <c:pt idx="566">
                  <c:v>0.25499759305798064</c:v>
                </c:pt>
                <c:pt idx="567">
                  <c:v>0.2532781257782255</c:v>
                </c:pt>
                <c:pt idx="568">
                  <c:v>0.25507346748034632</c:v>
                </c:pt>
                <c:pt idx="569">
                  <c:v>0.25651697778487703</c:v>
                </c:pt>
                <c:pt idx="570">
                  <c:v>0.25288513023753389</c:v>
                </c:pt>
                <c:pt idx="571">
                  <c:v>0.25254711988616196</c:v>
                </c:pt>
                <c:pt idx="572">
                  <c:v>0.25521465536996657</c:v>
                </c:pt>
                <c:pt idx="573">
                  <c:v>0.25574597317159564</c:v>
                </c:pt>
                <c:pt idx="574">
                  <c:v>0.2564215691601317</c:v>
                </c:pt>
                <c:pt idx="575">
                  <c:v>0.25678605470344751</c:v>
                </c:pt>
                <c:pt idx="576">
                  <c:v>0.2576938810602023</c:v>
                </c:pt>
                <c:pt idx="577">
                  <c:v>0.2531399394948699</c:v>
                </c:pt>
                <c:pt idx="578">
                  <c:v>0.25222420824140857</c:v>
                </c:pt>
                <c:pt idx="579">
                  <c:v>0.24976416613410257</c:v>
                </c:pt>
                <c:pt idx="580">
                  <c:v>0.25216782599719645</c:v>
                </c:pt>
                <c:pt idx="581">
                  <c:v>0.25650932456341202</c:v>
                </c:pt>
                <c:pt idx="582">
                  <c:v>0.25491557822938882</c:v>
                </c:pt>
                <c:pt idx="583">
                  <c:v>0.25380874071670689</c:v>
                </c:pt>
                <c:pt idx="584">
                  <c:v>0.25447003725492023</c:v>
                </c:pt>
                <c:pt idx="585">
                  <c:v>0.26078468418387768</c:v>
                </c:pt>
                <c:pt idx="586">
                  <c:v>0.25542831752488859</c:v>
                </c:pt>
                <c:pt idx="587">
                  <c:v>0.2534972917082372</c:v>
                </c:pt>
                <c:pt idx="588">
                  <c:v>0.24845150360565449</c:v>
                </c:pt>
                <c:pt idx="589">
                  <c:v>0.24980453396557722</c:v>
                </c:pt>
                <c:pt idx="590">
                  <c:v>0.25163248344857814</c:v>
                </c:pt>
                <c:pt idx="591">
                  <c:v>0.25194152776106438</c:v>
                </c:pt>
                <c:pt idx="592">
                  <c:v>0.25667234212008849</c:v>
                </c:pt>
                <c:pt idx="593">
                  <c:v>0.25941590118778457</c:v>
                </c:pt>
                <c:pt idx="594">
                  <c:v>0.26269562209227426</c:v>
                </c:pt>
                <c:pt idx="595">
                  <c:v>0.25791348482156629</c:v>
                </c:pt>
                <c:pt idx="596">
                  <c:v>0.25929195796532012</c:v>
                </c:pt>
                <c:pt idx="597">
                  <c:v>0.26162938223056531</c:v>
                </c:pt>
                <c:pt idx="598">
                  <c:v>0.26499828252128044</c:v>
                </c:pt>
                <c:pt idx="599">
                  <c:v>0.26329051168438911</c:v>
                </c:pt>
                <c:pt idx="600">
                  <c:v>0.26514533712364319</c:v>
                </c:pt>
                <c:pt idx="601">
                  <c:v>0.26866797113872631</c:v>
                </c:pt>
                <c:pt idx="602">
                  <c:v>0.27062585350857593</c:v>
                </c:pt>
                <c:pt idx="603">
                  <c:v>0.2695384289812579</c:v>
                </c:pt>
                <c:pt idx="604">
                  <c:v>0.27061798421492345</c:v>
                </c:pt>
                <c:pt idx="605">
                  <c:v>0.27176247087461158</c:v>
                </c:pt>
                <c:pt idx="606">
                  <c:v>0.2744861354491237</c:v>
                </c:pt>
                <c:pt idx="607">
                  <c:v>0.27309469669863717</c:v>
                </c:pt>
                <c:pt idx="608">
                  <c:v>0.27272206725070358</c:v>
                </c:pt>
                <c:pt idx="609">
                  <c:v>0.27355072966917682</c:v>
                </c:pt>
                <c:pt idx="610">
                  <c:v>0.27268253355574634</c:v>
                </c:pt>
                <c:pt idx="611">
                  <c:v>0.27146896376610585</c:v>
                </c:pt>
                <c:pt idx="612">
                  <c:v>0.26972039259581693</c:v>
                </c:pt>
                <c:pt idx="613">
                  <c:v>0.26654864346482143</c:v>
                </c:pt>
                <c:pt idx="614">
                  <c:v>0.26586312582606775</c:v>
                </c:pt>
                <c:pt idx="615">
                  <c:v>0.26884186996367676</c:v>
                </c:pt>
                <c:pt idx="616">
                  <c:v>0.26405058112604052</c:v>
                </c:pt>
                <c:pt idx="617">
                  <c:v>0.26410293170923915</c:v>
                </c:pt>
                <c:pt idx="618">
                  <c:v>0.26452611412850602</c:v>
                </c:pt>
                <c:pt idx="619">
                  <c:v>0.26396482120897491</c:v>
                </c:pt>
                <c:pt idx="620">
                  <c:v>0.26359903341132496</c:v>
                </c:pt>
                <c:pt idx="621">
                  <c:v>0.26507419159793466</c:v>
                </c:pt>
                <c:pt idx="622">
                  <c:v>0.26849492891825588</c:v>
                </c:pt>
                <c:pt idx="623">
                  <c:v>0.26847923171895771</c:v>
                </c:pt>
                <c:pt idx="624">
                  <c:v>0.26704010620021212</c:v>
                </c:pt>
                <c:pt idx="625">
                  <c:v>0.2666253698063199</c:v>
                </c:pt>
                <c:pt idx="626">
                  <c:v>0.26794705163038723</c:v>
                </c:pt>
                <c:pt idx="627">
                  <c:v>0.26664150582988255</c:v>
                </c:pt>
                <c:pt idx="628">
                  <c:v>0.26529508623240239</c:v>
                </c:pt>
                <c:pt idx="629">
                  <c:v>0.26558961994632346</c:v>
                </c:pt>
                <c:pt idx="630">
                  <c:v>0.27000384947479916</c:v>
                </c:pt>
                <c:pt idx="631">
                  <c:v>0.26900076579001708</c:v>
                </c:pt>
                <c:pt idx="632">
                  <c:v>0.26491569587043817</c:v>
                </c:pt>
                <c:pt idx="633">
                  <c:v>0.26444438660181424</c:v>
                </c:pt>
                <c:pt idx="634">
                  <c:v>0.26489875449301348</c:v>
                </c:pt>
                <c:pt idx="635">
                  <c:v>0.26381188047446802</c:v>
                </c:pt>
                <c:pt idx="636">
                  <c:v>0.26489372309348447</c:v>
                </c:pt>
                <c:pt idx="637">
                  <c:v>0.26444402563625236</c:v>
                </c:pt>
                <c:pt idx="638">
                  <c:v>0.26634387566919471</c:v>
                </c:pt>
                <c:pt idx="639">
                  <c:v>0.26899926761408821</c:v>
                </c:pt>
                <c:pt idx="640">
                  <c:v>0.27001535727525816</c:v>
                </c:pt>
                <c:pt idx="641">
                  <c:v>0.26917531416612706</c:v>
                </c:pt>
                <c:pt idx="642">
                  <c:v>0.2701646201938448</c:v>
                </c:pt>
                <c:pt idx="643">
                  <c:v>0.26936616786900847</c:v>
                </c:pt>
                <c:pt idx="644">
                  <c:v>0.27395703004582828</c:v>
                </c:pt>
                <c:pt idx="645">
                  <c:v>0.27673893750062306</c:v>
                </c:pt>
                <c:pt idx="646">
                  <c:v>0.27888204729827848</c:v>
                </c:pt>
                <c:pt idx="647">
                  <c:v>0.27778389621192434</c:v>
                </c:pt>
                <c:pt idx="648">
                  <c:v>0.28012106549251681</c:v>
                </c:pt>
                <c:pt idx="649">
                  <c:v>0.28458554311260964</c:v>
                </c:pt>
                <c:pt idx="650">
                  <c:v>0.29017669256385403</c:v>
                </c:pt>
                <c:pt idx="651">
                  <c:v>0.29213553806870407</c:v>
                </c:pt>
                <c:pt idx="652">
                  <c:v>0.29520627610836558</c:v>
                </c:pt>
                <c:pt idx="653">
                  <c:v>0.29455685952433908</c:v>
                </c:pt>
                <c:pt idx="654">
                  <c:v>0.29654015668118672</c:v>
                </c:pt>
                <c:pt idx="655">
                  <c:v>0.29477602203608733</c:v>
                </c:pt>
                <c:pt idx="656">
                  <c:v>0.30013731890208795</c:v>
                </c:pt>
                <c:pt idx="657">
                  <c:v>0.30226681415686851</c:v>
                </c:pt>
                <c:pt idx="658">
                  <c:v>0.30115653856846625</c:v>
                </c:pt>
                <c:pt idx="659">
                  <c:v>0.30252243254405364</c:v>
                </c:pt>
                <c:pt idx="660">
                  <c:v>0.3043780667915621</c:v>
                </c:pt>
                <c:pt idx="661">
                  <c:v>0.30161501661181545</c:v>
                </c:pt>
                <c:pt idx="662">
                  <c:v>0.3016543852835647</c:v>
                </c:pt>
                <c:pt idx="663">
                  <c:v>0.30565126114430075</c:v>
                </c:pt>
                <c:pt idx="664">
                  <c:v>0.30838449792275857</c:v>
                </c:pt>
                <c:pt idx="665">
                  <c:v>0.30888849273380936</c:v>
                </c:pt>
                <c:pt idx="666">
                  <c:v>0.30826593928166157</c:v>
                </c:pt>
                <c:pt idx="667">
                  <c:v>0.30956003724668291</c:v>
                </c:pt>
                <c:pt idx="668">
                  <c:v>0.30716561285596478</c:v>
                </c:pt>
                <c:pt idx="669">
                  <c:v>0.30817197248931549</c:v>
                </c:pt>
                <c:pt idx="670">
                  <c:v>0.3118060031129648</c:v>
                </c:pt>
                <c:pt idx="671">
                  <c:v>0.31293382301958927</c:v>
                </c:pt>
                <c:pt idx="672">
                  <c:v>0.31545799377610773</c:v>
                </c:pt>
                <c:pt idx="673">
                  <c:v>0.31166324382934585</c:v>
                </c:pt>
                <c:pt idx="674">
                  <c:v>0.31141462685958499</c:v>
                </c:pt>
                <c:pt idx="675">
                  <c:v>0.31627375165636851</c:v>
                </c:pt>
                <c:pt idx="676">
                  <c:v>0.31725574486094987</c:v>
                </c:pt>
                <c:pt idx="677">
                  <c:v>0.31525834262484498</c:v>
                </c:pt>
                <c:pt idx="678">
                  <c:v>0.31632118953004817</c:v>
                </c:pt>
                <c:pt idx="679">
                  <c:v>0.31555592574661184</c:v>
                </c:pt>
                <c:pt idx="680">
                  <c:v>0.31394304263042661</c:v>
                </c:pt>
                <c:pt idx="681">
                  <c:v>0.31660912175292544</c:v>
                </c:pt>
                <c:pt idx="682">
                  <c:v>0.31915701416819964</c:v>
                </c:pt>
                <c:pt idx="683">
                  <c:v>0.32000008081510312</c:v>
                </c:pt>
                <c:pt idx="684">
                  <c:v>0.32516646485239331</c:v>
                </c:pt>
                <c:pt idx="685">
                  <c:v>0.3231557201445765</c:v>
                </c:pt>
                <c:pt idx="686">
                  <c:v>0.31858530924623651</c:v>
                </c:pt>
                <c:pt idx="687">
                  <c:v>0.31718239987110608</c:v>
                </c:pt>
                <c:pt idx="688">
                  <c:v>0.31659322357535014</c:v>
                </c:pt>
                <c:pt idx="689">
                  <c:v>0.31587747061258531</c:v>
                </c:pt>
                <c:pt idx="690">
                  <c:v>0.31958481655838811</c:v>
                </c:pt>
                <c:pt idx="691">
                  <c:v>0.32952642269884436</c:v>
                </c:pt>
                <c:pt idx="692">
                  <c:v>0.32952436446975897</c:v>
                </c:pt>
                <c:pt idx="693">
                  <c:v>0.3317111722388113</c:v>
                </c:pt>
                <c:pt idx="694">
                  <c:v>0.33356383040531967</c:v>
                </c:pt>
                <c:pt idx="695">
                  <c:v>0.33203860964424181</c:v>
                </c:pt>
                <c:pt idx="696">
                  <c:v>0.3317172874966825</c:v>
                </c:pt>
                <c:pt idx="697">
                  <c:v>0.32916877101833952</c:v>
                </c:pt>
                <c:pt idx="698">
                  <c:v>0.32786784512997591</c:v>
                </c:pt>
                <c:pt idx="699">
                  <c:v>0.32632876951698342</c:v>
                </c:pt>
                <c:pt idx="700">
                  <c:v>0.32895340403497353</c:v>
                </c:pt>
                <c:pt idx="701">
                  <c:v>0.33328409586281604</c:v>
                </c:pt>
                <c:pt idx="702">
                  <c:v>0.334932133953731</c:v>
                </c:pt>
                <c:pt idx="703">
                  <c:v>0.33591135411656059</c:v>
                </c:pt>
                <c:pt idx="704">
                  <c:v>0.33985865325048059</c:v>
                </c:pt>
                <c:pt idx="705">
                  <c:v>0.33481393916859403</c:v>
                </c:pt>
                <c:pt idx="706">
                  <c:v>0.33253921426853705</c:v>
                </c:pt>
                <c:pt idx="707">
                  <c:v>0.32925712275181107</c:v>
                </c:pt>
                <c:pt idx="708">
                  <c:v>0.33398038644488937</c:v>
                </c:pt>
                <c:pt idx="709">
                  <c:v>0.33575056014095228</c:v>
                </c:pt>
                <c:pt idx="710">
                  <c:v>0.34093728643532395</c:v>
                </c:pt>
                <c:pt idx="711">
                  <c:v>0.34212757450154085</c:v>
                </c:pt>
                <c:pt idx="712">
                  <c:v>0.34225059208747455</c:v>
                </c:pt>
                <c:pt idx="713">
                  <c:v>0.34525255535008359</c:v>
                </c:pt>
                <c:pt idx="714">
                  <c:v>0.34141764803561214</c:v>
                </c:pt>
                <c:pt idx="715">
                  <c:v>0.34065441990931045</c:v>
                </c:pt>
                <c:pt idx="716">
                  <c:v>0.33801381414521647</c:v>
                </c:pt>
                <c:pt idx="717">
                  <c:v>0.33481748054264049</c:v>
                </c:pt>
                <c:pt idx="718">
                  <c:v>0.33923012584316492</c:v>
                </c:pt>
                <c:pt idx="719">
                  <c:v>0.33526405429390738</c:v>
                </c:pt>
                <c:pt idx="720">
                  <c:v>0.33344550764351455</c:v>
                </c:pt>
                <c:pt idx="721">
                  <c:v>0.33261754858365999</c:v>
                </c:pt>
                <c:pt idx="722">
                  <c:v>0.33471694184373302</c:v>
                </c:pt>
                <c:pt idx="723">
                  <c:v>0.33317267291315611</c:v>
                </c:pt>
                <c:pt idx="724">
                  <c:v>0.33189367774622691</c:v>
                </c:pt>
                <c:pt idx="725">
                  <c:v>0.33652240530111732</c:v>
                </c:pt>
                <c:pt idx="726">
                  <c:v>0.33335876292537936</c:v>
                </c:pt>
                <c:pt idx="727">
                  <c:v>0.3326189522652514</c:v>
                </c:pt>
                <c:pt idx="728">
                  <c:v>0.33680664381680581</c:v>
                </c:pt>
                <c:pt idx="729">
                  <c:v>0.34153958383818672</c:v>
                </c:pt>
                <c:pt idx="730">
                  <c:v>0.33979166399995142</c:v>
                </c:pt>
                <c:pt idx="731">
                  <c:v>0.34277735899156836</c:v>
                </c:pt>
                <c:pt idx="732">
                  <c:v>0.33896698618125143</c:v>
                </c:pt>
                <c:pt idx="733">
                  <c:v>0.33724338989672953</c:v>
                </c:pt>
                <c:pt idx="734">
                  <c:v>0.33674856402982045</c:v>
                </c:pt>
                <c:pt idx="735">
                  <c:v>0.33536120892211674</c:v>
                </c:pt>
                <c:pt idx="736">
                  <c:v>0.33509562649583557</c:v>
                </c:pt>
                <c:pt idx="737">
                  <c:v>0.33219111862723927</c:v>
                </c:pt>
                <c:pt idx="738">
                  <c:v>0.33001565218396989</c:v>
                </c:pt>
                <c:pt idx="739">
                  <c:v>0.33302591517474878</c:v>
                </c:pt>
                <c:pt idx="740">
                  <c:v>0.33346591221459576</c:v>
                </c:pt>
                <c:pt idx="741">
                  <c:v>0.33192111560398829</c:v>
                </c:pt>
                <c:pt idx="742">
                  <c:v>0.33469190730710063</c:v>
                </c:pt>
                <c:pt idx="743">
                  <c:v>0.33832640343327047</c:v>
                </c:pt>
                <c:pt idx="744">
                  <c:v>0.34058045752980837</c:v>
                </c:pt>
                <c:pt idx="745">
                  <c:v>0.34154130642356084</c:v>
                </c:pt>
                <c:pt idx="746">
                  <c:v>0.34507414412947579</c:v>
                </c:pt>
                <c:pt idx="747">
                  <c:v>0.34426084373675847</c:v>
                </c:pt>
                <c:pt idx="748">
                  <c:v>0.34406706693574929</c:v>
                </c:pt>
                <c:pt idx="749">
                  <c:v>0.34770381100094228</c:v>
                </c:pt>
                <c:pt idx="750">
                  <c:v>0.34905774883611906</c:v>
                </c:pt>
                <c:pt idx="751">
                  <c:v>0.34960141199753725</c:v>
                </c:pt>
                <c:pt idx="752">
                  <c:v>0.34438473760709432</c:v>
                </c:pt>
                <c:pt idx="753">
                  <c:v>0.34142013277770711</c:v>
                </c:pt>
                <c:pt idx="754">
                  <c:v>0.34370300282135879</c:v>
                </c:pt>
                <c:pt idx="755">
                  <c:v>0.34660794872295786</c:v>
                </c:pt>
                <c:pt idx="756">
                  <c:v>0.34878316293736455</c:v>
                </c:pt>
                <c:pt idx="757">
                  <c:v>0.35031021686941322</c:v>
                </c:pt>
                <c:pt idx="758">
                  <c:v>0.35370909222009161</c:v>
                </c:pt>
                <c:pt idx="759">
                  <c:v>0.35895200958017859</c:v>
                </c:pt>
                <c:pt idx="760">
                  <c:v>0.35938678300963756</c:v>
                </c:pt>
                <c:pt idx="761">
                  <c:v>0.36017605525893726</c:v>
                </c:pt>
                <c:pt idx="762">
                  <c:v>0.35959079642801761</c:v>
                </c:pt>
                <c:pt idx="763">
                  <c:v>0.36207398484158193</c:v>
                </c:pt>
                <c:pt idx="764">
                  <c:v>0.36400913105333488</c:v>
                </c:pt>
                <c:pt idx="765">
                  <c:v>0.36572130872340525</c:v>
                </c:pt>
                <c:pt idx="766">
                  <c:v>0.36518472261235502</c:v>
                </c:pt>
                <c:pt idx="767">
                  <c:v>0.36485851043668571</c:v>
                </c:pt>
                <c:pt idx="768">
                  <c:v>0.36746919685876756</c:v>
                </c:pt>
                <c:pt idx="769">
                  <c:v>0.37007599510940303</c:v>
                </c:pt>
                <c:pt idx="770">
                  <c:v>0.37097773860843763</c:v>
                </c:pt>
                <c:pt idx="771">
                  <c:v>0.37021055416046567</c:v>
                </c:pt>
                <c:pt idx="772">
                  <c:v>0.36890332761587152</c:v>
                </c:pt>
                <c:pt idx="773">
                  <c:v>0.3713317817657753</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74"/>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pt idx="711">
                  <c:v>0.18114765562999557</c:v>
                </c:pt>
                <c:pt idx="712">
                  <c:v>0.18174753734221438</c:v>
                </c:pt>
                <c:pt idx="713">
                  <c:v>0.18234772372258101</c:v>
                </c:pt>
                <c:pt idx="714">
                  <c:v>0.18294821492583058</c:v>
                </c:pt>
                <c:pt idx="715">
                  <c:v>0.18354901110677657</c:v>
                </c:pt>
                <c:pt idx="716">
                  <c:v>0.18415011242031132</c:v>
                </c:pt>
                <c:pt idx="717">
                  <c:v>0.18475151902140552</c:v>
                </c:pt>
                <c:pt idx="718">
                  <c:v>0.1853532310651087</c:v>
                </c:pt>
                <c:pt idx="719">
                  <c:v>0.18595524870654923</c:v>
                </c:pt>
                <c:pt idx="720">
                  <c:v>0.18655757210093427</c:v>
                </c:pt>
                <c:pt idx="721">
                  <c:v>0.18716020140354961</c:v>
                </c:pt>
                <c:pt idx="722">
                  <c:v>0.18776313676976009</c:v>
                </c:pt>
                <c:pt idx="723">
                  <c:v>0.18836637835500936</c:v>
                </c:pt>
                <c:pt idx="724">
                  <c:v>0.18896992631482012</c:v>
                </c:pt>
                <c:pt idx="725">
                  <c:v>0.18957378080479415</c:v>
                </c:pt>
                <c:pt idx="726">
                  <c:v>0.19017794198061178</c:v>
                </c:pt>
                <c:pt idx="727">
                  <c:v>0.19078240999803286</c:v>
                </c:pt>
                <c:pt idx="728">
                  <c:v>0.19138718501289631</c:v>
                </c:pt>
                <c:pt idx="729">
                  <c:v>0.19199226718112006</c:v>
                </c:pt>
                <c:pt idx="730">
                  <c:v>0.19259765665870132</c:v>
                </c:pt>
                <c:pt idx="731">
                  <c:v>0.19320335360171637</c:v>
                </c:pt>
                <c:pt idx="732">
                  <c:v>0.19380935816632094</c:v>
                </c:pt>
                <c:pt idx="733">
                  <c:v>0.19441567050875008</c:v>
                </c:pt>
                <c:pt idx="734">
                  <c:v>0.19502229078531785</c:v>
                </c:pt>
                <c:pt idx="735">
                  <c:v>0.19562921915241827</c:v>
                </c:pt>
                <c:pt idx="736">
                  <c:v>0.19623645576652415</c:v>
                </c:pt>
                <c:pt idx="737">
                  <c:v>0.19684400078418829</c:v>
                </c:pt>
                <c:pt idx="738">
                  <c:v>0.19745185436204271</c:v>
                </c:pt>
                <c:pt idx="739">
                  <c:v>0.19806001665679918</c:v>
                </c:pt>
                <c:pt idx="740">
                  <c:v>0.19866848782524893</c:v>
                </c:pt>
                <c:pt idx="741">
                  <c:v>0.19927726802426293</c:v>
                </c:pt>
                <c:pt idx="742">
                  <c:v>0.19988635741079164</c:v>
                </c:pt>
                <c:pt idx="743">
                  <c:v>0.20049575614186521</c:v>
                </c:pt>
                <c:pt idx="744">
                  <c:v>0.20110546437459376</c:v>
                </c:pt>
                <c:pt idx="745">
                  <c:v>0.20171548226616731</c:v>
                </c:pt>
                <c:pt idx="746">
                  <c:v>0.20232580997385519</c:v>
                </c:pt>
                <c:pt idx="747">
                  <c:v>0.20293644765500707</c:v>
                </c:pt>
                <c:pt idx="748">
                  <c:v>0.20354739546705236</c:v>
                </c:pt>
                <c:pt idx="749">
                  <c:v>0.20415865356750063</c:v>
                </c:pt>
                <c:pt idx="750">
                  <c:v>0.20477022211394091</c:v>
                </c:pt>
                <c:pt idx="751">
                  <c:v>0.20538210126404288</c:v>
                </c:pt>
                <c:pt idx="752">
                  <c:v>0.20599429117555612</c:v>
                </c:pt>
                <c:pt idx="753">
                  <c:v>0.20660679200631016</c:v>
                </c:pt>
                <c:pt idx="754">
                  <c:v>0.20721960391421468</c:v>
                </c:pt>
                <c:pt idx="755">
                  <c:v>0.20783272705725975</c:v>
                </c:pt>
                <c:pt idx="756">
                  <c:v>0.20844616159351559</c:v>
                </c:pt>
                <c:pt idx="757">
                  <c:v>0.20905990768113258</c:v>
                </c:pt>
                <c:pt idx="758">
                  <c:v>0.20967396547834172</c:v>
                </c:pt>
                <c:pt idx="759">
                  <c:v>0.21028833514345413</c:v>
                </c:pt>
                <c:pt idx="760">
                  <c:v>0.21090301683486135</c:v>
                </c:pt>
                <c:pt idx="761">
                  <c:v>0.21151801071103526</c:v>
                </c:pt>
                <c:pt idx="762">
                  <c:v>0.21213331693052861</c:v>
                </c:pt>
                <c:pt idx="763">
                  <c:v>0.2127489356519745</c:v>
                </c:pt>
                <c:pt idx="764">
                  <c:v>0.21336486703408641</c:v>
                </c:pt>
                <c:pt idx="765">
                  <c:v>0.21398111123565844</c:v>
                </c:pt>
                <c:pt idx="766">
                  <c:v>0.21459766841556571</c:v>
                </c:pt>
                <c:pt idx="767">
                  <c:v>0.21521453873276353</c:v>
                </c:pt>
                <c:pt idx="768">
                  <c:v>0.21583172234628845</c:v>
                </c:pt>
                <c:pt idx="769">
                  <c:v>0.21644921941525741</c:v>
                </c:pt>
                <c:pt idx="770">
                  <c:v>0.21706703009886819</c:v>
                </c:pt>
                <c:pt idx="771">
                  <c:v>0.21768515455639958</c:v>
                </c:pt>
                <c:pt idx="772">
                  <c:v>0.21830359294721124</c:v>
                </c:pt>
                <c:pt idx="773">
                  <c:v>0.21892234543074363</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0.3713317817657753</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0.21892234543074363</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82-462F-80C5-48819DDCD1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882-462F-80C5-48819DDCD1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- 47.50%</c:v>
                </c:pt>
                <c:pt idx="1">
                  <c:v>Multimercado (MM) - 33.50%</c:v>
                </c:pt>
                <c:pt idx="2">
                  <c:v>Renda Variável (RV) - 19.00%</c:v>
                </c:pt>
              </c:strCache>
            </c:strRef>
          </c:cat>
          <c:val>
            <c:numRef>
              <c:f>[0]!allocation_class_value</c:f>
              <c:numCache>
                <c:formatCode>0.0%</c:formatCode>
                <c:ptCount val="3"/>
                <c:pt idx="0">
                  <c:v>0.47500000000000009</c:v>
                </c:pt>
                <c:pt idx="1">
                  <c:v>0.33500000000000008</c:v>
                </c:pt>
                <c:pt idx="2">
                  <c:v>0.19</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Alocation!$E$5:$E$12</c:f>
              <c:strCache>
                <c:ptCount val="8"/>
                <c:pt idx="0">
                  <c:v>RF Pós</c:v>
                </c:pt>
                <c:pt idx="1">
                  <c:v>RF Pré</c:v>
                </c:pt>
                <c:pt idx="2">
                  <c:v>RF Inlação</c:v>
                </c:pt>
                <c:pt idx="3">
                  <c:v>RF Intl.</c:v>
                </c:pt>
                <c:pt idx="4">
                  <c:v>MM Macro</c:v>
                </c:pt>
                <c:pt idx="5">
                  <c:v>MM Descorr.</c:v>
                </c:pt>
                <c:pt idx="6">
                  <c:v>RV BR</c:v>
                </c:pt>
                <c:pt idx="7">
                  <c:v>RV Intl.</c:v>
                </c:pt>
              </c:strCache>
            </c:strRef>
          </c:cat>
          <c:val>
            <c:numRef>
              <c:f>Alocation!$F$5:$F$12</c:f>
              <c:numCache>
                <c:formatCode>0.0%</c:formatCode>
                <c:ptCount val="8"/>
                <c:pt idx="0">
                  <c:v>0.2</c:v>
                </c:pt>
                <c:pt idx="1">
                  <c:v>0.05</c:v>
                </c:pt>
                <c:pt idx="2">
                  <c:v>0.21000000000000002</c:v>
                </c:pt>
                <c:pt idx="3">
                  <c:v>1.4999999999999999E-2</c:v>
                </c:pt>
                <c:pt idx="4">
                  <c:v>0.27500000000000002</c:v>
                </c:pt>
                <c:pt idx="5">
                  <c:v>6.0000000000000005E-2</c:v>
                </c:pt>
                <c:pt idx="6">
                  <c:v>0.16</c:v>
                </c:pt>
                <c:pt idx="7">
                  <c:v>3.0000000000000002E-2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'Strategy AccReturns'!$B$2</c:f>
              <c:strCache>
                <c:ptCount val="1"/>
                <c:pt idx="0">
                  <c:v>RF Pós</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AccReturns'!$B$3:$B$713</c:f>
              <c:numCache>
                <c:formatCode>General</c:formatCode>
                <c:ptCount val="711"/>
                <c:pt idx="0">
                  <c:v>1.8097027518126224E-4</c:v>
                </c:pt>
                <c:pt idx="1">
                  <c:v>3.7089314220262182E-4</c:v>
                </c:pt>
                <c:pt idx="2">
                  <c:v>6.4643282494381005E-4</c:v>
                </c:pt>
                <c:pt idx="3">
                  <c:v>8.7136331150938773E-4</c:v>
                </c:pt>
                <c:pt idx="4">
                  <c:v>1.0739859650890082E-3</c:v>
                </c:pt>
                <c:pt idx="5">
                  <c:v>1.2772159346738921E-3</c:v>
                </c:pt>
                <c:pt idx="6">
                  <c:v>1.4819067793796492E-3</c:v>
                </c:pt>
                <c:pt idx="7">
                  <c:v>1.6882238292601492E-3</c:v>
                </c:pt>
                <c:pt idx="8">
                  <c:v>1.9008183796087597E-3</c:v>
                </c:pt>
                <c:pt idx="9">
                  <c:v>2.1430490614287034E-3</c:v>
                </c:pt>
                <c:pt idx="10">
                  <c:v>2.4183325748017293E-3</c:v>
                </c:pt>
                <c:pt idx="11">
                  <c:v>2.5782939649172665E-3</c:v>
                </c:pt>
                <c:pt idx="12">
                  <c:v>2.791701012573311E-3</c:v>
                </c:pt>
                <c:pt idx="13">
                  <c:v>2.9775743110453945E-3</c:v>
                </c:pt>
                <c:pt idx="14">
                  <c:v>3.189541922409278E-3</c:v>
                </c:pt>
                <c:pt idx="15">
                  <c:v>3.3927149873931306E-3</c:v>
                </c:pt>
                <c:pt idx="16">
                  <c:v>3.5948277249315819E-3</c:v>
                </c:pt>
                <c:pt idx="17">
                  <c:v>3.8176798480689111E-3</c:v>
                </c:pt>
                <c:pt idx="18">
                  <c:v>4.0132171825284502E-3</c:v>
                </c:pt>
                <c:pt idx="19">
                  <c:v>4.2289817848897293E-3</c:v>
                </c:pt>
                <c:pt idx="20">
                  <c:v>4.4307601498714266E-3</c:v>
                </c:pt>
                <c:pt idx="21">
                  <c:v>4.6179861362332097E-3</c:v>
                </c:pt>
                <c:pt idx="22">
                  <c:v>4.8093308726557815E-3</c:v>
                </c:pt>
                <c:pt idx="23">
                  <c:v>5.0042645560945953E-3</c:v>
                </c:pt>
                <c:pt idx="24">
                  <c:v>5.1925799092957803E-3</c:v>
                </c:pt>
                <c:pt idx="25">
                  <c:v>5.3818109571821537E-3</c:v>
                </c:pt>
                <c:pt idx="26">
                  <c:v>5.5670906149694055E-3</c:v>
                </c:pt>
                <c:pt idx="27">
                  <c:v>5.7732936005858715E-3</c:v>
                </c:pt>
                <c:pt idx="28">
                  <c:v>5.9830646613667771E-3</c:v>
                </c:pt>
                <c:pt idx="29">
                  <c:v>6.1769186078455274E-3</c:v>
                </c:pt>
                <c:pt idx="30">
                  <c:v>6.3606316143458574E-3</c:v>
                </c:pt>
                <c:pt idx="31">
                  <c:v>6.5421904284563848E-3</c:v>
                </c:pt>
                <c:pt idx="32">
                  <c:v>6.7207674706033504E-3</c:v>
                </c:pt>
                <c:pt idx="33">
                  <c:v>6.8734453043950428E-3</c:v>
                </c:pt>
                <c:pt idx="34">
                  <c:v>7.0483390075852803E-3</c:v>
                </c:pt>
                <c:pt idx="35">
                  <c:v>7.2334251935759486E-3</c:v>
                </c:pt>
                <c:pt idx="36">
                  <c:v>7.4186217709810709E-3</c:v>
                </c:pt>
                <c:pt idx="37">
                  <c:v>7.6183259341573439E-3</c:v>
                </c:pt>
                <c:pt idx="38">
                  <c:v>7.8061611745789961E-3</c:v>
                </c:pt>
                <c:pt idx="39">
                  <c:v>7.9587759471864139E-3</c:v>
                </c:pt>
                <c:pt idx="40">
                  <c:v>8.1370000579368273E-3</c:v>
                </c:pt>
                <c:pt idx="41">
                  <c:v>8.2932625229172885E-3</c:v>
                </c:pt>
                <c:pt idx="42">
                  <c:v>8.4507208427162528E-3</c:v>
                </c:pt>
                <c:pt idx="43">
                  <c:v>8.6251333841298461E-3</c:v>
                </c:pt>
                <c:pt idx="44">
                  <c:v>8.8140159039848953E-3</c:v>
                </c:pt>
                <c:pt idx="45">
                  <c:v>8.980495664017818E-3</c:v>
                </c:pt>
                <c:pt idx="46">
                  <c:v>9.0929462879030254E-3</c:v>
                </c:pt>
                <c:pt idx="47">
                  <c:v>9.1939242508336516E-3</c:v>
                </c:pt>
                <c:pt idx="48">
                  <c:v>9.364029582494382E-3</c:v>
                </c:pt>
                <c:pt idx="49">
                  <c:v>9.4032483993033988E-3</c:v>
                </c:pt>
                <c:pt idx="50">
                  <c:v>9.6130081644134613E-3</c:v>
                </c:pt>
                <c:pt idx="51">
                  <c:v>9.7152961559709983E-3</c:v>
                </c:pt>
                <c:pt idx="52">
                  <c:v>9.5155053237516718E-3</c:v>
                </c:pt>
                <c:pt idx="53">
                  <c:v>9.2414571033638815E-3</c:v>
                </c:pt>
                <c:pt idx="54">
                  <c:v>8.8502299610409008E-3</c:v>
                </c:pt>
                <c:pt idx="55">
                  <c:v>7.9233130527587292E-3</c:v>
                </c:pt>
                <c:pt idx="56">
                  <c:v>6.5038876721774663E-3</c:v>
                </c:pt>
                <c:pt idx="57">
                  <c:v>5.3380104799056749E-3</c:v>
                </c:pt>
                <c:pt idx="58">
                  <c:v>4.2306083745635714E-3</c:v>
                </c:pt>
                <c:pt idx="59">
                  <c:v>3.37736855426507E-3</c:v>
                </c:pt>
                <c:pt idx="60">
                  <c:v>2.2871701042481707E-3</c:v>
                </c:pt>
                <c:pt idx="61">
                  <c:v>1.2962067694766155E-3</c:v>
                </c:pt>
                <c:pt idx="62">
                  <c:v>7.1190693405842609E-4</c:v>
                </c:pt>
                <c:pt idx="63">
                  <c:v>-1.3220111344646179E-3</c:v>
                </c:pt>
                <c:pt idx="64">
                  <c:v>-1.8553932863598632E-3</c:v>
                </c:pt>
                <c:pt idx="65">
                  <c:v>-2.3377045310046807E-3</c:v>
                </c:pt>
                <c:pt idx="66">
                  <c:v>-2.9545636355463589E-3</c:v>
                </c:pt>
                <c:pt idx="67">
                  <c:v>-3.6421873824830087E-3</c:v>
                </c:pt>
                <c:pt idx="68">
                  <c:v>-4.0425012675852079E-3</c:v>
                </c:pt>
                <c:pt idx="69">
                  <c:v>-4.204726380909074E-3</c:v>
                </c:pt>
                <c:pt idx="70">
                  <c:v>-3.9383608363161571E-3</c:v>
                </c:pt>
                <c:pt idx="71">
                  <c:v>-3.5007132627417059E-3</c:v>
                </c:pt>
                <c:pt idx="72">
                  <c:v>-2.9376016984371534E-3</c:v>
                </c:pt>
                <c:pt idx="73">
                  <c:v>-2.2680508420224177E-3</c:v>
                </c:pt>
                <c:pt idx="74">
                  <c:v>-2.2582599298199835E-3</c:v>
                </c:pt>
                <c:pt idx="75">
                  <c:v>-1.6555688725697904E-3</c:v>
                </c:pt>
                <c:pt idx="76">
                  <c:v>-9.4784854276597219E-4</c:v>
                </c:pt>
                <c:pt idx="77">
                  <c:v>-6.2464645629090043E-4</c:v>
                </c:pt>
                <c:pt idx="78">
                  <c:v>-5.0770756552487306E-4</c:v>
                </c:pt>
                <c:pt idx="79">
                  <c:v>1.0638083914660257E-4</c:v>
                </c:pt>
                <c:pt idx="80">
                  <c:v>2.7873871474715095E-4</c:v>
                </c:pt>
                <c:pt idx="81">
                  <c:v>8.6630499351270096E-4</c:v>
                </c:pt>
                <c:pt idx="82">
                  <c:v>1.238298000905802E-3</c:v>
                </c:pt>
                <c:pt idx="83">
                  <c:v>1.5796785264183821E-3</c:v>
                </c:pt>
                <c:pt idx="84">
                  <c:v>1.8367973940704996E-3</c:v>
                </c:pt>
                <c:pt idx="85">
                  <c:v>2.1193752999095761E-3</c:v>
                </c:pt>
                <c:pt idx="86">
                  <c:v>2.3742656893508407E-3</c:v>
                </c:pt>
                <c:pt idx="87">
                  <c:v>2.5680781289514343E-3</c:v>
                </c:pt>
                <c:pt idx="88">
                  <c:v>2.6625911927025125E-3</c:v>
                </c:pt>
                <c:pt idx="89">
                  <c:v>2.7934779788310049E-3</c:v>
                </c:pt>
                <c:pt idx="90">
                  <c:v>2.937181399883082E-3</c:v>
                </c:pt>
                <c:pt idx="91">
                  <c:v>3.1156114017907299E-3</c:v>
                </c:pt>
                <c:pt idx="92">
                  <c:v>3.2302854543222459E-3</c:v>
                </c:pt>
                <c:pt idx="93">
                  <c:v>3.3331523602957436E-3</c:v>
                </c:pt>
                <c:pt idx="94">
                  <c:v>3.4638874245100926E-3</c:v>
                </c:pt>
                <c:pt idx="95">
                  <c:v>3.6165039192832538E-3</c:v>
                </c:pt>
                <c:pt idx="96">
                  <c:v>3.7713296244514805E-3</c:v>
                </c:pt>
                <c:pt idx="97">
                  <c:v>4.0139285849130069E-3</c:v>
                </c:pt>
                <c:pt idx="98">
                  <c:v>4.2072695861345988E-3</c:v>
                </c:pt>
                <c:pt idx="99">
                  <c:v>4.3878417609779508E-3</c:v>
                </c:pt>
                <c:pt idx="100">
                  <c:v>4.4525942478383929E-3</c:v>
                </c:pt>
                <c:pt idx="101">
                  <c:v>4.5678100216492989E-3</c:v>
                </c:pt>
                <c:pt idx="102">
                  <c:v>4.8679528083563905E-3</c:v>
                </c:pt>
                <c:pt idx="103">
                  <c:v>5.0759118278123072E-3</c:v>
                </c:pt>
                <c:pt idx="104">
                  <c:v>5.2587810785549305E-3</c:v>
                </c:pt>
                <c:pt idx="105">
                  <c:v>5.4598472517786156E-3</c:v>
                </c:pt>
                <c:pt idx="106">
                  <c:v>5.6299168509648112E-3</c:v>
                </c:pt>
                <c:pt idx="107">
                  <c:v>6.2201220226274501E-3</c:v>
                </c:pt>
                <c:pt idx="108">
                  <c:v>6.4402786562933745E-3</c:v>
                </c:pt>
                <c:pt idx="109">
                  <c:v>6.680679426812608E-3</c:v>
                </c:pt>
                <c:pt idx="110">
                  <c:v>6.8453576439475583E-3</c:v>
                </c:pt>
                <c:pt idx="111">
                  <c:v>7.0431398015637914E-3</c:v>
                </c:pt>
                <c:pt idx="112">
                  <c:v>7.2306695446893166E-3</c:v>
                </c:pt>
                <c:pt idx="113">
                  <c:v>7.4066997979833626E-3</c:v>
                </c:pt>
                <c:pt idx="114">
                  <c:v>7.6582084957297347E-3</c:v>
                </c:pt>
                <c:pt idx="115">
                  <c:v>7.9593569350417948E-3</c:v>
                </c:pt>
                <c:pt idx="116">
                  <c:v>8.1415214053435214E-3</c:v>
                </c:pt>
                <c:pt idx="117">
                  <c:v>8.3895250368655194E-3</c:v>
                </c:pt>
                <c:pt idx="118">
                  <c:v>8.5848345717058905E-3</c:v>
                </c:pt>
                <c:pt idx="119">
                  <c:v>8.9608962304374984E-3</c:v>
                </c:pt>
                <c:pt idx="120">
                  <c:v>9.2805790064576232E-3</c:v>
                </c:pt>
                <c:pt idx="121">
                  <c:v>9.6810493576220402E-3</c:v>
                </c:pt>
                <c:pt idx="122">
                  <c:v>1.0173386576537879E-2</c:v>
                </c:pt>
                <c:pt idx="123">
                  <c:v>1.042796300901605E-2</c:v>
                </c:pt>
                <c:pt idx="124">
                  <c:v>1.065782267066151E-2</c:v>
                </c:pt>
                <c:pt idx="125">
                  <c:v>1.0892718420215663E-2</c:v>
                </c:pt>
                <c:pt idx="126">
                  <c:v>1.1164699649770737E-2</c:v>
                </c:pt>
                <c:pt idx="127">
                  <c:v>1.1390348773804959E-2</c:v>
                </c:pt>
                <c:pt idx="128">
                  <c:v>1.159630723214744E-2</c:v>
                </c:pt>
                <c:pt idx="129">
                  <c:v>1.1830726923749868E-2</c:v>
                </c:pt>
                <c:pt idx="130">
                  <c:v>1.219951959222465E-2</c:v>
                </c:pt>
                <c:pt idx="131">
                  <c:v>1.2472128814788208E-2</c:v>
                </c:pt>
                <c:pt idx="132">
                  <c:v>1.2685441909964013E-2</c:v>
                </c:pt>
                <c:pt idx="133">
                  <c:v>1.2850363509005147E-2</c:v>
                </c:pt>
                <c:pt idx="134">
                  <c:v>1.3062063174398064E-2</c:v>
                </c:pt>
                <c:pt idx="135">
                  <c:v>1.3128995338499871E-2</c:v>
                </c:pt>
                <c:pt idx="136">
                  <c:v>1.3337337282308681E-2</c:v>
                </c:pt>
                <c:pt idx="137">
                  <c:v>1.3577628302359868E-2</c:v>
                </c:pt>
                <c:pt idx="138">
                  <c:v>1.3778366274039611E-2</c:v>
                </c:pt>
                <c:pt idx="139">
                  <c:v>1.4021589393221623E-2</c:v>
                </c:pt>
                <c:pt idx="140">
                  <c:v>1.4295303687993144E-2</c:v>
                </c:pt>
                <c:pt idx="141">
                  <c:v>1.4544498368558534E-2</c:v>
                </c:pt>
                <c:pt idx="142">
                  <c:v>1.4855165675223603E-2</c:v>
                </c:pt>
                <c:pt idx="143">
                  <c:v>1.5072057166983122E-2</c:v>
                </c:pt>
                <c:pt idx="144">
                  <c:v>1.5342918341697098E-2</c:v>
                </c:pt>
                <c:pt idx="145">
                  <c:v>1.5619425013718491E-2</c:v>
                </c:pt>
                <c:pt idx="146">
                  <c:v>1.5919323505639849E-2</c:v>
                </c:pt>
                <c:pt idx="147">
                  <c:v>1.614023654319241E-2</c:v>
                </c:pt>
                <c:pt idx="148">
                  <c:v>1.6403932784670561E-2</c:v>
                </c:pt>
                <c:pt idx="149">
                  <c:v>1.6686239609476905E-2</c:v>
                </c:pt>
                <c:pt idx="150">
                  <c:v>1.6892400720160516E-2</c:v>
                </c:pt>
                <c:pt idx="151">
                  <c:v>1.7128338748379157E-2</c:v>
                </c:pt>
                <c:pt idx="152">
                  <c:v>1.7336245277709272E-2</c:v>
                </c:pt>
                <c:pt idx="153">
                  <c:v>1.7470832093565258E-2</c:v>
                </c:pt>
                <c:pt idx="154">
                  <c:v>1.761167047825718E-2</c:v>
                </c:pt>
                <c:pt idx="155">
                  <c:v>1.7769325717622575E-2</c:v>
                </c:pt>
                <c:pt idx="156">
                  <c:v>1.7976078032054144E-2</c:v>
                </c:pt>
                <c:pt idx="157">
                  <c:v>1.8349026015019421E-2</c:v>
                </c:pt>
                <c:pt idx="158">
                  <c:v>1.8499284183038034E-2</c:v>
                </c:pt>
                <c:pt idx="159">
                  <c:v>1.8706370361122104E-2</c:v>
                </c:pt>
                <c:pt idx="160">
                  <c:v>1.8916360984375657E-2</c:v>
                </c:pt>
                <c:pt idx="161">
                  <c:v>1.9117392763067231E-2</c:v>
                </c:pt>
                <c:pt idx="162">
                  <c:v>1.9363930097201498E-2</c:v>
                </c:pt>
                <c:pt idx="163">
                  <c:v>1.9572266909845704E-2</c:v>
                </c:pt>
                <c:pt idx="164">
                  <c:v>1.9748888542580278E-2</c:v>
                </c:pt>
                <c:pt idx="165">
                  <c:v>1.9913283608612664E-2</c:v>
                </c:pt>
                <c:pt idx="166">
                  <c:v>2.0024291557598106E-2</c:v>
                </c:pt>
                <c:pt idx="167">
                  <c:v>2.0186232741808086E-2</c:v>
                </c:pt>
                <c:pt idx="168">
                  <c:v>2.0299723418215398E-2</c:v>
                </c:pt>
                <c:pt idx="169">
                  <c:v>2.0477832038152677E-2</c:v>
                </c:pt>
                <c:pt idx="170">
                  <c:v>2.0677558697138165E-2</c:v>
                </c:pt>
                <c:pt idx="171">
                  <c:v>2.0784490255674637E-2</c:v>
                </c:pt>
                <c:pt idx="172">
                  <c:v>2.0963656223841998E-2</c:v>
                </c:pt>
                <c:pt idx="173">
                  <c:v>2.1049315529265478E-2</c:v>
                </c:pt>
                <c:pt idx="174">
                  <c:v>2.1175408348072189E-2</c:v>
                </c:pt>
                <c:pt idx="175">
                  <c:v>2.13054096448555E-2</c:v>
                </c:pt>
                <c:pt idx="176">
                  <c:v>2.1386669210993858E-2</c:v>
                </c:pt>
                <c:pt idx="177">
                  <c:v>2.1421602778100679E-2</c:v>
                </c:pt>
                <c:pt idx="178">
                  <c:v>2.1551675529823955E-2</c:v>
                </c:pt>
                <c:pt idx="179">
                  <c:v>2.1626939158379432E-2</c:v>
                </c:pt>
                <c:pt idx="180">
                  <c:v>2.1649268916149822E-2</c:v>
                </c:pt>
                <c:pt idx="181">
                  <c:v>2.1775721515827851E-2</c:v>
                </c:pt>
                <c:pt idx="182">
                  <c:v>2.1852616805124292E-2</c:v>
                </c:pt>
                <c:pt idx="183">
                  <c:v>2.2000438751141882E-2</c:v>
                </c:pt>
                <c:pt idx="184">
                  <c:v>2.2064947275672209E-2</c:v>
                </c:pt>
                <c:pt idx="185">
                  <c:v>2.2006644885959492E-2</c:v>
                </c:pt>
                <c:pt idx="186">
                  <c:v>2.2043525595905722E-2</c:v>
                </c:pt>
                <c:pt idx="187">
                  <c:v>2.2162085843819623E-2</c:v>
                </c:pt>
                <c:pt idx="188">
                  <c:v>2.2082986608316979E-2</c:v>
                </c:pt>
                <c:pt idx="189">
                  <c:v>2.202725102442904E-2</c:v>
                </c:pt>
                <c:pt idx="190">
                  <c:v>2.2037909020474533E-2</c:v>
                </c:pt>
                <c:pt idx="191">
                  <c:v>2.2152096749386452E-2</c:v>
                </c:pt>
                <c:pt idx="192">
                  <c:v>2.2281148685452834E-2</c:v>
                </c:pt>
                <c:pt idx="193">
                  <c:v>2.2476565411581939E-2</c:v>
                </c:pt>
                <c:pt idx="194">
                  <c:v>2.2837943282533635E-2</c:v>
                </c:pt>
                <c:pt idx="195">
                  <c:v>2.3167146393119564E-2</c:v>
                </c:pt>
                <c:pt idx="196">
                  <c:v>2.3323958271243894E-2</c:v>
                </c:pt>
                <c:pt idx="197">
                  <c:v>2.3453902420988104E-2</c:v>
                </c:pt>
                <c:pt idx="198">
                  <c:v>2.353455440726071E-2</c:v>
                </c:pt>
                <c:pt idx="199">
                  <c:v>2.3629334782771627E-2</c:v>
                </c:pt>
                <c:pt idx="200">
                  <c:v>2.3847488460517985E-2</c:v>
                </c:pt>
                <c:pt idx="201">
                  <c:v>2.3945608038825617E-2</c:v>
                </c:pt>
                <c:pt idx="202">
                  <c:v>2.4037606950520374E-2</c:v>
                </c:pt>
                <c:pt idx="203">
                  <c:v>2.4146821813566088E-2</c:v>
                </c:pt>
                <c:pt idx="204">
                  <c:v>2.4285751504522723E-2</c:v>
                </c:pt>
                <c:pt idx="205">
                  <c:v>2.4442020771618722E-2</c:v>
                </c:pt>
                <c:pt idx="206">
                  <c:v>2.4560102408966555E-2</c:v>
                </c:pt>
                <c:pt idx="207">
                  <c:v>2.4729937964070858E-2</c:v>
                </c:pt>
                <c:pt idx="208">
                  <c:v>2.4826675150553923E-2</c:v>
                </c:pt>
                <c:pt idx="209">
                  <c:v>2.4961630111059563E-2</c:v>
                </c:pt>
                <c:pt idx="210">
                  <c:v>2.5077300399122038E-2</c:v>
                </c:pt>
                <c:pt idx="211">
                  <c:v>2.5205372433429796E-2</c:v>
                </c:pt>
                <c:pt idx="212">
                  <c:v>2.5304197860075206E-2</c:v>
                </c:pt>
                <c:pt idx="213">
                  <c:v>2.5414828426209901E-2</c:v>
                </c:pt>
                <c:pt idx="214">
                  <c:v>2.5507122266266613E-2</c:v>
                </c:pt>
                <c:pt idx="215">
                  <c:v>2.5632204922802826E-2</c:v>
                </c:pt>
                <c:pt idx="216">
                  <c:v>2.5740725793522934E-2</c:v>
                </c:pt>
                <c:pt idx="217">
                  <c:v>2.5886053468621606E-2</c:v>
                </c:pt>
                <c:pt idx="218">
                  <c:v>2.6050625018782858E-2</c:v>
                </c:pt>
                <c:pt idx="219">
                  <c:v>2.6204112944788305E-2</c:v>
                </c:pt>
                <c:pt idx="220">
                  <c:v>2.6349272579474059E-2</c:v>
                </c:pt>
                <c:pt idx="221">
                  <c:v>2.6464069423024261E-2</c:v>
                </c:pt>
                <c:pt idx="222">
                  <c:v>2.6543086061883603E-2</c:v>
                </c:pt>
                <c:pt idx="223">
                  <c:v>2.6656139211066465E-2</c:v>
                </c:pt>
                <c:pt idx="224">
                  <c:v>2.6887942722243707E-2</c:v>
                </c:pt>
                <c:pt idx="225">
                  <c:v>2.7047546468189188E-2</c:v>
                </c:pt>
                <c:pt idx="226">
                  <c:v>2.7191601334367599E-2</c:v>
                </c:pt>
                <c:pt idx="227">
                  <c:v>2.7442704581707833E-2</c:v>
                </c:pt>
                <c:pt idx="228">
                  <c:v>2.7562181991407808E-2</c:v>
                </c:pt>
                <c:pt idx="229">
                  <c:v>2.7681511949141591E-2</c:v>
                </c:pt>
                <c:pt idx="230">
                  <c:v>2.7861630514739666E-2</c:v>
                </c:pt>
                <c:pt idx="231">
                  <c:v>2.8000564110157722E-2</c:v>
                </c:pt>
                <c:pt idx="232">
                  <c:v>2.8092348007705992E-2</c:v>
                </c:pt>
                <c:pt idx="233">
                  <c:v>2.8368165420560532E-2</c:v>
                </c:pt>
                <c:pt idx="234">
                  <c:v>2.8438799454366892E-2</c:v>
                </c:pt>
                <c:pt idx="235">
                  <c:v>2.8573996325512274E-2</c:v>
                </c:pt>
                <c:pt idx="236">
                  <c:v>2.8712495957176287E-2</c:v>
                </c:pt>
                <c:pt idx="237">
                  <c:v>2.8884472313914333E-2</c:v>
                </c:pt>
                <c:pt idx="238">
                  <c:v>2.9023924600160012E-2</c:v>
                </c:pt>
                <c:pt idx="239">
                  <c:v>2.9228243308394353E-2</c:v>
                </c:pt>
                <c:pt idx="240">
                  <c:v>2.9323112660460282E-2</c:v>
                </c:pt>
                <c:pt idx="241">
                  <c:v>2.9461084604989418E-2</c:v>
                </c:pt>
                <c:pt idx="242">
                  <c:v>2.9608270786839253E-2</c:v>
                </c:pt>
                <c:pt idx="243">
                  <c:v>2.9740235656067426E-2</c:v>
                </c:pt>
                <c:pt idx="244">
                  <c:v>2.9963850394530311E-2</c:v>
                </c:pt>
                <c:pt idx="245">
                  <c:v>3.0128702048392686E-2</c:v>
                </c:pt>
                <c:pt idx="246">
                  <c:v>3.0274135681552794E-2</c:v>
                </c:pt>
                <c:pt idx="247">
                  <c:v>3.0353458144127154E-2</c:v>
                </c:pt>
                <c:pt idx="248">
                  <c:v>3.0478010781898268E-2</c:v>
                </c:pt>
                <c:pt idx="249">
                  <c:v>3.0630224533138017E-2</c:v>
                </c:pt>
                <c:pt idx="250">
                  <c:v>3.0771010275779442E-2</c:v>
                </c:pt>
                <c:pt idx="251">
                  <c:v>3.0917584965933109E-2</c:v>
                </c:pt>
                <c:pt idx="252">
                  <c:v>3.1034113375260741E-2</c:v>
                </c:pt>
                <c:pt idx="253">
                  <c:v>3.1187713891938529E-2</c:v>
                </c:pt>
                <c:pt idx="254">
                  <c:v>3.134007342308065E-2</c:v>
                </c:pt>
                <c:pt idx="255">
                  <c:v>3.1668366469810971E-2</c:v>
                </c:pt>
                <c:pt idx="256">
                  <c:v>3.180716190838595E-2</c:v>
                </c:pt>
                <c:pt idx="257">
                  <c:v>3.1974744791046783E-2</c:v>
                </c:pt>
                <c:pt idx="258">
                  <c:v>3.2128781021923958E-2</c:v>
                </c:pt>
                <c:pt idx="259">
                  <c:v>3.228258410135787E-2</c:v>
                </c:pt>
                <c:pt idx="260">
                  <c:v>3.2851258065435207E-2</c:v>
                </c:pt>
                <c:pt idx="261">
                  <c:v>3.3022731806087391E-2</c:v>
                </c:pt>
                <c:pt idx="262">
                  <c:v>3.3189390309143585E-2</c:v>
                </c:pt>
                <c:pt idx="263">
                  <c:v>3.3331631165318232E-2</c:v>
                </c:pt>
                <c:pt idx="264">
                  <c:v>3.3452517538430593E-2</c:v>
                </c:pt>
                <c:pt idx="265">
                  <c:v>3.3711525365674122E-2</c:v>
                </c:pt>
                <c:pt idx="266">
                  <c:v>3.3853407981531358E-2</c:v>
                </c:pt>
                <c:pt idx="267">
                  <c:v>3.4073791681884513E-2</c:v>
                </c:pt>
                <c:pt idx="268">
                  <c:v>3.4251670123166766E-2</c:v>
                </c:pt>
                <c:pt idx="269">
                  <c:v>3.4374151482105653E-2</c:v>
                </c:pt>
                <c:pt idx="270">
                  <c:v>3.4541770405962291E-2</c:v>
                </c:pt>
                <c:pt idx="271">
                  <c:v>3.4689668303688803E-2</c:v>
                </c:pt>
                <c:pt idx="272">
                  <c:v>3.4847336729251221E-2</c:v>
                </c:pt>
                <c:pt idx="273">
                  <c:v>3.4999612239946298E-2</c:v>
                </c:pt>
                <c:pt idx="274">
                  <c:v>3.5175384104778162E-2</c:v>
                </c:pt>
                <c:pt idx="275">
                  <c:v>3.5345013023341698E-2</c:v>
                </c:pt>
                <c:pt idx="276">
                  <c:v>3.5504518231955773E-2</c:v>
                </c:pt>
                <c:pt idx="277">
                  <c:v>3.5621240735746351E-2</c:v>
                </c:pt>
                <c:pt idx="278">
                  <c:v>3.5821674562712014E-2</c:v>
                </c:pt>
                <c:pt idx="279">
                  <c:v>3.6031784822576185E-2</c:v>
                </c:pt>
                <c:pt idx="280">
                  <c:v>3.6221236574720095E-2</c:v>
                </c:pt>
                <c:pt idx="281">
                  <c:v>3.6416076753355897E-2</c:v>
                </c:pt>
                <c:pt idx="282">
                  <c:v>3.6630630984987089E-2</c:v>
                </c:pt>
                <c:pt idx="283">
                  <c:v>3.6805515728802529E-2</c:v>
                </c:pt>
                <c:pt idx="284">
                  <c:v>3.6990367198362017E-2</c:v>
                </c:pt>
                <c:pt idx="285">
                  <c:v>3.7158290728692922E-2</c:v>
                </c:pt>
                <c:pt idx="286">
                  <c:v>3.7337652337350979E-2</c:v>
                </c:pt>
                <c:pt idx="287">
                  <c:v>3.7477044372998813E-2</c:v>
                </c:pt>
                <c:pt idx="288">
                  <c:v>3.7763220674109865E-2</c:v>
                </c:pt>
                <c:pt idx="289">
                  <c:v>3.7914974386493716E-2</c:v>
                </c:pt>
                <c:pt idx="290">
                  <c:v>3.8083631750771119E-2</c:v>
                </c:pt>
                <c:pt idx="291">
                  <c:v>3.8260898706174551E-2</c:v>
                </c:pt>
                <c:pt idx="292">
                  <c:v>3.8517744650391705E-2</c:v>
                </c:pt>
                <c:pt idx="293">
                  <c:v>3.8697931912989203E-2</c:v>
                </c:pt>
                <c:pt idx="294">
                  <c:v>3.877787743628347E-2</c:v>
                </c:pt>
                <c:pt idx="295">
                  <c:v>3.9450383324374672E-2</c:v>
                </c:pt>
                <c:pt idx="296">
                  <c:v>3.9563036828483167E-2</c:v>
                </c:pt>
                <c:pt idx="297">
                  <c:v>3.9673702595966143E-2</c:v>
                </c:pt>
                <c:pt idx="298">
                  <c:v>3.9865377573947258E-2</c:v>
                </c:pt>
                <c:pt idx="299">
                  <c:v>3.9983282419393529E-2</c:v>
                </c:pt>
                <c:pt idx="300">
                  <c:v>4.0138305052683343E-2</c:v>
                </c:pt>
                <c:pt idx="301">
                  <c:v>4.0264192708985513E-2</c:v>
                </c:pt>
                <c:pt idx="302">
                  <c:v>4.0461013876316843E-2</c:v>
                </c:pt>
                <c:pt idx="303">
                  <c:v>4.06032757313326E-2</c:v>
                </c:pt>
                <c:pt idx="304">
                  <c:v>4.0758311317396823E-2</c:v>
                </c:pt>
                <c:pt idx="305">
                  <c:v>4.0928520460246087E-2</c:v>
                </c:pt>
                <c:pt idx="306">
                  <c:v>4.1153920772413422E-2</c:v>
                </c:pt>
                <c:pt idx="307">
                  <c:v>4.1337132441393365E-2</c:v>
                </c:pt>
                <c:pt idx="308">
                  <c:v>4.1595750906028961E-2</c:v>
                </c:pt>
                <c:pt idx="309">
                  <c:v>4.1757974399319941E-2</c:v>
                </c:pt>
                <c:pt idx="310">
                  <c:v>4.1933407642678278E-2</c:v>
                </c:pt>
                <c:pt idx="311">
                  <c:v>4.2146946361586446E-2</c:v>
                </c:pt>
                <c:pt idx="312">
                  <c:v>4.2294355374392634E-2</c:v>
                </c:pt>
                <c:pt idx="313">
                  <c:v>4.2460416134816992E-2</c:v>
                </c:pt>
                <c:pt idx="314">
                  <c:v>4.2632250392005133E-2</c:v>
                </c:pt>
                <c:pt idx="315">
                  <c:v>4.2778143258790369E-2</c:v>
                </c:pt>
                <c:pt idx="316">
                  <c:v>4.2956361894677997E-2</c:v>
                </c:pt>
                <c:pt idx="317">
                  <c:v>4.3115785060306999E-2</c:v>
                </c:pt>
                <c:pt idx="318">
                  <c:v>4.329911246317697E-2</c:v>
                </c:pt>
                <c:pt idx="319">
                  <c:v>4.3441269744308286E-2</c:v>
                </c:pt>
                <c:pt idx="320">
                  <c:v>4.3602685431064492E-2</c:v>
                </c:pt>
                <c:pt idx="321">
                  <c:v>4.3795946927488894E-2</c:v>
                </c:pt>
                <c:pt idx="322">
                  <c:v>4.4020149742595605E-2</c:v>
                </c:pt>
                <c:pt idx="323">
                  <c:v>4.4209546104414521E-2</c:v>
                </c:pt>
                <c:pt idx="324">
                  <c:v>4.4374079469775785E-2</c:v>
                </c:pt>
                <c:pt idx="325">
                  <c:v>4.4561564640287044E-2</c:v>
                </c:pt>
                <c:pt idx="326">
                  <c:v>4.4760824201958593E-2</c:v>
                </c:pt>
                <c:pt idx="327">
                  <c:v>4.4950551604163946E-2</c:v>
                </c:pt>
                <c:pt idx="328">
                  <c:v>4.517717936719956E-2</c:v>
                </c:pt>
                <c:pt idx="329">
                  <c:v>4.5329235679189006E-2</c:v>
                </c:pt>
                <c:pt idx="330">
                  <c:v>4.5557321417612595E-2</c:v>
                </c:pt>
                <c:pt idx="331">
                  <c:v>4.5746355783055748E-2</c:v>
                </c:pt>
                <c:pt idx="332">
                  <c:v>4.5909994810348076E-2</c:v>
                </c:pt>
                <c:pt idx="333">
                  <c:v>4.6053465701941798E-2</c:v>
                </c:pt>
                <c:pt idx="334">
                  <c:v>4.6221651269986896E-2</c:v>
                </c:pt>
                <c:pt idx="335">
                  <c:v>4.6391125680321998E-2</c:v>
                </c:pt>
                <c:pt idx="336">
                  <c:v>4.6612437913180482E-2</c:v>
                </c:pt>
                <c:pt idx="337">
                  <c:v>4.6814732265183068E-2</c:v>
                </c:pt>
                <c:pt idx="338">
                  <c:v>4.7031392633536617E-2</c:v>
                </c:pt>
                <c:pt idx="339">
                  <c:v>4.7222058658920929E-2</c:v>
                </c:pt>
                <c:pt idx="340">
                  <c:v>4.7413633293402535E-2</c:v>
                </c:pt>
                <c:pt idx="341">
                  <c:v>4.7592599595249307E-2</c:v>
                </c:pt>
                <c:pt idx="342">
                  <c:v>4.7788914476472932E-2</c:v>
                </c:pt>
                <c:pt idx="343">
                  <c:v>4.7981486027143916E-2</c:v>
                </c:pt>
                <c:pt idx="344">
                  <c:v>4.8197731717782633E-2</c:v>
                </c:pt>
                <c:pt idx="345">
                  <c:v>4.8408317403941137E-2</c:v>
                </c:pt>
                <c:pt idx="346">
                  <c:v>4.8665103463695347E-2</c:v>
                </c:pt>
                <c:pt idx="347">
                  <c:v>4.8861830003757989E-2</c:v>
                </c:pt>
                <c:pt idx="348">
                  <c:v>4.9061448439376099E-2</c:v>
                </c:pt>
                <c:pt idx="349">
                  <c:v>4.9272113880657331E-2</c:v>
                </c:pt>
                <c:pt idx="350">
                  <c:v>4.9471596467422163E-2</c:v>
                </c:pt>
                <c:pt idx="351">
                  <c:v>4.9690524552672422E-2</c:v>
                </c:pt>
                <c:pt idx="352">
                  <c:v>4.9901638642214863E-2</c:v>
                </c:pt>
                <c:pt idx="353">
                  <c:v>5.0100038907801903E-2</c:v>
                </c:pt>
                <c:pt idx="354">
                  <c:v>5.0380045773399607E-2</c:v>
                </c:pt>
                <c:pt idx="355">
                  <c:v>5.0600362082932282E-2</c:v>
                </c:pt>
                <c:pt idx="356">
                  <c:v>5.0802994792904288E-2</c:v>
                </c:pt>
                <c:pt idx="357">
                  <c:v>5.099008595782073E-2</c:v>
                </c:pt>
                <c:pt idx="358">
                  <c:v>5.1219072351183836E-2</c:v>
                </c:pt>
                <c:pt idx="359">
                  <c:v>5.1424471175821385E-2</c:v>
                </c:pt>
                <c:pt idx="360">
                  <c:v>5.1630579867720572E-2</c:v>
                </c:pt>
                <c:pt idx="361">
                  <c:v>5.1890308522998918E-2</c:v>
                </c:pt>
                <c:pt idx="362">
                  <c:v>5.2100210317195472E-2</c:v>
                </c:pt>
                <c:pt idx="363">
                  <c:v>5.2303200912431125E-2</c:v>
                </c:pt>
                <c:pt idx="364">
                  <c:v>5.2561199417244797E-2</c:v>
                </c:pt>
                <c:pt idx="365">
                  <c:v>5.2786076393292802E-2</c:v>
                </c:pt>
                <c:pt idx="366">
                  <c:v>5.3025271525317219E-2</c:v>
                </c:pt>
                <c:pt idx="367">
                  <c:v>5.3264568344904895E-2</c:v>
                </c:pt>
                <c:pt idx="368">
                  <c:v>5.3579246757125665E-2</c:v>
                </c:pt>
                <c:pt idx="369">
                  <c:v>5.3791507734520572E-2</c:v>
                </c:pt>
                <c:pt idx="370">
                  <c:v>5.4039945083595553E-2</c:v>
                </c:pt>
                <c:pt idx="371">
                  <c:v>5.4262129212909516E-2</c:v>
                </c:pt>
                <c:pt idx="372">
                  <c:v>5.4529902511491146E-2</c:v>
                </c:pt>
                <c:pt idx="373">
                  <c:v>5.4796161836489832E-2</c:v>
                </c:pt>
                <c:pt idx="374">
                  <c:v>5.5009086135102914E-2</c:v>
                </c:pt>
                <c:pt idx="375">
                  <c:v>5.5270659486453377E-2</c:v>
                </c:pt>
                <c:pt idx="376">
                  <c:v>5.5505110242066502E-2</c:v>
                </c:pt>
                <c:pt idx="377">
                  <c:v>5.5735218656195462E-2</c:v>
                </c:pt>
                <c:pt idx="378">
                  <c:v>5.5992392830748638E-2</c:v>
                </c:pt>
                <c:pt idx="379">
                  <c:v>5.6226296395776254E-2</c:v>
                </c:pt>
                <c:pt idx="380">
                  <c:v>5.6469618044446168E-2</c:v>
                </c:pt>
                <c:pt idx="381">
                  <c:v>5.6715361983521451E-2</c:v>
                </c:pt>
                <c:pt idx="382">
                  <c:v>5.6951043738958207E-2</c:v>
                </c:pt>
                <c:pt idx="383">
                  <c:v>5.7210866302876306E-2</c:v>
                </c:pt>
                <c:pt idx="384">
                  <c:v>5.7440398625288269E-2</c:v>
                </c:pt>
                <c:pt idx="385">
                  <c:v>5.7702336804078769E-2</c:v>
                </c:pt>
                <c:pt idx="386">
                  <c:v>5.7951061226887646E-2</c:v>
                </c:pt>
                <c:pt idx="387">
                  <c:v>5.818440767552735E-2</c:v>
                </c:pt>
                <c:pt idx="388">
                  <c:v>5.840745113247614E-2</c:v>
                </c:pt>
                <c:pt idx="389">
                  <c:v>5.863986356599904E-2</c:v>
                </c:pt>
                <c:pt idx="390">
                  <c:v>5.8888357514958356E-2</c:v>
                </c:pt>
                <c:pt idx="391">
                  <c:v>5.9159562951952571E-2</c:v>
                </c:pt>
                <c:pt idx="392">
                  <c:v>5.9432548468526747E-2</c:v>
                </c:pt>
                <c:pt idx="393">
                  <c:v>5.965912119829464E-2</c:v>
                </c:pt>
                <c:pt idx="394">
                  <c:v>5.9924062864481265E-2</c:v>
                </c:pt>
                <c:pt idx="395">
                  <c:v>6.0234213727884844E-2</c:v>
                </c:pt>
                <c:pt idx="396">
                  <c:v>6.0468363083381993E-2</c:v>
                </c:pt>
                <c:pt idx="397">
                  <c:v>6.0714963939177524E-2</c:v>
                </c:pt>
                <c:pt idx="398">
                  <c:v>6.0946886549789525E-2</c:v>
                </c:pt>
                <c:pt idx="399">
                  <c:v>6.1193700221587877E-2</c:v>
                </c:pt>
                <c:pt idx="400">
                  <c:v>6.1461449511747146E-2</c:v>
                </c:pt>
                <c:pt idx="401">
                  <c:v>6.1749447352630105E-2</c:v>
                </c:pt>
                <c:pt idx="402">
                  <c:v>6.2070913052298948E-2</c:v>
                </c:pt>
                <c:pt idx="403">
                  <c:v>6.2377584571803313E-2</c:v>
                </c:pt>
                <c:pt idx="404">
                  <c:v>6.262419048743828E-2</c:v>
                </c:pt>
                <c:pt idx="405">
                  <c:v>6.2956219677652303E-2</c:v>
                </c:pt>
                <c:pt idx="406">
                  <c:v>6.3246031156962257E-2</c:v>
                </c:pt>
                <c:pt idx="407">
                  <c:v>6.3545193152234836E-2</c:v>
                </c:pt>
                <c:pt idx="408">
                  <c:v>6.3839054775453263E-2</c:v>
                </c:pt>
                <c:pt idx="409">
                  <c:v>6.4052758495629414E-2</c:v>
                </c:pt>
                <c:pt idx="410">
                  <c:v>6.4495289642776177E-2</c:v>
                </c:pt>
                <c:pt idx="411">
                  <c:v>6.4755967944237991E-2</c:v>
                </c:pt>
                <c:pt idx="412">
                  <c:v>6.5046535522017779E-2</c:v>
                </c:pt>
                <c:pt idx="413">
                  <c:v>6.5356355616693396E-2</c:v>
                </c:pt>
                <c:pt idx="414">
                  <c:v>6.5617426034635828E-2</c:v>
                </c:pt>
                <c:pt idx="415">
                  <c:v>6.5910634692052605E-2</c:v>
                </c:pt>
                <c:pt idx="416">
                  <c:v>6.6197049922797291E-2</c:v>
                </c:pt>
                <c:pt idx="417">
                  <c:v>6.6493540185761146E-2</c:v>
                </c:pt>
                <c:pt idx="418">
                  <c:v>6.6776845686545849E-2</c:v>
                </c:pt>
                <c:pt idx="419">
                  <c:v>6.7033680225263792E-2</c:v>
                </c:pt>
                <c:pt idx="420">
                  <c:v>6.7302046628925805E-2</c:v>
                </c:pt>
                <c:pt idx="421">
                  <c:v>6.7591326956503162E-2</c:v>
                </c:pt>
                <c:pt idx="422">
                  <c:v>6.7842180993785028E-2</c:v>
                </c:pt>
                <c:pt idx="423">
                  <c:v>6.8105330876448544E-2</c:v>
                </c:pt>
                <c:pt idx="424">
                  <c:v>6.8490466014976548E-2</c:v>
                </c:pt>
                <c:pt idx="425">
                  <c:v>6.8804193863577279E-2</c:v>
                </c:pt>
                <c:pt idx="426">
                  <c:v>6.9085475434511601E-2</c:v>
                </c:pt>
                <c:pt idx="427">
                  <c:v>6.9409086391746033E-2</c:v>
                </c:pt>
                <c:pt idx="428">
                  <c:v>6.9700074938679801E-2</c:v>
                </c:pt>
                <c:pt idx="429">
                  <c:v>6.9971541747939847E-2</c:v>
                </c:pt>
                <c:pt idx="430">
                  <c:v>7.0274004458882988E-2</c:v>
                </c:pt>
                <c:pt idx="431">
                  <c:v>7.0561257206231742E-2</c:v>
                </c:pt>
                <c:pt idx="432">
                  <c:v>7.0872464981613037E-2</c:v>
                </c:pt>
                <c:pt idx="433">
                  <c:v>7.1189072086378591E-2</c:v>
                </c:pt>
                <c:pt idx="434">
                  <c:v>7.1508889735765191E-2</c:v>
                </c:pt>
                <c:pt idx="435">
                  <c:v>7.1909881640942475E-2</c:v>
                </c:pt>
                <c:pt idx="436">
                  <c:v>7.2243648140536854E-2</c:v>
                </c:pt>
                <c:pt idx="437">
                  <c:v>7.2572182732099533E-2</c:v>
                </c:pt>
                <c:pt idx="438">
                  <c:v>7.2936998242995932E-2</c:v>
                </c:pt>
                <c:pt idx="439">
                  <c:v>7.3284278366485989E-2</c:v>
                </c:pt>
                <c:pt idx="440">
                  <c:v>7.3628483773925613E-2</c:v>
                </c:pt>
                <c:pt idx="441">
                  <c:v>7.396414050549116E-2</c:v>
                </c:pt>
                <c:pt idx="442">
                  <c:v>7.4318931676819799E-2</c:v>
                </c:pt>
                <c:pt idx="443">
                  <c:v>7.4653155380772773E-2</c:v>
                </c:pt>
                <c:pt idx="444">
                  <c:v>7.5016081111453747E-2</c:v>
                </c:pt>
                <c:pt idx="445">
                  <c:v>7.5329379557995901E-2</c:v>
                </c:pt>
                <c:pt idx="446">
                  <c:v>7.5654175774758858E-2</c:v>
                </c:pt>
                <c:pt idx="447">
                  <c:v>7.6042572037466227E-2</c:v>
                </c:pt>
                <c:pt idx="448">
                  <c:v>7.6377789731223888E-2</c:v>
                </c:pt>
                <c:pt idx="449">
                  <c:v>7.6700505351512849E-2</c:v>
                </c:pt>
                <c:pt idx="450">
                  <c:v>7.7041301639429571E-2</c:v>
                </c:pt>
                <c:pt idx="451">
                  <c:v>7.7366752931818716E-2</c:v>
                </c:pt>
                <c:pt idx="452">
                  <c:v>7.7674933583095296E-2</c:v>
                </c:pt>
                <c:pt idx="453">
                  <c:v>7.7992903041711692E-2</c:v>
                </c:pt>
                <c:pt idx="454">
                  <c:v>7.8269326299766906E-2</c:v>
                </c:pt>
                <c:pt idx="455">
                  <c:v>7.8520240443306966E-2</c:v>
                </c:pt>
                <c:pt idx="456">
                  <c:v>7.8879403633245859E-2</c:v>
                </c:pt>
                <c:pt idx="457">
                  <c:v>7.9108132842206524E-2</c:v>
                </c:pt>
                <c:pt idx="458">
                  <c:v>7.9518732019790317E-2</c:v>
                </c:pt>
                <c:pt idx="459">
                  <c:v>7.9882807117703791E-2</c:v>
                </c:pt>
                <c:pt idx="460">
                  <c:v>8.0265618901272484E-2</c:v>
                </c:pt>
                <c:pt idx="461">
                  <c:v>8.0616847571896688E-2</c:v>
                </c:pt>
                <c:pt idx="462">
                  <c:v>8.0990183037505936E-2</c:v>
                </c:pt>
                <c:pt idx="463">
                  <c:v>8.1365423665350933E-2</c:v>
                </c:pt>
                <c:pt idx="464">
                  <c:v>8.1746199657749541E-2</c:v>
                </c:pt>
                <c:pt idx="465">
                  <c:v>8.2129388249737145E-2</c:v>
                </c:pt>
                <c:pt idx="466">
                  <c:v>8.2560424606042737E-2</c:v>
                </c:pt>
                <c:pt idx="467">
                  <c:v>8.2930153082912739E-2</c:v>
                </c:pt>
                <c:pt idx="468">
                  <c:v>8.3294826840912162E-2</c:v>
                </c:pt>
                <c:pt idx="469">
                  <c:v>8.3717092997134035E-2</c:v>
                </c:pt>
                <c:pt idx="470">
                  <c:v>8.4077636848375992E-2</c:v>
                </c:pt>
                <c:pt idx="471">
                  <c:v>8.4449303435140788E-2</c:v>
                </c:pt>
                <c:pt idx="472">
                  <c:v>8.4811140021584963E-2</c:v>
                </c:pt>
                <c:pt idx="473">
                  <c:v>8.5172521223332964E-2</c:v>
                </c:pt>
                <c:pt idx="474">
                  <c:v>8.5544073749276306E-2</c:v>
                </c:pt>
                <c:pt idx="475">
                  <c:v>8.5880777811627951E-2</c:v>
                </c:pt>
                <c:pt idx="476">
                  <c:v>8.6229831537685708E-2</c:v>
                </c:pt>
                <c:pt idx="477">
                  <c:v>8.6631794380239047E-2</c:v>
                </c:pt>
                <c:pt idx="478">
                  <c:v>8.7014635795355844E-2</c:v>
                </c:pt>
                <c:pt idx="479">
                  <c:v>8.7440166054795432E-2</c:v>
                </c:pt>
                <c:pt idx="480">
                  <c:v>8.7826086691015437E-2</c:v>
                </c:pt>
                <c:pt idx="481">
                  <c:v>8.8200918637924008E-2</c:v>
                </c:pt>
                <c:pt idx="482">
                  <c:v>8.8584660072026367E-2</c:v>
                </c:pt>
                <c:pt idx="483">
                  <c:v>8.8969616382270855E-2</c:v>
                </c:pt>
                <c:pt idx="484">
                  <c:v>8.9324679852336164E-2</c:v>
                </c:pt>
                <c:pt idx="485">
                  <c:v>8.9707186283305873E-2</c:v>
                </c:pt>
                <c:pt idx="486">
                  <c:v>9.0122166549580385E-2</c:v>
                </c:pt>
                <c:pt idx="487">
                  <c:v>9.0528976575062092E-2</c:v>
                </c:pt>
                <c:pt idx="488">
                  <c:v>9.0943837642880609E-2</c:v>
                </c:pt>
                <c:pt idx="489">
                  <c:v>9.135225994064422E-2</c:v>
                </c:pt>
                <c:pt idx="490">
                  <c:v>9.1768065506710794E-2</c:v>
                </c:pt>
                <c:pt idx="491">
                  <c:v>9.2181474027069221E-2</c:v>
                </c:pt>
                <c:pt idx="492">
                  <c:v>9.2638776054652094E-2</c:v>
                </c:pt>
                <c:pt idx="493">
                  <c:v>9.3064666197996582E-2</c:v>
                </c:pt>
                <c:pt idx="494">
                  <c:v>9.3478552654958413E-2</c:v>
                </c:pt>
                <c:pt idx="495">
                  <c:v>9.3885489107839559E-2</c:v>
                </c:pt>
                <c:pt idx="496">
                  <c:v>9.4310577512865867E-2</c:v>
                </c:pt>
                <c:pt idx="497">
                  <c:v>9.4746678117477723E-2</c:v>
                </c:pt>
                <c:pt idx="498">
                  <c:v>9.5148670289943782E-2</c:v>
                </c:pt>
                <c:pt idx="499">
                  <c:v>9.5555326734893642E-2</c:v>
                </c:pt>
                <c:pt idx="500">
                  <c:v>9.5984857609737073E-2</c:v>
                </c:pt>
                <c:pt idx="501">
                  <c:v>9.6416387794898473E-2</c:v>
                </c:pt>
                <c:pt idx="502">
                  <c:v>9.6861050722019781E-2</c:v>
                </c:pt>
                <c:pt idx="503">
                  <c:v>9.7287718567848458E-2</c:v>
                </c:pt>
                <c:pt idx="504">
                  <c:v>9.7711523059501815E-2</c:v>
                </c:pt>
                <c:pt idx="505">
                  <c:v>9.814593557378859E-2</c:v>
                </c:pt>
                <c:pt idx="506">
                  <c:v>9.8589259784290784E-2</c:v>
                </c:pt>
                <c:pt idx="507">
                  <c:v>9.9015279659858901E-2</c:v>
                </c:pt>
                <c:pt idx="508">
                  <c:v>9.9449957537279143E-2</c:v>
                </c:pt>
                <c:pt idx="509">
                  <c:v>9.9910991256088932E-2</c:v>
                </c:pt>
                <c:pt idx="510">
                  <c:v>0.10036559377152066</c:v>
                </c:pt>
                <c:pt idx="511">
                  <c:v>0.10079661114562355</c:v>
                </c:pt>
                <c:pt idx="512">
                  <c:v>0.1012344611287026</c:v>
                </c:pt>
                <c:pt idx="513">
                  <c:v>0.10166746296091778</c:v>
                </c:pt>
                <c:pt idx="514">
                  <c:v>0.10206828234543974</c:v>
                </c:pt>
                <c:pt idx="515">
                  <c:v>0.10252140863307124</c:v>
                </c:pt>
                <c:pt idx="516">
                  <c:v>0.10294953673072471</c:v>
                </c:pt>
                <c:pt idx="517">
                  <c:v>0.10339269504493198</c:v>
                </c:pt>
                <c:pt idx="518">
                  <c:v>0.10386132114637703</c:v>
                </c:pt>
                <c:pt idx="519">
                  <c:v>0.10430613656336507</c:v>
                </c:pt>
                <c:pt idx="520">
                  <c:v>0.10474876807698452</c:v>
                </c:pt>
                <c:pt idx="521">
                  <c:v>0.10517669404651997</c:v>
                </c:pt>
                <c:pt idx="522">
                  <c:v>0.10561645462787284</c:v>
                </c:pt>
                <c:pt idx="523">
                  <c:v>0.10605047065640716</c:v>
                </c:pt>
                <c:pt idx="524">
                  <c:v>0.10649541513437422</c:v>
                </c:pt>
                <c:pt idx="525">
                  <c:v>0.10695612176913105</c:v>
                </c:pt>
                <c:pt idx="526">
                  <c:v>0.10745215485761173</c:v>
                </c:pt>
                <c:pt idx="527">
                  <c:v>0.1079581772153726</c:v>
                </c:pt>
                <c:pt idx="528">
                  <c:v>0.10845730734959269</c:v>
                </c:pt>
                <c:pt idx="529">
                  <c:v>0.10897044117481469</c:v>
                </c:pt>
                <c:pt idx="530">
                  <c:v>0.10947274902235304</c:v>
                </c:pt>
                <c:pt idx="531">
                  <c:v>0.10997928784453981</c:v>
                </c:pt>
                <c:pt idx="532">
                  <c:v>0.110506978077062</c:v>
                </c:pt>
                <c:pt idx="533">
                  <c:v>0.11102403352870027</c:v>
                </c:pt>
                <c:pt idx="534">
                  <c:v>0.11154092380227287</c:v>
                </c:pt>
                <c:pt idx="535">
                  <c:v>0.11207956714184819</c:v>
                </c:pt>
                <c:pt idx="536">
                  <c:v>0.11261004410488917</c:v>
                </c:pt>
                <c:pt idx="537">
                  <c:v>0.11313586497765749</c:v>
                </c:pt>
                <c:pt idx="538">
                  <c:v>0.11367945086654796</c:v>
                </c:pt>
                <c:pt idx="539">
                  <c:v>0.11420163294553221</c:v>
                </c:pt>
                <c:pt idx="540">
                  <c:v>0.11469761449907478</c:v>
                </c:pt>
                <c:pt idx="541">
                  <c:v>0.11520075293662813</c:v>
                </c:pt>
                <c:pt idx="542">
                  <c:v>0.11568570898563157</c:v>
                </c:pt>
                <c:pt idx="543">
                  <c:v>0.11617904730079864</c:v>
                </c:pt>
                <c:pt idx="544">
                  <c:v>0.11667852953232383</c:v>
                </c:pt>
                <c:pt idx="545">
                  <c:v>0.11716567297775349</c:v>
                </c:pt>
                <c:pt idx="546">
                  <c:v>0.1176788628600558</c:v>
                </c:pt>
                <c:pt idx="547">
                  <c:v>0.11819182439354803</c:v>
                </c:pt>
                <c:pt idx="548">
                  <c:v>0.11871263257863673</c:v>
                </c:pt>
                <c:pt idx="549">
                  <c:v>0.11924576594944658</c:v>
                </c:pt>
                <c:pt idx="550">
                  <c:v>0.11975451362448641</c:v>
                </c:pt>
                <c:pt idx="551">
                  <c:v>0.120267627043668</c:v>
                </c:pt>
                <c:pt idx="552">
                  <c:v>0.12079759813291613</c:v>
                </c:pt>
                <c:pt idx="553">
                  <c:v>0.12133714106016624</c:v>
                </c:pt>
                <c:pt idx="554">
                  <c:v>0.12187861826419089</c:v>
                </c:pt>
                <c:pt idx="555">
                  <c:v>0.12241615423802488</c:v>
                </c:pt>
                <c:pt idx="556">
                  <c:v>0.12296267412670514</c:v>
                </c:pt>
                <c:pt idx="557">
                  <c:v>0.12351004642194652</c:v>
                </c:pt>
                <c:pt idx="558">
                  <c:v>0.12413682659498848</c:v>
                </c:pt>
                <c:pt idx="559">
                  <c:v>0.1247028972268025</c:v>
                </c:pt>
                <c:pt idx="560">
                  <c:v>0.12527025215843235</c:v>
                </c:pt>
                <c:pt idx="561">
                  <c:v>0.1258265519969417</c:v>
                </c:pt>
                <c:pt idx="562">
                  <c:v>0.12635387218499416</c:v>
                </c:pt>
                <c:pt idx="563">
                  <c:v>0.12692400631509626</c:v>
                </c:pt>
                <c:pt idx="564">
                  <c:v>0.12749097461322756</c:v>
                </c:pt>
                <c:pt idx="565">
                  <c:v>0.12803661660132448</c:v>
                </c:pt>
                <c:pt idx="566">
                  <c:v>0.12857419599858622</c:v>
                </c:pt>
                <c:pt idx="567">
                  <c:v>0.12913971944635083</c:v>
                </c:pt>
                <c:pt idx="568">
                  <c:v>0.12967754346300708</c:v>
                </c:pt>
                <c:pt idx="569">
                  <c:v>0.13019667806394253</c:v>
                </c:pt>
                <c:pt idx="570">
                  <c:v>0.13074961207153146</c:v>
                </c:pt>
                <c:pt idx="571">
                  <c:v>0.13128557540910335</c:v>
                </c:pt>
                <c:pt idx="572">
                  <c:v>0.13183857018779821</c:v>
                </c:pt>
                <c:pt idx="573">
                  <c:v>0.1323811186847903</c:v>
                </c:pt>
                <c:pt idx="574">
                  <c:v>0.13295393461300242</c:v>
                </c:pt>
                <c:pt idx="575">
                  <c:v>0.13348820231339364</c:v>
                </c:pt>
                <c:pt idx="576">
                  <c:v>0.1340344281718755</c:v>
                </c:pt>
                <c:pt idx="577">
                  <c:v>0.13458222049592794</c:v>
                </c:pt>
                <c:pt idx="578">
                  <c:v>0.135154935781435</c:v>
                </c:pt>
                <c:pt idx="579">
                  <c:v>0.13569500667934586</c:v>
                </c:pt>
                <c:pt idx="580">
                  <c:v>0.13625826618664783</c:v>
                </c:pt>
                <c:pt idx="581">
                  <c:v>0.1368200268866282</c:v>
                </c:pt>
                <c:pt idx="582">
                  <c:v>0.1374013653840771</c:v>
                </c:pt>
                <c:pt idx="583">
                  <c:v>0.13796662493681566</c:v>
                </c:pt>
                <c:pt idx="584">
                  <c:v>0.13852616112644567</c:v>
                </c:pt>
                <c:pt idx="585">
                  <c:v>0.13907857322942707</c:v>
                </c:pt>
                <c:pt idx="586">
                  <c:v>0.13968104828080374</c:v>
                </c:pt>
                <c:pt idx="587">
                  <c:v>0.14031766167967907</c:v>
                </c:pt>
                <c:pt idx="588">
                  <c:v>0.14094695246125499</c:v>
                </c:pt>
                <c:pt idx="589">
                  <c:v>0.14153506431888374</c:v>
                </c:pt>
                <c:pt idx="590">
                  <c:v>0.14215677058887888</c:v>
                </c:pt>
                <c:pt idx="591">
                  <c:v>0.14275165250263133</c:v>
                </c:pt>
                <c:pt idx="592">
                  <c:v>0.14335849166820624</c:v>
                </c:pt>
                <c:pt idx="593">
                  <c:v>0.14393537469694917</c:v>
                </c:pt>
                <c:pt idx="594">
                  <c:v>0.14453419244963062</c:v>
                </c:pt>
                <c:pt idx="595">
                  <c:v>0.14514633984917524</c:v>
                </c:pt>
                <c:pt idx="596">
                  <c:v>0.14582572008623296</c:v>
                </c:pt>
                <c:pt idx="597">
                  <c:v>0.14641556034293979</c:v>
                </c:pt>
                <c:pt idx="598">
                  <c:v>0.14701960012221416</c:v>
                </c:pt>
                <c:pt idx="599">
                  <c:v>0.14761422041407202</c:v>
                </c:pt>
                <c:pt idx="600">
                  <c:v>0.14821599302253197</c:v>
                </c:pt>
                <c:pt idx="601">
                  <c:v>0.14881115932557187</c:v>
                </c:pt>
                <c:pt idx="602">
                  <c:v>0.14940617770899989</c:v>
                </c:pt>
                <c:pt idx="603">
                  <c:v>0.14999596340856436</c:v>
                </c:pt>
                <c:pt idx="604">
                  <c:v>0.15058896553531875</c:v>
                </c:pt>
                <c:pt idx="605">
                  <c:v>0.15117241305161366</c:v>
                </c:pt>
                <c:pt idx="606">
                  <c:v>0.15176587431250477</c:v>
                </c:pt>
                <c:pt idx="607">
                  <c:v>0.15233734034011781</c:v>
                </c:pt>
                <c:pt idx="608">
                  <c:v>0.15293388979130906</c:v>
                </c:pt>
                <c:pt idx="609">
                  <c:v>0.15353091991453915</c:v>
                </c:pt>
                <c:pt idx="610">
                  <c:v>0.15414014624039196</c:v>
                </c:pt>
                <c:pt idx="611">
                  <c:v>0.15474508771632878</c:v>
                </c:pt>
                <c:pt idx="612">
                  <c:v>0.15536163674940595</c:v>
                </c:pt>
                <c:pt idx="613">
                  <c:v>0.15597595166083478</c:v>
                </c:pt>
                <c:pt idx="614">
                  <c:v>0.15661964598628009</c:v>
                </c:pt>
                <c:pt idx="615">
                  <c:v>0.15723170048983559</c:v>
                </c:pt>
                <c:pt idx="616">
                  <c:v>0.15787462360795224</c:v>
                </c:pt>
                <c:pt idx="617">
                  <c:v>0.15849906020428617</c:v>
                </c:pt>
                <c:pt idx="618">
                  <c:v>0.15912308697206545</c:v>
                </c:pt>
                <c:pt idx="619">
                  <c:v>0.15974882192394313</c:v>
                </c:pt>
                <c:pt idx="620">
                  <c:v>0.16038691016691398</c:v>
                </c:pt>
                <c:pt idx="621">
                  <c:v>0.16101825860795693</c:v>
                </c:pt>
                <c:pt idx="622">
                  <c:v>0.16169658666246156</c:v>
                </c:pt>
                <c:pt idx="623">
                  <c:v>0.16232221686251669</c:v>
                </c:pt>
                <c:pt idx="624">
                  <c:v>0.16294487203451657</c:v>
                </c:pt>
                <c:pt idx="625">
                  <c:v>0.16355563468001888</c:v>
                </c:pt>
                <c:pt idx="626">
                  <c:v>0.16417805624091697</c:v>
                </c:pt>
                <c:pt idx="627">
                  <c:v>0.16478779879683692</c:v>
                </c:pt>
                <c:pt idx="628">
                  <c:v>0.16540583217151572</c:v>
                </c:pt>
                <c:pt idx="629">
                  <c:v>0.16602331829104133</c:v>
                </c:pt>
                <c:pt idx="630">
                  <c:v>0.16659978147698551</c:v>
                </c:pt>
                <c:pt idx="631">
                  <c:v>0.16725878251719206</c:v>
                </c:pt>
                <c:pt idx="632">
                  <c:v>0.16789017146841134</c:v>
                </c:pt>
                <c:pt idx="633">
                  <c:v>0.16851945889662434</c:v>
                </c:pt>
                <c:pt idx="634">
                  <c:v>0.16914971098154097</c:v>
                </c:pt>
                <c:pt idx="635">
                  <c:v>0.1697752046088381</c:v>
                </c:pt>
                <c:pt idx="636">
                  <c:v>0.17039978120227195</c:v>
                </c:pt>
                <c:pt idx="637">
                  <c:v>0.17104184066676265</c:v>
                </c:pt>
                <c:pt idx="638">
                  <c:v>0.17166004922865041</c:v>
                </c:pt>
                <c:pt idx="639">
                  <c:v>0.17225222613155111</c:v>
                </c:pt>
                <c:pt idx="640">
                  <c:v>0.17286369759610554</c:v>
                </c:pt>
                <c:pt idx="641">
                  <c:v>0.17350800532478217</c:v>
                </c:pt>
                <c:pt idx="642">
                  <c:v>0.1741207512861882</c:v>
                </c:pt>
                <c:pt idx="643">
                  <c:v>0.17474302469107394</c:v>
                </c:pt>
                <c:pt idx="644">
                  <c:v>0.17535795366674023</c:v>
                </c:pt>
                <c:pt idx="645">
                  <c:v>0.17598820426975093</c:v>
                </c:pt>
                <c:pt idx="646">
                  <c:v>0.17663115129419849</c:v>
                </c:pt>
                <c:pt idx="647">
                  <c:v>0.17726112673827354</c:v>
                </c:pt>
                <c:pt idx="648">
                  <c:v>0.17786879305863135</c:v>
                </c:pt>
                <c:pt idx="649">
                  <c:v>0.17850269290508347</c:v>
                </c:pt>
                <c:pt idx="650">
                  <c:v>0.17918467978755181</c:v>
                </c:pt>
                <c:pt idx="651">
                  <c:v>0.17983935932892803</c:v>
                </c:pt>
                <c:pt idx="652">
                  <c:v>0.18050887430262708</c:v>
                </c:pt>
                <c:pt idx="653">
                  <c:v>0.18114848712912113</c:v>
                </c:pt>
                <c:pt idx="654">
                  <c:v>0.18180919477541302</c:v>
                </c:pt>
                <c:pt idx="655">
                  <c:v>0.18254857057551077</c:v>
                </c:pt>
                <c:pt idx="656">
                  <c:v>0.18321377160466712</c:v>
                </c:pt>
                <c:pt idx="657">
                  <c:v>0.18388447363103766</c:v>
                </c:pt>
                <c:pt idx="658">
                  <c:v>0.18450264348977008</c:v>
                </c:pt>
                <c:pt idx="659">
                  <c:v>0.18515031541460347</c:v>
                </c:pt>
                <c:pt idx="660">
                  <c:v>0.18584259636468992</c:v>
                </c:pt>
                <c:pt idx="661">
                  <c:v>0.18649027603359558</c:v>
                </c:pt>
                <c:pt idx="662">
                  <c:v>0.1871577435851437</c:v>
                </c:pt>
                <c:pt idx="663">
                  <c:v>0.18780805058452588</c:v>
                </c:pt>
                <c:pt idx="664">
                  <c:v>0.18846571462202477</c:v>
                </c:pt>
                <c:pt idx="665">
                  <c:v>0.18911311880893344</c:v>
                </c:pt>
                <c:pt idx="666">
                  <c:v>0.18977761129207926</c:v>
                </c:pt>
                <c:pt idx="667">
                  <c:v>0.19043520978143857</c:v>
                </c:pt>
                <c:pt idx="668">
                  <c:v>0.19111286344241418</c:v>
                </c:pt>
                <c:pt idx="669">
                  <c:v>0.19175775955081109</c:v>
                </c:pt>
                <c:pt idx="670">
                  <c:v>0.19243037278731601</c:v>
                </c:pt>
                <c:pt idx="671">
                  <c:v>0.19307268687156087</c:v>
                </c:pt>
                <c:pt idx="672">
                  <c:v>0.19373773537782446</c:v>
                </c:pt>
                <c:pt idx="673">
                  <c:v>0.1944230306675323</c:v>
                </c:pt>
                <c:pt idx="674">
                  <c:v>0.19509065601933973</c:v>
                </c:pt>
                <c:pt idx="675">
                  <c:v>0.19577035685270761</c:v>
                </c:pt>
                <c:pt idx="676">
                  <c:v>0.19643455778498176</c:v>
                </c:pt>
                <c:pt idx="677">
                  <c:v>0.19708369937173131</c:v>
                </c:pt>
                <c:pt idx="678">
                  <c:v>0.19774159504620736</c:v>
                </c:pt>
                <c:pt idx="679">
                  <c:v>0.19843299245326662</c:v>
                </c:pt>
                <c:pt idx="680">
                  <c:v>0.19908861351458129</c:v>
                </c:pt>
                <c:pt idx="681">
                  <c:v>0.19975323358412767</c:v>
                </c:pt>
                <c:pt idx="682">
                  <c:v>0.20042342113540612</c:v>
                </c:pt>
                <c:pt idx="683">
                  <c:v>0.20110728890214014</c:v>
                </c:pt>
                <c:pt idx="684">
                  <c:v>0.20178122348083694</c:v>
                </c:pt>
                <c:pt idx="685">
                  <c:v>0.20244069846436052</c:v>
                </c:pt>
                <c:pt idx="686">
                  <c:v>0.2031329950287406</c:v>
                </c:pt>
                <c:pt idx="687">
                  <c:v>0.20377965627624639</c:v>
                </c:pt>
                <c:pt idx="688">
                  <c:v>0.20452927881958738</c:v>
                </c:pt>
                <c:pt idx="689">
                  <c:v>0.20513191038956524</c:v>
                </c:pt>
                <c:pt idx="690">
                  <c:v>0.20574597713995568</c:v>
                </c:pt>
                <c:pt idx="691">
                  <c:v>0.20655909094202096</c:v>
                </c:pt>
                <c:pt idx="692">
                  <c:v>0.20724096182358176</c:v>
                </c:pt>
                <c:pt idx="693">
                  <c:v>0.20795691822865114</c:v>
                </c:pt>
                <c:pt idx="694">
                  <c:v>0.20866598413123394</c:v>
                </c:pt>
                <c:pt idx="695">
                  <c:v>0.2093261469002794</c:v>
                </c:pt>
                <c:pt idx="696">
                  <c:v>0.21003538917408449</c:v>
                </c:pt>
                <c:pt idx="697">
                  <c:v>0.21068538842353979</c:v>
                </c:pt>
                <c:pt idx="698">
                  <c:v>0.2113596071188939</c:v>
                </c:pt>
                <c:pt idx="699">
                  <c:v>0.21204048635049388</c:v>
                </c:pt>
                <c:pt idx="700">
                  <c:v>0.21275046739248049</c:v>
                </c:pt>
                <c:pt idx="701">
                  <c:v>0.2134698834572093</c:v>
                </c:pt>
                <c:pt idx="702">
                  <c:v>0.21415066959469398</c:v>
                </c:pt>
                <c:pt idx="703">
                  <c:v>0.21481687381818015</c:v>
                </c:pt>
                <c:pt idx="704">
                  <c:v>0.2154833275454946</c:v>
                </c:pt>
                <c:pt idx="705">
                  <c:v>0.21615584641174213</c:v>
                </c:pt>
                <c:pt idx="706">
                  <c:v>0.21684401445026968</c:v>
                </c:pt>
                <c:pt idx="707">
                  <c:v>0.21752567620936869</c:v>
                </c:pt>
                <c:pt idx="708">
                  <c:v>0.21820674029142384</c:v>
                </c:pt>
                <c:pt idx="709">
                  <c:v>0.21893398251379459</c:v>
                </c:pt>
                <c:pt idx="710">
                  <c:v>0.21956380066991277</c:v>
                </c:pt>
              </c:numCache>
            </c:numRef>
          </c:val>
          <c:smooth val="1"/>
          <c:extLst>
            <c:ext xmlns:c16="http://schemas.microsoft.com/office/drawing/2014/chart" uri="{C3380CC4-5D6E-409C-BE32-E72D297353CC}">
              <c16:uniqueId val="{00000002-2EA0-43A0-9CB9-F40B4D364F0E}"/>
            </c:ext>
          </c:extLst>
        </c:ser>
        <c:ser>
          <c:idx val="1"/>
          <c:order val="1"/>
          <c:tx>
            <c:strRef>
              <c:f>'Strategy AccReturns'!$C$2</c:f>
              <c:strCache>
                <c:ptCount val="1"/>
                <c:pt idx="0">
                  <c:v>RF Pré</c:v>
                </c:pt>
              </c:strCache>
            </c:strRef>
          </c:tx>
          <c:spPr>
            <a:ln w="25400" cap="rnd">
              <a:solidFill>
                <a:schemeClr val="accent2"/>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AccReturns'!$C$3:$C$713</c:f>
              <c:numCache>
                <c:formatCode>General</c:formatCode>
                <c:ptCount val="711"/>
                <c:pt idx="0">
                  <c:v>5.4369661721301863E-4</c:v>
                </c:pt>
                <c:pt idx="1">
                  <c:v>1.0876888404376395E-3</c:v>
                </c:pt>
                <c:pt idx="2">
                  <c:v>1.6319768303938442E-3</c:v>
                </c:pt>
                <c:pt idx="3">
                  <c:v>2.176560747888967E-3</c:v>
                </c:pt>
                <c:pt idx="4">
                  <c:v>2.7214407538176388E-3</c:v>
                </c:pt>
                <c:pt idx="5">
                  <c:v>3.2666170091624203E-3</c:v>
                </c:pt>
                <c:pt idx="6">
                  <c:v>3.8120896749929134E-3</c:v>
                </c:pt>
                <c:pt idx="7">
                  <c:v>4.35785891246665E-3</c:v>
                </c:pt>
                <c:pt idx="8">
                  <c:v>4.9039248828286475E-3</c:v>
                </c:pt>
                <c:pt idx="9">
                  <c:v>5.4502877474114086E-3</c:v>
                </c:pt>
                <c:pt idx="10">
                  <c:v>5.9969476676355882E-3</c:v>
                </c:pt>
                <c:pt idx="11">
                  <c:v>6.5439048050091042E-3</c:v>
                </c:pt>
                <c:pt idx="12">
                  <c:v>7.0911593211280266E-3</c:v>
                </c:pt>
                <c:pt idx="13">
                  <c:v>7.6387113776761328E-3</c:v>
                </c:pt>
                <c:pt idx="14">
                  <c:v>8.1865611364251301E-3</c:v>
                </c:pt>
                <c:pt idx="15">
                  <c:v>8.7347087592346551E-3</c:v>
                </c:pt>
                <c:pt idx="16">
                  <c:v>9.2831544080522743E-3</c:v>
                </c:pt>
                <c:pt idx="17">
                  <c:v>9.8318982449139281E-3</c:v>
                </c:pt>
                <c:pt idx="18">
                  <c:v>1.0380940431943486E-2</c:v>
                </c:pt>
                <c:pt idx="19">
                  <c:v>1.0930281131352748E-2</c:v>
                </c:pt>
                <c:pt idx="20">
                  <c:v>1.1479920505442109E-2</c:v>
                </c:pt>
                <c:pt idx="21">
                  <c:v>1.2029858716599673E-2</c:v>
                </c:pt>
                <c:pt idx="22">
                  <c:v>1.2580095927302359E-2</c:v>
                </c:pt>
                <c:pt idx="23">
                  <c:v>1.3130632300115241E-2</c:v>
                </c:pt>
                <c:pt idx="24">
                  <c:v>1.3681467997691765E-2</c:v>
                </c:pt>
                <c:pt idx="25">
                  <c:v>1.4232603182773529E-2</c:v>
                </c:pt>
                <c:pt idx="26">
                  <c:v>1.478403801819117E-2</c:v>
                </c:pt>
                <c:pt idx="27">
                  <c:v>1.5335772666863479E-2</c:v>
                </c:pt>
                <c:pt idx="28">
                  <c:v>1.588780729179784E-2</c:v>
                </c:pt>
                <c:pt idx="29">
                  <c:v>1.6440142056090234E-2</c:v>
                </c:pt>
                <c:pt idx="30">
                  <c:v>1.6992777122925684E-2</c:v>
                </c:pt>
                <c:pt idx="31">
                  <c:v>1.7545712655577361E-2</c:v>
                </c:pt>
                <c:pt idx="32">
                  <c:v>1.8098948817407701E-2</c:v>
                </c:pt>
                <c:pt idx="33">
                  <c:v>1.8652485771867733E-2</c:v>
                </c:pt>
                <c:pt idx="34">
                  <c:v>1.9206323682497528E-2</c:v>
                </c:pt>
                <c:pt idx="35">
                  <c:v>1.9760462712925753E-2</c:v>
                </c:pt>
                <c:pt idx="36">
                  <c:v>2.0314903026870335E-2</c:v>
                </c:pt>
                <c:pt idx="37">
                  <c:v>2.086964478813802E-2</c:v>
                </c:pt>
                <c:pt idx="38">
                  <c:v>2.1424688160624816E-2</c:v>
                </c:pt>
                <c:pt idx="39">
                  <c:v>2.198003330831555E-2</c:v>
                </c:pt>
                <c:pt idx="40">
                  <c:v>2.253568039528453E-2</c:v>
                </c:pt>
                <c:pt idx="41">
                  <c:v>2.3091629585695106E-2</c:v>
                </c:pt>
                <c:pt idx="42">
                  <c:v>2.3647881043799668E-2</c:v>
                </c:pt>
                <c:pt idx="43">
                  <c:v>2.4204434933940533E-2</c:v>
                </c:pt>
                <c:pt idx="44">
                  <c:v>2.4761291420548615E-2</c:v>
                </c:pt>
                <c:pt idx="45">
                  <c:v>2.5318450668144754E-2</c:v>
                </c:pt>
                <c:pt idx="46">
                  <c:v>2.5875912841339055E-2</c:v>
                </c:pt>
                <c:pt idx="47">
                  <c:v>2.6433678104831104E-2</c:v>
                </c:pt>
                <c:pt idx="48">
                  <c:v>2.6991746623410195E-2</c:v>
                </c:pt>
                <c:pt idx="49">
                  <c:v>2.7550118561955106E-2</c:v>
                </c:pt>
                <c:pt idx="50">
                  <c:v>2.8108794085434097E-2</c:v>
                </c:pt>
                <c:pt idx="51">
                  <c:v>2.8667773358905357E-2</c:v>
                </c:pt>
                <c:pt idx="52">
                  <c:v>2.9227056547516561E-2</c:v>
                </c:pt>
                <c:pt idx="53">
                  <c:v>2.9786643816505531E-2</c:v>
                </c:pt>
                <c:pt idx="54">
                  <c:v>3.0346535331199576E-2</c:v>
                </c:pt>
                <c:pt idx="55">
                  <c:v>3.0906731257016373E-2</c:v>
                </c:pt>
                <c:pt idx="56">
                  <c:v>3.1467231759462866E-2</c:v>
                </c:pt>
                <c:pt idx="57">
                  <c:v>3.2028037004136589E-2</c:v>
                </c:pt>
                <c:pt idx="58">
                  <c:v>3.2589147156724785E-2</c:v>
                </c:pt>
                <c:pt idx="59">
                  <c:v>3.3150562383004845E-2</c:v>
                </c:pt>
                <c:pt idx="60">
                  <c:v>3.3712282848844088E-2</c:v>
                </c:pt>
                <c:pt idx="61">
                  <c:v>3.427430872020043E-2</c:v>
                </c:pt>
                <c:pt idx="62">
                  <c:v>3.4836640163121935E-2</c:v>
                </c:pt>
                <c:pt idx="63">
                  <c:v>3.5399277343746594E-2</c:v>
                </c:pt>
                <c:pt idx="64">
                  <c:v>3.5962220428303215E-2</c:v>
                </c:pt>
                <c:pt idx="65">
                  <c:v>3.6525469583110537E-2</c:v>
                </c:pt>
                <c:pt idx="66">
                  <c:v>3.7089024974577889E-2</c:v>
                </c:pt>
                <c:pt idx="67">
                  <c:v>3.7652886769205196E-2</c:v>
                </c:pt>
                <c:pt idx="68">
                  <c:v>3.8217055133582978E-2</c:v>
                </c:pt>
                <c:pt idx="69">
                  <c:v>3.8781530234391903E-2</c:v>
                </c:pt>
                <c:pt idx="70">
                  <c:v>3.934631223840368E-2</c:v>
                </c:pt>
                <c:pt idx="71">
                  <c:v>3.9911401312480388E-2</c:v>
                </c:pt>
                <c:pt idx="72">
                  <c:v>4.0476797623575145E-2</c:v>
                </c:pt>
                <c:pt idx="73">
                  <c:v>4.1042501338731663E-2</c:v>
                </c:pt>
                <c:pt idx="74">
                  <c:v>4.1608512625084471E-2</c:v>
                </c:pt>
                <c:pt idx="75">
                  <c:v>4.2174831649858913E-2</c:v>
                </c:pt>
                <c:pt idx="76">
                  <c:v>4.2741458580371372E-2</c:v>
                </c:pt>
                <c:pt idx="77">
                  <c:v>4.330839358402927E-2</c:v>
                </c:pt>
                <c:pt idx="78">
                  <c:v>4.3875636828330844E-2</c:v>
                </c:pt>
                <c:pt idx="79">
                  <c:v>4.444318848086537E-2</c:v>
                </c:pt>
                <c:pt idx="80">
                  <c:v>4.5011048709313606E-2</c:v>
                </c:pt>
                <c:pt idx="81">
                  <c:v>4.5579217681447126E-2</c:v>
                </c:pt>
                <c:pt idx="82">
                  <c:v>4.6147695565128766E-2</c:v>
                </c:pt>
                <c:pt idx="83">
                  <c:v>4.6716482528312619E-2</c:v>
                </c:pt>
                <c:pt idx="84">
                  <c:v>4.7285578739044265E-2</c:v>
                </c:pt>
                <c:pt idx="85">
                  <c:v>4.785498436546054E-2</c:v>
                </c:pt>
                <c:pt idx="86">
                  <c:v>4.8424699575789765E-2</c:v>
                </c:pt>
                <c:pt idx="87">
                  <c:v>4.8994724538351742E-2</c:v>
                </c:pt>
                <c:pt idx="88">
                  <c:v>4.9565059421557534E-2</c:v>
                </c:pt>
                <c:pt idx="89">
                  <c:v>5.0135704393909908E-2</c:v>
                </c:pt>
                <c:pt idx="90">
                  <c:v>5.0706659624003558E-2</c:v>
                </c:pt>
                <c:pt idx="91">
                  <c:v>5.1277925280524217E-2</c:v>
                </c:pt>
                <c:pt idx="92">
                  <c:v>5.1849501532249986E-2</c:v>
                </c:pt>
                <c:pt idx="93">
                  <c:v>5.242138854805023E-2</c:v>
                </c:pt>
                <c:pt idx="94">
                  <c:v>5.2993586496886458E-2</c:v>
                </c:pt>
                <c:pt idx="95">
                  <c:v>5.3566095547811887E-2</c:v>
                </c:pt>
                <c:pt idx="96">
                  <c:v>5.4138915869971438E-2</c:v>
                </c:pt>
                <c:pt idx="97">
                  <c:v>5.4712047632602401E-2</c:v>
                </c:pt>
                <c:pt idx="98">
                  <c:v>5.5285491005033993E-2</c:v>
                </c:pt>
                <c:pt idx="99">
                  <c:v>5.5859246156687359E-2</c:v>
                </c:pt>
                <c:pt idx="100">
                  <c:v>5.643331325707579E-2</c:v>
                </c:pt>
                <c:pt idx="101">
                  <c:v>5.7007692475804728E-2</c:v>
                </c:pt>
                <c:pt idx="102">
                  <c:v>5.7582383982571983E-2</c:v>
                </c:pt>
                <c:pt idx="103">
                  <c:v>5.8157387947167294E-2</c:v>
                </c:pt>
                <c:pt idx="104">
                  <c:v>5.8732704539472991E-2</c:v>
                </c:pt>
                <c:pt idx="105">
                  <c:v>5.9308333929463775E-2</c:v>
                </c:pt>
                <c:pt idx="106">
                  <c:v>5.9884276287206717E-2</c:v>
                </c:pt>
                <c:pt idx="107">
                  <c:v>6.046053178286126E-2</c:v>
                </c:pt>
                <c:pt idx="108">
                  <c:v>6.1037100586679438E-2</c:v>
                </c:pt>
                <c:pt idx="109">
                  <c:v>6.1613982869005879E-2</c:v>
                </c:pt>
                <c:pt idx="110">
                  <c:v>6.2191178800277802E-2</c:v>
                </c:pt>
                <c:pt idx="111">
                  <c:v>6.276868855102502E-2</c:v>
                </c:pt>
                <c:pt idx="112">
                  <c:v>6.3346512291870161E-2</c:v>
                </c:pt>
                <c:pt idx="113">
                  <c:v>6.3924650193528443E-2</c:v>
                </c:pt>
                <c:pt idx="114">
                  <c:v>6.4503102426808123E-2</c:v>
                </c:pt>
                <c:pt idx="115">
                  <c:v>6.5081869162610273E-2</c:v>
                </c:pt>
                <c:pt idx="116">
                  <c:v>6.5660950571928778E-2</c:v>
                </c:pt>
                <c:pt idx="117">
                  <c:v>6.6240346825850782E-2</c:v>
                </c:pt>
                <c:pt idx="118">
                  <c:v>6.6820058095556023E-2</c:v>
                </c:pt>
                <c:pt idx="119">
                  <c:v>6.7400084552317496E-2</c:v>
                </c:pt>
                <c:pt idx="120">
                  <c:v>6.7980426367501456E-2</c:v>
                </c:pt>
                <c:pt idx="121">
                  <c:v>6.8561083712567195E-2</c:v>
                </c:pt>
                <c:pt idx="122">
                  <c:v>6.9142056759067261E-2</c:v>
                </c:pt>
                <c:pt idx="123">
                  <c:v>6.9723345678647242E-2</c:v>
                </c:pt>
                <c:pt idx="124">
                  <c:v>7.0304950643046427E-2</c:v>
                </c:pt>
                <c:pt idx="125">
                  <c:v>7.0886871824097364E-2</c:v>
                </c:pt>
                <c:pt idx="126">
                  <c:v>7.146910939372586E-2</c:v>
                </c:pt>
                <c:pt idx="127">
                  <c:v>7.2051663523951426E-2</c:v>
                </c:pt>
                <c:pt idx="128">
                  <c:v>7.2634534386887051E-2</c:v>
                </c:pt>
                <c:pt idx="129">
                  <c:v>7.3217722154738984E-2</c:v>
                </c:pt>
                <c:pt idx="130">
                  <c:v>7.3801226999807623E-2</c:v>
                </c:pt>
                <c:pt idx="131">
                  <c:v>7.4385049094486622E-2</c:v>
                </c:pt>
                <c:pt idx="132">
                  <c:v>7.496918861126356E-2</c:v>
                </c:pt>
                <c:pt idx="133">
                  <c:v>7.555364572271972E-2</c:v>
                </c:pt>
                <c:pt idx="134">
                  <c:v>7.613842060153031E-2</c:v>
                </c:pt>
                <c:pt idx="135">
                  <c:v>7.672351342046424E-2</c:v>
                </c:pt>
                <c:pt idx="136">
                  <c:v>7.7308924352384567E-2</c:v>
                </c:pt>
                <c:pt idx="137">
                  <c:v>7.7894653570248273E-2</c:v>
                </c:pt>
                <c:pt idx="138">
                  <c:v>7.8480701247106488E-2</c:v>
                </c:pt>
                <c:pt idx="139">
                  <c:v>7.9067067556104043E-2</c:v>
                </c:pt>
                <c:pt idx="140">
                  <c:v>7.9653752670480138E-2</c:v>
                </c:pt>
                <c:pt idx="141">
                  <c:v>8.0240756763568344E-2</c:v>
                </c:pt>
                <c:pt idx="142">
                  <c:v>8.0828080008796377E-2</c:v>
                </c:pt>
                <c:pt idx="143">
                  <c:v>8.1415722579685879E-2</c:v>
                </c:pt>
                <c:pt idx="144">
                  <c:v>8.2003684649853303E-2</c:v>
                </c:pt>
                <c:pt idx="145">
                  <c:v>8.2591966393009475E-2</c:v>
                </c:pt>
                <c:pt idx="146">
                  <c:v>8.3180567982959364E-2</c:v>
                </c:pt>
                <c:pt idx="147">
                  <c:v>8.3769489593602531E-2</c:v>
                </c:pt>
                <c:pt idx="148">
                  <c:v>8.4358731398933129E-2</c:v>
                </c:pt>
                <c:pt idx="149">
                  <c:v>8.4948293573040123E-2</c:v>
                </c:pt>
                <c:pt idx="150">
                  <c:v>8.5538176290106849E-2</c:v>
                </c:pt>
                <c:pt idx="151">
                  <c:v>8.612837972441123E-2</c:v>
                </c:pt>
                <c:pt idx="152">
                  <c:v>8.6718904050326451E-2</c:v>
                </c:pt>
                <c:pt idx="153">
                  <c:v>8.7309749442320062E-2</c:v>
                </c:pt>
                <c:pt idx="154">
                  <c:v>8.7900916074954649E-2</c:v>
                </c:pt>
                <c:pt idx="155">
                  <c:v>8.8492404122887613E-2</c:v>
                </c:pt>
                <c:pt idx="156">
                  <c:v>8.9084213760871167E-2</c:v>
                </c:pt>
                <c:pt idx="157">
                  <c:v>8.9676345163753002E-2</c:v>
                </c:pt>
                <c:pt idx="158">
                  <c:v>9.0268798506475623E-2</c:v>
                </c:pt>
                <c:pt idx="159">
                  <c:v>9.086157396407657E-2</c:v>
                </c:pt>
                <c:pt idx="160">
                  <c:v>9.1454671711688418E-2</c:v>
                </c:pt>
                <c:pt idx="161">
                  <c:v>9.2048091924539444E-2</c:v>
                </c:pt>
                <c:pt idx="162">
                  <c:v>9.2641834777952736E-2</c:v>
                </c:pt>
                <c:pt idx="163">
                  <c:v>9.3235900447346864E-2</c:v>
                </c:pt>
                <c:pt idx="164">
                  <c:v>9.3830289108235876E-2</c:v>
                </c:pt>
                <c:pt idx="165">
                  <c:v>9.4425000936229075E-2</c:v>
                </c:pt>
                <c:pt idx="166">
                  <c:v>9.5020036107031469E-2</c:v>
                </c:pt>
                <c:pt idx="167">
                  <c:v>9.561539479644332E-2</c:v>
                </c:pt>
                <c:pt idx="168">
                  <c:v>9.6211077180360594E-2</c:v>
                </c:pt>
                <c:pt idx="169">
                  <c:v>9.6807083434774954E-2</c:v>
                </c:pt>
                <c:pt idx="170">
                  <c:v>9.7403413735773769E-2</c:v>
                </c:pt>
                <c:pt idx="171">
                  <c:v>9.8000068259539885E-2</c:v>
                </c:pt>
                <c:pt idx="172">
                  <c:v>9.8597047182352293E-2</c:v>
                </c:pt>
                <c:pt idx="173">
                  <c:v>9.9194350680585464E-2</c:v>
                </c:pt>
                <c:pt idx="174">
                  <c:v>9.9791978930710012E-2</c:v>
                </c:pt>
                <c:pt idx="175">
                  <c:v>0.1003899321092927</c:v>
                </c:pt>
                <c:pt idx="176">
                  <c:v>0.10098821039299577</c:v>
                </c:pt>
                <c:pt idx="177">
                  <c:v>0.10158681395857783</c:v>
                </c:pt>
                <c:pt idx="178">
                  <c:v>0.10218574298289362</c:v>
                </c:pt>
                <c:pt idx="179">
                  <c:v>0.10278499764289384</c:v>
                </c:pt>
                <c:pt idx="180">
                  <c:v>0.10338457811562551</c:v>
                </c:pt>
                <c:pt idx="181">
                  <c:v>0.10398448457823206</c:v>
                </c:pt>
                <c:pt idx="182">
                  <c:v>0.10458471720795282</c:v>
                </c:pt>
                <c:pt idx="183">
                  <c:v>0.10518527618212392</c:v>
                </c:pt>
                <c:pt idx="184">
                  <c:v>0.10578616167817767</c:v>
                </c:pt>
                <c:pt idx="185">
                  <c:v>0.10638737387364294</c:v>
                </c:pt>
                <c:pt idx="186">
                  <c:v>0.10698891294614521</c:v>
                </c:pt>
                <c:pt idx="187">
                  <c:v>0.10759077907340631</c:v>
                </c:pt>
                <c:pt idx="188">
                  <c:v>0.10819297243324488</c:v>
                </c:pt>
                <c:pt idx="189">
                  <c:v>0.10879549320357595</c:v>
                </c:pt>
                <c:pt idx="190">
                  <c:v>0.10939834156241179</c:v>
                </c:pt>
                <c:pt idx="191">
                  <c:v>0.11000151768786104</c:v>
                </c:pt>
                <c:pt idx="192">
                  <c:v>0.11060502175812914</c:v>
                </c:pt>
                <c:pt idx="193">
                  <c:v>0.1112088539515188</c:v>
                </c:pt>
                <c:pt idx="194">
                  <c:v>0.11181301444642933</c:v>
                </c:pt>
                <c:pt idx="195">
                  <c:v>0.11241750342135726</c:v>
                </c:pt>
                <c:pt idx="196">
                  <c:v>0.11302232105489596</c:v>
                </c:pt>
                <c:pt idx="197">
                  <c:v>0.11362746752573605</c:v>
                </c:pt>
                <c:pt idx="198">
                  <c:v>0.11423294301266518</c:v>
                </c:pt>
                <c:pt idx="199">
                  <c:v>0.11483874769456848</c:v>
                </c:pt>
                <c:pt idx="200">
                  <c:v>0.11544488175042789</c:v>
                </c:pt>
                <c:pt idx="201">
                  <c:v>0.11605134535932304</c:v>
                </c:pt>
                <c:pt idx="202">
                  <c:v>0.11665813870043085</c:v>
                </c:pt>
                <c:pt idx="203">
                  <c:v>0.11726526195302567</c:v>
                </c:pt>
                <c:pt idx="204">
                  <c:v>0.11787271529647914</c:v>
                </c:pt>
                <c:pt idx="205">
                  <c:v>0.11848049891026058</c:v>
                </c:pt>
                <c:pt idx="206">
                  <c:v>0.1190886129739368</c:v>
                </c:pt>
                <c:pt idx="207">
                  <c:v>0.11969705766717231</c:v>
                </c:pt>
                <c:pt idx="208">
                  <c:v>0.12030583316972931</c:v>
                </c:pt>
                <c:pt idx="209">
                  <c:v>0.12091493966146771</c:v>
                </c:pt>
                <c:pt idx="210">
                  <c:v>0.12152437732234511</c:v>
                </c:pt>
                <c:pt idx="211">
                  <c:v>0.12213414633241726</c:v>
                </c:pt>
                <c:pt idx="212">
                  <c:v>0.12274424687183738</c:v>
                </c:pt>
                <c:pt idx="213">
                  <c:v>0.12335467912085685</c:v>
                </c:pt>
                <c:pt idx="214">
                  <c:v>0.12396544325982517</c:v>
                </c:pt>
                <c:pt idx="215">
                  <c:v>0.12457653946918978</c:v>
                </c:pt>
                <c:pt idx="216">
                  <c:v>0.12518796792949627</c:v>
                </c:pt>
                <c:pt idx="217">
                  <c:v>0.12579972882138835</c:v>
                </c:pt>
                <c:pt idx="218">
                  <c:v>0.12641182232560788</c:v>
                </c:pt>
                <c:pt idx="219">
                  <c:v>0.12702424862299511</c:v>
                </c:pt>
                <c:pt idx="220">
                  <c:v>0.1276370078944884</c:v>
                </c:pt>
                <c:pt idx="221">
                  <c:v>0.12825010032112472</c:v>
                </c:pt>
                <c:pt idx="222">
                  <c:v>0.12886352608403961</c:v>
                </c:pt>
                <c:pt idx="223">
                  <c:v>0.12947728536446657</c:v>
                </c:pt>
                <c:pt idx="224">
                  <c:v>0.13009137834373807</c:v>
                </c:pt>
                <c:pt idx="225">
                  <c:v>0.13070580520328523</c:v>
                </c:pt>
                <c:pt idx="226">
                  <c:v>0.13132056612463727</c:v>
                </c:pt>
                <c:pt idx="227">
                  <c:v>0.13193566128942269</c:v>
                </c:pt>
                <c:pt idx="228">
                  <c:v>0.13255109087936856</c:v>
                </c:pt>
                <c:pt idx="229">
                  <c:v>0.13316685507630055</c:v>
                </c:pt>
                <c:pt idx="230">
                  <c:v>0.13378295406214336</c:v>
                </c:pt>
                <c:pt idx="231">
                  <c:v>0.13439938801892071</c:v>
                </c:pt>
                <c:pt idx="232">
                  <c:v>0.13501615712875514</c:v>
                </c:pt>
                <c:pt idx="233">
                  <c:v>0.13563326157386824</c:v>
                </c:pt>
                <c:pt idx="234">
                  <c:v>0.13625070153658059</c:v>
                </c:pt>
                <c:pt idx="235">
                  <c:v>0.13686847719931183</c:v>
                </c:pt>
                <c:pt idx="236">
                  <c:v>0.13748658874458108</c:v>
                </c:pt>
                <c:pt idx="237">
                  <c:v>0.13810503635500671</c:v>
                </c:pt>
                <c:pt idx="238">
                  <c:v>0.13872382021330609</c:v>
                </c:pt>
                <c:pt idx="239">
                  <c:v>0.1393429405022959</c:v>
                </c:pt>
                <c:pt idx="240">
                  <c:v>0.13996239740489247</c:v>
                </c:pt>
                <c:pt idx="241">
                  <c:v>0.14058219110411141</c:v>
                </c:pt>
                <c:pt idx="242">
                  <c:v>0.14120232178306802</c:v>
                </c:pt>
                <c:pt idx="243">
                  <c:v>0.14182278962497707</c:v>
                </c:pt>
                <c:pt idx="244">
                  <c:v>0.14244359481315283</c:v>
                </c:pt>
                <c:pt idx="245">
                  <c:v>0.14306473753100946</c:v>
                </c:pt>
                <c:pt idx="246">
                  <c:v>0.1436862179620606</c:v>
                </c:pt>
                <c:pt idx="247">
                  <c:v>0.14430803628991962</c:v>
                </c:pt>
                <c:pt idx="248">
                  <c:v>0.14493019269829999</c:v>
                </c:pt>
                <c:pt idx="249">
                  <c:v>0.14555268737101512</c:v>
                </c:pt>
                <c:pt idx="250">
                  <c:v>0.14617552049197791</c:v>
                </c:pt>
                <c:pt idx="251">
                  <c:v>0.14679869224520181</c:v>
                </c:pt>
                <c:pt idx="252">
                  <c:v>0.14742220281479979</c:v>
                </c:pt>
                <c:pt idx="253">
                  <c:v>0.14804605238498536</c:v>
                </c:pt>
                <c:pt idx="254">
                  <c:v>0.14867024114007177</c:v>
                </c:pt>
                <c:pt idx="255">
                  <c:v>0.14929476926447283</c:v>
                </c:pt>
                <c:pt idx="256">
                  <c:v>0.14991963694270249</c:v>
                </c:pt>
                <c:pt idx="257">
                  <c:v>0.1505448443593751</c:v>
                </c:pt>
                <c:pt idx="258">
                  <c:v>0.1511703916992051</c:v>
                </c:pt>
                <c:pt idx="259">
                  <c:v>0.15179627914700777</c:v>
                </c:pt>
                <c:pt idx="260">
                  <c:v>0.15242250688769854</c:v>
                </c:pt>
                <c:pt idx="261">
                  <c:v>0.1530490751062934</c:v>
                </c:pt>
                <c:pt idx="262">
                  <c:v>0.15367598398790916</c:v>
                </c:pt>
                <c:pt idx="263">
                  <c:v>0.15430323371776322</c:v>
                </c:pt>
                <c:pt idx="264">
                  <c:v>0.15493082448117357</c:v>
                </c:pt>
                <c:pt idx="265">
                  <c:v>0.15555875646355899</c:v>
                </c:pt>
                <c:pt idx="266">
                  <c:v>0.15618702985043909</c:v>
                </c:pt>
                <c:pt idx="267">
                  <c:v>0.15681564482743426</c:v>
                </c:pt>
                <c:pt idx="268">
                  <c:v>0.15744460158026596</c:v>
                </c:pt>
                <c:pt idx="269">
                  <c:v>0.15807390029475665</c:v>
                </c:pt>
                <c:pt idx="270">
                  <c:v>0.15870354115682961</c:v>
                </c:pt>
                <c:pt idx="271">
                  <c:v>0.15933352435250936</c:v>
                </c:pt>
                <c:pt idx="272">
                  <c:v>0.15996385006792146</c:v>
                </c:pt>
                <c:pt idx="273">
                  <c:v>0.16059451848929274</c:v>
                </c:pt>
                <c:pt idx="274">
                  <c:v>0.16122552980295124</c:v>
                </c:pt>
                <c:pt idx="275">
                  <c:v>0.16185688419532651</c:v>
                </c:pt>
                <c:pt idx="276">
                  <c:v>0.16248858185294912</c:v>
                </c:pt>
                <c:pt idx="277">
                  <c:v>0.16312062296245133</c:v>
                </c:pt>
                <c:pt idx="278">
                  <c:v>0.16375300771056667</c:v>
                </c:pt>
                <c:pt idx="279">
                  <c:v>0.16438573628413033</c:v>
                </c:pt>
                <c:pt idx="280">
                  <c:v>0.16501880887007903</c:v>
                </c:pt>
                <c:pt idx="281">
                  <c:v>0.16565222565545112</c:v>
                </c:pt>
                <c:pt idx="282">
                  <c:v>0.16628598682738671</c:v>
                </c:pt>
                <c:pt idx="283">
                  <c:v>0.16692009257312757</c:v>
                </c:pt>
                <c:pt idx="284">
                  <c:v>0.16755454308001738</c:v>
                </c:pt>
                <c:pt idx="285">
                  <c:v>0.16818933853550155</c:v>
                </c:pt>
                <c:pt idx="286">
                  <c:v>0.16882447912712761</c:v>
                </c:pt>
                <c:pt idx="287">
                  <c:v>0.16945996504254479</c:v>
                </c:pt>
                <c:pt idx="288">
                  <c:v>0.17009579646950446</c:v>
                </c:pt>
                <c:pt idx="289">
                  <c:v>0.17073197359586012</c:v>
                </c:pt>
                <c:pt idx="290">
                  <c:v>0.17136849660956721</c:v>
                </c:pt>
                <c:pt idx="291">
                  <c:v>0.17200536569868374</c:v>
                </c:pt>
                <c:pt idx="292">
                  <c:v>0.17264258105136965</c:v>
                </c:pt>
                <c:pt idx="293">
                  <c:v>0.17328014285588722</c:v>
                </c:pt>
                <c:pt idx="294">
                  <c:v>0.17391805130060112</c:v>
                </c:pt>
                <c:pt idx="295">
                  <c:v>0.17455630657397858</c:v>
                </c:pt>
                <c:pt idx="296">
                  <c:v>0.17519490886458899</c:v>
                </c:pt>
                <c:pt idx="297">
                  <c:v>0.17583385836110454</c:v>
                </c:pt>
                <c:pt idx="298">
                  <c:v>0.17647315525230001</c:v>
                </c:pt>
                <c:pt idx="299">
                  <c:v>0.17711279972705252</c:v>
                </c:pt>
                <c:pt idx="300">
                  <c:v>0.17775279197434224</c:v>
                </c:pt>
                <c:pt idx="301">
                  <c:v>0.17839313218325192</c:v>
                </c:pt>
                <c:pt idx="302">
                  <c:v>0.1790338205429669</c:v>
                </c:pt>
                <c:pt idx="303">
                  <c:v>0.17967485724277577</c:v>
                </c:pt>
                <c:pt idx="304">
                  <c:v>0.1803162424720699</c:v>
                </c:pt>
                <c:pt idx="305">
                  <c:v>0.1809579764203435</c:v>
                </c:pt>
                <c:pt idx="306">
                  <c:v>0.18160005927719403</c:v>
                </c:pt>
                <c:pt idx="307">
                  <c:v>0.18224249123232172</c:v>
                </c:pt>
                <c:pt idx="308">
                  <c:v>0.1828852724755301</c:v>
                </c:pt>
                <c:pt idx="309">
                  <c:v>0.18352840319672614</c:v>
                </c:pt>
                <c:pt idx="310">
                  <c:v>0.18417188358591963</c:v>
                </c:pt>
                <c:pt idx="311">
                  <c:v>0.18481571383322404</c:v>
                </c:pt>
                <c:pt idx="312">
                  <c:v>0.18545989412885588</c:v>
                </c:pt>
                <c:pt idx="313">
                  <c:v>0.18610442466313537</c:v>
                </c:pt>
                <c:pt idx="314">
                  <c:v>0.18674930562648617</c:v>
                </c:pt>
                <c:pt idx="315">
                  <c:v>0.18739453720943522</c:v>
                </c:pt>
                <c:pt idx="316">
                  <c:v>0.18804011960261313</c:v>
                </c:pt>
                <c:pt idx="317">
                  <c:v>0.18868605299675445</c:v>
                </c:pt>
                <c:pt idx="318">
                  <c:v>0.18933233758269696</c:v>
                </c:pt>
                <c:pt idx="319">
                  <c:v>0.1899789735513826</c:v>
                </c:pt>
                <c:pt idx="320">
                  <c:v>0.19062596109385699</c:v>
                </c:pt>
                <c:pt idx="321">
                  <c:v>0.19127330040126966</c:v>
                </c:pt>
                <c:pt idx="322">
                  <c:v>0.19192099166487409</c:v>
                </c:pt>
                <c:pt idx="323">
                  <c:v>0.19256903507602741</c:v>
                </c:pt>
                <c:pt idx="324">
                  <c:v>0.19321743082619114</c:v>
                </c:pt>
                <c:pt idx="325">
                  <c:v>0.19386617910693094</c:v>
                </c:pt>
                <c:pt idx="326">
                  <c:v>0.19451528010991637</c:v>
                </c:pt>
                <c:pt idx="327">
                  <c:v>0.19516473402692136</c:v>
                </c:pt>
                <c:pt idx="328">
                  <c:v>0.19581454104982399</c:v>
                </c:pt>
                <c:pt idx="329">
                  <c:v>0.1964647013706069</c:v>
                </c:pt>
                <c:pt idx="330">
                  <c:v>0.19711521518135688</c:v>
                </c:pt>
                <c:pt idx="331">
                  <c:v>0.1977660826742651</c:v>
                </c:pt>
                <c:pt idx="332">
                  <c:v>0.1984173040416275</c:v>
                </c:pt>
                <c:pt idx="333">
                  <c:v>0.1990688794758444</c:v>
                </c:pt>
                <c:pt idx="334">
                  <c:v>0.1997208091694207</c:v>
                </c:pt>
                <c:pt idx="335">
                  <c:v>0.20037309331496611</c:v>
                </c:pt>
                <c:pt idx="336">
                  <c:v>0.20102573210519492</c:v>
                </c:pt>
                <c:pt idx="337">
                  <c:v>0.20167872573292622</c:v>
                </c:pt>
                <c:pt idx="338">
                  <c:v>0.20233207439108392</c:v>
                </c:pt>
                <c:pt idx="339">
                  <c:v>0.20298577827269693</c:v>
                </c:pt>
                <c:pt idx="340">
                  <c:v>0.20363983757089921</c:v>
                </c:pt>
                <c:pt idx="341">
                  <c:v>0.20429425247892929</c:v>
                </c:pt>
                <c:pt idx="342">
                  <c:v>0.2049490231901312</c:v>
                </c:pt>
                <c:pt idx="343">
                  <c:v>0.20560414989795373</c:v>
                </c:pt>
                <c:pt idx="344">
                  <c:v>0.20625963279595116</c:v>
                </c:pt>
                <c:pt idx="345">
                  <c:v>0.20691547207778282</c:v>
                </c:pt>
                <c:pt idx="346">
                  <c:v>0.20757166793721349</c:v>
                </c:pt>
                <c:pt idx="347">
                  <c:v>0.20822822056811319</c:v>
                </c:pt>
                <c:pt idx="348">
                  <c:v>0.20888513016445742</c:v>
                </c:pt>
                <c:pt idx="349">
                  <c:v>0.20954239692032695</c:v>
                </c:pt>
                <c:pt idx="350">
                  <c:v>0.2102000210299082</c:v>
                </c:pt>
                <c:pt idx="351">
                  <c:v>0.21085800268749333</c:v>
                </c:pt>
                <c:pt idx="352">
                  <c:v>0.21151634208747971</c:v>
                </c:pt>
                <c:pt idx="353">
                  <c:v>0.21217503942437088</c:v>
                </c:pt>
                <c:pt idx="354">
                  <c:v>0.21283409489277583</c:v>
                </c:pt>
                <c:pt idx="355">
                  <c:v>0.21349350868740968</c:v>
                </c:pt>
                <c:pt idx="356">
                  <c:v>0.21415328100309305</c:v>
                </c:pt>
                <c:pt idx="357">
                  <c:v>0.21481341203475246</c:v>
                </c:pt>
                <c:pt idx="358">
                  <c:v>0.21547390197742078</c:v>
                </c:pt>
                <c:pt idx="359">
                  <c:v>0.21613475102623658</c:v>
                </c:pt>
                <c:pt idx="360">
                  <c:v>0.2167959593764448</c:v>
                </c:pt>
                <c:pt idx="361">
                  <c:v>0.21745752722339629</c:v>
                </c:pt>
                <c:pt idx="362">
                  <c:v>0.21811945476254824</c:v>
                </c:pt>
                <c:pt idx="363">
                  <c:v>0.218781742189464</c:v>
                </c:pt>
                <c:pt idx="364">
                  <c:v>0.21944438969981328</c:v>
                </c:pt>
                <c:pt idx="365">
                  <c:v>0.22010739748937236</c:v>
                </c:pt>
                <c:pt idx="366">
                  <c:v>0.22077076575402388</c:v>
                </c:pt>
                <c:pt idx="367">
                  <c:v>0.22143449468975684</c:v>
                </c:pt>
                <c:pt idx="368">
                  <c:v>0.22209858449266684</c:v>
                </c:pt>
                <c:pt idx="369">
                  <c:v>0.22276303535895625</c:v>
                </c:pt>
                <c:pt idx="370">
                  <c:v>0.22342784748493405</c:v>
                </c:pt>
                <c:pt idx="371">
                  <c:v>0.22409302106701579</c:v>
                </c:pt>
                <c:pt idx="372">
                  <c:v>0.22475855630172403</c:v>
                </c:pt>
                <c:pt idx="373">
                  <c:v>0.22542445338568795</c:v>
                </c:pt>
                <c:pt idx="374">
                  <c:v>0.22609071251564372</c:v>
                </c:pt>
                <c:pt idx="375">
                  <c:v>0.22675733388843478</c:v>
                </c:pt>
                <c:pt idx="376">
                  <c:v>0.22742431770101112</c:v>
                </c:pt>
                <c:pt idx="377">
                  <c:v>0.22809166415043003</c:v>
                </c:pt>
                <c:pt idx="378">
                  <c:v>0.22875937343385599</c:v>
                </c:pt>
                <c:pt idx="379">
                  <c:v>0.22942744574856078</c:v>
                </c:pt>
                <c:pt idx="380">
                  <c:v>0.23009588129192315</c:v>
                </c:pt>
                <c:pt idx="381">
                  <c:v>0.23076468026142916</c:v>
                </c:pt>
                <c:pt idx="382">
                  <c:v>0.2314338428546725</c:v>
                </c:pt>
                <c:pt idx="383">
                  <c:v>0.23210336926935415</c:v>
                </c:pt>
                <c:pt idx="384">
                  <c:v>0.23277325970328255</c:v>
                </c:pt>
                <c:pt idx="385">
                  <c:v>0.23344351435437383</c:v>
                </c:pt>
                <c:pt idx="386">
                  <c:v>0.23411413342065157</c:v>
                </c:pt>
                <c:pt idx="387">
                  <c:v>0.23478511710024708</c:v>
                </c:pt>
                <c:pt idx="388">
                  <c:v>0.23545646559139932</c:v>
                </c:pt>
                <c:pt idx="389">
                  <c:v>0.2361281790924552</c:v>
                </c:pt>
                <c:pt idx="390">
                  <c:v>0.23680025780186953</c:v>
                </c:pt>
                <c:pt idx="391">
                  <c:v>0.23747270191820458</c:v>
                </c:pt>
                <c:pt idx="392">
                  <c:v>0.23814551164013098</c:v>
                </c:pt>
                <c:pt idx="393">
                  <c:v>0.23881868716642707</c:v>
                </c:pt>
                <c:pt idx="394">
                  <c:v>0.23949222869597975</c:v>
                </c:pt>
                <c:pt idx="395">
                  <c:v>0.24016613642778362</c:v>
                </c:pt>
                <c:pt idx="396">
                  <c:v>0.24084041056094141</c:v>
                </c:pt>
                <c:pt idx="397">
                  <c:v>0.24151505129466466</c:v>
                </c:pt>
                <c:pt idx="398">
                  <c:v>0.2421900588282726</c:v>
                </c:pt>
                <c:pt idx="399">
                  <c:v>0.24286543336119304</c:v>
                </c:pt>
                <c:pt idx="400">
                  <c:v>0.24354117509296258</c:v>
                </c:pt>
                <c:pt idx="401">
                  <c:v>0.24421728422322575</c:v>
                </c:pt>
                <c:pt idx="402">
                  <c:v>0.24489376095173587</c:v>
                </c:pt>
                <c:pt idx="403">
                  <c:v>0.24557060547835485</c:v>
                </c:pt>
                <c:pt idx="404">
                  <c:v>0.2462478180030534</c:v>
                </c:pt>
                <c:pt idx="405">
                  <c:v>0.24692539872591079</c:v>
                </c:pt>
                <c:pt idx="406">
                  <c:v>0.24760334784711513</c:v>
                </c:pt>
                <c:pt idx="407">
                  <c:v>0.24828166556696329</c:v>
                </c:pt>
                <c:pt idx="408">
                  <c:v>0.24896035208586098</c:v>
                </c:pt>
                <c:pt idx="409">
                  <c:v>0.24963940760432313</c:v>
                </c:pt>
                <c:pt idx="410">
                  <c:v>0.25031883232297369</c:v>
                </c:pt>
                <c:pt idx="411">
                  <c:v>0.25099862644254545</c:v>
                </c:pt>
                <c:pt idx="412">
                  <c:v>0.25167879016388039</c:v>
                </c:pt>
                <c:pt idx="413">
                  <c:v>0.25235932368792979</c:v>
                </c:pt>
                <c:pt idx="414">
                  <c:v>0.25304022721575414</c:v>
                </c:pt>
                <c:pt idx="415">
                  <c:v>0.25372150094852319</c:v>
                </c:pt>
                <c:pt idx="416">
                  <c:v>0.25440314508751616</c:v>
                </c:pt>
                <c:pt idx="417">
                  <c:v>0.2550851598341215</c:v>
                </c:pt>
                <c:pt idx="418">
                  <c:v>0.25576754538983759</c:v>
                </c:pt>
                <c:pt idx="419">
                  <c:v>0.25645030195627183</c:v>
                </c:pt>
                <c:pt idx="420">
                  <c:v>0.25713342973514175</c:v>
                </c:pt>
                <c:pt idx="421">
                  <c:v>0.25781692892827412</c:v>
                </c:pt>
                <c:pt idx="422">
                  <c:v>0.25850079973760565</c:v>
                </c:pt>
                <c:pt idx="423">
                  <c:v>0.25918504236518292</c:v>
                </c:pt>
                <c:pt idx="424">
                  <c:v>0.259869657013162</c:v>
                </c:pt>
                <c:pt idx="425">
                  <c:v>0.26055464388380933</c:v>
                </c:pt>
                <c:pt idx="426">
                  <c:v>0.26124000317950102</c:v>
                </c:pt>
                <c:pt idx="427">
                  <c:v>0.26192573510272332</c:v>
                </c:pt>
                <c:pt idx="428">
                  <c:v>0.26261183985607262</c:v>
                </c:pt>
                <c:pt idx="429">
                  <c:v>0.26329831764225542</c:v>
                </c:pt>
                <c:pt idx="430">
                  <c:v>0.26398516866408839</c:v>
                </c:pt>
                <c:pt idx="431">
                  <c:v>0.26467239312449853</c:v>
                </c:pt>
                <c:pt idx="432">
                  <c:v>0.26535999122652298</c:v>
                </c:pt>
                <c:pt idx="433">
                  <c:v>0.26604796317330948</c:v>
                </c:pt>
                <c:pt idx="434">
                  <c:v>0.2667363091681163</c:v>
                </c:pt>
                <c:pt idx="435">
                  <c:v>0.2674250294143119</c:v>
                </c:pt>
                <c:pt idx="436">
                  <c:v>0.2681141241153755</c:v>
                </c:pt>
                <c:pt idx="437">
                  <c:v>0.26880359347489713</c:v>
                </c:pt>
                <c:pt idx="438">
                  <c:v>0.26949343769657719</c:v>
                </c:pt>
                <c:pt idx="439">
                  <c:v>0.27018365698422686</c:v>
                </c:pt>
                <c:pt idx="440">
                  <c:v>0.27087425154176836</c:v>
                </c:pt>
                <c:pt idx="441">
                  <c:v>0.27156522157323471</c:v>
                </c:pt>
                <c:pt idx="442">
                  <c:v>0.2722565672827697</c:v>
                </c:pt>
                <c:pt idx="443">
                  <c:v>0.27294828887462841</c:v>
                </c:pt>
                <c:pt idx="444">
                  <c:v>0.27364038655317668</c:v>
                </c:pt>
                <c:pt idx="445">
                  <c:v>0.27433286052289141</c:v>
                </c:pt>
                <c:pt idx="446">
                  <c:v>0.27502571098836115</c:v>
                </c:pt>
                <c:pt idx="447">
                  <c:v>0.27571893815428505</c:v>
                </c:pt>
                <c:pt idx="448">
                  <c:v>0.27641254222547418</c:v>
                </c:pt>
                <c:pt idx="449">
                  <c:v>0.27710652340685038</c:v>
                </c:pt>
                <c:pt idx="450">
                  <c:v>0.27780088190344743</c:v>
                </c:pt>
                <c:pt idx="451">
                  <c:v>0.27849561792041011</c:v>
                </c:pt>
                <c:pt idx="452">
                  <c:v>0.27919073166299513</c:v>
                </c:pt>
                <c:pt idx="453">
                  <c:v>0.27988622333657043</c:v>
                </c:pt>
                <c:pt idx="454">
                  <c:v>0.28058209314661609</c:v>
                </c:pt>
                <c:pt idx="455">
                  <c:v>0.28127834129872342</c:v>
                </c:pt>
                <c:pt idx="456">
                  <c:v>0.28197496799859589</c:v>
                </c:pt>
                <c:pt idx="457">
                  <c:v>0.28267197345204842</c:v>
                </c:pt>
                <c:pt idx="458">
                  <c:v>0.28336935786500828</c:v>
                </c:pt>
                <c:pt idx="459">
                  <c:v>0.2840671214435142</c:v>
                </c:pt>
                <c:pt idx="460">
                  <c:v>0.28476526439371752</c:v>
                </c:pt>
                <c:pt idx="461">
                  <c:v>0.28546378692188124</c:v>
                </c:pt>
                <c:pt idx="462">
                  <c:v>0.28616268923438049</c:v>
                </c:pt>
                <c:pt idx="463">
                  <c:v>0.28686197153770276</c:v>
                </c:pt>
                <c:pt idx="464">
                  <c:v>0.28756163403844792</c:v>
                </c:pt>
                <c:pt idx="465">
                  <c:v>0.28826167694332794</c:v>
                </c:pt>
                <c:pt idx="466">
                  <c:v>0.28896210045916715</c:v>
                </c:pt>
                <c:pt idx="467">
                  <c:v>0.28966290479290246</c:v>
                </c:pt>
                <c:pt idx="468">
                  <c:v>0.29036409015158338</c:v>
                </c:pt>
                <c:pt idx="469">
                  <c:v>0.29106565674237195</c:v>
                </c:pt>
                <c:pt idx="470">
                  <c:v>0.2917676047725426</c:v>
                </c:pt>
                <c:pt idx="471">
                  <c:v>0.29246993444948277</c:v>
                </c:pt>
                <c:pt idx="472">
                  <c:v>0.29317264598069248</c:v>
                </c:pt>
                <c:pt idx="473">
                  <c:v>0.29387573957378454</c:v>
                </c:pt>
                <c:pt idx="474">
                  <c:v>0.2945792154364848</c:v>
                </c:pt>
                <c:pt idx="475">
                  <c:v>0.29528307377663188</c:v>
                </c:pt>
                <c:pt idx="476">
                  <c:v>0.29598731480217744</c:v>
                </c:pt>
                <c:pt idx="477">
                  <c:v>0.29669193872118638</c:v>
                </c:pt>
                <c:pt idx="478">
                  <c:v>0.29739694574183639</c:v>
                </c:pt>
                <c:pt idx="479">
                  <c:v>0.29810233607241865</c:v>
                </c:pt>
                <c:pt idx="480">
                  <c:v>0.29880810992133755</c:v>
                </c:pt>
                <c:pt idx="481">
                  <c:v>0.29951426749711052</c:v>
                </c:pt>
                <c:pt idx="482">
                  <c:v>0.30022080900836867</c:v>
                </c:pt>
                <c:pt idx="483">
                  <c:v>0.30092773466385636</c:v>
                </c:pt>
                <c:pt idx="484">
                  <c:v>0.30163504467243163</c:v>
                </c:pt>
                <c:pt idx="485">
                  <c:v>0.30234273924306598</c:v>
                </c:pt>
                <c:pt idx="486">
                  <c:v>0.30305081858484439</c:v>
                </c:pt>
                <c:pt idx="487">
                  <c:v>0.30375928290696552</c:v>
                </c:pt>
                <c:pt idx="488">
                  <c:v>0.30446813241874215</c:v>
                </c:pt>
                <c:pt idx="489">
                  <c:v>0.30517736732960032</c:v>
                </c:pt>
                <c:pt idx="490">
                  <c:v>0.30588698784908042</c:v>
                </c:pt>
                <c:pt idx="491">
                  <c:v>0.3065969941868365</c:v>
                </c:pt>
                <c:pt idx="492">
                  <c:v>0.30730738655263656</c:v>
                </c:pt>
                <c:pt idx="493">
                  <c:v>0.30801816515636271</c:v>
                </c:pt>
                <c:pt idx="494">
                  <c:v>0.30872933020801141</c:v>
                </c:pt>
                <c:pt idx="495">
                  <c:v>0.30944088191769281</c:v>
                </c:pt>
                <c:pt idx="496">
                  <c:v>0.31015282049563186</c:v>
                </c:pt>
                <c:pt idx="497">
                  <c:v>0.31086514615216743</c:v>
                </c:pt>
                <c:pt idx="498">
                  <c:v>0.31157785909775271</c:v>
                </c:pt>
                <c:pt idx="499">
                  <c:v>0.31229095954295572</c:v>
                </c:pt>
                <c:pt idx="500">
                  <c:v>0.31300444769845837</c:v>
                </c:pt>
                <c:pt idx="501">
                  <c:v>0.31371832377505759</c:v>
                </c:pt>
                <c:pt idx="502">
                  <c:v>0.31443258798366491</c:v>
                </c:pt>
                <c:pt idx="503">
                  <c:v>0.31514724053530618</c:v>
                </c:pt>
                <c:pt idx="504">
                  <c:v>0.31586228164112229</c:v>
                </c:pt>
                <c:pt idx="505">
                  <c:v>0.31657771151236869</c:v>
                </c:pt>
                <c:pt idx="506">
                  <c:v>0.31729353036041608</c:v>
                </c:pt>
                <c:pt idx="507">
                  <c:v>0.31800973839674951</c:v>
                </c:pt>
                <c:pt idx="508">
                  <c:v>0.3187263358329695</c:v>
                </c:pt>
                <c:pt idx="509">
                  <c:v>0.31944332288079158</c:v>
                </c:pt>
                <c:pt idx="510">
                  <c:v>0.32016069975204609</c:v>
                </c:pt>
                <c:pt idx="511">
                  <c:v>0.32087846665867881</c:v>
                </c:pt>
                <c:pt idx="512">
                  <c:v>0.32159662381275056</c:v>
                </c:pt>
                <c:pt idx="513">
                  <c:v>0.32231517142643762</c:v>
                </c:pt>
                <c:pt idx="514">
                  <c:v>0.3230341097120315</c:v>
                </c:pt>
                <c:pt idx="515">
                  <c:v>0.32375343888193941</c:v>
                </c:pt>
                <c:pt idx="516">
                  <c:v>0.32447315914868358</c:v>
                </c:pt>
                <c:pt idx="517">
                  <c:v>0.32519327072490212</c:v>
                </c:pt>
                <c:pt idx="518">
                  <c:v>0.32591377382334863</c:v>
                </c:pt>
                <c:pt idx="519">
                  <c:v>0.32663466865689239</c:v>
                </c:pt>
                <c:pt idx="520">
                  <c:v>0.32735595543851859</c:v>
                </c:pt>
                <c:pt idx="521">
                  <c:v>0.32807763438132809</c:v>
                </c:pt>
                <c:pt idx="522">
                  <c:v>0.32879970569853745</c:v>
                </c:pt>
                <c:pt idx="523">
                  <c:v>0.32952216960347935</c:v>
                </c:pt>
                <c:pt idx="524">
                  <c:v>0.3302450263096024</c:v>
                </c:pt>
                <c:pt idx="525">
                  <c:v>0.3309682760304713</c:v>
                </c:pt>
                <c:pt idx="526">
                  <c:v>0.33169191897976691</c:v>
                </c:pt>
                <c:pt idx="527">
                  <c:v>0.33241595537128599</c:v>
                </c:pt>
                <c:pt idx="528">
                  <c:v>0.33314038541894186</c:v>
                </c:pt>
                <c:pt idx="529">
                  <c:v>0.33386520933676422</c:v>
                </c:pt>
                <c:pt idx="530">
                  <c:v>0.33459042733889865</c:v>
                </c:pt>
                <c:pt idx="531">
                  <c:v>0.33531603963960754</c:v>
                </c:pt>
                <c:pt idx="532">
                  <c:v>0.33604204645326985</c:v>
                </c:pt>
                <c:pt idx="533">
                  <c:v>0.33676844799438088</c:v>
                </c:pt>
                <c:pt idx="534">
                  <c:v>0.33749524447755253</c:v>
                </c:pt>
                <c:pt idx="535">
                  <c:v>0.33822243611751346</c:v>
                </c:pt>
                <c:pt idx="536">
                  <c:v>0.33895002312910916</c:v>
                </c:pt>
                <c:pt idx="537">
                  <c:v>0.33967800572730167</c:v>
                </c:pt>
                <c:pt idx="538">
                  <c:v>0.34040638412717028</c:v>
                </c:pt>
                <c:pt idx="539">
                  <c:v>0.34113515854391085</c:v>
                </c:pt>
                <c:pt idx="540">
                  <c:v>0.34186432919283649</c:v>
                </c:pt>
                <c:pt idx="541">
                  <c:v>0.34259389628937731</c:v>
                </c:pt>
                <c:pt idx="542">
                  <c:v>0.34332386004908066</c:v>
                </c:pt>
                <c:pt idx="543">
                  <c:v>0.34405422068761093</c:v>
                </c:pt>
                <c:pt idx="544">
                  <c:v>0.34478497842074973</c:v>
                </c:pt>
                <c:pt idx="545">
                  <c:v>0.34551613346439591</c:v>
                </c:pt>
                <c:pt idx="546">
                  <c:v>0.34624768603456602</c:v>
                </c:pt>
                <c:pt idx="547">
                  <c:v>0.34697963634739382</c:v>
                </c:pt>
                <c:pt idx="548">
                  <c:v>0.34771198461913078</c:v>
                </c:pt>
                <c:pt idx="549">
                  <c:v>0.3484447310661456</c:v>
                </c:pt>
                <c:pt idx="550">
                  <c:v>0.34917787590492488</c:v>
                </c:pt>
                <c:pt idx="551">
                  <c:v>0.34991141935207293</c:v>
                </c:pt>
                <c:pt idx="552">
                  <c:v>0.35064536162431192</c:v>
                </c:pt>
                <c:pt idx="553">
                  <c:v>0.35137970293848153</c:v>
                </c:pt>
                <c:pt idx="554">
                  <c:v>0.35211444351153953</c:v>
                </c:pt>
                <c:pt idx="555">
                  <c:v>0.35284958356056162</c:v>
                </c:pt>
                <c:pt idx="556">
                  <c:v>0.35358512330274139</c:v>
                </c:pt>
                <c:pt idx="557">
                  <c:v>0.35432106295539101</c:v>
                </c:pt>
                <c:pt idx="558">
                  <c:v>0.35505740273594011</c:v>
                </c:pt>
                <c:pt idx="559">
                  <c:v>0.35579414286193711</c:v>
                </c:pt>
                <c:pt idx="560">
                  <c:v>0.35653128355104835</c:v>
                </c:pt>
                <c:pt idx="561">
                  <c:v>0.35726882502105872</c:v>
                </c:pt>
                <c:pt idx="562">
                  <c:v>0.35800676748987126</c:v>
                </c:pt>
                <c:pt idx="563">
                  <c:v>0.35874511117550778</c:v>
                </c:pt>
                <c:pt idx="564">
                  <c:v>0.35948385629610868</c:v>
                </c:pt>
                <c:pt idx="565">
                  <c:v>0.36022300306993249</c:v>
                </c:pt>
                <c:pt idx="566">
                  <c:v>0.36096255171535696</c:v>
                </c:pt>
                <c:pt idx="567">
                  <c:v>0.3617025024508782</c:v>
                </c:pt>
                <c:pt idx="568">
                  <c:v>0.36244285549511113</c:v>
                </c:pt>
                <c:pt idx="569">
                  <c:v>0.36318361106678987</c:v>
                </c:pt>
                <c:pt idx="570">
                  <c:v>0.36392476938476714</c:v>
                </c:pt>
                <c:pt idx="571">
                  <c:v>0.36466633066801468</c:v>
                </c:pt>
                <c:pt idx="572">
                  <c:v>0.36540829513562323</c:v>
                </c:pt>
                <c:pt idx="573">
                  <c:v>0.36615066300680299</c:v>
                </c:pt>
                <c:pt idx="574">
                  <c:v>0.36689343450088296</c:v>
                </c:pt>
                <c:pt idx="575">
                  <c:v>0.36763660983731183</c:v>
                </c:pt>
                <c:pt idx="576">
                  <c:v>0.36838018923565707</c:v>
                </c:pt>
                <c:pt idx="577">
                  <c:v>0.36912417291560584</c:v>
                </c:pt>
                <c:pt idx="578">
                  <c:v>0.36986856109696453</c:v>
                </c:pt>
                <c:pt idx="579">
                  <c:v>0.37061335399965945</c:v>
                </c:pt>
                <c:pt idx="580">
                  <c:v>0.3713585518437359</c:v>
                </c:pt>
                <c:pt idx="581">
                  <c:v>0.37210415484935933</c:v>
                </c:pt>
                <c:pt idx="582">
                  <c:v>0.37285016323681486</c:v>
                </c:pt>
                <c:pt idx="583">
                  <c:v>0.37359657722650708</c:v>
                </c:pt>
                <c:pt idx="584">
                  <c:v>0.37434339703896047</c:v>
                </c:pt>
                <c:pt idx="585">
                  <c:v>0.37509062289481965</c:v>
                </c:pt>
                <c:pt idx="586">
                  <c:v>0.37583825501484891</c:v>
                </c:pt>
                <c:pt idx="587">
                  <c:v>0.37658629361993268</c:v>
                </c:pt>
                <c:pt idx="588">
                  <c:v>0.3773347389310755</c:v>
                </c:pt>
                <c:pt idx="589">
                  <c:v>0.37808359116940227</c:v>
                </c:pt>
                <c:pt idx="590">
                  <c:v>0.37883285055615779</c:v>
                </c:pt>
                <c:pt idx="591">
                  <c:v>0.3795825173127072</c:v>
                </c:pt>
                <c:pt idx="592">
                  <c:v>0.38033259166053623</c:v>
                </c:pt>
                <c:pt idx="593">
                  <c:v>0.38108307382125095</c:v>
                </c:pt>
                <c:pt idx="594">
                  <c:v>0.38183396401657776</c:v>
                </c:pt>
                <c:pt idx="595">
                  <c:v>0.38258526246836366</c:v>
                </c:pt>
                <c:pt idx="596">
                  <c:v>0.3833369693985762</c:v>
                </c:pt>
                <c:pt idx="597">
                  <c:v>0.38408908502930394</c:v>
                </c:pt>
                <c:pt idx="598">
                  <c:v>0.38484160958275582</c:v>
                </c:pt>
                <c:pt idx="599">
                  <c:v>0.38559454328126175</c:v>
                </c:pt>
                <c:pt idx="600">
                  <c:v>0.38634788634727246</c:v>
                </c:pt>
                <c:pt idx="601">
                  <c:v>0.38710163900335992</c:v>
                </c:pt>
                <c:pt idx="602">
                  <c:v>0.38785580147221665</c:v>
                </c:pt>
                <c:pt idx="603">
                  <c:v>0.38861037397665643</c:v>
                </c:pt>
                <c:pt idx="604">
                  <c:v>0.38936535673961448</c:v>
                </c:pt>
                <c:pt idx="605">
                  <c:v>0.39012074998414681</c:v>
                </c:pt>
                <c:pt idx="606">
                  <c:v>0.39087655393343068</c:v>
                </c:pt>
                <c:pt idx="607">
                  <c:v>0.39163276881076525</c:v>
                </c:pt>
                <c:pt idx="608">
                  <c:v>0.39238939483957047</c:v>
                </c:pt>
                <c:pt idx="609">
                  <c:v>0.39314643224338797</c:v>
                </c:pt>
                <c:pt idx="610">
                  <c:v>0.39390388124588105</c:v>
                </c:pt>
                <c:pt idx="611">
                  <c:v>0.39466174207083449</c:v>
                </c:pt>
                <c:pt idx="612">
                  <c:v>0.39542001494215473</c:v>
                </c:pt>
                <c:pt idx="613">
                  <c:v>0.39617870008387013</c:v>
                </c:pt>
                <c:pt idx="614">
                  <c:v>0.39693779772013049</c:v>
                </c:pt>
                <c:pt idx="615">
                  <c:v>0.39769730807520798</c:v>
                </c:pt>
                <c:pt idx="616">
                  <c:v>0.3984572313734962</c:v>
                </c:pt>
                <c:pt idx="617">
                  <c:v>0.3992175678395109</c:v>
                </c:pt>
                <c:pt idx="618">
                  <c:v>0.39997831769789016</c:v>
                </c:pt>
                <c:pt idx="619">
                  <c:v>0.40073948117339397</c:v>
                </c:pt>
                <c:pt idx="620">
                  <c:v>0.40150105849090467</c:v>
                </c:pt>
                <c:pt idx="621">
                  <c:v>0.40226304987542649</c:v>
                </c:pt>
                <c:pt idx="622">
                  <c:v>0.40302545555208646</c:v>
                </c:pt>
                <c:pt idx="623">
                  <c:v>0.40378827574613374</c:v>
                </c:pt>
                <c:pt idx="624">
                  <c:v>0.40455151068294026</c:v>
                </c:pt>
                <c:pt idx="625">
                  <c:v>0.40531516058799988</c:v>
                </c:pt>
                <c:pt idx="626">
                  <c:v>0.40607922568692967</c:v>
                </c:pt>
                <c:pt idx="627">
                  <c:v>0.40684370620546906</c:v>
                </c:pt>
                <c:pt idx="628">
                  <c:v>0.40760860236948027</c:v>
                </c:pt>
                <c:pt idx="629">
                  <c:v>0.40837391440494852</c:v>
                </c:pt>
                <c:pt idx="630">
                  <c:v>0.40913964253798141</c:v>
                </c:pt>
                <c:pt idx="631">
                  <c:v>0.40990578699480995</c:v>
                </c:pt>
                <c:pt idx="632">
                  <c:v>0.41067234800178798</c:v>
                </c:pt>
                <c:pt idx="633">
                  <c:v>0.41143932578539255</c:v>
                </c:pt>
                <c:pt idx="634">
                  <c:v>0.41220672057222352</c:v>
                </c:pt>
                <c:pt idx="635">
                  <c:v>0.41297453258900418</c:v>
                </c:pt>
                <c:pt idx="636">
                  <c:v>0.41374276206258087</c:v>
                </c:pt>
                <c:pt idx="637">
                  <c:v>0.41451140921992358</c:v>
                </c:pt>
                <c:pt idx="638">
                  <c:v>0.41528047428812553</c:v>
                </c:pt>
                <c:pt idx="639">
                  <c:v>0.41604995749440365</c:v>
                </c:pt>
                <c:pt idx="640">
                  <c:v>0.41681985906609786</c:v>
                </c:pt>
                <c:pt idx="641">
                  <c:v>0.41759017923067221</c:v>
                </c:pt>
                <c:pt idx="642">
                  <c:v>0.41836091821571419</c:v>
                </c:pt>
                <c:pt idx="643">
                  <c:v>0.41913207624893523</c:v>
                </c:pt>
                <c:pt idx="644">
                  <c:v>0.41990365355817016</c:v>
                </c:pt>
                <c:pt idx="645">
                  <c:v>0.420675650371378</c:v>
                </c:pt>
                <c:pt idx="646">
                  <c:v>0.42144806691664183</c:v>
                </c:pt>
                <c:pt idx="647">
                  <c:v>0.42222090342216845</c:v>
                </c:pt>
                <c:pt idx="648">
                  <c:v>0.42299416011628876</c:v>
                </c:pt>
                <c:pt idx="649">
                  <c:v>0.42376783722745781</c:v>
                </c:pt>
                <c:pt idx="650">
                  <c:v>0.42454193498425497</c:v>
                </c:pt>
                <c:pt idx="651">
                  <c:v>0.42531645361538395</c:v>
                </c:pt>
                <c:pt idx="652">
                  <c:v>0.42609139334967261</c:v>
                </c:pt>
                <c:pt idx="653">
                  <c:v>0.42686675441607336</c:v>
                </c:pt>
                <c:pt idx="654">
                  <c:v>0.42764253704366295</c:v>
                </c:pt>
                <c:pt idx="655">
                  <c:v>0.42841874146164294</c:v>
                </c:pt>
                <c:pt idx="656">
                  <c:v>0.42919536789933921</c:v>
                </c:pt>
                <c:pt idx="657">
                  <c:v>0.42997241658620244</c:v>
                </c:pt>
                <c:pt idx="658">
                  <c:v>0.43074988775180834</c:v>
                </c:pt>
                <c:pt idx="659">
                  <c:v>0.43152778162585692</c:v>
                </c:pt>
                <c:pt idx="660">
                  <c:v>0.43230609843817325</c:v>
                </c:pt>
                <c:pt idx="661">
                  <c:v>0.4330848384187076</c:v>
                </c:pt>
                <c:pt idx="662">
                  <c:v>0.43386400179753504</c:v>
                </c:pt>
                <c:pt idx="663">
                  <c:v>0.43464358880485587</c:v>
                </c:pt>
                <c:pt idx="664">
                  <c:v>0.43542359967099542</c:v>
                </c:pt>
                <c:pt idx="665">
                  <c:v>0.43620403462640422</c:v>
                </c:pt>
                <c:pt idx="666">
                  <c:v>0.43698489390165829</c:v>
                </c:pt>
                <c:pt idx="667">
                  <c:v>0.43776617772745885</c:v>
                </c:pt>
                <c:pt idx="668">
                  <c:v>0.4385478863346326</c:v>
                </c:pt>
                <c:pt idx="669">
                  <c:v>0.43933001995413168</c:v>
                </c:pt>
                <c:pt idx="670">
                  <c:v>0.44011257881703392</c:v>
                </c:pt>
                <c:pt idx="671">
                  <c:v>0.44089556315454259</c:v>
                </c:pt>
                <c:pt idx="672">
                  <c:v>0.44167897319798688</c:v>
                </c:pt>
                <c:pt idx="673">
                  <c:v>0.44246280917882164</c:v>
                </c:pt>
                <c:pt idx="674">
                  <c:v>0.44324707132862762</c:v>
                </c:pt>
                <c:pt idx="675">
                  <c:v>0.44403175987911148</c:v>
                </c:pt>
                <c:pt idx="676">
                  <c:v>0.44481687506210577</c:v>
                </c:pt>
                <c:pt idx="677">
                  <c:v>0.44560241710956916</c:v>
                </c:pt>
                <c:pt idx="678">
                  <c:v>0.44638838625358646</c:v>
                </c:pt>
                <c:pt idx="679">
                  <c:v>0.44717478272636857</c:v>
                </c:pt>
                <c:pt idx="680">
                  <c:v>0.44796160676025276</c:v>
                </c:pt>
                <c:pt idx="681">
                  <c:v>0.44874885858770264</c:v>
                </c:pt>
                <c:pt idx="682">
                  <c:v>0.44953653844130792</c:v>
                </c:pt>
                <c:pt idx="683">
                  <c:v>0.45032464655378512</c:v>
                </c:pt>
                <c:pt idx="684">
                  <c:v>0.4511131831579771</c:v>
                </c:pt>
                <c:pt idx="685">
                  <c:v>0.45190214848685328</c:v>
                </c:pt>
                <c:pt idx="686">
                  <c:v>0.45269154277350987</c:v>
                </c:pt>
                <c:pt idx="687">
                  <c:v>0.45348136625116964</c:v>
                </c:pt>
                <c:pt idx="688">
                  <c:v>0.45427161915318259</c:v>
                </c:pt>
                <c:pt idx="689">
                  <c:v>0.45506230171302509</c:v>
                </c:pt>
                <c:pt idx="690">
                  <c:v>0.4558534141643007</c:v>
                </c:pt>
                <c:pt idx="691">
                  <c:v>0.45664495674073979</c:v>
                </c:pt>
                <c:pt idx="692">
                  <c:v>0.4574369296762002</c:v>
                </c:pt>
                <c:pt idx="693">
                  <c:v>0.45822933320466652</c:v>
                </c:pt>
                <c:pt idx="694">
                  <c:v>0.4590221675602506</c:v>
                </c:pt>
                <c:pt idx="695">
                  <c:v>0.45981543297719196</c:v>
                </c:pt>
                <c:pt idx="696">
                  <c:v>0.4606091296898569</c:v>
                </c:pt>
                <c:pt idx="697">
                  <c:v>0.46140325793273962</c:v>
                </c:pt>
                <c:pt idx="698">
                  <c:v>0.46219781794046177</c:v>
                </c:pt>
                <c:pt idx="699">
                  <c:v>0.46299280994777225</c:v>
                </c:pt>
                <c:pt idx="700">
                  <c:v>0.46378823418954784</c:v>
                </c:pt>
                <c:pt idx="701">
                  <c:v>0.46458409090079278</c:v>
                </c:pt>
                <c:pt idx="702">
                  <c:v>0.46538038031663942</c:v>
                </c:pt>
                <c:pt idx="703">
                  <c:v>0.4661771026723478</c:v>
                </c:pt>
                <c:pt idx="704">
                  <c:v>0.46697425820330585</c:v>
                </c:pt>
                <c:pt idx="705">
                  <c:v>0.46777184714502962</c:v>
                </c:pt>
                <c:pt idx="706">
                  <c:v>0.46856986973316284</c:v>
                </c:pt>
                <c:pt idx="707">
                  <c:v>0.46936832620347757</c:v>
                </c:pt>
                <c:pt idx="708">
                  <c:v>0.47016721679187423</c:v>
                </c:pt>
                <c:pt idx="709">
                  <c:v>0.47096654173438135</c:v>
                </c:pt>
                <c:pt idx="710">
                  <c:v>0.4717663012671558</c:v>
                </c:pt>
              </c:numCache>
            </c:numRef>
          </c:val>
          <c:smooth val="1"/>
          <c:extLst>
            <c:ext xmlns:c16="http://schemas.microsoft.com/office/drawing/2014/chart" uri="{C3380CC4-5D6E-409C-BE32-E72D297353CC}">
              <c16:uniqueId val="{00000003-2EA0-43A0-9CB9-F40B4D364F0E}"/>
            </c:ext>
          </c:extLst>
        </c:ser>
        <c:ser>
          <c:idx val="2"/>
          <c:order val="2"/>
          <c:tx>
            <c:strRef>
              <c:f>'Strategy AccReturns'!$D$2</c:f>
              <c:strCache>
                <c:ptCount val="1"/>
                <c:pt idx="0">
                  <c:v>RF Inlação</c:v>
                </c:pt>
              </c:strCache>
            </c:strRef>
          </c:tx>
          <c:spPr>
            <a:ln w="22225" cap="rnd">
              <a:solidFill>
                <a:schemeClr val="accent3"/>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AccReturns'!$D$3:$D$713</c:f>
              <c:numCache>
                <c:formatCode>General</c:formatCode>
                <c:ptCount val="711"/>
                <c:pt idx="0">
                  <c:v>2.1271161840192844E-4</c:v>
                </c:pt>
                <c:pt idx="1">
                  <c:v>5.0869747546888888E-4</c:v>
                </c:pt>
                <c:pt idx="2">
                  <c:v>6.6929218651634592E-4</c:v>
                </c:pt>
                <c:pt idx="3">
                  <c:v>1.072789623060455E-3</c:v>
                </c:pt>
                <c:pt idx="4">
                  <c:v>1.6132795108767528E-3</c:v>
                </c:pt>
                <c:pt idx="5">
                  <c:v>2.0674418865516131E-3</c:v>
                </c:pt>
                <c:pt idx="6">
                  <c:v>2.5908535394103538E-3</c:v>
                </c:pt>
                <c:pt idx="7">
                  <c:v>2.61790047663224E-3</c:v>
                </c:pt>
                <c:pt idx="8">
                  <c:v>3.5323281674384255E-3</c:v>
                </c:pt>
                <c:pt idx="9">
                  <c:v>4.552086934014099E-3</c:v>
                </c:pt>
                <c:pt idx="10">
                  <c:v>4.4953310124116186E-3</c:v>
                </c:pt>
                <c:pt idx="11">
                  <c:v>5.1827902015764149E-3</c:v>
                </c:pt>
                <c:pt idx="12">
                  <c:v>5.2473086456421569E-3</c:v>
                </c:pt>
                <c:pt idx="13">
                  <c:v>5.3970810339840636E-3</c:v>
                </c:pt>
                <c:pt idx="14">
                  <c:v>6.3666459904048178E-3</c:v>
                </c:pt>
                <c:pt idx="15">
                  <c:v>6.7799059063085032E-3</c:v>
                </c:pt>
                <c:pt idx="16">
                  <c:v>7.1106782559022808E-3</c:v>
                </c:pt>
                <c:pt idx="17">
                  <c:v>7.4589517916940906E-3</c:v>
                </c:pt>
                <c:pt idx="18">
                  <c:v>7.6833977584596092E-3</c:v>
                </c:pt>
                <c:pt idx="19">
                  <c:v>8.1565601508655217E-3</c:v>
                </c:pt>
                <c:pt idx="20">
                  <c:v>8.3112627629735591E-3</c:v>
                </c:pt>
                <c:pt idx="21">
                  <c:v>8.573740787318096E-3</c:v>
                </c:pt>
                <c:pt idx="22">
                  <c:v>9.2260119141589492E-3</c:v>
                </c:pt>
                <c:pt idx="23">
                  <c:v>9.6756501127239769E-3</c:v>
                </c:pt>
                <c:pt idx="24">
                  <c:v>1.0185198023322517E-2</c:v>
                </c:pt>
                <c:pt idx="25">
                  <c:v>9.8355986644858007E-3</c:v>
                </c:pt>
                <c:pt idx="26">
                  <c:v>9.8147837530289106E-3</c:v>
                </c:pt>
                <c:pt idx="27">
                  <c:v>1.0235660228324672E-2</c:v>
                </c:pt>
                <c:pt idx="28">
                  <c:v>1.0978151303753014E-2</c:v>
                </c:pt>
                <c:pt idx="29">
                  <c:v>1.1902000656041745E-2</c:v>
                </c:pt>
                <c:pt idx="30">
                  <c:v>1.2231576541317013E-2</c:v>
                </c:pt>
                <c:pt idx="31">
                  <c:v>1.3449053085444307E-2</c:v>
                </c:pt>
                <c:pt idx="32">
                  <c:v>1.364526868242999E-2</c:v>
                </c:pt>
                <c:pt idx="33">
                  <c:v>1.3781367249714682E-2</c:v>
                </c:pt>
                <c:pt idx="34">
                  <c:v>1.475480594817169E-2</c:v>
                </c:pt>
                <c:pt idx="35">
                  <c:v>1.508337669797144E-2</c:v>
                </c:pt>
                <c:pt idx="36">
                  <c:v>1.5144321479408251E-2</c:v>
                </c:pt>
                <c:pt idx="37">
                  <c:v>1.4783256021688729E-2</c:v>
                </c:pt>
                <c:pt idx="38">
                  <c:v>1.5450938070389109E-2</c:v>
                </c:pt>
                <c:pt idx="39">
                  <c:v>1.5927306917212336E-2</c:v>
                </c:pt>
                <c:pt idx="40">
                  <c:v>1.7710730651091078E-2</c:v>
                </c:pt>
                <c:pt idx="41">
                  <c:v>1.8701055459592553E-2</c:v>
                </c:pt>
                <c:pt idx="42">
                  <c:v>1.9307267269033757E-2</c:v>
                </c:pt>
                <c:pt idx="43">
                  <c:v>1.8749057315351036E-2</c:v>
                </c:pt>
                <c:pt idx="44">
                  <c:v>1.879190901499439E-2</c:v>
                </c:pt>
                <c:pt idx="45">
                  <c:v>1.6560590832729316E-2</c:v>
                </c:pt>
                <c:pt idx="46">
                  <c:v>1.7454980987189339E-2</c:v>
                </c:pt>
                <c:pt idx="47">
                  <c:v>1.4712356250939695E-2</c:v>
                </c:pt>
                <c:pt idx="48">
                  <c:v>5.8065554639354922E-3</c:v>
                </c:pt>
                <c:pt idx="49">
                  <c:v>1.213773216899483E-2</c:v>
                </c:pt>
                <c:pt idx="50">
                  <c:v>1.3487964829069554E-2</c:v>
                </c:pt>
                <c:pt idx="51">
                  <c:v>1.5156150760819331E-2</c:v>
                </c:pt>
                <c:pt idx="52">
                  <c:v>6.0883606217649877E-3</c:v>
                </c:pt>
                <c:pt idx="53">
                  <c:v>5.0494746633067411E-3</c:v>
                </c:pt>
                <c:pt idx="54">
                  <c:v>3.5279796478606684E-3</c:v>
                </c:pt>
                <c:pt idx="55">
                  <c:v>-5.5393404801651336E-4</c:v>
                </c:pt>
                <c:pt idx="56">
                  <c:v>1.5820434902598102E-3</c:v>
                </c:pt>
                <c:pt idx="57">
                  <c:v>3.8966611961628317E-3</c:v>
                </c:pt>
                <c:pt idx="58">
                  <c:v>4.8017801125448401E-3</c:v>
                </c:pt>
                <c:pt idx="59">
                  <c:v>4.9923117566488262E-3</c:v>
                </c:pt>
                <c:pt idx="60">
                  <c:v>6.5246974324064677E-3</c:v>
                </c:pt>
                <c:pt idx="61">
                  <c:v>8.0094555435090697E-3</c:v>
                </c:pt>
                <c:pt idx="62">
                  <c:v>8.1351440203742964E-3</c:v>
                </c:pt>
                <c:pt idx="63">
                  <c:v>8.9842257366303802E-3</c:v>
                </c:pt>
                <c:pt idx="64">
                  <c:v>8.6622579921700193E-3</c:v>
                </c:pt>
                <c:pt idx="65">
                  <c:v>8.5092001926576621E-3</c:v>
                </c:pt>
                <c:pt idx="66">
                  <c:v>9.2635025925964509E-3</c:v>
                </c:pt>
                <c:pt idx="67">
                  <c:v>1.0037074189793049E-2</c:v>
                </c:pt>
                <c:pt idx="68">
                  <c:v>1.0956978826749841E-2</c:v>
                </c:pt>
                <c:pt idx="69">
                  <c:v>1.1446612595005234E-2</c:v>
                </c:pt>
                <c:pt idx="70">
                  <c:v>1.2433386872625185E-2</c:v>
                </c:pt>
                <c:pt idx="71">
                  <c:v>1.2904145586588811E-2</c:v>
                </c:pt>
                <c:pt idx="72">
                  <c:v>1.3347696050534985E-2</c:v>
                </c:pt>
                <c:pt idx="73">
                  <c:v>1.4009027916855876E-2</c:v>
                </c:pt>
                <c:pt idx="74">
                  <c:v>1.5066763034565334E-2</c:v>
                </c:pt>
                <c:pt idx="75">
                  <c:v>1.5713931580504603E-2</c:v>
                </c:pt>
                <c:pt idx="76">
                  <c:v>1.4180369712145424E-2</c:v>
                </c:pt>
                <c:pt idx="77">
                  <c:v>8.3447410103034692E-3</c:v>
                </c:pt>
                <c:pt idx="78">
                  <c:v>6.8348080371765096E-3</c:v>
                </c:pt>
                <c:pt idx="79">
                  <c:v>1.0084331293013893E-2</c:v>
                </c:pt>
                <c:pt idx="80">
                  <c:v>1.0756499539062991E-2</c:v>
                </c:pt>
                <c:pt idx="81">
                  <c:v>1.0930916593877349E-2</c:v>
                </c:pt>
                <c:pt idx="82">
                  <c:v>1.1013244957174706E-2</c:v>
                </c:pt>
                <c:pt idx="83">
                  <c:v>1.1372451214296531E-2</c:v>
                </c:pt>
                <c:pt idx="84">
                  <c:v>1.1526205878863438E-2</c:v>
                </c:pt>
                <c:pt idx="85">
                  <c:v>1.1764051038509304E-2</c:v>
                </c:pt>
                <c:pt idx="86">
                  <c:v>1.3077485474719763E-2</c:v>
                </c:pt>
                <c:pt idx="87">
                  <c:v>1.3713040398386944E-2</c:v>
                </c:pt>
                <c:pt idx="88">
                  <c:v>1.2678820925542622E-2</c:v>
                </c:pt>
                <c:pt idx="89">
                  <c:v>1.2202030475864323E-2</c:v>
                </c:pt>
                <c:pt idx="90">
                  <c:v>1.300951521538285E-2</c:v>
                </c:pt>
                <c:pt idx="91">
                  <c:v>1.3967728245906086E-2</c:v>
                </c:pt>
                <c:pt idx="92">
                  <c:v>1.5144425823207186E-2</c:v>
                </c:pt>
                <c:pt idx="93">
                  <c:v>1.588634236575448E-2</c:v>
                </c:pt>
                <c:pt idx="94">
                  <c:v>1.6658305153907316E-2</c:v>
                </c:pt>
                <c:pt idx="95">
                  <c:v>1.7540199746818308E-2</c:v>
                </c:pt>
                <c:pt idx="96">
                  <c:v>1.7516772228073352E-2</c:v>
                </c:pt>
                <c:pt idx="97">
                  <c:v>1.9857740533634871E-2</c:v>
                </c:pt>
                <c:pt idx="98">
                  <c:v>1.9600891056634984E-2</c:v>
                </c:pt>
                <c:pt idx="99">
                  <c:v>1.9795865628742915E-2</c:v>
                </c:pt>
                <c:pt idx="100">
                  <c:v>2.0316409471408114E-2</c:v>
                </c:pt>
                <c:pt idx="101">
                  <c:v>2.0796224941211694E-2</c:v>
                </c:pt>
                <c:pt idx="102">
                  <c:v>2.111026865322696E-2</c:v>
                </c:pt>
                <c:pt idx="103">
                  <c:v>2.2319348232867187E-2</c:v>
                </c:pt>
                <c:pt idx="104">
                  <c:v>2.3251481342137392E-2</c:v>
                </c:pt>
                <c:pt idx="105">
                  <c:v>2.3756567932983863E-2</c:v>
                </c:pt>
                <c:pt idx="106">
                  <c:v>2.4504882484821744E-2</c:v>
                </c:pt>
                <c:pt idx="107">
                  <c:v>2.4646171388046811E-2</c:v>
                </c:pt>
                <c:pt idx="108">
                  <c:v>2.4421333606309492E-2</c:v>
                </c:pt>
                <c:pt idx="109">
                  <c:v>2.5317000225459019E-2</c:v>
                </c:pt>
                <c:pt idx="110">
                  <c:v>2.5646993961386366E-2</c:v>
                </c:pt>
                <c:pt idx="111">
                  <c:v>2.5797361917748507E-2</c:v>
                </c:pt>
                <c:pt idx="112">
                  <c:v>2.5722556119454065E-2</c:v>
                </c:pt>
                <c:pt idx="113">
                  <c:v>2.6651021792170715E-2</c:v>
                </c:pt>
                <c:pt idx="114">
                  <c:v>2.6820916612074974E-2</c:v>
                </c:pt>
                <c:pt idx="115">
                  <c:v>2.7514821625112207E-2</c:v>
                </c:pt>
                <c:pt idx="116">
                  <c:v>2.7563206437284382E-2</c:v>
                </c:pt>
                <c:pt idx="117">
                  <c:v>2.8323228581364379E-2</c:v>
                </c:pt>
                <c:pt idx="118">
                  <c:v>2.8513279665143276E-2</c:v>
                </c:pt>
                <c:pt idx="119">
                  <c:v>3.0517557016144448E-2</c:v>
                </c:pt>
                <c:pt idx="120">
                  <c:v>3.1172434651420167E-2</c:v>
                </c:pt>
                <c:pt idx="121">
                  <c:v>3.2419687045146528E-2</c:v>
                </c:pt>
                <c:pt idx="122">
                  <c:v>3.3027153868306236E-2</c:v>
                </c:pt>
                <c:pt idx="123">
                  <c:v>3.4438286529766327E-2</c:v>
                </c:pt>
                <c:pt idx="124">
                  <c:v>3.519796326291269E-2</c:v>
                </c:pt>
                <c:pt idx="125">
                  <c:v>3.6576799334678833E-2</c:v>
                </c:pt>
                <c:pt idx="126">
                  <c:v>3.6862218624534648E-2</c:v>
                </c:pt>
                <c:pt idx="127">
                  <c:v>3.6755091482429281E-2</c:v>
                </c:pt>
                <c:pt idx="128">
                  <c:v>3.6529020680622359E-2</c:v>
                </c:pt>
                <c:pt idx="129">
                  <c:v>3.7393057717272526E-2</c:v>
                </c:pt>
                <c:pt idx="130">
                  <c:v>3.8784002546919494E-2</c:v>
                </c:pt>
                <c:pt idx="131">
                  <c:v>3.9388645091912533E-2</c:v>
                </c:pt>
                <c:pt idx="132">
                  <c:v>3.9967191201702335E-2</c:v>
                </c:pt>
                <c:pt idx="133">
                  <c:v>4.0196085647094648E-2</c:v>
                </c:pt>
                <c:pt idx="134">
                  <c:v>4.0419278965214467E-2</c:v>
                </c:pt>
                <c:pt idx="135">
                  <c:v>4.1123026025813525E-2</c:v>
                </c:pt>
                <c:pt idx="136">
                  <c:v>4.1494026394741423E-2</c:v>
                </c:pt>
                <c:pt idx="137">
                  <c:v>4.22895937412473E-2</c:v>
                </c:pt>
                <c:pt idx="138">
                  <c:v>4.3277239130602885E-2</c:v>
                </c:pt>
                <c:pt idx="139">
                  <c:v>4.3487388292552831E-2</c:v>
                </c:pt>
                <c:pt idx="140">
                  <c:v>4.3615448824185332E-2</c:v>
                </c:pt>
                <c:pt idx="141">
                  <c:v>4.4685221126434804E-2</c:v>
                </c:pt>
                <c:pt idx="142">
                  <c:v>4.4932870427570659E-2</c:v>
                </c:pt>
                <c:pt idx="143">
                  <c:v>4.5032153715423684E-2</c:v>
                </c:pt>
                <c:pt idx="144">
                  <c:v>4.6173978932829707E-2</c:v>
                </c:pt>
                <c:pt idx="145">
                  <c:v>4.7062930056045005E-2</c:v>
                </c:pt>
                <c:pt idx="146">
                  <c:v>4.7531050826632226E-2</c:v>
                </c:pt>
                <c:pt idx="147">
                  <c:v>4.8129317509429503E-2</c:v>
                </c:pt>
                <c:pt idx="148">
                  <c:v>4.8286308571929615E-2</c:v>
                </c:pt>
                <c:pt idx="149">
                  <c:v>5.025717429634935E-2</c:v>
                </c:pt>
                <c:pt idx="150">
                  <c:v>5.0328207623736132E-2</c:v>
                </c:pt>
                <c:pt idx="151">
                  <c:v>5.0529594611496531E-2</c:v>
                </c:pt>
                <c:pt idx="152">
                  <c:v>5.0717349051926819E-2</c:v>
                </c:pt>
                <c:pt idx="153">
                  <c:v>5.0142399235435064E-2</c:v>
                </c:pt>
                <c:pt idx="154">
                  <c:v>5.0465445865702119E-2</c:v>
                </c:pt>
                <c:pt idx="155">
                  <c:v>5.0833434812850298E-2</c:v>
                </c:pt>
                <c:pt idx="156">
                  <c:v>5.0641237780174153E-2</c:v>
                </c:pt>
                <c:pt idx="157">
                  <c:v>5.2264072850749299E-2</c:v>
                </c:pt>
                <c:pt idx="158">
                  <c:v>5.1989961895922088E-2</c:v>
                </c:pt>
                <c:pt idx="159">
                  <c:v>5.2567736867742854E-2</c:v>
                </c:pt>
                <c:pt idx="160">
                  <c:v>5.2911315940957993E-2</c:v>
                </c:pt>
                <c:pt idx="161">
                  <c:v>5.325074492116455E-2</c:v>
                </c:pt>
                <c:pt idx="162">
                  <c:v>5.3948372412234713E-2</c:v>
                </c:pt>
                <c:pt idx="163">
                  <c:v>5.3495919627205124E-2</c:v>
                </c:pt>
                <c:pt idx="164">
                  <c:v>5.3642867036250319E-2</c:v>
                </c:pt>
                <c:pt idx="165">
                  <c:v>5.4998848357691754E-2</c:v>
                </c:pt>
                <c:pt idx="166">
                  <c:v>5.5139300076255005E-2</c:v>
                </c:pt>
                <c:pt idx="167">
                  <c:v>5.6110359099897256E-2</c:v>
                </c:pt>
                <c:pt idx="168">
                  <c:v>5.6617130852598896E-2</c:v>
                </c:pt>
                <c:pt idx="169">
                  <c:v>5.8066370680129653E-2</c:v>
                </c:pt>
                <c:pt idx="170">
                  <c:v>5.9102143777894245E-2</c:v>
                </c:pt>
                <c:pt idx="171">
                  <c:v>5.8823671974642888E-2</c:v>
                </c:pt>
                <c:pt idx="172">
                  <c:v>5.9590120613872477E-2</c:v>
                </c:pt>
                <c:pt idx="173">
                  <c:v>5.9485944233829358E-2</c:v>
                </c:pt>
                <c:pt idx="174">
                  <c:v>6.0124524051923922E-2</c:v>
                </c:pt>
                <c:pt idx="175">
                  <c:v>6.1022166568392322E-2</c:v>
                </c:pt>
                <c:pt idx="176">
                  <c:v>6.1140553385766516E-2</c:v>
                </c:pt>
                <c:pt idx="177">
                  <c:v>6.0907494669946383E-2</c:v>
                </c:pt>
                <c:pt idx="178">
                  <c:v>6.1804405323987455E-2</c:v>
                </c:pt>
                <c:pt idx="179">
                  <c:v>5.9772007578768216E-2</c:v>
                </c:pt>
                <c:pt idx="180">
                  <c:v>5.9045230378058866E-2</c:v>
                </c:pt>
                <c:pt idx="181">
                  <c:v>6.0762931862776037E-2</c:v>
                </c:pt>
                <c:pt idx="182">
                  <c:v>6.0473720515946239E-2</c:v>
                </c:pt>
                <c:pt idx="183">
                  <c:v>6.2297554134304933E-2</c:v>
                </c:pt>
                <c:pt idx="184">
                  <c:v>6.2607054130366047E-2</c:v>
                </c:pt>
                <c:pt idx="185">
                  <c:v>6.0617135587899496E-2</c:v>
                </c:pt>
                <c:pt idx="186">
                  <c:v>6.1062732469269632E-2</c:v>
                </c:pt>
                <c:pt idx="187">
                  <c:v>6.2691372650270472E-2</c:v>
                </c:pt>
                <c:pt idx="188">
                  <c:v>6.3300027607255949E-2</c:v>
                </c:pt>
                <c:pt idx="189">
                  <c:v>6.2193423068930942E-2</c:v>
                </c:pt>
                <c:pt idx="190">
                  <c:v>6.3900619045599516E-2</c:v>
                </c:pt>
                <c:pt idx="191">
                  <c:v>6.4260931870239402E-2</c:v>
                </c:pt>
                <c:pt idx="192">
                  <c:v>6.4733710755558116E-2</c:v>
                </c:pt>
                <c:pt idx="193">
                  <c:v>6.602800722435398E-2</c:v>
                </c:pt>
                <c:pt idx="194">
                  <c:v>6.7721225137131302E-2</c:v>
                </c:pt>
                <c:pt idx="195">
                  <c:v>6.7987725097078844E-2</c:v>
                </c:pt>
                <c:pt idx="196">
                  <c:v>6.8700198234471932E-2</c:v>
                </c:pt>
                <c:pt idx="197">
                  <c:v>6.8160019701723806E-2</c:v>
                </c:pt>
                <c:pt idx="198">
                  <c:v>6.8814790180036889E-2</c:v>
                </c:pt>
                <c:pt idx="199">
                  <c:v>7.0178758710162992E-2</c:v>
                </c:pt>
                <c:pt idx="200">
                  <c:v>7.1339124562348699E-2</c:v>
                </c:pt>
                <c:pt idx="201">
                  <c:v>7.2605761476316477E-2</c:v>
                </c:pt>
                <c:pt idx="202">
                  <c:v>7.3086494623831877E-2</c:v>
                </c:pt>
                <c:pt idx="203">
                  <c:v>7.2976603883031288E-2</c:v>
                </c:pt>
                <c:pt idx="204">
                  <c:v>7.3610075927993623E-2</c:v>
                </c:pt>
                <c:pt idx="205">
                  <c:v>7.3866274244055008E-2</c:v>
                </c:pt>
                <c:pt idx="206">
                  <c:v>7.4286172191254218E-2</c:v>
                </c:pt>
                <c:pt idx="207">
                  <c:v>7.5211437514666857E-2</c:v>
                </c:pt>
                <c:pt idx="208">
                  <c:v>7.5133387362205539E-2</c:v>
                </c:pt>
                <c:pt idx="209">
                  <c:v>7.5549960169343899E-2</c:v>
                </c:pt>
                <c:pt idx="210">
                  <c:v>7.7252486109429919E-2</c:v>
                </c:pt>
                <c:pt idx="211">
                  <c:v>7.8804081620741595E-2</c:v>
                </c:pt>
                <c:pt idx="212">
                  <c:v>8.0393662936683485E-2</c:v>
                </c:pt>
                <c:pt idx="213">
                  <c:v>8.1846920096829034E-2</c:v>
                </c:pt>
                <c:pt idx="214">
                  <c:v>8.2287658093944671E-2</c:v>
                </c:pt>
                <c:pt idx="215">
                  <c:v>8.2312417250600234E-2</c:v>
                </c:pt>
                <c:pt idx="216">
                  <c:v>8.2606056243503145E-2</c:v>
                </c:pt>
                <c:pt idx="217">
                  <c:v>8.361274748434111E-2</c:v>
                </c:pt>
                <c:pt idx="218">
                  <c:v>8.4925868767562918E-2</c:v>
                </c:pt>
                <c:pt idx="219">
                  <c:v>8.5908439390001368E-2</c:v>
                </c:pt>
                <c:pt idx="220">
                  <c:v>8.5826976921019815E-2</c:v>
                </c:pt>
                <c:pt idx="221">
                  <c:v>8.6729829157868421E-2</c:v>
                </c:pt>
                <c:pt idx="222">
                  <c:v>8.6628496115383369E-2</c:v>
                </c:pt>
                <c:pt idx="223">
                  <c:v>8.6614598685011535E-2</c:v>
                </c:pt>
                <c:pt idx="224">
                  <c:v>8.8040080451821101E-2</c:v>
                </c:pt>
                <c:pt idx="225">
                  <c:v>8.9152688061733043E-2</c:v>
                </c:pt>
                <c:pt idx="226">
                  <c:v>9.130740564722406E-2</c:v>
                </c:pt>
                <c:pt idx="227">
                  <c:v>9.323917431523765E-2</c:v>
                </c:pt>
                <c:pt idx="228">
                  <c:v>9.3718411983276573E-2</c:v>
                </c:pt>
                <c:pt idx="229">
                  <c:v>9.588593942579271E-2</c:v>
                </c:pt>
                <c:pt idx="230">
                  <c:v>9.7150711983757354E-2</c:v>
                </c:pt>
                <c:pt idx="231">
                  <c:v>9.9805677730129716E-2</c:v>
                </c:pt>
                <c:pt idx="232">
                  <c:v>9.8401265706800078E-2</c:v>
                </c:pt>
                <c:pt idx="233">
                  <c:v>0.10007877672998644</c:v>
                </c:pt>
                <c:pt idx="234">
                  <c:v>0.10169989088012676</c:v>
                </c:pt>
                <c:pt idx="235">
                  <c:v>0.10369239009108289</c:v>
                </c:pt>
                <c:pt idx="236">
                  <c:v>0.10464447079109251</c:v>
                </c:pt>
                <c:pt idx="237">
                  <c:v>0.1063958911251679</c:v>
                </c:pt>
                <c:pt idx="238">
                  <c:v>0.10723075490769762</c:v>
                </c:pt>
                <c:pt idx="239">
                  <c:v>0.10862644755136852</c:v>
                </c:pt>
                <c:pt idx="240">
                  <c:v>0.10927556224394697</c:v>
                </c:pt>
                <c:pt idx="241">
                  <c:v>0.11032821950076066</c:v>
                </c:pt>
                <c:pt idx="242">
                  <c:v>0.11109679332997757</c:v>
                </c:pt>
                <c:pt idx="243">
                  <c:v>0.11188915977937874</c:v>
                </c:pt>
                <c:pt idx="244">
                  <c:v>0.11269216293371409</c:v>
                </c:pt>
                <c:pt idx="245">
                  <c:v>0.11433668050744017</c:v>
                </c:pt>
                <c:pt idx="246">
                  <c:v>0.11521823526283348</c:v>
                </c:pt>
                <c:pt idx="247">
                  <c:v>0.11575678771932241</c:v>
                </c:pt>
                <c:pt idx="248">
                  <c:v>0.11730690851216941</c:v>
                </c:pt>
                <c:pt idx="249">
                  <c:v>0.11842013660967821</c:v>
                </c:pt>
                <c:pt idx="250">
                  <c:v>0.11929863615338654</c:v>
                </c:pt>
                <c:pt idx="251">
                  <c:v>0.11969643152349385</c:v>
                </c:pt>
                <c:pt idx="252">
                  <c:v>0.11987396121389482</c:v>
                </c:pt>
                <c:pt idx="253">
                  <c:v>0.12015702703242903</c:v>
                </c:pt>
                <c:pt idx="254">
                  <c:v>0.11975630284596428</c:v>
                </c:pt>
                <c:pt idx="255">
                  <c:v>0.12018195371952656</c:v>
                </c:pt>
                <c:pt idx="256">
                  <c:v>0.11917175967578419</c:v>
                </c:pt>
                <c:pt idx="257">
                  <c:v>0.12095013929025722</c:v>
                </c:pt>
                <c:pt idx="258">
                  <c:v>0.12074645615641488</c:v>
                </c:pt>
                <c:pt idx="259">
                  <c:v>0.12226064442753293</c:v>
                </c:pt>
                <c:pt idx="260">
                  <c:v>0.12284981486462421</c:v>
                </c:pt>
                <c:pt idx="261">
                  <c:v>0.12339470124091778</c:v>
                </c:pt>
                <c:pt idx="262">
                  <c:v>0.1234946567610391</c:v>
                </c:pt>
                <c:pt idx="263">
                  <c:v>0.1239148566035646</c:v>
                </c:pt>
                <c:pt idx="264">
                  <c:v>0.12356860594480179</c:v>
                </c:pt>
                <c:pt idx="265">
                  <c:v>0.12343938918519282</c:v>
                </c:pt>
                <c:pt idx="266">
                  <c:v>0.12382882749723434</c:v>
                </c:pt>
                <c:pt idx="267">
                  <c:v>0.12456177148917336</c:v>
                </c:pt>
                <c:pt idx="268">
                  <c:v>0.1255046045535364</c:v>
                </c:pt>
                <c:pt idx="269">
                  <c:v>0.12664233740355813</c:v>
                </c:pt>
                <c:pt idx="270">
                  <c:v>0.12782842090391022</c:v>
                </c:pt>
                <c:pt idx="271">
                  <c:v>0.12843830577420845</c:v>
                </c:pt>
                <c:pt idx="272">
                  <c:v>0.12985557469572795</c:v>
                </c:pt>
                <c:pt idx="273">
                  <c:v>0.13079079334260757</c:v>
                </c:pt>
                <c:pt idx="274">
                  <c:v>0.13098441477528944</c:v>
                </c:pt>
                <c:pt idx="275">
                  <c:v>0.13177251773256415</c:v>
                </c:pt>
                <c:pt idx="276">
                  <c:v>0.13232389984251625</c:v>
                </c:pt>
                <c:pt idx="277">
                  <c:v>0.1321786671795917</c:v>
                </c:pt>
                <c:pt idx="278">
                  <c:v>0.13347133452625815</c:v>
                </c:pt>
                <c:pt idx="279">
                  <c:v>0.13416408969650639</c:v>
                </c:pt>
                <c:pt idx="280">
                  <c:v>0.13473408732870484</c:v>
                </c:pt>
                <c:pt idx="281">
                  <c:v>0.13482078004040443</c:v>
                </c:pt>
                <c:pt idx="282">
                  <c:v>0.13616105757967056</c:v>
                </c:pt>
                <c:pt idx="283">
                  <c:v>0.13661817651054298</c:v>
                </c:pt>
                <c:pt idx="284">
                  <c:v>0.13591656120721307</c:v>
                </c:pt>
                <c:pt idx="285">
                  <c:v>0.13666515212804531</c:v>
                </c:pt>
                <c:pt idx="286">
                  <c:v>0.13664284712882346</c:v>
                </c:pt>
                <c:pt idx="287">
                  <c:v>0.13598908427068013</c:v>
                </c:pt>
                <c:pt idx="288">
                  <c:v>0.13551665459446194</c:v>
                </c:pt>
                <c:pt idx="289">
                  <c:v>0.13537290026539051</c:v>
                </c:pt>
                <c:pt idx="290">
                  <c:v>0.13572171141676326</c:v>
                </c:pt>
                <c:pt idx="291">
                  <c:v>0.13610410011706819</c:v>
                </c:pt>
                <c:pt idx="292">
                  <c:v>0.13981039859838984</c:v>
                </c:pt>
                <c:pt idx="293">
                  <c:v>0.1429713859817241</c:v>
                </c:pt>
                <c:pt idx="294">
                  <c:v>0.14201536561247297</c:v>
                </c:pt>
                <c:pt idx="295">
                  <c:v>0.14239274821573877</c:v>
                </c:pt>
                <c:pt idx="296">
                  <c:v>0.14333699215536022</c:v>
                </c:pt>
                <c:pt idx="297">
                  <c:v>0.14484362314322929</c:v>
                </c:pt>
                <c:pt idx="298">
                  <c:v>0.14503721616293985</c:v>
                </c:pt>
                <c:pt idx="299">
                  <c:v>0.14542096088310852</c:v>
                </c:pt>
                <c:pt idx="300">
                  <c:v>0.14634756058432763</c:v>
                </c:pt>
                <c:pt idx="301">
                  <c:v>0.14717538338299541</c:v>
                </c:pt>
                <c:pt idx="302">
                  <c:v>0.14691132262861317</c:v>
                </c:pt>
                <c:pt idx="303">
                  <c:v>0.14630422114439057</c:v>
                </c:pt>
                <c:pt idx="304">
                  <c:v>0.14668991969768053</c:v>
                </c:pt>
                <c:pt idx="305">
                  <c:v>0.14651677422438603</c:v>
                </c:pt>
                <c:pt idx="306">
                  <c:v>0.14667473437865275</c:v>
                </c:pt>
                <c:pt idx="307">
                  <c:v>0.14765026652413749</c:v>
                </c:pt>
                <c:pt idx="308">
                  <c:v>0.14851638960646407</c:v>
                </c:pt>
                <c:pt idx="309">
                  <c:v>0.14880660005071844</c:v>
                </c:pt>
                <c:pt idx="310">
                  <c:v>0.15019982390257525</c:v>
                </c:pt>
                <c:pt idx="311">
                  <c:v>0.15126470629169897</c:v>
                </c:pt>
                <c:pt idx="312">
                  <c:v>0.15193023625669144</c:v>
                </c:pt>
                <c:pt idx="313">
                  <c:v>0.15220322496426197</c:v>
                </c:pt>
                <c:pt idx="314">
                  <c:v>0.15229155484664947</c:v>
                </c:pt>
                <c:pt idx="315">
                  <c:v>0.15222773687374258</c:v>
                </c:pt>
                <c:pt idx="316">
                  <c:v>0.15427682584984748</c:v>
                </c:pt>
                <c:pt idx="317">
                  <c:v>0.15271547227007853</c:v>
                </c:pt>
                <c:pt idx="318">
                  <c:v>0.1528317752822157</c:v>
                </c:pt>
                <c:pt idx="319">
                  <c:v>0.15199736620218363</c:v>
                </c:pt>
                <c:pt idx="320">
                  <c:v>0.15325454849645648</c:v>
                </c:pt>
                <c:pt idx="321">
                  <c:v>0.15498597436367767</c:v>
                </c:pt>
                <c:pt idx="322">
                  <c:v>0.15661364589734683</c:v>
                </c:pt>
                <c:pt idx="323">
                  <c:v>0.15760949526099521</c:v>
                </c:pt>
                <c:pt idx="324">
                  <c:v>0.15690473453098885</c:v>
                </c:pt>
                <c:pt idx="325">
                  <c:v>0.15896896080924305</c:v>
                </c:pt>
                <c:pt idx="326">
                  <c:v>0.16020019975448418</c:v>
                </c:pt>
                <c:pt idx="327">
                  <c:v>0.16074181616840066</c:v>
                </c:pt>
                <c:pt idx="328">
                  <c:v>0.16145448093070658</c:v>
                </c:pt>
                <c:pt idx="329">
                  <c:v>0.1623791839465083</c:v>
                </c:pt>
                <c:pt idx="330">
                  <c:v>0.16300288275531583</c:v>
                </c:pt>
                <c:pt idx="331">
                  <c:v>0.1634165522022526</c:v>
                </c:pt>
                <c:pt idx="332">
                  <c:v>0.1629600965087934</c:v>
                </c:pt>
                <c:pt idx="333">
                  <c:v>0.1621071819396025</c:v>
                </c:pt>
                <c:pt idx="334">
                  <c:v>0.16305305063151598</c:v>
                </c:pt>
                <c:pt idx="335">
                  <c:v>0.16412842288426188</c:v>
                </c:pt>
                <c:pt idx="336">
                  <c:v>0.16513805791683334</c:v>
                </c:pt>
                <c:pt idx="337">
                  <c:v>0.16545088552494835</c:v>
                </c:pt>
                <c:pt idx="338">
                  <c:v>0.16706144593921568</c:v>
                </c:pt>
                <c:pt idx="339">
                  <c:v>0.16702202848366166</c:v>
                </c:pt>
                <c:pt idx="340">
                  <c:v>0.16742257064114052</c:v>
                </c:pt>
                <c:pt idx="341">
                  <c:v>0.16791826563115353</c:v>
                </c:pt>
                <c:pt idx="342">
                  <c:v>0.16962466422381661</c:v>
                </c:pt>
                <c:pt idx="343">
                  <c:v>0.16919980047704342</c:v>
                </c:pt>
                <c:pt idx="344">
                  <c:v>0.16962150498184392</c:v>
                </c:pt>
                <c:pt idx="345">
                  <c:v>0.17263514239205735</c:v>
                </c:pt>
                <c:pt idx="346">
                  <c:v>0.17365287211478853</c:v>
                </c:pt>
                <c:pt idx="347">
                  <c:v>0.1738632834501157</c:v>
                </c:pt>
                <c:pt idx="348">
                  <c:v>0.1740090743185525</c:v>
                </c:pt>
                <c:pt idx="349">
                  <c:v>0.17479679849002783</c:v>
                </c:pt>
                <c:pt idx="350">
                  <c:v>0.17601304474080703</c:v>
                </c:pt>
                <c:pt idx="351">
                  <c:v>0.17771230049671183</c:v>
                </c:pt>
                <c:pt idx="352">
                  <c:v>0.17787835973747268</c:v>
                </c:pt>
                <c:pt idx="353">
                  <c:v>0.17871852532002208</c:v>
                </c:pt>
                <c:pt idx="354">
                  <c:v>0.17994752982230522</c:v>
                </c:pt>
                <c:pt idx="355">
                  <c:v>0.18131376611886107</c:v>
                </c:pt>
                <c:pt idx="356">
                  <c:v>0.18120510834893233</c:v>
                </c:pt>
                <c:pt idx="357">
                  <c:v>0.18145454812663941</c:v>
                </c:pt>
                <c:pt idx="358">
                  <c:v>0.18211114861528954</c:v>
                </c:pt>
                <c:pt idx="359">
                  <c:v>0.1819994785318555</c:v>
                </c:pt>
                <c:pt idx="360">
                  <c:v>0.18196402711794857</c:v>
                </c:pt>
                <c:pt idx="361">
                  <c:v>0.18276464631490175</c:v>
                </c:pt>
                <c:pt idx="362">
                  <c:v>0.18303842174643203</c:v>
                </c:pt>
                <c:pt idx="363">
                  <c:v>0.18356472074263008</c:v>
                </c:pt>
                <c:pt idx="364">
                  <c:v>0.18170113710319513</c:v>
                </c:pt>
                <c:pt idx="365">
                  <c:v>0.18119345097677098</c:v>
                </c:pt>
                <c:pt idx="366">
                  <c:v>0.18330353310895808</c:v>
                </c:pt>
                <c:pt idx="367">
                  <c:v>0.18267417148911735</c:v>
                </c:pt>
                <c:pt idx="368">
                  <c:v>0.18380451166150058</c:v>
                </c:pt>
                <c:pt idx="369">
                  <c:v>0.18522595717045243</c:v>
                </c:pt>
                <c:pt idx="370">
                  <c:v>0.18602793789641892</c:v>
                </c:pt>
                <c:pt idx="371">
                  <c:v>0.18769878580587229</c:v>
                </c:pt>
                <c:pt idx="372">
                  <c:v>0.1882836336280127</c:v>
                </c:pt>
                <c:pt idx="373">
                  <c:v>0.18856787283494381</c:v>
                </c:pt>
                <c:pt idx="374">
                  <c:v>0.18891332609182476</c:v>
                </c:pt>
                <c:pt idx="375">
                  <c:v>0.19030652267495274</c:v>
                </c:pt>
                <c:pt idx="376">
                  <c:v>0.1908748924258441</c:v>
                </c:pt>
                <c:pt idx="377">
                  <c:v>0.19077078472884623</c:v>
                </c:pt>
                <c:pt idx="378">
                  <c:v>0.19192918760132027</c:v>
                </c:pt>
                <c:pt idx="379">
                  <c:v>0.19233408732722168</c:v>
                </c:pt>
                <c:pt idx="380">
                  <c:v>0.1931767426345381</c:v>
                </c:pt>
                <c:pt idx="381">
                  <c:v>0.19309695238061964</c:v>
                </c:pt>
                <c:pt idx="382">
                  <c:v>0.19371620484376972</c:v>
                </c:pt>
                <c:pt idx="383">
                  <c:v>0.19534714935277186</c:v>
                </c:pt>
                <c:pt idx="384">
                  <c:v>0.19620976981948246</c:v>
                </c:pt>
                <c:pt idx="385">
                  <c:v>0.19759611503475183</c:v>
                </c:pt>
                <c:pt idx="386">
                  <c:v>0.19840076630083492</c:v>
                </c:pt>
                <c:pt idx="387">
                  <c:v>0.19958587489534696</c:v>
                </c:pt>
                <c:pt idx="388">
                  <c:v>0.20029980755687404</c:v>
                </c:pt>
                <c:pt idx="389">
                  <c:v>0.20114582725200347</c:v>
                </c:pt>
                <c:pt idx="390">
                  <c:v>0.20073887145581204</c:v>
                </c:pt>
                <c:pt idx="391">
                  <c:v>0.20112304982550722</c:v>
                </c:pt>
                <c:pt idx="392">
                  <c:v>0.20086698949284809</c:v>
                </c:pt>
                <c:pt idx="393">
                  <c:v>0.20146122288246615</c:v>
                </c:pt>
                <c:pt idx="394">
                  <c:v>0.20264593370752348</c:v>
                </c:pt>
                <c:pt idx="395">
                  <c:v>0.20235694098189483</c:v>
                </c:pt>
                <c:pt idx="396">
                  <c:v>0.20271967370496768</c:v>
                </c:pt>
                <c:pt idx="397">
                  <c:v>0.20365732062248076</c:v>
                </c:pt>
                <c:pt idx="398">
                  <c:v>0.20369037149303759</c:v>
                </c:pt>
                <c:pt idx="399">
                  <c:v>0.20241580629056521</c:v>
                </c:pt>
                <c:pt idx="400">
                  <c:v>0.20358972570951051</c:v>
                </c:pt>
                <c:pt idx="401">
                  <c:v>0.20383213990695737</c:v>
                </c:pt>
                <c:pt idx="402">
                  <c:v>0.20502028594836474</c:v>
                </c:pt>
                <c:pt idx="403">
                  <c:v>0.20556399651417778</c:v>
                </c:pt>
                <c:pt idx="404">
                  <c:v>0.20539494063341324</c:v>
                </c:pt>
                <c:pt idx="405">
                  <c:v>0.20516201070846107</c:v>
                </c:pt>
                <c:pt idx="406">
                  <c:v>0.20538253252029115</c:v>
                </c:pt>
                <c:pt idx="407">
                  <c:v>0.20657977995947463</c:v>
                </c:pt>
                <c:pt idx="408">
                  <c:v>0.20525731965445604</c:v>
                </c:pt>
                <c:pt idx="409">
                  <c:v>0.2064061982316221</c:v>
                </c:pt>
                <c:pt idx="410">
                  <c:v>0.20809396939207159</c:v>
                </c:pt>
                <c:pt idx="411">
                  <c:v>0.20772105320878831</c:v>
                </c:pt>
                <c:pt idx="412">
                  <c:v>0.20971309623017276</c:v>
                </c:pt>
                <c:pt idx="413">
                  <c:v>0.21183400401224195</c:v>
                </c:pt>
                <c:pt idx="414">
                  <c:v>0.21248852593259659</c:v>
                </c:pt>
                <c:pt idx="415">
                  <c:v>0.21440112371134568</c:v>
                </c:pt>
                <c:pt idx="416">
                  <c:v>0.21534512562795749</c:v>
                </c:pt>
                <c:pt idx="417">
                  <c:v>0.21511593627458891</c:v>
                </c:pt>
                <c:pt idx="418">
                  <c:v>0.21622592163931675</c:v>
                </c:pt>
                <c:pt idx="419">
                  <c:v>0.21587399508543381</c:v>
                </c:pt>
                <c:pt idx="420">
                  <c:v>0.21661820157968714</c:v>
                </c:pt>
                <c:pt idx="421">
                  <c:v>0.21783524646082131</c:v>
                </c:pt>
                <c:pt idx="422">
                  <c:v>0.21743931470714051</c:v>
                </c:pt>
                <c:pt idx="423">
                  <c:v>0.21926523436746437</c:v>
                </c:pt>
                <c:pt idx="424">
                  <c:v>0.22002559992471493</c:v>
                </c:pt>
                <c:pt idx="425">
                  <c:v>0.2212717028920661</c:v>
                </c:pt>
                <c:pt idx="426">
                  <c:v>0.22336458212175136</c:v>
                </c:pt>
                <c:pt idx="427">
                  <c:v>0.22441476824149142</c:v>
                </c:pt>
                <c:pt idx="428">
                  <c:v>0.22504709015657487</c:v>
                </c:pt>
                <c:pt idx="429">
                  <c:v>0.22570874475543512</c:v>
                </c:pt>
                <c:pt idx="430">
                  <c:v>0.22669967151368775</c:v>
                </c:pt>
                <c:pt idx="431">
                  <c:v>0.22850248840906828</c:v>
                </c:pt>
                <c:pt idx="432">
                  <c:v>0.22903720152302376</c:v>
                </c:pt>
                <c:pt idx="433">
                  <c:v>0.22941500924609737</c:v>
                </c:pt>
                <c:pt idx="434">
                  <c:v>0.23040232153369611</c:v>
                </c:pt>
                <c:pt idx="435">
                  <c:v>0.23097039422138943</c:v>
                </c:pt>
                <c:pt idx="436">
                  <c:v>0.23202971016243712</c:v>
                </c:pt>
                <c:pt idx="437">
                  <c:v>0.23323877376293045</c:v>
                </c:pt>
                <c:pt idx="438">
                  <c:v>0.23372119957564474</c:v>
                </c:pt>
                <c:pt idx="439">
                  <c:v>0.23549381816380355</c:v>
                </c:pt>
                <c:pt idx="440">
                  <c:v>0.23618182328019022</c:v>
                </c:pt>
                <c:pt idx="441">
                  <c:v>0.23690330255599634</c:v>
                </c:pt>
                <c:pt idx="442">
                  <c:v>0.23898449341643535</c:v>
                </c:pt>
                <c:pt idx="443">
                  <c:v>0.23946085107086557</c:v>
                </c:pt>
                <c:pt idx="444">
                  <c:v>0.24108444909636417</c:v>
                </c:pt>
                <c:pt idx="445">
                  <c:v>0.24160598005129508</c:v>
                </c:pt>
                <c:pt idx="446">
                  <c:v>0.24272150717199015</c:v>
                </c:pt>
                <c:pt idx="447">
                  <c:v>0.24353097974163873</c:v>
                </c:pt>
                <c:pt idx="448">
                  <c:v>0.24371224765551225</c:v>
                </c:pt>
                <c:pt idx="449">
                  <c:v>0.24424317802497142</c:v>
                </c:pt>
                <c:pt idx="450">
                  <c:v>0.24279520003025024</c:v>
                </c:pt>
                <c:pt idx="451">
                  <c:v>0.24303332815816181</c:v>
                </c:pt>
                <c:pt idx="452">
                  <c:v>0.2420714017018224</c:v>
                </c:pt>
                <c:pt idx="453">
                  <c:v>0.24144546800456879</c:v>
                </c:pt>
                <c:pt idx="454">
                  <c:v>0.24012389841609361</c:v>
                </c:pt>
                <c:pt idx="455">
                  <c:v>0.23974843023116876</c:v>
                </c:pt>
                <c:pt idx="456">
                  <c:v>0.24123250991927181</c:v>
                </c:pt>
                <c:pt idx="457">
                  <c:v>0.23899574191890882</c:v>
                </c:pt>
                <c:pt idx="458">
                  <c:v>0.24274384034643881</c:v>
                </c:pt>
                <c:pt idx="459">
                  <c:v>0.24269661341389104</c:v>
                </c:pt>
                <c:pt idx="460">
                  <c:v>0.24771842152526258</c:v>
                </c:pt>
                <c:pt idx="461">
                  <c:v>0.24772319822724764</c:v>
                </c:pt>
                <c:pt idx="462">
                  <c:v>0.24896263082441972</c:v>
                </c:pt>
                <c:pt idx="463">
                  <c:v>0.24987006748462437</c:v>
                </c:pt>
                <c:pt idx="464">
                  <c:v>0.25203126075994242</c:v>
                </c:pt>
                <c:pt idx="465">
                  <c:v>0.25331243756627875</c:v>
                </c:pt>
                <c:pt idx="466">
                  <c:v>0.2551529149988816</c:v>
                </c:pt>
                <c:pt idx="467">
                  <c:v>0.25738120871887848</c:v>
                </c:pt>
                <c:pt idx="468">
                  <c:v>0.2575963834389392</c:v>
                </c:pt>
                <c:pt idx="469">
                  <c:v>0.2584608398667434</c:v>
                </c:pt>
                <c:pt idx="470">
                  <c:v>0.25927615764414158</c:v>
                </c:pt>
                <c:pt idx="471">
                  <c:v>0.26126313087151987</c:v>
                </c:pt>
                <c:pt idx="472">
                  <c:v>0.26083677460339194</c:v>
                </c:pt>
                <c:pt idx="473">
                  <c:v>0.26241075005524395</c:v>
                </c:pt>
                <c:pt idx="474">
                  <c:v>0.26425559828588185</c:v>
                </c:pt>
                <c:pt idx="475">
                  <c:v>0.26477084998710754</c:v>
                </c:pt>
                <c:pt idx="476">
                  <c:v>0.26634403029326736</c:v>
                </c:pt>
                <c:pt idx="477">
                  <c:v>0.26793729259132526</c:v>
                </c:pt>
                <c:pt idx="478">
                  <c:v>0.26935346990953435</c:v>
                </c:pt>
                <c:pt idx="479">
                  <c:v>0.26913025130326917</c:v>
                </c:pt>
                <c:pt idx="480">
                  <c:v>0.27085311089010289</c:v>
                </c:pt>
                <c:pt idx="481">
                  <c:v>0.27357678260163421</c:v>
                </c:pt>
                <c:pt idx="482">
                  <c:v>0.27330964667917446</c:v>
                </c:pt>
                <c:pt idx="483">
                  <c:v>0.27377477946534778</c:v>
                </c:pt>
                <c:pt idx="484">
                  <c:v>0.27527927328141</c:v>
                </c:pt>
                <c:pt idx="485">
                  <c:v>0.27529116383611041</c:v>
                </c:pt>
                <c:pt idx="486">
                  <c:v>0.27680396097114413</c:v>
                </c:pt>
                <c:pt idx="487">
                  <c:v>0.27654215275204974</c:v>
                </c:pt>
                <c:pt idx="488">
                  <c:v>0.27710315934976437</c:v>
                </c:pt>
                <c:pt idx="489">
                  <c:v>0.27800560513608308</c:v>
                </c:pt>
                <c:pt idx="490">
                  <c:v>0.27751886749659627</c:v>
                </c:pt>
                <c:pt idx="491">
                  <c:v>0.2774100323236961</c:v>
                </c:pt>
                <c:pt idx="492">
                  <c:v>0.27836544667899665</c:v>
                </c:pt>
                <c:pt idx="493">
                  <c:v>0.27969313314724387</c:v>
                </c:pt>
                <c:pt idx="494">
                  <c:v>0.28051680270762347</c:v>
                </c:pt>
                <c:pt idx="495">
                  <c:v>0.28086772687485961</c:v>
                </c:pt>
                <c:pt idx="496">
                  <c:v>0.28153583922900793</c:v>
                </c:pt>
                <c:pt idx="497">
                  <c:v>0.28220587647352358</c:v>
                </c:pt>
                <c:pt idx="498">
                  <c:v>0.28282286436088655</c:v>
                </c:pt>
                <c:pt idx="499">
                  <c:v>0.28229870599251217</c:v>
                </c:pt>
                <c:pt idx="500">
                  <c:v>0.28373408848317117</c:v>
                </c:pt>
                <c:pt idx="501">
                  <c:v>0.28447274157859614</c:v>
                </c:pt>
                <c:pt idx="502">
                  <c:v>0.28517978164036495</c:v>
                </c:pt>
                <c:pt idx="503">
                  <c:v>0.28485332118605045</c:v>
                </c:pt>
                <c:pt idx="504">
                  <c:v>0.28416558157119076</c:v>
                </c:pt>
                <c:pt idx="505">
                  <c:v>0.2840164655939974</c:v>
                </c:pt>
                <c:pt idx="506">
                  <c:v>0.28372729224039817</c:v>
                </c:pt>
                <c:pt idx="507">
                  <c:v>0.28445301246913535</c:v>
                </c:pt>
                <c:pt idx="508">
                  <c:v>0.2845253919468318</c:v>
                </c:pt>
                <c:pt idx="509">
                  <c:v>0.2865054982403199</c:v>
                </c:pt>
                <c:pt idx="510">
                  <c:v>0.28692514627064769</c:v>
                </c:pt>
                <c:pt idx="511">
                  <c:v>0.28783907995237401</c:v>
                </c:pt>
                <c:pt idx="512">
                  <c:v>0.28696773233453365</c:v>
                </c:pt>
                <c:pt idx="513">
                  <c:v>0.28759020200289509</c:v>
                </c:pt>
                <c:pt idx="514">
                  <c:v>0.28965485994327711</c:v>
                </c:pt>
                <c:pt idx="515">
                  <c:v>0.29148360552388364</c:v>
                </c:pt>
                <c:pt idx="516">
                  <c:v>0.29127803900720961</c:v>
                </c:pt>
                <c:pt idx="517">
                  <c:v>0.29243001535950852</c:v>
                </c:pt>
                <c:pt idx="518">
                  <c:v>0.29250818513917642</c:v>
                </c:pt>
                <c:pt idx="519">
                  <c:v>0.29279914616332814</c:v>
                </c:pt>
                <c:pt idx="520">
                  <c:v>0.29238865541909975</c:v>
                </c:pt>
                <c:pt idx="521">
                  <c:v>0.29331058885344286</c:v>
                </c:pt>
                <c:pt idx="522">
                  <c:v>0.29377913889559482</c:v>
                </c:pt>
                <c:pt idx="523">
                  <c:v>0.29549580076209403</c:v>
                </c:pt>
                <c:pt idx="524">
                  <c:v>0.29746300851069463</c:v>
                </c:pt>
                <c:pt idx="525">
                  <c:v>0.30030003309188524</c:v>
                </c:pt>
                <c:pt idx="526">
                  <c:v>0.30043836086617892</c:v>
                </c:pt>
                <c:pt idx="527">
                  <c:v>0.3018403249236643</c:v>
                </c:pt>
                <c:pt idx="528">
                  <c:v>0.30187376904032948</c:v>
                </c:pt>
                <c:pt idx="529">
                  <c:v>0.30149035507101085</c:v>
                </c:pt>
                <c:pt idx="530">
                  <c:v>0.30187472077975053</c:v>
                </c:pt>
                <c:pt idx="531">
                  <c:v>0.3028345694439436</c:v>
                </c:pt>
                <c:pt idx="532">
                  <c:v>0.30431256678301755</c:v>
                </c:pt>
                <c:pt idx="533">
                  <c:v>0.30638185005222729</c:v>
                </c:pt>
                <c:pt idx="534">
                  <c:v>0.30697256690412966</c:v>
                </c:pt>
                <c:pt idx="535">
                  <c:v>0.30720478574735122</c:v>
                </c:pt>
                <c:pt idx="536">
                  <c:v>0.30772045762869737</c:v>
                </c:pt>
                <c:pt idx="537">
                  <c:v>0.30882904043331982</c:v>
                </c:pt>
                <c:pt idx="538">
                  <c:v>0.3093984983986442</c:v>
                </c:pt>
                <c:pt idx="539">
                  <c:v>0.31129587569441242</c:v>
                </c:pt>
                <c:pt idx="540">
                  <c:v>0.31197958416126248</c:v>
                </c:pt>
                <c:pt idx="541">
                  <c:v>0.31294654411529277</c:v>
                </c:pt>
                <c:pt idx="542">
                  <c:v>0.31332665305909213</c:v>
                </c:pt>
                <c:pt idx="543">
                  <c:v>0.31393794299512745</c:v>
                </c:pt>
                <c:pt idx="544">
                  <c:v>0.31382103985724719</c:v>
                </c:pt>
                <c:pt idx="545">
                  <c:v>0.31417151948397515</c:v>
                </c:pt>
                <c:pt idx="546">
                  <c:v>0.31538442143874845</c:v>
                </c:pt>
                <c:pt idx="547">
                  <c:v>0.31785557796887765</c:v>
                </c:pt>
                <c:pt idx="548">
                  <c:v>0.31898183006438141</c:v>
                </c:pt>
                <c:pt idx="549">
                  <c:v>0.32036683403550481</c:v>
                </c:pt>
                <c:pt idx="550">
                  <c:v>0.320801729534123</c:v>
                </c:pt>
                <c:pt idx="551">
                  <c:v>0.32275029383786857</c:v>
                </c:pt>
                <c:pt idx="552">
                  <c:v>0.32351037562552953</c:v>
                </c:pt>
                <c:pt idx="553">
                  <c:v>0.32657130167618686</c:v>
                </c:pt>
                <c:pt idx="554">
                  <c:v>0.32920375268693491</c:v>
                </c:pt>
                <c:pt idx="555">
                  <c:v>0.33050325921568069</c:v>
                </c:pt>
                <c:pt idx="556">
                  <c:v>0.33289773679545753</c:v>
                </c:pt>
                <c:pt idx="557">
                  <c:v>0.33502505361004742</c:v>
                </c:pt>
                <c:pt idx="558">
                  <c:v>0.33989000228572874</c:v>
                </c:pt>
                <c:pt idx="559">
                  <c:v>0.34311041601100589</c:v>
                </c:pt>
                <c:pt idx="560">
                  <c:v>0.34391282215873975</c:v>
                </c:pt>
                <c:pt idx="561">
                  <c:v>0.34471523412912508</c:v>
                </c:pt>
                <c:pt idx="562">
                  <c:v>0.3446910025609391</c:v>
                </c:pt>
                <c:pt idx="563">
                  <c:v>0.34556687754884363</c:v>
                </c:pt>
                <c:pt idx="564">
                  <c:v>0.34867051202213828</c:v>
                </c:pt>
                <c:pt idx="565">
                  <c:v>0.34972617435036701</c:v>
                </c:pt>
                <c:pt idx="566">
                  <c:v>0.34928208399917171</c:v>
                </c:pt>
                <c:pt idx="567">
                  <c:v>0.3505520452656723</c:v>
                </c:pt>
                <c:pt idx="568">
                  <c:v>0.35240212811063842</c:v>
                </c:pt>
                <c:pt idx="569">
                  <c:v>0.35296879304213991</c:v>
                </c:pt>
                <c:pt idx="570">
                  <c:v>0.35171640702916185</c:v>
                </c:pt>
                <c:pt idx="571">
                  <c:v>0.35314405474840105</c:v>
                </c:pt>
                <c:pt idx="572">
                  <c:v>0.35499751610962393</c:v>
                </c:pt>
                <c:pt idx="573">
                  <c:v>0.35648275215957459</c:v>
                </c:pt>
                <c:pt idx="574">
                  <c:v>0.35888131096207498</c:v>
                </c:pt>
                <c:pt idx="575">
                  <c:v>0.35965051577712082</c:v>
                </c:pt>
                <c:pt idx="576">
                  <c:v>0.36108527219099429</c:v>
                </c:pt>
                <c:pt idx="577">
                  <c:v>0.36186064108066951</c:v>
                </c:pt>
                <c:pt idx="578">
                  <c:v>0.36332322422507657</c:v>
                </c:pt>
                <c:pt idx="579">
                  <c:v>0.36347690666257448</c:v>
                </c:pt>
                <c:pt idx="580">
                  <c:v>0.36572588107021597</c:v>
                </c:pt>
                <c:pt idx="581">
                  <c:v>0.36753310520876048</c:v>
                </c:pt>
                <c:pt idx="582">
                  <c:v>0.36806079961495874</c:v>
                </c:pt>
                <c:pt idx="583">
                  <c:v>0.36833645210760269</c:v>
                </c:pt>
                <c:pt idx="584">
                  <c:v>0.36927710751190235</c:v>
                </c:pt>
                <c:pt idx="585">
                  <c:v>0.37221242662607046</c:v>
                </c:pt>
                <c:pt idx="586">
                  <c:v>0.37153251482009586</c:v>
                </c:pt>
                <c:pt idx="587">
                  <c:v>0.37160724395748113</c:v>
                </c:pt>
                <c:pt idx="588">
                  <c:v>0.37229594084073492</c:v>
                </c:pt>
                <c:pt idx="589">
                  <c:v>0.37214957342065702</c:v>
                </c:pt>
                <c:pt idx="590">
                  <c:v>0.37408291659493842</c:v>
                </c:pt>
                <c:pt idx="591">
                  <c:v>0.37547210330660352</c:v>
                </c:pt>
                <c:pt idx="592">
                  <c:v>0.37716502486225578</c:v>
                </c:pt>
                <c:pt idx="593">
                  <c:v>0.37927260814719976</c:v>
                </c:pt>
                <c:pt idx="594">
                  <c:v>0.37937080539157919</c:v>
                </c:pt>
                <c:pt idx="595">
                  <c:v>0.37940380279645747</c:v>
                </c:pt>
                <c:pt idx="596">
                  <c:v>0.3796090594086079</c:v>
                </c:pt>
                <c:pt idx="597">
                  <c:v>0.38015309587293378</c:v>
                </c:pt>
                <c:pt idx="598">
                  <c:v>0.3807812264107111</c:v>
                </c:pt>
                <c:pt idx="599">
                  <c:v>0.37984889823577639</c:v>
                </c:pt>
                <c:pt idx="600">
                  <c:v>0.3811389704475876</c:v>
                </c:pt>
                <c:pt idx="601">
                  <c:v>0.38235629972266172</c:v>
                </c:pt>
                <c:pt idx="602">
                  <c:v>0.38242291269136919</c:v>
                </c:pt>
                <c:pt idx="603">
                  <c:v>0.38229456040703691</c:v>
                </c:pt>
                <c:pt idx="604">
                  <c:v>0.38440512897665657</c:v>
                </c:pt>
                <c:pt idx="605">
                  <c:v>0.3851452650307392</c:v>
                </c:pt>
                <c:pt idx="606">
                  <c:v>0.38564853499339002</c:v>
                </c:pt>
                <c:pt idx="607">
                  <c:v>0.38690913840354391</c:v>
                </c:pt>
                <c:pt idx="608">
                  <c:v>0.38770262905072217</c:v>
                </c:pt>
                <c:pt idx="609">
                  <c:v>0.38697045648157125</c:v>
                </c:pt>
                <c:pt idx="610">
                  <c:v>0.38739412416039354</c:v>
                </c:pt>
                <c:pt idx="611">
                  <c:v>0.38840559372229122</c:v>
                </c:pt>
                <c:pt idx="612">
                  <c:v>0.389273763606937</c:v>
                </c:pt>
                <c:pt idx="613">
                  <c:v>0.38919761637194683</c:v>
                </c:pt>
                <c:pt idx="614">
                  <c:v>0.3896413388279607</c:v>
                </c:pt>
                <c:pt idx="615">
                  <c:v>0.3929488728778594</c:v>
                </c:pt>
                <c:pt idx="616">
                  <c:v>0.39412447074363799</c:v>
                </c:pt>
                <c:pt idx="617">
                  <c:v>0.39414450777700583</c:v>
                </c:pt>
                <c:pt idx="618">
                  <c:v>0.39432620486785463</c:v>
                </c:pt>
                <c:pt idx="619">
                  <c:v>0.39494795653359049</c:v>
                </c:pt>
                <c:pt idx="620">
                  <c:v>0.39671898526067961</c:v>
                </c:pt>
                <c:pt idx="621">
                  <c:v>0.39675488352814559</c:v>
                </c:pt>
                <c:pt idx="622">
                  <c:v>0.39703545037670507</c:v>
                </c:pt>
                <c:pt idx="623">
                  <c:v>0.39628149877696228</c:v>
                </c:pt>
                <c:pt idx="624">
                  <c:v>0.39704906981468424</c:v>
                </c:pt>
                <c:pt idx="625">
                  <c:v>0.39837536360066683</c:v>
                </c:pt>
                <c:pt idx="626">
                  <c:v>0.39744050189180147</c:v>
                </c:pt>
                <c:pt idx="627">
                  <c:v>0.39689926953634336</c:v>
                </c:pt>
                <c:pt idx="628">
                  <c:v>0.39645151949076629</c:v>
                </c:pt>
                <c:pt idx="629">
                  <c:v>0.39600100411429295</c:v>
                </c:pt>
                <c:pt idx="630">
                  <c:v>0.39611590664330887</c:v>
                </c:pt>
                <c:pt idx="631">
                  <c:v>0.39505478014433426</c:v>
                </c:pt>
                <c:pt idx="632">
                  <c:v>0.39379349805506014</c:v>
                </c:pt>
                <c:pt idx="633">
                  <c:v>0.39457934490069912</c:v>
                </c:pt>
                <c:pt idx="634">
                  <c:v>0.3949117115879055</c:v>
                </c:pt>
                <c:pt idx="635">
                  <c:v>0.39439841355247851</c:v>
                </c:pt>
                <c:pt idx="636">
                  <c:v>0.3957226152746951</c:v>
                </c:pt>
                <c:pt idx="637">
                  <c:v>0.39347402671655551</c:v>
                </c:pt>
                <c:pt idx="638">
                  <c:v>0.39236992371420643</c:v>
                </c:pt>
                <c:pt idx="639">
                  <c:v>0.39404886342898138</c:v>
                </c:pt>
                <c:pt idx="640">
                  <c:v>0.39379739767151989</c:v>
                </c:pt>
                <c:pt idx="641">
                  <c:v>0.3946958962804703</c:v>
                </c:pt>
                <c:pt idx="642">
                  <c:v>0.39450534121969394</c:v>
                </c:pt>
                <c:pt idx="643">
                  <c:v>0.3945020827164043</c:v>
                </c:pt>
                <c:pt idx="644">
                  <c:v>0.39583938067058799</c:v>
                </c:pt>
                <c:pt idx="645">
                  <c:v>0.39727346326638968</c:v>
                </c:pt>
                <c:pt idx="646">
                  <c:v>0.39881959605437878</c:v>
                </c:pt>
                <c:pt idx="647">
                  <c:v>0.39899872933879932</c:v>
                </c:pt>
                <c:pt idx="648">
                  <c:v>0.39846072270911614</c:v>
                </c:pt>
                <c:pt idx="649">
                  <c:v>0.39948735916710931</c:v>
                </c:pt>
                <c:pt idx="650">
                  <c:v>0.40446848645798972</c:v>
                </c:pt>
                <c:pt idx="651">
                  <c:v>0.4049959753237462</c:v>
                </c:pt>
                <c:pt idx="652">
                  <c:v>0.40648177583369205</c:v>
                </c:pt>
                <c:pt idx="653">
                  <c:v>0.40548549851975157</c:v>
                </c:pt>
                <c:pt idx="654">
                  <c:v>0.40571888326266903</c:v>
                </c:pt>
                <c:pt idx="655">
                  <c:v>0.4048366826272225</c:v>
                </c:pt>
                <c:pt idx="656">
                  <c:v>0.40630759877257994</c:v>
                </c:pt>
                <c:pt idx="657">
                  <c:v>0.40771248711156072</c:v>
                </c:pt>
                <c:pt idx="658">
                  <c:v>0.40614241996457978</c:v>
                </c:pt>
                <c:pt idx="659">
                  <c:v>0.40552845137469817</c:v>
                </c:pt>
                <c:pt idx="660">
                  <c:v>0.40565758553873632</c:v>
                </c:pt>
                <c:pt idx="661">
                  <c:v>0.40518286509232504</c:v>
                </c:pt>
                <c:pt idx="662">
                  <c:v>0.40500374379454018</c:v>
                </c:pt>
                <c:pt idx="663">
                  <c:v>0.40632468121323928</c:v>
                </c:pt>
                <c:pt idx="664">
                  <c:v>0.40619610613943236</c:v>
                </c:pt>
                <c:pt idx="665">
                  <c:v>0.40492471630064242</c:v>
                </c:pt>
                <c:pt idx="666">
                  <c:v>0.40579469959077019</c:v>
                </c:pt>
                <c:pt idx="667">
                  <c:v>0.40422020348131871</c:v>
                </c:pt>
                <c:pt idx="668">
                  <c:v>0.40425357248312355</c:v>
                </c:pt>
                <c:pt idx="669">
                  <c:v>0.40472675405300618</c:v>
                </c:pt>
                <c:pt idx="670">
                  <c:v>0.40675005192352498</c:v>
                </c:pt>
                <c:pt idx="671">
                  <c:v>0.40697980342661277</c:v>
                </c:pt>
                <c:pt idx="672">
                  <c:v>0.40672468306178455</c:v>
                </c:pt>
                <c:pt idx="673">
                  <c:v>0.40581843806766393</c:v>
                </c:pt>
                <c:pt idx="674">
                  <c:v>0.4065640619903923</c:v>
                </c:pt>
                <c:pt idx="675">
                  <c:v>0.4071556593557466</c:v>
                </c:pt>
                <c:pt idx="676">
                  <c:v>0.40668859331472551</c:v>
                </c:pt>
                <c:pt idx="677">
                  <c:v>0.40633084582998147</c:v>
                </c:pt>
                <c:pt idx="678">
                  <c:v>0.40668343135040108</c:v>
                </c:pt>
                <c:pt idx="679">
                  <c:v>0.40600591257185403</c:v>
                </c:pt>
                <c:pt idx="680">
                  <c:v>0.40718719089634825</c:v>
                </c:pt>
                <c:pt idx="681">
                  <c:v>0.40785769939583894</c:v>
                </c:pt>
                <c:pt idx="682">
                  <c:v>0.40787686606090823</c:v>
                </c:pt>
                <c:pt idx="683">
                  <c:v>0.40931517271577489</c:v>
                </c:pt>
                <c:pt idx="684">
                  <c:v>0.41096290992167051</c:v>
                </c:pt>
                <c:pt idx="685">
                  <c:v>0.40991177652124744</c:v>
                </c:pt>
                <c:pt idx="686">
                  <c:v>0.4088188854364343</c:v>
                </c:pt>
                <c:pt idx="687">
                  <c:v>0.40945520703090099</c:v>
                </c:pt>
                <c:pt idx="688">
                  <c:v>0.40870664486660124</c:v>
                </c:pt>
                <c:pt idx="689">
                  <c:v>0.40911614661618034</c:v>
                </c:pt>
                <c:pt idx="690">
                  <c:v>0.41030655522402304</c:v>
                </c:pt>
                <c:pt idx="691">
                  <c:v>0.41114346009045266</c:v>
                </c:pt>
                <c:pt idx="692">
                  <c:v>0.41171575562375673</c:v>
                </c:pt>
                <c:pt idx="693">
                  <c:v>0.41253269945238924</c:v>
                </c:pt>
                <c:pt idx="694">
                  <c:v>0.41236410776744048</c:v>
                </c:pt>
                <c:pt idx="695">
                  <c:v>0.41262598955936536</c:v>
                </c:pt>
                <c:pt idx="696">
                  <c:v>0.41303807138870163</c:v>
                </c:pt>
                <c:pt idx="697">
                  <c:v>0.41330202312042119</c:v>
                </c:pt>
                <c:pt idx="698">
                  <c:v>0.41400635767863769</c:v>
                </c:pt>
                <c:pt idx="699">
                  <c:v>0.41496017224274429</c:v>
                </c:pt>
                <c:pt idx="700">
                  <c:v>0.41574319298041096</c:v>
                </c:pt>
                <c:pt idx="701">
                  <c:v>0.41712296479490307</c:v>
                </c:pt>
                <c:pt idx="702">
                  <c:v>0.41762664133179928</c:v>
                </c:pt>
                <c:pt idx="703">
                  <c:v>0.41847121261739129</c:v>
                </c:pt>
                <c:pt idx="704">
                  <c:v>0.4196172987553235</c:v>
                </c:pt>
                <c:pt idx="705">
                  <c:v>0.41956780364096025</c:v>
                </c:pt>
                <c:pt idx="706">
                  <c:v>0.42010620340684479</c:v>
                </c:pt>
                <c:pt idx="707">
                  <c:v>0.42006015373464178</c:v>
                </c:pt>
                <c:pt idx="708">
                  <c:v>0.42154600382537644</c:v>
                </c:pt>
                <c:pt idx="709">
                  <c:v>0.42280638118947</c:v>
                </c:pt>
                <c:pt idx="710">
                  <c:v>0.42560076096719834</c:v>
                </c:pt>
              </c:numCache>
            </c:numRef>
          </c:val>
          <c:smooth val="1"/>
          <c:extLst>
            <c:ext xmlns:c16="http://schemas.microsoft.com/office/drawing/2014/chart" uri="{C3380CC4-5D6E-409C-BE32-E72D297353CC}">
              <c16:uniqueId val="{00000004-2EA0-43A0-9CB9-F40B4D364F0E}"/>
            </c:ext>
          </c:extLst>
        </c:ser>
        <c:ser>
          <c:idx val="3"/>
          <c:order val="3"/>
          <c:tx>
            <c:strRef>
              <c:f>'Strategy AccReturns'!$E$2</c:f>
              <c:strCache>
                <c:ptCount val="1"/>
                <c:pt idx="0">
                  <c:v>RF Intl.</c:v>
                </c:pt>
              </c:strCache>
            </c:strRef>
          </c:tx>
          <c:spPr>
            <a:ln w="25400" cap="rnd">
              <a:solidFill>
                <a:schemeClr val="accent4"/>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AccReturns'!$E$3:$E$713</c:f>
              <c:numCache>
                <c:formatCode>General</c:formatCode>
                <c:ptCount val="711"/>
                <c:pt idx="0">
                  <c:v>6.9857636528958267E-4</c:v>
                </c:pt>
                <c:pt idx="1">
                  <c:v>7.4227815471483716E-4</c:v>
                </c:pt>
                <c:pt idx="2">
                  <c:v>3.1961010176662086E-4</c:v>
                </c:pt>
                <c:pt idx="3">
                  <c:v>4.591949217218616E-4</c:v>
                </c:pt>
                <c:pt idx="4">
                  <c:v>2.0742043339150307E-4</c:v>
                </c:pt>
                <c:pt idx="5">
                  <c:v>1.3612781273197871E-3</c:v>
                </c:pt>
                <c:pt idx="6">
                  <c:v>3.8046647420486579E-3</c:v>
                </c:pt>
                <c:pt idx="7">
                  <c:v>3.5300609607349376E-3</c:v>
                </c:pt>
                <c:pt idx="8">
                  <c:v>4.2149397502346808E-3</c:v>
                </c:pt>
                <c:pt idx="9">
                  <c:v>4.7367521612819985E-3</c:v>
                </c:pt>
                <c:pt idx="10">
                  <c:v>4.6963116994258591E-3</c:v>
                </c:pt>
                <c:pt idx="11">
                  <c:v>5.4483738368478196E-3</c:v>
                </c:pt>
                <c:pt idx="12">
                  <c:v>5.4111947025605733E-3</c:v>
                </c:pt>
                <c:pt idx="13">
                  <c:v>5.8801736069893362E-3</c:v>
                </c:pt>
                <c:pt idx="14">
                  <c:v>5.961706796215438E-3</c:v>
                </c:pt>
                <c:pt idx="15">
                  <c:v>5.0361420321205497E-3</c:v>
                </c:pt>
                <c:pt idx="16">
                  <c:v>5.2155150484181068E-3</c:v>
                </c:pt>
                <c:pt idx="17">
                  <c:v>3.3787353615315485E-3</c:v>
                </c:pt>
                <c:pt idx="18">
                  <c:v>4.7661041094033685E-3</c:v>
                </c:pt>
                <c:pt idx="19">
                  <c:v>5.4855529711348439E-3</c:v>
                </c:pt>
                <c:pt idx="20">
                  <c:v>4.9265614258002799E-3</c:v>
                </c:pt>
                <c:pt idx="21">
                  <c:v>4.3453928529963992E-3</c:v>
                </c:pt>
                <c:pt idx="22">
                  <c:v>5.5553453811123532E-3</c:v>
                </c:pt>
                <c:pt idx="23">
                  <c:v>6.3641546182355846E-3</c:v>
                </c:pt>
                <c:pt idx="24">
                  <c:v>7.8304474932784363E-3</c:v>
                </c:pt>
                <c:pt idx="25">
                  <c:v>8.8623315361244792E-3</c:v>
                </c:pt>
                <c:pt idx="26">
                  <c:v>8.2746403081823683E-3</c:v>
                </c:pt>
                <c:pt idx="27">
                  <c:v>8.1820186052214972E-3</c:v>
                </c:pt>
                <c:pt idx="28">
                  <c:v>9.2908699786968807E-3</c:v>
                </c:pt>
                <c:pt idx="29">
                  <c:v>1.0033800398925541E-2</c:v>
                </c:pt>
                <c:pt idx="30">
                  <c:v>1.0541915234182797E-2</c:v>
                </c:pt>
                <c:pt idx="31">
                  <c:v>1.1056552724578061E-2</c:v>
                </c:pt>
                <c:pt idx="32">
                  <c:v>1.1019373590291037E-2</c:v>
                </c:pt>
                <c:pt idx="33">
                  <c:v>1.0626709750978014E-2</c:v>
                </c:pt>
                <c:pt idx="34">
                  <c:v>1.1437475784642936E-2</c:v>
                </c:pt>
                <c:pt idx="35">
                  <c:v>1.1024591714401621E-2</c:v>
                </c:pt>
                <c:pt idx="36">
                  <c:v>1.1089166000268769E-2</c:v>
                </c:pt>
                <c:pt idx="37">
                  <c:v>6.5480934931296808E-3</c:v>
                </c:pt>
                <c:pt idx="38">
                  <c:v>1.5308671609099989E-3</c:v>
                </c:pt>
                <c:pt idx="39">
                  <c:v>-1.888308662477356E-3</c:v>
                </c:pt>
                <c:pt idx="40">
                  <c:v>3.4570072231887572E-4</c:v>
                </c:pt>
                <c:pt idx="41">
                  <c:v>3.2978544378188257E-3</c:v>
                </c:pt>
                <c:pt idx="42">
                  <c:v>4.426926042222501E-3</c:v>
                </c:pt>
                <c:pt idx="43">
                  <c:v>5.3029186272679496E-4</c:v>
                </c:pt>
                <c:pt idx="44">
                  <c:v>-5.2879165204504641E-3</c:v>
                </c:pt>
                <c:pt idx="45">
                  <c:v>-2.482261639351957E-2</c:v>
                </c:pt>
                <c:pt idx="46">
                  <c:v>-2.4286454141168479E-2</c:v>
                </c:pt>
                <c:pt idx="47">
                  <c:v>-3.3679729805533465E-2</c:v>
                </c:pt>
                <c:pt idx="48">
                  <c:v>-5.7653096500073775E-2</c:v>
                </c:pt>
                <c:pt idx="49">
                  <c:v>-5.6017866856954424E-2</c:v>
                </c:pt>
                <c:pt idx="50">
                  <c:v>-7.1762904094792468E-2</c:v>
                </c:pt>
                <c:pt idx="51">
                  <c:v>-8.0593926886253997E-2</c:v>
                </c:pt>
                <c:pt idx="52">
                  <c:v>-0.10990739134234939</c:v>
                </c:pt>
                <c:pt idx="53">
                  <c:v>-0.13110210694806268</c:v>
                </c:pt>
                <c:pt idx="54">
                  <c:v>-0.13464260415701856</c:v>
                </c:pt>
                <c:pt idx="55">
                  <c:v>-0.14343579554867913</c:v>
                </c:pt>
                <c:pt idx="56">
                  <c:v>-0.13181633768568368</c:v>
                </c:pt>
                <c:pt idx="57">
                  <c:v>-0.11820812227108424</c:v>
                </c:pt>
                <c:pt idx="58">
                  <c:v>-0.10149316621421178</c:v>
                </c:pt>
                <c:pt idx="59">
                  <c:v>-9.5666478379355047E-2</c:v>
                </c:pt>
                <c:pt idx="60">
                  <c:v>-9.1888556523372578E-2</c:v>
                </c:pt>
                <c:pt idx="61">
                  <c:v>-8.6754574664181128E-2</c:v>
                </c:pt>
                <c:pt idx="62">
                  <c:v>-9.3450732428945416E-2</c:v>
                </c:pt>
                <c:pt idx="63">
                  <c:v>-9.2739763018893417E-2</c:v>
                </c:pt>
                <c:pt idx="64">
                  <c:v>-9.7124944068232133E-2</c:v>
                </c:pt>
                <c:pt idx="65">
                  <c:v>-9.2917179238649616E-2</c:v>
                </c:pt>
                <c:pt idx="66">
                  <c:v>-8.4007232320017167E-2</c:v>
                </c:pt>
                <c:pt idx="67">
                  <c:v>-8.0401508559680424E-2</c:v>
                </c:pt>
                <c:pt idx="68">
                  <c:v>-6.3783740064365713E-2</c:v>
                </c:pt>
                <c:pt idx="69">
                  <c:v>-6.337998771131792E-2</c:v>
                </c:pt>
                <c:pt idx="70">
                  <c:v>-5.871955061515155E-2</c:v>
                </c:pt>
                <c:pt idx="71">
                  <c:v>-6.3560665258642901E-2</c:v>
                </c:pt>
                <c:pt idx="72">
                  <c:v>-6.3192787508854598E-2</c:v>
                </c:pt>
                <c:pt idx="73">
                  <c:v>-6.0495017343740076E-2</c:v>
                </c:pt>
                <c:pt idx="74">
                  <c:v>-6.2595312298205474E-2</c:v>
                </c:pt>
                <c:pt idx="75">
                  <c:v>-6.4250762172253006E-2</c:v>
                </c:pt>
                <c:pt idx="76">
                  <c:v>-6.2808603121220941E-2</c:v>
                </c:pt>
                <c:pt idx="77">
                  <c:v>-6.4094870714452634E-2</c:v>
                </c:pt>
                <c:pt idx="78">
                  <c:v>-6.4207060382827752E-2</c:v>
                </c:pt>
                <c:pt idx="79">
                  <c:v>-6.1393839221769109E-2</c:v>
                </c:pt>
                <c:pt idx="80">
                  <c:v>-5.7349793036152619E-2</c:v>
                </c:pt>
                <c:pt idx="81">
                  <c:v>-5.7118891044264264E-2</c:v>
                </c:pt>
                <c:pt idx="82">
                  <c:v>-6.0931382972478576E-2</c:v>
                </c:pt>
                <c:pt idx="83">
                  <c:v>-5.8604751884721362E-2</c:v>
                </c:pt>
                <c:pt idx="84">
                  <c:v>-6.0083437804526629E-2</c:v>
                </c:pt>
                <c:pt idx="85">
                  <c:v>-5.7371970063622268E-2</c:v>
                </c:pt>
                <c:pt idx="86">
                  <c:v>-5.5558671935232895E-2</c:v>
                </c:pt>
                <c:pt idx="87">
                  <c:v>-5.6879509600696321E-2</c:v>
                </c:pt>
                <c:pt idx="88">
                  <c:v>-5.5320595022692709E-2</c:v>
                </c:pt>
                <c:pt idx="89">
                  <c:v>-5.7416976384075169E-2</c:v>
                </c:pt>
                <c:pt idx="90">
                  <c:v>-5.8598881495097177E-2</c:v>
                </c:pt>
                <c:pt idx="91">
                  <c:v>-5.7911393643542364E-2</c:v>
                </c:pt>
                <c:pt idx="92">
                  <c:v>-5.1954252705923909E-2</c:v>
                </c:pt>
                <c:pt idx="93">
                  <c:v>-4.9878743840983342E-2</c:v>
                </c:pt>
                <c:pt idx="94">
                  <c:v>-4.5753164466140639E-2</c:v>
                </c:pt>
                <c:pt idx="95">
                  <c:v>-4.3020824228794163E-2</c:v>
                </c:pt>
                <c:pt idx="96">
                  <c:v>-4.3442840016228668E-2</c:v>
                </c:pt>
                <c:pt idx="97">
                  <c:v>-4.3480671416029626E-2</c:v>
                </c:pt>
                <c:pt idx="98">
                  <c:v>-3.8075999368607283E-2</c:v>
                </c:pt>
                <c:pt idx="99">
                  <c:v>-3.5574561123149273E-2</c:v>
                </c:pt>
                <c:pt idx="100">
                  <c:v>-3.359950114733512E-2</c:v>
                </c:pt>
                <c:pt idx="101">
                  <c:v>-3.2075156641563241E-2</c:v>
                </c:pt>
                <c:pt idx="102">
                  <c:v>-2.9770702581275788E-2</c:v>
                </c:pt>
                <c:pt idx="103">
                  <c:v>-2.5673822889040743E-2</c:v>
                </c:pt>
                <c:pt idx="104">
                  <c:v>-2.1196020136741267E-2</c:v>
                </c:pt>
                <c:pt idx="105">
                  <c:v>-1.9836046540449126E-2</c:v>
                </c:pt>
                <c:pt idx="106">
                  <c:v>-1.321685610631429E-2</c:v>
                </c:pt>
                <c:pt idx="107">
                  <c:v>-1.1167437861926199E-2</c:v>
                </c:pt>
                <c:pt idx="108">
                  <c:v>-1.2578288168295315E-2</c:v>
                </c:pt>
                <c:pt idx="109">
                  <c:v>-1.2790274460283246E-2</c:v>
                </c:pt>
                <c:pt idx="110">
                  <c:v>-1.830322258299788E-2</c:v>
                </c:pt>
                <c:pt idx="111">
                  <c:v>-1.8778724142564762E-2</c:v>
                </c:pt>
                <c:pt idx="112">
                  <c:v>-1.2239762366628382E-2</c:v>
                </c:pt>
                <c:pt idx="113">
                  <c:v>-1.325468750611547E-2</c:v>
                </c:pt>
                <c:pt idx="114">
                  <c:v>-1.3377965688225357E-2</c:v>
                </c:pt>
                <c:pt idx="115">
                  <c:v>-1.2189537922065119E-2</c:v>
                </c:pt>
                <c:pt idx="116">
                  <c:v>-1.2252155411390686E-2</c:v>
                </c:pt>
                <c:pt idx="117">
                  <c:v>-1.0635841468171647E-2</c:v>
                </c:pt>
                <c:pt idx="118">
                  <c:v>-1.3266428285363729E-2</c:v>
                </c:pt>
                <c:pt idx="119">
                  <c:v>-1.3099448313828588E-2</c:v>
                </c:pt>
                <c:pt idx="120">
                  <c:v>-1.4972102603974413E-2</c:v>
                </c:pt>
                <c:pt idx="121">
                  <c:v>-1.5968764309074679E-2</c:v>
                </c:pt>
                <c:pt idx="122">
                  <c:v>-1.462248828857271E-2</c:v>
                </c:pt>
                <c:pt idx="123">
                  <c:v>-1.2628512612858245E-2</c:v>
                </c:pt>
                <c:pt idx="124">
                  <c:v>-1.07493356675743E-2</c:v>
                </c:pt>
                <c:pt idx="125">
                  <c:v>-1.0788471598402793E-2</c:v>
                </c:pt>
                <c:pt idx="126">
                  <c:v>-8.5420691688442574E-3</c:v>
                </c:pt>
                <c:pt idx="127">
                  <c:v>-9.3456602818570156E-3</c:v>
                </c:pt>
                <c:pt idx="128">
                  <c:v>-1.0098374684792799E-2</c:v>
                </c:pt>
                <c:pt idx="129">
                  <c:v>-9.5569943083311237E-3</c:v>
                </c:pt>
                <c:pt idx="130">
                  <c:v>-9.2869563856142756E-3</c:v>
                </c:pt>
                <c:pt idx="131">
                  <c:v>-7.3484232785735459E-3</c:v>
                </c:pt>
                <c:pt idx="132">
                  <c:v>-7.8480586621514359E-3</c:v>
                </c:pt>
                <c:pt idx="133">
                  <c:v>-5.6531852081838085E-3</c:v>
                </c:pt>
                <c:pt idx="134">
                  <c:v>-4.7250113820335171E-3</c:v>
                </c:pt>
                <c:pt idx="135">
                  <c:v>-3.6429028946241004E-3</c:v>
                </c:pt>
                <c:pt idx="136">
                  <c:v>-1.7298081426220246E-3</c:v>
                </c:pt>
                <c:pt idx="137">
                  <c:v>6.7118121370923767E-4</c:v>
                </c:pt>
                <c:pt idx="138">
                  <c:v>2.4564319250048872E-3</c:v>
                </c:pt>
                <c:pt idx="139">
                  <c:v>3.0519503391126523E-3</c:v>
                </c:pt>
                <c:pt idx="140">
                  <c:v>2.0155004376698482E-3</c:v>
                </c:pt>
                <c:pt idx="141">
                  <c:v>2.5751442485180132E-3</c:v>
                </c:pt>
                <c:pt idx="142">
                  <c:v>2.8151779575997793E-3</c:v>
                </c:pt>
                <c:pt idx="143">
                  <c:v>4.5149818865863889E-3</c:v>
                </c:pt>
                <c:pt idx="144">
                  <c:v>4.0597005579474654E-3</c:v>
                </c:pt>
                <c:pt idx="145">
                  <c:v>4.1288407024111518E-3</c:v>
                </c:pt>
                <c:pt idx="146">
                  <c:v>4.550204224331944E-3</c:v>
                </c:pt>
                <c:pt idx="147">
                  <c:v>5.9891019477946728E-3</c:v>
                </c:pt>
                <c:pt idx="148">
                  <c:v>7.3823410852908999E-3</c:v>
                </c:pt>
                <c:pt idx="149">
                  <c:v>8.1272283020610292E-3</c:v>
                </c:pt>
                <c:pt idx="150">
                  <c:v>8.5981640030312612E-3</c:v>
                </c:pt>
                <c:pt idx="151">
                  <c:v>8.7840596744668265E-3</c:v>
                </c:pt>
                <c:pt idx="152">
                  <c:v>1.0474079620746313E-2</c:v>
                </c:pt>
                <c:pt idx="153">
                  <c:v>9.9581375993231802E-3</c:v>
                </c:pt>
                <c:pt idx="154">
                  <c:v>9.716147093699945E-3</c:v>
                </c:pt>
                <c:pt idx="155">
                  <c:v>9.3052198200003211E-3</c:v>
                </c:pt>
                <c:pt idx="156">
                  <c:v>9.1649827345312573E-3</c:v>
                </c:pt>
                <c:pt idx="157">
                  <c:v>9.4943768190050015E-3</c:v>
                </c:pt>
                <c:pt idx="158">
                  <c:v>1.0406896272823873E-2</c:v>
                </c:pt>
                <c:pt idx="159">
                  <c:v>9.9985780611793196E-3</c:v>
                </c:pt>
                <c:pt idx="160">
                  <c:v>1.0682804585165018E-2</c:v>
                </c:pt>
                <c:pt idx="161">
                  <c:v>1.168077082129293E-2</c:v>
                </c:pt>
                <c:pt idx="162">
                  <c:v>1.2434137489742536E-2</c:v>
                </c:pt>
                <c:pt idx="163">
                  <c:v>1.235847469014062E-2</c:v>
                </c:pt>
                <c:pt idx="164">
                  <c:v>1.2897898270060715E-2</c:v>
                </c:pt>
                <c:pt idx="165">
                  <c:v>1.5681767482998099E-2</c:v>
                </c:pt>
                <c:pt idx="166">
                  <c:v>1.6405782203326336E-2</c:v>
                </c:pt>
                <c:pt idx="167">
                  <c:v>1.8500206768167216E-2</c:v>
                </c:pt>
                <c:pt idx="168">
                  <c:v>1.9380112946295824E-2</c:v>
                </c:pt>
                <c:pt idx="169">
                  <c:v>1.8568694647117301E-2</c:v>
                </c:pt>
                <c:pt idx="170">
                  <c:v>1.7523765293995242E-2</c:v>
                </c:pt>
                <c:pt idx="171">
                  <c:v>1.5521962432115011E-2</c:v>
                </c:pt>
                <c:pt idx="172">
                  <c:v>1.6951076172870838E-2</c:v>
                </c:pt>
                <c:pt idx="173">
                  <c:v>1.8118631442589184E-2</c:v>
                </c:pt>
                <c:pt idx="174">
                  <c:v>1.7754015020369884E-2</c:v>
                </c:pt>
                <c:pt idx="175">
                  <c:v>1.8558910664410178E-2</c:v>
                </c:pt>
                <c:pt idx="176">
                  <c:v>1.9535352138582374E-2</c:v>
                </c:pt>
                <c:pt idx="177">
                  <c:v>2.0087821028778707E-2</c:v>
                </c:pt>
                <c:pt idx="178">
                  <c:v>1.9271836871003645E-2</c:v>
                </c:pt>
                <c:pt idx="179">
                  <c:v>1.8793726249381582E-2</c:v>
                </c:pt>
                <c:pt idx="180">
                  <c:v>1.3783022572299908E-2</c:v>
                </c:pt>
                <c:pt idx="181">
                  <c:v>1.3123582137838818E-2</c:v>
                </c:pt>
                <c:pt idx="182">
                  <c:v>1.1350072205791761E-2</c:v>
                </c:pt>
                <c:pt idx="183">
                  <c:v>8.9001629359248824E-3</c:v>
                </c:pt>
                <c:pt idx="184">
                  <c:v>8.5740301790202533E-3</c:v>
                </c:pt>
                <c:pt idx="185">
                  <c:v>1.0886311425473583E-2</c:v>
                </c:pt>
                <c:pt idx="186">
                  <c:v>1.1373553764288724E-2</c:v>
                </c:pt>
                <c:pt idx="187">
                  <c:v>1.3029655903850079E-2</c:v>
                </c:pt>
                <c:pt idx="188">
                  <c:v>1.4819472473742268E-2</c:v>
                </c:pt>
                <c:pt idx="189">
                  <c:v>1.4156118446198462E-2</c:v>
                </c:pt>
                <c:pt idx="190">
                  <c:v>1.6118133111736155E-2</c:v>
                </c:pt>
                <c:pt idx="191">
                  <c:v>1.6732567225744344E-2</c:v>
                </c:pt>
                <c:pt idx="192">
                  <c:v>1.7328737905365932E-2</c:v>
                </c:pt>
                <c:pt idx="193">
                  <c:v>1.899462402763441E-2</c:v>
                </c:pt>
                <c:pt idx="194">
                  <c:v>2.095990002074144E-2</c:v>
                </c:pt>
                <c:pt idx="195">
                  <c:v>2.1409310959755956E-2</c:v>
                </c:pt>
                <c:pt idx="196">
                  <c:v>2.018761765239141E-2</c:v>
                </c:pt>
                <c:pt idx="197">
                  <c:v>1.896527207951304E-2</c:v>
                </c:pt>
                <c:pt idx="198">
                  <c:v>2.0310895834501297E-2</c:v>
                </c:pt>
                <c:pt idx="199">
                  <c:v>2.0061078142712407E-2</c:v>
                </c:pt>
                <c:pt idx="200">
                  <c:v>2.0129566021662271E-2</c:v>
                </c:pt>
                <c:pt idx="201">
                  <c:v>2.150519399028572E-2</c:v>
                </c:pt>
                <c:pt idx="202">
                  <c:v>2.1112530150972697E-2</c:v>
                </c:pt>
                <c:pt idx="203">
                  <c:v>2.2499898898844739E-2</c:v>
                </c:pt>
                <c:pt idx="204">
                  <c:v>2.193503696388599E-2</c:v>
                </c:pt>
                <c:pt idx="205">
                  <c:v>2.2396840947662922E-2</c:v>
                </c:pt>
                <c:pt idx="206">
                  <c:v>1.8316267893273119E-2</c:v>
                </c:pt>
                <c:pt idx="207">
                  <c:v>1.7081529275632557E-2</c:v>
                </c:pt>
                <c:pt idx="208">
                  <c:v>1.7133710516737066E-2</c:v>
                </c:pt>
                <c:pt idx="209">
                  <c:v>2.0561365791803787E-2</c:v>
                </c:pt>
                <c:pt idx="210">
                  <c:v>2.5111570016136397E-2</c:v>
                </c:pt>
                <c:pt idx="211">
                  <c:v>2.9761570864081488E-2</c:v>
                </c:pt>
                <c:pt idx="212">
                  <c:v>2.9357818511033695E-2</c:v>
                </c:pt>
                <c:pt idx="213">
                  <c:v>3.5829596939047637E-2</c:v>
                </c:pt>
                <c:pt idx="214">
                  <c:v>3.6062455727477349E-2</c:v>
                </c:pt>
                <c:pt idx="215">
                  <c:v>3.6213781326681183E-2</c:v>
                </c:pt>
                <c:pt idx="216">
                  <c:v>3.5239296649050456E-2</c:v>
                </c:pt>
                <c:pt idx="217">
                  <c:v>3.570436196039628E-2</c:v>
                </c:pt>
                <c:pt idx="218">
                  <c:v>3.8439311259797826E-2</c:v>
                </c:pt>
                <c:pt idx="219">
                  <c:v>3.8690433482614361E-2</c:v>
                </c:pt>
                <c:pt idx="220">
                  <c:v>3.9999530368829195E-2</c:v>
                </c:pt>
                <c:pt idx="221">
                  <c:v>4.0480902318020373E-2</c:v>
                </c:pt>
                <c:pt idx="222">
                  <c:v>4.1176869621254664E-2</c:v>
                </c:pt>
                <c:pt idx="223">
                  <c:v>4.2255716781094854E-2</c:v>
                </c:pt>
                <c:pt idx="224">
                  <c:v>4.4523643972609328E-2</c:v>
                </c:pt>
                <c:pt idx="225">
                  <c:v>4.5097637624761377E-2</c:v>
                </c:pt>
                <c:pt idx="226">
                  <c:v>4.5057197162905238E-2</c:v>
                </c:pt>
                <c:pt idx="227">
                  <c:v>4.6458915752080943E-2</c:v>
                </c:pt>
                <c:pt idx="228">
                  <c:v>4.682092311224495E-2</c:v>
                </c:pt>
                <c:pt idx="229">
                  <c:v>4.891012955297569E-2</c:v>
                </c:pt>
                <c:pt idx="230">
                  <c:v>5.0231619483952938E-2</c:v>
                </c:pt>
                <c:pt idx="231">
                  <c:v>5.2116014553347689E-2</c:v>
                </c:pt>
                <c:pt idx="232">
                  <c:v>5.3578393835307825E-2</c:v>
                </c:pt>
                <c:pt idx="233">
                  <c:v>5.3890829016422614E-2</c:v>
                </c:pt>
                <c:pt idx="234">
                  <c:v>5.431284480385723E-2</c:v>
                </c:pt>
                <c:pt idx="235">
                  <c:v>5.3448592998060152E-2</c:v>
                </c:pt>
                <c:pt idx="236">
                  <c:v>5.4189566621747343E-2</c:v>
                </c:pt>
                <c:pt idx="237">
                  <c:v>5.4183696232122935E-2</c:v>
                </c:pt>
                <c:pt idx="238">
                  <c:v>5.4774648787633939E-2</c:v>
                </c:pt>
                <c:pt idx="239">
                  <c:v>5.6085050204876419E-2</c:v>
                </c:pt>
                <c:pt idx="240">
                  <c:v>5.6994960596640221E-2</c:v>
                </c:pt>
                <c:pt idx="241">
                  <c:v>5.9954941498306047E-2</c:v>
                </c:pt>
                <c:pt idx="242">
                  <c:v>5.9648376706815665E-2</c:v>
                </c:pt>
                <c:pt idx="243">
                  <c:v>5.7156722444065E-2</c:v>
                </c:pt>
                <c:pt idx="244">
                  <c:v>5.7653748765587487E-2</c:v>
                </c:pt>
                <c:pt idx="245">
                  <c:v>5.8373197627318962E-2</c:v>
                </c:pt>
                <c:pt idx="246">
                  <c:v>5.9865581122914291E-2</c:v>
                </c:pt>
                <c:pt idx="247">
                  <c:v>5.9823836130030505E-2</c:v>
                </c:pt>
                <c:pt idx="248">
                  <c:v>6.1980878184197286E-2</c:v>
                </c:pt>
                <c:pt idx="249">
                  <c:v>6.2426375530129086E-2</c:v>
                </c:pt>
                <c:pt idx="250">
                  <c:v>6.3948110973845784E-2</c:v>
                </c:pt>
                <c:pt idx="251">
                  <c:v>6.3232575705197247E-2</c:v>
                </c:pt>
                <c:pt idx="252">
                  <c:v>6.2126985659290757E-2</c:v>
                </c:pt>
                <c:pt idx="253">
                  <c:v>6.2587485112040042E-2</c:v>
                </c:pt>
                <c:pt idx="254">
                  <c:v>6.2894702169044026E-2</c:v>
                </c:pt>
                <c:pt idx="255">
                  <c:v>6.2866002486436479E-2</c:v>
                </c:pt>
                <c:pt idx="256">
                  <c:v>6.0562200691662627E-2</c:v>
                </c:pt>
                <c:pt idx="257">
                  <c:v>6.1223597922665185E-2</c:v>
                </c:pt>
                <c:pt idx="258">
                  <c:v>6.3078641043938344E-2</c:v>
                </c:pt>
                <c:pt idx="259">
                  <c:v>6.4089000324828671E-2</c:v>
                </c:pt>
                <c:pt idx="260">
                  <c:v>6.43701267612804E-2</c:v>
                </c:pt>
                <c:pt idx="261">
                  <c:v>6.4327729502882791E-2</c:v>
                </c:pt>
                <c:pt idx="262">
                  <c:v>6.5961002349460784E-2</c:v>
                </c:pt>
                <c:pt idx="263">
                  <c:v>6.7219874791112355E-2</c:v>
                </c:pt>
                <c:pt idx="264">
                  <c:v>6.8374384750554462E-2</c:v>
                </c:pt>
                <c:pt idx="265">
                  <c:v>6.6765245727987477E-2</c:v>
                </c:pt>
                <c:pt idx="266">
                  <c:v>6.6544127718806134E-2</c:v>
                </c:pt>
                <c:pt idx="267">
                  <c:v>6.6690887459412984E-2</c:v>
                </c:pt>
                <c:pt idx="268">
                  <c:v>6.5502459693252746E-2</c:v>
                </c:pt>
                <c:pt idx="269">
                  <c:v>6.6112327948664396E-2</c:v>
                </c:pt>
                <c:pt idx="270">
                  <c:v>6.7565575513431009E-2</c:v>
                </c:pt>
                <c:pt idx="271">
                  <c:v>6.7640586047519102E-2</c:v>
                </c:pt>
                <c:pt idx="272">
                  <c:v>6.8784659758740263E-2</c:v>
                </c:pt>
                <c:pt idx="273">
                  <c:v>7.0843861985835588E-2</c:v>
                </c:pt>
                <c:pt idx="274">
                  <c:v>7.1962497342018317E-2</c:v>
                </c:pt>
                <c:pt idx="275">
                  <c:v>7.3819497259832945E-2</c:v>
                </c:pt>
                <c:pt idx="276">
                  <c:v>7.5039886036169623E-2</c:v>
                </c:pt>
                <c:pt idx="277">
                  <c:v>7.5559741650675472E-2</c:v>
                </c:pt>
                <c:pt idx="278">
                  <c:v>7.6294844884738255E-2</c:v>
                </c:pt>
                <c:pt idx="279">
                  <c:v>7.6729905982449109E-2</c:v>
                </c:pt>
                <c:pt idx="280">
                  <c:v>7.5714980842962021E-2</c:v>
                </c:pt>
                <c:pt idx="281">
                  <c:v>7.2615415121341176E-2</c:v>
                </c:pt>
                <c:pt idx="282">
                  <c:v>7.2488875611662174E-2</c:v>
                </c:pt>
                <c:pt idx="283">
                  <c:v>7.211904106533229E-2</c:v>
                </c:pt>
                <c:pt idx="284">
                  <c:v>6.8942508013081882E-2</c:v>
                </c:pt>
                <c:pt idx="285">
                  <c:v>6.9592816730349671E-2</c:v>
                </c:pt>
                <c:pt idx="286">
                  <c:v>6.8832927406762057E-2</c:v>
                </c:pt>
                <c:pt idx="287">
                  <c:v>6.3270407104998094E-2</c:v>
                </c:pt>
                <c:pt idx="288">
                  <c:v>6.2780555704127439E-2</c:v>
                </c:pt>
                <c:pt idx="289">
                  <c:v>6.67574185418216E-2</c:v>
                </c:pt>
                <c:pt idx="290">
                  <c:v>6.6648490201015598E-2</c:v>
                </c:pt>
                <c:pt idx="291">
                  <c:v>6.5563120386037177E-2</c:v>
                </c:pt>
                <c:pt idx="292">
                  <c:v>6.3550881275936E-2</c:v>
                </c:pt>
                <c:pt idx="293">
                  <c:v>6.0073653821819617E-2</c:v>
                </c:pt>
                <c:pt idx="294">
                  <c:v>5.7810292488901904E-2</c:v>
                </c:pt>
                <c:pt idx="295">
                  <c:v>5.9407690732220519E-2</c:v>
                </c:pt>
                <c:pt idx="296">
                  <c:v>6.140688453204568E-2</c:v>
                </c:pt>
                <c:pt idx="297">
                  <c:v>6.5456148841772643E-2</c:v>
                </c:pt>
                <c:pt idx="298">
                  <c:v>6.3177133136523622E-2</c:v>
                </c:pt>
                <c:pt idx="299">
                  <c:v>6.3162131029705915E-2</c:v>
                </c:pt>
                <c:pt idx="300">
                  <c:v>6.4416437612760724E-2</c:v>
                </c:pt>
                <c:pt idx="301">
                  <c:v>6.3014066758070975E-2</c:v>
                </c:pt>
                <c:pt idx="302">
                  <c:v>6.200435974269447E-2</c:v>
                </c:pt>
                <c:pt idx="303">
                  <c:v>6.3129517754015207E-2</c:v>
                </c:pt>
                <c:pt idx="304">
                  <c:v>6.2085892931920572E-2</c:v>
                </c:pt>
                <c:pt idx="305">
                  <c:v>6.1406232266531413E-2</c:v>
                </c:pt>
                <c:pt idx="306">
                  <c:v>6.0746791832070324E-2</c:v>
                </c:pt>
                <c:pt idx="307">
                  <c:v>6.1040963578798069E-2</c:v>
                </c:pt>
                <c:pt idx="308">
                  <c:v>6.179759157481679E-2</c:v>
                </c:pt>
                <c:pt idx="309">
                  <c:v>6.0387393533961387E-2</c:v>
                </c:pt>
                <c:pt idx="310">
                  <c:v>6.0241286058868138E-2</c:v>
                </c:pt>
                <c:pt idx="311">
                  <c:v>6.203892981492598E-2</c:v>
                </c:pt>
                <c:pt idx="312">
                  <c:v>6.4944120413431783E-2</c:v>
                </c:pt>
                <c:pt idx="313">
                  <c:v>6.4726263731819556E-2</c:v>
                </c:pt>
                <c:pt idx="314">
                  <c:v>6.6219951758442308E-2</c:v>
                </c:pt>
                <c:pt idx="315">
                  <c:v>6.6247346910022431E-2</c:v>
                </c:pt>
                <c:pt idx="316">
                  <c:v>6.736859132826023E-2</c:v>
                </c:pt>
                <c:pt idx="317">
                  <c:v>6.6840256262074904E-2</c:v>
                </c:pt>
                <c:pt idx="318">
                  <c:v>6.6851997041323497E-2</c:v>
                </c:pt>
                <c:pt idx="319">
                  <c:v>6.9004473236893515E-2</c:v>
                </c:pt>
                <c:pt idx="320">
                  <c:v>6.9825675518779162E-2</c:v>
                </c:pt>
                <c:pt idx="321">
                  <c:v>7.2038160141619789E-2</c:v>
                </c:pt>
                <c:pt idx="322">
                  <c:v>7.3226587907780027E-2</c:v>
                </c:pt>
                <c:pt idx="323">
                  <c:v>7.265520331768327E-2</c:v>
                </c:pt>
                <c:pt idx="324">
                  <c:v>7.1098897801734839E-2</c:v>
                </c:pt>
                <c:pt idx="325">
                  <c:v>7.2777829234279556E-2</c:v>
                </c:pt>
                <c:pt idx="326">
                  <c:v>7.3025037864013154E-2</c:v>
                </c:pt>
                <c:pt idx="327">
                  <c:v>7.3621208543634742E-2</c:v>
                </c:pt>
                <c:pt idx="328">
                  <c:v>7.2381251801883595E-2</c:v>
                </c:pt>
                <c:pt idx="329">
                  <c:v>7.3585333940375142E-2</c:v>
                </c:pt>
                <c:pt idx="330">
                  <c:v>7.4833770133805544E-2</c:v>
                </c:pt>
                <c:pt idx="331">
                  <c:v>7.3713177981081346E-2</c:v>
                </c:pt>
                <c:pt idx="332">
                  <c:v>7.4930305429849131E-2</c:v>
                </c:pt>
                <c:pt idx="333">
                  <c:v>7.3469230678916642E-2</c:v>
                </c:pt>
                <c:pt idx="334">
                  <c:v>7.4520030421663108E-2</c:v>
                </c:pt>
                <c:pt idx="335">
                  <c:v>7.5411025113526264E-2</c:v>
                </c:pt>
                <c:pt idx="336">
                  <c:v>7.8493631931788155E-2</c:v>
                </c:pt>
                <c:pt idx="337">
                  <c:v>7.8975656146492934E-2</c:v>
                </c:pt>
                <c:pt idx="338">
                  <c:v>7.7397173603074965E-2</c:v>
                </c:pt>
                <c:pt idx="339">
                  <c:v>7.4448933480657731E-2</c:v>
                </c:pt>
                <c:pt idx="340">
                  <c:v>7.4362182167321045E-2</c:v>
                </c:pt>
                <c:pt idx="341">
                  <c:v>7.6811439171674323E-2</c:v>
                </c:pt>
                <c:pt idx="342">
                  <c:v>7.6794480268315146E-2</c:v>
                </c:pt>
                <c:pt idx="343">
                  <c:v>7.7306508696655341E-2</c:v>
                </c:pt>
                <c:pt idx="344">
                  <c:v>7.5276006152167563E-2</c:v>
                </c:pt>
                <c:pt idx="345">
                  <c:v>7.5857826990485266E-2</c:v>
                </c:pt>
                <c:pt idx="346">
                  <c:v>7.7134310601009615E-2</c:v>
                </c:pt>
                <c:pt idx="347">
                  <c:v>7.8550379031489204E-2</c:v>
                </c:pt>
                <c:pt idx="348">
                  <c:v>7.9939704575902493E-2</c:v>
                </c:pt>
                <c:pt idx="349">
                  <c:v>7.9278959610413979E-2</c:v>
                </c:pt>
                <c:pt idx="350">
                  <c:v>8.0182347347039551E-2</c:v>
                </c:pt>
                <c:pt idx="351">
                  <c:v>8.0779170292174962E-2</c:v>
                </c:pt>
                <c:pt idx="352">
                  <c:v>8.0739382095832646E-2</c:v>
                </c:pt>
                <c:pt idx="353">
                  <c:v>8.2123489516135573E-2</c:v>
                </c:pt>
                <c:pt idx="354">
                  <c:v>8.2779668623027547E-2</c:v>
                </c:pt>
                <c:pt idx="355">
                  <c:v>8.3975923575353439E-2</c:v>
                </c:pt>
                <c:pt idx="356">
                  <c:v>8.438619858353924E-2</c:v>
                </c:pt>
                <c:pt idx="357">
                  <c:v>8.517217852767911E-2</c:v>
                </c:pt>
                <c:pt idx="358">
                  <c:v>8.6028603147310756E-2</c:v>
                </c:pt>
                <c:pt idx="359">
                  <c:v>8.7232685285802303E-2</c:v>
                </c:pt>
                <c:pt idx="360">
                  <c:v>8.7560774839248401E-2</c:v>
                </c:pt>
                <c:pt idx="361">
                  <c:v>8.698221532849959E-2</c:v>
                </c:pt>
                <c:pt idx="362">
                  <c:v>8.6365172152436109E-2</c:v>
                </c:pt>
                <c:pt idx="363">
                  <c:v>8.4828434601901703E-2</c:v>
                </c:pt>
                <c:pt idx="364">
                  <c:v>8.39178719446243E-2</c:v>
                </c:pt>
                <c:pt idx="365">
                  <c:v>8.181953378670026E-2</c:v>
                </c:pt>
                <c:pt idx="366">
                  <c:v>8.1878889948456823E-2</c:v>
                </c:pt>
                <c:pt idx="367">
                  <c:v>8.2690308247635569E-2</c:v>
                </c:pt>
                <c:pt idx="368">
                  <c:v>8.4313797111506661E-2</c:v>
                </c:pt>
                <c:pt idx="369">
                  <c:v>8.4832348194984863E-2</c:v>
                </c:pt>
                <c:pt idx="370">
                  <c:v>8.607230493673601E-2</c:v>
                </c:pt>
                <c:pt idx="371">
                  <c:v>8.6309077318248884E-2</c:v>
                </c:pt>
                <c:pt idx="372">
                  <c:v>8.6348213249077599E-2</c:v>
                </c:pt>
                <c:pt idx="373">
                  <c:v>8.6372347073088385E-2</c:v>
                </c:pt>
                <c:pt idx="374">
                  <c:v>8.6054693767863233E-2</c:v>
                </c:pt>
                <c:pt idx="375">
                  <c:v>8.7754497696849842E-2</c:v>
                </c:pt>
                <c:pt idx="376">
                  <c:v>8.771340496947988E-2</c:v>
                </c:pt>
                <c:pt idx="377">
                  <c:v>8.6267984590878921E-2</c:v>
                </c:pt>
                <c:pt idx="378">
                  <c:v>8.5527663232705553E-2</c:v>
                </c:pt>
                <c:pt idx="379">
                  <c:v>8.4757989926410815E-2</c:v>
                </c:pt>
                <c:pt idx="380">
                  <c:v>8.6588246958159143E-2</c:v>
                </c:pt>
                <c:pt idx="381">
                  <c:v>8.7630567249226132E-2</c:v>
                </c:pt>
                <c:pt idx="382">
                  <c:v>8.6741529353904223E-2</c:v>
                </c:pt>
                <c:pt idx="383">
                  <c:v>8.8199995042781421E-2</c:v>
                </c:pt>
                <c:pt idx="384">
                  <c:v>8.8177818015311882E-2</c:v>
                </c:pt>
                <c:pt idx="385">
                  <c:v>8.8147161536162866E-2</c:v>
                </c:pt>
                <c:pt idx="386">
                  <c:v>8.5059336593790613E-2</c:v>
                </c:pt>
                <c:pt idx="387">
                  <c:v>8.6339081531884077E-2</c:v>
                </c:pt>
                <c:pt idx="388">
                  <c:v>8.862722895432662E-2</c:v>
                </c:pt>
                <c:pt idx="389">
                  <c:v>8.9012717872987812E-2</c:v>
                </c:pt>
                <c:pt idx="390">
                  <c:v>9.0298333200705461E-2</c:v>
                </c:pt>
                <c:pt idx="391">
                  <c:v>9.1221288902745279E-2</c:v>
                </c:pt>
                <c:pt idx="392">
                  <c:v>9.0137223618794504E-2</c:v>
                </c:pt>
                <c:pt idx="393">
                  <c:v>9.1217375309662563E-2</c:v>
                </c:pt>
                <c:pt idx="394">
                  <c:v>9.3124599672040453E-2</c:v>
                </c:pt>
                <c:pt idx="395">
                  <c:v>9.2390148703491493E-2</c:v>
                </c:pt>
                <c:pt idx="396">
                  <c:v>9.3135688185775223E-2</c:v>
                </c:pt>
                <c:pt idx="397">
                  <c:v>9.3227005357708448E-2</c:v>
                </c:pt>
                <c:pt idx="398">
                  <c:v>9.3151342558106531E-2</c:v>
                </c:pt>
                <c:pt idx="399">
                  <c:v>9.3442252977265383E-2</c:v>
                </c:pt>
                <c:pt idx="400">
                  <c:v>9.1371309970921244E-2</c:v>
                </c:pt>
                <c:pt idx="401">
                  <c:v>8.9672810572962502E-2</c:v>
                </c:pt>
                <c:pt idx="402">
                  <c:v>8.9969591381745539E-2</c:v>
                </c:pt>
                <c:pt idx="403">
                  <c:v>9.1210852654524111E-2</c:v>
                </c:pt>
                <c:pt idx="404">
                  <c:v>9.204379571565835E-2</c:v>
                </c:pt>
                <c:pt idx="405">
                  <c:v>9.3181999037255325E-2</c:v>
                </c:pt>
                <c:pt idx="406">
                  <c:v>9.3263532226481427E-2</c:v>
                </c:pt>
                <c:pt idx="407">
                  <c:v>9.2054884229393341E-2</c:v>
                </c:pt>
                <c:pt idx="408">
                  <c:v>9.2259043335215729E-2</c:v>
                </c:pt>
                <c:pt idx="409">
                  <c:v>9.0239629304462721E-2</c:v>
                </c:pt>
                <c:pt idx="410">
                  <c:v>9.0239629304462721E-2</c:v>
                </c:pt>
                <c:pt idx="411">
                  <c:v>9.2157289915061558E-2</c:v>
                </c:pt>
                <c:pt idx="412">
                  <c:v>9.4078864118743111E-2</c:v>
                </c:pt>
                <c:pt idx="413">
                  <c:v>9.4526318261216158E-2</c:v>
                </c:pt>
                <c:pt idx="414">
                  <c:v>9.3737729255020996E-2</c:v>
                </c:pt>
                <c:pt idx="415">
                  <c:v>9.7096244385624031E-2</c:v>
                </c:pt>
                <c:pt idx="416">
                  <c:v>9.8554057808987405E-2</c:v>
                </c:pt>
                <c:pt idx="417">
                  <c:v>9.9197843871117186E-2</c:v>
                </c:pt>
                <c:pt idx="418">
                  <c:v>0.10031647922729969</c:v>
                </c:pt>
                <c:pt idx="419">
                  <c:v>0.10154208612774696</c:v>
                </c:pt>
                <c:pt idx="420">
                  <c:v>0.10233263193048359</c:v>
                </c:pt>
                <c:pt idx="421">
                  <c:v>0.10229219146862745</c:v>
                </c:pt>
                <c:pt idx="422">
                  <c:v>0.10162427158248688</c:v>
                </c:pt>
                <c:pt idx="423">
                  <c:v>0.10288053496208316</c:v>
                </c:pt>
                <c:pt idx="424">
                  <c:v>0.10346887845553887</c:v>
                </c:pt>
                <c:pt idx="425">
                  <c:v>0.10421702699987789</c:v>
                </c:pt>
                <c:pt idx="426">
                  <c:v>0.10430703964078347</c:v>
                </c:pt>
                <c:pt idx="427">
                  <c:v>0.10460577724610798</c:v>
                </c:pt>
                <c:pt idx="428">
                  <c:v>0.10490647164797373</c:v>
                </c:pt>
                <c:pt idx="429">
                  <c:v>0.10435465502329144</c:v>
                </c:pt>
                <c:pt idx="430">
                  <c:v>0.10142598286628846</c:v>
                </c:pt>
                <c:pt idx="431">
                  <c:v>0.10288836214824837</c:v>
                </c:pt>
                <c:pt idx="432">
                  <c:v>0.10392742111174624</c:v>
                </c:pt>
                <c:pt idx="433">
                  <c:v>0.10392872564277389</c:v>
                </c:pt>
                <c:pt idx="434">
                  <c:v>0.10365477412697399</c:v>
                </c:pt>
                <c:pt idx="435">
                  <c:v>0.1024037288714883</c:v>
                </c:pt>
                <c:pt idx="436">
                  <c:v>0.10061913042570647</c:v>
                </c:pt>
                <c:pt idx="437">
                  <c:v>0.1016477531409834</c:v>
                </c:pt>
                <c:pt idx="438">
                  <c:v>0.10254527048798479</c:v>
                </c:pt>
                <c:pt idx="439">
                  <c:v>0.10291901862739739</c:v>
                </c:pt>
                <c:pt idx="440">
                  <c:v>0.10248526206071418</c:v>
                </c:pt>
                <c:pt idx="441">
                  <c:v>0.103288200908213</c:v>
                </c:pt>
                <c:pt idx="442">
                  <c:v>0.10177298811963453</c:v>
                </c:pt>
                <c:pt idx="443">
                  <c:v>0.10452750538445033</c:v>
                </c:pt>
                <c:pt idx="444">
                  <c:v>0.10340234737312959</c:v>
                </c:pt>
                <c:pt idx="445">
                  <c:v>0.10263789219094543</c:v>
                </c:pt>
                <c:pt idx="446">
                  <c:v>0.10227262350321231</c:v>
                </c:pt>
                <c:pt idx="447">
                  <c:v>0.10518107542928723</c:v>
                </c:pt>
                <c:pt idx="448">
                  <c:v>0.1059664031079135</c:v>
                </c:pt>
                <c:pt idx="449">
                  <c:v>0.10464491317693647</c:v>
                </c:pt>
                <c:pt idx="450">
                  <c:v>0.10572376033677688</c:v>
                </c:pt>
                <c:pt idx="451">
                  <c:v>0.10623578876511708</c:v>
                </c:pt>
                <c:pt idx="452">
                  <c:v>0.10635319655760278</c:v>
                </c:pt>
                <c:pt idx="453">
                  <c:v>0.10451054648109226</c:v>
                </c:pt>
                <c:pt idx="454">
                  <c:v>0.10629775398892916</c:v>
                </c:pt>
                <c:pt idx="455">
                  <c:v>0.10735116279373069</c:v>
                </c:pt>
                <c:pt idx="456">
                  <c:v>0.10653648316698305</c:v>
                </c:pt>
                <c:pt idx="457">
                  <c:v>0.1050519268575536</c:v>
                </c:pt>
                <c:pt idx="458">
                  <c:v>0.10278334740052553</c:v>
                </c:pt>
                <c:pt idx="459">
                  <c:v>0.10323210607402622</c:v>
                </c:pt>
                <c:pt idx="460">
                  <c:v>0.10461360443227385</c:v>
                </c:pt>
                <c:pt idx="461">
                  <c:v>0.10718418282219555</c:v>
                </c:pt>
                <c:pt idx="462">
                  <c:v>0.10930926386618567</c:v>
                </c:pt>
                <c:pt idx="463">
                  <c:v>0.11003849671062449</c:v>
                </c:pt>
                <c:pt idx="464">
                  <c:v>0.11135411625197755</c:v>
                </c:pt>
                <c:pt idx="465">
                  <c:v>0.110125900289475</c:v>
                </c:pt>
                <c:pt idx="466">
                  <c:v>0.11038484969845719</c:v>
                </c:pt>
                <c:pt idx="467">
                  <c:v>0.10973193191913433</c:v>
                </c:pt>
                <c:pt idx="468">
                  <c:v>0.10841239878469855</c:v>
                </c:pt>
                <c:pt idx="469">
                  <c:v>0.10837521965041153</c:v>
                </c:pt>
                <c:pt idx="470">
                  <c:v>0.10868569803498462</c:v>
                </c:pt>
                <c:pt idx="471">
                  <c:v>0.1081006158690978</c:v>
                </c:pt>
                <c:pt idx="472">
                  <c:v>0.10541458648323188</c:v>
                </c:pt>
                <c:pt idx="473">
                  <c:v>0.10283357184508923</c:v>
                </c:pt>
                <c:pt idx="474">
                  <c:v>0.10223022624481581</c:v>
                </c:pt>
                <c:pt idx="475">
                  <c:v>0.10219304711052879</c:v>
                </c:pt>
                <c:pt idx="476">
                  <c:v>9.7598488831257324E-2</c:v>
                </c:pt>
                <c:pt idx="477">
                  <c:v>9.998643287731257E-2</c:v>
                </c:pt>
                <c:pt idx="478">
                  <c:v>9.9093481388907945E-2</c:v>
                </c:pt>
                <c:pt idx="479">
                  <c:v>9.9770532992241812E-2</c:v>
                </c:pt>
                <c:pt idx="480">
                  <c:v>0.10011427691801922</c:v>
                </c:pt>
                <c:pt idx="481">
                  <c:v>0.1011141999506886</c:v>
                </c:pt>
                <c:pt idx="482">
                  <c:v>0.10200780370460727</c:v>
                </c:pt>
                <c:pt idx="483">
                  <c:v>0.10480471822782067</c:v>
                </c:pt>
                <c:pt idx="484">
                  <c:v>0.10651169707745889</c:v>
                </c:pt>
                <c:pt idx="485">
                  <c:v>0.10520781831535464</c:v>
                </c:pt>
                <c:pt idx="486">
                  <c:v>0.10574528509873327</c:v>
                </c:pt>
                <c:pt idx="487">
                  <c:v>0.10625861805810088</c:v>
                </c:pt>
                <c:pt idx="488">
                  <c:v>0.10562070238559551</c:v>
                </c:pt>
                <c:pt idx="489">
                  <c:v>0.10645364544672975</c:v>
                </c:pt>
                <c:pt idx="490">
                  <c:v>0.10781361904302189</c:v>
                </c:pt>
                <c:pt idx="491">
                  <c:v>0.10794863800438015</c:v>
                </c:pt>
                <c:pt idx="492">
                  <c:v>0.10777122178462406</c:v>
                </c:pt>
                <c:pt idx="493">
                  <c:v>0.11080034283075335</c:v>
                </c:pt>
                <c:pt idx="494">
                  <c:v>0.1123475166295087</c:v>
                </c:pt>
                <c:pt idx="495">
                  <c:v>0.11461870514859207</c:v>
                </c:pt>
                <c:pt idx="496">
                  <c:v>0.11458283054533269</c:v>
                </c:pt>
                <c:pt idx="497">
                  <c:v>0.11627545955366725</c:v>
                </c:pt>
                <c:pt idx="498">
                  <c:v>0.11736930882032537</c:v>
                </c:pt>
                <c:pt idx="499">
                  <c:v>0.11823421289163627</c:v>
                </c:pt>
                <c:pt idx="500">
                  <c:v>0.11708100746322181</c:v>
                </c:pt>
                <c:pt idx="501">
                  <c:v>0.11837901583570187</c:v>
                </c:pt>
                <c:pt idx="502">
                  <c:v>0.11776001586309692</c:v>
                </c:pt>
                <c:pt idx="503">
                  <c:v>0.11774305695973797</c:v>
                </c:pt>
                <c:pt idx="504">
                  <c:v>0.1167196523685714</c:v>
                </c:pt>
                <c:pt idx="505">
                  <c:v>0.11500354180173966</c:v>
                </c:pt>
                <c:pt idx="506">
                  <c:v>0.11506550702555152</c:v>
                </c:pt>
                <c:pt idx="507">
                  <c:v>0.11386794754219798</c:v>
                </c:pt>
                <c:pt idx="508">
                  <c:v>0.11672943635127853</c:v>
                </c:pt>
                <c:pt idx="509">
                  <c:v>0.1167653109545379</c:v>
                </c:pt>
                <c:pt idx="510">
                  <c:v>0.11658528567272675</c:v>
                </c:pt>
                <c:pt idx="511">
                  <c:v>0.11569494324637719</c:v>
                </c:pt>
                <c:pt idx="512">
                  <c:v>0.1156558073155487</c:v>
                </c:pt>
                <c:pt idx="513">
                  <c:v>0.11179961359790935</c:v>
                </c:pt>
                <c:pt idx="514">
                  <c:v>0.11325220889716237</c:v>
                </c:pt>
                <c:pt idx="515">
                  <c:v>0.11332917622779193</c:v>
                </c:pt>
                <c:pt idx="516">
                  <c:v>0.11362726156760261</c:v>
                </c:pt>
                <c:pt idx="517">
                  <c:v>0.11132672110039787</c:v>
                </c:pt>
                <c:pt idx="518">
                  <c:v>0.11124649244219942</c:v>
                </c:pt>
                <c:pt idx="519">
                  <c:v>0.10964648513682573</c:v>
                </c:pt>
                <c:pt idx="520">
                  <c:v>0.10975280441557667</c:v>
                </c:pt>
                <c:pt idx="521">
                  <c:v>0.1109327527300572</c:v>
                </c:pt>
                <c:pt idx="522">
                  <c:v>0.11345375894092946</c:v>
                </c:pt>
                <c:pt idx="523">
                  <c:v>0.11534337213443457</c:v>
                </c:pt>
                <c:pt idx="524">
                  <c:v>0.11634981782224196</c:v>
                </c:pt>
                <c:pt idx="525">
                  <c:v>0.11459391905906791</c:v>
                </c:pt>
                <c:pt idx="526">
                  <c:v>0.10985586236675848</c:v>
                </c:pt>
                <c:pt idx="527">
                  <c:v>0.11023091503719873</c:v>
                </c:pt>
                <c:pt idx="528">
                  <c:v>0.11140694975859655</c:v>
                </c:pt>
                <c:pt idx="529">
                  <c:v>0.11368335640179028</c:v>
                </c:pt>
                <c:pt idx="530">
                  <c:v>0.10950755258238432</c:v>
                </c:pt>
                <c:pt idx="531">
                  <c:v>0.10924142825275029</c:v>
                </c:pt>
                <c:pt idx="532">
                  <c:v>0.10582747055347341</c:v>
                </c:pt>
                <c:pt idx="533">
                  <c:v>0.10819519436860037</c:v>
                </c:pt>
                <c:pt idx="534">
                  <c:v>0.11045464210843536</c:v>
                </c:pt>
                <c:pt idx="535">
                  <c:v>0.1104226810982587</c:v>
                </c:pt>
                <c:pt idx="536">
                  <c:v>0.11031831861604902</c:v>
                </c:pt>
                <c:pt idx="537">
                  <c:v>0.11028179174727581</c:v>
                </c:pt>
                <c:pt idx="538">
                  <c:v>0.10677260328298255</c:v>
                </c:pt>
                <c:pt idx="539">
                  <c:v>0.1024161219162516</c:v>
                </c:pt>
                <c:pt idx="540">
                  <c:v>9.6496812378433994E-2</c:v>
                </c:pt>
                <c:pt idx="541">
                  <c:v>0.10519933886367516</c:v>
                </c:pt>
                <c:pt idx="542">
                  <c:v>8.2640083803073194E-2</c:v>
                </c:pt>
                <c:pt idx="543">
                  <c:v>8.4689502047461396E-2</c:v>
                </c:pt>
                <c:pt idx="544">
                  <c:v>7.8674309479113802E-2</c:v>
                </c:pt>
                <c:pt idx="545">
                  <c:v>6.9667827264437543E-2</c:v>
                </c:pt>
                <c:pt idx="546">
                  <c:v>6.9345608100615852E-2</c:v>
                </c:pt>
                <c:pt idx="547">
                  <c:v>7.4065401358538674E-2</c:v>
                </c:pt>
                <c:pt idx="548">
                  <c:v>7.1749206519002628E-2</c:v>
                </c:pt>
                <c:pt idx="549">
                  <c:v>7.2743259162047602E-2</c:v>
                </c:pt>
                <c:pt idx="550">
                  <c:v>6.6692844255954231E-2</c:v>
                </c:pt>
                <c:pt idx="551">
                  <c:v>6.6076453345404573E-2</c:v>
                </c:pt>
                <c:pt idx="552">
                  <c:v>7.4038006206958773E-2</c:v>
                </c:pt>
                <c:pt idx="553">
                  <c:v>8.2694221840719395E-2</c:v>
                </c:pt>
                <c:pt idx="554">
                  <c:v>8.316189621412029E-2</c:v>
                </c:pt>
                <c:pt idx="555">
                  <c:v>8.0071462209692745E-2</c:v>
                </c:pt>
                <c:pt idx="556">
                  <c:v>7.9436155599242664E-2</c:v>
                </c:pt>
                <c:pt idx="557">
                  <c:v>8.1015290408174456E-2</c:v>
                </c:pt>
                <c:pt idx="558">
                  <c:v>8.1140525386825813E-2</c:v>
                </c:pt>
                <c:pt idx="559">
                  <c:v>7.73097700242249E-2</c:v>
                </c:pt>
                <c:pt idx="560">
                  <c:v>7.8387312653037444E-2</c:v>
                </c:pt>
                <c:pt idx="561">
                  <c:v>8.7335090971470963E-2</c:v>
                </c:pt>
                <c:pt idx="562">
                  <c:v>8.9520832708245068E-2</c:v>
                </c:pt>
                <c:pt idx="563">
                  <c:v>8.9531268956466015E-2</c:v>
                </c:pt>
                <c:pt idx="564">
                  <c:v>8.8204560901378404E-2</c:v>
                </c:pt>
                <c:pt idx="565">
                  <c:v>9.0655122436759106E-2</c:v>
                </c:pt>
                <c:pt idx="566">
                  <c:v>8.4092026836811939E-2</c:v>
                </c:pt>
                <c:pt idx="567">
                  <c:v>8.211761912651161E-2</c:v>
                </c:pt>
                <c:pt idx="568">
                  <c:v>8.0839178719445792E-2</c:v>
                </c:pt>
                <c:pt idx="569">
                  <c:v>7.8485804745622501E-2</c:v>
                </c:pt>
                <c:pt idx="570">
                  <c:v>7.5827822776850295E-2</c:v>
                </c:pt>
                <c:pt idx="571">
                  <c:v>8.055283415888348E-2</c:v>
                </c:pt>
                <c:pt idx="572">
                  <c:v>8.0795476930020538E-2</c:v>
                </c:pt>
                <c:pt idx="573">
                  <c:v>7.7917681483094636E-2</c:v>
                </c:pt>
                <c:pt idx="574">
                  <c:v>7.7104958652888689E-2</c:v>
                </c:pt>
                <c:pt idx="575">
                  <c:v>7.4868340206037276E-2</c:v>
                </c:pt>
                <c:pt idx="576">
                  <c:v>7.8413403273589921E-2</c:v>
                </c:pt>
                <c:pt idx="577">
                  <c:v>6.8444177160531305E-2</c:v>
                </c:pt>
                <c:pt idx="578">
                  <c:v>6.8463745125945552E-2</c:v>
                </c:pt>
                <c:pt idx="579">
                  <c:v>6.942192316573137E-2</c:v>
                </c:pt>
                <c:pt idx="580">
                  <c:v>6.6165161455282506E-2</c:v>
                </c:pt>
                <c:pt idx="581">
                  <c:v>6.6757418541820934E-2</c:v>
                </c:pt>
                <c:pt idx="582">
                  <c:v>6.4347949733810195E-2</c:v>
                </c:pt>
                <c:pt idx="583">
                  <c:v>6.0442183837121188E-2</c:v>
                </c:pt>
                <c:pt idx="584">
                  <c:v>6.3884188953491794E-2</c:v>
                </c:pt>
                <c:pt idx="585">
                  <c:v>6.9891554335673733E-2</c:v>
                </c:pt>
                <c:pt idx="586">
                  <c:v>6.3182351260633318E-2</c:v>
                </c:pt>
                <c:pt idx="587">
                  <c:v>5.9642506317191257E-2</c:v>
                </c:pt>
                <c:pt idx="588">
                  <c:v>5.7148242992385079E-2</c:v>
                </c:pt>
                <c:pt idx="589">
                  <c:v>5.8199042735131767E-2</c:v>
                </c:pt>
                <c:pt idx="590">
                  <c:v>6.1452543118011516E-2</c:v>
                </c:pt>
                <c:pt idx="591">
                  <c:v>6.1061183809726138E-2</c:v>
                </c:pt>
                <c:pt idx="592">
                  <c:v>6.2447248026570312E-2</c:v>
                </c:pt>
                <c:pt idx="593">
                  <c:v>6.4190101479468353E-2</c:v>
                </c:pt>
                <c:pt idx="594">
                  <c:v>6.367350719253162E-2</c:v>
                </c:pt>
                <c:pt idx="595">
                  <c:v>6.031433979641454E-2</c:v>
                </c:pt>
                <c:pt idx="596">
                  <c:v>6.095355999994756E-2</c:v>
                </c:pt>
                <c:pt idx="597">
                  <c:v>6.2929924506789137E-2</c:v>
                </c:pt>
                <c:pt idx="598">
                  <c:v>6.5405924397208715E-2</c:v>
                </c:pt>
                <c:pt idx="599">
                  <c:v>6.7596884258093626E-2</c:v>
                </c:pt>
                <c:pt idx="600">
                  <c:v>7.3065478325869071E-2</c:v>
                </c:pt>
                <c:pt idx="601">
                  <c:v>7.7493708899119218E-2</c:v>
                </c:pt>
                <c:pt idx="602">
                  <c:v>8.140338838889094E-2</c:v>
                </c:pt>
                <c:pt idx="603">
                  <c:v>8.1367513785631562E-2</c:v>
                </c:pt>
                <c:pt idx="604">
                  <c:v>8.0890055429523322E-2</c:v>
                </c:pt>
                <c:pt idx="605">
                  <c:v>7.8677570806682695E-2</c:v>
                </c:pt>
                <c:pt idx="606">
                  <c:v>8.1412520106084241E-2</c:v>
                </c:pt>
                <c:pt idx="607">
                  <c:v>8.0207785702078649E-2</c:v>
                </c:pt>
                <c:pt idx="608">
                  <c:v>7.727193862442383E-2</c:v>
                </c:pt>
                <c:pt idx="609">
                  <c:v>7.695232852265721E-2</c:v>
                </c:pt>
                <c:pt idx="610">
                  <c:v>7.5326882862244871E-2</c:v>
                </c:pt>
                <c:pt idx="611">
                  <c:v>7.2105995755055385E-2</c:v>
                </c:pt>
                <c:pt idx="612">
                  <c:v>6.0789841355981311E-2</c:v>
                </c:pt>
                <c:pt idx="613">
                  <c:v>4.1268839058702156E-2</c:v>
                </c:pt>
                <c:pt idx="614">
                  <c:v>3.790314900744729E-2</c:v>
                </c:pt>
                <c:pt idx="615">
                  <c:v>4.8069359305676018E-2</c:v>
                </c:pt>
                <c:pt idx="616">
                  <c:v>4.3207372165742886E-2</c:v>
                </c:pt>
                <c:pt idx="617">
                  <c:v>4.3172802093511153E-2</c:v>
                </c:pt>
                <c:pt idx="618">
                  <c:v>4.7140533214012015E-2</c:v>
                </c:pt>
                <c:pt idx="619">
                  <c:v>4.9716981993558118E-2</c:v>
                </c:pt>
                <c:pt idx="620">
                  <c:v>5.0219226439190967E-2</c:v>
                </c:pt>
                <c:pt idx="621">
                  <c:v>5.2066442374298472E-2</c:v>
                </c:pt>
                <c:pt idx="622">
                  <c:v>5.1123918706844185E-2</c:v>
                </c:pt>
                <c:pt idx="623">
                  <c:v>4.8087622740062841E-2</c:v>
                </c:pt>
                <c:pt idx="624">
                  <c:v>4.8544860865242789E-2</c:v>
                </c:pt>
                <c:pt idx="625">
                  <c:v>4.8393535266038956E-2</c:v>
                </c:pt>
                <c:pt idx="626">
                  <c:v>5.2140148377358475E-2</c:v>
                </c:pt>
                <c:pt idx="627">
                  <c:v>5.2106882836154389E-2</c:v>
                </c:pt>
                <c:pt idx="628">
                  <c:v>5.2343002952153439E-2</c:v>
                </c:pt>
                <c:pt idx="629">
                  <c:v>4.9452814460465344E-2</c:v>
                </c:pt>
                <c:pt idx="630">
                  <c:v>5.235409146588843E-2</c:v>
                </c:pt>
                <c:pt idx="631">
                  <c:v>5.3001791121100927E-2</c:v>
                </c:pt>
                <c:pt idx="632">
                  <c:v>5.330183325745308E-2</c:v>
                </c:pt>
                <c:pt idx="633">
                  <c:v>5.2416708955214109E-2</c:v>
                </c:pt>
                <c:pt idx="634">
                  <c:v>5.3548389621672854E-2</c:v>
                </c:pt>
                <c:pt idx="635">
                  <c:v>4.8020439392140624E-2</c:v>
                </c:pt>
                <c:pt idx="636">
                  <c:v>5.4506567661458449E-2</c:v>
                </c:pt>
                <c:pt idx="637">
                  <c:v>5.766614181034968E-2</c:v>
                </c:pt>
                <c:pt idx="638">
                  <c:v>6.1230772843316572E-2</c:v>
                </c:pt>
                <c:pt idx="639">
                  <c:v>6.395919948758011E-2</c:v>
                </c:pt>
                <c:pt idx="640">
                  <c:v>6.841743427446545E-2</c:v>
                </c:pt>
                <c:pt idx="641">
                  <c:v>7.3315296017658182E-2</c:v>
                </c:pt>
                <c:pt idx="642">
                  <c:v>7.3903639511113894E-2</c:v>
                </c:pt>
                <c:pt idx="643">
                  <c:v>7.0853645968542489E-2</c:v>
                </c:pt>
                <c:pt idx="644">
                  <c:v>7.6930803760701938E-2</c:v>
                </c:pt>
                <c:pt idx="645">
                  <c:v>8.6021428226659369E-2</c:v>
                </c:pt>
                <c:pt idx="646">
                  <c:v>9.0398129824318385E-2</c:v>
                </c:pt>
                <c:pt idx="647">
                  <c:v>9.2907395255942271E-2</c:v>
                </c:pt>
                <c:pt idx="648">
                  <c:v>8.5696600000782608E-2</c:v>
                </c:pt>
                <c:pt idx="649">
                  <c:v>8.9447778970698888E-2</c:v>
                </c:pt>
                <c:pt idx="650">
                  <c:v>9.378077877893265E-2</c:v>
                </c:pt>
                <c:pt idx="651">
                  <c:v>9.0763398512051729E-2</c:v>
                </c:pt>
                <c:pt idx="652">
                  <c:v>9.5268596415931217E-2</c:v>
                </c:pt>
                <c:pt idx="653">
                  <c:v>9.2896306742207502E-2</c:v>
                </c:pt>
                <c:pt idx="654">
                  <c:v>0.10027277743787466</c:v>
                </c:pt>
                <c:pt idx="655">
                  <c:v>0.10155839276559275</c:v>
                </c:pt>
                <c:pt idx="656">
                  <c:v>0.10505453591960956</c:v>
                </c:pt>
                <c:pt idx="657">
                  <c:v>0.10628470867865336</c:v>
                </c:pt>
                <c:pt idx="658">
                  <c:v>0.10529522189420493</c:v>
                </c:pt>
                <c:pt idx="659">
                  <c:v>9.9221325429614371E-2</c:v>
                </c:pt>
                <c:pt idx="660">
                  <c:v>0.10163014197211151</c:v>
                </c:pt>
                <c:pt idx="661">
                  <c:v>9.6018049491298108E-2</c:v>
                </c:pt>
                <c:pt idx="662">
                  <c:v>9.1542203535539768E-2</c:v>
                </c:pt>
                <c:pt idx="663">
                  <c:v>9.3910579616180767E-2</c:v>
                </c:pt>
                <c:pt idx="664">
                  <c:v>9.5789104295950889E-2</c:v>
                </c:pt>
                <c:pt idx="665">
                  <c:v>9.9804450798959721E-2</c:v>
                </c:pt>
                <c:pt idx="666">
                  <c:v>9.6976227531083481E-2</c:v>
                </c:pt>
                <c:pt idx="667">
                  <c:v>9.3090681865322544E-2</c:v>
                </c:pt>
                <c:pt idx="668">
                  <c:v>9.1611995945517277E-2</c:v>
                </c:pt>
                <c:pt idx="669">
                  <c:v>8.8438071955322162E-2</c:v>
                </c:pt>
                <c:pt idx="670">
                  <c:v>8.5726604214417579E-2</c:v>
                </c:pt>
                <c:pt idx="671">
                  <c:v>9.0370082407224661E-2</c:v>
                </c:pt>
                <c:pt idx="672">
                  <c:v>9.0334860069479106E-2</c:v>
                </c:pt>
                <c:pt idx="673">
                  <c:v>8.5305892958010832E-2</c:v>
                </c:pt>
                <c:pt idx="674">
                  <c:v>9.2568869454275227E-2</c:v>
                </c:pt>
                <c:pt idx="675">
                  <c:v>9.5877160140314999E-2</c:v>
                </c:pt>
                <c:pt idx="676">
                  <c:v>9.8416429785573634E-2</c:v>
                </c:pt>
                <c:pt idx="677">
                  <c:v>9.1109751499883984E-2</c:v>
                </c:pt>
                <c:pt idx="678">
                  <c:v>8.9816308986000459E-2</c:v>
                </c:pt>
                <c:pt idx="679">
                  <c:v>8.5292847647734371E-2</c:v>
                </c:pt>
                <c:pt idx="680">
                  <c:v>8.413964221931991E-2</c:v>
                </c:pt>
                <c:pt idx="681">
                  <c:v>8.411289933325361E-2</c:v>
                </c:pt>
                <c:pt idx="682">
                  <c:v>8.217632302275435E-2</c:v>
                </c:pt>
                <c:pt idx="683">
                  <c:v>8.1901066975927028E-2</c:v>
                </c:pt>
                <c:pt idx="684">
                  <c:v>7.560344344010006E-2</c:v>
                </c:pt>
                <c:pt idx="685">
                  <c:v>6.6970057099322577E-2</c:v>
                </c:pt>
                <c:pt idx="686">
                  <c:v>5.4483738368474643E-2</c:v>
                </c:pt>
                <c:pt idx="687">
                  <c:v>5.5673470665662306E-2</c:v>
                </c:pt>
                <c:pt idx="688">
                  <c:v>6.2597269094746055E-2</c:v>
                </c:pt>
                <c:pt idx="689">
                  <c:v>5.6103313639262575E-2</c:v>
                </c:pt>
                <c:pt idx="690">
                  <c:v>5.370428107947256E-2</c:v>
                </c:pt>
                <c:pt idx="691">
                  <c:v>6.2410721157796667E-2</c:v>
                </c:pt>
                <c:pt idx="692">
                  <c:v>6.9975044321441082E-2</c:v>
                </c:pt>
                <c:pt idx="693">
                  <c:v>6.6456724139954737E-2</c:v>
                </c:pt>
                <c:pt idx="694">
                  <c:v>6.5887296346399449E-2</c:v>
                </c:pt>
                <c:pt idx="695">
                  <c:v>6.0918989927715383E-2</c:v>
                </c:pt>
                <c:pt idx="696">
                  <c:v>6.087985399688689E-2</c:v>
                </c:pt>
                <c:pt idx="697">
                  <c:v>5.7563736124681242E-2</c:v>
                </c:pt>
                <c:pt idx="698">
                  <c:v>5.3260740530082451E-2</c:v>
                </c:pt>
                <c:pt idx="699">
                  <c:v>5.0384249614184196E-2</c:v>
                </c:pt>
                <c:pt idx="700">
                  <c:v>5.5537799438790003E-2</c:v>
                </c:pt>
                <c:pt idx="701">
                  <c:v>5.9324200746451838E-2</c:v>
                </c:pt>
                <c:pt idx="702">
                  <c:v>5.3167466561607757E-2</c:v>
                </c:pt>
                <c:pt idx="703">
                  <c:v>5.001832866093725E-2</c:v>
                </c:pt>
                <c:pt idx="704">
                  <c:v>5.4286754183304087E-2</c:v>
                </c:pt>
                <c:pt idx="705">
                  <c:v>5.5742610810125992E-2</c:v>
                </c:pt>
                <c:pt idx="706">
                  <c:v>6.32919318669527E-2</c:v>
                </c:pt>
                <c:pt idx="707">
                  <c:v>6.7181391125796575E-2</c:v>
                </c:pt>
                <c:pt idx="708">
                  <c:v>7.2079905134502908E-2</c:v>
                </c:pt>
                <c:pt idx="709">
                  <c:v>7.1944886173144429E-2</c:v>
                </c:pt>
                <c:pt idx="710">
                  <c:v>6.9142753525820444E-2</c:v>
                </c:pt>
              </c:numCache>
            </c:numRef>
          </c:val>
          <c:smooth val="1"/>
          <c:extLst>
            <c:ext xmlns:c16="http://schemas.microsoft.com/office/drawing/2014/chart" uri="{C3380CC4-5D6E-409C-BE32-E72D297353CC}">
              <c16:uniqueId val="{00000005-2EA0-43A0-9CB9-F40B4D364F0E}"/>
            </c:ext>
          </c:extLst>
        </c:ser>
        <c:ser>
          <c:idx val="4"/>
          <c:order val="4"/>
          <c:tx>
            <c:strRef>
              <c:f>'Strategy AccReturns'!$F$2</c:f>
              <c:strCache>
                <c:ptCount val="1"/>
                <c:pt idx="0">
                  <c:v>MM Macro</c:v>
                </c:pt>
              </c:strCache>
            </c:strRef>
          </c:tx>
          <c:spPr>
            <a:ln w="25400" cap="rnd">
              <a:solidFill>
                <a:schemeClr val="accent5"/>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AccReturns'!$F$3:$F$713</c:f>
              <c:numCache>
                <c:formatCode>General</c:formatCode>
                <c:ptCount val="711"/>
                <c:pt idx="0">
                  <c:v>3.8850455239623745E-3</c:v>
                </c:pt>
                <c:pt idx="1">
                  <c:v>2.2871253002396674E-3</c:v>
                </c:pt>
                <c:pt idx="2">
                  <c:v>1.5085584993603796E-3</c:v>
                </c:pt>
                <c:pt idx="3">
                  <c:v>1.5472543332790689E-3</c:v>
                </c:pt>
                <c:pt idx="4">
                  <c:v>6.5961218167465141E-4</c:v>
                </c:pt>
                <c:pt idx="5">
                  <c:v>1.4099098626187967E-3</c:v>
                </c:pt>
                <c:pt idx="6">
                  <c:v>1.6461788770496533E-3</c:v>
                </c:pt>
                <c:pt idx="7">
                  <c:v>3.446652142769846E-3</c:v>
                </c:pt>
                <c:pt idx="8">
                  <c:v>3.7500545476953917E-3</c:v>
                </c:pt>
                <c:pt idx="9">
                  <c:v>2.35838462143656E-3</c:v>
                </c:pt>
                <c:pt idx="10">
                  <c:v>2.2329837612813375E-3</c:v>
                </c:pt>
                <c:pt idx="11">
                  <c:v>4.4502385570230896E-3</c:v>
                </c:pt>
                <c:pt idx="12">
                  <c:v>4.734857244564683E-3</c:v>
                </c:pt>
                <c:pt idx="13">
                  <c:v>1.4240029207210902E-3</c:v>
                </c:pt>
                <c:pt idx="14">
                  <c:v>3.16938013392698E-3</c:v>
                </c:pt>
                <c:pt idx="15">
                  <c:v>4.4846100184794402E-3</c:v>
                </c:pt>
                <c:pt idx="16">
                  <c:v>1.8510358710306374E-3</c:v>
                </c:pt>
                <c:pt idx="17">
                  <c:v>-3.1634499227946034E-3</c:v>
                </c:pt>
                <c:pt idx="18">
                  <c:v>3.1984404985396786E-4</c:v>
                </c:pt>
                <c:pt idx="19">
                  <c:v>1.6923180927763681E-4</c:v>
                </c:pt>
                <c:pt idx="20">
                  <c:v>-1.0629260995841383E-3</c:v>
                </c:pt>
                <c:pt idx="21">
                  <c:v>-1.8510532288137371E-3</c:v>
                </c:pt>
                <c:pt idx="22">
                  <c:v>-1.2550186358140092E-3</c:v>
                </c:pt>
                <c:pt idx="23">
                  <c:v>2.9566033379357926E-4</c:v>
                </c:pt>
                <c:pt idx="24">
                  <c:v>4.7545405368987215E-3</c:v>
                </c:pt>
                <c:pt idx="25">
                  <c:v>5.1849360973115211E-3</c:v>
                </c:pt>
                <c:pt idx="26">
                  <c:v>3.4381422247420357E-3</c:v>
                </c:pt>
                <c:pt idx="27">
                  <c:v>1.5753698222473744E-3</c:v>
                </c:pt>
                <c:pt idx="28">
                  <c:v>5.3985061962800174E-3</c:v>
                </c:pt>
                <c:pt idx="29">
                  <c:v>8.3063847690754145E-3</c:v>
                </c:pt>
                <c:pt idx="30">
                  <c:v>8.3517724760491241E-3</c:v>
                </c:pt>
                <c:pt idx="31">
                  <c:v>7.8676996780249198E-3</c:v>
                </c:pt>
                <c:pt idx="32">
                  <c:v>8.4936175912126988E-3</c:v>
                </c:pt>
                <c:pt idx="33">
                  <c:v>8.5275160591677945E-3</c:v>
                </c:pt>
                <c:pt idx="34">
                  <c:v>1.0878433683247257E-2</c:v>
                </c:pt>
                <c:pt idx="35">
                  <c:v>8.5916367327387722E-3</c:v>
                </c:pt>
                <c:pt idx="36">
                  <c:v>7.2570940998093469E-3</c:v>
                </c:pt>
                <c:pt idx="37">
                  <c:v>-1.9225642693616596E-3</c:v>
                </c:pt>
                <c:pt idx="38">
                  <c:v>-5.0966105842095155E-3</c:v>
                </c:pt>
                <c:pt idx="39">
                  <c:v>-2.2789902989581723E-3</c:v>
                </c:pt>
                <c:pt idx="40">
                  <c:v>4.9626858570857024E-3</c:v>
                </c:pt>
                <c:pt idx="41">
                  <c:v>7.9035261632447451E-3</c:v>
                </c:pt>
                <c:pt idx="42">
                  <c:v>1.220939700289625E-2</c:v>
                </c:pt>
                <c:pt idx="43">
                  <c:v>4.7776289821297446E-3</c:v>
                </c:pt>
                <c:pt idx="44">
                  <c:v>-1.3524393254321643E-3</c:v>
                </c:pt>
                <c:pt idx="45">
                  <c:v>-1.4147269562029496E-2</c:v>
                </c:pt>
                <c:pt idx="46">
                  <c:v>-7.7352594130313257E-3</c:v>
                </c:pt>
                <c:pt idx="47">
                  <c:v>-1.9302251617870358E-2</c:v>
                </c:pt>
                <c:pt idx="48">
                  <c:v>-3.3484363711573373E-2</c:v>
                </c:pt>
                <c:pt idx="49">
                  <c:v>-1.9099671257156059E-2</c:v>
                </c:pt>
                <c:pt idx="50">
                  <c:v>-2.573517348677179E-2</c:v>
                </c:pt>
                <c:pt idx="51">
                  <c:v>-2.322738823825321E-2</c:v>
                </c:pt>
                <c:pt idx="52">
                  <c:v>-3.0858984697227143E-2</c:v>
                </c:pt>
                <c:pt idx="53">
                  <c:v>-3.0477632719164149E-2</c:v>
                </c:pt>
                <c:pt idx="54">
                  <c:v>-2.7075966510906935E-2</c:v>
                </c:pt>
                <c:pt idx="55">
                  <c:v>-2.4766460477387953E-2</c:v>
                </c:pt>
                <c:pt idx="56">
                  <c:v>-1.9344485238705245E-2</c:v>
                </c:pt>
                <c:pt idx="57">
                  <c:v>-1.7712246634296602E-2</c:v>
                </c:pt>
                <c:pt idx="58">
                  <c:v>-1.1818254545389206E-2</c:v>
                </c:pt>
                <c:pt idx="59">
                  <c:v>-9.9163939616112584E-3</c:v>
                </c:pt>
                <c:pt idx="60">
                  <c:v>-5.9567151103819826E-3</c:v>
                </c:pt>
                <c:pt idx="61">
                  <c:v>-6.5282802127177852E-3</c:v>
                </c:pt>
                <c:pt idx="62">
                  <c:v>-6.1747339629968367E-3</c:v>
                </c:pt>
                <c:pt idx="63">
                  <c:v>-5.1936629250141086E-3</c:v>
                </c:pt>
                <c:pt idx="64">
                  <c:v>-3.8298594868219071E-3</c:v>
                </c:pt>
                <c:pt idx="65">
                  <c:v>-1.1532965549626573E-3</c:v>
                </c:pt>
                <c:pt idx="66">
                  <c:v>-2.2670637534161209E-4</c:v>
                </c:pt>
                <c:pt idx="67">
                  <c:v>-8.0208528287939451E-5</c:v>
                </c:pt>
                <c:pt idx="68">
                  <c:v>4.957354222216992E-4</c:v>
                </c:pt>
                <c:pt idx="69">
                  <c:v>2.7138151730634608E-3</c:v>
                </c:pt>
                <c:pt idx="70">
                  <c:v>9.0648275897358133E-3</c:v>
                </c:pt>
                <c:pt idx="71">
                  <c:v>1.0068092646389193E-2</c:v>
                </c:pt>
                <c:pt idx="72">
                  <c:v>1.2224572811490253E-2</c:v>
                </c:pt>
                <c:pt idx="73">
                  <c:v>1.089280014765337E-2</c:v>
                </c:pt>
                <c:pt idx="74">
                  <c:v>1.5333323067352245E-2</c:v>
                </c:pt>
                <c:pt idx="75">
                  <c:v>2.3638065244377948E-2</c:v>
                </c:pt>
                <c:pt idx="76">
                  <c:v>2.2476531043783332E-2</c:v>
                </c:pt>
                <c:pt idx="77">
                  <c:v>1.8417768654697797E-2</c:v>
                </c:pt>
                <c:pt idx="78">
                  <c:v>1.9051890438478436E-2</c:v>
                </c:pt>
                <c:pt idx="79">
                  <c:v>1.9267995924920234E-2</c:v>
                </c:pt>
                <c:pt idx="80">
                  <c:v>1.7695182138737442E-2</c:v>
                </c:pt>
                <c:pt idx="81">
                  <c:v>1.8102716407273789E-2</c:v>
                </c:pt>
                <c:pt idx="82">
                  <c:v>1.9088693925114697E-2</c:v>
                </c:pt>
                <c:pt idx="83">
                  <c:v>2.0177821382166838E-2</c:v>
                </c:pt>
                <c:pt idx="84">
                  <c:v>2.2192603086592211E-2</c:v>
                </c:pt>
                <c:pt idx="85">
                  <c:v>2.5922537838171333E-2</c:v>
                </c:pt>
                <c:pt idx="86">
                  <c:v>2.5539087967921592E-2</c:v>
                </c:pt>
                <c:pt idx="87">
                  <c:v>2.6139523486154115E-2</c:v>
                </c:pt>
                <c:pt idx="88">
                  <c:v>2.4884891599934456E-2</c:v>
                </c:pt>
                <c:pt idx="89">
                  <c:v>2.5819700642008003E-2</c:v>
                </c:pt>
                <c:pt idx="90">
                  <c:v>2.5777861899845878E-2</c:v>
                </c:pt>
                <c:pt idx="91">
                  <c:v>2.5670284470491023E-2</c:v>
                </c:pt>
                <c:pt idx="92">
                  <c:v>2.3690485015375851E-2</c:v>
                </c:pt>
                <c:pt idx="93">
                  <c:v>2.3887732785721649E-2</c:v>
                </c:pt>
                <c:pt idx="94">
                  <c:v>2.4255529972582401E-2</c:v>
                </c:pt>
                <c:pt idx="95">
                  <c:v>2.3193625984419208E-2</c:v>
                </c:pt>
                <c:pt idx="96">
                  <c:v>2.347589567580699E-2</c:v>
                </c:pt>
                <c:pt idx="97">
                  <c:v>2.4108182452418969E-2</c:v>
                </c:pt>
                <c:pt idx="98">
                  <c:v>2.3814609104916062E-2</c:v>
                </c:pt>
                <c:pt idx="99">
                  <c:v>2.47021256991653E-2</c:v>
                </c:pt>
                <c:pt idx="100">
                  <c:v>2.5417001815693174E-2</c:v>
                </c:pt>
                <c:pt idx="101">
                  <c:v>2.7384180663700963E-2</c:v>
                </c:pt>
                <c:pt idx="102">
                  <c:v>2.7866464647225753E-2</c:v>
                </c:pt>
                <c:pt idx="103">
                  <c:v>2.7637946055754758E-2</c:v>
                </c:pt>
                <c:pt idx="104">
                  <c:v>3.0268110234519474E-2</c:v>
                </c:pt>
                <c:pt idx="105">
                  <c:v>3.2342180982275481E-2</c:v>
                </c:pt>
                <c:pt idx="106">
                  <c:v>3.2690455666461116E-2</c:v>
                </c:pt>
                <c:pt idx="107">
                  <c:v>3.4187136056798906E-2</c:v>
                </c:pt>
                <c:pt idx="108">
                  <c:v>3.3542519448342301E-2</c:v>
                </c:pt>
                <c:pt idx="109">
                  <c:v>3.2855670820814531E-2</c:v>
                </c:pt>
                <c:pt idx="110">
                  <c:v>3.0062424546658084E-2</c:v>
                </c:pt>
                <c:pt idx="111">
                  <c:v>3.1094624421222239E-2</c:v>
                </c:pt>
                <c:pt idx="112">
                  <c:v>3.2208718078642562E-2</c:v>
                </c:pt>
                <c:pt idx="113">
                  <c:v>3.4933371034141292E-2</c:v>
                </c:pt>
                <c:pt idx="114">
                  <c:v>3.5867142098003679E-2</c:v>
                </c:pt>
                <c:pt idx="115">
                  <c:v>3.5961059423439634E-2</c:v>
                </c:pt>
                <c:pt idx="116">
                  <c:v>3.6025815571311792E-2</c:v>
                </c:pt>
                <c:pt idx="117">
                  <c:v>3.6728108921531444E-2</c:v>
                </c:pt>
                <c:pt idx="118">
                  <c:v>3.4321348071942648E-2</c:v>
                </c:pt>
                <c:pt idx="119">
                  <c:v>3.6733702701338355E-2</c:v>
                </c:pt>
                <c:pt idx="120">
                  <c:v>3.4735869343202719E-2</c:v>
                </c:pt>
                <c:pt idx="121">
                  <c:v>3.602542042232626E-2</c:v>
                </c:pt>
                <c:pt idx="122">
                  <c:v>3.7109024468204632E-2</c:v>
                </c:pt>
                <c:pt idx="123">
                  <c:v>3.8870623946340999E-2</c:v>
                </c:pt>
                <c:pt idx="124">
                  <c:v>3.9234029688093752E-2</c:v>
                </c:pt>
                <c:pt idx="125">
                  <c:v>4.0843311140370764E-2</c:v>
                </c:pt>
                <c:pt idx="126">
                  <c:v>4.3786690347219714E-2</c:v>
                </c:pt>
                <c:pt idx="127">
                  <c:v>4.1759521156475632E-2</c:v>
                </c:pt>
                <c:pt idx="128">
                  <c:v>4.4714073911004126E-2</c:v>
                </c:pt>
                <c:pt idx="129">
                  <c:v>4.4590822453742796E-2</c:v>
                </c:pt>
                <c:pt idx="130">
                  <c:v>4.6658813761185858E-2</c:v>
                </c:pt>
                <c:pt idx="131">
                  <c:v>4.4642819769122877E-2</c:v>
                </c:pt>
                <c:pt idx="132">
                  <c:v>4.6555196863684367E-2</c:v>
                </c:pt>
                <c:pt idx="133">
                  <c:v>4.8796878978111691E-2</c:v>
                </c:pt>
                <c:pt idx="134">
                  <c:v>4.5810624964550684E-2</c:v>
                </c:pt>
                <c:pt idx="135">
                  <c:v>5.0118054604947337E-2</c:v>
                </c:pt>
                <c:pt idx="136">
                  <c:v>5.2521503348355925E-2</c:v>
                </c:pt>
                <c:pt idx="137">
                  <c:v>5.2997174117674239E-2</c:v>
                </c:pt>
                <c:pt idx="138">
                  <c:v>5.4048637021208545E-2</c:v>
                </c:pt>
                <c:pt idx="139">
                  <c:v>5.1248697491441009E-2</c:v>
                </c:pt>
                <c:pt idx="140">
                  <c:v>5.0876255924370506E-2</c:v>
                </c:pt>
                <c:pt idx="141">
                  <c:v>5.5343122374199138E-2</c:v>
                </c:pt>
                <c:pt idx="142">
                  <c:v>5.5637624062375268E-2</c:v>
                </c:pt>
                <c:pt idx="143">
                  <c:v>5.8459535401984564E-2</c:v>
                </c:pt>
                <c:pt idx="144">
                  <c:v>5.9091642111714693E-2</c:v>
                </c:pt>
                <c:pt idx="145">
                  <c:v>5.6764395106553733E-2</c:v>
                </c:pt>
                <c:pt idx="146">
                  <c:v>5.7104215355131549E-2</c:v>
                </c:pt>
                <c:pt idx="147">
                  <c:v>5.6881270237152393E-2</c:v>
                </c:pt>
                <c:pt idx="148">
                  <c:v>6.1893583185808509E-2</c:v>
                </c:pt>
                <c:pt idx="149">
                  <c:v>6.4132251067806845E-2</c:v>
                </c:pt>
                <c:pt idx="150">
                  <c:v>6.1699137544861005E-2</c:v>
                </c:pt>
                <c:pt idx="151">
                  <c:v>6.1476877725415324E-2</c:v>
                </c:pt>
                <c:pt idx="152">
                  <c:v>5.7086275979128409E-2</c:v>
                </c:pt>
                <c:pt idx="153">
                  <c:v>5.9414052839442677E-2</c:v>
                </c:pt>
                <c:pt idx="154">
                  <c:v>5.8552830353556296E-2</c:v>
                </c:pt>
                <c:pt idx="155">
                  <c:v>6.0626270500154122E-2</c:v>
                </c:pt>
                <c:pt idx="156">
                  <c:v>6.0206907364335871E-2</c:v>
                </c:pt>
                <c:pt idx="157">
                  <c:v>6.5027943998076321E-2</c:v>
                </c:pt>
                <c:pt idx="158">
                  <c:v>6.0237138040875049E-2</c:v>
                </c:pt>
                <c:pt idx="159">
                  <c:v>6.0023453407619831E-2</c:v>
                </c:pt>
                <c:pt idx="160">
                  <c:v>5.9593431146383269E-2</c:v>
                </c:pt>
                <c:pt idx="161">
                  <c:v>6.0156213283651061E-2</c:v>
                </c:pt>
                <c:pt idx="162">
                  <c:v>6.0648390139364405E-2</c:v>
                </c:pt>
                <c:pt idx="163">
                  <c:v>6.0890530971038581E-2</c:v>
                </c:pt>
                <c:pt idx="164">
                  <c:v>6.0349969067457154E-2</c:v>
                </c:pt>
                <c:pt idx="165">
                  <c:v>6.386248842997011E-2</c:v>
                </c:pt>
                <c:pt idx="166">
                  <c:v>6.229740140174056E-2</c:v>
                </c:pt>
                <c:pt idx="167">
                  <c:v>6.4019406147026281E-2</c:v>
                </c:pt>
                <c:pt idx="168">
                  <c:v>6.3090459621475858E-2</c:v>
                </c:pt>
                <c:pt idx="169">
                  <c:v>5.8187563068471171E-2</c:v>
                </c:pt>
                <c:pt idx="170">
                  <c:v>5.9854173975140368E-2</c:v>
                </c:pt>
                <c:pt idx="171">
                  <c:v>5.5399052767937107E-2</c:v>
                </c:pt>
                <c:pt idx="172">
                  <c:v>5.8309923338709435E-2</c:v>
                </c:pt>
                <c:pt idx="173">
                  <c:v>5.5399124941530209E-2</c:v>
                </c:pt>
                <c:pt idx="174">
                  <c:v>5.6356748085613084E-2</c:v>
                </c:pt>
                <c:pt idx="175">
                  <c:v>5.9795013372862416E-2</c:v>
                </c:pt>
                <c:pt idx="176">
                  <c:v>6.0674811995401479E-2</c:v>
                </c:pt>
                <c:pt idx="177">
                  <c:v>5.9869109287061351E-2</c:v>
                </c:pt>
                <c:pt idx="178">
                  <c:v>5.9955270563288865E-2</c:v>
                </c:pt>
                <c:pt idx="179">
                  <c:v>5.6568154836737827E-2</c:v>
                </c:pt>
                <c:pt idx="180">
                  <c:v>5.1950838187499793E-2</c:v>
                </c:pt>
                <c:pt idx="181">
                  <c:v>5.3037000823353386E-2</c:v>
                </c:pt>
                <c:pt idx="182">
                  <c:v>4.9778364930977759E-2</c:v>
                </c:pt>
                <c:pt idx="183">
                  <c:v>5.0777599269490103E-2</c:v>
                </c:pt>
                <c:pt idx="184">
                  <c:v>5.0853763293145171E-2</c:v>
                </c:pt>
                <c:pt idx="185">
                  <c:v>4.9285445945585149E-2</c:v>
                </c:pt>
                <c:pt idx="186">
                  <c:v>4.9107959713461602E-2</c:v>
                </c:pt>
                <c:pt idx="187">
                  <c:v>5.0050864674185291E-2</c:v>
                </c:pt>
                <c:pt idx="188">
                  <c:v>5.2042041108363302E-2</c:v>
                </c:pt>
                <c:pt idx="189">
                  <c:v>5.0351046816801581E-2</c:v>
                </c:pt>
                <c:pt idx="190">
                  <c:v>5.2119636854283335E-2</c:v>
                </c:pt>
                <c:pt idx="191">
                  <c:v>5.1130021861249375E-2</c:v>
                </c:pt>
                <c:pt idx="192">
                  <c:v>5.1637373267657383E-2</c:v>
                </c:pt>
                <c:pt idx="193">
                  <c:v>5.3720516947070029E-2</c:v>
                </c:pt>
                <c:pt idx="194">
                  <c:v>5.672327697845847E-2</c:v>
                </c:pt>
                <c:pt idx="195">
                  <c:v>5.6767801724640465E-2</c:v>
                </c:pt>
                <c:pt idx="196">
                  <c:v>5.748765766421382E-2</c:v>
                </c:pt>
                <c:pt idx="197">
                  <c:v>5.674001854025601E-2</c:v>
                </c:pt>
                <c:pt idx="198">
                  <c:v>5.7510689406963467E-2</c:v>
                </c:pt>
                <c:pt idx="199">
                  <c:v>5.624410052703599E-2</c:v>
                </c:pt>
                <c:pt idx="200">
                  <c:v>5.9212697931154912E-2</c:v>
                </c:pt>
                <c:pt idx="201">
                  <c:v>6.2064094512437773E-2</c:v>
                </c:pt>
                <c:pt idx="202">
                  <c:v>6.2169375592972864E-2</c:v>
                </c:pt>
                <c:pt idx="203">
                  <c:v>6.3386456479341602E-2</c:v>
                </c:pt>
                <c:pt idx="204">
                  <c:v>6.0501498203726856E-2</c:v>
                </c:pt>
                <c:pt idx="205">
                  <c:v>5.9585625413173693E-2</c:v>
                </c:pt>
                <c:pt idx="206">
                  <c:v>5.3849089714878451E-2</c:v>
                </c:pt>
                <c:pt idx="207">
                  <c:v>5.6599467428911643E-2</c:v>
                </c:pt>
                <c:pt idx="208">
                  <c:v>5.4070324506279022E-2</c:v>
                </c:pt>
                <c:pt idx="209">
                  <c:v>5.8413095649277658E-2</c:v>
                </c:pt>
                <c:pt idx="210">
                  <c:v>5.9874976835425642E-2</c:v>
                </c:pt>
                <c:pt idx="211">
                  <c:v>6.6210861971998325E-2</c:v>
                </c:pt>
                <c:pt idx="212">
                  <c:v>6.7027272667906201E-2</c:v>
                </c:pt>
                <c:pt idx="213">
                  <c:v>6.7065671929213089E-2</c:v>
                </c:pt>
                <c:pt idx="214">
                  <c:v>6.7587626529583833E-2</c:v>
                </c:pt>
                <c:pt idx="215">
                  <c:v>6.761285555775931E-2</c:v>
                </c:pt>
                <c:pt idx="216">
                  <c:v>6.2984611290107795E-2</c:v>
                </c:pt>
                <c:pt idx="217">
                  <c:v>6.5187938121620936E-2</c:v>
                </c:pt>
                <c:pt idx="218">
                  <c:v>6.6908222822010588E-2</c:v>
                </c:pt>
                <c:pt idx="219">
                  <c:v>6.6256491285954677E-2</c:v>
                </c:pt>
                <c:pt idx="220">
                  <c:v>6.5526059148476534E-2</c:v>
                </c:pt>
                <c:pt idx="221">
                  <c:v>6.5775173433195055E-2</c:v>
                </c:pt>
                <c:pt idx="222">
                  <c:v>6.5732920321703858E-2</c:v>
                </c:pt>
                <c:pt idx="223">
                  <c:v>6.794647646530505E-2</c:v>
                </c:pt>
                <c:pt idx="224">
                  <c:v>7.194963285831224E-2</c:v>
                </c:pt>
                <c:pt idx="225">
                  <c:v>7.2105691966155128E-2</c:v>
                </c:pt>
                <c:pt idx="226">
                  <c:v>7.2312357035265062E-2</c:v>
                </c:pt>
                <c:pt idx="227">
                  <c:v>7.457235118024097E-2</c:v>
                </c:pt>
                <c:pt idx="228">
                  <c:v>7.3348817285749268E-2</c:v>
                </c:pt>
                <c:pt idx="229">
                  <c:v>7.6112324512975338E-2</c:v>
                </c:pt>
                <c:pt idx="230">
                  <c:v>7.6781829856862327E-2</c:v>
                </c:pt>
                <c:pt idx="231">
                  <c:v>7.7576331540310406E-2</c:v>
                </c:pt>
                <c:pt idx="232">
                  <c:v>8.1595574463139142E-2</c:v>
                </c:pt>
                <c:pt idx="233">
                  <c:v>7.9516911176489291E-2</c:v>
                </c:pt>
                <c:pt idx="234">
                  <c:v>7.9778372367336425E-2</c:v>
                </c:pt>
                <c:pt idx="235">
                  <c:v>7.7823396724265859E-2</c:v>
                </c:pt>
                <c:pt idx="236">
                  <c:v>7.9996573159286433E-2</c:v>
                </c:pt>
                <c:pt idx="237">
                  <c:v>7.9577973174541405E-2</c:v>
                </c:pt>
                <c:pt idx="238">
                  <c:v>7.9303995022435014E-2</c:v>
                </c:pt>
                <c:pt idx="239">
                  <c:v>8.350823385248507E-2</c:v>
                </c:pt>
                <c:pt idx="240">
                  <c:v>8.5785342590490421E-2</c:v>
                </c:pt>
                <c:pt idx="241">
                  <c:v>8.881383295212375E-2</c:v>
                </c:pt>
                <c:pt idx="242">
                  <c:v>8.8678562294554952E-2</c:v>
                </c:pt>
                <c:pt idx="243">
                  <c:v>8.5210630008949906E-2</c:v>
                </c:pt>
                <c:pt idx="244">
                  <c:v>8.3224615332320395E-2</c:v>
                </c:pt>
                <c:pt idx="245">
                  <c:v>8.6577024384050461E-2</c:v>
                </c:pt>
                <c:pt idx="246">
                  <c:v>8.6976159112043927E-2</c:v>
                </c:pt>
                <c:pt idx="247">
                  <c:v>8.8431138796881026E-2</c:v>
                </c:pt>
                <c:pt idx="248">
                  <c:v>9.0218050005369532E-2</c:v>
                </c:pt>
                <c:pt idx="249">
                  <c:v>9.2399592053578061E-2</c:v>
                </c:pt>
                <c:pt idx="250">
                  <c:v>9.2598846544152735E-2</c:v>
                </c:pt>
                <c:pt idx="251">
                  <c:v>9.2267659305288241E-2</c:v>
                </c:pt>
                <c:pt idx="252">
                  <c:v>9.5488099578923347E-2</c:v>
                </c:pt>
                <c:pt idx="253">
                  <c:v>9.6361402410600538E-2</c:v>
                </c:pt>
                <c:pt idx="254">
                  <c:v>9.8769167264150637E-2</c:v>
                </c:pt>
                <c:pt idx="255">
                  <c:v>0.10196712775205752</c:v>
                </c:pt>
                <c:pt idx="256">
                  <c:v>9.8834880538215319E-2</c:v>
                </c:pt>
                <c:pt idx="257">
                  <c:v>0.10203062557100129</c:v>
                </c:pt>
                <c:pt idx="258">
                  <c:v>0.10047995581008018</c:v>
                </c:pt>
                <c:pt idx="259">
                  <c:v>0.1023998585893795</c:v>
                </c:pt>
                <c:pt idx="260">
                  <c:v>9.9235432306236548E-2</c:v>
                </c:pt>
                <c:pt idx="261">
                  <c:v>9.8826625920753752E-2</c:v>
                </c:pt>
                <c:pt idx="262">
                  <c:v>9.9472730748577654E-2</c:v>
                </c:pt>
                <c:pt idx="263">
                  <c:v>0.10203351862413923</c:v>
                </c:pt>
                <c:pt idx="264">
                  <c:v>0.10175550777163633</c:v>
                </c:pt>
                <c:pt idx="265">
                  <c:v>9.7890613809217486E-2</c:v>
                </c:pt>
                <c:pt idx="266">
                  <c:v>9.7442827185034497E-2</c:v>
                </c:pt>
                <c:pt idx="267">
                  <c:v>9.5926884604622176E-2</c:v>
                </c:pt>
                <c:pt idx="268">
                  <c:v>8.9677301455758363E-2</c:v>
                </c:pt>
                <c:pt idx="269">
                  <c:v>9.3212836404897415E-2</c:v>
                </c:pt>
                <c:pt idx="270">
                  <c:v>8.7219686763652993E-2</c:v>
                </c:pt>
                <c:pt idx="271">
                  <c:v>9.4707826860825906E-2</c:v>
                </c:pt>
                <c:pt idx="272">
                  <c:v>9.9797089790656601E-2</c:v>
                </c:pt>
                <c:pt idx="273">
                  <c:v>0.10294857211938213</c:v>
                </c:pt>
                <c:pt idx="274">
                  <c:v>0.10510227894383961</c:v>
                </c:pt>
                <c:pt idx="275">
                  <c:v>0.1088930738134648</c:v>
                </c:pt>
                <c:pt idx="276">
                  <c:v>0.11113289849312458</c:v>
                </c:pt>
                <c:pt idx="277">
                  <c:v>0.1105985269272749</c:v>
                </c:pt>
                <c:pt idx="278">
                  <c:v>0.10873489886097931</c:v>
                </c:pt>
                <c:pt idx="279">
                  <c:v>0.11172698192333552</c:v>
                </c:pt>
                <c:pt idx="280">
                  <c:v>0.11502731649780018</c:v>
                </c:pt>
                <c:pt idx="281">
                  <c:v>0.12028804857894104</c:v>
                </c:pt>
                <c:pt idx="282">
                  <c:v>0.11879022215850488</c:v>
                </c:pt>
                <c:pt idx="283">
                  <c:v>0.12130621850774737</c:v>
                </c:pt>
                <c:pt idx="284">
                  <c:v>0.11506128552979522</c:v>
                </c:pt>
                <c:pt idx="285">
                  <c:v>0.11695431007585544</c:v>
                </c:pt>
                <c:pt idx="286">
                  <c:v>0.12066356948352097</c:v>
                </c:pt>
                <c:pt idx="287">
                  <c:v>0.11453666964501363</c:v>
                </c:pt>
                <c:pt idx="288">
                  <c:v>0.108152584136473</c:v>
                </c:pt>
                <c:pt idx="289">
                  <c:v>0.11281283101677397</c:v>
                </c:pt>
                <c:pt idx="290">
                  <c:v>0.11208563726704868</c:v>
                </c:pt>
                <c:pt idx="291">
                  <c:v>0.11314357632660665</c:v>
                </c:pt>
                <c:pt idx="292">
                  <c:v>0.11282201705823836</c:v>
                </c:pt>
                <c:pt idx="293">
                  <c:v>0.11853671775179619</c:v>
                </c:pt>
                <c:pt idx="294">
                  <c:v>0.11586887844395144</c:v>
                </c:pt>
                <c:pt idx="295">
                  <c:v>0.11473596229961958</c:v>
                </c:pt>
                <c:pt idx="296">
                  <c:v>0.11498551273816693</c:v>
                </c:pt>
                <c:pt idx="297">
                  <c:v>0.1200934814071426</c:v>
                </c:pt>
                <c:pt idx="298">
                  <c:v>0.12206184533496511</c:v>
                </c:pt>
                <c:pt idx="299">
                  <c:v>0.12226433525744884</c:v>
                </c:pt>
                <c:pt idx="300">
                  <c:v>0.12154897258529229</c:v>
                </c:pt>
                <c:pt idx="301">
                  <c:v>0.12463085201159219</c:v>
                </c:pt>
                <c:pt idx="302">
                  <c:v>0.11912121300373202</c:v>
                </c:pt>
                <c:pt idx="303">
                  <c:v>0.12081182573765159</c:v>
                </c:pt>
                <c:pt idx="304">
                  <c:v>0.12038179090304379</c:v>
                </c:pt>
                <c:pt idx="305">
                  <c:v>0.11574980350509945</c:v>
                </c:pt>
                <c:pt idx="306">
                  <c:v>0.11508340177545295</c:v>
                </c:pt>
                <c:pt idx="307">
                  <c:v>0.11683664960478124</c:v>
                </c:pt>
                <c:pt idx="308">
                  <c:v>0.12218380597502088</c:v>
                </c:pt>
                <c:pt idx="309">
                  <c:v>0.12299445584621349</c:v>
                </c:pt>
                <c:pt idx="310">
                  <c:v>0.12541233547211506</c:v>
                </c:pt>
                <c:pt idx="311">
                  <c:v>0.12726133710882559</c:v>
                </c:pt>
                <c:pt idx="312">
                  <c:v>0.1273632917293237</c:v>
                </c:pt>
                <c:pt idx="313">
                  <c:v>0.1290934582573342</c:v>
                </c:pt>
                <c:pt idx="314">
                  <c:v>0.1285551629068773</c:v>
                </c:pt>
                <c:pt idx="315">
                  <c:v>0.12881252784538222</c:v>
                </c:pt>
                <c:pt idx="316">
                  <c:v>0.12896917217264625</c:v>
                </c:pt>
                <c:pt idx="317">
                  <c:v>0.13068117981070104</c:v>
                </c:pt>
                <c:pt idx="318">
                  <c:v>0.13065035642456846</c:v>
                </c:pt>
                <c:pt idx="319">
                  <c:v>0.12980296038465444</c:v>
                </c:pt>
                <c:pt idx="320">
                  <c:v>0.13072344253410573</c:v>
                </c:pt>
                <c:pt idx="321">
                  <c:v>0.12846488521572996</c:v>
                </c:pt>
                <c:pt idx="322">
                  <c:v>0.13045523661815595</c:v>
                </c:pt>
                <c:pt idx="323">
                  <c:v>0.13083120845985574</c:v>
                </c:pt>
                <c:pt idx="324">
                  <c:v>0.12779743201012717</c:v>
                </c:pt>
                <c:pt idx="325">
                  <c:v>0.12803722282630536</c:v>
                </c:pt>
                <c:pt idx="326">
                  <c:v>0.13113338548692721</c:v>
                </c:pt>
                <c:pt idx="327">
                  <c:v>0.13342671026453701</c:v>
                </c:pt>
                <c:pt idx="328">
                  <c:v>0.13436928940190618</c:v>
                </c:pt>
                <c:pt idx="329">
                  <c:v>0.13487591968727419</c:v>
                </c:pt>
                <c:pt idx="330">
                  <c:v>0.13690260421234579</c:v>
                </c:pt>
                <c:pt idx="331">
                  <c:v>0.13590895592308683</c:v>
                </c:pt>
                <c:pt idx="332">
                  <c:v>0.13535694981092528</c:v>
                </c:pt>
                <c:pt idx="333">
                  <c:v>0.13487393658030955</c:v>
                </c:pt>
                <c:pt idx="334">
                  <c:v>0.13526220775232956</c:v>
                </c:pt>
                <c:pt idx="335">
                  <c:v>0.13549199326761441</c:v>
                </c:pt>
                <c:pt idx="336">
                  <c:v>0.13844384244915831</c:v>
                </c:pt>
                <c:pt idx="337">
                  <c:v>0.13713635330578278</c:v>
                </c:pt>
                <c:pt idx="338">
                  <c:v>0.13768550036668037</c:v>
                </c:pt>
                <c:pt idx="339">
                  <c:v>0.1356136163442403</c:v>
                </c:pt>
                <c:pt idx="340">
                  <c:v>0.13478090401163167</c:v>
                </c:pt>
                <c:pt idx="341">
                  <c:v>0.13664242895529699</c:v>
                </c:pt>
                <c:pt idx="342">
                  <c:v>0.13912241742279852</c:v>
                </c:pt>
                <c:pt idx="343">
                  <c:v>0.13847266760358168</c:v>
                </c:pt>
                <c:pt idx="344">
                  <c:v>0.13599891487512505</c:v>
                </c:pt>
                <c:pt idx="345">
                  <c:v>0.13774981206158454</c:v>
                </c:pt>
                <c:pt idx="346">
                  <c:v>0.13844302482627135</c:v>
                </c:pt>
                <c:pt idx="347">
                  <c:v>0.14037979080928986</c:v>
                </c:pt>
                <c:pt idx="348">
                  <c:v>0.13774805438048343</c:v>
                </c:pt>
                <c:pt idx="349">
                  <c:v>0.1383855765829558</c:v>
                </c:pt>
                <c:pt idx="350">
                  <c:v>0.14196730480502184</c:v>
                </c:pt>
                <c:pt idx="351">
                  <c:v>0.14281303200922402</c:v>
                </c:pt>
                <c:pt idx="352">
                  <c:v>0.14391889508281119</c:v>
                </c:pt>
                <c:pt idx="353">
                  <c:v>0.14639400295663041</c:v>
                </c:pt>
                <c:pt idx="354">
                  <c:v>0.1469381246977417</c:v>
                </c:pt>
                <c:pt idx="355">
                  <c:v>0.14701034014842906</c:v>
                </c:pt>
                <c:pt idx="356">
                  <c:v>0.14729529812678699</c:v>
                </c:pt>
                <c:pt idx="357">
                  <c:v>0.14548817604290143</c:v>
                </c:pt>
                <c:pt idx="358">
                  <c:v>0.14434358899536948</c:v>
                </c:pt>
                <c:pt idx="359">
                  <c:v>0.14505154652448859</c:v>
                </c:pt>
                <c:pt idx="360">
                  <c:v>0.14437149051950082</c:v>
                </c:pt>
                <c:pt idx="361">
                  <c:v>0.14707661931910021</c:v>
                </c:pt>
                <c:pt idx="362">
                  <c:v>0.14749618941982123</c:v>
                </c:pt>
                <c:pt idx="363">
                  <c:v>0.14878919375182886</c:v>
                </c:pt>
                <c:pt idx="364">
                  <c:v>0.14609695015489077</c:v>
                </c:pt>
                <c:pt idx="365">
                  <c:v>0.1456274331366505</c:v>
                </c:pt>
                <c:pt idx="366">
                  <c:v>0.14866820391626634</c:v>
                </c:pt>
                <c:pt idx="367">
                  <c:v>0.14833501589760334</c:v>
                </c:pt>
                <c:pt idx="368">
                  <c:v>0.14946777850773185</c:v>
                </c:pt>
                <c:pt idx="369">
                  <c:v>0.1515276834502195</c:v>
                </c:pt>
                <c:pt idx="370">
                  <c:v>0.15397889617774418</c:v>
                </c:pt>
                <c:pt idx="371">
                  <c:v>0.1537042214607991</c:v>
                </c:pt>
                <c:pt idx="372">
                  <c:v>0.15388677903919068</c:v>
                </c:pt>
                <c:pt idx="373">
                  <c:v>0.15421476583003835</c:v>
                </c:pt>
                <c:pt idx="374">
                  <c:v>0.15466823501038451</c:v>
                </c:pt>
                <c:pt idx="375">
                  <c:v>0.15575485725299942</c:v>
                </c:pt>
                <c:pt idx="376">
                  <c:v>0.15624791609900202</c:v>
                </c:pt>
                <c:pt idx="377">
                  <c:v>0.14862743877957429</c:v>
                </c:pt>
                <c:pt idx="378">
                  <c:v>0.14666703814720594</c:v>
                </c:pt>
                <c:pt idx="379">
                  <c:v>0.14101973462680562</c:v>
                </c:pt>
                <c:pt idx="380">
                  <c:v>0.14358222513929264</c:v>
                </c:pt>
                <c:pt idx="381">
                  <c:v>0.14720327151699042</c:v>
                </c:pt>
                <c:pt idx="382">
                  <c:v>0.14965796057585945</c:v>
                </c:pt>
                <c:pt idx="383">
                  <c:v>0.14756533522933002</c:v>
                </c:pt>
                <c:pt idx="384">
                  <c:v>0.14465706572961801</c:v>
                </c:pt>
                <c:pt idx="385">
                  <c:v>0.14298132741538572</c:v>
                </c:pt>
                <c:pt idx="386">
                  <c:v>0.13114647002425639</c:v>
                </c:pt>
                <c:pt idx="387">
                  <c:v>0.1332966259942181</c:v>
                </c:pt>
                <c:pt idx="388">
                  <c:v>0.13887963822821647</c:v>
                </c:pt>
                <c:pt idx="389">
                  <c:v>0.14006967159671091</c:v>
                </c:pt>
                <c:pt idx="390">
                  <c:v>0.13931602181664249</c:v>
                </c:pt>
                <c:pt idx="391">
                  <c:v>0.13885212918089818</c:v>
                </c:pt>
                <c:pt idx="392">
                  <c:v>0.13556353189224302</c:v>
                </c:pt>
                <c:pt idx="393">
                  <c:v>0.13855550803062089</c:v>
                </c:pt>
                <c:pt idx="394">
                  <c:v>0.14122977774175749</c:v>
                </c:pt>
                <c:pt idx="395">
                  <c:v>0.13569830047972742</c:v>
                </c:pt>
                <c:pt idx="396">
                  <c:v>0.13431303467594424</c:v>
                </c:pt>
                <c:pt idx="397">
                  <c:v>0.13515001910169078</c:v>
                </c:pt>
                <c:pt idx="398">
                  <c:v>0.13364601107534613</c:v>
                </c:pt>
                <c:pt idx="399">
                  <c:v>0.13767738892985615</c:v>
                </c:pt>
                <c:pt idx="400">
                  <c:v>0.14201696180729106</c:v>
                </c:pt>
                <c:pt idx="401">
                  <c:v>0.1430561046361527</c:v>
                </c:pt>
                <c:pt idx="402">
                  <c:v>0.14525071707022108</c:v>
                </c:pt>
                <c:pt idx="403">
                  <c:v>0.14520365406046776</c:v>
                </c:pt>
                <c:pt idx="404">
                  <c:v>0.14471018016605597</c:v>
                </c:pt>
                <c:pt idx="405">
                  <c:v>0.14174746254965598</c:v>
                </c:pt>
                <c:pt idx="406">
                  <c:v>0.13817878116263116</c:v>
                </c:pt>
                <c:pt idx="407">
                  <c:v>0.13592945020168834</c:v>
                </c:pt>
                <c:pt idx="408">
                  <c:v>0.13421236623697075</c:v>
                </c:pt>
                <c:pt idx="409">
                  <c:v>0.13276326286047069</c:v>
                </c:pt>
                <c:pt idx="410">
                  <c:v>0.13407262130414388</c:v>
                </c:pt>
                <c:pt idx="411">
                  <c:v>0.13599100461943814</c:v>
                </c:pt>
                <c:pt idx="412">
                  <c:v>0.1400875121528562</c:v>
                </c:pt>
                <c:pt idx="413">
                  <c:v>0.14257713682100781</c:v>
                </c:pt>
                <c:pt idx="414">
                  <c:v>0.14083237807452553</c:v>
                </c:pt>
                <c:pt idx="415">
                  <c:v>0.14270698212050981</c:v>
                </c:pt>
                <c:pt idx="416">
                  <c:v>0.14183266322588528</c:v>
                </c:pt>
                <c:pt idx="417">
                  <c:v>0.14272200314356787</c:v>
                </c:pt>
                <c:pt idx="418">
                  <c:v>0.14477931115507059</c:v>
                </c:pt>
                <c:pt idx="419">
                  <c:v>0.14499453208869917</c:v>
                </c:pt>
                <c:pt idx="420">
                  <c:v>0.14693208205315855</c:v>
                </c:pt>
                <c:pt idx="421">
                  <c:v>0.14736168821498086</c:v>
                </c:pt>
                <c:pt idx="422">
                  <c:v>0.14743867025591451</c:v>
                </c:pt>
                <c:pt idx="423">
                  <c:v>0.14855848816962003</c:v>
                </c:pt>
                <c:pt idx="424">
                  <c:v>0.14863693907686115</c:v>
                </c:pt>
                <c:pt idx="425">
                  <c:v>0.14968613058969837</c:v>
                </c:pt>
                <c:pt idx="426">
                  <c:v>0.1471386748693877</c:v>
                </c:pt>
                <c:pt idx="427">
                  <c:v>0.15018077270374786</c:v>
                </c:pt>
                <c:pt idx="428">
                  <c:v>0.15210414327522259</c:v>
                </c:pt>
                <c:pt idx="429">
                  <c:v>0.1517221989652171</c:v>
                </c:pt>
                <c:pt idx="430">
                  <c:v>0.14537342755237259</c:v>
                </c:pt>
                <c:pt idx="431">
                  <c:v>0.14637149469952182</c:v>
                </c:pt>
                <c:pt idx="432">
                  <c:v>0.14960431067633917</c:v>
                </c:pt>
                <c:pt idx="433">
                  <c:v>0.15722442465773079</c:v>
                </c:pt>
                <c:pt idx="434">
                  <c:v>0.16022120437977794</c:v>
                </c:pt>
                <c:pt idx="435">
                  <c:v>0.16252277651526525</c:v>
                </c:pt>
                <c:pt idx="436">
                  <c:v>0.16199114226578049</c:v>
                </c:pt>
                <c:pt idx="437">
                  <c:v>0.16293412781458261</c:v>
                </c:pt>
                <c:pt idx="438">
                  <c:v>0.16293035421625901</c:v>
                </c:pt>
                <c:pt idx="439">
                  <c:v>0.16421976689848439</c:v>
                </c:pt>
                <c:pt idx="440">
                  <c:v>0.16396004879585835</c:v>
                </c:pt>
                <c:pt idx="441">
                  <c:v>0.16778623622206656</c:v>
                </c:pt>
                <c:pt idx="442">
                  <c:v>0.16806912643477845</c:v>
                </c:pt>
                <c:pt idx="443">
                  <c:v>0.17105799654177245</c:v>
                </c:pt>
                <c:pt idx="444">
                  <c:v>0.17400346351696072</c:v>
                </c:pt>
                <c:pt idx="445">
                  <c:v>0.17550799732791744</c:v>
                </c:pt>
                <c:pt idx="446">
                  <c:v>0.17158278524816106</c:v>
                </c:pt>
                <c:pt idx="447">
                  <c:v>0.17278815712130613</c:v>
                </c:pt>
                <c:pt idx="448">
                  <c:v>0.17619285765150394</c:v>
                </c:pt>
                <c:pt idx="449">
                  <c:v>0.17875262923770174</c:v>
                </c:pt>
                <c:pt idx="450">
                  <c:v>0.17849614574592532</c:v>
                </c:pt>
                <c:pt idx="451">
                  <c:v>0.17783242065862792</c:v>
                </c:pt>
                <c:pt idx="452">
                  <c:v>0.17993975530588968</c:v>
                </c:pt>
                <c:pt idx="453">
                  <c:v>0.1761425435660593</c:v>
                </c:pt>
                <c:pt idx="454">
                  <c:v>0.17568027524365926</c:v>
                </c:pt>
                <c:pt idx="455">
                  <c:v>0.17414930956575359</c:v>
                </c:pt>
                <c:pt idx="456">
                  <c:v>0.1683639164859112</c:v>
                </c:pt>
                <c:pt idx="457">
                  <c:v>0.17155255304122541</c:v>
                </c:pt>
                <c:pt idx="458">
                  <c:v>0.17392079784851444</c:v>
                </c:pt>
                <c:pt idx="459">
                  <c:v>0.17789980009988526</c:v>
                </c:pt>
                <c:pt idx="460">
                  <c:v>0.1798860418361814</c:v>
                </c:pt>
                <c:pt idx="461">
                  <c:v>0.17773404509860757</c:v>
                </c:pt>
                <c:pt idx="462">
                  <c:v>0.17538289253468031</c:v>
                </c:pt>
                <c:pt idx="463">
                  <c:v>0.17526325422498634</c:v>
                </c:pt>
                <c:pt idx="464">
                  <c:v>0.17115825118939942</c:v>
                </c:pt>
                <c:pt idx="465">
                  <c:v>0.17783827817042597</c:v>
                </c:pt>
                <c:pt idx="466">
                  <c:v>0.18089048584184408</c:v>
                </c:pt>
                <c:pt idx="467">
                  <c:v>0.18178506639341019</c:v>
                </c:pt>
                <c:pt idx="468">
                  <c:v>0.18515981323475761</c:v>
                </c:pt>
                <c:pt idx="469">
                  <c:v>0.18335616600690763</c:v>
                </c:pt>
                <c:pt idx="470">
                  <c:v>0.18377515560574276</c:v>
                </c:pt>
                <c:pt idx="471">
                  <c:v>0.18338505681899098</c:v>
                </c:pt>
                <c:pt idx="472">
                  <c:v>0.18773784866022503</c:v>
                </c:pt>
                <c:pt idx="473">
                  <c:v>0.19137523577220006</c:v>
                </c:pt>
                <c:pt idx="474">
                  <c:v>0.1928107491636164</c:v>
                </c:pt>
                <c:pt idx="475">
                  <c:v>0.19426789533656308</c:v>
                </c:pt>
                <c:pt idx="476">
                  <c:v>0.18200577944654595</c:v>
                </c:pt>
                <c:pt idx="477">
                  <c:v>0.18424142900849572</c:v>
                </c:pt>
                <c:pt idx="478">
                  <c:v>0.17657667786013564</c:v>
                </c:pt>
                <c:pt idx="479">
                  <c:v>0.17599206992121275</c:v>
                </c:pt>
                <c:pt idx="480">
                  <c:v>0.1789528509370566</c:v>
                </c:pt>
                <c:pt idx="481">
                  <c:v>0.17646832590653228</c:v>
                </c:pt>
                <c:pt idx="482">
                  <c:v>0.18054405201635371</c:v>
                </c:pt>
                <c:pt idx="483">
                  <c:v>0.1831653186242781</c:v>
                </c:pt>
                <c:pt idx="484">
                  <c:v>0.18218084951807079</c:v>
                </c:pt>
                <c:pt idx="485">
                  <c:v>0.18039198957241975</c:v>
                </c:pt>
                <c:pt idx="486">
                  <c:v>0.18135757235053185</c:v>
                </c:pt>
                <c:pt idx="487">
                  <c:v>0.17876030012282351</c:v>
                </c:pt>
                <c:pt idx="488">
                  <c:v>0.18031185543866579</c:v>
                </c:pt>
                <c:pt idx="489">
                  <c:v>0.18296893326559638</c:v>
                </c:pt>
                <c:pt idx="490">
                  <c:v>0.17903129019689468</c:v>
                </c:pt>
                <c:pt idx="491">
                  <c:v>0.17904829986506754</c:v>
                </c:pt>
                <c:pt idx="492">
                  <c:v>0.17479498737866339</c:v>
                </c:pt>
                <c:pt idx="493">
                  <c:v>0.17982103087748125</c:v>
                </c:pt>
                <c:pt idx="494">
                  <c:v>0.1805812571836527</c:v>
                </c:pt>
                <c:pt idx="495">
                  <c:v>0.18323947950429686</c:v>
                </c:pt>
                <c:pt idx="496">
                  <c:v>0.18326172034985189</c:v>
                </c:pt>
                <c:pt idx="497">
                  <c:v>0.18541628309466307</c:v>
                </c:pt>
                <c:pt idx="498">
                  <c:v>0.18613368628294791</c:v>
                </c:pt>
                <c:pt idx="499">
                  <c:v>0.18726934186807154</c:v>
                </c:pt>
                <c:pt idx="500">
                  <c:v>0.18917104425666897</c:v>
                </c:pt>
                <c:pt idx="501">
                  <c:v>0.18915212368790391</c:v>
                </c:pt>
                <c:pt idx="502">
                  <c:v>0.19352857184835837</c:v>
                </c:pt>
                <c:pt idx="503">
                  <c:v>0.19624018723331749</c:v>
                </c:pt>
                <c:pt idx="504">
                  <c:v>0.19490654942719798</c:v>
                </c:pt>
                <c:pt idx="505">
                  <c:v>0.19855265935700039</c:v>
                </c:pt>
                <c:pt idx="506">
                  <c:v>0.19869012584926216</c:v>
                </c:pt>
                <c:pt idx="507">
                  <c:v>0.20123156787616425</c:v>
                </c:pt>
                <c:pt idx="508">
                  <c:v>0.19946222438801708</c:v>
                </c:pt>
                <c:pt idx="509">
                  <c:v>0.19933820091213716</c:v>
                </c:pt>
                <c:pt idx="510">
                  <c:v>0.19634599759610016</c:v>
                </c:pt>
                <c:pt idx="511">
                  <c:v>0.20044187448982065</c:v>
                </c:pt>
                <c:pt idx="512">
                  <c:v>0.20160647961527078</c:v>
                </c:pt>
                <c:pt idx="513">
                  <c:v>0.20558845071710774</c:v>
                </c:pt>
                <c:pt idx="514">
                  <c:v>0.2052915221375502</c:v>
                </c:pt>
                <c:pt idx="515">
                  <c:v>0.20768563696785947</c:v>
                </c:pt>
                <c:pt idx="516">
                  <c:v>0.2031201335388586</c:v>
                </c:pt>
                <c:pt idx="517">
                  <c:v>0.20162657306578824</c:v>
                </c:pt>
                <c:pt idx="518">
                  <c:v>0.20401541168679338</c:v>
                </c:pt>
                <c:pt idx="519">
                  <c:v>0.20907825595912644</c:v>
                </c:pt>
                <c:pt idx="520">
                  <c:v>0.21325269673400093</c:v>
                </c:pt>
                <c:pt idx="521">
                  <c:v>0.21403890086640653</c:v>
                </c:pt>
                <c:pt idx="522">
                  <c:v>0.21447097677649274</c:v>
                </c:pt>
                <c:pt idx="523">
                  <c:v>0.21560546539002856</c:v>
                </c:pt>
                <c:pt idx="524">
                  <c:v>0.21525088626136846</c:v>
                </c:pt>
                <c:pt idx="525">
                  <c:v>0.21877989716985646</c:v>
                </c:pt>
                <c:pt idx="526">
                  <c:v>0.2257467242264104</c:v>
                </c:pt>
                <c:pt idx="527">
                  <c:v>0.22573294830362833</c:v>
                </c:pt>
                <c:pt idx="528">
                  <c:v>0.2272985379864525</c:v>
                </c:pt>
                <c:pt idx="529">
                  <c:v>0.22765716468961528</c:v>
                </c:pt>
                <c:pt idx="530">
                  <c:v>0.23303383056564297</c:v>
                </c:pt>
                <c:pt idx="531">
                  <c:v>0.23055472124544352</c:v>
                </c:pt>
                <c:pt idx="532">
                  <c:v>0.23492618818393041</c:v>
                </c:pt>
                <c:pt idx="533">
                  <c:v>0.23574776672979048</c:v>
                </c:pt>
                <c:pt idx="534">
                  <c:v>0.23497181483243779</c:v>
                </c:pt>
                <c:pt idx="535">
                  <c:v>0.23107751752546357</c:v>
                </c:pt>
                <c:pt idx="536">
                  <c:v>0.22894514392737753</c:v>
                </c:pt>
                <c:pt idx="537">
                  <c:v>0.22904849177358799</c:v>
                </c:pt>
                <c:pt idx="538">
                  <c:v>0.23193052747195031</c:v>
                </c:pt>
                <c:pt idx="539">
                  <c:v>0.23395368970185237</c:v>
                </c:pt>
                <c:pt idx="540">
                  <c:v>0.23372462478751888</c:v>
                </c:pt>
                <c:pt idx="541">
                  <c:v>0.23513837083823375</c:v>
                </c:pt>
                <c:pt idx="542">
                  <c:v>0.23024577139892655</c:v>
                </c:pt>
                <c:pt idx="543">
                  <c:v>0.23294776114264315</c:v>
                </c:pt>
                <c:pt idx="544">
                  <c:v>0.23444704832039576</c:v>
                </c:pt>
                <c:pt idx="545">
                  <c:v>0.23757089130135789</c:v>
                </c:pt>
                <c:pt idx="546">
                  <c:v>0.24279644230105735</c:v>
                </c:pt>
                <c:pt idx="547">
                  <c:v>0.24502321572968988</c:v>
                </c:pt>
                <c:pt idx="548">
                  <c:v>0.25112674132177704</c:v>
                </c:pt>
                <c:pt idx="549">
                  <c:v>0.25204441686972956</c:v>
                </c:pt>
                <c:pt idx="550">
                  <c:v>0.25443842065489153</c:v>
                </c:pt>
                <c:pt idx="551">
                  <c:v>0.2541834921998305</c:v>
                </c:pt>
                <c:pt idx="552">
                  <c:v>0.25882270403297514</c:v>
                </c:pt>
                <c:pt idx="553">
                  <c:v>0.2631233299338589</c:v>
                </c:pt>
                <c:pt idx="554">
                  <c:v>0.26725885951142714</c:v>
                </c:pt>
                <c:pt idx="555">
                  <c:v>0.27739356416140737</c:v>
                </c:pt>
                <c:pt idx="556">
                  <c:v>0.28252403796813685</c:v>
                </c:pt>
                <c:pt idx="557">
                  <c:v>0.28459294031071991</c:v>
                </c:pt>
                <c:pt idx="558">
                  <c:v>0.28907878298280654</c:v>
                </c:pt>
                <c:pt idx="559">
                  <c:v>0.29718577381110567</c:v>
                </c:pt>
                <c:pt idx="560">
                  <c:v>0.29620974022084323</c:v>
                </c:pt>
                <c:pt idx="561">
                  <c:v>0.29307716577692</c:v>
                </c:pt>
                <c:pt idx="562">
                  <c:v>0.29173710309134848</c:v>
                </c:pt>
                <c:pt idx="563">
                  <c:v>0.28979100368702881</c:v>
                </c:pt>
                <c:pt idx="564">
                  <c:v>0.29777363042375038</c:v>
                </c:pt>
                <c:pt idx="565">
                  <c:v>0.30015212099904121</c:v>
                </c:pt>
                <c:pt idx="566">
                  <c:v>0.30281046435023273</c:v>
                </c:pt>
                <c:pt idx="567">
                  <c:v>0.30214777368539236</c:v>
                </c:pt>
                <c:pt idx="568">
                  <c:v>0.30293034266149288</c:v>
                </c:pt>
                <c:pt idx="569">
                  <c:v>0.30747325591346963</c:v>
                </c:pt>
                <c:pt idx="570">
                  <c:v>0.30501180075557666</c:v>
                </c:pt>
                <c:pt idx="571">
                  <c:v>0.30289506790662934</c:v>
                </c:pt>
                <c:pt idx="572">
                  <c:v>0.30300161955866911</c:v>
                </c:pt>
                <c:pt idx="573">
                  <c:v>0.30708006550278544</c:v>
                </c:pt>
                <c:pt idx="574">
                  <c:v>0.30856775464048214</c:v>
                </c:pt>
                <c:pt idx="575">
                  <c:v>0.31133829783214084</c:v>
                </c:pt>
                <c:pt idx="576">
                  <c:v>0.31204347261158993</c:v>
                </c:pt>
                <c:pt idx="577">
                  <c:v>0.31645619079664877</c:v>
                </c:pt>
                <c:pt idx="578">
                  <c:v>0.31369003618993196</c:v>
                </c:pt>
                <c:pt idx="579">
                  <c:v>0.31242763109273808</c:v>
                </c:pt>
                <c:pt idx="580">
                  <c:v>0.3155659826987891</c:v>
                </c:pt>
                <c:pt idx="581">
                  <c:v>0.31922887443919135</c:v>
                </c:pt>
                <c:pt idx="582">
                  <c:v>0.32096474319004553</c:v>
                </c:pt>
                <c:pt idx="583">
                  <c:v>0.3213348461695249</c:v>
                </c:pt>
                <c:pt idx="584">
                  <c:v>0.32257130465860806</c:v>
                </c:pt>
                <c:pt idx="585">
                  <c:v>0.32832688739301696</c:v>
                </c:pt>
                <c:pt idx="586">
                  <c:v>0.32815373319263541</c:v>
                </c:pt>
                <c:pt idx="587">
                  <c:v>0.32759126084538193</c:v>
                </c:pt>
                <c:pt idx="588">
                  <c:v>0.32486359001876841</c:v>
                </c:pt>
                <c:pt idx="589">
                  <c:v>0.32589008278599696</c:v>
                </c:pt>
                <c:pt idx="590">
                  <c:v>0.32784801559136389</c:v>
                </c:pt>
                <c:pt idx="591">
                  <c:v>0.32737142761464799</c:v>
                </c:pt>
                <c:pt idx="592">
                  <c:v>0.33121703165583094</c:v>
                </c:pt>
                <c:pt idx="593">
                  <c:v>0.33284105540041442</c:v>
                </c:pt>
                <c:pt idx="594">
                  <c:v>0.33432268260244369</c:v>
                </c:pt>
                <c:pt idx="595">
                  <c:v>0.33253694427279301</c:v>
                </c:pt>
                <c:pt idx="596">
                  <c:v>0.33395460966062118</c:v>
                </c:pt>
                <c:pt idx="597">
                  <c:v>0.33478915117864627</c:v>
                </c:pt>
                <c:pt idx="598">
                  <c:v>0.33646110238317495</c:v>
                </c:pt>
                <c:pt idx="599">
                  <c:v>0.33384343138302786</c:v>
                </c:pt>
                <c:pt idx="600">
                  <c:v>0.33499704823110776</c:v>
                </c:pt>
                <c:pt idx="601">
                  <c:v>0.33797825802084858</c:v>
                </c:pt>
                <c:pt idx="602">
                  <c:v>0.33870623211443007</c:v>
                </c:pt>
                <c:pt idx="603">
                  <c:v>0.33706501247541754</c:v>
                </c:pt>
                <c:pt idx="604">
                  <c:v>0.34029807000453194</c:v>
                </c:pt>
                <c:pt idx="605">
                  <c:v>0.34143688791366822</c:v>
                </c:pt>
                <c:pt idx="606">
                  <c:v>0.34178747091985051</c:v>
                </c:pt>
                <c:pt idx="607">
                  <c:v>0.34290435010264386</c:v>
                </c:pt>
                <c:pt idx="608">
                  <c:v>0.34404486221713326</c:v>
                </c:pt>
                <c:pt idx="609">
                  <c:v>0.34491829511942007</c:v>
                </c:pt>
                <c:pt idx="610">
                  <c:v>0.34725451057684231</c:v>
                </c:pt>
                <c:pt idx="611">
                  <c:v>0.3498731754175437</c:v>
                </c:pt>
                <c:pt idx="612">
                  <c:v>0.35541794420712436</c:v>
                </c:pt>
                <c:pt idx="613">
                  <c:v>0.36271250069185235</c:v>
                </c:pt>
                <c:pt idx="614">
                  <c:v>0.36127593231918653</c:v>
                </c:pt>
                <c:pt idx="615">
                  <c:v>0.36177301426788921</c:v>
                </c:pt>
                <c:pt idx="616">
                  <c:v>0.35799450907573949</c:v>
                </c:pt>
                <c:pt idx="617">
                  <c:v>0.35901600938586609</c:v>
                </c:pt>
                <c:pt idx="618">
                  <c:v>0.35932911946213841</c:v>
                </c:pt>
                <c:pt idx="619">
                  <c:v>0.35692518137887119</c:v>
                </c:pt>
                <c:pt idx="620">
                  <c:v>0.35675553037600083</c:v>
                </c:pt>
                <c:pt idx="621">
                  <c:v>0.35634841867542599</c:v>
                </c:pt>
                <c:pt idx="622">
                  <c:v>0.35746690551694038</c:v>
                </c:pt>
                <c:pt idx="623">
                  <c:v>0.35799008640690788</c:v>
                </c:pt>
                <c:pt idx="624">
                  <c:v>0.35747715302496297</c:v>
                </c:pt>
                <c:pt idx="625">
                  <c:v>0.35713532304387918</c:v>
                </c:pt>
                <c:pt idx="626">
                  <c:v>0.35724749039196335</c:v>
                </c:pt>
                <c:pt idx="627">
                  <c:v>0.3575408576252439</c:v>
                </c:pt>
                <c:pt idx="628">
                  <c:v>0.35575323382377166</c:v>
                </c:pt>
                <c:pt idx="629">
                  <c:v>0.35737455972572119</c:v>
                </c:pt>
                <c:pt idx="630">
                  <c:v>0.36224676646154785</c:v>
                </c:pt>
                <c:pt idx="631">
                  <c:v>0.3620958240387171</c:v>
                </c:pt>
                <c:pt idx="632">
                  <c:v>0.3610149907850293</c:v>
                </c:pt>
                <c:pt idx="633">
                  <c:v>0.36055562708305944</c:v>
                </c:pt>
                <c:pt idx="634">
                  <c:v>0.3623069357751596</c:v>
                </c:pt>
                <c:pt idx="635">
                  <c:v>0.36401458867075731</c:v>
                </c:pt>
                <c:pt idx="636">
                  <c:v>0.36164843362977672</c:v>
                </c:pt>
                <c:pt idx="637">
                  <c:v>0.36039506470930305</c:v>
                </c:pt>
                <c:pt idx="638">
                  <c:v>0.3600512642365592</c:v>
                </c:pt>
                <c:pt idx="639">
                  <c:v>0.36292427743314049</c:v>
                </c:pt>
                <c:pt idx="640">
                  <c:v>0.36101645281892436</c:v>
                </c:pt>
                <c:pt idx="641">
                  <c:v>0.35991790127350121</c:v>
                </c:pt>
                <c:pt idx="642">
                  <c:v>0.36021672799983273</c:v>
                </c:pt>
                <c:pt idx="643">
                  <c:v>0.36186879274316897</c:v>
                </c:pt>
                <c:pt idx="644">
                  <c:v>0.36183696799796117</c:v>
                </c:pt>
                <c:pt idx="645">
                  <c:v>0.36152673317235551</c:v>
                </c:pt>
                <c:pt idx="646">
                  <c:v>0.36121946902673185</c:v>
                </c:pt>
                <c:pt idx="647">
                  <c:v>0.36089837669335867</c:v>
                </c:pt>
                <c:pt idx="648">
                  <c:v>0.36360368124360565</c:v>
                </c:pt>
                <c:pt idx="649">
                  <c:v>0.36801996330289399</c:v>
                </c:pt>
                <c:pt idx="650">
                  <c:v>0.36799536260205667</c:v>
                </c:pt>
                <c:pt idx="651">
                  <c:v>0.3714497437508133</c:v>
                </c:pt>
                <c:pt idx="652">
                  <c:v>0.3722893570064032</c:v>
                </c:pt>
                <c:pt idx="653">
                  <c:v>0.37272724077043073</c:v>
                </c:pt>
                <c:pt idx="654">
                  <c:v>0.36961035568259382</c:v>
                </c:pt>
                <c:pt idx="655">
                  <c:v>0.36768060530859259</c:v>
                </c:pt>
                <c:pt idx="656">
                  <c:v>0.36850079630125943</c:v>
                </c:pt>
                <c:pt idx="657">
                  <c:v>0.37126096806995101</c:v>
                </c:pt>
                <c:pt idx="658">
                  <c:v>0.3719522935207511</c:v>
                </c:pt>
                <c:pt idx="659">
                  <c:v>0.37456020703652215</c:v>
                </c:pt>
                <c:pt idx="660">
                  <c:v>0.37919243534130453</c:v>
                </c:pt>
                <c:pt idx="661">
                  <c:v>0.38171086016514799</c:v>
                </c:pt>
                <c:pt idx="662">
                  <c:v>0.38629791325794982</c:v>
                </c:pt>
                <c:pt idx="663">
                  <c:v>0.38655656417411444</c:v>
                </c:pt>
                <c:pt idx="664">
                  <c:v>0.38875119404669412</c:v>
                </c:pt>
                <c:pt idx="665">
                  <c:v>0.3871925835745329</c:v>
                </c:pt>
                <c:pt idx="666">
                  <c:v>0.38925791038349611</c:v>
                </c:pt>
                <c:pt idx="667">
                  <c:v>0.39091892727405009</c:v>
                </c:pt>
                <c:pt idx="668">
                  <c:v>0.38932543771651096</c:v>
                </c:pt>
                <c:pt idx="669">
                  <c:v>0.3905597112871928</c:v>
                </c:pt>
                <c:pt idx="670">
                  <c:v>0.39332602201106726</c:v>
                </c:pt>
                <c:pt idx="671">
                  <c:v>0.39275300610556596</c:v>
                </c:pt>
                <c:pt idx="672">
                  <c:v>0.39547003134758651</c:v>
                </c:pt>
                <c:pt idx="673">
                  <c:v>0.39505543202383686</c:v>
                </c:pt>
                <c:pt idx="674">
                  <c:v>0.39267932314798037</c:v>
                </c:pt>
                <c:pt idx="675">
                  <c:v>0.39669482727197525</c:v>
                </c:pt>
                <c:pt idx="676">
                  <c:v>0.39638006590335695</c:v>
                </c:pt>
                <c:pt idx="677">
                  <c:v>0.40091673433187891</c:v>
                </c:pt>
                <c:pt idx="678">
                  <c:v>0.40333378486869242</c:v>
                </c:pt>
                <c:pt idx="679">
                  <c:v>0.40697367995677136</c:v>
                </c:pt>
                <c:pt idx="680">
                  <c:v>0.40551655421347776</c:v>
                </c:pt>
                <c:pt idx="681">
                  <c:v>0.40689737737400189</c:v>
                </c:pt>
                <c:pt idx="682">
                  <c:v>0.41204021905146315</c:v>
                </c:pt>
                <c:pt idx="683">
                  <c:v>0.41634396045786004</c:v>
                </c:pt>
                <c:pt idx="684">
                  <c:v>0.42174230129607304</c:v>
                </c:pt>
                <c:pt idx="685">
                  <c:v>0.42704426774858373</c:v>
                </c:pt>
                <c:pt idx="686">
                  <c:v>0.42803062183340757</c:v>
                </c:pt>
                <c:pt idx="687">
                  <c:v>0.42768427951776222</c:v>
                </c:pt>
                <c:pt idx="688">
                  <c:v>0.42302432169650395</c:v>
                </c:pt>
                <c:pt idx="689">
                  <c:v>0.42370529938994794</c:v>
                </c:pt>
                <c:pt idx="690">
                  <c:v>0.42498881329762983</c:v>
                </c:pt>
                <c:pt idx="691">
                  <c:v>0.42702755272012327</c:v>
                </c:pt>
                <c:pt idx="692">
                  <c:v>0.42399577397589927</c:v>
                </c:pt>
                <c:pt idx="693">
                  <c:v>0.42491514227606042</c:v>
                </c:pt>
                <c:pt idx="694">
                  <c:v>0.42842515864670117</c:v>
                </c:pt>
                <c:pt idx="695">
                  <c:v>0.431351280061955</c:v>
                </c:pt>
                <c:pt idx="696">
                  <c:v>0.43296759263167606</c:v>
                </c:pt>
                <c:pt idx="697">
                  <c:v>0.43165954381573202</c:v>
                </c:pt>
                <c:pt idx="698">
                  <c:v>0.42771168348482291</c:v>
                </c:pt>
                <c:pt idx="699">
                  <c:v>0.43115142472698276</c:v>
                </c:pt>
                <c:pt idx="700">
                  <c:v>0.42864354923307713</c:v>
                </c:pt>
                <c:pt idx="701">
                  <c:v>0.4300697686743693</c:v>
                </c:pt>
                <c:pt idx="702">
                  <c:v>0.43359095950123705</c:v>
                </c:pt>
                <c:pt idx="703">
                  <c:v>0.43509561008135256</c:v>
                </c:pt>
                <c:pt idx="704">
                  <c:v>0.43507296958789654</c:v>
                </c:pt>
                <c:pt idx="705">
                  <c:v>0.43470156756727629</c:v>
                </c:pt>
                <c:pt idx="706">
                  <c:v>0.43098335625187989</c:v>
                </c:pt>
                <c:pt idx="707">
                  <c:v>0.42610618201717188</c:v>
                </c:pt>
                <c:pt idx="708">
                  <c:v>0.42976288927131145</c:v>
                </c:pt>
                <c:pt idx="709">
                  <c:v>0.43174377687720189</c:v>
                </c:pt>
                <c:pt idx="710">
                  <c:v>0.43743640113761062</c:v>
                </c:pt>
              </c:numCache>
            </c:numRef>
          </c:val>
          <c:smooth val="0"/>
          <c:extLst>
            <c:ext xmlns:c16="http://schemas.microsoft.com/office/drawing/2014/chart" uri="{C3380CC4-5D6E-409C-BE32-E72D297353CC}">
              <c16:uniqueId val="{00000006-2EA0-43A0-9CB9-F40B4D364F0E}"/>
            </c:ext>
          </c:extLst>
        </c:ser>
        <c:ser>
          <c:idx val="5"/>
          <c:order val="5"/>
          <c:tx>
            <c:strRef>
              <c:f>'Strategy AccReturns'!$G$2</c:f>
              <c:strCache>
                <c:ptCount val="1"/>
                <c:pt idx="0">
                  <c:v>MM Descorr.</c:v>
                </c:pt>
              </c:strCache>
            </c:strRef>
          </c:tx>
          <c:spPr>
            <a:ln w="25400" cap="rnd">
              <a:solidFill>
                <a:schemeClr val="accent6"/>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AccReturns'!$G$3:$G$713</c:f>
              <c:numCache>
                <c:formatCode>General</c:formatCode>
                <c:ptCount val="711"/>
                <c:pt idx="0">
                  <c:v>2.3849502854551377E-3</c:v>
                </c:pt>
                <c:pt idx="1">
                  <c:v>2.2013339718409686E-3</c:v>
                </c:pt>
                <c:pt idx="2">
                  <c:v>1.3115779428356511E-3</c:v>
                </c:pt>
                <c:pt idx="3">
                  <c:v>1.9303791318263652E-3</c:v>
                </c:pt>
                <c:pt idx="4">
                  <c:v>2.2688666732140206E-3</c:v>
                </c:pt>
                <c:pt idx="5">
                  <c:v>2.3933989379614218E-3</c:v>
                </c:pt>
                <c:pt idx="6">
                  <c:v>2.3068019963339292E-3</c:v>
                </c:pt>
                <c:pt idx="7">
                  <c:v>4.886372165249897E-3</c:v>
                </c:pt>
                <c:pt idx="8">
                  <c:v>6.0696763374030738E-3</c:v>
                </c:pt>
                <c:pt idx="9">
                  <c:v>7.6935210340163263E-3</c:v>
                </c:pt>
                <c:pt idx="10">
                  <c:v>7.7705968524501845E-3</c:v>
                </c:pt>
                <c:pt idx="11">
                  <c:v>9.4632951107258556E-3</c:v>
                </c:pt>
                <c:pt idx="12">
                  <c:v>1.0954845408857938E-2</c:v>
                </c:pt>
                <c:pt idx="13">
                  <c:v>1.0933332735802992E-2</c:v>
                </c:pt>
                <c:pt idx="14">
                  <c:v>1.2785877628966213E-2</c:v>
                </c:pt>
                <c:pt idx="15">
                  <c:v>1.2639146618857788E-2</c:v>
                </c:pt>
                <c:pt idx="16">
                  <c:v>1.2646796800306115E-2</c:v>
                </c:pt>
                <c:pt idx="17">
                  <c:v>1.0942824031127341E-2</c:v>
                </c:pt>
                <c:pt idx="18">
                  <c:v>1.2848322913217025E-2</c:v>
                </c:pt>
                <c:pt idx="19">
                  <c:v>1.2581081766683377E-2</c:v>
                </c:pt>
                <c:pt idx="20">
                  <c:v>1.296939934093011E-2</c:v>
                </c:pt>
                <c:pt idx="21">
                  <c:v>1.2841047216687773E-2</c:v>
                </c:pt>
                <c:pt idx="22">
                  <c:v>1.3604787862966594E-2</c:v>
                </c:pt>
                <c:pt idx="23">
                  <c:v>1.4410868999773063E-2</c:v>
                </c:pt>
                <c:pt idx="24">
                  <c:v>1.5492571137982747E-2</c:v>
                </c:pt>
                <c:pt idx="25">
                  <c:v>1.532328540356942E-2</c:v>
                </c:pt>
                <c:pt idx="26">
                  <c:v>1.4953043700087321E-2</c:v>
                </c:pt>
                <c:pt idx="27">
                  <c:v>1.3985558596192771E-2</c:v>
                </c:pt>
                <c:pt idx="28">
                  <c:v>1.6887217912051389E-2</c:v>
                </c:pt>
                <c:pt idx="29">
                  <c:v>1.7938191785988433E-2</c:v>
                </c:pt>
                <c:pt idx="30">
                  <c:v>1.7615358751983834E-2</c:v>
                </c:pt>
                <c:pt idx="31">
                  <c:v>1.8094801530404103E-2</c:v>
                </c:pt>
                <c:pt idx="32">
                  <c:v>1.938557385215911E-2</c:v>
                </c:pt>
                <c:pt idx="33">
                  <c:v>1.9333541042185987E-2</c:v>
                </c:pt>
                <c:pt idx="34">
                  <c:v>2.1235550152014948E-2</c:v>
                </c:pt>
                <c:pt idx="35">
                  <c:v>2.0384917412574088E-2</c:v>
                </c:pt>
                <c:pt idx="36">
                  <c:v>1.9927455934882987E-2</c:v>
                </c:pt>
                <c:pt idx="37">
                  <c:v>1.4032341712364671E-2</c:v>
                </c:pt>
                <c:pt idx="38">
                  <c:v>1.3251210696791027E-2</c:v>
                </c:pt>
                <c:pt idx="39">
                  <c:v>1.3844876142659723E-2</c:v>
                </c:pt>
                <c:pt idx="40">
                  <c:v>1.6093298376148368E-2</c:v>
                </c:pt>
                <c:pt idx="41">
                  <c:v>1.7909960620316134E-2</c:v>
                </c:pt>
                <c:pt idx="42">
                  <c:v>1.9866542766490358E-2</c:v>
                </c:pt>
                <c:pt idx="43">
                  <c:v>1.5438133025144074E-2</c:v>
                </c:pt>
                <c:pt idx="44">
                  <c:v>1.1965326660665854E-2</c:v>
                </c:pt>
                <c:pt idx="45">
                  <c:v>4.337958729263347E-3</c:v>
                </c:pt>
                <c:pt idx="46">
                  <c:v>8.2112099188724752E-3</c:v>
                </c:pt>
                <c:pt idx="47">
                  <c:v>2.8865886309816791E-3</c:v>
                </c:pt>
                <c:pt idx="48">
                  <c:v>-9.1392447201280591E-3</c:v>
                </c:pt>
                <c:pt idx="49">
                  <c:v>-1.4307167475584581E-3</c:v>
                </c:pt>
                <c:pt idx="50">
                  <c:v>-3.7054859977601051E-3</c:v>
                </c:pt>
                <c:pt idx="51">
                  <c:v>-3.2154962434618461E-3</c:v>
                </c:pt>
                <c:pt idx="52">
                  <c:v>-1.0828123321868555E-2</c:v>
                </c:pt>
                <c:pt idx="53">
                  <c:v>-1.2458207952747102E-2</c:v>
                </c:pt>
                <c:pt idx="54">
                  <c:v>-1.1968332280880012E-2</c:v>
                </c:pt>
                <c:pt idx="55">
                  <c:v>-1.142190069596849E-2</c:v>
                </c:pt>
                <c:pt idx="56">
                  <c:v>-8.7497592270476821E-3</c:v>
                </c:pt>
                <c:pt idx="57">
                  <c:v>-7.3138483032478829E-3</c:v>
                </c:pt>
                <c:pt idx="58">
                  <c:v>-4.3174104837298E-3</c:v>
                </c:pt>
                <c:pt idx="59">
                  <c:v>-3.9218775041820475E-3</c:v>
                </c:pt>
                <c:pt idx="60">
                  <c:v>-3.4550648808296947E-3</c:v>
                </c:pt>
                <c:pt idx="61">
                  <c:v>-5.1840827385698507E-3</c:v>
                </c:pt>
                <c:pt idx="62">
                  <c:v>-5.4944740683552373E-3</c:v>
                </c:pt>
                <c:pt idx="63">
                  <c:v>-5.6975686419598048E-3</c:v>
                </c:pt>
                <c:pt idx="64">
                  <c:v>-5.5125449841164631E-3</c:v>
                </c:pt>
                <c:pt idx="65">
                  <c:v>-3.5024621789464527E-3</c:v>
                </c:pt>
                <c:pt idx="66">
                  <c:v>-2.1311319502405057E-3</c:v>
                </c:pt>
                <c:pt idx="67">
                  <c:v>-2.6470647725128638E-3</c:v>
                </c:pt>
                <c:pt idx="68">
                  <c:v>-7.7646044544610326E-4</c:v>
                </c:pt>
                <c:pt idx="69">
                  <c:v>1.0880846713881009E-3</c:v>
                </c:pt>
                <c:pt idx="70">
                  <c:v>4.7911986249227212E-3</c:v>
                </c:pt>
                <c:pt idx="71">
                  <c:v>5.8981585088495603E-3</c:v>
                </c:pt>
                <c:pt idx="72">
                  <c:v>7.1278354829849011E-3</c:v>
                </c:pt>
                <c:pt idx="73">
                  <c:v>6.5634884798662085E-3</c:v>
                </c:pt>
                <c:pt idx="74">
                  <c:v>7.9452193123390469E-3</c:v>
                </c:pt>
                <c:pt idx="75">
                  <c:v>1.1184588922267702E-2</c:v>
                </c:pt>
                <c:pt idx="76">
                  <c:v>1.1398162366948128E-2</c:v>
                </c:pt>
                <c:pt idx="77">
                  <c:v>7.6529947564951684E-3</c:v>
                </c:pt>
                <c:pt idx="78">
                  <c:v>9.4049920012180266E-3</c:v>
                </c:pt>
                <c:pt idx="79">
                  <c:v>1.0954543080702539E-2</c:v>
                </c:pt>
                <c:pt idx="80">
                  <c:v>1.1228050324866956E-2</c:v>
                </c:pt>
                <c:pt idx="81">
                  <c:v>1.1179859606007092E-2</c:v>
                </c:pt>
                <c:pt idx="82">
                  <c:v>1.0421920215752278E-2</c:v>
                </c:pt>
                <c:pt idx="83">
                  <c:v>1.1354422334879821E-2</c:v>
                </c:pt>
                <c:pt idx="84">
                  <c:v>1.304925896492648E-2</c:v>
                </c:pt>
                <c:pt idx="85">
                  <c:v>1.5787739181566396E-2</c:v>
                </c:pt>
                <c:pt idx="86">
                  <c:v>1.5989811566641698E-2</c:v>
                </c:pt>
                <c:pt idx="87">
                  <c:v>1.6426294683334675E-2</c:v>
                </c:pt>
                <c:pt idx="88">
                  <c:v>1.6247220400151141E-2</c:v>
                </c:pt>
                <c:pt idx="89">
                  <c:v>1.6325094790831107E-2</c:v>
                </c:pt>
                <c:pt idx="90">
                  <c:v>1.5066172316313686E-2</c:v>
                </c:pt>
                <c:pt idx="91">
                  <c:v>1.3412825487825408E-2</c:v>
                </c:pt>
                <c:pt idx="92">
                  <c:v>1.3309940510434215E-2</c:v>
                </c:pt>
                <c:pt idx="93">
                  <c:v>1.373645760048281E-2</c:v>
                </c:pt>
                <c:pt idx="94">
                  <c:v>1.3888251348463942E-2</c:v>
                </c:pt>
                <c:pt idx="95">
                  <c:v>1.407881033218561E-2</c:v>
                </c:pt>
                <c:pt idx="96">
                  <c:v>1.4125135151829893E-2</c:v>
                </c:pt>
                <c:pt idx="97">
                  <c:v>1.5208468992941926E-2</c:v>
                </c:pt>
                <c:pt idx="98">
                  <c:v>1.6115086308353233E-2</c:v>
                </c:pt>
                <c:pt idx="99">
                  <c:v>1.7445318920527919E-2</c:v>
                </c:pt>
                <c:pt idx="100">
                  <c:v>1.8668164407892096E-2</c:v>
                </c:pt>
                <c:pt idx="101">
                  <c:v>2.0097895614801464E-2</c:v>
                </c:pt>
                <c:pt idx="102">
                  <c:v>2.0495511277691003E-2</c:v>
                </c:pt>
                <c:pt idx="103">
                  <c:v>2.0578231460209429E-2</c:v>
                </c:pt>
                <c:pt idx="104">
                  <c:v>2.1394280320773396E-2</c:v>
                </c:pt>
                <c:pt idx="105">
                  <c:v>2.2219863216210722E-2</c:v>
                </c:pt>
                <c:pt idx="106">
                  <c:v>2.2446339023730832E-2</c:v>
                </c:pt>
                <c:pt idx="107">
                  <c:v>2.3431885920939921E-2</c:v>
                </c:pt>
                <c:pt idx="108">
                  <c:v>2.345733092690816E-2</c:v>
                </c:pt>
                <c:pt idx="109">
                  <c:v>2.2677154915127673E-2</c:v>
                </c:pt>
                <c:pt idx="110">
                  <c:v>2.0685452123348824E-2</c:v>
                </c:pt>
                <c:pt idx="111">
                  <c:v>2.0398764501889044E-2</c:v>
                </c:pt>
                <c:pt idx="112">
                  <c:v>2.1372852409546006E-2</c:v>
                </c:pt>
                <c:pt idx="113">
                  <c:v>2.1970707934865441E-2</c:v>
                </c:pt>
                <c:pt idx="114">
                  <c:v>2.3914351436792547E-2</c:v>
                </c:pt>
                <c:pt idx="115">
                  <c:v>2.3981679563460867E-2</c:v>
                </c:pt>
                <c:pt idx="116">
                  <c:v>2.4185522593420439E-2</c:v>
                </c:pt>
                <c:pt idx="117">
                  <c:v>2.456768225140471E-2</c:v>
                </c:pt>
                <c:pt idx="118">
                  <c:v>2.3608200561824555E-2</c:v>
                </c:pt>
                <c:pt idx="119">
                  <c:v>2.4450077219642763E-2</c:v>
                </c:pt>
                <c:pt idx="120">
                  <c:v>2.3576849583284654E-2</c:v>
                </c:pt>
                <c:pt idx="121">
                  <c:v>2.4358314254386837E-2</c:v>
                </c:pt>
                <c:pt idx="122">
                  <c:v>2.5089476599748251E-2</c:v>
                </c:pt>
                <c:pt idx="123">
                  <c:v>2.4852963098581871E-2</c:v>
                </c:pt>
                <c:pt idx="124">
                  <c:v>2.5374644539737812E-2</c:v>
                </c:pt>
                <c:pt idx="125">
                  <c:v>2.6198351991805646E-2</c:v>
                </c:pt>
                <c:pt idx="126">
                  <c:v>2.8374871026505488E-2</c:v>
                </c:pt>
                <c:pt idx="127">
                  <c:v>2.7088757333934232E-2</c:v>
                </c:pt>
                <c:pt idx="128">
                  <c:v>2.6290611087515181E-2</c:v>
                </c:pt>
                <c:pt idx="129">
                  <c:v>2.6415640992625722E-2</c:v>
                </c:pt>
                <c:pt idx="130">
                  <c:v>2.7580461841599568E-2</c:v>
                </c:pt>
                <c:pt idx="131">
                  <c:v>2.8207258088746023E-2</c:v>
                </c:pt>
                <c:pt idx="132">
                  <c:v>2.8525907684392449E-2</c:v>
                </c:pt>
                <c:pt idx="133">
                  <c:v>2.9806624662795045E-2</c:v>
                </c:pt>
                <c:pt idx="134">
                  <c:v>2.8934998909046605E-2</c:v>
                </c:pt>
                <c:pt idx="135">
                  <c:v>3.0941598981593543E-2</c:v>
                </c:pt>
                <c:pt idx="136">
                  <c:v>3.2767206478142796E-2</c:v>
                </c:pt>
                <c:pt idx="137">
                  <c:v>3.2073101283483618E-2</c:v>
                </c:pt>
                <c:pt idx="138">
                  <c:v>3.3234080191419491E-2</c:v>
                </c:pt>
                <c:pt idx="139">
                  <c:v>3.1581782383614865E-2</c:v>
                </c:pt>
                <c:pt idx="140">
                  <c:v>3.1384153506933243E-2</c:v>
                </c:pt>
                <c:pt idx="141">
                  <c:v>3.2863030573032637E-2</c:v>
                </c:pt>
                <c:pt idx="142">
                  <c:v>3.2879724535463284E-2</c:v>
                </c:pt>
                <c:pt idx="143">
                  <c:v>3.2825613109342289E-2</c:v>
                </c:pt>
                <c:pt idx="144">
                  <c:v>3.3317556429079964E-2</c:v>
                </c:pt>
                <c:pt idx="145">
                  <c:v>3.2738362153425626E-2</c:v>
                </c:pt>
                <c:pt idx="146">
                  <c:v>3.3586545506645527E-2</c:v>
                </c:pt>
                <c:pt idx="147">
                  <c:v>3.2932052943494439E-2</c:v>
                </c:pt>
                <c:pt idx="148">
                  <c:v>3.4099422003203372E-2</c:v>
                </c:pt>
                <c:pt idx="149">
                  <c:v>3.5136940143349449E-2</c:v>
                </c:pt>
                <c:pt idx="150">
                  <c:v>3.377758054440938E-2</c:v>
                </c:pt>
                <c:pt idx="151">
                  <c:v>3.4883491967949487E-2</c:v>
                </c:pt>
                <c:pt idx="152">
                  <c:v>3.4518438665368967E-2</c:v>
                </c:pt>
                <c:pt idx="153">
                  <c:v>3.435210405678446E-2</c:v>
                </c:pt>
                <c:pt idx="154">
                  <c:v>3.4520348709170978E-2</c:v>
                </c:pt>
                <c:pt idx="155">
                  <c:v>3.3366983119395233E-2</c:v>
                </c:pt>
                <c:pt idx="156">
                  <c:v>3.3569352805632668E-2</c:v>
                </c:pt>
                <c:pt idx="157">
                  <c:v>3.5846920299406948E-2</c:v>
                </c:pt>
                <c:pt idx="158">
                  <c:v>3.5713913905743633E-2</c:v>
                </c:pt>
                <c:pt idx="159">
                  <c:v>3.5495512916684291E-2</c:v>
                </c:pt>
                <c:pt idx="160">
                  <c:v>3.5676282566181383E-2</c:v>
                </c:pt>
                <c:pt idx="161">
                  <c:v>3.6664170454449696E-2</c:v>
                </c:pt>
                <c:pt idx="162">
                  <c:v>3.6332173387747746E-2</c:v>
                </c:pt>
                <c:pt idx="163">
                  <c:v>3.612423064268544E-2</c:v>
                </c:pt>
                <c:pt idx="164">
                  <c:v>3.5581358127513951E-2</c:v>
                </c:pt>
                <c:pt idx="165">
                  <c:v>3.6842475217040205E-2</c:v>
                </c:pt>
                <c:pt idx="166">
                  <c:v>3.5351404222311755E-2</c:v>
                </c:pt>
                <c:pt idx="167">
                  <c:v>3.6098935717661318E-2</c:v>
                </c:pt>
                <c:pt idx="168">
                  <c:v>3.6959829984328119E-2</c:v>
                </c:pt>
                <c:pt idx="169">
                  <c:v>3.4595804804217423E-2</c:v>
                </c:pt>
                <c:pt idx="170">
                  <c:v>3.502984502673856E-2</c:v>
                </c:pt>
                <c:pt idx="171">
                  <c:v>3.4338971996563439E-2</c:v>
                </c:pt>
                <c:pt idx="172">
                  <c:v>3.5535092543897084E-2</c:v>
                </c:pt>
                <c:pt idx="173">
                  <c:v>3.3760862002390146E-2</c:v>
                </c:pt>
                <c:pt idx="174">
                  <c:v>3.4154208738683911E-2</c:v>
                </c:pt>
                <c:pt idx="175">
                  <c:v>3.5458341061309184E-2</c:v>
                </c:pt>
                <c:pt idx="176">
                  <c:v>3.4670644916620086E-2</c:v>
                </c:pt>
                <c:pt idx="177">
                  <c:v>3.4231301146701476E-2</c:v>
                </c:pt>
                <c:pt idx="178">
                  <c:v>3.4085978802926631E-2</c:v>
                </c:pt>
                <c:pt idx="179">
                  <c:v>3.1863531194131101E-2</c:v>
                </c:pt>
                <c:pt idx="180">
                  <c:v>3.0189323804072021E-2</c:v>
                </c:pt>
                <c:pt idx="181">
                  <c:v>3.0174729536952771E-2</c:v>
                </c:pt>
                <c:pt idx="182">
                  <c:v>2.8373260234478614E-2</c:v>
                </c:pt>
                <c:pt idx="183">
                  <c:v>2.8332890426181701E-2</c:v>
                </c:pt>
                <c:pt idx="184">
                  <c:v>2.8186121825513055E-2</c:v>
                </c:pt>
                <c:pt idx="185">
                  <c:v>2.6924943598859219E-2</c:v>
                </c:pt>
                <c:pt idx="186">
                  <c:v>2.5665486464234943E-2</c:v>
                </c:pt>
                <c:pt idx="187">
                  <c:v>2.5824221010543491E-2</c:v>
                </c:pt>
                <c:pt idx="188">
                  <c:v>2.6189299883240924E-2</c:v>
                </c:pt>
                <c:pt idx="189">
                  <c:v>2.5634858202778776E-2</c:v>
                </c:pt>
                <c:pt idx="190">
                  <c:v>2.4578100436354777E-2</c:v>
                </c:pt>
                <c:pt idx="191">
                  <c:v>2.4536924153222284E-2</c:v>
                </c:pt>
                <c:pt idx="192">
                  <c:v>2.4888791719408054E-2</c:v>
                </c:pt>
                <c:pt idx="193">
                  <c:v>2.4969621894851191E-2</c:v>
                </c:pt>
                <c:pt idx="194">
                  <c:v>2.5928170324542421E-2</c:v>
                </c:pt>
                <c:pt idx="195">
                  <c:v>2.7388036030586038E-2</c:v>
                </c:pt>
                <c:pt idx="196">
                  <c:v>2.8209220112988653E-2</c:v>
                </c:pt>
                <c:pt idx="197">
                  <c:v>2.8518364485296877E-2</c:v>
                </c:pt>
                <c:pt idx="198">
                  <c:v>2.9117936351720886E-2</c:v>
                </c:pt>
                <c:pt idx="199">
                  <c:v>2.8087771824685914E-2</c:v>
                </c:pt>
                <c:pt idx="200">
                  <c:v>2.901286450381213E-2</c:v>
                </c:pt>
                <c:pt idx="201">
                  <c:v>2.9674183672847576E-2</c:v>
                </c:pt>
                <c:pt idx="202">
                  <c:v>2.9549648656367555E-2</c:v>
                </c:pt>
                <c:pt idx="203">
                  <c:v>2.9529096936113497E-2</c:v>
                </c:pt>
                <c:pt idx="204">
                  <c:v>2.8438758834207656E-2</c:v>
                </c:pt>
                <c:pt idx="205">
                  <c:v>2.8076544191790287E-2</c:v>
                </c:pt>
                <c:pt idx="206">
                  <c:v>2.5405032698354368E-2</c:v>
                </c:pt>
                <c:pt idx="207">
                  <c:v>2.5478893912701972E-2</c:v>
                </c:pt>
                <c:pt idx="208">
                  <c:v>2.3538477512717648E-2</c:v>
                </c:pt>
                <c:pt idx="209">
                  <c:v>2.5720740297160205E-2</c:v>
                </c:pt>
                <c:pt idx="210">
                  <c:v>2.5855959778506188E-2</c:v>
                </c:pt>
                <c:pt idx="211">
                  <c:v>2.7182129534529809E-2</c:v>
                </c:pt>
                <c:pt idx="212">
                  <c:v>2.7533414323371419E-2</c:v>
                </c:pt>
                <c:pt idx="213">
                  <c:v>2.5467548028547338E-2</c:v>
                </c:pt>
                <c:pt idx="214">
                  <c:v>2.4615097848085243E-2</c:v>
                </c:pt>
                <c:pt idx="215">
                  <c:v>2.3968215584323049E-2</c:v>
                </c:pt>
                <c:pt idx="216">
                  <c:v>2.0799647685686651E-2</c:v>
                </c:pt>
                <c:pt idx="217">
                  <c:v>2.2328087444608125E-2</c:v>
                </c:pt>
                <c:pt idx="218">
                  <c:v>2.3058240950891928E-2</c:v>
                </c:pt>
                <c:pt idx="219">
                  <c:v>2.2465150081136809E-2</c:v>
                </c:pt>
                <c:pt idx="220">
                  <c:v>2.1768980826512907E-2</c:v>
                </c:pt>
                <c:pt idx="221">
                  <c:v>2.2869345383438322E-2</c:v>
                </c:pt>
                <c:pt idx="222">
                  <c:v>2.3043214016331914E-2</c:v>
                </c:pt>
                <c:pt idx="223">
                  <c:v>2.3528951369684803E-2</c:v>
                </c:pt>
                <c:pt idx="224">
                  <c:v>2.5320521679998098E-2</c:v>
                </c:pt>
                <c:pt idx="225">
                  <c:v>2.6054185870016511E-2</c:v>
                </c:pt>
                <c:pt idx="226">
                  <c:v>2.6158378784406855E-2</c:v>
                </c:pt>
                <c:pt idx="227">
                  <c:v>2.6663489674430219E-2</c:v>
                </c:pt>
                <c:pt idx="228">
                  <c:v>2.5398167322693066E-2</c:v>
                </c:pt>
                <c:pt idx="229">
                  <c:v>2.799778534594255E-2</c:v>
                </c:pt>
                <c:pt idx="230">
                  <c:v>2.9354731506681331E-2</c:v>
                </c:pt>
                <c:pt idx="231">
                  <c:v>3.0101365412430692E-2</c:v>
                </c:pt>
                <c:pt idx="232">
                  <c:v>3.0874379193717161E-2</c:v>
                </c:pt>
                <c:pt idx="233">
                  <c:v>3.0228160761134104E-2</c:v>
                </c:pt>
                <c:pt idx="234">
                  <c:v>3.0400685584716536E-2</c:v>
                </c:pt>
                <c:pt idx="235">
                  <c:v>2.9605808303068137E-2</c:v>
                </c:pt>
                <c:pt idx="236">
                  <c:v>3.1978717270975787E-2</c:v>
                </c:pt>
                <c:pt idx="237">
                  <c:v>3.2596496050778301E-2</c:v>
                </c:pt>
                <c:pt idx="238">
                  <c:v>3.1396569970573163E-2</c:v>
                </c:pt>
                <c:pt idx="239">
                  <c:v>3.4356109177734906E-2</c:v>
                </c:pt>
                <c:pt idx="240">
                  <c:v>3.4454231453393325E-2</c:v>
                </c:pt>
                <c:pt idx="241">
                  <c:v>3.5988859337796164E-2</c:v>
                </c:pt>
                <c:pt idx="242">
                  <c:v>3.5600016003254131E-2</c:v>
                </c:pt>
                <c:pt idx="243">
                  <c:v>3.4216610700552152E-2</c:v>
                </c:pt>
                <c:pt idx="244">
                  <c:v>3.5005734005216116E-2</c:v>
                </c:pt>
                <c:pt idx="245">
                  <c:v>3.6744110591469648E-2</c:v>
                </c:pt>
                <c:pt idx="246">
                  <c:v>3.6822574922932949E-2</c:v>
                </c:pt>
                <c:pt idx="247">
                  <c:v>3.7392734167440045E-2</c:v>
                </c:pt>
                <c:pt idx="248">
                  <c:v>3.8318903147406269E-2</c:v>
                </c:pt>
                <c:pt idx="249">
                  <c:v>3.9893603802197752E-2</c:v>
                </c:pt>
                <c:pt idx="250">
                  <c:v>3.9783329241296128E-2</c:v>
                </c:pt>
                <c:pt idx="251">
                  <c:v>4.0472139237365479E-2</c:v>
                </c:pt>
                <c:pt idx="252">
                  <c:v>4.0694229185133768E-2</c:v>
                </c:pt>
                <c:pt idx="253">
                  <c:v>3.8848870664188961E-2</c:v>
                </c:pt>
                <c:pt idx="254">
                  <c:v>3.9325232796908915E-2</c:v>
                </c:pt>
                <c:pt idx="255">
                  <c:v>4.0720911713249874E-2</c:v>
                </c:pt>
                <c:pt idx="256">
                  <c:v>3.9503415196518565E-2</c:v>
                </c:pt>
                <c:pt idx="257">
                  <c:v>3.9289359797370915E-2</c:v>
                </c:pt>
                <c:pt idx="258">
                  <c:v>3.7519277304228105E-2</c:v>
                </c:pt>
                <c:pt idx="259">
                  <c:v>3.7884549789494182E-2</c:v>
                </c:pt>
                <c:pt idx="260">
                  <c:v>3.5237679501737951E-2</c:v>
                </c:pt>
                <c:pt idx="261">
                  <c:v>3.577596513334913E-2</c:v>
                </c:pt>
                <c:pt idx="262">
                  <c:v>3.6361109672193859E-2</c:v>
                </c:pt>
                <c:pt idx="263">
                  <c:v>3.692861550063542E-2</c:v>
                </c:pt>
                <c:pt idx="264">
                  <c:v>3.7221436201924529E-2</c:v>
                </c:pt>
                <c:pt idx="265">
                  <c:v>3.6682543191408845E-2</c:v>
                </c:pt>
                <c:pt idx="266">
                  <c:v>3.6325360928915584E-2</c:v>
                </c:pt>
                <c:pt idx="267">
                  <c:v>3.4495352064385143E-2</c:v>
                </c:pt>
                <c:pt idx="268">
                  <c:v>3.2475669417512121E-2</c:v>
                </c:pt>
                <c:pt idx="269">
                  <c:v>3.5116690584369836E-2</c:v>
                </c:pt>
                <c:pt idx="270">
                  <c:v>3.3453845769677137E-2</c:v>
                </c:pt>
                <c:pt idx="271">
                  <c:v>3.7145922661949049E-2</c:v>
                </c:pt>
                <c:pt idx="272">
                  <c:v>3.8765311898796728E-2</c:v>
                </c:pt>
                <c:pt idx="273">
                  <c:v>3.9680968817884299E-2</c:v>
                </c:pt>
                <c:pt idx="274">
                  <c:v>4.0754667529056876E-2</c:v>
                </c:pt>
                <c:pt idx="275">
                  <c:v>4.4025162369878856E-2</c:v>
                </c:pt>
                <c:pt idx="276">
                  <c:v>4.420243519489353E-2</c:v>
                </c:pt>
                <c:pt idx="277">
                  <c:v>4.3916487840061524E-2</c:v>
                </c:pt>
                <c:pt idx="278">
                  <c:v>4.2996152680401911E-2</c:v>
                </c:pt>
                <c:pt idx="279">
                  <c:v>4.3763766046928776E-2</c:v>
                </c:pt>
                <c:pt idx="280">
                  <c:v>4.3676519601955066E-2</c:v>
                </c:pt>
                <c:pt idx="281">
                  <c:v>4.5091528966039629E-2</c:v>
                </c:pt>
                <c:pt idx="282">
                  <c:v>4.5408284438702706E-2</c:v>
                </c:pt>
                <c:pt idx="283">
                  <c:v>4.6755179454600837E-2</c:v>
                </c:pt>
                <c:pt idx="284">
                  <c:v>4.467779203174671E-2</c:v>
                </c:pt>
                <c:pt idx="285">
                  <c:v>4.4116035453264812E-2</c:v>
                </c:pt>
                <c:pt idx="286">
                  <c:v>4.5890835206315428E-2</c:v>
                </c:pt>
                <c:pt idx="287">
                  <c:v>4.3869724723551551E-2</c:v>
                </c:pt>
                <c:pt idx="288">
                  <c:v>4.1458749876288836E-2</c:v>
                </c:pt>
                <c:pt idx="289">
                  <c:v>4.426754919044118E-2</c:v>
                </c:pt>
                <c:pt idx="290">
                  <c:v>4.4477591931895377E-2</c:v>
                </c:pt>
                <c:pt idx="291">
                  <c:v>4.4313740961883008E-2</c:v>
                </c:pt>
                <c:pt idx="292">
                  <c:v>4.0668867661945329E-2</c:v>
                </c:pt>
                <c:pt idx="293">
                  <c:v>4.0928189110366997E-2</c:v>
                </c:pt>
                <c:pt idx="294">
                  <c:v>4.0391453802870014E-2</c:v>
                </c:pt>
                <c:pt idx="295">
                  <c:v>4.1387526522796758E-2</c:v>
                </c:pt>
                <c:pt idx="296">
                  <c:v>3.8999612580064902E-2</c:v>
                </c:pt>
                <c:pt idx="297">
                  <c:v>4.1152676121033016E-2</c:v>
                </c:pt>
                <c:pt idx="298">
                  <c:v>4.1180702835069471E-2</c:v>
                </c:pt>
                <c:pt idx="299">
                  <c:v>4.2186665512797816E-2</c:v>
                </c:pt>
                <c:pt idx="300">
                  <c:v>4.3109172516644811E-2</c:v>
                </c:pt>
                <c:pt idx="301">
                  <c:v>4.3930943954667345E-2</c:v>
                </c:pt>
                <c:pt idx="302">
                  <c:v>4.3327544544094376E-2</c:v>
                </c:pt>
                <c:pt idx="303">
                  <c:v>4.3436982983977135E-2</c:v>
                </c:pt>
                <c:pt idx="304">
                  <c:v>4.3462794670790839E-2</c:v>
                </c:pt>
                <c:pt idx="305">
                  <c:v>4.313492266178387E-2</c:v>
                </c:pt>
                <c:pt idx="306">
                  <c:v>4.1193138091335957E-2</c:v>
                </c:pt>
                <c:pt idx="307">
                  <c:v>4.1166922768557379E-2</c:v>
                </c:pt>
                <c:pt idx="308">
                  <c:v>4.2583102865459521E-2</c:v>
                </c:pt>
                <c:pt idx="309">
                  <c:v>4.3349180391102582E-2</c:v>
                </c:pt>
                <c:pt idx="310">
                  <c:v>4.2421361094277188E-2</c:v>
                </c:pt>
                <c:pt idx="311">
                  <c:v>4.2133776450906879E-2</c:v>
                </c:pt>
                <c:pt idx="312">
                  <c:v>4.243726946163151E-2</c:v>
                </c:pt>
                <c:pt idx="313">
                  <c:v>4.2686385618222467E-2</c:v>
                </c:pt>
                <c:pt idx="314">
                  <c:v>4.3690468240350944E-2</c:v>
                </c:pt>
                <c:pt idx="315">
                  <c:v>4.4867337633609949E-2</c:v>
                </c:pt>
                <c:pt idx="316">
                  <c:v>4.5177709254301535E-2</c:v>
                </c:pt>
                <c:pt idx="317">
                  <c:v>4.5985862680947065E-2</c:v>
                </c:pt>
                <c:pt idx="318">
                  <c:v>4.6844690322817684E-2</c:v>
                </c:pt>
                <c:pt idx="319">
                  <c:v>4.7326881555259215E-2</c:v>
                </c:pt>
                <c:pt idx="320">
                  <c:v>4.7440358596040566E-2</c:v>
                </c:pt>
                <c:pt idx="321">
                  <c:v>4.7584679357297821E-2</c:v>
                </c:pt>
                <c:pt idx="322">
                  <c:v>4.8952071011512777E-2</c:v>
                </c:pt>
                <c:pt idx="323">
                  <c:v>4.927536453716308E-2</c:v>
                </c:pt>
                <c:pt idx="324">
                  <c:v>4.7732301133954991E-2</c:v>
                </c:pt>
                <c:pt idx="325">
                  <c:v>4.7299182051086408E-2</c:v>
                </c:pt>
                <c:pt idx="326">
                  <c:v>4.798878418824204E-2</c:v>
                </c:pt>
                <c:pt idx="327">
                  <c:v>4.9320223993823742E-2</c:v>
                </c:pt>
                <c:pt idx="328">
                  <c:v>4.9359455583846357E-2</c:v>
                </c:pt>
                <c:pt idx="329">
                  <c:v>4.9378187844250743E-2</c:v>
                </c:pt>
                <c:pt idx="330">
                  <c:v>4.9878706585659627E-2</c:v>
                </c:pt>
                <c:pt idx="331">
                  <c:v>4.8989270979445276E-2</c:v>
                </c:pt>
                <c:pt idx="332">
                  <c:v>4.9147134734958353E-2</c:v>
                </c:pt>
                <c:pt idx="333">
                  <c:v>4.955554492345482E-2</c:v>
                </c:pt>
                <c:pt idx="334">
                  <c:v>5.1430921561874898E-2</c:v>
                </c:pt>
                <c:pt idx="335">
                  <c:v>5.1789672160265976E-2</c:v>
                </c:pt>
                <c:pt idx="336">
                  <c:v>5.3781903008272236E-2</c:v>
                </c:pt>
                <c:pt idx="337">
                  <c:v>5.2667704993967224E-2</c:v>
                </c:pt>
                <c:pt idx="338">
                  <c:v>5.2912154525537991E-2</c:v>
                </c:pt>
                <c:pt idx="339">
                  <c:v>5.0784490232470114E-2</c:v>
                </c:pt>
                <c:pt idx="340">
                  <c:v>5.0066988231235676E-2</c:v>
                </c:pt>
                <c:pt idx="341">
                  <c:v>5.1139963533302524E-2</c:v>
                </c:pt>
                <c:pt idx="342">
                  <c:v>5.2947441246725235E-2</c:v>
                </c:pt>
                <c:pt idx="343">
                  <c:v>5.2807382457527918E-2</c:v>
                </c:pt>
                <c:pt idx="344">
                  <c:v>5.1206022043670751E-2</c:v>
                </c:pt>
                <c:pt idx="345">
                  <c:v>5.1920328758650935E-2</c:v>
                </c:pt>
                <c:pt idx="346">
                  <c:v>5.1503622170901764E-2</c:v>
                </c:pt>
                <c:pt idx="347">
                  <c:v>5.1983338225725761E-2</c:v>
                </c:pt>
                <c:pt idx="348">
                  <c:v>5.2154522229206579E-2</c:v>
                </c:pt>
                <c:pt idx="349">
                  <c:v>5.2892934755593091E-2</c:v>
                </c:pt>
                <c:pt idx="350">
                  <c:v>5.4883704794139065E-2</c:v>
                </c:pt>
                <c:pt idx="351">
                  <c:v>5.6068833599246082E-2</c:v>
                </c:pt>
                <c:pt idx="352">
                  <c:v>5.6591560672343277E-2</c:v>
                </c:pt>
                <c:pt idx="353">
                  <c:v>5.6373045508739228E-2</c:v>
                </c:pt>
                <c:pt idx="354">
                  <c:v>5.7100058528658293E-2</c:v>
                </c:pt>
                <c:pt idx="355">
                  <c:v>5.7669134926134236E-2</c:v>
                </c:pt>
                <c:pt idx="356">
                  <c:v>5.764401101946337E-2</c:v>
                </c:pt>
                <c:pt idx="357">
                  <c:v>5.7534165460796372E-2</c:v>
                </c:pt>
                <c:pt idx="358">
                  <c:v>5.7854511500040839E-2</c:v>
                </c:pt>
                <c:pt idx="359">
                  <c:v>5.8108573018988974E-2</c:v>
                </c:pt>
                <c:pt idx="360">
                  <c:v>5.7615336731271949E-2</c:v>
                </c:pt>
                <c:pt idx="361">
                  <c:v>5.9122644234546717E-2</c:v>
                </c:pt>
                <c:pt idx="362">
                  <c:v>5.9963575475652897E-2</c:v>
                </c:pt>
                <c:pt idx="363">
                  <c:v>6.000283599341194E-2</c:v>
                </c:pt>
                <c:pt idx="364">
                  <c:v>6.0064756103688888E-2</c:v>
                </c:pt>
                <c:pt idx="365">
                  <c:v>5.9922647156684938E-2</c:v>
                </c:pt>
                <c:pt idx="366">
                  <c:v>6.1949539711224411E-2</c:v>
                </c:pt>
                <c:pt idx="367">
                  <c:v>6.3183587410785558E-2</c:v>
                </c:pt>
                <c:pt idx="368">
                  <c:v>6.3664135844891723E-2</c:v>
                </c:pt>
                <c:pt idx="369">
                  <c:v>6.4200284523183715E-2</c:v>
                </c:pt>
                <c:pt idx="370">
                  <c:v>6.3229140683759955E-2</c:v>
                </c:pt>
                <c:pt idx="371">
                  <c:v>6.2817472737962676E-2</c:v>
                </c:pt>
                <c:pt idx="372">
                  <c:v>6.2416641226239244E-2</c:v>
                </c:pt>
                <c:pt idx="373">
                  <c:v>6.2525589189769137E-2</c:v>
                </c:pt>
                <c:pt idx="374">
                  <c:v>6.1696258062802656E-2</c:v>
                </c:pt>
                <c:pt idx="375">
                  <c:v>6.2656798768939925E-2</c:v>
                </c:pt>
                <c:pt idx="376">
                  <c:v>6.2939143925545116E-2</c:v>
                </c:pt>
                <c:pt idx="377">
                  <c:v>6.0495940365651313E-2</c:v>
                </c:pt>
                <c:pt idx="378">
                  <c:v>6.0891231803510637E-2</c:v>
                </c:pt>
                <c:pt idx="379">
                  <c:v>5.9362191258483854E-2</c:v>
                </c:pt>
                <c:pt idx="380">
                  <c:v>6.0125302203049236E-2</c:v>
                </c:pt>
                <c:pt idx="381">
                  <c:v>6.2452641104518314E-2</c:v>
                </c:pt>
                <c:pt idx="382">
                  <c:v>6.3731474169798519E-2</c:v>
                </c:pt>
                <c:pt idx="383">
                  <c:v>6.4169588592963178E-2</c:v>
                </c:pt>
                <c:pt idx="384">
                  <c:v>6.4564114176458798E-2</c:v>
                </c:pt>
                <c:pt idx="385">
                  <c:v>6.3771334060243268E-2</c:v>
                </c:pt>
                <c:pt idx="386">
                  <c:v>5.9857992049560327E-2</c:v>
                </c:pt>
                <c:pt idx="387">
                  <c:v>6.0534586267624757E-2</c:v>
                </c:pt>
                <c:pt idx="388">
                  <c:v>6.1885355857954627E-2</c:v>
                </c:pt>
                <c:pt idx="389">
                  <c:v>6.4295876640834138E-2</c:v>
                </c:pt>
                <c:pt idx="390">
                  <c:v>6.5678440489076007E-2</c:v>
                </c:pt>
                <c:pt idx="391">
                  <c:v>6.5571429732391495E-2</c:v>
                </c:pt>
                <c:pt idx="392">
                  <c:v>6.3971295103429693E-2</c:v>
                </c:pt>
                <c:pt idx="393">
                  <c:v>6.4264284651892156E-2</c:v>
                </c:pt>
                <c:pt idx="394">
                  <c:v>6.5559963047562286E-2</c:v>
                </c:pt>
                <c:pt idx="395">
                  <c:v>6.5421069241720087E-2</c:v>
                </c:pt>
                <c:pt idx="396">
                  <c:v>6.5329845894797733E-2</c:v>
                </c:pt>
                <c:pt idx="397">
                  <c:v>6.5244763477670498E-2</c:v>
                </c:pt>
                <c:pt idx="398">
                  <c:v>6.4917407249165615E-2</c:v>
                </c:pt>
                <c:pt idx="399">
                  <c:v>6.6987008608080822E-2</c:v>
                </c:pt>
                <c:pt idx="400">
                  <c:v>6.7649397290123314E-2</c:v>
                </c:pt>
                <c:pt idx="401">
                  <c:v>6.7921637263834933E-2</c:v>
                </c:pt>
                <c:pt idx="402">
                  <c:v>6.7838795257101125E-2</c:v>
                </c:pt>
                <c:pt idx="403">
                  <c:v>6.8103538825471821E-2</c:v>
                </c:pt>
                <c:pt idx="404">
                  <c:v>6.8792981857186852E-2</c:v>
                </c:pt>
                <c:pt idx="405">
                  <c:v>6.8698217041211151E-2</c:v>
                </c:pt>
                <c:pt idx="406">
                  <c:v>6.6759232994524353E-2</c:v>
                </c:pt>
                <c:pt idx="407">
                  <c:v>6.3876667178878632E-2</c:v>
                </c:pt>
                <c:pt idx="408">
                  <c:v>6.5767821308866159E-2</c:v>
                </c:pt>
                <c:pt idx="409">
                  <c:v>6.6106821762933921E-2</c:v>
                </c:pt>
                <c:pt idx="410">
                  <c:v>6.6549685154160931E-2</c:v>
                </c:pt>
                <c:pt idx="411">
                  <c:v>6.7523400919547338E-2</c:v>
                </c:pt>
                <c:pt idx="412">
                  <c:v>6.7718759479099111E-2</c:v>
                </c:pt>
                <c:pt idx="413">
                  <c:v>6.8717164210465587E-2</c:v>
                </c:pt>
                <c:pt idx="414">
                  <c:v>6.8037548999542397E-2</c:v>
                </c:pt>
                <c:pt idx="415">
                  <c:v>6.8917441168671489E-2</c:v>
                </c:pt>
                <c:pt idx="416">
                  <c:v>6.8764473829661332E-2</c:v>
                </c:pt>
                <c:pt idx="417">
                  <c:v>6.922576371947331E-2</c:v>
                </c:pt>
                <c:pt idx="418">
                  <c:v>6.9331831397456467E-2</c:v>
                </c:pt>
                <c:pt idx="419">
                  <c:v>6.9530558130229903E-2</c:v>
                </c:pt>
                <c:pt idx="420">
                  <c:v>6.9028034435802521E-2</c:v>
                </c:pt>
                <c:pt idx="421">
                  <c:v>7.0163826330367218E-2</c:v>
                </c:pt>
                <c:pt idx="422">
                  <c:v>6.8977224014001415E-2</c:v>
                </c:pt>
                <c:pt idx="423">
                  <c:v>7.2136349441848102E-2</c:v>
                </c:pt>
                <c:pt idx="424">
                  <c:v>7.0869113397736605E-2</c:v>
                </c:pt>
                <c:pt idx="425">
                  <c:v>7.2028531890527603E-2</c:v>
                </c:pt>
                <c:pt idx="426">
                  <c:v>7.1673437783507321E-2</c:v>
                </c:pt>
                <c:pt idx="427">
                  <c:v>7.287532014977538E-2</c:v>
                </c:pt>
                <c:pt idx="428">
                  <c:v>7.3009411466801843E-2</c:v>
                </c:pt>
                <c:pt idx="429">
                  <c:v>7.117844839670795E-2</c:v>
                </c:pt>
                <c:pt idx="430">
                  <c:v>6.8065522941116008E-2</c:v>
                </c:pt>
                <c:pt idx="431">
                  <c:v>6.8005325911831394E-2</c:v>
                </c:pt>
                <c:pt idx="432">
                  <c:v>7.0056280789574155E-2</c:v>
                </c:pt>
                <c:pt idx="433">
                  <c:v>7.3097801855428024E-2</c:v>
                </c:pt>
                <c:pt idx="434">
                  <c:v>7.4295800506825271E-2</c:v>
                </c:pt>
                <c:pt idx="435">
                  <c:v>7.4332155158389979E-2</c:v>
                </c:pt>
                <c:pt idx="436">
                  <c:v>7.2305711371363657E-2</c:v>
                </c:pt>
                <c:pt idx="437">
                  <c:v>7.295288048386106E-2</c:v>
                </c:pt>
                <c:pt idx="438">
                  <c:v>7.3744939651542829E-2</c:v>
                </c:pt>
                <c:pt idx="439">
                  <c:v>7.4282515019915119E-2</c:v>
                </c:pt>
                <c:pt idx="440">
                  <c:v>7.2858602941081374E-2</c:v>
                </c:pt>
                <c:pt idx="441">
                  <c:v>7.3401842016111551E-2</c:v>
                </c:pt>
                <c:pt idx="442">
                  <c:v>7.1993471672107567E-2</c:v>
                </c:pt>
                <c:pt idx="443">
                  <c:v>7.2877094625128702E-2</c:v>
                </c:pt>
                <c:pt idx="444">
                  <c:v>7.264954807171331E-2</c:v>
                </c:pt>
                <c:pt idx="445">
                  <c:v>7.2018643000200333E-2</c:v>
                </c:pt>
                <c:pt idx="446">
                  <c:v>7.2436224246584135E-2</c:v>
                </c:pt>
                <c:pt idx="447">
                  <c:v>7.3354913524396492E-2</c:v>
                </c:pt>
                <c:pt idx="448">
                  <c:v>7.4528357841706194E-2</c:v>
                </c:pt>
                <c:pt idx="449">
                  <c:v>7.4719780198430952E-2</c:v>
                </c:pt>
                <c:pt idx="450">
                  <c:v>7.5544702500433214E-2</c:v>
                </c:pt>
                <c:pt idx="451">
                  <c:v>7.5264150863467272E-2</c:v>
                </c:pt>
                <c:pt idx="452">
                  <c:v>7.6093197147766967E-2</c:v>
                </c:pt>
                <c:pt idx="453">
                  <c:v>7.5597253894231553E-2</c:v>
                </c:pt>
                <c:pt idx="454">
                  <c:v>7.6625324259444572E-2</c:v>
                </c:pt>
                <c:pt idx="455">
                  <c:v>7.6159116933541382E-2</c:v>
                </c:pt>
                <c:pt idx="456">
                  <c:v>7.4666326902827596E-2</c:v>
                </c:pt>
                <c:pt idx="457">
                  <c:v>7.5669596701407826E-2</c:v>
                </c:pt>
                <c:pt idx="458">
                  <c:v>7.3885865095846937E-2</c:v>
                </c:pt>
                <c:pt idx="459">
                  <c:v>7.4711322153702797E-2</c:v>
                </c:pt>
                <c:pt idx="460">
                  <c:v>7.5852707240819717E-2</c:v>
                </c:pt>
                <c:pt idx="461">
                  <c:v>7.5281436430367332E-2</c:v>
                </c:pt>
                <c:pt idx="462">
                  <c:v>7.6670195034174826E-2</c:v>
                </c:pt>
                <c:pt idx="463">
                  <c:v>7.5973145370770379E-2</c:v>
                </c:pt>
                <c:pt idx="464">
                  <c:v>7.6597422090737721E-2</c:v>
                </c:pt>
                <c:pt idx="465">
                  <c:v>7.6656938632249982E-2</c:v>
                </c:pt>
                <c:pt idx="466">
                  <c:v>7.8640800409131684E-2</c:v>
                </c:pt>
                <c:pt idx="467">
                  <c:v>7.7497742582852247E-2</c:v>
                </c:pt>
                <c:pt idx="468">
                  <c:v>7.6126604365089223E-2</c:v>
                </c:pt>
                <c:pt idx="469">
                  <c:v>7.3691733180518249E-2</c:v>
                </c:pt>
                <c:pt idx="470">
                  <c:v>7.4620560532149272E-2</c:v>
                </c:pt>
                <c:pt idx="471">
                  <c:v>7.5045649610588017E-2</c:v>
                </c:pt>
                <c:pt idx="472">
                  <c:v>7.4991949475593733E-2</c:v>
                </c:pt>
                <c:pt idx="473">
                  <c:v>7.4846910147498003E-2</c:v>
                </c:pt>
                <c:pt idx="474">
                  <c:v>7.498525838152581E-2</c:v>
                </c:pt>
                <c:pt idx="475">
                  <c:v>7.5913447119610122E-2</c:v>
                </c:pt>
                <c:pt idx="476">
                  <c:v>6.9763672564817414E-2</c:v>
                </c:pt>
                <c:pt idx="477">
                  <c:v>7.1644592706767707E-2</c:v>
                </c:pt>
                <c:pt idx="478">
                  <c:v>6.9326635620793331E-2</c:v>
                </c:pt>
                <c:pt idx="479">
                  <c:v>6.8981792146883603E-2</c:v>
                </c:pt>
                <c:pt idx="480">
                  <c:v>7.0373681005642119E-2</c:v>
                </c:pt>
                <c:pt idx="481">
                  <c:v>7.2308838363585259E-2</c:v>
                </c:pt>
                <c:pt idx="482">
                  <c:v>7.453105826764439E-2</c:v>
                </c:pt>
                <c:pt idx="483">
                  <c:v>7.4651235532527949E-2</c:v>
                </c:pt>
                <c:pt idx="484">
                  <c:v>7.5398526086337236E-2</c:v>
                </c:pt>
                <c:pt idx="485">
                  <c:v>7.5243954980138694E-2</c:v>
                </c:pt>
                <c:pt idx="486">
                  <c:v>7.6531832679435308E-2</c:v>
                </c:pt>
                <c:pt idx="487">
                  <c:v>7.6709142257445295E-2</c:v>
                </c:pt>
                <c:pt idx="488">
                  <c:v>7.6078534472775017E-2</c:v>
                </c:pt>
                <c:pt idx="489">
                  <c:v>7.6818086688604126E-2</c:v>
                </c:pt>
                <c:pt idx="490">
                  <c:v>7.6616620841170491E-2</c:v>
                </c:pt>
                <c:pt idx="491">
                  <c:v>7.6412427194935129E-2</c:v>
                </c:pt>
                <c:pt idx="492">
                  <c:v>7.3637294704861578E-2</c:v>
                </c:pt>
                <c:pt idx="493">
                  <c:v>7.5944903216926374E-2</c:v>
                </c:pt>
                <c:pt idx="494">
                  <c:v>7.5959544515441957E-2</c:v>
                </c:pt>
                <c:pt idx="495">
                  <c:v>7.7000837015927193E-2</c:v>
                </c:pt>
                <c:pt idx="496">
                  <c:v>7.7116202378527676E-2</c:v>
                </c:pt>
                <c:pt idx="497">
                  <c:v>7.8606711873120627E-2</c:v>
                </c:pt>
                <c:pt idx="498">
                  <c:v>7.89012890851295E-2</c:v>
                </c:pt>
                <c:pt idx="499">
                  <c:v>7.9026803699533632E-2</c:v>
                </c:pt>
                <c:pt idx="500">
                  <c:v>8.0701285934691613E-2</c:v>
                </c:pt>
                <c:pt idx="501">
                  <c:v>8.0541236960146145E-2</c:v>
                </c:pt>
                <c:pt idx="502">
                  <c:v>8.0774196630664985E-2</c:v>
                </c:pt>
                <c:pt idx="503">
                  <c:v>8.054275366585939E-2</c:v>
                </c:pt>
                <c:pt idx="504">
                  <c:v>7.7721158833926385E-2</c:v>
                </c:pt>
                <c:pt idx="505">
                  <c:v>7.7253681276929997E-2</c:v>
                </c:pt>
                <c:pt idx="506">
                  <c:v>7.7624906772082891E-2</c:v>
                </c:pt>
                <c:pt idx="507">
                  <c:v>7.7884101216930679E-2</c:v>
                </c:pt>
                <c:pt idx="508">
                  <c:v>7.8649885413760501E-2</c:v>
                </c:pt>
                <c:pt idx="509">
                  <c:v>7.91712577603505E-2</c:v>
                </c:pt>
                <c:pt idx="510">
                  <c:v>7.949795874759169E-2</c:v>
                </c:pt>
                <c:pt idx="511">
                  <c:v>7.9926936653485381E-2</c:v>
                </c:pt>
                <c:pt idx="512">
                  <c:v>8.0921792555896932E-2</c:v>
                </c:pt>
                <c:pt idx="513">
                  <c:v>8.0141929949328894E-2</c:v>
                </c:pt>
                <c:pt idx="514">
                  <c:v>8.1017019486915309E-2</c:v>
                </c:pt>
                <c:pt idx="515">
                  <c:v>8.2260662206160573E-2</c:v>
                </c:pt>
                <c:pt idx="516">
                  <c:v>8.0626638327971678E-2</c:v>
                </c:pt>
                <c:pt idx="517">
                  <c:v>7.9175351476218347E-2</c:v>
                </c:pt>
                <c:pt idx="518">
                  <c:v>8.1326404935248453E-2</c:v>
                </c:pt>
                <c:pt idx="519">
                  <c:v>8.4478352196057926E-2</c:v>
                </c:pt>
                <c:pt idx="520">
                  <c:v>8.5631586877815913E-2</c:v>
                </c:pt>
                <c:pt idx="521">
                  <c:v>8.6308834216543451E-2</c:v>
                </c:pt>
                <c:pt idx="522">
                  <c:v>8.8512711285397616E-2</c:v>
                </c:pt>
                <c:pt idx="523">
                  <c:v>8.9332837761262773E-2</c:v>
                </c:pt>
                <c:pt idx="524">
                  <c:v>8.9118433252247664E-2</c:v>
                </c:pt>
                <c:pt idx="525">
                  <c:v>8.7878329896037721E-2</c:v>
                </c:pt>
                <c:pt idx="526">
                  <c:v>8.870619121353629E-2</c:v>
                </c:pt>
                <c:pt idx="527">
                  <c:v>8.8263649335485805E-2</c:v>
                </c:pt>
                <c:pt idx="528">
                  <c:v>8.8535446238905857E-2</c:v>
                </c:pt>
                <c:pt idx="529">
                  <c:v>8.9727164468447196E-2</c:v>
                </c:pt>
                <c:pt idx="530">
                  <c:v>9.1033622637751721E-2</c:v>
                </c:pt>
                <c:pt idx="531">
                  <c:v>9.057663145598438E-2</c:v>
                </c:pt>
                <c:pt idx="532">
                  <c:v>9.0927418346898214E-2</c:v>
                </c:pt>
                <c:pt idx="533">
                  <c:v>9.2253434148350966E-2</c:v>
                </c:pt>
                <c:pt idx="534">
                  <c:v>9.2491295901902859E-2</c:v>
                </c:pt>
                <c:pt idx="535">
                  <c:v>9.1063392177285651E-2</c:v>
                </c:pt>
                <c:pt idx="536">
                  <c:v>9.0574607094980664E-2</c:v>
                </c:pt>
                <c:pt idx="537">
                  <c:v>8.9716811077670489E-2</c:v>
                </c:pt>
                <c:pt idx="538">
                  <c:v>8.9828812859030771E-2</c:v>
                </c:pt>
                <c:pt idx="539">
                  <c:v>8.9369798347416873E-2</c:v>
                </c:pt>
                <c:pt idx="540">
                  <c:v>8.9305107731348254E-2</c:v>
                </c:pt>
                <c:pt idx="541">
                  <c:v>9.0077622655973633E-2</c:v>
                </c:pt>
                <c:pt idx="542">
                  <c:v>9.1334203238835565E-2</c:v>
                </c:pt>
                <c:pt idx="543">
                  <c:v>9.2426270221882989E-2</c:v>
                </c:pt>
                <c:pt idx="544">
                  <c:v>9.1219128886142808E-2</c:v>
                </c:pt>
                <c:pt idx="545">
                  <c:v>9.1270991933656287E-2</c:v>
                </c:pt>
                <c:pt idx="546">
                  <c:v>9.3081271866373161E-2</c:v>
                </c:pt>
                <c:pt idx="547">
                  <c:v>9.4327358658556459E-2</c:v>
                </c:pt>
                <c:pt idx="548">
                  <c:v>9.4156747311681555E-2</c:v>
                </c:pt>
                <c:pt idx="549">
                  <c:v>9.3787149261055136E-2</c:v>
                </c:pt>
                <c:pt idx="550">
                  <c:v>9.4547327590729813E-2</c:v>
                </c:pt>
                <c:pt idx="551">
                  <c:v>9.4879875619515719E-2</c:v>
                </c:pt>
                <c:pt idx="552">
                  <c:v>9.533409592783304E-2</c:v>
                </c:pt>
                <c:pt idx="553">
                  <c:v>9.6677179736661234E-2</c:v>
                </c:pt>
                <c:pt idx="554">
                  <c:v>9.8230422369837589E-2</c:v>
                </c:pt>
                <c:pt idx="555">
                  <c:v>0.10042898508509679</c:v>
                </c:pt>
                <c:pt idx="556">
                  <c:v>0.10235127842008618</c:v>
                </c:pt>
                <c:pt idx="557">
                  <c:v>0.10355621808637805</c:v>
                </c:pt>
                <c:pt idx="558">
                  <c:v>0.10367544664735906</c:v>
                </c:pt>
                <c:pt idx="559">
                  <c:v>0.10517268362009613</c:v>
                </c:pt>
                <c:pt idx="560">
                  <c:v>0.10520105933620938</c:v>
                </c:pt>
                <c:pt idx="561">
                  <c:v>0.1052564285991</c:v>
                </c:pt>
                <c:pt idx="562">
                  <c:v>0.10459234184618205</c:v>
                </c:pt>
                <c:pt idx="563">
                  <c:v>0.10405247815532004</c:v>
                </c:pt>
                <c:pt idx="564">
                  <c:v>0.10765220706109169</c:v>
                </c:pt>
                <c:pt idx="565">
                  <c:v>0.10855310516627292</c:v>
                </c:pt>
                <c:pt idx="566">
                  <c:v>0.10838671423021129</c:v>
                </c:pt>
                <c:pt idx="567">
                  <c:v>0.10757356631693837</c:v>
                </c:pt>
                <c:pt idx="568">
                  <c:v>0.1085485508873496</c:v>
                </c:pt>
                <c:pt idx="569">
                  <c:v>0.11013698242469006</c:v>
                </c:pt>
                <c:pt idx="570">
                  <c:v>0.10930353758763789</c:v>
                </c:pt>
                <c:pt idx="571">
                  <c:v>0.10966527552670446</c:v>
                </c:pt>
                <c:pt idx="572">
                  <c:v>0.11121945857790694</c:v>
                </c:pt>
                <c:pt idx="573">
                  <c:v>0.11075503874102521</c:v>
                </c:pt>
                <c:pt idx="574">
                  <c:v>0.11068294367154019</c:v>
                </c:pt>
                <c:pt idx="575">
                  <c:v>0.1123927190039451</c:v>
                </c:pt>
                <c:pt idx="576">
                  <c:v>0.11301933577105849</c:v>
                </c:pt>
                <c:pt idx="577">
                  <c:v>0.11006828794024281</c:v>
                </c:pt>
                <c:pt idx="578">
                  <c:v>0.10913552456617048</c:v>
                </c:pt>
                <c:pt idx="579">
                  <c:v>0.1082477247436151</c:v>
                </c:pt>
                <c:pt idx="580">
                  <c:v>0.10890858399409464</c:v>
                </c:pt>
                <c:pt idx="581">
                  <c:v>0.11193316912450535</c:v>
                </c:pt>
                <c:pt idx="582">
                  <c:v>0.11367291254243339</c:v>
                </c:pt>
                <c:pt idx="583">
                  <c:v>0.11197792357636516</c:v>
                </c:pt>
                <c:pt idx="584">
                  <c:v>0.11367499491702526</c:v>
                </c:pt>
                <c:pt idx="585">
                  <c:v>0.11505297752155808</c:v>
                </c:pt>
                <c:pt idx="586">
                  <c:v>0.11400655622500233</c:v>
                </c:pt>
                <c:pt idx="587">
                  <c:v>0.11250138244907704</c:v>
                </c:pt>
                <c:pt idx="588">
                  <c:v>0.10798405042017345</c:v>
                </c:pt>
                <c:pt idx="589">
                  <c:v>0.10871663507746132</c:v>
                </c:pt>
                <c:pt idx="590">
                  <c:v>0.10901718655428128</c:v>
                </c:pt>
                <c:pt idx="591">
                  <c:v>0.10799076730815438</c:v>
                </c:pt>
                <c:pt idx="592">
                  <c:v>0.11195187057712763</c:v>
                </c:pt>
                <c:pt idx="593">
                  <c:v>0.11205499048327061</c:v>
                </c:pt>
                <c:pt idx="594">
                  <c:v>0.11435443961170177</c:v>
                </c:pt>
                <c:pt idx="595">
                  <c:v>0.11174174888917565</c:v>
                </c:pt>
                <c:pt idx="596">
                  <c:v>0.11302918051587141</c:v>
                </c:pt>
                <c:pt idx="597">
                  <c:v>0.11362746328953288</c:v>
                </c:pt>
                <c:pt idx="598">
                  <c:v>0.11490540877816757</c:v>
                </c:pt>
                <c:pt idx="599">
                  <c:v>0.11342608392421383</c:v>
                </c:pt>
                <c:pt idx="600">
                  <c:v>0.11552248498175177</c:v>
                </c:pt>
                <c:pt idx="601">
                  <c:v>0.11797959882361631</c:v>
                </c:pt>
                <c:pt idx="602">
                  <c:v>0.11913798617383753</c:v>
                </c:pt>
                <c:pt idx="603">
                  <c:v>0.11948635689466758</c:v>
                </c:pt>
                <c:pt idx="604">
                  <c:v>0.11853467883319579</c:v>
                </c:pt>
                <c:pt idx="605">
                  <c:v>0.11861084046400494</c:v>
                </c:pt>
                <c:pt idx="606">
                  <c:v>0.11994092639906406</c:v>
                </c:pt>
                <c:pt idx="607">
                  <c:v>0.11893089458649242</c:v>
                </c:pt>
                <c:pt idx="608">
                  <c:v>0.11844207183529698</c:v>
                </c:pt>
                <c:pt idx="609">
                  <c:v>0.11842560092761611</c:v>
                </c:pt>
                <c:pt idx="610">
                  <c:v>0.11957769280900354</c:v>
                </c:pt>
                <c:pt idx="611">
                  <c:v>0.11951282178781364</c:v>
                </c:pt>
                <c:pt idx="612">
                  <c:v>0.11726266312526734</c:v>
                </c:pt>
                <c:pt idx="613">
                  <c:v>0.11611027604395407</c:v>
                </c:pt>
                <c:pt idx="614">
                  <c:v>0.1170491868072614</c:v>
                </c:pt>
                <c:pt idx="615">
                  <c:v>0.11816942010291864</c:v>
                </c:pt>
                <c:pt idx="616">
                  <c:v>0.1168157722199985</c:v>
                </c:pt>
                <c:pt idx="617">
                  <c:v>0.11627404199360258</c:v>
                </c:pt>
                <c:pt idx="618">
                  <c:v>0.11689603408062488</c:v>
                </c:pt>
                <c:pt idx="619">
                  <c:v>0.11608018350910232</c:v>
                </c:pt>
                <c:pt idx="620">
                  <c:v>0.1162500893601921</c:v>
                </c:pt>
                <c:pt idx="621">
                  <c:v>0.11696873824474374</c:v>
                </c:pt>
                <c:pt idx="622">
                  <c:v>0.11831407689277862</c:v>
                </c:pt>
                <c:pt idx="623">
                  <c:v>0.12065711414708757</c:v>
                </c:pt>
                <c:pt idx="624">
                  <c:v>0.12014619724437492</c:v>
                </c:pt>
                <c:pt idx="625">
                  <c:v>0.1192587595810819</c:v>
                </c:pt>
                <c:pt idx="626">
                  <c:v>0.11815998860078092</c:v>
                </c:pt>
                <c:pt idx="627">
                  <c:v>0.11926383366247117</c:v>
                </c:pt>
                <c:pt idx="628">
                  <c:v>0.11861422579771563</c:v>
                </c:pt>
                <c:pt idx="629">
                  <c:v>0.11781159506158545</c:v>
                </c:pt>
                <c:pt idx="630">
                  <c:v>0.1200958405999355</c:v>
                </c:pt>
                <c:pt idx="631">
                  <c:v>0.12024132369759544</c:v>
                </c:pt>
                <c:pt idx="632">
                  <c:v>0.12020999241540697</c:v>
                </c:pt>
                <c:pt idx="633">
                  <c:v>0.11852983598531064</c:v>
                </c:pt>
                <c:pt idx="634">
                  <c:v>0.11912490731036618</c:v>
                </c:pt>
                <c:pt idx="635">
                  <c:v>0.12062364533442538</c:v>
                </c:pt>
                <c:pt idx="636">
                  <c:v>0.12060646424932009</c:v>
                </c:pt>
                <c:pt idx="637">
                  <c:v>0.12170729163933958</c:v>
                </c:pt>
                <c:pt idx="638">
                  <c:v>0.12230151431159531</c:v>
                </c:pt>
                <c:pt idx="639">
                  <c:v>0.12342580982039442</c:v>
                </c:pt>
                <c:pt idx="640">
                  <c:v>0.123230926231233</c:v>
                </c:pt>
                <c:pt idx="641">
                  <c:v>0.12239789331662698</c:v>
                </c:pt>
                <c:pt idx="642">
                  <c:v>0.12156788092773185</c:v>
                </c:pt>
                <c:pt idx="643">
                  <c:v>0.12183331736129643</c:v>
                </c:pt>
                <c:pt idx="644">
                  <c:v>0.12369315737944242</c:v>
                </c:pt>
                <c:pt idx="645">
                  <c:v>0.12310059962046727</c:v>
                </c:pt>
                <c:pt idx="646">
                  <c:v>0.12389811326430022</c:v>
                </c:pt>
                <c:pt idx="647">
                  <c:v>0.12351148965742142</c:v>
                </c:pt>
                <c:pt idx="648">
                  <c:v>0.12463164583161435</c:v>
                </c:pt>
                <c:pt idx="649">
                  <c:v>0.12641345831025386</c:v>
                </c:pt>
                <c:pt idx="650">
                  <c:v>0.12593623056040504</c:v>
                </c:pt>
                <c:pt idx="651">
                  <c:v>0.12763994991356298</c:v>
                </c:pt>
                <c:pt idx="652">
                  <c:v>0.12929565606354543</c:v>
                </c:pt>
                <c:pt idx="653">
                  <c:v>0.12811905396903178</c:v>
                </c:pt>
                <c:pt idx="654">
                  <c:v>0.12835891096460639</c:v>
                </c:pt>
                <c:pt idx="655">
                  <c:v>0.12728733637940359</c:v>
                </c:pt>
                <c:pt idx="656">
                  <c:v>0.13183110644106777</c:v>
                </c:pt>
                <c:pt idx="657">
                  <c:v>0.13271693741263579</c:v>
                </c:pt>
                <c:pt idx="658">
                  <c:v>0.13210171755953248</c:v>
                </c:pt>
                <c:pt idx="659">
                  <c:v>0.13420242864178489</c:v>
                </c:pt>
                <c:pt idx="660">
                  <c:v>0.13637685336383054</c:v>
                </c:pt>
                <c:pt idx="661">
                  <c:v>0.13584477725149635</c:v>
                </c:pt>
                <c:pt idx="662">
                  <c:v>0.13660988728848555</c:v>
                </c:pt>
                <c:pt idx="663">
                  <c:v>0.13791477233280847</c:v>
                </c:pt>
                <c:pt idx="664">
                  <c:v>0.14060969198701856</c:v>
                </c:pt>
                <c:pt idx="665">
                  <c:v>0.14051222044363043</c:v>
                </c:pt>
                <c:pt idx="666">
                  <c:v>0.14165647896033162</c:v>
                </c:pt>
                <c:pt idx="667">
                  <c:v>0.14300481701860179</c:v>
                </c:pt>
                <c:pt idx="668">
                  <c:v>0.14236020443701358</c:v>
                </c:pt>
                <c:pt idx="669">
                  <c:v>0.14241050249535037</c:v>
                </c:pt>
                <c:pt idx="670">
                  <c:v>0.14436479734048757</c:v>
                </c:pt>
                <c:pt idx="671">
                  <c:v>0.14557317842065642</c:v>
                </c:pt>
                <c:pt idx="672">
                  <c:v>0.14747526684997769</c:v>
                </c:pt>
                <c:pt idx="673">
                  <c:v>0.14603927628783309</c:v>
                </c:pt>
                <c:pt idx="674">
                  <c:v>0.14561601952269476</c:v>
                </c:pt>
                <c:pt idx="675">
                  <c:v>0.14622587168211854</c:v>
                </c:pt>
                <c:pt idx="676">
                  <c:v>0.14690572903118482</c:v>
                </c:pt>
                <c:pt idx="677">
                  <c:v>0.14783076666758621</c:v>
                </c:pt>
                <c:pt idx="678">
                  <c:v>0.14878479993282179</c:v>
                </c:pt>
                <c:pt idx="679">
                  <c:v>0.14885421242041819</c:v>
                </c:pt>
                <c:pt idx="680">
                  <c:v>0.14806405221528784</c:v>
                </c:pt>
                <c:pt idx="681">
                  <c:v>0.1485779852463196</c:v>
                </c:pt>
                <c:pt idx="682">
                  <c:v>0.1500072895483695</c:v>
                </c:pt>
                <c:pt idx="683">
                  <c:v>0.15049607529236031</c:v>
                </c:pt>
                <c:pt idx="684">
                  <c:v>0.15155008654256497</c:v>
                </c:pt>
                <c:pt idx="685">
                  <c:v>0.15156071886384992</c:v>
                </c:pt>
                <c:pt idx="686">
                  <c:v>0.15246375593613903</c:v>
                </c:pt>
                <c:pt idx="687">
                  <c:v>0.15224358338173904</c:v>
                </c:pt>
                <c:pt idx="688">
                  <c:v>0.1520502892831026</c:v>
                </c:pt>
                <c:pt idx="689">
                  <c:v>0.15280698195162024</c:v>
                </c:pt>
                <c:pt idx="690">
                  <c:v>0.15346512686224356</c:v>
                </c:pt>
                <c:pt idx="691">
                  <c:v>0.15406114735630227</c:v>
                </c:pt>
                <c:pt idx="692">
                  <c:v>0.15323436476773034</c:v>
                </c:pt>
                <c:pt idx="693">
                  <c:v>0.15516026353151191</c:v>
                </c:pt>
                <c:pt idx="694">
                  <c:v>0.15641685847761688</c:v>
                </c:pt>
                <c:pt idx="695">
                  <c:v>0.15732056920414772</c:v>
                </c:pt>
                <c:pt idx="696">
                  <c:v>0.15765301607784221</c:v>
                </c:pt>
                <c:pt idx="697">
                  <c:v>0.15706053400792164</c:v>
                </c:pt>
                <c:pt idx="698">
                  <c:v>0.15753124648738415</c:v>
                </c:pt>
                <c:pt idx="699">
                  <c:v>0.15839896559391553</c:v>
                </c:pt>
                <c:pt idx="700">
                  <c:v>0.15812049816588747</c:v>
                </c:pt>
                <c:pt idx="701">
                  <c:v>0.15906221405327536</c:v>
                </c:pt>
                <c:pt idx="702">
                  <c:v>0.16070971615078711</c:v>
                </c:pt>
                <c:pt idx="703">
                  <c:v>0.16120057647027486</c:v>
                </c:pt>
                <c:pt idx="704">
                  <c:v>0.16190044285953342</c:v>
                </c:pt>
                <c:pt idx="705">
                  <c:v>0.15973516128369969</c:v>
                </c:pt>
                <c:pt idx="706">
                  <c:v>0.15826195741925786</c:v>
                </c:pt>
                <c:pt idx="707">
                  <c:v>0.15864045997341347</c:v>
                </c:pt>
                <c:pt idx="708">
                  <c:v>0.15617557306868668</c:v>
                </c:pt>
                <c:pt idx="709">
                  <c:v>0.15776638778670304</c:v>
                </c:pt>
                <c:pt idx="710">
                  <c:v>0.16088144066564913</c:v>
                </c:pt>
              </c:numCache>
            </c:numRef>
          </c:val>
          <c:smooth val="1"/>
          <c:extLst>
            <c:ext xmlns:c16="http://schemas.microsoft.com/office/drawing/2014/chart" uri="{C3380CC4-5D6E-409C-BE32-E72D297353CC}">
              <c16:uniqueId val="{00000007-2EA0-43A0-9CB9-F40B4D364F0E}"/>
            </c:ext>
          </c:extLst>
        </c:ser>
        <c:ser>
          <c:idx val="6"/>
          <c:order val="6"/>
          <c:tx>
            <c:strRef>
              <c:f>'Strategy AccReturns'!$H$2</c:f>
              <c:strCache>
                <c:ptCount val="1"/>
                <c:pt idx="0">
                  <c:v>RV BR</c:v>
                </c:pt>
              </c:strCache>
            </c:strRef>
          </c:tx>
          <c:spPr>
            <a:ln w="25400" cap="rnd">
              <a:solidFill>
                <a:schemeClr val="accent1">
                  <a:lumMod val="60000"/>
                </a:schemeClr>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AccReturns'!$H$3:$H$713</c:f>
              <c:numCache>
                <c:formatCode>0.00%</c:formatCode>
                <c:ptCount val="711"/>
                <c:pt idx="0">
                  <c:v>2.0587356192190591E-2</c:v>
                </c:pt>
                <c:pt idx="1">
                  <c:v>1.6272118430310734E-2</c:v>
                </c:pt>
                <c:pt idx="2" formatCode="0.0000%">
                  <c:v>1.0231467529714156E-2</c:v>
                </c:pt>
                <c:pt idx="3" formatCode="General">
                  <c:v>9.5060547597909384E-3</c:v>
                </c:pt>
                <c:pt idx="4" formatCode="General">
                  <c:v>7.1919329542082799E-3</c:v>
                </c:pt>
                <c:pt idx="5" formatCode="General">
                  <c:v>6.2659306261030334E-3</c:v>
                </c:pt>
                <c:pt idx="6" formatCode="General">
                  <c:v>4.5200541704195629E-3</c:v>
                </c:pt>
                <c:pt idx="7" formatCode="General">
                  <c:v>1.7252122118345925E-2</c:v>
                </c:pt>
                <c:pt idx="8" formatCode="General">
                  <c:v>1.9419301717902071E-2</c:v>
                </c:pt>
                <c:pt idx="9" formatCode="General">
                  <c:v>1.2391464510020267E-2</c:v>
                </c:pt>
                <c:pt idx="10" formatCode="General">
                  <c:v>1.4663039614370543E-2</c:v>
                </c:pt>
                <c:pt idx="11" formatCode="General">
                  <c:v>2.6490896895549954E-2</c:v>
                </c:pt>
                <c:pt idx="12" formatCode="General">
                  <c:v>3.07667159423477E-2</c:v>
                </c:pt>
                <c:pt idx="13" formatCode="General">
                  <c:v>1.993374677982418E-2</c:v>
                </c:pt>
                <c:pt idx="14" formatCode="General">
                  <c:v>2.8011263858745084E-2</c:v>
                </c:pt>
                <c:pt idx="15" formatCode="General">
                  <c:v>3.6690069075997034E-2</c:v>
                </c:pt>
                <c:pt idx="16" formatCode="General">
                  <c:v>2.8183121877417783E-2</c:v>
                </c:pt>
                <c:pt idx="17" formatCode="General">
                  <c:v>5.2103128952518674E-4</c:v>
                </c:pt>
                <c:pt idx="18" formatCode="General">
                  <c:v>1.5286328060077681E-2</c:v>
                </c:pt>
                <c:pt idx="19" formatCode="General">
                  <c:v>8.9282771581056242E-3</c:v>
                </c:pt>
                <c:pt idx="20" formatCode="General">
                  <c:v>8.0153765476078664E-3</c:v>
                </c:pt>
                <c:pt idx="21" formatCode="General">
                  <c:v>-2.7648905332479101E-3</c:v>
                </c:pt>
                <c:pt idx="22" formatCode="General">
                  <c:v>3.3552514050714244E-3</c:v>
                </c:pt>
                <c:pt idx="23" formatCode="General">
                  <c:v>1.0222326708890783E-2</c:v>
                </c:pt>
                <c:pt idx="24" formatCode="General">
                  <c:v>1.5069822342974826E-2</c:v>
                </c:pt>
                <c:pt idx="25" formatCode="General">
                  <c:v>8.1144646876198934E-3</c:v>
                </c:pt>
                <c:pt idx="26" formatCode="General">
                  <c:v>-2.810616935739696E-3</c:v>
                </c:pt>
                <c:pt idx="27" formatCode="General">
                  <c:v>-1.5296913647355082E-2</c:v>
                </c:pt>
                <c:pt idx="28" formatCode="General">
                  <c:v>4.7285549856090903E-3</c:v>
                </c:pt>
                <c:pt idx="29" formatCode="General">
                  <c:v>1.4406045406844203E-2</c:v>
                </c:pt>
                <c:pt idx="30" formatCode="General">
                  <c:v>8.2570052143899897E-3</c:v>
                </c:pt>
                <c:pt idx="31" formatCode="General">
                  <c:v>2.2502680115854545E-4</c:v>
                </c:pt>
                <c:pt idx="32" formatCode="General">
                  <c:v>7.0186233162330414E-3</c:v>
                </c:pt>
                <c:pt idx="33" formatCode="General">
                  <c:v>5.8162354549105011E-3</c:v>
                </c:pt>
                <c:pt idx="34" formatCode="General">
                  <c:v>1.5185941139884251E-2</c:v>
                </c:pt>
                <c:pt idx="35" formatCode="General">
                  <c:v>2.3423741828345612E-3</c:v>
                </c:pt>
                <c:pt idx="36" formatCode="General">
                  <c:v>-3.4981636933758553E-3</c:v>
                </c:pt>
                <c:pt idx="37" formatCode="General">
                  <c:v>-6.0497346495556381E-2</c:v>
                </c:pt>
                <c:pt idx="38" formatCode="General">
                  <c:v>-8.007576423505347E-2</c:v>
                </c:pt>
                <c:pt idx="39" formatCode="General">
                  <c:v>-7.4052085833616332E-2</c:v>
                </c:pt>
                <c:pt idx="40" formatCode="General">
                  <c:v>-5.7490798063858151E-2</c:v>
                </c:pt>
                <c:pt idx="41" formatCode="General">
                  <c:v>-6.5802775681151449E-2</c:v>
                </c:pt>
                <c:pt idx="42" formatCode="General">
                  <c:v>-5.0994212119129023E-2</c:v>
                </c:pt>
                <c:pt idx="43" formatCode="General">
                  <c:v>-8.6765924551967633E-2</c:v>
                </c:pt>
                <c:pt idx="44" formatCode="General">
                  <c:v>-0.11846990462991391</c:v>
                </c:pt>
                <c:pt idx="45" formatCode="General">
                  <c:v>-0.20261132396409176</c:v>
                </c:pt>
                <c:pt idx="46" formatCode="General">
                  <c:v>-0.15732742571430025</c:v>
                </c:pt>
                <c:pt idx="47" formatCode="General">
                  <c:v>-0.20718461080246076</c:v>
                </c:pt>
                <c:pt idx="48" formatCode="General">
                  <c:v>-0.29385919538124561</c:v>
                </c:pt>
                <c:pt idx="49" formatCode="General">
                  <c:v>-0.22430713981027395</c:v>
                </c:pt>
                <c:pt idx="50" formatCode="General">
                  <c:v>-0.30857968015841941</c:v>
                </c:pt>
                <c:pt idx="51" formatCode="General">
                  <c:v>-0.2878893622726153</c:v>
                </c:pt>
                <c:pt idx="52" formatCode="General">
                  <c:v>-0.35032749584027478</c:v>
                </c:pt>
                <c:pt idx="53" formatCode="General">
                  <c:v>-0.33962694530299753</c:v>
                </c:pt>
                <c:pt idx="54" formatCode="General">
                  <c:v>-0.3503086778505069</c:v>
                </c:pt>
                <c:pt idx="55" formatCode="General">
                  <c:v>-0.37701041168142757</c:v>
                </c:pt>
                <c:pt idx="56" formatCode="General">
                  <c:v>-0.33162341840746201</c:v>
                </c:pt>
                <c:pt idx="57" formatCode="General">
                  <c:v>-0.29427792579020429</c:v>
                </c:pt>
                <c:pt idx="58" formatCode="General">
                  <c:v>-0.27144476394109285</c:v>
                </c:pt>
                <c:pt idx="59" formatCode="General">
                  <c:v>-0.29979965155226984</c:v>
                </c:pt>
                <c:pt idx="60" formatCode="General">
                  <c:v>-0.29009035974102204</c:v>
                </c:pt>
                <c:pt idx="61" formatCode="General">
                  <c:v>-0.30373548469274059</c:v>
                </c:pt>
                <c:pt idx="62" formatCode="General">
                  <c:v>-0.32227108886778111</c:v>
                </c:pt>
                <c:pt idx="63" formatCode="General">
                  <c:v>-0.31549468815996462</c:v>
                </c:pt>
                <c:pt idx="64" formatCode="General">
                  <c:v>-0.33386593757447647</c:v>
                </c:pt>
                <c:pt idx="65" formatCode="General">
                  <c:v>-0.29757697672836536</c:v>
                </c:pt>
                <c:pt idx="66" formatCode="General">
                  <c:v>-0.28088931220629232</c:v>
                </c:pt>
                <c:pt idx="67" formatCode="General">
                  <c:v>-0.26484081229969736</c:v>
                </c:pt>
                <c:pt idx="68" formatCode="General">
                  <c:v>-0.268752713679689</c:v>
                </c:pt>
                <c:pt idx="69" formatCode="General">
                  <c:v>-0.2618716752014989</c:v>
                </c:pt>
                <c:pt idx="70" formatCode="General">
                  <c:v>-0.25101694995712476</c:v>
                </c:pt>
                <c:pt idx="71" formatCode="General">
                  <c:v>-0.2573420436836813</c:v>
                </c:pt>
                <c:pt idx="72" formatCode="General">
                  <c:v>-0.26195307231357168</c:v>
                </c:pt>
                <c:pt idx="73" formatCode="General">
                  <c:v>-0.25280912662259569</c:v>
                </c:pt>
                <c:pt idx="74" formatCode="General">
                  <c:v>-0.25115321056684448</c:v>
                </c:pt>
                <c:pt idx="75" formatCode="General">
                  <c:v>-0.23518672849641942</c:v>
                </c:pt>
                <c:pt idx="76" formatCode="General">
                  <c:v>-0.24325376913562335</c:v>
                </c:pt>
                <c:pt idx="77" formatCode="General">
                  <c:v>-0.27572701558387847</c:v>
                </c:pt>
                <c:pt idx="78" formatCode="General">
                  <c:v>-0.25353831378027791</c:v>
                </c:pt>
                <c:pt idx="79" formatCode="General">
                  <c:v>-0.23110107728842644</c:v>
                </c:pt>
                <c:pt idx="80" formatCode="General">
                  <c:v>-0.21693435810354167</c:v>
                </c:pt>
                <c:pt idx="81" formatCode="General">
                  <c:v>-0.23692073604127273</c:v>
                </c:pt>
                <c:pt idx="82" formatCode="General">
                  <c:v>-0.24989770188631732</c:v>
                </c:pt>
                <c:pt idx="83" formatCode="General">
                  <c:v>-0.2457674437834797</c:v>
                </c:pt>
                <c:pt idx="84" formatCode="General">
                  <c:v>-0.24753296090248722</c:v>
                </c:pt>
                <c:pt idx="85" formatCode="General">
                  <c:v>-0.25306778573598099</c:v>
                </c:pt>
                <c:pt idx="86" formatCode="General">
                  <c:v>-0.2404407955152027</c:v>
                </c:pt>
                <c:pt idx="87" formatCode="General">
                  <c:v>-0.24843886461898901</c:v>
                </c:pt>
                <c:pt idx="88" formatCode="General">
                  <c:v>-0.25780866260105273</c:v>
                </c:pt>
                <c:pt idx="89" formatCode="General">
                  <c:v>-0.25698715202064748</c:v>
                </c:pt>
                <c:pt idx="90" formatCode="General">
                  <c:v>-0.2498824509305384</c:v>
                </c:pt>
                <c:pt idx="91" formatCode="General">
                  <c:v>-0.26013518321652862</c:v>
                </c:pt>
                <c:pt idx="92" formatCode="General">
                  <c:v>-0.23424664179231514</c:v>
                </c:pt>
                <c:pt idx="93" formatCode="General">
                  <c:v>-0.23449945811322526</c:v>
                </c:pt>
                <c:pt idx="94" formatCode="General">
                  <c:v>-0.22940088065382347</c:v>
                </c:pt>
                <c:pt idx="95" formatCode="General">
                  <c:v>-0.21706856151390275</c:v>
                </c:pt>
                <c:pt idx="96" formatCode="General">
                  <c:v>-0.22267707172518714</c:v>
                </c:pt>
                <c:pt idx="97" formatCode="General">
                  <c:v>-0.19610956439185068</c:v>
                </c:pt>
                <c:pt idx="98" formatCode="General">
                  <c:v>-0.19684861162436618</c:v>
                </c:pt>
                <c:pt idx="99" formatCode="General">
                  <c:v>-0.17756518137155208</c:v>
                </c:pt>
                <c:pt idx="100" formatCode="General">
                  <c:v>-0.18515451679255612</c:v>
                </c:pt>
                <c:pt idx="101" formatCode="General">
                  <c:v>-0.18224745776837648</c:v>
                </c:pt>
                <c:pt idx="102" formatCode="General">
                  <c:v>-0.17143523789701587</c:v>
                </c:pt>
                <c:pt idx="103" formatCode="General">
                  <c:v>-0.15501670413313517</c:v>
                </c:pt>
                <c:pt idx="104" formatCode="General">
                  <c:v>-0.13750428197644349</c:v>
                </c:pt>
                <c:pt idx="105" formatCode="General">
                  <c:v>-0.13206560955573365</c:v>
                </c:pt>
                <c:pt idx="106" formatCode="General">
                  <c:v>-0.12450663717232247</c:v>
                </c:pt>
                <c:pt idx="107" formatCode="General">
                  <c:v>-0.10087485411374109</c:v>
                </c:pt>
                <c:pt idx="108" formatCode="General">
                  <c:v>-0.10747606710109281</c:v>
                </c:pt>
                <c:pt idx="109" formatCode="General">
                  <c:v>-0.12254170803478526</c:v>
                </c:pt>
                <c:pt idx="110" formatCode="General">
                  <c:v>-0.13457055916178706</c:v>
                </c:pt>
                <c:pt idx="111" formatCode="General">
                  <c:v>-0.13654764480731307</c:v>
                </c:pt>
                <c:pt idx="112" formatCode="General">
                  <c:v>-0.12866855589631365</c:v>
                </c:pt>
                <c:pt idx="113" formatCode="General">
                  <c:v>-0.11350163182938633</c:v>
                </c:pt>
                <c:pt idx="114" formatCode="General">
                  <c:v>-0.10748316523885648</c:v>
                </c:pt>
                <c:pt idx="115" formatCode="General">
                  <c:v>-0.10346038460921225</c:v>
                </c:pt>
                <c:pt idx="116" formatCode="General">
                  <c:v>-0.10958466148329604</c:v>
                </c:pt>
                <c:pt idx="117" formatCode="General">
                  <c:v>-0.10511024692671789</c:v>
                </c:pt>
                <c:pt idx="118" formatCode="General">
                  <c:v>-0.11779049884863291</c:v>
                </c:pt>
                <c:pt idx="119" formatCode="General">
                  <c:v>-0.10698188820481391</c:v>
                </c:pt>
                <c:pt idx="120" formatCode="General">
                  <c:v>-0.12497486376108835</c:v>
                </c:pt>
                <c:pt idx="121" formatCode="General">
                  <c:v>-0.11061709901240857</c:v>
                </c:pt>
                <c:pt idx="122" formatCode="General">
                  <c:v>-0.11193161420501396</c:v>
                </c:pt>
                <c:pt idx="123" formatCode="General">
                  <c:v>-0.10205564592955219</c:v>
                </c:pt>
                <c:pt idx="124" formatCode="General">
                  <c:v>-0.10179888382563551</c:v>
                </c:pt>
                <c:pt idx="125" formatCode="General">
                  <c:v>-9.669706495724073E-2</c:v>
                </c:pt>
                <c:pt idx="126" formatCode="General">
                  <c:v>-7.9895796501333938E-2</c:v>
                </c:pt>
                <c:pt idx="127" formatCode="General">
                  <c:v>-8.6876194564698972E-2</c:v>
                </c:pt>
                <c:pt idx="128" formatCode="General">
                  <c:v>-7.1477188286701798E-2</c:v>
                </c:pt>
                <c:pt idx="129" formatCode="General">
                  <c:v>-7.3383182071306563E-2</c:v>
                </c:pt>
                <c:pt idx="130" formatCode="General">
                  <c:v>-6.7213730679335892E-2</c:v>
                </c:pt>
                <c:pt idx="131" formatCode="General">
                  <c:v>-7.8219713563458915E-2</c:v>
                </c:pt>
                <c:pt idx="132" formatCode="General">
                  <c:v>-6.7663525189322948E-2</c:v>
                </c:pt>
                <c:pt idx="133" formatCode="General">
                  <c:v>-5.9367723357932389E-2</c:v>
                </c:pt>
                <c:pt idx="134" formatCode="General">
                  <c:v>-6.7343116074760512E-2</c:v>
                </c:pt>
                <c:pt idx="135" formatCode="General">
                  <c:v>-4.8060038958034013E-2</c:v>
                </c:pt>
                <c:pt idx="136" formatCode="General">
                  <c:v>-3.2674671990090109E-2</c:v>
                </c:pt>
                <c:pt idx="137" formatCode="General">
                  <c:v>-3.7228356600348178E-2</c:v>
                </c:pt>
                <c:pt idx="138" formatCode="General">
                  <c:v>-3.6915255194564178E-2</c:v>
                </c:pt>
                <c:pt idx="139" formatCode="General">
                  <c:v>-5.343262082692346E-2</c:v>
                </c:pt>
                <c:pt idx="140" formatCode="General">
                  <c:v>-5.4083682781790987E-2</c:v>
                </c:pt>
                <c:pt idx="141" formatCode="General">
                  <c:v>-4.1817861123188305E-2</c:v>
                </c:pt>
                <c:pt idx="142" formatCode="General">
                  <c:v>-4.4576907026213197E-2</c:v>
                </c:pt>
                <c:pt idx="143" formatCode="General">
                  <c:v>-3.3096344213933371E-2</c:v>
                </c:pt>
                <c:pt idx="144" formatCode="General">
                  <c:v>-3.6037334372615359E-2</c:v>
                </c:pt>
                <c:pt idx="145" formatCode="General">
                  <c:v>-4.6907132129135887E-2</c:v>
                </c:pt>
                <c:pt idx="146" formatCode="General">
                  <c:v>-4.5267046046310933E-2</c:v>
                </c:pt>
                <c:pt idx="147" formatCode="General">
                  <c:v>-5.5913474425252296E-2</c:v>
                </c:pt>
                <c:pt idx="148" formatCode="General">
                  <c:v>-4.5529694581184832E-2</c:v>
                </c:pt>
                <c:pt idx="149" formatCode="General">
                  <c:v>-3.3712019790559933E-2</c:v>
                </c:pt>
                <c:pt idx="150" formatCode="General">
                  <c:v>-4.3469010645944994E-2</c:v>
                </c:pt>
                <c:pt idx="151" formatCode="General">
                  <c:v>-4.1004913136433951E-2</c:v>
                </c:pt>
                <c:pt idx="152" formatCode="General">
                  <c:v>-5.0112467472326006E-2</c:v>
                </c:pt>
                <c:pt idx="153" formatCode="General">
                  <c:v>-5.2143137669994455E-2</c:v>
                </c:pt>
                <c:pt idx="154" formatCode="General">
                  <c:v>-6.0850809302921971E-2</c:v>
                </c:pt>
                <c:pt idx="155" formatCode="General">
                  <c:v>-5.5232809511043257E-2</c:v>
                </c:pt>
                <c:pt idx="156" formatCode="General">
                  <c:v>-6.7127897271926473E-2</c:v>
                </c:pt>
                <c:pt idx="157" formatCode="General">
                  <c:v>-4.8198997223312445E-2</c:v>
                </c:pt>
                <c:pt idx="158" formatCode="General">
                  <c:v>-5.5908289495658292E-2</c:v>
                </c:pt>
                <c:pt idx="159" formatCode="General">
                  <c:v>-5.1048884086625113E-2</c:v>
                </c:pt>
                <c:pt idx="160" formatCode="General">
                  <c:v>-4.9924636919039811E-2</c:v>
                </c:pt>
                <c:pt idx="161" formatCode="General">
                  <c:v>-4.3304221713683977E-2</c:v>
                </c:pt>
                <c:pt idx="162" formatCode="General">
                  <c:v>-4.2433833607724458E-2</c:v>
                </c:pt>
                <c:pt idx="163" formatCode="General">
                  <c:v>-5.0726349306500773E-2</c:v>
                </c:pt>
                <c:pt idx="164" formatCode="General">
                  <c:v>-5.1160116526190902E-2</c:v>
                </c:pt>
                <c:pt idx="165" formatCode="General">
                  <c:v>-4.122848030047932E-2</c:v>
                </c:pt>
                <c:pt idx="166" formatCode="General">
                  <c:v>-5.8887042812663881E-2</c:v>
                </c:pt>
                <c:pt idx="167" formatCode="General">
                  <c:v>-3.8957415639217285E-2</c:v>
                </c:pt>
                <c:pt idx="168" formatCode="General">
                  <c:v>-3.8912158999822255E-2</c:v>
                </c:pt>
                <c:pt idx="169" formatCode="General">
                  <c:v>-5.3354129837770103E-2</c:v>
                </c:pt>
                <c:pt idx="170" formatCode="General">
                  <c:v>-5.2466427043495356E-2</c:v>
                </c:pt>
                <c:pt idx="171" formatCode="General">
                  <c:v>-6.3676595370259714E-2</c:v>
                </c:pt>
                <c:pt idx="172" formatCode="General">
                  <c:v>-5.4297214481938805E-2</c:v>
                </c:pt>
                <c:pt idx="173" formatCode="General">
                  <c:v>-7.3626046445977256E-2</c:v>
                </c:pt>
                <c:pt idx="174" formatCode="General">
                  <c:v>-7.6363504772753887E-2</c:v>
                </c:pt>
                <c:pt idx="175" formatCode="General">
                  <c:v>-6.1785999441041239E-2</c:v>
                </c:pt>
                <c:pt idx="176" formatCode="General">
                  <c:v>-6.1321512301072745E-2</c:v>
                </c:pt>
                <c:pt idx="177" formatCode="General">
                  <c:v>-6.7117804669148518E-2</c:v>
                </c:pt>
                <c:pt idx="178" formatCode="General">
                  <c:v>-6.6150063011667259E-2</c:v>
                </c:pt>
                <c:pt idx="179" formatCode="General">
                  <c:v>-7.8516769054761792E-2</c:v>
                </c:pt>
                <c:pt idx="180" formatCode="General">
                  <c:v>-8.8759889259818481E-2</c:v>
                </c:pt>
                <c:pt idx="181" formatCode="General">
                  <c:v>-8.5057441329510985E-2</c:v>
                </c:pt>
                <c:pt idx="182" formatCode="General">
                  <c:v>-9.7167020148366423E-2</c:v>
                </c:pt>
                <c:pt idx="183" formatCode="General">
                  <c:v>-8.9505970254041056E-2</c:v>
                </c:pt>
                <c:pt idx="184" formatCode="General">
                  <c:v>-8.8233220987007033E-2</c:v>
                </c:pt>
                <c:pt idx="185" formatCode="General">
                  <c:v>-0.10470378763004506</c:v>
                </c:pt>
                <c:pt idx="186" formatCode="General">
                  <c:v>-0.1131934279628104</c:v>
                </c:pt>
                <c:pt idx="187" formatCode="General">
                  <c:v>-0.10487555693168804</c:v>
                </c:pt>
                <c:pt idx="188" formatCode="General">
                  <c:v>-9.7344666611134389E-2</c:v>
                </c:pt>
                <c:pt idx="189" formatCode="General">
                  <c:v>-0.1092620882258778</c:v>
                </c:pt>
                <c:pt idx="190" formatCode="General">
                  <c:v>-9.5379163135138612E-2</c:v>
                </c:pt>
                <c:pt idx="191" formatCode="General">
                  <c:v>-9.9129571882172196E-2</c:v>
                </c:pt>
                <c:pt idx="192" formatCode="General">
                  <c:v>-9.7825486196163935E-2</c:v>
                </c:pt>
                <c:pt idx="193" formatCode="General">
                  <c:v>-8.3709185431967148E-2</c:v>
                </c:pt>
                <c:pt idx="194" formatCode="General">
                  <c:v>-8.4947141942092963E-2</c:v>
                </c:pt>
                <c:pt idx="195" formatCode="General">
                  <c:v>-7.6596644848941464E-2</c:v>
                </c:pt>
                <c:pt idx="196" formatCode="General">
                  <c:v>-7.0366064475742784E-2</c:v>
                </c:pt>
                <c:pt idx="197" formatCode="General">
                  <c:v>-7.1332740995318167E-2</c:v>
                </c:pt>
                <c:pt idx="198" formatCode="General">
                  <c:v>-7.5263236336650663E-2</c:v>
                </c:pt>
                <c:pt idx="199" formatCode="General">
                  <c:v>-7.4337937640606921E-2</c:v>
                </c:pt>
                <c:pt idx="200" formatCode="General">
                  <c:v>-5.9259592355741186E-2</c:v>
                </c:pt>
                <c:pt idx="201" formatCode="General">
                  <c:v>-5.7489303072365217E-2</c:v>
                </c:pt>
                <c:pt idx="202" formatCode="General">
                  <c:v>-4.9402445101458747E-2</c:v>
                </c:pt>
                <c:pt idx="203" formatCode="General">
                  <c:v>-5.3999332126077215E-2</c:v>
                </c:pt>
                <c:pt idx="204" formatCode="General">
                  <c:v>-5.757420542954661E-2</c:v>
                </c:pt>
                <c:pt idx="205" formatCode="General">
                  <c:v>-6.7143733140585415E-2</c:v>
                </c:pt>
                <c:pt idx="206" formatCode="General">
                  <c:v>-9.8054365161225121E-2</c:v>
                </c:pt>
                <c:pt idx="207" formatCode="General">
                  <c:v>-8.8096871585745085E-2</c:v>
                </c:pt>
                <c:pt idx="208" formatCode="General">
                  <c:v>-0.1063556643819461</c:v>
                </c:pt>
                <c:pt idx="209" formatCode="General">
                  <c:v>-9.3791719891031189E-2</c:v>
                </c:pt>
                <c:pt idx="210" formatCode="General">
                  <c:v>-7.7319698510215917E-2</c:v>
                </c:pt>
                <c:pt idx="211" formatCode="General">
                  <c:v>-5.3681037997069359E-2</c:v>
                </c:pt>
                <c:pt idx="212" formatCode="General">
                  <c:v>-5.0274491474686878E-2</c:v>
                </c:pt>
                <c:pt idx="213" formatCode="General">
                  <c:v>-3.5847604371828878E-2</c:v>
                </c:pt>
                <c:pt idx="214" formatCode="General">
                  <c:v>-3.0904910428414922E-2</c:v>
                </c:pt>
                <c:pt idx="215" formatCode="General">
                  <c:v>-3.1881450629212216E-2</c:v>
                </c:pt>
                <c:pt idx="216" formatCode="General">
                  <c:v>-5.0794494002248336E-2</c:v>
                </c:pt>
                <c:pt idx="217" formatCode="General">
                  <c:v>-3.3825167116590338E-2</c:v>
                </c:pt>
                <c:pt idx="218" formatCode="General">
                  <c:v>-2.1917569918428192E-2</c:v>
                </c:pt>
                <c:pt idx="219" formatCode="General">
                  <c:v>-1.6492307457126043E-2</c:v>
                </c:pt>
                <c:pt idx="220" formatCode="General">
                  <c:v>-2.5915975382812428E-2</c:v>
                </c:pt>
                <c:pt idx="221" formatCode="General">
                  <c:v>-2.1069659822727571E-2</c:v>
                </c:pt>
                <c:pt idx="222" formatCode="General">
                  <c:v>-2.5444957295892356E-2</c:v>
                </c:pt>
                <c:pt idx="223" formatCode="General">
                  <c:v>-1.4110619497475829E-2</c:v>
                </c:pt>
                <c:pt idx="224" formatCode="General">
                  <c:v>4.5282173375942314E-3</c:v>
                </c:pt>
                <c:pt idx="225" formatCode="General">
                  <c:v>8.6733008733850259E-3</c:v>
                </c:pt>
                <c:pt idx="226" formatCode="General">
                  <c:v>1.110439594374224E-2</c:v>
                </c:pt>
                <c:pt idx="227" formatCode="General">
                  <c:v>1.44622843472062E-2</c:v>
                </c:pt>
                <c:pt idx="228" formatCode="General">
                  <c:v>3.3012777076131261E-3</c:v>
                </c:pt>
                <c:pt idx="229" formatCode="General">
                  <c:v>2.1853097441162594E-2</c:v>
                </c:pt>
                <c:pt idx="230" formatCode="General">
                  <c:v>2.4430681359924433E-2</c:v>
                </c:pt>
                <c:pt idx="231" formatCode="General">
                  <c:v>2.6175557053853327E-2</c:v>
                </c:pt>
                <c:pt idx="232" formatCode="General">
                  <c:v>3.818974097100436E-2</c:v>
                </c:pt>
                <c:pt idx="233" formatCode="General">
                  <c:v>3.656063403846721E-2</c:v>
                </c:pt>
                <c:pt idx="234" formatCode="General">
                  <c:v>3.8630756735378968E-2</c:v>
                </c:pt>
                <c:pt idx="235" formatCode="General">
                  <c:v>3.1357076299505904E-2</c:v>
                </c:pt>
                <c:pt idx="236" formatCode="General">
                  <c:v>4.4962681685402961E-2</c:v>
                </c:pt>
                <c:pt idx="237" formatCode="General">
                  <c:v>4.9098554751483725E-2</c:v>
                </c:pt>
                <c:pt idx="238" formatCode="General">
                  <c:v>4.585050300173088E-2</c:v>
                </c:pt>
                <c:pt idx="239" formatCode="General">
                  <c:v>5.9038420021516824E-2</c:v>
                </c:pt>
                <c:pt idx="240" formatCode="General">
                  <c:v>7.0180573527502954E-2</c:v>
                </c:pt>
                <c:pt idx="241" formatCode="General">
                  <c:v>7.440062586417695E-2</c:v>
                </c:pt>
                <c:pt idx="242" formatCode="General">
                  <c:v>7.2914163147048461E-2</c:v>
                </c:pt>
                <c:pt idx="243" formatCode="General">
                  <c:v>5.5888493524300253E-2</c:v>
                </c:pt>
                <c:pt idx="244" formatCode="General">
                  <c:v>6.1948123616734518E-2</c:v>
                </c:pt>
                <c:pt idx="245" formatCode="General">
                  <c:v>7.2522523692692076E-2</c:v>
                </c:pt>
                <c:pt idx="246" formatCode="General">
                  <c:v>7.2381494241638755E-2</c:v>
                </c:pt>
                <c:pt idx="247" formatCode="General">
                  <c:v>8.23137909197873E-2</c:v>
                </c:pt>
                <c:pt idx="248" formatCode="General">
                  <c:v>8.4514861508452332E-2</c:v>
                </c:pt>
                <c:pt idx="249" formatCode="General">
                  <c:v>8.3585603112455331E-2</c:v>
                </c:pt>
                <c:pt idx="250" formatCode="General">
                  <c:v>8.3548095704091274E-2</c:v>
                </c:pt>
                <c:pt idx="251" formatCode="General">
                  <c:v>8.1985536931377556E-2</c:v>
                </c:pt>
                <c:pt idx="252" formatCode="General">
                  <c:v>8.6018633976536529E-2</c:v>
                </c:pt>
                <c:pt idx="253" formatCode="General">
                  <c:v>8.0356136873996453E-2</c:v>
                </c:pt>
                <c:pt idx="254" formatCode="General">
                  <c:v>0.10716257123685291</c:v>
                </c:pt>
                <c:pt idx="255" formatCode="General">
                  <c:v>0.12824907070428138</c:v>
                </c:pt>
                <c:pt idx="256" formatCode="General">
                  <c:v>0.11653293661418451</c:v>
                </c:pt>
                <c:pt idx="257" formatCode="General">
                  <c:v>0.12275997852858689</c:v>
                </c:pt>
                <c:pt idx="258" formatCode="General">
                  <c:v>0.10812724983825817</c:v>
                </c:pt>
                <c:pt idx="259" formatCode="General">
                  <c:v>0.12038205211573216</c:v>
                </c:pt>
                <c:pt idx="260" formatCode="General">
                  <c:v>9.8437129875981633E-2</c:v>
                </c:pt>
                <c:pt idx="261" formatCode="General">
                  <c:v>0.10459196461539366</c:v>
                </c:pt>
                <c:pt idx="262" formatCode="General">
                  <c:v>0.10097370613549583</c:v>
                </c:pt>
                <c:pt idx="263" formatCode="General">
                  <c:v>9.6921508279281365E-2</c:v>
                </c:pt>
                <c:pt idx="264" formatCode="General">
                  <c:v>8.9401159121304863E-2</c:v>
                </c:pt>
                <c:pt idx="265" formatCode="General">
                  <c:v>8.2752726540143984E-2</c:v>
                </c:pt>
                <c:pt idx="266" formatCode="General">
                  <c:v>8.2502385469505946E-2</c:v>
                </c:pt>
                <c:pt idx="267" formatCode="General">
                  <c:v>7.4493895485216788E-2</c:v>
                </c:pt>
                <c:pt idx="268" formatCode="General">
                  <c:v>6.6229917485910006E-2</c:v>
                </c:pt>
                <c:pt idx="269" formatCode="General">
                  <c:v>8.896640299333014E-2</c:v>
                </c:pt>
                <c:pt idx="270" formatCode="General">
                  <c:v>6.3710766178895373E-2</c:v>
                </c:pt>
                <c:pt idx="271" formatCode="General">
                  <c:v>8.5158769717364802E-2</c:v>
                </c:pt>
                <c:pt idx="272" formatCode="General">
                  <c:v>9.1102145093820308E-2</c:v>
                </c:pt>
                <c:pt idx="273" formatCode="General">
                  <c:v>0.10278844289360189</c:v>
                </c:pt>
                <c:pt idx="274" formatCode="General">
                  <c:v>0.10882741640673443</c:v>
                </c:pt>
                <c:pt idx="275" formatCode="General">
                  <c:v>0.12853316147129257</c:v>
                </c:pt>
                <c:pt idx="276" formatCode="General">
                  <c:v>0.1307913208411231</c:v>
                </c:pt>
                <c:pt idx="277" formatCode="General">
                  <c:v>0.12788225286002652</c:v>
                </c:pt>
                <c:pt idx="278" formatCode="General">
                  <c:v>0.11479560590238802</c:v>
                </c:pt>
                <c:pt idx="279" formatCode="General">
                  <c:v>0.12049938705306906</c:v>
                </c:pt>
                <c:pt idx="280" formatCode="General">
                  <c:v>0.1221763386442245</c:v>
                </c:pt>
                <c:pt idx="281" formatCode="General">
                  <c:v>0.12922635531287874</c:v>
                </c:pt>
                <c:pt idx="282" formatCode="General">
                  <c:v>0.12227066754899552</c:v>
                </c:pt>
                <c:pt idx="283" formatCode="General">
                  <c:v>0.12588330154711969</c:v>
                </c:pt>
                <c:pt idx="284" formatCode="General">
                  <c:v>9.4253762677686259E-2</c:v>
                </c:pt>
                <c:pt idx="285" formatCode="General">
                  <c:v>0.110062559987401</c:v>
                </c:pt>
                <c:pt idx="286" formatCode="General">
                  <c:v>0.11683234476922233</c:v>
                </c:pt>
                <c:pt idx="287" formatCode="General">
                  <c:v>8.7582069290767617E-2</c:v>
                </c:pt>
                <c:pt idx="288" formatCode="General">
                  <c:v>7.1434442289505906E-2</c:v>
                </c:pt>
                <c:pt idx="289" formatCode="General">
                  <c:v>7.9431649440254937E-2</c:v>
                </c:pt>
                <c:pt idx="290" formatCode="General">
                  <c:v>8.1976462839216335E-2</c:v>
                </c:pt>
                <c:pt idx="291" formatCode="General">
                  <c:v>7.3064799106747902E-2</c:v>
                </c:pt>
                <c:pt idx="292" formatCode="General">
                  <c:v>7.478070028213879E-2</c:v>
                </c:pt>
                <c:pt idx="293" formatCode="General">
                  <c:v>9.1531754941899024E-2</c:v>
                </c:pt>
                <c:pt idx="294" formatCode="General">
                  <c:v>5.1162485119247592E-2</c:v>
                </c:pt>
                <c:pt idx="295" formatCode="General">
                  <c:v>5.0598873373323361E-2</c:v>
                </c:pt>
                <c:pt idx="296" formatCode="General">
                  <c:v>5.4386398907960043E-2</c:v>
                </c:pt>
                <c:pt idx="297" formatCode="General">
                  <c:v>7.6133273248321975E-2</c:v>
                </c:pt>
                <c:pt idx="298" formatCode="General">
                  <c:v>6.9598705227043478E-2</c:v>
                </c:pt>
                <c:pt idx="299" formatCode="General">
                  <c:v>7.5100807250985113E-2</c:v>
                </c:pt>
                <c:pt idx="300" formatCode="General">
                  <c:v>7.2730967298315852E-2</c:v>
                </c:pt>
                <c:pt idx="301" formatCode="General">
                  <c:v>8.8981412325679354E-2</c:v>
                </c:pt>
                <c:pt idx="302" formatCode="General">
                  <c:v>6.9655422028330527E-2</c:v>
                </c:pt>
                <c:pt idx="303" formatCode="General">
                  <c:v>7.6742250923633515E-2</c:v>
                </c:pt>
                <c:pt idx="304" formatCode="General">
                  <c:v>6.9275493479156403E-2</c:v>
                </c:pt>
                <c:pt idx="305" formatCode="General">
                  <c:v>5.904857939273489E-2</c:v>
                </c:pt>
                <c:pt idx="306" formatCode="General">
                  <c:v>4.8268421773914882E-2</c:v>
                </c:pt>
                <c:pt idx="307" formatCode="General">
                  <c:v>5.9991786423816196E-2</c:v>
                </c:pt>
                <c:pt idx="308" formatCode="General">
                  <c:v>6.5350377209793198E-2</c:v>
                </c:pt>
                <c:pt idx="309" formatCode="General">
                  <c:v>6.6622960842489753E-2</c:v>
                </c:pt>
                <c:pt idx="310" formatCode="General">
                  <c:v>7.697656719465229E-2</c:v>
                </c:pt>
                <c:pt idx="311" formatCode="General">
                  <c:v>7.8655273970188677E-2</c:v>
                </c:pt>
                <c:pt idx="312" formatCode="General">
                  <c:v>7.2908636966724227E-2</c:v>
                </c:pt>
                <c:pt idx="313" formatCode="General">
                  <c:v>8.7134934681518006E-2</c:v>
                </c:pt>
                <c:pt idx="314" formatCode="General">
                  <c:v>9.000544183176995E-2</c:v>
                </c:pt>
                <c:pt idx="315" formatCode="General">
                  <c:v>9.1307806082990606E-2</c:v>
                </c:pt>
                <c:pt idx="316" formatCode="General">
                  <c:v>0.10058315833597331</c:v>
                </c:pt>
                <c:pt idx="317" formatCode="General">
                  <c:v>9.8741545463120417E-2</c:v>
                </c:pt>
                <c:pt idx="318" formatCode="General">
                  <c:v>0.10620361353797247</c:v>
                </c:pt>
                <c:pt idx="319" formatCode="General">
                  <c:v>0.10558373658318576</c:v>
                </c:pt>
                <c:pt idx="320" formatCode="General">
                  <c:v>0.1120661844882056</c:v>
                </c:pt>
                <c:pt idx="321" formatCode="General">
                  <c:v>0.11880455614957119</c:v>
                </c:pt>
                <c:pt idx="322" formatCode="General">
                  <c:v>0.12316369076975775</c:v>
                </c:pt>
                <c:pt idx="323" formatCode="General">
                  <c:v>0.12197377308932666</c:v>
                </c:pt>
                <c:pt idx="324" formatCode="General">
                  <c:v>0.11522983914163887</c:v>
                </c:pt>
                <c:pt idx="325" formatCode="General">
                  <c:v>0.11047207133243941</c:v>
                </c:pt>
                <c:pt idx="326" formatCode="General">
                  <c:v>0.12075279748129031</c:v>
                </c:pt>
                <c:pt idx="327" formatCode="General">
                  <c:v>0.12345760922752547</c:v>
                </c:pt>
                <c:pt idx="328" formatCode="General">
                  <c:v>0.11725449067131932</c:v>
                </c:pt>
                <c:pt idx="329" formatCode="General">
                  <c:v>0.12778471125950763</c:v>
                </c:pt>
                <c:pt idx="330" formatCode="General">
                  <c:v>0.12577844441619823</c:v>
                </c:pt>
                <c:pt idx="331" formatCode="General">
                  <c:v>0.11967631129960221</c:v>
                </c:pt>
                <c:pt idx="332" formatCode="General">
                  <c:v>0.12149793958277777</c:v>
                </c:pt>
                <c:pt idx="333" formatCode="General">
                  <c:v>0.11379548290563402</c:v>
                </c:pt>
                <c:pt idx="334" formatCode="General">
                  <c:v>0.12677849765233362</c:v>
                </c:pt>
                <c:pt idx="335" formatCode="General">
                  <c:v>0.13211670052590896</c:v>
                </c:pt>
                <c:pt idx="336" formatCode="General">
                  <c:v>0.14481852336797574</c:v>
                </c:pt>
                <c:pt idx="337" formatCode="General">
                  <c:v>0.13917175776232171</c:v>
                </c:pt>
                <c:pt idx="338" formatCode="General">
                  <c:v>0.14575338706775409</c:v>
                </c:pt>
                <c:pt idx="339" formatCode="General">
                  <c:v>0.12081715300046802</c:v>
                </c:pt>
                <c:pt idx="340" formatCode="General">
                  <c:v>0.1238476578364347</c:v>
                </c:pt>
                <c:pt idx="341" formatCode="General">
                  <c:v>0.13261883429423693</c:v>
                </c:pt>
                <c:pt idx="342" formatCode="General">
                  <c:v>0.14109410816053547</c:v>
                </c:pt>
                <c:pt idx="343" formatCode="General">
                  <c:v>0.13937580609148492</c:v>
                </c:pt>
                <c:pt idx="344" formatCode="General">
                  <c:v>0.13534758716701223</c:v>
                </c:pt>
                <c:pt idx="345" formatCode="General">
                  <c:v>0.1403298232751875</c:v>
                </c:pt>
                <c:pt idx="346" formatCode="General">
                  <c:v>0.13773408723692571</c:v>
                </c:pt>
                <c:pt idx="347" formatCode="General">
                  <c:v>0.14809574301092265</c:v>
                </c:pt>
                <c:pt idx="348" formatCode="General">
                  <c:v>0.14345538435140925</c:v>
                </c:pt>
                <c:pt idx="349" formatCode="General">
                  <c:v>0.15033834482795561</c:v>
                </c:pt>
                <c:pt idx="350" formatCode="General">
                  <c:v>0.15517489289187636</c:v>
                </c:pt>
                <c:pt idx="351" formatCode="General">
                  <c:v>0.16512840977919097</c:v>
                </c:pt>
                <c:pt idx="352" formatCode="General">
                  <c:v>0.1742384105846515</c:v>
                </c:pt>
                <c:pt idx="353" formatCode="General">
                  <c:v>0.18031401043327966</c:v>
                </c:pt>
                <c:pt idx="354" formatCode="General">
                  <c:v>0.18780153156631441</c:v>
                </c:pt>
                <c:pt idx="355" formatCode="General">
                  <c:v>0.19333941039151648</c:v>
                </c:pt>
                <c:pt idx="356" formatCode="General">
                  <c:v>0.1927155136786125</c:v>
                </c:pt>
                <c:pt idx="357" formatCode="General">
                  <c:v>0.18815089618106628</c:v>
                </c:pt>
                <c:pt idx="358" formatCode="General">
                  <c:v>0.18985267568936637</c:v>
                </c:pt>
                <c:pt idx="359" formatCode="General">
                  <c:v>0.19330465773032746</c:v>
                </c:pt>
                <c:pt idx="360" formatCode="General">
                  <c:v>0.18956285382367022</c:v>
                </c:pt>
                <c:pt idx="361" formatCode="General">
                  <c:v>0.19574637892300628</c:v>
                </c:pt>
                <c:pt idx="362" formatCode="General">
                  <c:v>0.19488783540724008</c:v>
                </c:pt>
                <c:pt idx="363" formatCode="General">
                  <c:v>0.19245423739327494</c:v>
                </c:pt>
                <c:pt idx="364" formatCode="General">
                  <c:v>0.18610129630030259</c:v>
                </c:pt>
                <c:pt idx="365" formatCode="General">
                  <c:v>0.19141241089677674</c:v>
                </c:pt>
                <c:pt idx="366" formatCode="General">
                  <c:v>0.20141851435886271</c:v>
                </c:pt>
                <c:pt idx="367" formatCode="General">
                  <c:v>0.20267883963966193</c:v>
                </c:pt>
                <c:pt idx="368" formatCode="General">
                  <c:v>0.20593223597952415</c:v>
                </c:pt>
                <c:pt idx="369" formatCode="General">
                  <c:v>0.21264271636077425</c:v>
                </c:pt>
                <c:pt idx="370" formatCode="General">
                  <c:v>0.20257943890134333</c:v>
                </c:pt>
                <c:pt idx="371" formatCode="General">
                  <c:v>0.2084796757113403</c:v>
                </c:pt>
                <c:pt idx="372" formatCode="General">
                  <c:v>0.21023887524206053</c:v>
                </c:pt>
                <c:pt idx="373" formatCode="General">
                  <c:v>0.21041215930006807</c:v>
                </c:pt>
                <c:pt idx="374" formatCode="General">
                  <c:v>0.20475783427212613</c:v>
                </c:pt>
                <c:pt idx="375" formatCode="General">
                  <c:v>0.22021896375288597</c:v>
                </c:pt>
                <c:pt idx="376" formatCode="General">
                  <c:v>0.21658477925210584</c:v>
                </c:pt>
                <c:pt idx="377" formatCode="General">
                  <c:v>0.20291968703351171</c:v>
                </c:pt>
                <c:pt idx="378" formatCode="General">
                  <c:v>0.21173006416397211</c:v>
                </c:pt>
                <c:pt idx="379" formatCode="General">
                  <c:v>0.19977186112864387</c:v>
                </c:pt>
                <c:pt idx="380" formatCode="General">
                  <c:v>0.20086830763337749</c:v>
                </c:pt>
                <c:pt idx="381" formatCode="General">
                  <c:v>0.21422014735062267</c:v>
                </c:pt>
                <c:pt idx="382" formatCode="General">
                  <c:v>0.21987223342804896</c:v>
                </c:pt>
                <c:pt idx="383" formatCode="General">
                  <c:v>0.22369062908705417</c:v>
                </c:pt>
                <c:pt idx="384" formatCode="General">
                  <c:v>0.21789743300037023</c:v>
                </c:pt>
                <c:pt idx="385" formatCode="General">
                  <c:v>0.21348968785340983</c:v>
                </c:pt>
                <c:pt idx="386" formatCode="General">
                  <c:v>0.19931665454110936</c:v>
                </c:pt>
                <c:pt idx="387" formatCode="General">
                  <c:v>0.20879827150206465</c:v>
                </c:pt>
                <c:pt idx="388" formatCode="General">
                  <c:v>0.21416004139405809</c:v>
                </c:pt>
                <c:pt idx="389" formatCode="General">
                  <c:v>0.22682522600578992</c:v>
                </c:pt>
                <c:pt idx="390" formatCode="General">
                  <c:v>0.22454344308930541</c:v>
                </c:pt>
                <c:pt idx="391" formatCode="General">
                  <c:v>0.22226426591446491</c:v>
                </c:pt>
                <c:pt idx="392" formatCode="General">
                  <c:v>0.20285594053660239</c:v>
                </c:pt>
                <c:pt idx="393" formatCode="General">
                  <c:v>0.21888561625944392</c:v>
                </c:pt>
                <c:pt idx="394" formatCode="General">
                  <c:v>0.22193902659601394</c:v>
                </c:pt>
                <c:pt idx="395" formatCode="General">
                  <c:v>0.19980759065719633</c:v>
                </c:pt>
                <c:pt idx="396" formatCode="General">
                  <c:v>0.20631259814793257</c:v>
                </c:pt>
                <c:pt idx="397" formatCode="General">
                  <c:v>0.21118757530482091</c:v>
                </c:pt>
                <c:pt idx="398" formatCode="General">
                  <c:v>0.20213587135544819</c:v>
                </c:pt>
                <c:pt idx="399" formatCode="General">
                  <c:v>0.20442911324691493</c:v>
                </c:pt>
                <c:pt idx="400" formatCode="General">
                  <c:v>0.20874380019144168</c:v>
                </c:pt>
                <c:pt idx="401" formatCode="General">
                  <c:v>0.21033751552550495</c:v>
                </c:pt>
                <c:pt idx="402" formatCode="General">
                  <c:v>0.20834314568913781</c:v>
                </c:pt>
                <c:pt idx="403" formatCode="General">
                  <c:v>0.206552168776168</c:v>
                </c:pt>
                <c:pt idx="404" formatCode="General">
                  <c:v>0.19816007418585713</c:v>
                </c:pt>
                <c:pt idx="405" formatCode="General">
                  <c:v>0.19337476370233442</c:v>
                </c:pt>
                <c:pt idx="406" formatCode="General">
                  <c:v>0.16358319128207777</c:v>
                </c:pt>
                <c:pt idx="407" formatCode="General">
                  <c:v>0.1432017658562883</c:v>
                </c:pt>
                <c:pt idx="408" formatCode="General">
                  <c:v>0.13776300748281201</c:v>
                </c:pt>
                <c:pt idx="409" formatCode="General">
                  <c:v>0.14807969470894311</c:v>
                </c:pt>
                <c:pt idx="410" formatCode="General">
                  <c:v>0.15929084664747961</c:v>
                </c:pt>
                <c:pt idx="411" formatCode="General">
                  <c:v>0.15773188705935204</c:v>
                </c:pt>
                <c:pt idx="412" formatCode="General">
                  <c:v>0.1750708655051274</c:v>
                </c:pt>
                <c:pt idx="413" formatCode="General">
                  <c:v>0.18402595556428736</c:v>
                </c:pt>
                <c:pt idx="414" formatCode="General">
                  <c:v>0.16889620232546765</c:v>
                </c:pt>
                <c:pt idx="415" formatCode="General">
                  <c:v>0.18738983145333021</c:v>
                </c:pt>
                <c:pt idx="416" formatCode="General">
                  <c:v>0.18280675539917213</c:v>
                </c:pt>
                <c:pt idx="417" formatCode="General">
                  <c:v>0.17251241621974023</c:v>
                </c:pt>
                <c:pt idx="418" formatCode="General">
                  <c:v>0.17305753944340463</c:v>
                </c:pt>
                <c:pt idx="419" formatCode="General">
                  <c:v>0.15601315399998783</c:v>
                </c:pt>
                <c:pt idx="420" formatCode="General">
                  <c:v>0.15811664994847741</c:v>
                </c:pt>
                <c:pt idx="421" formatCode="General">
                  <c:v>0.16460938552340942</c:v>
                </c:pt>
                <c:pt idx="422" formatCode="General">
                  <c:v>0.13750002663355132</c:v>
                </c:pt>
                <c:pt idx="423" formatCode="General">
                  <c:v>0.14427106053576977</c:v>
                </c:pt>
                <c:pt idx="424" formatCode="General">
                  <c:v>0.13980521390463485</c:v>
                </c:pt>
                <c:pt idx="425" formatCode="General">
                  <c:v>0.15300168520395152</c:v>
                </c:pt>
                <c:pt idx="426" formatCode="General">
                  <c:v>0.15608043098864077</c:v>
                </c:pt>
                <c:pt idx="427" formatCode="General">
                  <c:v>0.15408549684338935</c:v>
                </c:pt>
                <c:pt idx="428" formatCode="General">
                  <c:v>0.1479250055222896</c:v>
                </c:pt>
                <c:pt idx="429" formatCode="General">
                  <c:v>0.13292257353953363</c:v>
                </c:pt>
                <c:pt idx="430" formatCode="General">
                  <c:v>0.10974868262673043</c:v>
                </c:pt>
                <c:pt idx="431" formatCode="General">
                  <c:v>0.11973039439916677</c:v>
                </c:pt>
                <c:pt idx="432" formatCode="General">
                  <c:v>0.13544552375886809</c:v>
                </c:pt>
                <c:pt idx="433" formatCode="General">
                  <c:v>0.15139817185397786</c:v>
                </c:pt>
                <c:pt idx="434" formatCode="General">
                  <c:v>0.14817353560639512</c:v>
                </c:pt>
                <c:pt idx="435" formatCode="General">
                  <c:v>0.14851610622342482</c:v>
                </c:pt>
                <c:pt idx="436" formatCode="General">
                  <c:v>0.12386272067379345</c:v>
                </c:pt>
                <c:pt idx="437" formatCode="General">
                  <c:v>0.12796232576152189</c:v>
                </c:pt>
                <c:pt idx="438" formatCode="General">
                  <c:v>0.13073985594167881</c:v>
                </c:pt>
                <c:pt idx="439" formatCode="General">
                  <c:v>0.14497336900525881</c:v>
                </c:pt>
                <c:pt idx="440" formatCode="General">
                  <c:v>0.12339143395106045</c:v>
                </c:pt>
                <c:pt idx="441" formatCode="General">
                  <c:v>0.11873683344808428</c:v>
                </c:pt>
                <c:pt idx="442" formatCode="General">
                  <c:v>0.11140223018678386</c:v>
                </c:pt>
                <c:pt idx="443" formatCode="General">
                  <c:v>0.11062152260799341</c:v>
                </c:pt>
                <c:pt idx="444" formatCode="General">
                  <c:v>0.12296244316000626</c:v>
                </c:pt>
                <c:pt idx="445" formatCode="General">
                  <c:v>0.11391687190340272</c:v>
                </c:pt>
                <c:pt idx="446" formatCode="General">
                  <c:v>0.12115137175947277</c:v>
                </c:pt>
                <c:pt idx="447" formatCode="General">
                  <c:v>0.12382283871364708</c:v>
                </c:pt>
                <c:pt idx="448" formatCode="General">
                  <c:v>0.12987649814564239</c:v>
                </c:pt>
                <c:pt idx="449" formatCode="General">
                  <c:v>0.13008607640112468</c:v>
                </c:pt>
                <c:pt idx="450" formatCode="General">
                  <c:v>0.10225816123486986</c:v>
                </c:pt>
                <c:pt idx="451" formatCode="General">
                  <c:v>0.1014646883301844</c:v>
                </c:pt>
                <c:pt idx="452" formatCode="General">
                  <c:v>7.6955493638378725E-2</c:v>
                </c:pt>
                <c:pt idx="453" formatCode="General">
                  <c:v>6.0874845431687419E-2</c:v>
                </c:pt>
                <c:pt idx="454" formatCode="General">
                  <c:v>8.17654084058268E-2</c:v>
                </c:pt>
                <c:pt idx="455" formatCode="General">
                  <c:v>5.9887139106174603E-2</c:v>
                </c:pt>
                <c:pt idx="456" formatCode="General">
                  <c:v>5.5065064916673068E-2</c:v>
                </c:pt>
                <c:pt idx="457" formatCode="General">
                  <c:v>4.9045299082011828E-2</c:v>
                </c:pt>
                <c:pt idx="458" formatCode="General">
                  <c:v>3.4769191229680363E-2</c:v>
                </c:pt>
                <c:pt idx="459" formatCode="General">
                  <c:v>4.5402800916895636E-2</c:v>
                </c:pt>
                <c:pt idx="460" formatCode="General">
                  <c:v>5.367172255750341E-2</c:v>
                </c:pt>
                <c:pt idx="461" formatCode="General">
                  <c:v>4.11333868978907E-2</c:v>
                </c:pt>
                <c:pt idx="462" formatCode="General">
                  <c:v>5.6911467427197993E-2</c:v>
                </c:pt>
                <c:pt idx="463" formatCode="General">
                  <c:v>5.4523904573600346E-2</c:v>
                </c:pt>
                <c:pt idx="464" formatCode="General">
                  <c:v>5.9726952958626178E-2</c:v>
                </c:pt>
                <c:pt idx="465" formatCode="General">
                  <c:v>6.4036373374124045E-2</c:v>
                </c:pt>
                <c:pt idx="466" formatCode="General">
                  <c:v>8.148980881181922E-2</c:v>
                </c:pt>
                <c:pt idx="467" formatCode="General">
                  <c:v>7.2824149322533227E-2</c:v>
                </c:pt>
                <c:pt idx="468" formatCode="General">
                  <c:v>5.2849516223280713E-2</c:v>
                </c:pt>
                <c:pt idx="469" formatCode="General">
                  <c:v>4.0361591533347951E-2</c:v>
                </c:pt>
                <c:pt idx="470" formatCode="General">
                  <c:v>4.0747077557717004E-2</c:v>
                </c:pt>
                <c:pt idx="471" formatCode="General">
                  <c:v>4.7067725771647861E-2</c:v>
                </c:pt>
                <c:pt idx="472" formatCode="General">
                  <c:v>2.973612767403111E-2</c:v>
                </c:pt>
                <c:pt idx="473" formatCode="General">
                  <c:v>3.5285584110238188E-2</c:v>
                </c:pt>
                <c:pt idx="474" formatCode="General">
                  <c:v>3.7288672203999118E-2</c:v>
                </c:pt>
                <c:pt idx="475" formatCode="General">
                  <c:v>5.0764584641303179E-2</c:v>
                </c:pt>
                <c:pt idx="476" formatCode="General">
                  <c:v>1.9340019982654777E-2</c:v>
                </c:pt>
                <c:pt idx="477" formatCode="General">
                  <c:v>2.4001952777776614E-2</c:v>
                </c:pt>
                <c:pt idx="478" formatCode="General">
                  <c:v>7.0947723311007849E-3</c:v>
                </c:pt>
                <c:pt idx="479" formatCode="General">
                  <c:v>-1.172363096336726E-3</c:v>
                </c:pt>
                <c:pt idx="480" formatCode="General">
                  <c:v>2.579436329483964E-2</c:v>
                </c:pt>
                <c:pt idx="481" formatCode="General">
                  <c:v>3.7921848372099998E-2</c:v>
                </c:pt>
                <c:pt idx="482" formatCode="General">
                  <c:v>4.5953200304928776E-2</c:v>
                </c:pt>
                <c:pt idx="483" formatCode="General">
                  <c:v>4.6793239731305114E-2</c:v>
                </c:pt>
                <c:pt idx="484" formatCode="General">
                  <c:v>5.7520799516882049E-2</c:v>
                </c:pt>
                <c:pt idx="485" formatCode="General">
                  <c:v>4.5997496188145304E-2</c:v>
                </c:pt>
                <c:pt idx="486" formatCode="General">
                  <c:v>6.0529520235476086E-2</c:v>
                </c:pt>
                <c:pt idx="487" formatCode="General">
                  <c:v>5.8698015071093623E-2</c:v>
                </c:pt>
                <c:pt idx="488" formatCode="General">
                  <c:v>4.7582122310622976E-2</c:v>
                </c:pt>
                <c:pt idx="489" formatCode="General">
                  <c:v>5.3364884142744762E-2</c:v>
                </c:pt>
                <c:pt idx="490" formatCode="General">
                  <c:v>5.5329375494064026E-2</c:v>
                </c:pt>
                <c:pt idx="491" formatCode="General">
                  <c:v>4.8154253797817015E-2</c:v>
                </c:pt>
                <c:pt idx="492" formatCode="General">
                  <c:v>2.7185319697575538E-2</c:v>
                </c:pt>
                <c:pt idx="493" formatCode="General">
                  <c:v>3.5006095989462249E-2</c:v>
                </c:pt>
                <c:pt idx="494" formatCode="General">
                  <c:v>3.5539228250151211E-2</c:v>
                </c:pt>
                <c:pt idx="495" formatCode="General">
                  <c:v>3.2117906431176513E-2</c:v>
                </c:pt>
                <c:pt idx="496" formatCode="General">
                  <c:v>3.2294012987996723E-2</c:v>
                </c:pt>
                <c:pt idx="497" formatCode="General">
                  <c:v>3.9599815609354438E-2</c:v>
                </c:pt>
                <c:pt idx="498" formatCode="General">
                  <c:v>3.5966982751996612E-2</c:v>
                </c:pt>
                <c:pt idx="499" formatCode="General">
                  <c:v>2.8575062951061714E-2</c:v>
                </c:pt>
                <c:pt idx="500" formatCode="General">
                  <c:v>4.1358657002631194E-2</c:v>
                </c:pt>
                <c:pt idx="501" formatCode="General">
                  <c:v>4.1625451934514501E-2</c:v>
                </c:pt>
                <c:pt idx="502" formatCode="General">
                  <c:v>2.9024802758445878E-2</c:v>
                </c:pt>
                <c:pt idx="503" formatCode="General">
                  <c:v>2.1542250919881489E-2</c:v>
                </c:pt>
                <c:pt idx="504" formatCode="General">
                  <c:v>-2.1026473379349708E-3</c:v>
                </c:pt>
                <c:pt idx="505" formatCode="General">
                  <c:v>1.4551186018678663E-3</c:v>
                </c:pt>
                <c:pt idx="506" formatCode="General">
                  <c:v>1.3381935407171364E-2</c:v>
                </c:pt>
                <c:pt idx="507" formatCode="General">
                  <c:v>5.8143297786024117E-3</c:v>
                </c:pt>
                <c:pt idx="508" formatCode="General">
                  <c:v>2.1778414178242667E-2</c:v>
                </c:pt>
                <c:pt idx="509" formatCode="General">
                  <c:v>4.0508753063674519E-2</c:v>
                </c:pt>
                <c:pt idx="510" formatCode="General">
                  <c:v>3.8701467299413705E-2</c:v>
                </c:pt>
                <c:pt idx="511" formatCode="General">
                  <c:v>5.0195462488564102E-2</c:v>
                </c:pt>
                <c:pt idx="512" formatCode="General">
                  <c:v>4.8499487909615446E-2</c:v>
                </c:pt>
                <c:pt idx="513" formatCode="General">
                  <c:v>4.8118741689941569E-2</c:v>
                </c:pt>
                <c:pt idx="514" formatCode="General">
                  <c:v>5.921174100486537E-2</c:v>
                </c:pt>
                <c:pt idx="515" formatCode="General">
                  <c:v>6.9827387519796114E-2</c:v>
                </c:pt>
                <c:pt idx="516" formatCode="General">
                  <c:v>6.5231910694476758E-2</c:v>
                </c:pt>
                <c:pt idx="517" formatCode="General">
                  <c:v>5.8371220013782921E-2</c:v>
                </c:pt>
                <c:pt idx="518" formatCode="General">
                  <c:v>7.6967454413398473E-2</c:v>
                </c:pt>
                <c:pt idx="519" formatCode="General">
                  <c:v>8.876467171963176E-2</c:v>
                </c:pt>
                <c:pt idx="520" formatCode="General">
                  <c:v>9.696371008351945E-2</c:v>
                </c:pt>
                <c:pt idx="521" formatCode="General">
                  <c:v>9.4580430621412637E-2</c:v>
                </c:pt>
                <c:pt idx="522" formatCode="General">
                  <c:v>0.10225271835168903</c:v>
                </c:pt>
                <c:pt idx="523" formatCode="General">
                  <c:v>0.10512316477571648</c:v>
                </c:pt>
                <c:pt idx="524" formatCode="General">
                  <c:v>0.10152385638484618</c:v>
                </c:pt>
                <c:pt idx="525" formatCode="General">
                  <c:v>9.3027708496724815E-2</c:v>
                </c:pt>
                <c:pt idx="526" formatCode="General">
                  <c:v>9.7565182911627524E-2</c:v>
                </c:pt>
                <c:pt idx="527" formatCode="General">
                  <c:v>9.574668496348071E-2</c:v>
                </c:pt>
                <c:pt idx="528" formatCode="General">
                  <c:v>9.4541529721387407E-2</c:v>
                </c:pt>
                <c:pt idx="529" formatCode="General">
                  <c:v>9.7336017061555369E-2</c:v>
                </c:pt>
                <c:pt idx="530" formatCode="General">
                  <c:v>0.10206496194190451</c:v>
                </c:pt>
                <c:pt idx="531" formatCode="General">
                  <c:v>0.10146895969811376</c:v>
                </c:pt>
                <c:pt idx="532" formatCode="General">
                  <c:v>0.10637650570663371</c:v>
                </c:pt>
                <c:pt idx="533" formatCode="General">
                  <c:v>0.10828674194911292</c:v>
                </c:pt>
                <c:pt idx="534" formatCode="General">
                  <c:v>0.10992421645810668</c:v>
                </c:pt>
                <c:pt idx="535" formatCode="General">
                  <c:v>0.10269498664056464</c:v>
                </c:pt>
                <c:pt idx="536" formatCode="General">
                  <c:v>9.624869142968917E-2</c:v>
                </c:pt>
                <c:pt idx="537" formatCode="General">
                  <c:v>8.5535233926188559E-2</c:v>
                </c:pt>
                <c:pt idx="538" formatCode="General">
                  <c:v>9.388972965044351E-2</c:v>
                </c:pt>
                <c:pt idx="539" formatCode="General">
                  <c:v>8.4630686554649781E-2</c:v>
                </c:pt>
                <c:pt idx="540" formatCode="General">
                  <c:v>8.2574994483457509E-2</c:v>
                </c:pt>
                <c:pt idx="541" formatCode="General">
                  <c:v>9.5132740847596819E-2</c:v>
                </c:pt>
                <c:pt idx="542" formatCode="General">
                  <c:v>0.10981963602552747</c:v>
                </c:pt>
                <c:pt idx="543" formatCode="General">
                  <c:v>0.11035707093271241</c:v>
                </c:pt>
                <c:pt idx="544" formatCode="General">
                  <c:v>0.10093004364759994</c:v>
                </c:pt>
                <c:pt idx="545" formatCode="General">
                  <c:v>8.0632636957858717E-2</c:v>
                </c:pt>
                <c:pt idx="546" formatCode="General">
                  <c:v>8.0986233149232811E-2</c:v>
                </c:pt>
                <c:pt idx="547" formatCode="General">
                  <c:v>0.10372678213690034</c:v>
                </c:pt>
                <c:pt idx="548" formatCode="General">
                  <c:v>0.10149710751840835</c:v>
                </c:pt>
                <c:pt idx="549" formatCode="General">
                  <c:v>8.2981013060582365E-2</c:v>
                </c:pt>
                <c:pt idx="550" formatCode="General">
                  <c:v>7.0394376139793602E-2</c:v>
                </c:pt>
                <c:pt idx="551" formatCode="General">
                  <c:v>7.0476471796969031E-2</c:v>
                </c:pt>
                <c:pt idx="552" formatCode="General">
                  <c:v>8.389192755159236E-2</c:v>
                </c:pt>
                <c:pt idx="553" formatCode="General">
                  <c:v>9.8300575853942584E-2</c:v>
                </c:pt>
                <c:pt idx="554" formatCode="General">
                  <c:v>0.11696089765909345</c:v>
                </c:pt>
                <c:pt idx="555" formatCode="General">
                  <c:v>0.12426491328805045</c:v>
                </c:pt>
                <c:pt idx="556" formatCode="General">
                  <c:v>0.13735093163944745</c:v>
                </c:pt>
                <c:pt idx="557" formatCode="General">
                  <c:v>0.14196731830409282</c:v>
                </c:pt>
                <c:pt idx="558" formatCode="General">
                  <c:v>0.15888267626050379</c:v>
                </c:pt>
                <c:pt idx="559" formatCode="General">
                  <c:v>0.16475542412197508</c:v>
                </c:pt>
                <c:pt idx="560" formatCode="General">
                  <c:v>0.1597757369296855</c:v>
                </c:pt>
                <c:pt idx="561" formatCode="General">
                  <c:v>0.16677531603745721</c:v>
                </c:pt>
                <c:pt idx="562" formatCode="General">
                  <c:v>0.16324839977581118</c:v>
                </c:pt>
                <c:pt idx="563" formatCode="General">
                  <c:v>0.16471136789268925</c:v>
                </c:pt>
                <c:pt idx="564" formatCode="General">
                  <c:v>0.18449107905093109</c:v>
                </c:pt>
                <c:pt idx="565" formatCode="General">
                  <c:v>0.18297865997308449</c:v>
                </c:pt>
                <c:pt idx="566" formatCode="General">
                  <c:v>0.16629098598352887</c:v>
                </c:pt>
                <c:pt idx="567" formatCode="General">
                  <c:v>0.15667736803101295</c:v>
                </c:pt>
                <c:pt idx="568" formatCode="General">
                  <c:v>0.16374097315313851</c:v>
                </c:pt>
                <c:pt idx="569" formatCode="General">
                  <c:v>0.1644765343818313</c:v>
                </c:pt>
                <c:pt idx="570" formatCode="General">
                  <c:v>0.15406051419071543</c:v>
                </c:pt>
                <c:pt idx="571" formatCode="General">
                  <c:v>0.15239863758036298</c:v>
                </c:pt>
                <c:pt idx="572" formatCode="General">
                  <c:v>0.16180163080368093</c:v>
                </c:pt>
                <c:pt idx="573" formatCode="General">
                  <c:v>0.15693599696837701</c:v>
                </c:pt>
                <c:pt idx="574" formatCode="General">
                  <c:v>0.1563968222905141</c:v>
                </c:pt>
                <c:pt idx="575" formatCode="General">
                  <c:v>0.15246861235721076</c:v>
                </c:pt>
                <c:pt idx="576" formatCode="General">
                  <c:v>0.15560846869857126</c:v>
                </c:pt>
                <c:pt idx="577" formatCode="General">
                  <c:v>0.12489181963908669</c:v>
                </c:pt>
                <c:pt idx="578" formatCode="General">
                  <c:v>0.12337969359275602</c:v>
                </c:pt>
                <c:pt idx="579" formatCode="General">
                  <c:v>0.10992272418371818</c:v>
                </c:pt>
                <c:pt idx="580" formatCode="General">
                  <c:v>0.11551843915350424</c:v>
                </c:pt>
                <c:pt idx="581" formatCode="General">
                  <c:v>0.1266791983810216</c:v>
                </c:pt>
                <c:pt idx="582" formatCode="General">
                  <c:v>0.11258740880007667</c:v>
                </c:pt>
                <c:pt idx="583" formatCode="General">
                  <c:v>0.10237208655385688</c:v>
                </c:pt>
                <c:pt idx="584" formatCode="General">
                  <c:v>0.10395259253824274</c:v>
                </c:pt>
                <c:pt idx="585" formatCode="General">
                  <c:v>0.12493313369283765</c:v>
                </c:pt>
                <c:pt idx="586" formatCode="General">
                  <c:v>9.7401894018916968E-2</c:v>
                </c:pt>
                <c:pt idx="587" formatCode="General">
                  <c:v>9.0595054385277374E-2</c:v>
                </c:pt>
                <c:pt idx="588" formatCode="General">
                  <c:v>6.9362635228524816E-2</c:v>
                </c:pt>
                <c:pt idx="589" formatCode="General">
                  <c:v>7.635154004863276E-2</c:v>
                </c:pt>
                <c:pt idx="590" formatCode="General">
                  <c:v>8.0495076307747215E-2</c:v>
                </c:pt>
                <c:pt idx="591" formatCode="General">
                  <c:v>8.3564074709379543E-2</c:v>
                </c:pt>
                <c:pt idx="592" formatCode="General">
                  <c:v>9.6771425123609811E-2</c:v>
                </c:pt>
                <c:pt idx="593" formatCode="General">
                  <c:v>0.10599428660555943</c:v>
                </c:pt>
                <c:pt idx="594" formatCode="General">
                  <c:v>0.11754237127853484</c:v>
                </c:pt>
                <c:pt idx="595" formatCode="General">
                  <c:v>9.7424388148755758E-2</c:v>
                </c:pt>
                <c:pt idx="596" formatCode="General">
                  <c:v>0.10513661332060087</c:v>
                </c:pt>
                <c:pt idx="597" formatCode="General">
                  <c:v>0.11383316121940368</c:v>
                </c:pt>
                <c:pt idx="598" formatCode="General">
                  <c:v>0.12860254238683555</c:v>
                </c:pt>
                <c:pt idx="599" formatCode="General">
                  <c:v>0.12569268274010659</c:v>
                </c:pt>
                <c:pt idx="600" formatCode="General">
                  <c:v>0.13041325106970914</c:v>
                </c:pt>
                <c:pt idx="601" formatCode="General">
                  <c:v>0.14185425643664473</c:v>
                </c:pt>
                <c:pt idx="602" formatCode="General">
                  <c:v>0.1448857955775491</c:v>
                </c:pt>
                <c:pt idx="603" formatCode="General">
                  <c:v>0.13780283577827634</c:v>
                </c:pt>
                <c:pt idx="604" formatCode="General">
                  <c:v>0.1353669568474114</c:v>
                </c:pt>
                <c:pt idx="605" formatCode="General">
                  <c:v>0.13783350733299593</c:v>
                </c:pt>
                <c:pt idx="606" formatCode="General">
                  <c:v>0.14958158382897357</c:v>
                </c:pt>
                <c:pt idx="607" formatCode="General">
                  <c:v>0.13997539466453945</c:v>
                </c:pt>
                <c:pt idx="608" formatCode="General">
                  <c:v>0.13191903807830108</c:v>
                </c:pt>
                <c:pt idx="609" formatCode="General">
                  <c:v>0.13253780476209642</c:v>
                </c:pt>
                <c:pt idx="610" formatCode="General">
                  <c:v>0.12059090179704435</c:v>
                </c:pt>
                <c:pt idx="611" formatCode="General">
                  <c:v>0.11073580593282184</c:v>
                </c:pt>
                <c:pt idx="612" formatCode="General">
                  <c:v>9.550685936474812E-2</c:v>
                </c:pt>
                <c:pt idx="613" formatCode="General">
                  <c:v>7.4331583905719922E-2</c:v>
                </c:pt>
                <c:pt idx="614" formatCode="General">
                  <c:v>7.1465006340504234E-2</c:v>
                </c:pt>
                <c:pt idx="615" formatCode="General">
                  <c:v>8.0980405756986507E-2</c:v>
                </c:pt>
                <c:pt idx="616" formatCode="General">
                  <c:v>6.0936462265876568E-2</c:v>
                </c:pt>
                <c:pt idx="617" formatCode="General">
                  <c:v>5.7165655846416419E-2</c:v>
                </c:pt>
                <c:pt idx="618" formatCode="General">
                  <c:v>5.4972299982282813E-2</c:v>
                </c:pt>
                <c:pt idx="619" formatCode="General">
                  <c:v>5.5603339993751666E-2</c:v>
                </c:pt>
                <c:pt idx="620" formatCode="General">
                  <c:v>4.7502916104582127E-2</c:v>
                </c:pt>
                <c:pt idx="621" formatCode="General">
                  <c:v>4.8414002488482044E-2</c:v>
                </c:pt>
                <c:pt idx="622" formatCode="General">
                  <c:v>6.2416417678448077E-2</c:v>
                </c:pt>
                <c:pt idx="623" formatCode="General">
                  <c:v>6.2349014623136911E-2</c:v>
                </c:pt>
                <c:pt idx="624" formatCode="General">
                  <c:v>5.7465946467902818E-2</c:v>
                </c:pt>
                <c:pt idx="625" formatCode="General">
                  <c:v>5.5044051861537158E-2</c:v>
                </c:pt>
                <c:pt idx="626" formatCode="General">
                  <c:v>5.7205203721276243E-2</c:v>
                </c:pt>
                <c:pt idx="627" formatCode="General">
                  <c:v>5.097065184530214E-2</c:v>
                </c:pt>
                <c:pt idx="628" formatCode="General">
                  <c:v>4.4076451493215041E-2</c:v>
                </c:pt>
                <c:pt idx="629" formatCode="General">
                  <c:v>4.3938558856316146E-2</c:v>
                </c:pt>
                <c:pt idx="630" formatCode="General">
                  <c:v>5.7536560379792157E-2</c:v>
                </c:pt>
                <c:pt idx="631" formatCode="General">
                  <c:v>5.3673180553765798E-2</c:v>
                </c:pt>
                <c:pt idx="632" formatCode="General">
                  <c:v>3.5625697706537673E-2</c:v>
                </c:pt>
                <c:pt idx="633" formatCode="General">
                  <c:v>3.3989050682688982E-2</c:v>
                </c:pt>
                <c:pt idx="634" formatCode="General">
                  <c:v>3.396978764210945E-2</c:v>
                </c:pt>
                <c:pt idx="635" formatCode="General">
                  <c:v>2.4926830801039079E-2</c:v>
                </c:pt>
                <c:pt idx="636" formatCode="General">
                  <c:v>3.1482056362567956E-2</c:v>
                </c:pt>
                <c:pt idx="637" formatCode="General">
                  <c:v>2.9300055130200287E-2</c:v>
                </c:pt>
                <c:pt idx="638" formatCode="General">
                  <c:v>3.7626480613434987E-2</c:v>
                </c:pt>
                <c:pt idx="639" formatCode="General">
                  <c:v>4.1407706754395646E-2</c:v>
                </c:pt>
                <c:pt idx="640" formatCode="General">
                  <c:v>4.6847344369387756E-2</c:v>
                </c:pt>
                <c:pt idx="641" formatCode="General">
                  <c:v>4.2970422445029355E-2</c:v>
                </c:pt>
                <c:pt idx="642" formatCode="General">
                  <c:v>5.0536079269594358E-2</c:v>
                </c:pt>
                <c:pt idx="643" formatCode="General">
                  <c:v>4.430356358851073E-2</c:v>
                </c:pt>
                <c:pt idx="644" formatCode="General">
                  <c:v>6.5560382992958965E-2</c:v>
                </c:pt>
                <c:pt idx="645" formatCode="General">
                  <c:v>7.8207941274993642E-2</c:v>
                </c:pt>
                <c:pt idx="646" formatCode="General">
                  <c:v>8.6604231104451479E-2</c:v>
                </c:pt>
                <c:pt idx="647" formatCode="General">
                  <c:v>8.066822304136001E-2</c:v>
                </c:pt>
                <c:pt idx="648" formatCode="General">
                  <c:v>8.8916931721429338E-2</c:v>
                </c:pt>
                <c:pt idx="649" formatCode="General">
                  <c:v>0.10183010900176104</c:v>
                </c:pt>
                <c:pt idx="650" formatCode="General">
                  <c:v>0.12526318552205029</c:v>
                </c:pt>
                <c:pt idx="651" formatCode="General">
                  <c:v>0.12972598054515894</c:v>
                </c:pt>
                <c:pt idx="652" formatCode="General">
                  <c:v>0.14417770884368641</c:v>
                </c:pt>
                <c:pt idx="653" formatCode="General">
                  <c:v>0.14059034790629754</c:v>
                </c:pt>
                <c:pt idx="654" formatCode="General">
                  <c:v>0.15489896182228891</c:v>
                </c:pt>
                <c:pt idx="655" formatCode="General">
                  <c:v>0.14276751079219219</c:v>
                </c:pt>
                <c:pt idx="656" formatCode="General">
                  <c:v>0.16703412120079464</c:v>
                </c:pt>
                <c:pt idx="657" formatCode="General">
                  <c:v>0.17098088495464281</c:v>
                </c:pt>
                <c:pt idx="658" formatCode="General">
                  <c:v>0.16365819203231458</c:v>
                </c:pt>
                <c:pt idx="659" formatCode="General">
                  <c:v>0.16694230410202282</c:v>
                </c:pt>
                <c:pt idx="660" formatCode="General">
                  <c:v>0.16800634723256969</c:v>
                </c:pt>
                <c:pt idx="661" formatCode="General">
                  <c:v>0.1508493336078689</c:v>
                </c:pt>
                <c:pt idx="662" formatCode="General">
                  <c:v>0.14688965559973188</c:v>
                </c:pt>
                <c:pt idx="663" formatCode="General">
                  <c:v>0.16791708412770379</c:v>
                </c:pt>
                <c:pt idx="664" formatCode="General">
                  <c:v>0.17840307562660596</c:v>
                </c:pt>
                <c:pt idx="665" formatCode="General">
                  <c:v>0.17885520297766688</c:v>
                </c:pt>
                <c:pt idx="666" formatCode="General">
                  <c:v>0.17471118248012929</c:v>
                </c:pt>
                <c:pt idx="667" formatCode="General">
                  <c:v>0.18332425668027774</c:v>
                </c:pt>
                <c:pt idx="668" formatCode="General">
                  <c:v>0.17065351483794156</c:v>
                </c:pt>
                <c:pt idx="669" formatCode="General">
                  <c:v>0.17105915817944628</c:v>
                </c:pt>
                <c:pt idx="670" formatCode="General">
                  <c:v>0.1840479108982418</c:v>
                </c:pt>
                <c:pt idx="671" formatCode="General">
                  <c:v>0.19260287407404664</c:v>
                </c:pt>
                <c:pt idx="672" formatCode="General">
                  <c:v>0.20293678098685142</c:v>
                </c:pt>
                <c:pt idx="673" formatCode="General">
                  <c:v>0.1814802002973106</c:v>
                </c:pt>
                <c:pt idx="674" formatCode="General">
                  <c:v>0.1799183476440771</c:v>
                </c:pt>
                <c:pt idx="675" formatCode="General">
                  <c:v>0.19728417734369486</c:v>
                </c:pt>
                <c:pt idx="676" formatCode="General">
                  <c:v>0.20216104478090147</c:v>
                </c:pt>
                <c:pt idx="677" formatCode="General">
                  <c:v>0.18614863537256343</c:v>
                </c:pt>
                <c:pt idx="678" formatCode="General">
                  <c:v>0.18919390861884877</c:v>
                </c:pt>
                <c:pt idx="679" formatCode="General">
                  <c:v>0.17903895598938724</c:v>
                </c:pt>
                <c:pt idx="680" formatCode="General">
                  <c:v>0.17260978711210861</c:v>
                </c:pt>
                <c:pt idx="681" formatCode="General">
                  <c:v>0.18667089785283397</c:v>
                </c:pt>
                <c:pt idx="682" formatCode="General">
                  <c:v>0.19317287686090245</c:v>
                </c:pt>
                <c:pt idx="683" formatCode="General">
                  <c:v>0.1925144132590404</c:v>
                </c:pt>
                <c:pt idx="684" formatCode="General">
                  <c:v>0.21419615557919602</c:v>
                </c:pt>
                <c:pt idx="685" formatCode="General">
                  <c:v>0.19609160711517726</c:v>
                </c:pt>
                <c:pt idx="686" formatCode="General">
                  <c:v>0.16825845443726517</c:v>
                </c:pt>
                <c:pt idx="687" formatCode="General">
                  <c:v>0.15958725249287964</c:v>
                </c:pt>
                <c:pt idx="688" formatCode="General">
                  <c:v>0.16265182706749659</c:v>
                </c:pt>
                <c:pt idx="689" formatCode="General">
                  <c:v>0.15860905155858984</c:v>
                </c:pt>
                <c:pt idx="690" formatCode="General">
                  <c:v>0.17676468973006632</c:v>
                </c:pt>
                <c:pt idx="691" formatCode="General">
                  <c:v>0.23017802645438845</c:v>
                </c:pt>
                <c:pt idx="692" formatCode="General">
                  <c:v>0.22715065407861057</c:v>
                </c:pt>
                <c:pt idx="693" formatCode="General">
                  <c:v>0.23160215193955525</c:v>
                </c:pt>
                <c:pt idx="694" formatCode="General">
                  <c:v>0.23632103303759577</c:v>
                </c:pt>
                <c:pt idx="695" formatCode="General">
                  <c:v>0.22724750410501815</c:v>
                </c:pt>
                <c:pt idx="696" formatCode="General">
                  <c:v>0.22583736363651052</c:v>
                </c:pt>
                <c:pt idx="697" formatCode="General">
                  <c:v>0.21314436661952496</c:v>
                </c:pt>
                <c:pt idx="698" formatCode="General">
                  <c:v>0.20972280766792606</c:v>
                </c:pt>
                <c:pt idx="699" formatCode="General">
                  <c:v>0.19324299419201552</c:v>
                </c:pt>
                <c:pt idx="700" formatCode="General">
                  <c:v>0.20710983252390136</c:v>
                </c:pt>
                <c:pt idx="701" formatCode="General">
                  <c:v>0.22367943655495326</c:v>
                </c:pt>
                <c:pt idx="702" formatCode="General">
                  <c:v>0.22963241982240068</c:v>
                </c:pt>
                <c:pt idx="703" formatCode="General">
                  <c:v>0.2352767937075364</c:v>
                </c:pt>
                <c:pt idx="704" formatCode="General">
                  <c:v>0.25400077977546354</c:v>
                </c:pt>
                <c:pt idx="705" formatCode="General">
                  <c:v>0.22576322745234689</c:v>
                </c:pt>
                <c:pt idx="706" formatCode="General">
                  <c:v>0.21309410603290191</c:v>
                </c:pt>
                <c:pt idx="707" formatCode="General">
                  <c:v>0.19739288413969192</c:v>
                </c:pt>
                <c:pt idx="708" formatCode="General">
                  <c:v>0.21819678606529358</c:v>
                </c:pt>
                <c:pt idx="709" formatCode="General">
                  <c:v>0.22352365408752561</c:v>
                </c:pt>
                <c:pt idx="710" formatCode="General">
                  <c:v>0.24516759813466438</c:v>
                </c:pt>
              </c:numCache>
            </c:numRef>
          </c:val>
          <c:smooth val="1"/>
          <c:extLst>
            <c:ext xmlns:c16="http://schemas.microsoft.com/office/drawing/2014/chart" uri="{C3380CC4-5D6E-409C-BE32-E72D297353CC}">
              <c16:uniqueId val="{00000008-2EA0-43A0-9CB9-F40B4D364F0E}"/>
            </c:ext>
          </c:extLst>
        </c:ser>
        <c:ser>
          <c:idx val="7"/>
          <c:order val="7"/>
          <c:tx>
            <c:strRef>
              <c:f>'Strategy AccReturns'!$I$2</c:f>
              <c:strCache>
                <c:ptCount val="1"/>
                <c:pt idx="0">
                  <c:v>RV Intl.</c:v>
                </c:pt>
              </c:strCache>
            </c:strRef>
          </c:tx>
          <c:spPr>
            <a:ln w="25400" cap="rnd">
              <a:solidFill>
                <a:schemeClr val="bg1">
                  <a:lumMod val="65000"/>
                </a:schemeClr>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AccReturns'!$I$3:$I$713</c:f>
              <c:numCache>
                <c:formatCode>General</c:formatCode>
                <c:ptCount val="711"/>
                <c:pt idx="0">
                  <c:v>2.948026710861658E-3</c:v>
                </c:pt>
                <c:pt idx="1">
                  <c:v>3.1083262253361887E-4</c:v>
                </c:pt>
                <c:pt idx="2">
                  <c:v>-2.0891406743268615E-3</c:v>
                </c:pt>
                <c:pt idx="3">
                  <c:v>2.0906198183490154E-3</c:v>
                </c:pt>
                <c:pt idx="4">
                  <c:v>-2.0567787966829787E-4</c:v>
                </c:pt>
                <c:pt idx="5">
                  <c:v>1.6151547680604672E-2</c:v>
                </c:pt>
                <c:pt idx="6">
                  <c:v>1.8453363267051381E-2</c:v>
                </c:pt>
                <c:pt idx="7">
                  <c:v>3.7642897073831172E-2</c:v>
                </c:pt>
                <c:pt idx="8">
                  <c:v>3.5217587957695695E-2</c:v>
                </c:pt>
                <c:pt idx="9">
                  <c:v>4.3593099702693872E-2</c:v>
                </c:pt>
                <c:pt idx="10">
                  <c:v>5.1823948423254107E-2</c:v>
                </c:pt>
                <c:pt idx="11">
                  <c:v>5.2691748980226105E-2</c:v>
                </c:pt>
                <c:pt idx="12">
                  <c:v>5.9869551073879146E-2</c:v>
                </c:pt>
                <c:pt idx="13">
                  <c:v>4.5700254135497831E-2</c:v>
                </c:pt>
                <c:pt idx="14">
                  <c:v>4.680328822652946E-2</c:v>
                </c:pt>
                <c:pt idx="15">
                  <c:v>3.7160339626739258E-2</c:v>
                </c:pt>
                <c:pt idx="16">
                  <c:v>3.2106367835332605E-2</c:v>
                </c:pt>
                <c:pt idx="17">
                  <c:v>2.105611680648245E-2</c:v>
                </c:pt>
                <c:pt idx="18">
                  <c:v>2.6825538322085007E-2</c:v>
                </c:pt>
                <c:pt idx="19">
                  <c:v>2.7428561562316212E-2</c:v>
                </c:pt>
                <c:pt idx="20">
                  <c:v>2.0467579822118775E-2</c:v>
                </c:pt>
                <c:pt idx="21">
                  <c:v>1.1149580934998182E-2</c:v>
                </c:pt>
                <c:pt idx="22">
                  <c:v>1.016065025704016E-2</c:v>
                </c:pt>
                <c:pt idx="23">
                  <c:v>3.2419216160539222E-2</c:v>
                </c:pt>
                <c:pt idx="24">
                  <c:v>3.7316400401279592E-2</c:v>
                </c:pt>
                <c:pt idx="25">
                  <c:v>5.1919226586576439E-2</c:v>
                </c:pt>
                <c:pt idx="26">
                  <c:v>5.0336246071295276E-2</c:v>
                </c:pt>
                <c:pt idx="27">
                  <c:v>5.5241364798612524E-2</c:v>
                </c:pt>
                <c:pt idx="28">
                  <c:v>6.3685482139182126E-2</c:v>
                </c:pt>
                <c:pt idx="29">
                  <c:v>7.506949102650351E-2</c:v>
                </c:pt>
                <c:pt idx="30">
                  <c:v>7.4473883482184311E-2</c:v>
                </c:pt>
                <c:pt idx="31">
                  <c:v>6.5427017587922576E-2</c:v>
                </c:pt>
                <c:pt idx="32">
                  <c:v>8.1119906083204851E-2</c:v>
                </c:pt>
                <c:pt idx="33">
                  <c:v>7.3011234749064124E-2</c:v>
                </c:pt>
                <c:pt idx="34">
                  <c:v>8.1512263966033949E-2</c:v>
                </c:pt>
                <c:pt idx="35">
                  <c:v>8.3588414123126009E-2</c:v>
                </c:pt>
                <c:pt idx="36">
                  <c:v>7.1982253394046403E-2</c:v>
                </c:pt>
                <c:pt idx="37">
                  <c:v>2.8692036495822526E-2</c:v>
                </c:pt>
                <c:pt idx="38">
                  <c:v>1.2658089589837385E-2</c:v>
                </c:pt>
                <c:pt idx="39">
                  <c:v>-3.9739031877980002E-3</c:v>
                </c:pt>
                <c:pt idx="40">
                  <c:v>2.7483952593034155E-2</c:v>
                </c:pt>
                <c:pt idx="41">
                  <c:v>1.849896783991456E-2</c:v>
                </c:pt>
                <c:pt idx="42">
                  <c:v>5.4097059585843876E-2</c:v>
                </c:pt>
                <c:pt idx="43">
                  <c:v>4.7491382818797279E-2</c:v>
                </c:pt>
                <c:pt idx="44">
                  <c:v>2.6888764528895548E-2</c:v>
                </c:pt>
                <c:pt idx="45">
                  <c:v>-2.3965897614116494E-2</c:v>
                </c:pt>
                <c:pt idx="46">
                  <c:v>6.2513266909647314E-6</c:v>
                </c:pt>
                <c:pt idx="47">
                  <c:v>-2.2098669204827948E-2</c:v>
                </c:pt>
                <c:pt idx="48">
                  <c:v>-9.1704373013590468E-2</c:v>
                </c:pt>
                <c:pt idx="49">
                  <c:v>-4.1227675175951495E-2</c:v>
                </c:pt>
                <c:pt idx="50">
                  <c:v>-0.10359651538094117</c:v>
                </c:pt>
                <c:pt idx="51">
                  <c:v>-7.7004674880744473E-2</c:v>
                </c:pt>
                <c:pt idx="52">
                  <c:v>-0.10172787995783716</c:v>
                </c:pt>
                <c:pt idx="53">
                  <c:v>-0.12240477961864682</c:v>
                </c:pt>
                <c:pt idx="54">
                  <c:v>-0.12856583633842289</c:v>
                </c:pt>
                <c:pt idx="55">
                  <c:v>-0.14694857445190013</c:v>
                </c:pt>
                <c:pt idx="56">
                  <c:v>-9.0522504370132983E-2</c:v>
                </c:pt>
                <c:pt idx="57">
                  <c:v>-8.0718686193653855E-2</c:v>
                </c:pt>
                <c:pt idx="58">
                  <c:v>-4.9754554010246088E-2</c:v>
                </c:pt>
                <c:pt idx="59">
                  <c:v>-5.8342120033078482E-2</c:v>
                </c:pt>
                <c:pt idx="60">
                  <c:v>-3.6645612108314185E-2</c:v>
                </c:pt>
                <c:pt idx="61">
                  <c:v>-3.31177963022532E-2</c:v>
                </c:pt>
                <c:pt idx="62">
                  <c:v>-5.395372563541545E-2</c:v>
                </c:pt>
                <c:pt idx="63">
                  <c:v>-3.7610336567992397E-2</c:v>
                </c:pt>
                <c:pt idx="64">
                  <c:v>-4.0672417602308442E-2</c:v>
                </c:pt>
                <c:pt idx="65">
                  <c:v>-4.5462779838391087E-3</c:v>
                </c:pt>
                <c:pt idx="66">
                  <c:v>-2.2158326129857464E-3</c:v>
                </c:pt>
                <c:pt idx="67">
                  <c:v>1.1081061327928854E-3</c:v>
                </c:pt>
                <c:pt idx="68">
                  <c:v>6.2035379888203401E-3</c:v>
                </c:pt>
                <c:pt idx="69">
                  <c:v>1.4796519611026682E-2</c:v>
                </c:pt>
                <c:pt idx="70">
                  <c:v>3.6294671124115885E-2</c:v>
                </c:pt>
                <c:pt idx="71">
                  <c:v>2.9855459558595143E-2</c:v>
                </c:pt>
                <c:pt idx="72">
                  <c:v>4.4677231335967127E-2</c:v>
                </c:pt>
                <c:pt idx="73">
                  <c:v>5.3343316674740793E-2</c:v>
                </c:pt>
                <c:pt idx="74">
                  <c:v>5.6587865789867298E-2</c:v>
                </c:pt>
                <c:pt idx="75">
                  <c:v>6.2080441089087612E-2</c:v>
                </c:pt>
                <c:pt idx="76">
                  <c:v>7.6550235925531673E-2</c:v>
                </c:pt>
                <c:pt idx="77">
                  <c:v>9.4495800399649887E-2</c:v>
                </c:pt>
                <c:pt idx="78">
                  <c:v>0.11129534441552846</c:v>
                </c:pt>
                <c:pt idx="79">
                  <c:v>9.3324371688937591E-2</c:v>
                </c:pt>
                <c:pt idx="80">
                  <c:v>9.2263410854017458E-2</c:v>
                </c:pt>
                <c:pt idx="81">
                  <c:v>0.10067966761905023</c:v>
                </c:pt>
                <c:pt idx="82">
                  <c:v>7.7672438146067169E-2</c:v>
                </c:pt>
                <c:pt idx="83">
                  <c:v>9.350573467572354E-2</c:v>
                </c:pt>
                <c:pt idx="84">
                  <c:v>0.11133258925447898</c:v>
                </c:pt>
                <c:pt idx="85">
                  <c:v>0.14185776762966529</c:v>
                </c:pt>
                <c:pt idx="86">
                  <c:v>0.14055001638743936</c:v>
                </c:pt>
                <c:pt idx="87">
                  <c:v>0.15488802860691164</c:v>
                </c:pt>
                <c:pt idx="88">
                  <c:v>0.14492484511089732</c:v>
                </c:pt>
                <c:pt idx="89">
                  <c:v>0.1404590877488241</c:v>
                </c:pt>
                <c:pt idx="90">
                  <c:v>0.1346998488224056</c:v>
                </c:pt>
                <c:pt idx="91">
                  <c:v>0.13965443293524737</c:v>
                </c:pt>
                <c:pt idx="92">
                  <c:v>0.14974545401981598</c:v>
                </c:pt>
                <c:pt idx="93">
                  <c:v>0.16476498924206773</c:v>
                </c:pt>
                <c:pt idx="94">
                  <c:v>0.1597843400237422</c:v>
                </c:pt>
                <c:pt idx="95">
                  <c:v>0.13440506336382718</c:v>
                </c:pt>
                <c:pt idx="96">
                  <c:v>0.11346640974104516</c:v>
                </c:pt>
                <c:pt idx="97">
                  <c:v>0.11180960047256705</c:v>
                </c:pt>
                <c:pt idx="98">
                  <c:v>0.10499564519503624</c:v>
                </c:pt>
                <c:pt idx="99">
                  <c:v>0.10295715956942031</c:v>
                </c:pt>
                <c:pt idx="100">
                  <c:v>0.11014954069527261</c:v>
                </c:pt>
                <c:pt idx="101">
                  <c:v>0.11720381517163947</c:v>
                </c:pt>
                <c:pt idx="102">
                  <c:v>0.13138582309923708</c:v>
                </c:pt>
                <c:pt idx="103">
                  <c:v>0.12754325804491251</c:v>
                </c:pt>
                <c:pt idx="104">
                  <c:v>0.12326672511674874</c:v>
                </c:pt>
                <c:pt idx="105">
                  <c:v>0.12560592415589489</c:v>
                </c:pt>
                <c:pt idx="106">
                  <c:v>0.12280857990843241</c:v>
                </c:pt>
                <c:pt idx="107">
                  <c:v>0.11600644918523262</c:v>
                </c:pt>
                <c:pt idx="108">
                  <c:v>0.12030215043261538</c:v>
                </c:pt>
                <c:pt idx="109">
                  <c:v>0.13153275261728714</c:v>
                </c:pt>
                <c:pt idx="110">
                  <c:v>0.1098933481954345</c:v>
                </c:pt>
                <c:pt idx="111">
                  <c:v>0.11710047543742896</c:v>
                </c:pt>
                <c:pt idx="112">
                  <c:v>0.15134132978239023</c:v>
                </c:pt>
                <c:pt idx="113">
                  <c:v>0.15863087742053006</c:v>
                </c:pt>
                <c:pt idx="114">
                  <c:v>0.17931840342924721</c:v>
                </c:pt>
                <c:pt idx="115">
                  <c:v>0.17117498257240138</c:v>
                </c:pt>
                <c:pt idx="116">
                  <c:v>0.16887889794430744</c:v>
                </c:pt>
                <c:pt idx="117">
                  <c:v>0.1638411369179078</c:v>
                </c:pt>
                <c:pt idx="118">
                  <c:v>0.17671947390414156</c:v>
                </c:pt>
                <c:pt idx="119">
                  <c:v>0.18109665861134161</c:v>
                </c:pt>
                <c:pt idx="120">
                  <c:v>0.17937615792416861</c:v>
                </c:pt>
                <c:pt idx="121">
                  <c:v>0.17842060925145709</c:v>
                </c:pt>
                <c:pt idx="122">
                  <c:v>0.18932549846053548</c:v>
                </c:pt>
                <c:pt idx="123">
                  <c:v>0.17635363710540641</c:v>
                </c:pt>
                <c:pt idx="124">
                  <c:v>0.2061486055947539</c:v>
                </c:pt>
                <c:pt idx="125">
                  <c:v>0.21540159806502923</c:v>
                </c:pt>
                <c:pt idx="126">
                  <c:v>0.24208758086626347</c:v>
                </c:pt>
                <c:pt idx="127">
                  <c:v>0.23509770933484986</c:v>
                </c:pt>
                <c:pt idx="128">
                  <c:v>0.25223478802114085</c:v>
                </c:pt>
                <c:pt idx="129">
                  <c:v>0.25731987201814244</c:v>
                </c:pt>
                <c:pt idx="130">
                  <c:v>0.25275159409797476</c:v>
                </c:pt>
                <c:pt idx="131">
                  <c:v>0.25531969242258334</c:v>
                </c:pt>
                <c:pt idx="132">
                  <c:v>0.24907939774450205</c:v>
                </c:pt>
                <c:pt idx="133">
                  <c:v>0.26367673011269765</c:v>
                </c:pt>
                <c:pt idx="134">
                  <c:v>0.23304892152890777</c:v>
                </c:pt>
                <c:pt idx="135">
                  <c:v>0.24971000113133557</c:v>
                </c:pt>
                <c:pt idx="136">
                  <c:v>0.25873980711642353</c:v>
                </c:pt>
                <c:pt idx="137">
                  <c:v>0.25020011799589859</c:v>
                </c:pt>
                <c:pt idx="138">
                  <c:v>0.22957394947214027</c:v>
                </c:pt>
                <c:pt idx="139">
                  <c:v>0.24156141731873926</c:v>
                </c:pt>
                <c:pt idx="140">
                  <c:v>0.22296708721632519</c:v>
                </c:pt>
                <c:pt idx="141">
                  <c:v>0.22155328045963119</c:v>
                </c:pt>
                <c:pt idx="142">
                  <c:v>0.2211258845084092</c:v>
                </c:pt>
                <c:pt idx="143">
                  <c:v>0.23826611596799885</c:v>
                </c:pt>
                <c:pt idx="144">
                  <c:v>0.23055003104330374</c:v>
                </c:pt>
                <c:pt idx="145">
                  <c:v>0.24196897020104524</c:v>
                </c:pt>
                <c:pt idx="146">
                  <c:v>0.26963085071679771</c:v>
                </c:pt>
                <c:pt idx="147">
                  <c:v>0.27468480976772991</c:v>
                </c:pt>
                <c:pt idx="148">
                  <c:v>0.28763103188623251</c:v>
                </c:pt>
                <c:pt idx="149">
                  <c:v>0.29824355964034255</c:v>
                </c:pt>
                <c:pt idx="150">
                  <c:v>0.30267087923458091</c:v>
                </c:pt>
                <c:pt idx="151">
                  <c:v>0.30171268909501192</c:v>
                </c:pt>
                <c:pt idx="152">
                  <c:v>0.28958621756312941</c:v>
                </c:pt>
                <c:pt idx="153">
                  <c:v>0.30832654654361735</c:v>
                </c:pt>
                <c:pt idx="154">
                  <c:v>0.29713725426338877</c:v>
                </c:pt>
                <c:pt idx="155">
                  <c:v>0.30481923500187569</c:v>
                </c:pt>
                <c:pt idx="156">
                  <c:v>0.32517820266948005</c:v>
                </c:pt>
                <c:pt idx="157">
                  <c:v>0.32624999342935213</c:v>
                </c:pt>
                <c:pt idx="158">
                  <c:v>0.33072449946114135</c:v>
                </c:pt>
                <c:pt idx="159">
                  <c:v>0.32749140864937543</c:v>
                </c:pt>
                <c:pt idx="160">
                  <c:v>0.35129895737273964</c:v>
                </c:pt>
                <c:pt idx="161">
                  <c:v>0.36315817816446505</c:v>
                </c:pt>
                <c:pt idx="162">
                  <c:v>0.35721352075917379</c:v>
                </c:pt>
                <c:pt idx="163">
                  <c:v>0.38245572849132192</c:v>
                </c:pt>
                <c:pt idx="164">
                  <c:v>0.37512411190637129</c:v>
                </c:pt>
                <c:pt idx="165">
                  <c:v>0.35538703722024256</c:v>
                </c:pt>
                <c:pt idx="166">
                  <c:v>0.35578664589401687</c:v>
                </c:pt>
                <c:pt idx="167">
                  <c:v>0.35593213185564099</c:v>
                </c:pt>
                <c:pt idx="168">
                  <c:v>0.36284092645153176</c:v>
                </c:pt>
                <c:pt idx="169">
                  <c:v>0.31920252995313492</c:v>
                </c:pt>
                <c:pt idx="170">
                  <c:v>0.30676401189328373</c:v>
                </c:pt>
                <c:pt idx="171">
                  <c:v>0.285879854866262</c:v>
                </c:pt>
                <c:pt idx="172">
                  <c:v>0.28986510732723003</c:v>
                </c:pt>
                <c:pt idx="173">
                  <c:v>0.27984127652441115</c:v>
                </c:pt>
                <c:pt idx="174">
                  <c:v>0.28632298169996728</c:v>
                </c:pt>
                <c:pt idx="175">
                  <c:v>0.29597782536147177</c:v>
                </c:pt>
                <c:pt idx="176">
                  <c:v>0.30436822873730818</c:v>
                </c:pt>
                <c:pt idx="177">
                  <c:v>0.30011060636645182</c:v>
                </c:pt>
                <c:pt idx="178">
                  <c:v>0.28928190936734044</c:v>
                </c:pt>
                <c:pt idx="179">
                  <c:v>0.30719882004362908</c:v>
                </c:pt>
                <c:pt idx="180">
                  <c:v>0.29019980401451395</c:v>
                </c:pt>
                <c:pt idx="181">
                  <c:v>0.30468586999617409</c:v>
                </c:pt>
                <c:pt idx="182">
                  <c:v>0.30872219536742618</c:v>
                </c:pt>
                <c:pt idx="183">
                  <c:v>0.28649360125698564</c:v>
                </c:pt>
                <c:pt idx="184">
                  <c:v>0.30379047708628004</c:v>
                </c:pt>
                <c:pt idx="185">
                  <c:v>0.33380431806971034</c:v>
                </c:pt>
                <c:pt idx="186">
                  <c:v>0.34295956897218161</c:v>
                </c:pt>
                <c:pt idx="187">
                  <c:v>0.34280614245074958</c:v>
                </c:pt>
                <c:pt idx="188">
                  <c:v>0.35306052453529535</c:v>
                </c:pt>
                <c:pt idx="189">
                  <c:v>0.34697229610188929</c:v>
                </c:pt>
                <c:pt idx="190">
                  <c:v>0.34661261796323317</c:v>
                </c:pt>
                <c:pt idx="191">
                  <c:v>0.34873873395632304</c:v>
                </c:pt>
                <c:pt idx="192">
                  <c:v>0.36719321300354379</c:v>
                </c:pt>
                <c:pt idx="193">
                  <c:v>0.37190549260030714</c:v>
                </c:pt>
                <c:pt idx="194">
                  <c:v>0.36958049764001233</c:v>
                </c:pt>
                <c:pt idx="195">
                  <c:v>0.40305321335486255</c:v>
                </c:pt>
                <c:pt idx="196">
                  <c:v>0.39926901285967342</c:v>
                </c:pt>
                <c:pt idx="197">
                  <c:v>0.39227335347802983</c:v>
                </c:pt>
                <c:pt idx="198">
                  <c:v>0.40129625660330714</c:v>
                </c:pt>
                <c:pt idx="199">
                  <c:v>0.38018382452371013</c:v>
                </c:pt>
                <c:pt idx="200">
                  <c:v>0.3884350026470802</c:v>
                </c:pt>
                <c:pt idx="201">
                  <c:v>0.3917582302582876</c:v>
                </c:pt>
                <c:pt idx="202">
                  <c:v>0.3937163327835409</c:v>
                </c:pt>
                <c:pt idx="203">
                  <c:v>0.3997592435206625</c:v>
                </c:pt>
                <c:pt idx="204">
                  <c:v>0.38266062979791671</c:v>
                </c:pt>
                <c:pt idx="205">
                  <c:v>0.39454523459729729</c:v>
                </c:pt>
                <c:pt idx="206">
                  <c:v>0.37533262775949883</c:v>
                </c:pt>
                <c:pt idx="207">
                  <c:v>0.3908876683137017</c:v>
                </c:pt>
                <c:pt idx="208">
                  <c:v>0.36483915947264611</c:v>
                </c:pt>
                <c:pt idx="209">
                  <c:v>0.39369290670008295</c:v>
                </c:pt>
                <c:pt idx="210">
                  <c:v>0.40581832921625494</c:v>
                </c:pt>
                <c:pt idx="211">
                  <c:v>0.41723225467744429</c:v>
                </c:pt>
                <c:pt idx="212">
                  <c:v>0.39341959592631759</c:v>
                </c:pt>
                <c:pt idx="213">
                  <c:v>0.40297146780718407</c:v>
                </c:pt>
                <c:pt idx="214">
                  <c:v>0.3914418762031715</c:v>
                </c:pt>
                <c:pt idx="215">
                  <c:v>0.39375558404503819</c:v>
                </c:pt>
                <c:pt idx="216">
                  <c:v>0.40062197892091334</c:v>
                </c:pt>
                <c:pt idx="217">
                  <c:v>0.41596387054906825</c:v>
                </c:pt>
                <c:pt idx="218">
                  <c:v>0.41945591678723004</c:v>
                </c:pt>
                <c:pt idx="219">
                  <c:v>0.40380247678142456</c:v>
                </c:pt>
                <c:pt idx="220">
                  <c:v>0.38966625095601715</c:v>
                </c:pt>
                <c:pt idx="221">
                  <c:v>0.38207689440488934</c:v>
                </c:pt>
                <c:pt idx="222">
                  <c:v>0.39831205130555181</c:v>
                </c:pt>
                <c:pt idx="223">
                  <c:v>0.41765553507807485</c:v>
                </c:pt>
                <c:pt idx="224">
                  <c:v>0.41848966212370309</c:v>
                </c:pt>
                <c:pt idx="225">
                  <c:v>0.39788094189843504</c:v>
                </c:pt>
                <c:pt idx="226">
                  <c:v>0.40124196430775627</c:v>
                </c:pt>
                <c:pt idx="227">
                  <c:v>0.41393388041954737</c:v>
                </c:pt>
                <c:pt idx="228">
                  <c:v>0.39559427898638488</c:v>
                </c:pt>
                <c:pt idx="229">
                  <c:v>0.38699892734681374</c:v>
                </c:pt>
                <c:pt idx="230">
                  <c:v>0.38730286087335286</c:v>
                </c:pt>
                <c:pt idx="231">
                  <c:v>0.38104390491252005</c:v>
                </c:pt>
                <c:pt idx="232">
                  <c:v>0.38623269201307453</c:v>
                </c:pt>
                <c:pt idx="233">
                  <c:v>0.37363157435553096</c:v>
                </c:pt>
                <c:pt idx="234">
                  <c:v>0.38131642537841492</c:v>
                </c:pt>
                <c:pt idx="235">
                  <c:v>0.37965667713091511</c:v>
                </c:pt>
                <c:pt idx="236">
                  <c:v>0.36275220699026023</c:v>
                </c:pt>
                <c:pt idx="237">
                  <c:v>0.36282881093479102</c:v>
                </c:pt>
                <c:pt idx="238">
                  <c:v>0.36272130412438419</c:v>
                </c:pt>
                <c:pt idx="239">
                  <c:v>0.36834685860508531</c:v>
                </c:pt>
                <c:pt idx="240">
                  <c:v>0.37806389775088634</c:v>
                </c:pt>
                <c:pt idx="241">
                  <c:v>0.38333164708176892</c:v>
                </c:pt>
                <c:pt idx="242">
                  <c:v>0.38052955569926517</c:v>
                </c:pt>
                <c:pt idx="243">
                  <c:v>0.38396307499418736</c:v>
                </c:pt>
                <c:pt idx="244">
                  <c:v>0.38267401198275941</c:v>
                </c:pt>
                <c:pt idx="245">
                  <c:v>0.39786073304786784</c:v>
                </c:pt>
                <c:pt idx="246">
                  <c:v>0.38684070329695608</c:v>
                </c:pt>
                <c:pt idx="247">
                  <c:v>0.39783781335001156</c:v>
                </c:pt>
                <c:pt idx="248">
                  <c:v>0.40172652167306544</c:v>
                </c:pt>
                <c:pt idx="249">
                  <c:v>0.41424074448001358</c:v>
                </c:pt>
                <c:pt idx="250">
                  <c:v>0.41963929130466671</c:v>
                </c:pt>
                <c:pt idx="251">
                  <c:v>0.42716698104037487</c:v>
                </c:pt>
                <c:pt idx="252">
                  <c:v>0.44863364636233172</c:v>
                </c:pt>
                <c:pt idx="253">
                  <c:v>0.45614967588301236</c:v>
                </c:pt>
                <c:pt idx="254">
                  <c:v>0.48225303326722724</c:v>
                </c:pt>
                <c:pt idx="255">
                  <c:v>0.50449157212264617</c:v>
                </c:pt>
                <c:pt idx="256">
                  <c:v>0.51397495126339376</c:v>
                </c:pt>
                <c:pt idx="257">
                  <c:v>0.48436716071772756</c:v>
                </c:pt>
                <c:pt idx="258">
                  <c:v>0.48729267137354215</c:v>
                </c:pt>
                <c:pt idx="259">
                  <c:v>0.47570728097584203</c:v>
                </c:pt>
                <c:pt idx="260">
                  <c:v>0.48245837815970893</c:v>
                </c:pt>
                <c:pt idx="261">
                  <c:v>0.48606195993472023</c:v>
                </c:pt>
                <c:pt idx="262">
                  <c:v>0.52145402494512338</c:v>
                </c:pt>
                <c:pt idx="263">
                  <c:v>0.53873459625386877</c:v>
                </c:pt>
                <c:pt idx="264">
                  <c:v>0.55227979750867573</c:v>
                </c:pt>
                <c:pt idx="265">
                  <c:v>0.56477648986309226</c:v>
                </c:pt>
                <c:pt idx="266">
                  <c:v>0.57713851171504493</c:v>
                </c:pt>
                <c:pt idx="267">
                  <c:v>0.5466897501298027</c:v>
                </c:pt>
                <c:pt idx="268">
                  <c:v>0.52124588422678331</c:v>
                </c:pt>
                <c:pt idx="269">
                  <c:v>0.52776807779354162</c:v>
                </c:pt>
                <c:pt idx="270">
                  <c:v>0.51305874524908446</c:v>
                </c:pt>
                <c:pt idx="271">
                  <c:v>0.53264905374390215</c:v>
                </c:pt>
                <c:pt idx="272">
                  <c:v>0.54196108651157449</c:v>
                </c:pt>
                <c:pt idx="273">
                  <c:v>0.55472040130222733</c:v>
                </c:pt>
                <c:pt idx="274">
                  <c:v>0.57005949736893147</c:v>
                </c:pt>
                <c:pt idx="275">
                  <c:v>0.56177382889954308</c:v>
                </c:pt>
                <c:pt idx="276">
                  <c:v>0.56841107330604168</c:v>
                </c:pt>
                <c:pt idx="277">
                  <c:v>0.58002781547992877</c:v>
                </c:pt>
                <c:pt idx="278">
                  <c:v>0.5915404346964046</c:v>
                </c:pt>
                <c:pt idx="279">
                  <c:v>0.59629709175505963</c:v>
                </c:pt>
                <c:pt idx="280">
                  <c:v>0.6006138696800809</c:v>
                </c:pt>
                <c:pt idx="281">
                  <c:v>0.61609260464683291</c:v>
                </c:pt>
                <c:pt idx="282">
                  <c:v>0.6048047935333265</c:v>
                </c:pt>
                <c:pt idx="283">
                  <c:v>0.60027174624610358</c:v>
                </c:pt>
                <c:pt idx="284">
                  <c:v>0.58860874123648843</c:v>
                </c:pt>
                <c:pt idx="285">
                  <c:v>0.57906907724165624</c:v>
                </c:pt>
                <c:pt idx="286">
                  <c:v>0.57195447605176031</c:v>
                </c:pt>
                <c:pt idx="287">
                  <c:v>0.5701838315216794</c:v>
                </c:pt>
                <c:pt idx="288">
                  <c:v>0.55778979295353204</c:v>
                </c:pt>
                <c:pt idx="289">
                  <c:v>0.6021238862000009</c:v>
                </c:pt>
                <c:pt idx="290">
                  <c:v>0.59626925026992406</c:v>
                </c:pt>
                <c:pt idx="291">
                  <c:v>0.58722257730940619</c:v>
                </c:pt>
                <c:pt idx="292">
                  <c:v>0.55767562409627391</c:v>
                </c:pt>
                <c:pt idx="293">
                  <c:v>0.5748862311064793</c:v>
                </c:pt>
                <c:pt idx="294">
                  <c:v>0.57417678786201831</c:v>
                </c:pt>
                <c:pt idx="295">
                  <c:v>0.58369899008906501</c:v>
                </c:pt>
                <c:pt idx="296">
                  <c:v>0.57266980435244697</c:v>
                </c:pt>
                <c:pt idx="297">
                  <c:v>0.577143459080389</c:v>
                </c:pt>
                <c:pt idx="298">
                  <c:v>0.56665881414579378</c:v>
                </c:pt>
                <c:pt idx="299">
                  <c:v>0.57860687092788399</c:v>
                </c:pt>
                <c:pt idx="300">
                  <c:v>0.58646673302744046</c:v>
                </c:pt>
                <c:pt idx="301">
                  <c:v>0.58799571917485949</c:v>
                </c:pt>
                <c:pt idx="302">
                  <c:v>0.57385661761164952</c:v>
                </c:pt>
                <c:pt idx="303">
                  <c:v>0.54966807821092045</c:v>
                </c:pt>
                <c:pt idx="304">
                  <c:v>0.56265222662050651</c:v>
                </c:pt>
                <c:pt idx="305">
                  <c:v>0.54773350997728931</c:v>
                </c:pt>
                <c:pt idx="306">
                  <c:v>0.54271691524516852</c:v>
                </c:pt>
                <c:pt idx="307">
                  <c:v>0.54774699532147553</c:v>
                </c:pt>
                <c:pt idx="308">
                  <c:v>0.58379186328508048</c:v>
                </c:pt>
                <c:pt idx="309">
                  <c:v>0.58552465910952711</c:v>
                </c:pt>
                <c:pt idx="310">
                  <c:v>0.58901496606619497</c:v>
                </c:pt>
                <c:pt idx="311">
                  <c:v>0.56968608273895271</c:v>
                </c:pt>
                <c:pt idx="312">
                  <c:v>0.60702761077542755</c:v>
                </c:pt>
                <c:pt idx="313">
                  <c:v>0.6119179982086369</c:v>
                </c:pt>
                <c:pt idx="314">
                  <c:v>0.60253094657197748</c:v>
                </c:pt>
                <c:pt idx="315">
                  <c:v>0.60370206297324969</c:v>
                </c:pt>
                <c:pt idx="316">
                  <c:v>0.5987567363543036</c:v>
                </c:pt>
                <c:pt idx="317">
                  <c:v>0.61266970637624918</c:v>
                </c:pt>
                <c:pt idx="318">
                  <c:v>0.61587217624256074</c:v>
                </c:pt>
                <c:pt idx="319">
                  <c:v>0.61374778924747742</c:v>
                </c:pt>
                <c:pt idx="320">
                  <c:v>0.6132614355508359</c:v>
                </c:pt>
                <c:pt idx="321">
                  <c:v>0.61088492785895032</c:v>
                </c:pt>
                <c:pt idx="322">
                  <c:v>0.61738674842666397</c:v>
                </c:pt>
                <c:pt idx="323">
                  <c:v>0.60702737249825822</c:v>
                </c:pt>
                <c:pt idx="324">
                  <c:v>0.59991845382918219</c:v>
                </c:pt>
                <c:pt idx="325">
                  <c:v>0.57835848165386916</c:v>
                </c:pt>
                <c:pt idx="326">
                  <c:v>0.60423366805434608</c:v>
                </c:pt>
                <c:pt idx="327">
                  <c:v>0.59844390240475032</c:v>
                </c:pt>
                <c:pt idx="328">
                  <c:v>0.60508829416536059</c:v>
                </c:pt>
                <c:pt idx="329">
                  <c:v>0.58693607652731394</c:v>
                </c:pt>
                <c:pt idx="330">
                  <c:v>0.59209529084644719</c:v>
                </c:pt>
                <c:pt idx="331">
                  <c:v>0.59520626441150548</c:v>
                </c:pt>
                <c:pt idx="332">
                  <c:v>0.59325860574763567</c:v>
                </c:pt>
                <c:pt idx="333">
                  <c:v>0.58809966181988549</c:v>
                </c:pt>
                <c:pt idx="334">
                  <c:v>0.56559312239862058</c:v>
                </c:pt>
                <c:pt idx="335">
                  <c:v>0.56115618430274528</c:v>
                </c:pt>
                <c:pt idx="336">
                  <c:v>0.55389571666792636</c:v>
                </c:pt>
                <c:pt idx="337">
                  <c:v>0.53764069219395827</c:v>
                </c:pt>
                <c:pt idx="338">
                  <c:v>0.52611291457741771</c:v>
                </c:pt>
                <c:pt idx="339">
                  <c:v>0.52611073747363624</c:v>
                </c:pt>
                <c:pt idx="340">
                  <c:v>0.51577088993518982</c:v>
                </c:pt>
                <c:pt idx="341">
                  <c:v>0.53007036067554369</c:v>
                </c:pt>
                <c:pt idx="342">
                  <c:v>0.54059014433790975</c:v>
                </c:pt>
                <c:pt idx="343">
                  <c:v>0.53848272853823764</c:v>
                </c:pt>
                <c:pt idx="344">
                  <c:v>0.54644850877533102</c:v>
                </c:pt>
                <c:pt idx="345">
                  <c:v>0.54675874906207422</c:v>
                </c:pt>
                <c:pt idx="346">
                  <c:v>0.56321885647119507</c:v>
                </c:pt>
                <c:pt idx="347">
                  <c:v>0.56124008953737459</c:v>
                </c:pt>
                <c:pt idx="348">
                  <c:v>0.57922849993991932</c:v>
                </c:pt>
                <c:pt idx="349">
                  <c:v>0.57836587495372438</c:v>
                </c:pt>
                <c:pt idx="350">
                  <c:v>0.57477515333535201</c:v>
                </c:pt>
                <c:pt idx="351">
                  <c:v>0.56548923465054712</c:v>
                </c:pt>
                <c:pt idx="352">
                  <c:v>0.57309204729965413</c:v>
                </c:pt>
                <c:pt idx="353">
                  <c:v>0.5684050062969257</c:v>
                </c:pt>
                <c:pt idx="354">
                  <c:v>0.55210200852888169</c:v>
                </c:pt>
                <c:pt idx="355">
                  <c:v>0.5382759586043846</c:v>
                </c:pt>
                <c:pt idx="356">
                  <c:v>0.53756334864063149</c:v>
                </c:pt>
                <c:pt idx="357">
                  <c:v>0.53828409680511902</c:v>
                </c:pt>
                <c:pt idx="358">
                  <c:v>0.54040457244617257</c:v>
                </c:pt>
                <c:pt idx="359">
                  <c:v>0.55377015755260572</c:v>
                </c:pt>
                <c:pt idx="360">
                  <c:v>0.56730689671180223</c:v>
                </c:pt>
                <c:pt idx="361">
                  <c:v>0.55635843817211961</c:v>
                </c:pt>
                <c:pt idx="362">
                  <c:v>0.54767672678732682</c:v>
                </c:pt>
                <c:pt idx="363">
                  <c:v>0.53900669841719906</c:v>
                </c:pt>
                <c:pt idx="364">
                  <c:v>0.53146075989932595</c:v>
                </c:pt>
                <c:pt idx="365">
                  <c:v>0.53462899143792098</c:v>
                </c:pt>
                <c:pt idx="366">
                  <c:v>0.52795830857753789</c:v>
                </c:pt>
                <c:pt idx="367">
                  <c:v>0.53192475580726661</c:v>
                </c:pt>
                <c:pt idx="368">
                  <c:v>0.53330049838111759</c:v>
                </c:pt>
                <c:pt idx="369">
                  <c:v>0.52864064502641273</c:v>
                </c:pt>
                <c:pt idx="370">
                  <c:v>0.54944481641719123</c:v>
                </c:pt>
                <c:pt idx="371">
                  <c:v>0.55114668300846503</c:v>
                </c:pt>
                <c:pt idx="372">
                  <c:v>0.54989981714399705</c:v>
                </c:pt>
                <c:pt idx="373">
                  <c:v>0.55936866041863498</c:v>
                </c:pt>
                <c:pt idx="374">
                  <c:v>0.57178565353011757</c:v>
                </c:pt>
                <c:pt idx="375">
                  <c:v>0.5666689550210966</c:v>
                </c:pt>
                <c:pt idx="376">
                  <c:v>0.56771529162282275</c:v>
                </c:pt>
                <c:pt idx="377">
                  <c:v>0.58856691060818767</c:v>
                </c:pt>
                <c:pt idx="378">
                  <c:v>0.5973298268814633</c:v>
                </c:pt>
                <c:pt idx="379">
                  <c:v>0.57580348101919276</c:v>
                </c:pt>
                <c:pt idx="380">
                  <c:v>0.57906866283099823</c:v>
                </c:pt>
                <c:pt idx="381">
                  <c:v>0.58035302033112934</c:v>
                </c:pt>
                <c:pt idx="382">
                  <c:v>0.58612700042067645</c:v>
                </c:pt>
                <c:pt idx="383">
                  <c:v>0.56715169362776541</c:v>
                </c:pt>
                <c:pt idx="384">
                  <c:v>0.57937692221491455</c:v>
                </c:pt>
                <c:pt idx="385">
                  <c:v>0.56974914181460146</c:v>
                </c:pt>
                <c:pt idx="386">
                  <c:v>0.57020850014343027</c:v>
                </c:pt>
                <c:pt idx="387">
                  <c:v>0.57618292298082929</c:v>
                </c:pt>
                <c:pt idx="388">
                  <c:v>0.57813039861789206</c:v>
                </c:pt>
                <c:pt idx="389">
                  <c:v>0.59113724730765216</c:v>
                </c:pt>
                <c:pt idx="390">
                  <c:v>0.57974314094368196</c:v>
                </c:pt>
                <c:pt idx="391">
                  <c:v>0.54233631891358081</c:v>
                </c:pt>
                <c:pt idx="392">
                  <c:v>0.50935331561054609</c:v>
                </c:pt>
                <c:pt idx="393">
                  <c:v>0.50942726306741704</c:v>
                </c:pt>
                <c:pt idx="394">
                  <c:v>0.53012201829917416</c:v>
                </c:pt>
                <c:pt idx="395">
                  <c:v>0.54390146558714791</c:v>
                </c:pt>
                <c:pt idx="396">
                  <c:v>0.54554011098601718</c:v>
                </c:pt>
                <c:pt idx="397">
                  <c:v>0.54806406542314168</c:v>
                </c:pt>
                <c:pt idx="398">
                  <c:v>0.54772506926302689</c:v>
                </c:pt>
                <c:pt idx="399">
                  <c:v>0.55158496040813687</c:v>
                </c:pt>
                <c:pt idx="400">
                  <c:v>0.55729416200721715</c:v>
                </c:pt>
                <c:pt idx="401">
                  <c:v>0.55724410937963276</c:v>
                </c:pt>
                <c:pt idx="402">
                  <c:v>0.55913400611770037</c:v>
                </c:pt>
                <c:pt idx="403">
                  <c:v>0.56346716348994597</c:v>
                </c:pt>
                <c:pt idx="404">
                  <c:v>0.56603980755881911</c:v>
                </c:pt>
                <c:pt idx="405">
                  <c:v>0.55674193005765349</c:v>
                </c:pt>
                <c:pt idx="406">
                  <c:v>0.55578681090076776</c:v>
                </c:pt>
                <c:pt idx="407">
                  <c:v>0.5327887629542396</c:v>
                </c:pt>
                <c:pt idx="408">
                  <c:v>0.54928816160396954</c:v>
                </c:pt>
                <c:pt idx="409">
                  <c:v>0.54709366495636935</c:v>
                </c:pt>
                <c:pt idx="410">
                  <c:v>0.53404820151397425</c:v>
                </c:pt>
                <c:pt idx="411">
                  <c:v>0.55410027432265752</c:v>
                </c:pt>
                <c:pt idx="412">
                  <c:v>0.55732895585578812</c:v>
                </c:pt>
                <c:pt idx="413">
                  <c:v>0.54932060231169788</c:v>
                </c:pt>
                <c:pt idx="414">
                  <c:v>0.54885383533973009</c:v>
                </c:pt>
                <c:pt idx="415">
                  <c:v>0.54499692751471573</c:v>
                </c:pt>
                <c:pt idx="416">
                  <c:v>0.55474475355717789</c:v>
                </c:pt>
                <c:pt idx="417">
                  <c:v>0.56170489924166001</c:v>
                </c:pt>
                <c:pt idx="418">
                  <c:v>0.57615324223684095</c:v>
                </c:pt>
                <c:pt idx="419">
                  <c:v>0.57818248352970625</c:v>
                </c:pt>
                <c:pt idx="420">
                  <c:v>0.5791416094549624</c:v>
                </c:pt>
                <c:pt idx="421">
                  <c:v>0.58576876970841818</c:v>
                </c:pt>
                <c:pt idx="422">
                  <c:v>0.61201214550233574</c:v>
                </c:pt>
                <c:pt idx="423">
                  <c:v>0.58085713088023017</c:v>
                </c:pt>
                <c:pt idx="424">
                  <c:v>0.59063034248638924</c:v>
                </c:pt>
                <c:pt idx="425">
                  <c:v>0.56927400171579312</c:v>
                </c:pt>
                <c:pt idx="426">
                  <c:v>0.57053432011874516</c:v>
                </c:pt>
                <c:pt idx="427">
                  <c:v>0.5644819513857624</c:v>
                </c:pt>
                <c:pt idx="428">
                  <c:v>0.55954332526866923</c:v>
                </c:pt>
                <c:pt idx="429">
                  <c:v>0.56115209941793132</c:v>
                </c:pt>
                <c:pt idx="430">
                  <c:v>0.54185338373838898</c:v>
                </c:pt>
                <c:pt idx="431">
                  <c:v>0.52875206165541733</c:v>
                </c:pt>
                <c:pt idx="432">
                  <c:v>0.54341662728716744</c:v>
                </c:pt>
                <c:pt idx="433">
                  <c:v>0.56540925570020906</c:v>
                </c:pt>
                <c:pt idx="434">
                  <c:v>0.56367957387895107</c:v>
                </c:pt>
                <c:pt idx="435">
                  <c:v>0.56545952711615888</c:v>
                </c:pt>
                <c:pt idx="436">
                  <c:v>0.55926016857878125</c:v>
                </c:pt>
                <c:pt idx="437">
                  <c:v>0.55373862914063632</c:v>
                </c:pt>
                <c:pt idx="438">
                  <c:v>0.55198892482595796</c:v>
                </c:pt>
                <c:pt idx="439">
                  <c:v>0.54234897752295375</c:v>
                </c:pt>
                <c:pt idx="440">
                  <c:v>0.5380949758660627</c:v>
                </c:pt>
                <c:pt idx="441">
                  <c:v>0.55221461732660981</c:v>
                </c:pt>
                <c:pt idx="442">
                  <c:v>0.55110625313897121</c:v>
                </c:pt>
                <c:pt idx="443">
                  <c:v>0.58754846890509049</c:v>
                </c:pt>
                <c:pt idx="444">
                  <c:v>0.59090744813046148</c:v>
                </c:pt>
                <c:pt idx="445">
                  <c:v>0.60424238911511718</c:v>
                </c:pt>
                <c:pt idx="446">
                  <c:v>0.58919784448662837</c:v>
                </c:pt>
                <c:pt idx="447">
                  <c:v>0.60446253140625861</c:v>
                </c:pt>
                <c:pt idx="448">
                  <c:v>0.61097547037694078</c:v>
                </c:pt>
                <c:pt idx="449">
                  <c:v>0.62929891477017375</c:v>
                </c:pt>
                <c:pt idx="450">
                  <c:v>0.6573769732795518</c:v>
                </c:pt>
                <c:pt idx="451">
                  <c:v>0.66217413776359102</c:v>
                </c:pt>
                <c:pt idx="452">
                  <c:v>0.681931724311446</c:v>
                </c:pt>
                <c:pt idx="453">
                  <c:v>0.67706500543468029</c:v>
                </c:pt>
                <c:pt idx="454">
                  <c:v>0.66352005119379598</c:v>
                </c:pt>
                <c:pt idx="455">
                  <c:v>0.6645413020514308</c:v>
                </c:pt>
                <c:pt idx="456">
                  <c:v>0.64738612652251493</c:v>
                </c:pt>
                <c:pt idx="457">
                  <c:v>0.66791120483679434</c:v>
                </c:pt>
                <c:pt idx="458">
                  <c:v>0.66503189525836026</c:v>
                </c:pt>
                <c:pt idx="459">
                  <c:v>0.66876287751651642</c:v>
                </c:pt>
                <c:pt idx="460">
                  <c:v>0.6587897137352321</c:v>
                </c:pt>
                <c:pt idx="461">
                  <c:v>0.67734284123209765</c:v>
                </c:pt>
                <c:pt idx="462">
                  <c:v>0.65241928435168939</c:v>
                </c:pt>
                <c:pt idx="463">
                  <c:v>0.65825672829444137</c:v>
                </c:pt>
                <c:pt idx="464">
                  <c:v>0.6441314366999773</c:v>
                </c:pt>
                <c:pt idx="465">
                  <c:v>0.64722459972504409</c:v>
                </c:pt>
                <c:pt idx="466">
                  <c:v>0.63950265004402329</c:v>
                </c:pt>
                <c:pt idx="467">
                  <c:v>0.65997372404557364</c:v>
                </c:pt>
                <c:pt idx="468">
                  <c:v>0.67886775419787093</c:v>
                </c:pt>
                <c:pt idx="469">
                  <c:v>0.68200963915034252</c:v>
                </c:pt>
                <c:pt idx="470">
                  <c:v>0.67706384396325991</c:v>
                </c:pt>
                <c:pt idx="471">
                  <c:v>0.67927112366305509</c:v>
                </c:pt>
                <c:pt idx="472">
                  <c:v>0.67330638000243481</c:v>
                </c:pt>
                <c:pt idx="473">
                  <c:v>0.66201091978090965</c:v>
                </c:pt>
                <c:pt idx="474">
                  <c:v>0.66324816981634815</c:v>
                </c:pt>
                <c:pt idx="475">
                  <c:v>0.66471920809646101</c:v>
                </c:pt>
                <c:pt idx="476">
                  <c:v>0.63050010133824475</c:v>
                </c:pt>
                <c:pt idx="477">
                  <c:v>0.64303202452633412</c:v>
                </c:pt>
                <c:pt idx="478">
                  <c:v>0.62972076338656224</c:v>
                </c:pt>
                <c:pt idx="479">
                  <c:v>0.62579128077345691</c:v>
                </c:pt>
                <c:pt idx="480">
                  <c:v>0.63055276818920869</c:v>
                </c:pt>
                <c:pt idx="481">
                  <c:v>0.61613462951237463</c:v>
                </c:pt>
                <c:pt idx="482">
                  <c:v>0.61855141160976546</c:v>
                </c:pt>
                <c:pt idx="483">
                  <c:v>0.64318046230851222</c:v>
                </c:pt>
                <c:pt idx="484">
                  <c:v>0.63469502379423592</c:v>
                </c:pt>
                <c:pt idx="485">
                  <c:v>0.64348923506941391</c:v>
                </c:pt>
                <c:pt idx="486">
                  <c:v>0.64968805551476971</c:v>
                </c:pt>
                <c:pt idx="487">
                  <c:v>0.65374777450226795</c:v>
                </c:pt>
                <c:pt idx="488">
                  <c:v>0.64165876074293848</c:v>
                </c:pt>
                <c:pt idx="489">
                  <c:v>0.64642524506280608</c:v>
                </c:pt>
                <c:pt idx="490">
                  <c:v>0.64723841500599888</c:v>
                </c:pt>
                <c:pt idx="491">
                  <c:v>0.62420473763423634</c:v>
                </c:pt>
                <c:pt idx="492">
                  <c:v>0.60560521454435645</c:v>
                </c:pt>
                <c:pt idx="493">
                  <c:v>0.63534609425783262</c:v>
                </c:pt>
                <c:pt idx="494">
                  <c:v>0.63255353120699276</c:v>
                </c:pt>
                <c:pt idx="495">
                  <c:v>0.64280619899596969</c:v>
                </c:pt>
                <c:pt idx="496">
                  <c:v>0.64128925573751605</c:v>
                </c:pt>
                <c:pt idx="497">
                  <c:v>0.64660884863059054</c:v>
                </c:pt>
                <c:pt idx="498">
                  <c:v>0.64486335015765484</c:v>
                </c:pt>
                <c:pt idx="499">
                  <c:v>0.64725854824248508</c:v>
                </c:pt>
                <c:pt idx="500">
                  <c:v>0.6364420480776356</c:v>
                </c:pt>
                <c:pt idx="501">
                  <c:v>0.64678588295457984</c:v>
                </c:pt>
                <c:pt idx="502">
                  <c:v>0.65880407652001405</c:v>
                </c:pt>
                <c:pt idx="503">
                  <c:v>0.65088006652509778</c:v>
                </c:pt>
                <c:pt idx="504">
                  <c:v>0.62653048707962333</c:v>
                </c:pt>
                <c:pt idx="505">
                  <c:v>0.620918902937037</c:v>
                </c:pt>
                <c:pt idx="506">
                  <c:v>0.61677227780924904</c:v>
                </c:pt>
                <c:pt idx="507">
                  <c:v>0.62466290058375606</c:v>
                </c:pt>
                <c:pt idx="508">
                  <c:v>0.61697715236004469</c:v>
                </c:pt>
                <c:pt idx="509">
                  <c:v>0.62711859813190451</c:v>
                </c:pt>
                <c:pt idx="510">
                  <c:v>0.61045036632896332</c:v>
                </c:pt>
                <c:pt idx="511">
                  <c:v>0.60290622547663908</c:v>
                </c:pt>
                <c:pt idx="512">
                  <c:v>0.60094945394156407</c:v>
                </c:pt>
                <c:pt idx="513">
                  <c:v>0.59392105494815883</c:v>
                </c:pt>
                <c:pt idx="514">
                  <c:v>0.56232409646408676</c:v>
                </c:pt>
                <c:pt idx="515">
                  <c:v>0.56571929081518069</c:v>
                </c:pt>
                <c:pt idx="516">
                  <c:v>0.55136241082283632</c:v>
                </c:pt>
                <c:pt idx="517">
                  <c:v>0.54568991740194184</c:v>
                </c:pt>
                <c:pt idx="518">
                  <c:v>0.51824521948753044</c:v>
                </c:pt>
                <c:pt idx="519">
                  <c:v>0.50972112383096402</c:v>
                </c:pt>
                <c:pt idx="520">
                  <c:v>0.48498273535584135</c:v>
                </c:pt>
                <c:pt idx="521">
                  <c:v>0.49465889268745666</c:v>
                </c:pt>
                <c:pt idx="522">
                  <c:v>0.51038473644069304</c:v>
                </c:pt>
                <c:pt idx="523">
                  <c:v>0.51091733903310499</c:v>
                </c:pt>
                <c:pt idx="524">
                  <c:v>0.51673184444328646</c:v>
                </c:pt>
                <c:pt idx="525">
                  <c:v>0.51023389900433025</c:v>
                </c:pt>
                <c:pt idx="526">
                  <c:v>0.5224644185753049</c:v>
                </c:pt>
                <c:pt idx="527">
                  <c:v>0.51110177487681252</c:v>
                </c:pt>
                <c:pt idx="528">
                  <c:v>0.51143351579116048</c:v>
                </c:pt>
                <c:pt idx="529">
                  <c:v>0.53164531984762498</c:v>
                </c:pt>
                <c:pt idx="530">
                  <c:v>0.52678286691909237</c:v>
                </c:pt>
                <c:pt idx="531">
                  <c:v>0.5051790867777266</c:v>
                </c:pt>
                <c:pt idx="532">
                  <c:v>0.48141941362398444</c:v>
                </c:pt>
                <c:pt idx="533">
                  <c:v>0.48960786907176645</c:v>
                </c:pt>
                <c:pt idx="534">
                  <c:v>0.49270935734226096</c:v>
                </c:pt>
                <c:pt idx="535">
                  <c:v>0.48603749276341968</c:v>
                </c:pt>
                <c:pt idx="536">
                  <c:v>0.46568494704794805</c:v>
                </c:pt>
                <c:pt idx="537">
                  <c:v>0.43867156548786013</c:v>
                </c:pt>
                <c:pt idx="538">
                  <c:v>0.4201853281700334</c:v>
                </c:pt>
                <c:pt idx="539">
                  <c:v>0.40771182304091469</c:v>
                </c:pt>
                <c:pt idx="540">
                  <c:v>0.41141305972428865</c:v>
                </c:pt>
                <c:pt idx="541">
                  <c:v>0.44098303507459535</c:v>
                </c:pt>
                <c:pt idx="542">
                  <c:v>0.42891424274381373</c:v>
                </c:pt>
                <c:pt idx="543">
                  <c:v>0.41039681276271511</c:v>
                </c:pt>
                <c:pt idx="544">
                  <c:v>0.39510561792214371</c:v>
                </c:pt>
                <c:pt idx="545">
                  <c:v>0.35533275459449065</c:v>
                </c:pt>
                <c:pt idx="546">
                  <c:v>0.32893518957088119</c:v>
                </c:pt>
                <c:pt idx="547">
                  <c:v>0.34018716266476323</c:v>
                </c:pt>
                <c:pt idx="548">
                  <c:v>0.34428770083771165</c:v>
                </c:pt>
                <c:pt idx="549">
                  <c:v>0.32789149532405371</c:v>
                </c:pt>
                <c:pt idx="550">
                  <c:v>0.296020630971914</c:v>
                </c:pt>
                <c:pt idx="551">
                  <c:v>0.28023750770127398</c:v>
                </c:pt>
                <c:pt idx="552">
                  <c:v>0.35155986633581038</c:v>
                </c:pt>
                <c:pt idx="553">
                  <c:v>0.38022360694383162</c:v>
                </c:pt>
                <c:pt idx="554">
                  <c:v>0.38311979387480433</c:v>
                </c:pt>
                <c:pt idx="555">
                  <c:v>0.36723319838199853</c:v>
                </c:pt>
                <c:pt idx="556">
                  <c:v>0.38757789057948822</c:v>
                </c:pt>
                <c:pt idx="557">
                  <c:v>0.3731006382191604</c:v>
                </c:pt>
                <c:pt idx="558">
                  <c:v>0.37019695343687764</c:v>
                </c:pt>
                <c:pt idx="559">
                  <c:v>0.34413762848701568</c:v>
                </c:pt>
                <c:pt idx="560">
                  <c:v>0.35874694764058823</c:v>
                </c:pt>
                <c:pt idx="561">
                  <c:v>0.37383619803005419</c:v>
                </c:pt>
                <c:pt idx="562">
                  <c:v>0.38544229333375624</c:v>
                </c:pt>
                <c:pt idx="563">
                  <c:v>0.36178791051220505</c:v>
                </c:pt>
                <c:pt idx="564">
                  <c:v>0.35032197578847413</c:v>
                </c:pt>
                <c:pt idx="565">
                  <c:v>0.36118532254569091</c:v>
                </c:pt>
                <c:pt idx="566">
                  <c:v>0.36186615557220758</c:v>
                </c:pt>
                <c:pt idx="567">
                  <c:v>0.35437262167474093</c:v>
                </c:pt>
                <c:pt idx="568">
                  <c:v>0.34737235222126817</c:v>
                </c:pt>
                <c:pt idx="569">
                  <c:v>0.33972700875143547</c:v>
                </c:pt>
                <c:pt idx="570">
                  <c:v>0.30444068507836786</c:v>
                </c:pt>
                <c:pt idx="571">
                  <c:v>0.30345994960537293</c:v>
                </c:pt>
                <c:pt idx="572">
                  <c:v>0.31656758100138016</c:v>
                </c:pt>
                <c:pt idx="573">
                  <c:v>0.31412689737561861</c:v>
                </c:pt>
                <c:pt idx="574">
                  <c:v>0.30602722156505724</c:v>
                </c:pt>
                <c:pt idx="575">
                  <c:v>0.30384103942842744</c:v>
                </c:pt>
                <c:pt idx="576">
                  <c:v>0.29124197703636012</c:v>
                </c:pt>
                <c:pt idx="577">
                  <c:v>0.28097426687206339</c:v>
                </c:pt>
                <c:pt idx="578">
                  <c:v>0.27066806385044151</c:v>
                </c:pt>
                <c:pt idx="579">
                  <c:v>0.27511246513693699</c:v>
                </c:pt>
                <c:pt idx="580">
                  <c:v>0.27495059345437944</c:v>
                </c:pt>
                <c:pt idx="581">
                  <c:v>0.29725273870465596</c:v>
                </c:pt>
                <c:pt idx="582">
                  <c:v>0.30159623602635377</c:v>
                </c:pt>
                <c:pt idx="583">
                  <c:v>0.32274608485896539</c:v>
                </c:pt>
                <c:pt idx="584">
                  <c:v>0.30645656440071778</c:v>
                </c:pt>
                <c:pt idx="585">
                  <c:v>0.3091930968662211</c:v>
                </c:pt>
                <c:pt idx="586">
                  <c:v>0.30154089381584281</c:v>
                </c:pt>
                <c:pt idx="587">
                  <c:v>0.28207924606608326</c:v>
                </c:pt>
                <c:pt idx="588">
                  <c:v>0.26885555092172919</c:v>
                </c:pt>
                <c:pt idx="589">
                  <c:v>0.25458291277572975</c:v>
                </c:pt>
                <c:pt idx="590">
                  <c:v>0.25233216401371639</c:v>
                </c:pt>
                <c:pt idx="591">
                  <c:v>0.23599163883416607</c:v>
                </c:pt>
                <c:pt idx="592">
                  <c:v>0.25271463507619618</c:v>
                </c:pt>
                <c:pt idx="593">
                  <c:v>0.25365856123301289</c:v>
                </c:pt>
                <c:pt idx="594">
                  <c:v>0.26887926153470088</c:v>
                </c:pt>
                <c:pt idx="595">
                  <c:v>0.24815327222191574</c:v>
                </c:pt>
                <c:pt idx="596">
                  <c:v>0.22415752986253312</c:v>
                </c:pt>
                <c:pt idx="597">
                  <c:v>0.230355018931093</c:v>
                </c:pt>
                <c:pt idx="598">
                  <c:v>0.22511730374255534</c:v>
                </c:pt>
                <c:pt idx="599">
                  <c:v>0.21126667210147287</c:v>
                </c:pt>
                <c:pt idx="600">
                  <c:v>0.21293214431145957</c:v>
                </c:pt>
                <c:pt idx="601">
                  <c:v>0.21458511633519928</c:v>
                </c:pt>
                <c:pt idx="602">
                  <c:v>0.24338526796151938</c:v>
                </c:pt>
                <c:pt idx="603">
                  <c:v>0.25758850540665601</c:v>
                </c:pt>
                <c:pt idx="604">
                  <c:v>0.26323114578483708</c:v>
                </c:pt>
                <c:pt idx="605">
                  <c:v>0.26766178776357141</c:v>
                </c:pt>
                <c:pt idx="606">
                  <c:v>0.27196409935852617</c:v>
                </c:pt>
                <c:pt idx="607">
                  <c:v>0.26219904959253104</c:v>
                </c:pt>
                <c:pt idx="608">
                  <c:v>0.27989515682922339</c:v>
                </c:pt>
                <c:pt idx="609">
                  <c:v>0.29569338637308351</c:v>
                </c:pt>
                <c:pt idx="610">
                  <c:v>0.30831658311187193</c:v>
                </c:pt>
                <c:pt idx="611">
                  <c:v>0.29446364376632439</c:v>
                </c:pt>
                <c:pt idx="612">
                  <c:v>0.28162756257999177</c:v>
                </c:pt>
                <c:pt idx="613">
                  <c:v>0.25303013271588126</c:v>
                </c:pt>
                <c:pt idx="614">
                  <c:v>0.25169173564829128</c:v>
                </c:pt>
                <c:pt idx="615">
                  <c:v>0.25135180401115131</c:v>
                </c:pt>
                <c:pt idx="616">
                  <c:v>0.24219185085564865</c:v>
                </c:pt>
                <c:pt idx="617">
                  <c:v>0.25439727125708411</c:v>
                </c:pt>
                <c:pt idx="618">
                  <c:v>0.26905705627294507</c:v>
                </c:pt>
                <c:pt idx="619">
                  <c:v>0.25741877708857341</c:v>
                </c:pt>
                <c:pt idx="620">
                  <c:v>0.28058177049536992</c:v>
                </c:pt>
                <c:pt idx="621">
                  <c:v>0.31918572561358083</c:v>
                </c:pt>
                <c:pt idx="622">
                  <c:v>0.32337333314642125</c:v>
                </c:pt>
                <c:pt idx="623">
                  <c:v>0.31401474249092631</c:v>
                </c:pt>
                <c:pt idx="624">
                  <c:v>0.29105558386447195</c:v>
                </c:pt>
                <c:pt idx="625">
                  <c:v>0.28358812165255798</c:v>
                </c:pt>
                <c:pt idx="626">
                  <c:v>0.31373157112012318</c:v>
                </c:pt>
                <c:pt idx="627">
                  <c:v>0.3025691635636556</c:v>
                </c:pt>
                <c:pt idx="628">
                  <c:v>0.31621043364290369</c:v>
                </c:pt>
                <c:pt idx="629">
                  <c:v>0.31374842968127137</c:v>
                </c:pt>
                <c:pt idx="630">
                  <c:v>0.31853297690088844</c:v>
                </c:pt>
                <c:pt idx="631">
                  <c:v>0.31095482093791582</c:v>
                </c:pt>
                <c:pt idx="632">
                  <c:v>0.30184350205661659</c:v>
                </c:pt>
                <c:pt idx="633">
                  <c:v>0.29413293172929178</c:v>
                </c:pt>
                <c:pt idx="634">
                  <c:v>0.28443497657709704</c:v>
                </c:pt>
                <c:pt idx="635">
                  <c:v>0.29029246408219134</c:v>
                </c:pt>
                <c:pt idx="636">
                  <c:v>0.28532127666016249</c:v>
                </c:pt>
                <c:pt idx="637">
                  <c:v>0.29961449717244815</c:v>
                </c:pt>
                <c:pt idx="638">
                  <c:v>0.30953471393730858</c:v>
                </c:pt>
                <c:pt idx="639">
                  <c:v>0.329298189659329</c:v>
                </c:pt>
                <c:pt idx="640">
                  <c:v>0.33833023086786174</c:v>
                </c:pt>
                <c:pt idx="641">
                  <c:v>0.33192316004837097</c:v>
                </c:pt>
                <c:pt idx="642">
                  <c:v>0.30935380447618743</c:v>
                </c:pt>
                <c:pt idx="643">
                  <c:v>0.30421747869041149</c:v>
                </c:pt>
                <c:pt idx="644">
                  <c:v>0.29762774250021384</c:v>
                </c:pt>
                <c:pt idx="645">
                  <c:v>0.29339127685630495</c:v>
                </c:pt>
                <c:pt idx="646">
                  <c:v>0.29437081226300754</c:v>
                </c:pt>
                <c:pt idx="647">
                  <c:v>0.29028123159738817</c:v>
                </c:pt>
                <c:pt idx="648">
                  <c:v>0.29245853529172505</c:v>
                </c:pt>
                <c:pt idx="649">
                  <c:v>0.30381645145488201</c:v>
                </c:pt>
                <c:pt idx="650">
                  <c:v>0.3051223563816623</c:v>
                </c:pt>
                <c:pt idx="651">
                  <c:v>0.3017637449651096</c:v>
                </c:pt>
                <c:pt idx="652">
                  <c:v>0.28651399540461209</c:v>
                </c:pt>
                <c:pt idx="653">
                  <c:v>0.28740209394508298</c:v>
                </c:pt>
                <c:pt idx="654">
                  <c:v>0.28145083929426939</c:v>
                </c:pt>
                <c:pt idx="655">
                  <c:v>0.31248116578150742</c:v>
                </c:pt>
                <c:pt idx="656">
                  <c:v>0.3093832830558938</c:v>
                </c:pt>
                <c:pt idx="657">
                  <c:v>0.31497627947035345</c:v>
                </c:pt>
                <c:pt idx="658">
                  <c:v>0.32189963696146995</c:v>
                </c:pt>
                <c:pt idx="659">
                  <c:v>0.32197454277401727</c:v>
                </c:pt>
                <c:pt idx="660">
                  <c:v>0.32377284112242899</c:v>
                </c:pt>
                <c:pt idx="661">
                  <c:v>0.31357227540957178</c:v>
                </c:pt>
                <c:pt idx="662">
                  <c:v>0.2949943828108883</c:v>
                </c:pt>
                <c:pt idx="663">
                  <c:v>0.27989510450549493</c:v>
                </c:pt>
                <c:pt idx="664">
                  <c:v>0.27712221602556997</c:v>
                </c:pt>
                <c:pt idx="665">
                  <c:v>0.304212044006692</c:v>
                </c:pt>
                <c:pt idx="666">
                  <c:v>0.27755245593459099</c:v>
                </c:pt>
                <c:pt idx="667">
                  <c:v>0.2591125685311737</c:v>
                </c:pt>
                <c:pt idx="668">
                  <c:v>0.26364436523172197</c:v>
                </c:pt>
                <c:pt idx="669">
                  <c:v>0.27648585876261311</c:v>
                </c:pt>
                <c:pt idx="670">
                  <c:v>0.27429166445978215</c:v>
                </c:pt>
                <c:pt idx="671">
                  <c:v>0.25390679252459702</c:v>
                </c:pt>
                <c:pt idx="672">
                  <c:v>0.24554463343304311</c:v>
                </c:pt>
                <c:pt idx="673">
                  <c:v>0.25336738913698009</c:v>
                </c:pt>
                <c:pt idx="674">
                  <c:v>0.26012637246391468</c:v>
                </c:pt>
                <c:pt idx="675">
                  <c:v>0.27066428873186088</c:v>
                </c:pt>
                <c:pt idx="676">
                  <c:v>0.27140015285170405</c:v>
                </c:pt>
                <c:pt idx="677">
                  <c:v>0.25828223560777697</c:v>
                </c:pt>
                <c:pt idx="678">
                  <c:v>0.2457415929165474</c:v>
                </c:pt>
                <c:pt idx="679">
                  <c:v>0.24942879863071465</c:v>
                </c:pt>
                <c:pt idx="680">
                  <c:v>0.23591117562862274</c:v>
                </c:pt>
                <c:pt idx="681">
                  <c:v>0.21843130942564604</c:v>
                </c:pt>
                <c:pt idx="682">
                  <c:v>0.21289319375881699</c:v>
                </c:pt>
                <c:pt idx="683">
                  <c:v>0.19315841852719018</c:v>
                </c:pt>
                <c:pt idx="684">
                  <c:v>0.17741445447722803</c:v>
                </c:pt>
                <c:pt idx="685">
                  <c:v>0.17671537436624685</c:v>
                </c:pt>
                <c:pt idx="686">
                  <c:v>0.18565441642926794</c:v>
                </c:pt>
                <c:pt idx="687">
                  <c:v>0.18388881215713937</c:v>
                </c:pt>
                <c:pt idx="688">
                  <c:v>0.17990050030595905</c:v>
                </c:pt>
                <c:pt idx="689">
                  <c:v>0.16987461956744365</c:v>
                </c:pt>
                <c:pt idx="690">
                  <c:v>0.16034252384908365</c:v>
                </c:pt>
                <c:pt idx="691">
                  <c:v>0.13854460262359347</c:v>
                </c:pt>
                <c:pt idx="692">
                  <c:v>0.16462694849021964</c:v>
                </c:pt>
                <c:pt idx="693">
                  <c:v>0.18670284405924686</c:v>
                </c:pt>
                <c:pt idx="694">
                  <c:v>0.18369476901199744</c:v>
                </c:pt>
                <c:pt idx="695">
                  <c:v>0.15666217482514688</c:v>
                </c:pt>
                <c:pt idx="696">
                  <c:v>0.13390139485311292</c:v>
                </c:pt>
                <c:pt idx="697">
                  <c:v>0.13003843626079092</c:v>
                </c:pt>
                <c:pt idx="698">
                  <c:v>0.13095155538523118</c:v>
                </c:pt>
                <c:pt idx="699">
                  <c:v>0.13369500638716447</c:v>
                </c:pt>
                <c:pt idx="700">
                  <c:v>0.1443390118293415</c:v>
                </c:pt>
                <c:pt idx="701">
                  <c:v>0.1571111675452912</c:v>
                </c:pt>
                <c:pt idx="702">
                  <c:v>0.14046611854261215</c:v>
                </c:pt>
                <c:pt idx="703">
                  <c:v>0.12023808035527495</c:v>
                </c:pt>
                <c:pt idx="704">
                  <c:v>0.1250978511309333</c:v>
                </c:pt>
                <c:pt idx="705">
                  <c:v>0.12020427538333234</c:v>
                </c:pt>
                <c:pt idx="706">
                  <c:v>0.13555900386057917</c:v>
                </c:pt>
                <c:pt idx="707">
                  <c:v>0.14836235827314104</c:v>
                </c:pt>
                <c:pt idx="708">
                  <c:v>0.13949262201541712</c:v>
                </c:pt>
                <c:pt idx="709">
                  <c:v>0.133145852811549</c:v>
                </c:pt>
                <c:pt idx="710">
                  <c:v>0.10648074944396901</c:v>
                </c:pt>
              </c:numCache>
            </c:numRef>
          </c:val>
          <c:smooth val="1"/>
          <c:extLst>
            <c:ext xmlns:c16="http://schemas.microsoft.com/office/drawing/2014/chart" uri="{C3380CC4-5D6E-409C-BE32-E72D297353CC}">
              <c16:uniqueId val="{00000009-2EA0-43A0-9CB9-F40B4D364F0E}"/>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75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pt idx="691">
                  <c:v>44868</c:v>
                </c:pt>
                <c:pt idx="692">
                  <c:v>44869</c:v>
                </c:pt>
                <c:pt idx="693">
                  <c:v>44872</c:v>
                </c:pt>
                <c:pt idx="694">
                  <c:v>44873</c:v>
                </c:pt>
                <c:pt idx="695">
                  <c:v>44874</c:v>
                </c:pt>
                <c:pt idx="696">
                  <c:v>44875</c:v>
                </c:pt>
                <c:pt idx="697">
                  <c:v>44879</c:v>
                </c:pt>
                <c:pt idx="698">
                  <c:v>44881</c:v>
                </c:pt>
                <c:pt idx="699">
                  <c:v>44882</c:v>
                </c:pt>
                <c:pt idx="700">
                  <c:v>44883</c:v>
                </c:pt>
                <c:pt idx="701">
                  <c:v>44886</c:v>
                </c:pt>
                <c:pt idx="702">
                  <c:v>44887</c:v>
                </c:pt>
                <c:pt idx="703">
                  <c:v>44888</c:v>
                </c:pt>
                <c:pt idx="704">
                  <c:v>44889</c:v>
                </c:pt>
                <c:pt idx="705">
                  <c:v>44890</c:v>
                </c:pt>
                <c:pt idx="706">
                  <c:v>44893</c:v>
                </c:pt>
                <c:pt idx="707">
                  <c:v>44894</c:v>
                </c:pt>
                <c:pt idx="708">
                  <c:v>44895</c:v>
                </c:pt>
                <c:pt idx="709">
                  <c:v>44896</c:v>
                </c:pt>
                <c:pt idx="710">
                  <c:v>44897</c:v>
                </c:pt>
                <c:pt idx="711">
                  <c:v>44900</c:v>
                </c:pt>
                <c:pt idx="712">
                  <c:v>44901</c:v>
                </c:pt>
                <c:pt idx="713">
                  <c:v>44902</c:v>
                </c:pt>
                <c:pt idx="714">
                  <c:v>44903</c:v>
                </c:pt>
                <c:pt idx="715">
                  <c:v>44904</c:v>
                </c:pt>
                <c:pt idx="716">
                  <c:v>44907</c:v>
                </c:pt>
                <c:pt idx="717">
                  <c:v>44908</c:v>
                </c:pt>
                <c:pt idx="718">
                  <c:v>44909</c:v>
                </c:pt>
                <c:pt idx="719">
                  <c:v>44910</c:v>
                </c:pt>
                <c:pt idx="720">
                  <c:v>44911</c:v>
                </c:pt>
                <c:pt idx="721">
                  <c:v>44914</c:v>
                </c:pt>
                <c:pt idx="722">
                  <c:v>44915</c:v>
                </c:pt>
                <c:pt idx="723">
                  <c:v>44916</c:v>
                </c:pt>
                <c:pt idx="724">
                  <c:v>44917</c:v>
                </c:pt>
                <c:pt idx="725">
                  <c:v>44918</c:v>
                </c:pt>
                <c:pt idx="726">
                  <c:v>44921</c:v>
                </c:pt>
                <c:pt idx="727">
                  <c:v>44922</c:v>
                </c:pt>
                <c:pt idx="728">
                  <c:v>44923</c:v>
                </c:pt>
                <c:pt idx="729">
                  <c:v>44924</c:v>
                </c:pt>
                <c:pt idx="730">
                  <c:v>44925</c:v>
                </c:pt>
                <c:pt idx="731">
                  <c:v>44928</c:v>
                </c:pt>
                <c:pt idx="732">
                  <c:v>44929</c:v>
                </c:pt>
                <c:pt idx="733">
                  <c:v>44930</c:v>
                </c:pt>
                <c:pt idx="734">
                  <c:v>44931</c:v>
                </c:pt>
                <c:pt idx="735">
                  <c:v>44932</c:v>
                </c:pt>
                <c:pt idx="736">
                  <c:v>44935</c:v>
                </c:pt>
                <c:pt idx="737">
                  <c:v>44936</c:v>
                </c:pt>
                <c:pt idx="738">
                  <c:v>44937</c:v>
                </c:pt>
                <c:pt idx="739">
                  <c:v>44938</c:v>
                </c:pt>
                <c:pt idx="740">
                  <c:v>44939</c:v>
                </c:pt>
                <c:pt idx="741">
                  <c:v>44942</c:v>
                </c:pt>
                <c:pt idx="742">
                  <c:v>44943</c:v>
                </c:pt>
                <c:pt idx="743">
                  <c:v>44944</c:v>
                </c:pt>
                <c:pt idx="744">
                  <c:v>44945</c:v>
                </c:pt>
                <c:pt idx="745">
                  <c:v>44946</c:v>
                </c:pt>
                <c:pt idx="746">
                  <c:v>44949</c:v>
                </c:pt>
                <c:pt idx="747">
                  <c:v>44950</c:v>
                </c:pt>
                <c:pt idx="748">
                  <c:v>44951</c:v>
                </c:pt>
                <c:pt idx="749">
                  <c:v>44952</c:v>
                </c:pt>
                <c:pt idx="750">
                  <c:v>44953</c:v>
                </c:pt>
                <c:pt idx="751">
                  <c:v>44956</c:v>
                </c:pt>
                <c:pt idx="752">
                  <c:v>44957</c:v>
                </c:pt>
              </c:numCache>
            </c:numRef>
          </c:cat>
          <c:val>
            <c:numRef>
              <c:f>[0]!vol_portfolio</c:f>
              <c:numCache>
                <c:formatCode>0.00%</c:formatCode>
                <c:ptCount val="753"/>
                <c:pt idx="0">
                  <c:v>3.7344291914512703E-2</c:v>
                </c:pt>
                <c:pt idx="1">
                  <c:v>3.4640085827862141E-2</c:v>
                </c:pt>
                <c:pt idx="2">
                  <c:v>3.4759330208656347E-2</c:v>
                </c:pt>
                <c:pt idx="3">
                  <c:v>3.5317671558354316E-2</c:v>
                </c:pt>
                <c:pt idx="4">
                  <c:v>3.6057609656824509E-2</c:v>
                </c:pt>
                <c:pt idx="5">
                  <c:v>3.6079725543658125E-2</c:v>
                </c:pt>
                <c:pt idx="6">
                  <c:v>3.7068032670347827E-2</c:v>
                </c:pt>
                <c:pt idx="7">
                  <c:v>3.8003886138054326E-2</c:v>
                </c:pt>
                <c:pt idx="8">
                  <c:v>4.002834002622447E-2</c:v>
                </c:pt>
                <c:pt idx="9">
                  <c:v>4.1127032134610095E-2</c:v>
                </c:pt>
                <c:pt idx="10">
                  <c:v>4.1128832109240766E-2</c:v>
                </c:pt>
                <c:pt idx="11">
                  <c:v>4.1448107960614239E-2</c:v>
                </c:pt>
                <c:pt idx="12">
                  <c:v>4.0852516236493892E-2</c:v>
                </c:pt>
                <c:pt idx="13">
                  <c:v>4.0728340325019818E-2</c:v>
                </c:pt>
                <c:pt idx="14">
                  <c:v>4.0277911675773999E-2</c:v>
                </c:pt>
                <c:pt idx="15">
                  <c:v>4.0835126271651659E-2</c:v>
                </c:pt>
                <c:pt idx="16">
                  <c:v>4.0873239476407267E-2</c:v>
                </c:pt>
                <c:pt idx="17">
                  <c:v>6.0492171338819047E-2</c:v>
                </c:pt>
                <c:pt idx="18">
                  <c:v>5.9165060519738459E-2</c:v>
                </c:pt>
                <c:pt idx="19">
                  <c:v>5.7693919898445543E-2</c:v>
                </c:pt>
                <c:pt idx="20">
                  <c:v>6.2353798183860248E-2</c:v>
                </c:pt>
                <c:pt idx="21">
                  <c:v>6.234808631104282E-2</c:v>
                </c:pt>
                <c:pt idx="22">
                  <c:v>6.4488125618165623E-2</c:v>
                </c:pt>
                <c:pt idx="23">
                  <c:v>7.0626822466262562E-2</c:v>
                </c:pt>
                <c:pt idx="24">
                  <c:v>7.439042028783667E-2</c:v>
                </c:pt>
                <c:pt idx="25">
                  <c:v>0.10070506353027531</c:v>
                </c:pt>
                <c:pt idx="26">
                  <c:v>0.11141671375914708</c:v>
                </c:pt>
                <c:pt idx="27">
                  <c:v>0.11965397019673363</c:v>
                </c:pt>
                <c:pt idx="28">
                  <c:v>0.14550763028038047</c:v>
                </c:pt>
                <c:pt idx="29">
                  <c:v>0.16920370149743669</c:v>
                </c:pt>
                <c:pt idx="30">
                  <c:v>0.1796536937587852</c:v>
                </c:pt>
                <c:pt idx="31">
                  <c:v>0.18271854079939504</c:v>
                </c:pt>
                <c:pt idx="32">
                  <c:v>0.19108783382627734</c:v>
                </c:pt>
                <c:pt idx="33">
                  <c:v>0.19090373654724069</c:v>
                </c:pt>
                <c:pt idx="34">
                  <c:v>0.19057576220781361</c:v>
                </c:pt>
                <c:pt idx="35">
                  <c:v>0.18935546726210759</c:v>
                </c:pt>
                <c:pt idx="36">
                  <c:v>0.20138652799265774</c:v>
                </c:pt>
                <c:pt idx="37">
                  <c:v>0.20683227909981095</c:v>
                </c:pt>
                <c:pt idx="38">
                  <c:v>0.20697973815204201</c:v>
                </c:pt>
                <c:pt idx="39">
                  <c:v>0.20722648000470958</c:v>
                </c:pt>
                <c:pt idx="40">
                  <c:v>0.20801538114950546</c:v>
                </c:pt>
                <c:pt idx="41">
                  <c:v>0.20585688360826973</c:v>
                </c:pt>
                <c:pt idx="42">
                  <c:v>0.20589339901741943</c:v>
                </c:pt>
                <c:pt idx="43">
                  <c:v>0.2048135122706401</c:v>
                </c:pt>
                <c:pt idx="44">
                  <c:v>0.20386373079814829</c:v>
                </c:pt>
                <c:pt idx="45">
                  <c:v>0.20768099756426509</c:v>
                </c:pt>
                <c:pt idx="46">
                  <c:v>0.19634251193510144</c:v>
                </c:pt>
                <c:pt idx="47">
                  <c:v>0.19191180606545261</c:v>
                </c:pt>
                <c:pt idx="48">
                  <c:v>0.1859106050736245</c:v>
                </c:pt>
                <c:pt idx="49">
                  <c:v>0.16093406644792879</c:v>
                </c:pt>
                <c:pt idx="50">
                  <c:v>0.14143488189010603</c:v>
                </c:pt>
                <c:pt idx="51">
                  <c:v>0.11927773990248906</c:v>
                </c:pt>
                <c:pt idx="52">
                  <c:v>0.11774882696511425</c:v>
                </c:pt>
                <c:pt idx="53">
                  <c:v>9.1811707249654706E-2</c:v>
                </c:pt>
                <c:pt idx="54">
                  <c:v>9.1782476998504406E-2</c:v>
                </c:pt>
                <c:pt idx="55">
                  <c:v>9.1530361539322314E-2</c:v>
                </c:pt>
                <c:pt idx="56">
                  <c:v>8.5628690857130138E-2</c:v>
                </c:pt>
                <c:pt idx="57">
                  <c:v>8.0991755712453123E-2</c:v>
                </c:pt>
                <c:pt idx="58">
                  <c:v>7.6147479763496909E-2</c:v>
                </c:pt>
                <c:pt idx="59">
                  <c:v>7.3511867162606478E-2</c:v>
                </c:pt>
                <c:pt idx="60">
                  <c:v>6.9137398416738008E-2</c:v>
                </c:pt>
                <c:pt idx="61">
                  <c:v>7.0582165101404692E-2</c:v>
                </c:pt>
                <c:pt idx="62">
                  <c:v>7.0629298864415005E-2</c:v>
                </c:pt>
                <c:pt idx="63">
                  <c:v>6.709262840379894E-2</c:v>
                </c:pt>
                <c:pt idx="64">
                  <c:v>6.7093970636191241E-2</c:v>
                </c:pt>
                <c:pt idx="65">
                  <c:v>6.4014310010003128E-2</c:v>
                </c:pt>
                <c:pt idx="66">
                  <c:v>5.58859124189343E-2</c:v>
                </c:pt>
                <c:pt idx="67">
                  <c:v>5.5314459094028136E-2</c:v>
                </c:pt>
                <c:pt idx="68">
                  <c:v>5.5929811457431616E-2</c:v>
                </c:pt>
                <c:pt idx="69">
                  <c:v>5.5891416095752405E-2</c:v>
                </c:pt>
                <c:pt idx="70">
                  <c:v>5.5598018416929157E-2</c:v>
                </c:pt>
                <c:pt idx="71">
                  <c:v>5.3841438605445352E-2</c:v>
                </c:pt>
                <c:pt idx="72">
                  <c:v>5.6416322149715099E-2</c:v>
                </c:pt>
                <c:pt idx="73">
                  <c:v>5.6399175679162E-2</c:v>
                </c:pt>
                <c:pt idx="74">
                  <c:v>5.6214780949940542E-2</c:v>
                </c:pt>
                <c:pt idx="75">
                  <c:v>5.6204642896816315E-2</c:v>
                </c:pt>
                <c:pt idx="76">
                  <c:v>5.3077335471654968E-2</c:v>
                </c:pt>
                <c:pt idx="77">
                  <c:v>5.6082055652092816E-2</c:v>
                </c:pt>
                <c:pt idx="78">
                  <c:v>4.498494109766011E-2</c:v>
                </c:pt>
                <c:pt idx="79">
                  <c:v>4.3856122141177123E-2</c:v>
                </c:pt>
                <c:pt idx="80">
                  <c:v>4.1546355233115465E-2</c:v>
                </c:pt>
                <c:pt idx="81">
                  <c:v>4.1041201524990446E-2</c:v>
                </c:pt>
                <c:pt idx="82">
                  <c:v>3.8663472104315165E-2</c:v>
                </c:pt>
                <c:pt idx="83">
                  <c:v>3.6568760922355691E-2</c:v>
                </c:pt>
                <c:pt idx="84">
                  <c:v>3.7875407738521494E-2</c:v>
                </c:pt>
                <c:pt idx="85">
                  <c:v>3.7838043826510619E-2</c:v>
                </c:pt>
                <c:pt idx="86">
                  <c:v>3.7802748857239138E-2</c:v>
                </c:pt>
                <c:pt idx="87">
                  <c:v>3.9124673084586808E-2</c:v>
                </c:pt>
                <c:pt idx="88">
                  <c:v>3.9356750139341645E-2</c:v>
                </c:pt>
                <c:pt idx="89">
                  <c:v>3.8882456154754851E-2</c:v>
                </c:pt>
                <c:pt idx="90">
                  <c:v>4.2494138563207537E-2</c:v>
                </c:pt>
                <c:pt idx="91">
                  <c:v>4.2706558431510826E-2</c:v>
                </c:pt>
                <c:pt idx="92">
                  <c:v>4.1330166860539863E-2</c:v>
                </c:pt>
                <c:pt idx="93">
                  <c:v>3.9635591224260663E-2</c:v>
                </c:pt>
                <c:pt idx="94">
                  <c:v>3.9554828569493924E-2</c:v>
                </c:pt>
                <c:pt idx="95">
                  <c:v>3.9639291735179813E-2</c:v>
                </c:pt>
                <c:pt idx="96">
                  <c:v>4.0583040622915893E-2</c:v>
                </c:pt>
                <c:pt idx="97">
                  <c:v>3.9188685360617363E-2</c:v>
                </c:pt>
                <c:pt idx="98">
                  <c:v>3.787598202488255E-2</c:v>
                </c:pt>
                <c:pt idx="99">
                  <c:v>3.8197360333396026E-2</c:v>
                </c:pt>
                <c:pt idx="100">
                  <c:v>4.0181606572735888E-2</c:v>
                </c:pt>
                <c:pt idx="101">
                  <c:v>4.0454968092287713E-2</c:v>
                </c:pt>
                <c:pt idx="102">
                  <c:v>4.0458385071981066E-2</c:v>
                </c:pt>
                <c:pt idx="103">
                  <c:v>4.0219798792292018E-2</c:v>
                </c:pt>
                <c:pt idx="104">
                  <c:v>3.9365880131332014E-2</c:v>
                </c:pt>
                <c:pt idx="105">
                  <c:v>3.776631594779923E-2</c:v>
                </c:pt>
                <c:pt idx="106">
                  <c:v>3.9859197880662937E-2</c:v>
                </c:pt>
                <c:pt idx="107">
                  <c:v>4.0953961271849484E-2</c:v>
                </c:pt>
                <c:pt idx="108">
                  <c:v>3.9965372886747508E-2</c:v>
                </c:pt>
                <c:pt idx="109">
                  <c:v>3.9440447361865819E-2</c:v>
                </c:pt>
                <c:pt idx="110">
                  <c:v>3.7922760683645293E-2</c:v>
                </c:pt>
                <c:pt idx="111">
                  <c:v>3.6030198291587427E-2</c:v>
                </c:pt>
                <c:pt idx="112">
                  <c:v>3.6127749001615875E-2</c:v>
                </c:pt>
                <c:pt idx="113">
                  <c:v>3.5971257990705684E-2</c:v>
                </c:pt>
                <c:pt idx="114">
                  <c:v>3.6935658337790528E-2</c:v>
                </c:pt>
                <c:pt idx="115">
                  <c:v>3.9526843150350682E-2</c:v>
                </c:pt>
                <c:pt idx="116">
                  <c:v>4.0551398411287201E-2</c:v>
                </c:pt>
                <c:pt idx="117">
                  <c:v>4.0286863265168275E-2</c:v>
                </c:pt>
                <c:pt idx="118">
                  <c:v>4.0422777003747558E-2</c:v>
                </c:pt>
                <c:pt idx="119">
                  <c:v>4.1108393629226136E-2</c:v>
                </c:pt>
                <c:pt idx="120">
                  <c:v>4.0719602089154018E-2</c:v>
                </c:pt>
                <c:pt idx="121">
                  <c:v>3.8262919008535332E-2</c:v>
                </c:pt>
                <c:pt idx="122">
                  <c:v>3.7846711746696071E-2</c:v>
                </c:pt>
                <c:pt idx="123">
                  <c:v>3.8461776528100504E-2</c:v>
                </c:pt>
                <c:pt idx="124">
                  <c:v>3.8530820183481557E-2</c:v>
                </c:pt>
                <c:pt idx="125">
                  <c:v>3.9832705985119565E-2</c:v>
                </c:pt>
                <c:pt idx="126">
                  <c:v>3.9687570389055342E-2</c:v>
                </c:pt>
                <c:pt idx="127">
                  <c:v>3.81042012611141E-2</c:v>
                </c:pt>
                <c:pt idx="128">
                  <c:v>3.8212541635280886E-2</c:v>
                </c:pt>
                <c:pt idx="129">
                  <c:v>3.777784774520012E-2</c:v>
                </c:pt>
                <c:pt idx="130">
                  <c:v>3.9027608182875859E-2</c:v>
                </c:pt>
                <c:pt idx="131">
                  <c:v>3.8797037089826902E-2</c:v>
                </c:pt>
                <c:pt idx="132">
                  <c:v>3.9504825283068312E-2</c:v>
                </c:pt>
                <c:pt idx="133">
                  <c:v>3.9020552676952355E-2</c:v>
                </c:pt>
                <c:pt idx="134">
                  <c:v>3.9129294484776714E-2</c:v>
                </c:pt>
                <c:pt idx="135">
                  <c:v>3.7733896259219551E-2</c:v>
                </c:pt>
                <c:pt idx="136">
                  <c:v>3.4662546387229556E-2</c:v>
                </c:pt>
                <c:pt idx="137">
                  <c:v>3.6568190540711906E-2</c:v>
                </c:pt>
                <c:pt idx="138">
                  <c:v>3.7617185712976509E-2</c:v>
                </c:pt>
                <c:pt idx="139">
                  <c:v>3.7678207128993925E-2</c:v>
                </c:pt>
                <c:pt idx="140">
                  <c:v>3.5704391614848126E-2</c:v>
                </c:pt>
                <c:pt idx="141">
                  <c:v>3.5766407486481376E-2</c:v>
                </c:pt>
                <c:pt idx="142">
                  <c:v>3.4096620220579701E-2</c:v>
                </c:pt>
                <c:pt idx="143">
                  <c:v>3.4271827840393995E-2</c:v>
                </c:pt>
                <c:pt idx="144">
                  <c:v>3.2827401113458513E-2</c:v>
                </c:pt>
                <c:pt idx="145">
                  <c:v>3.3768001073934836E-2</c:v>
                </c:pt>
                <c:pt idx="146">
                  <c:v>3.5231493803249421E-2</c:v>
                </c:pt>
                <c:pt idx="147">
                  <c:v>3.7504190261046053E-2</c:v>
                </c:pt>
                <c:pt idx="148">
                  <c:v>3.6877892727712171E-2</c:v>
                </c:pt>
                <c:pt idx="149">
                  <c:v>3.8726316533659932E-2</c:v>
                </c:pt>
                <c:pt idx="150">
                  <c:v>3.702961517717298E-2</c:v>
                </c:pt>
                <c:pt idx="151">
                  <c:v>3.8346074225946117E-2</c:v>
                </c:pt>
                <c:pt idx="152">
                  <c:v>3.9508743397139598E-2</c:v>
                </c:pt>
                <c:pt idx="153">
                  <c:v>4.1088673229950294E-2</c:v>
                </c:pt>
                <c:pt idx="154">
                  <c:v>4.1024024872582922E-2</c:v>
                </c:pt>
                <c:pt idx="155">
                  <c:v>4.2710251174329514E-2</c:v>
                </c:pt>
                <c:pt idx="156">
                  <c:v>4.2382543763679663E-2</c:v>
                </c:pt>
                <c:pt idx="157">
                  <c:v>4.2249228067511739E-2</c:v>
                </c:pt>
                <c:pt idx="158">
                  <c:v>3.8454976318497279E-2</c:v>
                </c:pt>
                <c:pt idx="159">
                  <c:v>3.8990602344540243E-2</c:v>
                </c:pt>
                <c:pt idx="160">
                  <c:v>4.0585389703137041E-2</c:v>
                </c:pt>
                <c:pt idx="161">
                  <c:v>4.0980009984999705E-2</c:v>
                </c:pt>
                <c:pt idx="162">
                  <c:v>4.1314392101336195E-2</c:v>
                </c:pt>
                <c:pt idx="163">
                  <c:v>4.1778193124103455E-2</c:v>
                </c:pt>
                <c:pt idx="164">
                  <c:v>4.1951508454300707E-2</c:v>
                </c:pt>
                <c:pt idx="165">
                  <c:v>4.2883835101210563E-2</c:v>
                </c:pt>
                <c:pt idx="166">
                  <c:v>4.1484016883861691E-2</c:v>
                </c:pt>
                <c:pt idx="167">
                  <c:v>4.1451825006843572E-2</c:v>
                </c:pt>
                <c:pt idx="168">
                  <c:v>3.937333051535738E-2</c:v>
                </c:pt>
                <c:pt idx="169">
                  <c:v>4.0108080998042667E-2</c:v>
                </c:pt>
                <c:pt idx="170">
                  <c:v>3.9927283054908551E-2</c:v>
                </c:pt>
                <c:pt idx="171">
                  <c:v>3.9822617682574543E-2</c:v>
                </c:pt>
                <c:pt idx="172">
                  <c:v>3.8340078632439184E-2</c:v>
                </c:pt>
                <c:pt idx="173">
                  <c:v>3.909314685842484E-2</c:v>
                </c:pt>
                <c:pt idx="174">
                  <c:v>3.6282817211679912E-2</c:v>
                </c:pt>
                <c:pt idx="175">
                  <c:v>3.7113130137231713E-2</c:v>
                </c:pt>
                <c:pt idx="176">
                  <c:v>3.4984783703628043E-2</c:v>
                </c:pt>
                <c:pt idx="177">
                  <c:v>3.5025414491542256E-2</c:v>
                </c:pt>
                <c:pt idx="178">
                  <c:v>3.4681273217403323E-2</c:v>
                </c:pt>
                <c:pt idx="179">
                  <c:v>3.4722114688476712E-2</c:v>
                </c:pt>
                <c:pt idx="180">
                  <c:v>3.5076150205304905E-2</c:v>
                </c:pt>
                <c:pt idx="181">
                  <c:v>3.2052093967419364E-2</c:v>
                </c:pt>
                <c:pt idx="182">
                  <c:v>3.2022655267868377E-2</c:v>
                </c:pt>
                <c:pt idx="183">
                  <c:v>2.9463144997325393E-2</c:v>
                </c:pt>
                <c:pt idx="184">
                  <c:v>3.0448621407964106E-2</c:v>
                </c:pt>
                <c:pt idx="185">
                  <c:v>3.1315513032078267E-2</c:v>
                </c:pt>
                <c:pt idx="186">
                  <c:v>3.9421274145020294E-2</c:v>
                </c:pt>
                <c:pt idx="187">
                  <c:v>3.9976325990448265E-2</c:v>
                </c:pt>
                <c:pt idx="188">
                  <c:v>4.3008795229954849E-2</c:v>
                </c:pt>
                <c:pt idx="189">
                  <c:v>4.4702938332779767E-2</c:v>
                </c:pt>
                <c:pt idx="190">
                  <c:v>4.4765692837304527E-2</c:v>
                </c:pt>
                <c:pt idx="191">
                  <c:v>4.8191282191579712E-2</c:v>
                </c:pt>
                <c:pt idx="192">
                  <c:v>4.7876189032183117E-2</c:v>
                </c:pt>
                <c:pt idx="193">
                  <c:v>4.838304464184736E-2</c:v>
                </c:pt>
                <c:pt idx="194">
                  <c:v>4.7549798605639335E-2</c:v>
                </c:pt>
                <c:pt idx="195">
                  <c:v>4.7648964472713697E-2</c:v>
                </c:pt>
                <c:pt idx="196">
                  <c:v>5.0201694400763476E-2</c:v>
                </c:pt>
                <c:pt idx="197">
                  <c:v>5.1607814985486326E-2</c:v>
                </c:pt>
                <c:pt idx="198">
                  <c:v>5.1983516374462052E-2</c:v>
                </c:pt>
                <c:pt idx="199">
                  <c:v>5.19050247915534E-2</c:v>
                </c:pt>
                <c:pt idx="200">
                  <c:v>5.2638310994247581E-2</c:v>
                </c:pt>
                <c:pt idx="201">
                  <c:v>5.1430500462183795E-2</c:v>
                </c:pt>
                <c:pt idx="202">
                  <c:v>5.1420810575773052E-2</c:v>
                </c:pt>
                <c:pt idx="203">
                  <c:v>5.1966875744546052E-2</c:v>
                </c:pt>
                <c:pt idx="204">
                  <c:v>5.3569380348699569E-2</c:v>
                </c:pt>
                <c:pt idx="205">
                  <c:v>5.289443802166232E-2</c:v>
                </c:pt>
                <c:pt idx="206">
                  <c:v>5.2196176916035814E-2</c:v>
                </c:pt>
                <c:pt idx="207">
                  <c:v>4.3090765235841655E-2</c:v>
                </c:pt>
                <c:pt idx="208">
                  <c:v>4.4576452578342092E-2</c:v>
                </c:pt>
                <c:pt idx="209">
                  <c:v>4.0706417282135365E-2</c:v>
                </c:pt>
                <c:pt idx="210">
                  <c:v>3.9579835564440745E-2</c:v>
                </c:pt>
                <c:pt idx="211">
                  <c:v>3.854490903951277E-2</c:v>
                </c:pt>
                <c:pt idx="212">
                  <c:v>3.4422309389844336E-2</c:v>
                </c:pt>
                <c:pt idx="213">
                  <c:v>3.4939125402471592E-2</c:v>
                </c:pt>
                <c:pt idx="214">
                  <c:v>3.4295735226422229E-2</c:v>
                </c:pt>
                <c:pt idx="215">
                  <c:v>3.5132108637322926E-2</c:v>
                </c:pt>
                <c:pt idx="216">
                  <c:v>3.5469008547944277E-2</c:v>
                </c:pt>
                <c:pt idx="217">
                  <c:v>3.0151457684674692E-2</c:v>
                </c:pt>
                <c:pt idx="218">
                  <c:v>2.8868117117325207E-2</c:v>
                </c:pt>
                <c:pt idx="219">
                  <c:v>2.9651626647798527E-2</c:v>
                </c:pt>
                <c:pt idx="220">
                  <c:v>3.0068329721357475E-2</c:v>
                </c:pt>
                <c:pt idx="221">
                  <c:v>2.7927876160541147E-2</c:v>
                </c:pt>
                <c:pt idx="222">
                  <c:v>2.8368732665305634E-2</c:v>
                </c:pt>
                <c:pt idx="223">
                  <c:v>3.1897892967719201E-2</c:v>
                </c:pt>
                <c:pt idx="224">
                  <c:v>3.1307427905770811E-2</c:v>
                </c:pt>
                <c:pt idx="225">
                  <c:v>2.9835060851375581E-2</c:v>
                </c:pt>
                <c:pt idx="226">
                  <c:v>2.9964673204623815E-2</c:v>
                </c:pt>
                <c:pt idx="227">
                  <c:v>3.027953502007567E-2</c:v>
                </c:pt>
                <c:pt idx="228">
                  <c:v>3.0147574740485298E-2</c:v>
                </c:pt>
                <c:pt idx="229">
                  <c:v>2.7633497430956867E-2</c:v>
                </c:pt>
                <c:pt idx="230">
                  <c:v>2.5649979009883028E-2</c:v>
                </c:pt>
                <c:pt idx="231">
                  <c:v>2.5867478696186018E-2</c:v>
                </c:pt>
                <c:pt idx="232">
                  <c:v>2.6083813459966635E-2</c:v>
                </c:pt>
                <c:pt idx="233">
                  <c:v>2.5643448235906162E-2</c:v>
                </c:pt>
                <c:pt idx="234">
                  <c:v>2.8831533311775185E-2</c:v>
                </c:pt>
                <c:pt idx="235">
                  <c:v>3.1062939177826404E-2</c:v>
                </c:pt>
                <c:pt idx="236">
                  <c:v>3.2501616980855574E-2</c:v>
                </c:pt>
                <c:pt idx="237">
                  <c:v>3.2110159026634347E-2</c:v>
                </c:pt>
                <c:pt idx="238">
                  <c:v>3.4394326095705155E-2</c:v>
                </c:pt>
                <c:pt idx="239">
                  <c:v>3.4308302291156466E-2</c:v>
                </c:pt>
                <c:pt idx="240">
                  <c:v>3.6672031631199767E-2</c:v>
                </c:pt>
                <c:pt idx="241">
                  <c:v>3.6085624538843605E-2</c:v>
                </c:pt>
                <c:pt idx="242">
                  <c:v>3.584431769354577E-2</c:v>
                </c:pt>
                <c:pt idx="243">
                  <c:v>3.5737044649638249E-2</c:v>
                </c:pt>
                <c:pt idx="244">
                  <c:v>3.3430909218965403E-2</c:v>
                </c:pt>
                <c:pt idx="245">
                  <c:v>3.4478962069068468E-2</c:v>
                </c:pt>
                <c:pt idx="246">
                  <c:v>3.3268268919017081E-2</c:v>
                </c:pt>
                <c:pt idx="247">
                  <c:v>3.4370526462677381E-2</c:v>
                </c:pt>
                <c:pt idx="248">
                  <c:v>3.5797290469469223E-2</c:v>
                </c:pt>
                <c:pt idx="249">
                  <c:v>3.9020959329701801E-2</c:v>
                </c:pt>
                <c:pt idx="250">
                  <c:v>4.3314962324945271E-2</c:v>
                </c:pt>
                <c:pt idx="251">
                  <c:v>4.7628002726602947E-2</c:v>
                </c:pt>
                <c:pt idx="252">
                  <c:v>4.8331571829998046E-2</c:v>
                </c:pt>
                <c:pt idx="253">
                  <c:v>4.889710194998232E-2</c:v>
                </c:pt>
                <c:pt idx="254">
                  <c:v>4.8996602981967272E-2</c:v>
                </c:pt>
                <c:pt idx="255">
                  <c:v>4.7927244873014335E-2</c:v>
                </c:pt>
                <c:pt idx="256">
                  <c:v>4.5863399963422945E-2</c:v>
                </c:pt>
                <c:pt idx="257">
                  <c:v>4.4799704425486392E-2</c:v>
                </c:pt>
                <c:pt idx="258">
                  <c:v>4.5316823834868014E-2</c:v>
                </c:pt>
                <c:pt idx="259">
                  <c:v>4.4471945533253836E-2</c:v>
                </c:pt>
                <c:pt idx="260">
                  <c:v>4.4075412379533489E-2</c:v>
                </c:pt>
                <c:pt idx="261">
                  <c:v>4.2062916982823419E-2</c:v>
                </c:pt>
                <c:pt idx="262">
                  <c:v>4.2597491890156894E-2</c:v>
                </c:pt>
                <c:pt idx="263">
                  <c:v>4.2635663314409052E-2</c:v>
                </c:pt>
                <c:pt idx="264">
                  <c:v>4.9098273851717E-2</c:v>
                </c:pt>
                <c:pt idx="265">
                  <c:v>4.9518630554100496E-2</c:v>
                </c:pt>
                <c:pt idx="266">
                  <c:v>4.9041271870842618E-2</c:v>
                </c:pt>
                <c:pt idx="267">
                  <c:v>5.4051548836677371E-2</c:v>
                </c:pt>
                <c:pt idx="268">
                  <c:v>5.5843879280040629E-2</c:v>
                </c:pt>
                <c:pt idx="269">
                  <c:v>5.5336926079326394E-2</c:v>
                </c:pt>
                <c:pt idx="270">
                  <c:v>5.3281348410791088E-2</c:v>
                </c:pt>
                <c:pt idx="271">
                  <c:v>4.963934105133691E-2</c:v>
                </c:pt>
                <c:pt idx="272">
                  <c:v>4.5983737203424496E-2</c:v>
                </c:pt>
                <c:pt idx="273">
                  <c:v>4.7798334719393744E-2</c:v>
                </c:pt>
                <c:pt idx="274">
                  <c:v>5.2674042170122851E-2</c:v>
                </c:pt>
                <c:pt idx="275">
                  <c:v>5.2244280692864027E-2</c:v>
                </c:pt>
                <c:pt idx="276">
                  <c:v>5.0202992427241966E-2</c:v>
                </c:pt>
                <c:pt idx="277">
                  <c:v>5.3280086342712842E-2</c:v>
                </c:pt>
                <c:pt idx="278">
                  <c:v>5.3306117064806834E-2</c:v>
                </c:pt>
                <c:pt idx="279">
                  <c:v>5.3127603970157609E-2</c:v>
                </c:pt>
                <c:pt idx="280">
                  <c:v>5.2721725155861182E-2</c:v>
                </c:pt>
                <c:pt idx="281">
                  <c:v>5.3863320775369719E-2</c:v>
                </c:pt>
                <c:pt idx="282">
                  <c:v>5.5090421625879502E-2</c:v>
                </c:pt>
                <c:pt idx="283">
                  <c:v>5.514195633715413E-2</c:v>
                </c:pt>
                <c:pt idx="284">
                  <c:v>5.4939813586441441E-2</c:v>
                </c:pt>
                <c:pt idx="285">
                  <c:v>5.1346933611048237E-2</c:v>
                </c:pt>
                <c:pt idx="286">
                  <c:v>5.0625101112812494E-2</c:v>
                </c:pt>
                <c:pt idx="287">
                  <c:v>5.1023171825716661E-2</c:v>
                </c:pt>
                <c:pt idx="288">
                  <c:v>4.8074865824220381E-2</c:v>
                </c:pt>
                <c:pt idx="289">
                  <c:v>4.538717217059883E-2</c:v>
                </c:pt>
                <c:pt idx="290">
                  <c:v>4.4702264247605976E-2</c:v>
                </c:pt>
                <c:pt idx="291">
                  <c:v>4.4711403383167231E-2</c:v>
                </c:pt>
                <c:pt idx="292">
                  <c:v>4.4422784512321838E-2</c:v>
                </c:pt>
                <c:pt idx="293">
                  <c:v>4.5117014336261675E-2</c:v>
                </c:pt>
                <c:pt idx="294">
                  <c:v>4.2420836106940446E-2</c:v>
                </c:pt>
                <c:pt idx="295">
                  <c:v>3.4175457895487434E-2</c:v>
                </c:pt>
                <c:pt idx="296">
                  <c:v>3.4329336792222533E-2</c:v>
                </c:pt>
                <c:pt idx="297">
                  <c:v>3.4366316706212867E-2</c:v>
                </c:pt>
                <c:pt idx="298">
                  <c:v>3.0645062803478239E-2</c:v>
                </c:pt>
                <c:pt idx="299">
                  <c:v>3.0547140461061405E-2</c:v>
                </c:pt>
                <c:pt idx="300">
                  <c:v>3.0605550308165912E-2</c:v>
                </c:pt>
                <c:pt idx="301">
                  <c:v>3.0534845700322999E-2</c:v>
                </c:pt>
                <c:pt idx="302">
                  <c:v>2.9111767957811136E-2</c:v>
                </c:pt>
                <c:pt idx="303">
                  <c:v>2.3257373780343565E-2</c:v>
                </c:pt>
                <c:pt idx="304">
                  <c:v>2.4980179469076828E-2</c:v>
                </c:pt>
                <c:pt idx="305">
                  <c:v>2.481924623171591E-2</c:v>
                </c:pt>
                <c:pt idx="306">
                  <c:v>2.2777462655837095E-2</c:v>
                </c:pt>
                <c:pt idx="307">
                  <c:v>2.0528694776595007E-2</c:v>
                </c:pt>
                <c:pt idx="308">
                  <c:v>2.0243979059912005E-2</c:v>
                </c:pt>
                <c:pt idx="309">
                  <c:v>1.8741490583035526E-2</c:v>
                </c:pt>
                <c:pt idx="310">
                  <c:v>1.8745423639037088E-2</c:v>
                </c:pt>
                <c:pt idx="311">
                  <c:v>1.8670058315038606E-2</c:v>
                </c:pt>
                <c:pt idx="312">
                  <c:v>1.8758843885744041E-2</c:v>
                </c:pt>
                <c:pt idx="313">
                  <c:v>1.9912077111947365E-2</c:v>
                </c:pt>
                <c:pt idx="314">
                  <c:v>1.8941836444796616E-2</c:v>
                </c:pt>
                <c:pt idx="315">
                  <c:v>1.900478790848065E-2</c:v>
                </c:pt>
                <c:pt idx="316">
                  <c:v>2.0457372715315895E-2</c:v>
                </c:pt>
                <c:pt idx="317">
                  <c:v>2.110119705033333E-2</c:v>
                </c:pt>
                <c:pt idx="318">
                  <c:v>2.120351707208713E-2</c:v>
                </c:pt>
                <c:pt idx="319">
                  <c:v>2.6145968546674184E-2</c:v>
                </c:pt>
                <c:pt idx="320">
                  <c:v>2.6049830278349943E-2</c:v>
                </c:pt>
                <c:pt idx="321">
                  <c:v>2.6583435704476809E-2</c:v>
                </c:pt>
                <c:pt idx="322">
                  <c:v>2.7519147034140615E-2</c:v>
                </c:pt>
                <c:pt idx="323">
                  <c:v>2.7287368039328682E-2</c:v>
                </c:pt>
                <c:pt idx="324">
                  <c:v>2.7624700866570484E-2</c:v>
                </c:pt>
                <c:pt idx="325">
                  <c:v>2.6826244129014486E-2</c:v>
                </c:pt>
                <c:pt idx="326">
                  <c:v>2.6570886258369078E-2</c:v>
                </c:pt>
                <c:pt idx="327">
                  <c:v>2.5596817291800834E-2</c:v>
                </c:pt>
                <c:pt idx="328">
                  <c:v>2.5840338133695222E-2</c:v>
                </c:pt>
                <c:pt idx="329">
                  <c:v>2.5914584740805754E-2</c:v>
                </c:pt>
                <c:pt idx="330">
                  <c:v>2.6114351663681559E-2</c:v>
                </c:pt>
                <c:pt idx="331">
                  <c:v>2.6536778078667327E-2</c:v>
                </c:pt>
                <c:pt idx="332">
                  <c:v>2.6307010739358865E-2</c:v>
                </c:pt>
                <c:pt idx="333">
                  <c:v>2.6396444886752305E-2</c:v>
                </c:pt>
                <c:pt idx="334">
                  <c:v>2.5314694176660889E-2</c:v>
                </c:pt>
                <c:pt idx="335">
                  <c:v>2.5045736443498934E-2</c:v>
                </c:pt>
                <c:pt idx="336">
                  <c:v>2.5167633455547778E-2</c:v>
                </c:pt>
                <c:pt idx="337">
                  <c:v>2.4693622291482364E-2</c:v>
                </c:pt>
                <c:pt idx="338">
                  <c:v>2.3776283239962937E-2</c:v>
                </c:pt>
                <c:pt idx="339">
                  <c:v>2.3730154206846252E-2</c:v>
                </c:pt>
                <c:pt idx="340">
                  <c:v>1.7292923637835227E-2</c:v>
                </c:pt>
                <c:pt idx="341">
                  <c:v>1.7286390686481579E-2</c:v>
                </c:pt>
                <c:pt idx="342">
                  <c:v>1.6860188621771972E-2</c:v>
                </c:pt>
                <c:pt idx="343">
                  <c:v>1.5940199484401292E-2</c:v>
                </c:pt>
                <c:pt idx="344">
                  <c:v>1.7807039599488067E-2</c:v>
                </c:pt>
                <c:pt idx="345">
                  <c:v>1.6910960358159657E-2</c:v>
                </c:pt>
                <c:pt idx="346">
                  <c:v>1.7641337005373865E-2</c:v>
                </c:pt>
                <c:pt idx="347">
                  <c:v>1.7687178121817401E-2</c:v>
                </c:pt>
                <c:pt idx="348">
                  <c:v>1.7096419023311344E-2</c:v>
                </c:pt>
                <c:pt idx="349">
                  <c:v>1.6592954630888695E-2</c:v>
                </c:pt>
                <c:pt idx="350">
                  <c:v>1.6736719414496545E-2</c:v>
                </c:pt>
                <c:pt idx="351">
                  <c:v>1.6273870414995725E-2</c:v>
                </c:pt>
                <c:pt idx="352">
                  <c:v>1.5719033224572174E-2</c:v>
                </c:pt>
                <c:pt idx="353">
                  <c:v>1.513138593560048E-2</c:v>
                </c:pt>
                <c:pt idx="354">
                  <c:v>1.4920315708339236E-2</c:v>
                </c:pt>
                <c:pt idx="355">
                  <c:v>1.6489638396202818E-2</c:v>
                </c:pt>
                <c:pt idx="356">
                  <c:v>1.6579006757617466E-2</c:v>
                </c:pt>
                <c:pt idx="357">
                  <c:v>2.0893563386929447E-2</c:v>
                </c:pt>
                <c:pt idx="358">
                  <c:v>2.0627987272273021E-2</c:v>
                </c:pt>
                <c:pt idx="359">
                  <c:v>2.4101104981804004E-2</c:v>
                </c:pt>
                <c:pt idx="360">
                  <c:v>2.4159636604765455E-2</c:v>
                </c:pt>
                <c:pt idx="361">
                  <c:v>2.5643596426969648E-2</c:v>
                </c:pt>
                <c:pt idx="362">
                  <c:v>2.5710134722332925E-2</c:v>
                </c:pt>
                <c:pt idx="363">
                  <c:v>2.5696554474844736E-2</c:v>
                </c:pt>
                <c:pt idx="364">
                  <c:v>2.6077911729816525E-2</c:v>
                </c:pt>
                <c:pt idx="365">
                  <c:v>2.5233813681887273E-2</c:v>
                </c:pt>
                <c:pt idx="366">
                  <c:v>3.0635400834882642E-2</c:v>
                </c:pt>
                <c:pt idx="367">
                  <c:v>3.0398260478404195E-2</c:v>
                </c:pt>
                <c:pt idx="368">
                  <c:v>3.1356938404452896E-2</c:v>
                </c:pt>
                <c:pt idx="369">
                  <c:v>3.2229757594727577E-2</c:v>
                </c:pt>
                <c:pt idx="370">
                  <c:v>3.1999852657635615E-2</c:v>
                </c:pt>
                <c:pt idx="371">
                  <c:v>3.2224979055474161E-2</c:v>
                </c:pt>
                <c:pt idx="372">
                  <c:v>3.5003547345155636E-2</c:v>
                </c:pt>
                <c:pt idx="373">
                  <c:v>3.6567716796085274E-2</c:v>
                </c:pt>
                <c:pt idx="374">
                  <c:v>3.7056821606900089E-2</c:v>
                </c:pt>
                <c:pt idx="375">
                  <c:v>3.9504093752396573E-2</c:v>
                </c:pt>
                <c:pt idx="376">
                  <c:v>3.8463991911902543E-2</c:v>
                </c:pt>
                <c:pt idx="377">
                  <c:v>3.8709047037329553E-2</c:v>
                </c:pt>
                <c:pt idx="378">
                  <c:v>3.7362246001774596E-2</c:v>
                </c:pt>
                <c:pt idx="379">
                  <c:v>3.7430146485711926E-2</c:v>
                </c:pt>
                <c:pt idx="380">
                  <c:v>3.6108351026757066E-2</c:v>
                </c:pt>
                <c:pt idx="381">
                  <c:v>3.5999667506282633E-2</c:v>
                </c:pt>
                <c:pt idx="382">
                  <c:v>3.4788830679720974E-2</c:v>
                </c:pt>
                <c:pt idx="383">
                  <c:v>3.4343243114159462E-2</c:v>
                </c:pt>
                <c:pt idx="384">
                  <c:v>3.4554782334481851E-2</c:v>
                </c:pt>
                <c:pt idx="385">
                  <c:v>3.475953340340552E-2</c:v>
                </c:pt>
                <c:pt idx="386">
                  <c:v>3.8337224913923003E-2</c:v>
                </c:pt>
                <c:pt idx="387">
                  <c:v>3.6955441215907367E-2</c:v>
                </c:pt>
                <c:pt idx="388">
                  <c:v>3.6008488687783585E-2</c:v>
                </c:pt>
                <c:pt idx="389">
                  <c:v>3.5198793354377936E-2</c:v>
                </c:pt>
                <c:pt idx="390">
                  <c:v>3.4728805372492615E-2</c:v>
                </c:pt>
                <c:pt idx="391">
                  <c:v>3.4928704916216358E-2</c:v>
                </c:pt>
                <c:pt idx="392">
                  <c:v>3.7661680365760973E-2</c:v>
                </c:pt>
                <c:pt idx="393">
                  <c:v>3.5666050597461287E-2</c:v>
                </c:pt>
                <c:pt idx="394">
                  <c:v>3.5117882994158647E-2</c:v>
                </c:pt>
                <c:pt idx="395">
                  <c:v>3.6519582291844814E-2</c:v>
                </c:pt>
                <c:pt idx="396">
                  <c:v>3.377210172470297E-2</c:v>
                </c:pt>
                <c:pt idx="397">
                  <c:v>3.3933875761736579E-2</c:v>
                </c:pt>
                <c:pt idx="398">
                  <c:v>3.3936808389741904E-2</c:v>
                </c:pt>
                <c:pt idx="399">
                  <c:v>3.4401175376502641E-2</c:v>
                </c:pt>
                <c:pt idx="400">
                  <c:v>3.4262126777459802E-2</c:v>
                </c:pt>
                <c:pt idx="401">
                  <c:v>3.3934599468172365E-2</c:v>
                </c:pt>
                <c:pt idx="402">
                  <c:v>3.5645582114495679E-2</c:v>
                </c:pt>
                <c:pt idx="403">
                  <c:v>3.5868732523781692E-2</c:v>
                </c:pt>
                <c:pt idx="404">
                  <c:v>3.5865664224134036E-2</c:v>
                </c:pt>
                <c:pt idx="405">
                  <c:v>3.6453596770459784E-2</c:v>
                </c:pt>
                <c:pt idx="406">
                  <c:v>3.6078540847363477E-2</c:v>
                </c:pt>
                <c:pt idx="407">
                  <c:v>3.1527241827757888E-2</c:v>
                </c:pt>
                <c:pt idx="408">
                  <c:v>2.8236038396971946E-2</c:v>
                </c:pt>
                <c:pt idx="409">
                  <c:v>2.9205436517778988E-2</c:v>
                </c:pt>
                <c:pt idx="410">
                  <c:v>3.4559400494026664E-2</c:v>
                </c:pt>
                <c:pt idx="411">
                  <c:v>3.44180152057285E-2</c:v>
                </c:pt>
                <c:pt idx="412">
                  <c:v>3.6335152844484082E-2</c:v>
                </c:pt>
                <c:pt idx="413">
                  <c:v>3.7529054442968272E-2</c:v>
                </c:pt>
                <c:pt idx="414">
                  <c:v>3.6961168291144958E-2</c:v>
                </c:pt>
                <c:pt idx="415">
                  <c:v>3.5839583915191563E-2</c:v>
                </c:pt>
                <c:pt idx="416">
                  <c:v>3.6520387498578881E-2</c:v>
                </c:pt>
                <c:pt idx="417">
                  <c:v>3.6629360154981409E-2</c:v>
                </c:pt>
                <c:pt idx="418">
                  <c:v>3.6446936168415371E-2</c:v>
                </c:pt>
                <c:pt idx="419">
                  <c:v>3.7192650441548555E-2</c:v>
                </c:pt>
                <c:pt idx="420">
                  <c:v>3.7966877429693742E-2</c:v>
                </c:pt>
                <c:pt idx="421">
                  <c:v>3.7927941759130612E-2</c:v>
                </c:pt>
                <c:pt idx="422">
                  <c:v>3.7766782019316783E-2</c:v>
                </c:pt>
                <c:pt idx="423">
                  <c:v>3.6036043012206982E-2</c:v>
                </c:pt>
                <c:pt idx="424">
                  <c:v>3.6934819406056439E-2</c:v>
                </c:pt>
                <c:pt idx="425">
                  <c:v>3.7016672909790299E-2</c:v>
                </c:pt>
                <c:pt idx="426">
                  <c:v>3.6551542316877392E-2</c:v>
                </c:pt>
                <c:pt idx="427">
                  <c:v>3.6692140950225556E-2</c:v>
                </c:pt>
                <c:pt idx="428">
                  <c:v>3.7083043924591247E-2</c:v>
                </c:pt>
                <c:pt idx="429">
                  <c:v>3.7062993077600227E-2</c:v>
                </c:pt>
                <c:pt idx="430">
                  <c:v>3.8634203250186933E-2</c:v>
                </c:pt>
                <c:pt idx="431">
                  <c:v>3.333289500102906E-2</c:v>
                </c:pt>
                <c:pt idx="432">
                  <c:v>3.4970490192755971E-2</c:v>
                </c:pt>
                <c:pt idx="433">
                  <c:v>3.5441002346593635E-2</c:v>
                </c:pt>
                <c:pt idx="434">
                  <c:v>3.2720986338005638E-2</c:v>
                </c:pt>
                <c:pt idx="435">
                  <c:v>3.4825521475299652E-2</c:v>
                </c:pt>
                <c:pt idx="436">
                  <c:v>3.524807787112183E-2</c:v>
                </c:pt>
                <c:pt idx="437">
                  <c:v>3.3334051451139504E-2</c:v>
                </c:pt>
                <c:pt idx="438">
                  <c:v>3.3187989494854103E-2</c:v>
                </c:pt>
                <c:pt idx="439">
                  <c:v>3.4649960271910828E-2</c:v>
                </c:pt>
                <c:pt idx="440">
                  <c:v>3.4666727303855699E-2</c:v>
                </c:pt>
                <c:pt idx="441">
                  <c:v>3.377791858948008E-2</c:v>
                </c:pt>
                <c:pt idx="442">
                  <c:v>3.4297636368057195E-2</c:v>
                </c:pt>
                <c:pt idx="443">
                  <c:v>3.4229312041280123E-2</c:v>
                </c:pt>
                <c:pt idx="444">
                  <c:v>3.3778124982360429E-2</c:v>
                </c:pt>
                <c:pt idx="445">
                  <c:v>3.3476786356013664E-2</c:v>
                </c:pt>
                <c:pt idx="446">
                  <c:v>3.5825300001959548E-2</c:v>
                </c:pt>
                <c:pt idx="447">
                  <c:v>3.5851225501558073E-2</c:v>
                </c:pt>
                <c:pt idx="448">
                  <c:v>3.6136683173663905E-2</c:v>
                </c:pt>
                <c:pt idx="449">
                  <c:v>3.6027944256322192E-2</c:v>
                </c:pt>
                <c:pt idx="450">
                  <c:v>3.5758521230459681E-2</c:v>
                </c:pt>
                <c:pt idx="451">
                  <c:v>3.4191352843829806E-2</c:v>
                </c:pt>
                <c:pt idx="452">
                  <c:v>3.4668728684354826E-2</c:v>
                </c:pt>
                <c:pt idx="453">
                  <c:v>3.3987977937668647E-2</c:v>
                </c:pt>
                <c:pt idx="454">
                  <c:v>3.1748930968697818E-2</c:v>
                </c:pt>
                <c:pt idx="455">
                  <c:v>3.1685254598228671E-2</c:v>
                </c:pt>
                <c:pt idx="456">
                  <c:v>4.1134385810521833E-2</c:v>
                </c:pt>
                <c:pt idx="457">
                  <c:v>4.0850165530794236E-2</c:v>
                </c:pt>
                <c:pt idx="458">
                  <c:v>4.3873809448651525E-2</c:v>
                </c:pt>
                <c:pt idx="459">
                  <c:v>4.4015515558482619E-2</c:v>
                </c:pt>
                <c:pt idx="460">
                  <c:v>4.7010783496057217E-2</c:v>
                </c:pt>
                <c:pt idx="461">
                  <c:v>4.6565665345186878E-2</c:v>
                </c:pt>
                <c:pt idx="462">
                  <c:v>4.6569090756616235E-2</c:v>
                </c:pt>
                <c:pt idx="463">
                  <c:v>4.6424955141958248E-2</c:v>
                </c:pt>
                <c:pt idx="464">
                  <c:v>4.662536500506171E-2</c:v>
                </c:pt>
                <c:pt idx="465">
                  <c:v>4.7273681215093927E-2</c:v>
                </c:pt>
                <c:pt idx="466">
                  <c:v>4.7535698950311595E-2</c:v>
                </c:pt>
                <c:pt idx="467">
                  <c:v>4.6061700170078088E-2</c:v>
                </c:pt>
                <c:pt idx="468">
                  <c:v>4.6320350676175563E-2</c:v>
                </c:pt>
                <c:pt idx="469">
                  <c:v>4.6224301757461332E-2</c:v>
                </c:pt>
                <c:pt idx="470">
                  <c:v>4.5555659771244809E-2</c:v>
                </c:pt>
                <c:pt idx="471">
                  <c:v>4.5927710991358339E-2</c:v>
                </c:pt>
                <c:pt idx="472">
                  <c:v>4.8301219227963696E-2</c:v>
                </c:pt>
                <c:pt idx="473">
                  <c:v>4.929562352753708E-2</c:v>
                </c:pt>
                <c:pt idx="474">
                  <c:v>4.8971708568788248E-2</c:v>
                </c:pt>
                <c:pt idx="475">
                  <c:v>4.8881321027765004E-2</c:v>
                </c:pt>
                <c:pt idx="476">
                  <c:v>4.8031354016051873E-2</c:v>
                </c:pt>
                <c:pt idx="477">
                  <c:v>3.8452538416244658E-2</c:v>
                </c:pt>
                <c:pt idx="478">
                  <c:v>3.8128731078088049E-2</c:v>
                </c:pt>
                <c:pt idx="479">
                  <c:v>3.4363210256467054E-2</c:v>
                </c:pt>
                <c:pt idx="480">
                  <c:v>3.4290500408864368E-2</c:v>
                </c:pt>
                <c:pt idx="481">
                  <c:v>2.9708649870807791E-2</c:v>
                </c:pt>
                <c:pt idx="482">
                  <c:v>2.9555082228021251E-2</c:v>
                </c:pt>
                <c:pt idx="483">
                  <c:v>2.8836049891365956E-2</c:v>
                </c:pt>
                <c:pt idx="484">
                  <c:v>3.2862572693613958E-2</c:v>
                </c:pt>
                <c:pt idx="485">
                  <c:v>3.2679915952763219E-2</c:v>
                </c:pt>
                <c:pt idx="486">
                  <c:v>3.2639680299637999E-2</c:v>
                </c:pt>
                <c:pt idx="487">
                  <c:v>3.1026327896847988E-2</c:v>
                </c:pt>
                <c:pt idx="488">
                  <c:v>3.1792021863143047E-2</c:v>
                </c:pt>
                <c:pt idx="489">
                  <c:v>3.334694187376621E-2</c:v>
                </c:pt>
                <c:pt idx="490">
                  <c:v>3.3209066445553E-2</c:v>
                </c:pt>
                <c:pt idx="491">
                  <c:v>3.4233056930734813E-2</c:v>
                </c:pt>
                <c:pt idx="492">
                  <c:v>3.3669995667485797E-2</c:v>
                </c:pt>
                <c:pt idx="493">
                  <c:v>2.8911648119749847E-2</c:v>
                </c:pt>
                <c:pt idx="494">
                  <c:v>2.7410407257119549E-2</c:v>
                </c:pt>
                <c:pt idx="495">
                  <c:v>2.83010790602218E-2</c:v>
                </c:pt>
                <c:pt idx="496">
                  <c:v>2.9760771995133536E-2</c:v>
                </c:pt>
                <c:pt idx="497">
                  <c:v>3.0418557431282228E-2</c:v>
                </c:pt>
                <c:pt idx="498">
                  <c:v>3.122018491416502E-2</c:v>
                </c:pt>
                <c:pt idx="499">
                  <c:v>3.2193037574741921E-2</c:v>
                </c:pt>
                <c:pt idx="500">
                  <c:v>3.1914492663066507E-2</c:v>
                </c:pt>
                <c:pt idx="501">
                  <c:v>3.1287864474386543E-2</c:v>
                </c:pt>
                <c:pt idx="502">
                  <c:v>3.1508789412882529E-2</c:v>
                </c:pt>
                <c:pt idx="503">
                  <c:v>3.1200512070330526E-2</c:v>
                </c:pt>
                <c:pt idx="504">
                  <c:v>3.0921425031649925E-2</c:v>
                </c:pt>
                <c:pt idx="505">
                  <c:v>2.4275246444091205E-2</c:v>
                </c:pt>
                <c:pt idx="506">
                  <c:v>2.4785164325761205E-2</c:v>
                </c:pt>
                <c:pt idx="507">
                  <c:v>2.5023849296725589E-2</c:v>
                </c:pt>
                <c:pt idx="508">
                  <c:v>2.4733249620619454E-2</c:v>
                </c:pt>
                <c:pt idx="509">
                  <c:v>2.4427881411683658E-2</c:v>
                </c:pt>
                <c:pt idx="510">
                  <c:v>2.3031302908269772E-2</c:v>
                </c:pt>
                <c:pt idx="511">
                  <c:v>2.2771090315569713E-2</c:v>
                </c:pt>
                <c:pt idx="512">
                  <c:v>2.1912359707039763E-2</c:v>
                </c:pt>
                <c:pt idx="513">
                  <c:v>2.1673921831241567E-2</c:v>
                </c:pt>
                <c:pt idx="514">
                  <c:v>2.1762894151867038E-2</c:v>
                </c:pt>
                <c:pt idx="515">
                  <c:v>2.3766068331876094E-2</c:v>
                </c:pt>
                <c:pt idx="516">
                  <c:v>2.4123327648123621E-2</c:v>
                </c:pt>
                <c:pt idx="517">
                  <c:v>2.3902219951108413E-2</c:v>
                </c:pt>
                <c:pt idx="518">
                  <c:v>2.3177445720338481E-2</c:v>
                </c:pt>
                <c:pt idx="519">
                  <c:v>2.2187714347471271E-2</c:v>
                </c:pt>
                <c:pt idx="520">
                  <c:v>2.0422340119193225E-2</c:v>
                </c:pt>
                <c:pt idx="521">
                  <c:v>2.213173139141815E-2</c:v>
                </c:pt>
                <c:pt idx="522">
                  <c:v>2.2145485715606539E-2</c:v>
                </c:pt>
                <c:pt idx="523">
                  <c:v>2.1599319271348675E-2</c:v>
                </c:pt>
                <c:pt idx="524">
                  <c:v>2.2287783611766629E-2</c:v>
                </c:pt>
                <c:pt idx="525">
                  <c:v>2.5018804731554503E-2</c:v>
                </c:pt>
                <c:pt idx="526">
                  <c:v>2.5173127948327371E-2</c:v>
                </c:pt>
                <c:pt idx="527">
                  <c:v>2.8473181333323046E-2</c:v>
                </c:pt>
                <c:pt idx="528">
                  <c:v>2.8634946040762426E-2</c:v>
                </c:pt>
                <c:pt idx="529">
                  <c:v>3.0278210661467159E-2</c:v>
                </c:pt>
                <c:pt idx="530">
                  <c:v>3.0992654391810596E-2</c:v>
                </c:pt>
                <c:pt idx="531">
                  <c:v>3.0266076806658236E-2</c:v>
                </c:pt>
                <c:pt idx="532">
                  <c:v>3.4554169534086507E-2</c:v>
                </c:pt>
                <c:pt idx="533">
                  <c:v>3.7181263820220828E-2</c:v>
                </c:pt>
                <c:pt idx="534">
                  <c:v>3.9371239006596767E-2</c:v>
                </c:pt>
                <c:pt idx="535">
                  <c:v>4.0412445266733599E-2</c:v>
                </c:pt>
                <c:pt idx="536">
                  <c:v>4.0682216854233982E-2</c:v>
                </c:pt>
                <c:pt idx="537">
                  <c:v>3.9575586849220017E-2</c:v>
                </c:pt>
                <c:pt idx="538">
                  <c:v>3.9335538622660225E-2</c:v>
                </c:pt>
                <c:pt idx="539">
                  <c:v>3.9535746714099533E-2</c:v>
                </c:pt>
                <c:pt idx="540">
                  <c:v>3.9202407396689738E-2</c:v>
                </c:pt>
                <c:pt idx="541">
                  <c:v>3.8813535528923644E-2</c:v>
                </c:pt>
                <c:pt idx="542">
                  <c:v>3.8889689387764909E-2</c:v>
                </c:pt>
                <c:pt idx="543">
                  <c:v>3.9358261038128596E-2</c:v>
                </c:pt>
                <c:pt idx="544">
                  <c:v>4.109432022928422E-2</c:v>
                </c:pt>
                <c:pt idx="545">
                  <c:v>3.9829275217036726E-2</c:v>
                </c:pt>
                <c:pt idx="546">
                  <c:v>3.8152176320406725E-2</c:v>
                </c:pt>
                <c:pt idx="547">
                  <c:v>3.9511856014757832E-2</c:v>
                </c:pt>
                <c:pt idx="548">
                  <c:v>3.7889723051471404E-2</c:v>
                </c:pt>
                <c:pt idx="549">
                  <c:v>3.7902365055662322E-2</c:v>
                </c:pt>
                <c:pt idx="550">
                  <c:v>3.8387306200995674E-2</c:v>
                </c:pt>
                <c:pt idx="551">
                  <c:v>3.7059552153978298E-2</c:v>
                </c:pt>
                <c:pt idx="552">
                  <c:v>3.6741472308197708E-2</c:v>
                </c:pt>
                <c:pt idx="553">
                  <c:v>3.4769365550223343E-2</c:v>
                </c:pt>
                <c:pt idx="554">
                  <c:v>3.3023262447040638E-2</c:v>
                </c:pt>
                <c:pt idx="555">
                  <c:v>3.1199484008651992E-2</c:v>
                </c:pt>
                <c:pt idx="556">
                  <c:v>3.0103953452516298E-2</c:v>
                </c:pt>
                <c:pt idx="557">
                  <c:v>3.1568117222505451E-2</c:v>
                </c:pt>
                <c:pt idx="558">
                  <c:v>3.1692516850927166E-2</c:v>
                </c:pt>
                <c:pt idx="559">
                  <c:v>2.9661998893539782E-2</c:v>
                </c:pt>
                <c:pt idx="560">
                  <c:v>2.9032166397530257E-2</c:v>
                </c:pt>
                <c:pt idx="561">
                  <c:v>3.1153699123093431E-2</c:v>
                </c:pt>
                <c:pt idx="562">
                  <c:v>3.1446601127900722E-2</c:v>
                </c:pt>
                <c:pt idx="563">
                  <c:v>3.1589373613708963E-2</c:v>
                </c:pt>
                <c:pt idx="564">
                  <c:v>3.1537088584356762E-2</c:v>
                </c:pt>
                <c:pt idx="565">
                  <c:v>3.1678861724372349E-2</c:v>
                </c:pt>
                <c:pt idx="566">
                  <c:v>3.4892905022089304E-2</c:v>
                </c:pt>
                <c:pt idx="567">
                  <c:v>3.4791343855094428E-2</c:v>
                </c:pt>
                <c:pt idx="568">
                  <c:v>3.7078957384284475E-2</c:v>
                </c:pt>
                <c:pt idx="569">
                  <c:v>3.6915226893940015E-2</c:v>
                </c:pt>
                <c:pt idx="570">
                  <c:v>3.7066913870157057E-2</c:v>
                </c:pt>
                <c:pt idx="571">
                  <c:v>3.581296346605236E-2</c:v>
                </c:pt>
                <c:pt idx="572">
                  <c:v>3.8038372334622497E-2</c:v>
                </c:pt>
                <c:pt idx="573">
                  <c:v>3.807204351186564E-2</c:v>
                </c:pt>
                <c:pt idx="574">
                  <c:v>3.8955268162221238E-2</c:v>
                </c:pt>
                <c:pt idx="575">
                  <c:v>4.1268213904812945E-2</c:v>
                </c:pt>
                <c:pt idx="576">
                  <c:v>4.1411795980229121E-2</c:v>
                </c:pt>
                <c:pt idx="577">
                  <c:v>4.1792467393860985E-2</c:v>
                </c:pt>
                <c:pt idx="578">
                  <c:v>4.0363876801103357E-2</c:v>
                </c:pt>
                <c:pt idx="579">
                  <c:v>4.0634977041273966E-2</c:v>
                </c:pt>
                <c:pt idx="580">
                  <c:v>3.9865128643053346E-2</c:v>
                </c:pt>
                <c:pt idx="581">
                  <c:v>4.0315538649993959E-2</c:v>
                </c:pt>
                <c:pt idx="582">
                  <c:v>3.9198127910547678E-2</c:v>
                </c:pt>
                <c:pt idx="583">
                  <c:v>3.8994613284948181E-2</c:v>
                </c:pt>
                <c:pt idx="584">
                  <c:v>3.8667023530089155E-2</c:v>
                </c:pt>
                <c:pt idx="585">
                  <c:v>3.8674884299232042E-2</c:v>
                </c:pt>
                <c:pt idx="586">
                  <c:v>3.5880611874387409E-2</c:v>
                </c:pt>
                <c:pt idx="587">
                  <c:v>3.2252737887568335E-2</c:v>
                </c:pt>
                <c:pt idx="588">
                  <c:v>3.1496538417684843E-2</c:v>
                </c:pt>
                <c:pt idx="589">
                  <c:v>2.6619210042395675E-2</c:v>
                </c:pt>
                <c:pt idx="590">
                  <c:v>2.7175796515673409E-2</c:v>
                </c:pt>
                <c:pt idx="591">
                  <c:v>2.7760136600789471E-2</c:v>
                </c:pt>
                <c:pt idx="592">
                  <c:v>2.8640995117294218E-2</c:v>
                </c:pt>
                <c:pt idx="593">
                  <c:v>2.8332943676729911E-2</c:v>
                </c:pt>
                <c:pt idx="594">
                  <c:v>2.773656620526679E-2</c:v>
                </c:pt>
                <c:pt idx="595">
                  <c:v>2.7492223841005844E-2</c:v>
                </c:pt>
                <c:pt idx="596">
                  <c:v>2.7472708186785013E-2</c:v>
                </c:pt>
                <c:pt idx="597">
                  <c:v>2.7306190909199814E-2</c:v>
                </c:pt>
                <c:pt idx="598">
                  <c:v>2.666442688452789E-2</c:v>
                </c:pt>
                <c:pt idx="599">
                  <c:v>2.5110114995521998E-2</c:v>
                </c:pt>
                <c:pt idx="600">
                  <c:v>2.4697536089199772E-2</c:v>
                </c:pt>
                <c:pt idx="601">
                  <c:v>2.4504995320606238E-2</c:v>
                </c:pt>
                <c:pt idx="602">
                  <c:v>2.4396593386709856E-2</c:v>
                </c:pt>
                <c:pt idx="603">
                  <c:v>2.3770456321266772E-2</c:v>
                </c:pt>
                <c:pt idx="604">
                  <c:v>2.3898031452352392E-2</c:v>
                </c:pt>
                <c:pt idx="605">
                  <c:v>2.3670927721594591E-2</c:v>
                </c:pt>
                <c:pt idx="606">
                  <c:v>2.3751647871137326E-2</c:v>
                </c:pt>
                <c:pt idx="607">
                  <c:v>2.2478268862423097E-2</c:v>
                </c:pt>
                <c:pt idx="608">
                  <c:v>2.2466202998790825E-2</c:v>
                </c:pt>
                <c:pt idx="609">
                  <c:v>2.2536016417329507E-2</c:v>
                </c:pt>
                <c:pt idx="610">
                  <c:v>2.5735562656739264E-2</c:v>
                </c:pt>
                <c:pt idx="611">
                  <c:v>2.5765878129268414E-2</c:v>
                </c:pt>
                <c:pt idx="612">
                  <c:v>2.7694046401215568E-2</c:v>
                </c:pt>
                <c:pt idx="613">
                  <c:v>2.740876244600381E-2</c:v>
                </c:pt>
                <c:pt idx="614">
                  <c:v>2.620570036384326E-2</c:v>
                </c:pt>
                <c:pt idx="615">
                  <c:v>2.6297568254478269E-2</c:v>
                </c:pt>
                <c:pt idx="616">
                  <c:v>2.5097854056669665E-2</c:v>
                </c:pt>
                <c:pt idx="617">
                  <c:v>2.1580183500938089E-2</c:v>
                </c:pt>
                <c:pt idx="618">
                  <c:v>2.2158576428371522E-2</c:v>
                </c:pt>
                <c:pt idx="619">
                  <c:v>2.3174096970167608E-2</c:v>
                </c:pt>
                <c:pt idx="620">
                  <c:v>2.3160913606607783E-2</c:v>
                </c:pt>
                <c:pt idx="621">
                  <c:v>2.329450934453817E-2</c:v>
                </c:pt>
                <c:pt idx="622">
                  <c:v>2.3139732990127209E-2</c:v>
                </c:pt>
                <c:pt idx="623">
                  <c:v>2.1482218696270733E-2</c:v>
                </c:pt>
                <c:pt idx="624">
                  <c:v>2.4657521194692906E-2</c:v>
                </c:pt>
                <c:pt idx="625">
                  <c:v>2.5040731287406835E-2</c:v>
                </c:pt>
                <c:pt idx="626">
                  <c:v>2.5292696492383131E-2</c:v>
                </c:pt>
                <c:pt idx="627">
                  <c:v>2.5581879277088999E-2</c:v>
                </c:pt>
                <c:pt idx="628">
                  <c:v>2.5531241910255353E-2</c:v>
                </c:pt>
                <c:pt idx="629">
                  <c:v>2.6780600517947957E-2</c:v>
                </c:pt>
                <c:pt idx="630">
                  <c:v>2.9373061172925728E-2</c:v>
                </c:pt>
                <c:pt idx="631">
                  <c:v>2.8029446264843116E-2</c:v>
                </c:pt>
                <c:pt idx="632">
                  <c:v>2.7884512788721488E-2</c:v>
                </c:pt>
                <c:pt idx="633">
                  <c:v>2.4256364532104273E-2</c:v>
                </c:pt>
                <c:pt idx="634">
                  <c:v>2.3712807946872153E-2</c:v>
                </c:pt>
                <c:pt idx="635">
                  <c:v>2.5112193769452791E-2</c:v>
                </c:pt>
                <c:pt idx="636">
                  <c:v>2.6069060894762422E-2</c:v>
                </c:pt>
                <c:pt idx="637">
                  <c:v>2.6024639482572991E-2</c:v>
                </c:pt>
                <c:pt idx="638">
                  <c:v>2.6474795966555914E-2</c:v>
                </c:pt>
                <c:pt idx="639">
                  <c:v>2.6490861159860081E-2</c:v>
                </c:pt>
                <c:pt idx="640">
                  <c:v>2.6358638901393297E-2</c:v>
                </c:pt>
                <c:pt idx="641">
                  <c:v>2.8774120140252823E-2</c:v>
                </c:pt>
                <c:pt idx="642">
                  <c:v>2.8336740324314446E-2</c:v>
                </c:pt>
                <c:pt idx="643">
                  <c:v>2.8974683871714653E-2</c:v>
                </c:pt>
                <c:pt idx="644">
                  <c:v>2.8235747004753925E-2</c:v>
                </c:pt>
                <c:pt idx="645">
                  <c:v>2.735181303166408E-2</c:v>
                </c:pt>
                <c:pt idx="646">
                  <c:v>2.7783696683742271E-2</c:v>
                </c:pt>
                <c:pt idx="647">
                  <c:v>2.7728110331138905E-2</c:v>
                </c:pt>
                <c:pt idx="648">
                  <c:v>2.8738510077173044E-2</c:v>
                </c:pt>
                <c:pt idx="649">
                  <c:v>2.8632206812255086E-2</c:v>
                </c:pt>
                <c:pt idx="650">
                  <c:v>2.7996056498723099E-2</c:v>
                </c:pt>
                <c:pt idx="651">
                  <c:v>2.5342074320556924E-2</c:v>
                </c:pt>
                <c:pt idx="652">
                  <c:v>2.5509317692667573E-2</c:v>
                </c:pt>
                <c:pt idx="653">
                  <c:v>2.7834617304943625E-2</c:v>
                </c:pt>
                <c:pt idx="654">
                  <c:v>2.7705807658527631E-2</c:v>
                </c:pt>
                <c:pt idx="655">
                  <c:v>2.9483408559510909E-2</c:v>
                </c:pt>
                <c:pt idx="656">
                  <c:v>2.8543456301509586E-2</c:v>
                </c:pt>
                <c:pt idx="657">
                  <c:v>2.7015489501818896E-2</c:v>
                </c:pt>
                <c:pt idx="658">
                  <c:v>2.675975670571961E-2</c:v>
                </c:pt>
                <c:pt idx="659">
                  <c:v>2.6608995030151881E-2</c:v>
                </c:pt>
                <c:pt idx="660">
                  <c:v>2.7177222728907279E-2</c:v>
                </c:pt>
                <c:pt idx="661">
                  <c:v>2.7520716621998585E-2</c:v>
                </c:pt>
                <c:pt idx="662">
                  <c:v>2.637616897576579E-2</c:v>
                </c:pt>
                <c:pt idx="663">
                  <c:v>2.6287688312754031E-2</c:v>
                </c:pt>
                <c:pt idx="664">
                  <c:v>2.7345877035255779E-2</c:v>
                </c:pt>
                <c:pt idx="665">
                  <c:v>2.7870419017931105E-2</c:v>
                </c:pt>
                <c:pt idx="666">
                  <c:v>3.0970102290398406E-2</c:v>
                </c:pt>
                <c:pt idx="667">
                  <c:v>3.1221933117245144E-2</c:v>
                </c:pt>
                <c:pt idx="668">
                  <c:v>3.123313595162254E-2</c:v>
                </c:pt>
                <c:pt idx="669">
                  <c:v>3.0497037702844742E-2</c:v>
                </c:pt>
                <c:pt idx="670">
                  <c:v>3.1625572013177304E-2</c:v>
                </c:pt>
                <c:pt idx="671">
                  <c:v>3.9093626686572097E-2</c:v>
                </c:pt>
                <c:pt idx="672">
                  <c:v>3.9144506725113784E-2</c:v>
                </c:pt>
                <c:pt idx="673">
                  <c:v>3.9043131266999487E-2</c:v>
                </c:pt>
                <c:pt idx="674">
                  <c:v>3.7107232987554604E-2</c:v>
                </c:pt>
                <c:pt idx="675">
                  <c:v>3.7547560265852944E-2</c:v>
                </c:pt>
                <c:pt idx="676">
                  <c:v>3.6159923647103666E-2</c:v>
                </c:pt>
                <c:pt idx="677">
                  <c:v>3.7099834441963617E-2</c:v>
                </c:pt>
                <c:pt idx="678" formatCode="General">
                  <c:v>3.6804469875599141E-2</c:v>
                </c:pt>
                <c:pt idx="679" formatCode="General">
                  <c:v>3.7178284491931064E-2</c:v>
                </c:pt>
                <c:pt idx="680" formatCode="General">
                  <c:v>3.7404294726860257E-2</c:v>
                </c:pt>
                <c:pt idx="681" formatCode="General">
                  <c:v>3.8009724397371304E-2</c:v>
                </c:pt>
                <c:pt idx="682" formatCode="General">
                  <c:v>3.7770505531580727E-2</c:v>
                </c:pt>
                <c:pt idx="683" formatCode="General">
                  <c:v>3.7501618823220131E-2</c:v>
                </c:pt>
                <c:pt idx="684" formatCode="General">
                  <c:v>3.8335464597841595E-2</c:v>
                </c:pt>
                <c:pt idx="685" formatCode="General">
                  <c:v>3.9418629095770125E-2</c:v>
                </c:pt>
                <c:pt idx="686" formatCode="General">
                  <c:v>3.9529638212853289E-2</c:v>
                </c:pt>
                <c:pt idx="687" formatCode="General">
                  <c:v>3.8517190391056381E-2</c:v>
                </c:pt>
                <c:pt idx="688" formatCode="General">
                  <c:v>3.9578408303042913E-2</c:v>
                </c:pt>
                <c:pt idx="689" formatCode="General">
                  <c:v>3.9465744720562905E-2</c:v>
                </c:pt>
                <c:pt idx="690" formatCode="General">
                  <c:v>4.0623875246844868E-2</c:v>
                </c:pt>
                <c:pt idx="691" formatCode="General">
                  <c:v>4.0051834693620482E-2</c:v>
                </c:pt>
                <c:pt idx="692" formatCode="General">
                  <c:v>3.2189827784124742E-2</c:v>
                </c:pt>
                <c:pt idx="693" formatCode="General">
                  <c:v>3.2693547101758619E-2</c:v>
                </c:pt>
                <c:pt idx="694" formatCode="General">
                  <c:v>3.4395358062534312E-2</c:v>
                </c:pt>
                <c:pt idx="695" formatCode="General">
                  <c:v>3.4320359980935855E-2</c:v>
                </c:pt>
                <c:pt idx="696" formatCode="General">
                  <c:v>3.4833983685450917E-2</c:v>
                </c:pt>
                <c:pt idx="697" formatCode="General">
                  <c:v>3.5911881672139698E-2</c:v>
                </c:pt>
                <c:pt idx="698" formatCode="General">
                  <c:v>3.6702815850862332E-2</c:v>
                </c:pt>
                <c:pt idx="699" formatCode="General">
                  <c:v>3.8155152413539062E-2</c:v>
                </c:pt>
                <c:pt idx="700" formatCode="General">
                  <c:v>3.8252212672874902E-2</c:v>
                </c:pt>
                <c:pt idx="701" formatCode="General">
                  <c:v>3.7856148099946016E-2</c:v>
                </c:pt>
                <c:pt idx="702" formatCode="General">
                  <c:v>3.6595516286322009E-2</c:v>
                </c:pt>
                <c:pt idx="703" formatCode="General">
                  <c:v>3.6561986683172482E-2</c:v>
                </c:pt>
                <c:pt idx="704" formatCode="General">
                  <c:v>3.6568906729268977E-2</c:v>
                </c:pt>
                <c:pt idx="705" formatCode="General">
                  <c:v>3.713561165982298E-2</c:v>
                </c:pt>
                <c:pt idx="706" formatCode="General">
                  <c:v>3.5762436376213819E-2</c:v>
                </c:pt>
                <c:pt idx="707" formatCode="General">
                  <c:v>3.5332767584917824E-2</c:v>
                </c:pt>
                <c:pt idx="708" formatCode="General">
                  <c:v>3.5713225925210854E-2</c:v>
                </c:pt>
                <c:pt idx="709" formatCode="General">
                  <c:v>3.569910625395778E-2</c:v>
                </c:pt>
                <c:pt idx="710" formatCode="General">
                  <c:v>3.5872829691977692E-2</c:v>
                </c:pt>
                <c:pt idx="711" formatCode="General">
                  <c:v>3.4201899059574305E-2</c:v>
                </c:pt>
                <c:pt idx="712" formatCode="General">
                  <c:v>3.5426818003433953E-2</c:v>
                </c:pt>
                <c:pt idx="713" formatCode="General">
                  <c:v>3.5638793316058313E-2</c:v>
                </c:pt>
                <c:pt idx="714" formatCode="General">
                  <c:v>3.459603226778471E-2</c:v>
                </c:pt>
                <c:pt idx="715" formatCode="General">
                  <c:v>3.3517889416319183E-2</c:v>
                </c:pt>
                <c:pt idx="716" formatCode="General">
                  <c:v>3.3494096917487511E-2</c:v>
                </c:pt>
                <c:pt idx="717" formatCode="General">
                  <c:v>3.3631889286452797E-2</c:v>
                </c:pt>
                <c:pt idx="718" formatCode="General">
                  <c:v>3.3136445343948467E-2</c:v>
                </c:pt>
                <c:pt idx="719" formatCode="General">
                  <c:v>3.1992124148519312E-2</c:v>
                </c:pt>
                <c:pt idx="720" formatCode="General">
                  <c:v>3.0506965387660723E-2</c:v>
                </c:pt>
                <c:pt idx="721" formatCode="General">
                  <c:v>3.041055865220877E-2</c:v>
                </c:pt>
                <c:pt idx="722" formatCode="General">
                  <c:v>3.1166488744991162E-2</c:v>
                </c:pt>
                <c:pt idx="723" formatCode="General">
                  <c:v>3.2057836515676147E-2</c:v>
                </c:pt>
                <c:pt idx="724" formatCode="General">
                  <c:v>3.2127231817583146E-2</c:v>
                </c:pt>
                <c:pt idx="725" formatCode="General">
                  <c:v>3.1858684653323942E-2</c:v>
                </c:pt>
                <c:pt idx="726" formatCode="General">
                  <c:v>3.0981335572059121E-2</c:v>
                </c:pt>
                <c:pt idx="727" formatCode="General">
                  <c:v>2.9703366388679663E-2</c:v>
                </c:pt>
                <c:pt idx="728" formatCode="General">
                  <c:v>2.9578853268216493E-2</c:v>
                </c:pt>
                <c:pt idx="729" formatCode="General">
                  <c:v>2.9128030948933188E-2</c:v>
                </c:pt>
                <c:pt idx="730" formatCode="General">
                  <c:v>2.7020257489020313E-2</c:v>
                </c:pt>
                <c:pt idx="731" formatCode="General">
                  <c:v>2.6439607469959624E-2</c:v>
                </c:pt>
                <c:pt idx="732" formatCode="General">
                  <c:v>2.9129851596615738E-2</c:v>
                </c:pt>
                <c:pt idx="733" formatCode="General">
                  <c:v>2.8445627595483029E-2</c:v>
                </c:pt>
                <c:pt idx="734" formatCode="General">
                  <c:v>2.850526452742197E-2</c:v>
                </c:pt>
                <c:pt idx="735" formatCode="General">
                  <c:v>2.9142503683021893E-2</c:v>
                </c:pt>
                <c:pt idx="736" formatCode="General">
                  <c:v>2.9004395702897031E-2</c:v>
                </c:pt>
                <c:pt idx="737" formatCode="General">
                  <c:v>2.8980667715692819E-2</c:v>
                </c:pt>
                <c:pt idx="738" formatCode="General">
                  <c:v>2.8027797954708389E-2</c:v>
                </c:pt>
                <c:pt idx="739" formatCode="General">
                  <c:v>2.8551067666288444E-2</c:v>
                </c:pt>
                <c:pt idx="740" formatCode="General">
                  <c:v>2.8296024308249981E-2</c:v>
                </c:pt>
                <c:pt idx="741" formatCode="General">
                  <c:v>2.8244432303103344E-2</c:v>
                </c:pt>
                <c:pt idx="742" formatCode="General">
                  <c:v>2.7695142302104347E-2</c:v>
                </c:pt>
                <c:pt idx="743" formatCode="General">
                  <c:v>2.7587320045269446E-2</c:v>
                </c:pt>
                <c:pt idx="744" formatCode="General">
                  <c:v>2.6937303968896043E-2</c:v>
                </c:pt>
                <c:pt idx="745" formatCode="General">
                  <c:v>2.6827589580654138E-2</c:v>
                </c:pt>
                <c:pt idx="746" formatCode="General">
                  <c:v>2.7171945023412181E-2</c:v>
                </c:pt>
                <c:pt idx="747" formatCode="General">
                  <c:v>2.6618455500299565E-2</c:v>
                </c:pt>
                <c:pt idx="748" formatCode="General">
                  <c:v>2.6501492745858609E-2</c:v>
                </c:pt>
                <c:pt idx="749" formatCode="General">
                  <c:v>2.6515795956311681E-2</c:v>
                </c:pt>
                <c:pt idx="750" formatCode="General">
                  <c:v>2.5748303955376545E-2</c:v>
                </c:pt>
                <c:pt idx="751" formatCode="General">
                  <c:v>2.6151360786546094E-2</c:v>
                </c:pt>
                <c:pt idx="752" formatCode="General">
                  <c:v>2.6758112753855982E-2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75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pt idx="691">
                  <c:v>44868</c:v>
                </c:pt>
                <c:pt idx="692">
                  <c:v>44869</c:v>
                </c:pt>
                <c:pt idx="693">
                  <c:v>44872</c:v>
                </c:pt>
                <c:pt idx="694">
                  <c:v>44873</c:v>
                </c:pt>
                <c:pt idx="695">
                  <c:v>44874</c:v>
                </c:pt>
                <c:pt idx="696">
                  <c:v>44875</c:v>
                </c:pt>
                <c:pt idx="697">
                  <c:v>44879</c:v>
                </c:pt>
                <c:pt idx="698">
                  <c:v>44881</c:v>
                </c:pt>
                <c:pt idx="699">
                  <c:v>44882</c:v>
                </c:pt>
                <c:pt idx="700">
                  <c:v>44883</c:v>
                </c:pt>
                <c:pt idx="701">
                  <c:v>44886</c:v>
                </c:pt>
                <c:pt idx="702">
                  <c:v>44887</c:v>
                </c:pt>
                <c:pt idx="703">
                  <c:v>44888</c:v>
                </c:pt>
                <c:pt idx="704">
                  <c:v>44889</c:v>
                </c:pt>
                <c:pt idx="705">
                  <c:v>44890</c:v>
                </c:pt>
                <c:pt idx="706">
                  <c:v>44893</c:v>
                </c:pt>
                <c:pt idx="707">
                  <c:v>44894</c:v>
                </c:pt>
                <c:pt idx="708">
                  <c:v>44895</c:v>
                </c:pt>
                <c:pt idx="709">
                  <c:v>44896</c:v>
                </c:pt>
                <c:pt idx="710">
                  <c:v>44897</c:v>
                </c:pt>
                <c:pt idx="711">
                  <c:v>44900</c:v>
                </c:pt>
                <c:pt idx="712">
                  <c:v>44901</c:v>
                </c:pt>
                <c:pt idx="713">
                  <c:v>44902</c:v>
                </c:pt>
                <c:pt idx="714">
                  <c:v>44903</c:v>
                </c:pt>
                <c:pt idx="715">
                  <c:v>44904</c:v>
                </c:pt>
                <c:pt idx="716">
                  <c:v>44907</c:v>
                </c:pt>
                <c:pt idx="717">
                  <c:v>44908</c:v>
                </c:pt>
                <c:pt idx="718">
                  <c:v>44909</c:v>
                </c:pt>
                <c:pt idx="719">
                  <c:v>44910</c:v>
                </c:pt>
                <c:pt idx="720">
                  <c:v>44911</c:v>
                </c:pt>
                <c:pt idx="721">
                  <c:v>44914</c:v>
                </c:pt>
                <c:pt idx="722">
                  <c:v>44915</c:v>
                </c:pt>
                <c:pt idx="723">
                  <c:v>44916</c:v>
                </c:pt>
                <c:pt idx="724">
                  <c:v>44917</c:v>
                </c:pt>
                <c:pt idx="725">
                  <c:v>44918</c:v>
                </c:pt>
                <c:pt idx="726">
                  <c:v>44921</c:v>
                </c:pt>
                <c:pt idx="727">
                  <c:v>44922</c:v>
                </c:pt>
                <c:pt idx="728">
                  <c:v>44923</c:v>
                </c:pt>
                <c:pt idx="729">
                  <c:v>44924</c:v>
                </c:pt>
                <c:pt idx="730">
                  <c:v>44925</c:v>
                </c:pt>
                <c:pt idx="731">
                  <c:v>44928</c:v>
                </c:pt>
                <c:pt idx="732">
                  <c:v>44929</c:v>
                </c:pt>
                <c:pt idx="733">
                  <c:v>44930</c:v>
                </c:pt>
                <c:pt idx="734">
                  <c:v>44931</c:v>
                </c:pt>
                <c:pt idx="735">
                  <c:v>44932</c:v>
                </c:pt>
                <c:pt idx="736">
                  <c:v>44935</c:v>
                </c:pt>
                <c:pt idx="737">
                  <c:v>44936</c:v>
                </c:pt>
                <c:pt idx="738">
                  <c:v>44937</c:v>
                </c:pt>
                <c:pt idx="739">
                  <c:v>44938</c:v>
                </c:pt>
                <c:pt idx="740">
                  <c:v>44939</c:v>
                </c:pt>
                <c:pt idx="741">
                  <c:v>44942</c:v>
                </c:pt>
                <c:pt idx="742">
                  <c:v>44943</c:v>
                </c:pt>
                <c:pt idx="743">
                  <c:v>44944</c:v>
                </c:pt>
                <c:pt idx="744">
                  <c:v>44945</c:v>
                </c:pt>
                <c:pt idx="745">
                  <c:v>44946</c:v>
                </c:pt>
                <c:pt idx="746">
                  <c:v>44949</c:v>
                </c:pt>
                <c:pt idx="747">
                  <c:v>44950</c:v>
                </c:pt>
                <c:pt idx="748">
                  <c:v>44951</c:v>
                </c:pt>
                <c:pt idx="749">
                  <c:v>44952</c:v>
                </c:pt>
                <c:pt idx="750">
                  <c:v>44953</c:v>
                </c:pt>
                <c:pt idx="751">
                  <c:v>44956</c:v>
                </c:pt>
                <c:pt idx="752">
                  <c:v>44957</c:v>
                </c:pt>
              </c:numCache>
            </c:numRef>
          </c:cat>
          <c:val>
            <c:numRef>
              <c:f>[0]!vol_bechmark</c:f>
              <c:numCache>
                <c:formatCode>0.00%</c:formatCode>
                <c:ptCount val="753"/>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pt idx="683" formatCode="General">
                  <c:v>0</c:v>
                </c:pt>
                <c:pt idx="684" formatCode="General">
                  <c:v>0</c:v>
                </c:pt>
                <c:pt idx="685" formatCode="General">
                  <c:v>0</c:v>
                </c:pt>
                <c:pt idx="686" formatCode="General">
                  <c:v>0</c:v>
                </c:pt>
                <c:pt idx="687" formatCode="General">
                  <c:v>0</c:v>
                </c:pt>
                <c:pt idx="688" formatCode="General">
                  <c:v>0</c:v>
                </c:pt>
                <c:pt idx="689" formatCode="General">
                  <c:v>0</c:v>
                </c:pt>
                <c:pt idx="690" formatCode="General">
                  <c:v>0</c:v>
                </c:pt>
                <c:pt idx="691" formatCode="General">
                  <c:v>0</c:v>
                </c:pt>
                <c:pt idx="692" formatCode="General">
                  <c:v>0</c:v>
                </c:pt>
                <c:pt idx="693" formatCode="General">
                  <c:v>0</c:v>
                </c:pt>
                <c:pt idx="694" formatCode="General">
                  <c:v>0</c:v>
                </c:pt>
                <c:pt idx="695" formatCode="General">
                  <c:v>0</c:v>
                </c:pt>
                <c:pt idx="696" formatCode="General">
                  <c:v>0</c:v>
                </c:pt>
                <c:pt idx="697" formatCode="General">
                  <c:v>0</c:v>
                </c:pt>
                <c:pt idx="698" formatCode="General">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[0]!drawdown_portfolio</c:f>
              <c:numCache>
                <c:formatCode>0.00%</c:formatCode>
                <c:ptCount val="774"/>
                <c:pt idx="0">
                  <c:v>0</c:v>
                </c:pt>
                <c:pt idx="1">
                  <c:v>-1.0761505771735846E-3</c:v>
                </c:pt>
                <c:pt idx="2">
                  <c:v>-2.2551268115994505E-3</c:v>
                </c:pt>
                <c:pt idx="3">
                  <c:v>-2.0382347326876049E-3</c:v>
                </c:pt>
                <c:pt idx="4">
                  <c:v>-2.5189449928453289E-3</c:v>
                </c:pt>
                <c:pt idx="5">
                  <c:v>-1.7831250175341928E-3</c:v>
                </c:pt>
                <c:pt idx="6">
                  <c:v>-1.7188233119308505E-3</c:v>
                </c:pt>
                <c:pt idx="7">
                  <c:v>0</c:v>
                </c:pt>
                <c:pt idx="8">
                  <c:v>0</c:v>
                </c:pt>
                <c:pt idx="9">
                  <c:v>-8.4802396531047375E-4</c:v>
                </c:pt>
                <c:pt idx="10">
                  <c:v>-2.131080885636738E-4</c:v>
                </c:pt>
                <c:pt idx="11">
                  <c:v>0</c:v>
                </c:pt>
                <c:pt idx="12">
                  <c:v>0</c:v>
                </c:pt>
                <c:pt idx="13">
                  <c:v>-2.8875369768232018E-3</c:v>
                </c:pt>
                <c:pt idx="14">
                  <c:v>-7.3255814795858409E-4</c:v>
                </c:pt>
                <c:pt idx="15">
                  <c:v>0</c:v>
                </c:pt>
                <c:pt idx="16">
                  <c:v>-2.0405304825259485E-3</c:v>
                </c:pt>
                <c:pt idx="17">
                  <c:v>-8.0147164881797517E-3</c:v>
                </c:pt>
                <c:pt idx="18">
                  <c:v>-4.3062415984622682E-3</c:v>
                </c:pt>
                <c:pt idx="19">
                  <c:v>-5.1646067938638796E-3</c:v>
                </c:pt>
                <c:pt idx="20">
                  <c:v>-5.7341962143471203E-3</c:v>
                </c:pt>
                <c:pt idx="21">
                  <c:v>-7.8213317730042586E-3</c:v>
                </c:pt>
                <c:pt idx="22">
                  <c:v>-6.4509197461435352E-3</c:v>
                </c:pt>
                <c:pt idx="23">
                  <c:v>-4.0640200005875871E-3</c:v>
                </c:pt>
                <c:pt idx="24">
                  <c:v>-1.6813842407247259E-3</c:v>
                </c:pt>
                <c:pt idx="25">
                  <c:v>-2.239140964366948E-3</c:v>
                </c:pt>
                <c:pt idx="26">
                  <c:v>-4.4620347673259841E-3</c:v>
                </c:pt>
                <c:pt idx="27">
                  <c:v>-6.728569959694064E-3</c:v>
                </c:pt>
                <c:pt idx="28">
                  <c:v>-1.8068530143868777E-3</c:v>
                </c:pt>
                <c:pt idx="29">
                  <c:v>0</c:v>
                </c:pt>
                <c:pt idx="30">
                  <c:v>-8.5350000117923042E-4</c:v>
                </c:pt>
                <c:pt idx="31">
                  <c:v>-2.1598327232111858E-3</c:v>
                </c:pt>
                <c:pt idx="32">
                  <c:v>-2.856538832555211E-4</c:v>
                </c:pt>
                <c:pt idx="33">
                  <c:v>-6.155406726232604E-4</c:v>
                </c:pt>
                <c:pt idx="34">
                  <c:v>0</c:v>
                </c:pt>
                <c:pt idx="35">
                  <c:v>-2.5129026782778618E-3</c:v>
                </c:pt>
                <c:pt idx="36">
                  <c:v>-4.0758411227224123E-3</c:v>
                </c:pt>
                <c:pt idx="37">
                  <c:v>-1.7313294939814594E-2</c:v>
                </c:pt>
                <c:pt idx="38">
                  <c:v>-2.1828501026424862E-2</c:v>
                </c:pt>
                <c:pt idx="39">
                  <c:v>-2.0386963739383424E-2</c:v>
                </c:pt>
                <c:pt idx="40">
                  <c:v>-1.411443719960026E-2</c:v>
                </c:pt>
                <c:pt idx="41">
                  <c:v>-1.4562586912294395E-2</c:v>
                </c:pt>
                <c:pt idx="42">
                  <c:v>-9.5612624502240395E-3</c:v>
                </c:pt>
                <c:pt idx="43">
                  <c:v>-1.808899440855305E-2</c:v>
                </c:pt>
                <c:pt idx="44">
                  <c:v>-2.598488491111961E-2</c:v>
                </c:pt>
                <c:pt idx="45">
                  <c:v>-4.6855568410189674E-2</c:v>
                </c:pt>
                <c:pt idx="46">
                  <c:v>-3.5336108452469484E-2</c:v>
                </c:pt>
                <c:pt idx="47">
                  <c:v>-4.9145758993088262E-2</c:v>
                </c:pt>
                <c:pt idx="48">
                  <c:v>-7.4322500367761557E-2</c:v>
                </c:pt>
                <c:pt idx="49">
                  <c:v>-5.269032195107981E-2</c:v>
                </c:pt>
                <c:pt idx="50">
                  <c:v>-7.2804032571239019E-2</c:v>
                </c:pt>
                <c:pt idx="51">
                  <c:v>-6.6623701252324752E-2</c:v>
                </c:pt>
                <c:pt idx="52">
                  <c:v>-8.5109875304399174E-2</c:v>
                </c:pt>
                <c:pt idx="53">
                  <c:v>-8.3872067485381452E-2</c:v>
                </c:pt>
                <c:pt idx="54">
                  <c:v>-8.5918151791391506E-2</c:v>
                </c:pt>
                <c:pt idx="55">
                  <c:v>-9.2943702770610703E-2</c:v>
                </c:pt>
                <c:pt idx="56">
                  <c:v>-7.8675840582643208E-2</c:v>
                </c:pt>
                <c:pt idx="57">
                  <c:v>-6.9164140404979646E-2</c:v>
                </c:pt>
                <c:pt idx="58">
                  <c:v>-6.1439208700416414E-2</c:v>
                </c:pt>
                <c:pt idx="59">
                  <c:v>-6.7024358481215573E-2</c:v>
                </c:pt>
                <c:pt idx="60">
                  <c:v>-6.3077371048931741E-2</c:v>
                </c:pt>
                <c:pt idx="61">
                  <c:v>-6.5891593648613078E-2</c:v>
                </c:pt>
                <c:pt idx="62">
                  <c:v>-7.056223579801002E-2</c:v>
                </c:pt>
                <c:pt idx="63">
                  <c:v>-6.852993201363522E-2</c:v>
                </c:pt>
                <c:pt idx="64">
                  <c:v>-7.2461317688283122E-2</c:v>
                </c:pt>
                <c:pt idx="65">
                  <c:v>-6.2560038261362139E-2</c:v>
                </c:pt>
                <c:pt idx="66">
                  <c:v>-5.8419361818132787E-2</c:v>
                </c:pt>
                <c:pt idx="67">
                  <c:v>-5.4851510325785058E-2</c:v>
                </c:pt>
                <c:pt idx="68">
                  <c:v>-5.486910043149229E-2</c:v>
                </c:pt>
                <c:pt idx="69">
                  <c:v>-5.2424788294177516E-2</c:v>
                </c:pt>
                <c:pt idx="70">
                  <c:v>-4.739088613719955E-2</c:v>
                </c:pt>
                <c:pt idx="71">
                  <c:v>-4.8403049362788608E-2</c:v>
                </c:pt>
                <c:pt idx="72">
                  <c:v>-4.8082480153833762E-2</c:v>
                </c:pt>
                <c:pt idx="73">
                  <c:v>-4.6009712366433142E-2</c:v>
                </c:pt>
                <c:pt idx="74">
                  <c:v>-4.4147507892851934E-2</c:v>
                </c:pt>
                <c:pt idx="75">
                  <c:v>-3.8159169077829902E-2</c:v>
                </c:pt>
                <c:pt idx="76">
                  <c:v>-3.9797446785878599E-2</c:v>
                </c:pt>
                <c:pt idx="77">
                  <c:v>-4.8263198766139492E-2</c:v>
                </c:pt>
                <c:pt idx="78">
                  <c:v>-4.3150388332474643E-2</c:v>
                </c:pt>
                <c:pt idx="79">
                  <c:v>-3.8033621186290945E-2</c:v>
                </c:pt>
                <c:pt idx="80">
                  <c:v>-3.5362481212465324E-2</c:v>
                </c:pt>
                <c:pt idx="81">
                  <c:v>-3.8797283536400107E-2</c:v>
                </c:pt>
                <c:pt idx="82">
                  <c:v>-4.1746957449715238E-2</c:v>
                </c:pt>
                <c:pt idx="83">
                  <c:v>-3.9947175982135374E-2</c:v>
                </c:pt>
                <c:pt idx="84">
                  <c:v>-3.913584400430814E-2</c:v>
                </c:pt>
                <c:pt idx="85">
                  <c:v>-3.8185524186806652E-2</c:v>
                </c:pt>
                <c:pt idx="86">
                  <c:v>-3.533938147634863E-2</c:v>
                </c:pt>
                <c:pt idx="87">
                  <c:v>-3.6250253921541353E-2</c:v>
                </c:pt>
                <c:pt idx="88">
                  <c:v>-3.8894559530455397E-2</c:v>
                </c:pt>
                <c:pt idx="89">
                  <c:v>-3.866711730997241E-2</c:v>
                </c:pt>
                <c:pt idx="90">
                  <c:v>-3.7227568232174879E-2</c:v>
                </c:pt>
                <c:pt idx="91">
                  <c:v>-3.9066580733687406E-2</c:v>
                </c:pt>
                <c:pt idx="92">
                  <c:v>-3.3574010349020522E-2</c:v>
                </c:pt>
                <c:pt idx="93">
                  <c:v>-3.2944550356078017E-2</c:v>
                </c:pt>
                <c:pt idx="94">
                  <c:v>-3.1665027573231752E-2</c:v>
                </c:pt>
                <c:pt idx="95">
                  <c:v>-2.9812631884891916E-2</c:v>
                </c:pt>
                <c:pt idx="96">
                  <c:v>-3.1340382860252314E-2</c:v>
                </c:pt>
                <c:pt idx="97">
                  <c:v>-2.531926328458145E-2</c:v>
                </c:pt>
                <c:pt idx="98">
                  <c:v>-2.5571354493457044E-2</c:v>
                </c:pt>
                <c:pt idx="99">
                  <c:v>-2.1434456764825027E-2</c:v>
                </c:pt>
                <c:pt idx="100">
                  <c:v>-2.2255353649715648E-2</c:v>
                </c:pt>
                <c:pt idx="101">
                  <c:v>-2.0743987934157104E-2</c:v>
                </c:pt>
                <c:pt idx="102">
                  <c:v>-1.7966755371672694E-2</c:v>
                </c:pt>
                <c:pt idx="103">
                  <c:v>-1.4634807839198904E-2</c:v>
                </c:pt>
                <c:pt idx="104">
                  <c:v>-1.0419369412640211E-2</c:v>
                </c:pt>
                <c:pt idx="105">
                  <c:v>-8.5736133757274846E-3</c:v>
                </c:pt>
                <c:pt idx="106">
                  <c:v>-6.8477507674640226E-3</c:v>
                </c:pt>
                <c:pt idx="107">
                  <c:v>-2.0824744325723676E-3</c:v>
                </c:pt>
                <c:pt idx="108">
                  <c:v>-3.3055935150706484E-3</c:v>
                </c:pt>
                <c:pt idx="109">
                  <c:v>-5.6709288870934182E-3</c:v>
                </c:pt>
                <c:pt idx="110">
                  <c:v>-9.2345589760025604E-3</c:v>
                </c:pt>
                <c:pt idx="111">
                  <c:v>-9.0582065157115421E-3</c:v>
                </c:pt>
                <c:pt idx="112">
                  <c:v>-6.2012703055649432E-3</c:v>
                </c:pt>
                <c:pt idx="113">
                  <c:v>-2.2530753691205607E-3</c:v>
                </c:pt>
                <c:pt idx="114">
                  <c:v>-1.6366851496263379E-4</c:v>
                </c:pt>
                <c:pt idx="115">
                  <c:v>0</c:v>
                </c:pt>
                <c:pt idx="116">
                  <c:v>-1.0503757109153744E-3</c:v>
                </c:pt>
                <c:pt idx="117">
                  <c:v>0</c:v>
                </c:pt>
                <c:pt idx="118">
                  <c:v>-2.5649285796867094E-3</c:v>
                </c:pt>
                <c:pt idx="119">
                  <c:v>0</c:v>
                </c:pt>
                <c:pt idx="120">
                  <c:v>-3.6529991878319068E-3</c:v>
                </c:pt>
                <c:pt idx="121">
                  <c:v>-3.3024376706847214E-4</c:v>
                </c:pt>
                <c:pt idx="122">
                  <c:v>0</c:v>
                </c:pt>
                <c:pt idx="123">
                  <c:v>0</c:v>
                </c:pt>
                <c:pt idx="124">
                  <c:v>0</c:v>
                </c:pt>
                <c:pt idx="125">
                  <c:v>0</c:v>
                </c:pt>
                <c:pt idx="126">
                  <c:v>0</c:v>
                </c:pt>
                <c:pt idx="127">
                  <c:v>-1.9538319436663842E-3</c:v>
                </c:pt>
                <c:pt idx="128">
                  <c:v>0</c:v>
                </c:pt>
                <c:pt idx="129">
                  <c:v>0</c:v>
                </c:pt>
                <c:pt idx="130">
                  <c:v>0</c:v>
                </c:pt>
                <c:pt idx="131">
                  <c:v>-2.0867987026611523E-3</c:v>
                </c:pt>
                <c:pt idx="132">
                  <c:v>0</c:v>
                </c:pt>
                <c:pt idx="133">
                  <c:v>0</c:v>
                </c:pt>
                <c:pt idx="134">
                  <c:v>-2.7894594162659603E-3</c:v>
                </c:pt>
                <c:pt idx="135">
                  <c:v>0</c:v>
                </c:pt>
                <c:pt idx="136">
                  <c:v>0</c:v>
                </c:pt>
                <c:pt idx="137">
                  <c:v>-6.0167187330062433E-4</c:v>
                </c:pt>
                <c:pt idx="138">
                  <c:v>-4.1006365969731284E-4</c:v>
                </c:pt>
                <c:pt idx="139">
                  <c:v>-3.560439508698332E-3</c:v>
                </c:pt>
                <c:pt idx="140">
                  <c:v>-4.1352128305097713E-3</c:v>
                </c:pt>
                <c:pt idx="141">
                  <c:v>-5.5510594242436095E-4</c:v>
                </c:pt>
                <c:pt idx="142">
                  <c:v>-8.0666469077206315E-4</c:v>
                </c:pt>
                <c:pt idx="143">
                  <c:v>0</c:v>
                </c:pt>
                <c:pt idx="144">
                  <c:v>-1.775942128966479E-4</c:v>
                </c:pt>
                <c:pt idx="145">
                  <c:v>-2.0798478391992337E-3</c:v>
                </c:pt>
                <c:pt idx="146">
                  <c:v>-8.1484572337398031E-4</c:v>
                </c:pt>
                <c:pt idx="147">
                  <c:v>-2.3622532535482188E-3</c:v>
                </c:pt>
                <c:pt idx="148">
                  <c:v>0</c:v>
                </c:pt>
                <c:pt idx="149">
                  <c:v>0</c:v>
                </c:pt>
                <c:pt idx="150">
                  <c:v>-2.1318994597441243E-3</c:v>
                </c:pt>
                <c:pt idx="151">
                  <c:v>-1.6196530750877125E-3</c:v>
                </c:pt>
                <c:pt idx="152">
                  <c:v>-4.441988075420622E-3</c:v>
                </c:pt>
                <c:pt idx="153">
                  <c:v>-3.8238377872413798E-3</c:v>
                </c:pt>
                <c:pt idx="154">
                  <c:v>-5.6412231435808424E-3</c:v>
                </c:pt>
                <c:pt idx="155">
                  <c:v>-3.9188112839138034E-3</c:v>
                </c:pt>
                <c:pt idx="156">
                  <c:v>-5.528532998635316E-3</c:v>
                </c:pt>
                <c:pt idx="157">
                  <c:v>-4.7337915313316881E-4</c:v>
                </c:pt>
                <c:pt idx="158">
                  <c:v>-2.8961524205919353E-3</c:v>
                </c:pt>
                <c:pt idx="159">
                  <c:v>-2.0389337356623294E-3</c:v>
                </c:pt>
                <c:pt idx="160">
                  <c:v>-1.2668915335452002E-3</c:v>
                </c:pt>
                <c:pt idx="161">
                  <c:v>0</c:v>
                </c:pt>
                <c:pt idx="162">
                  <c:v>0</c:v>
                </c:pt>
                <c:pt idx="163">
                  <c:v>-8.0011207215113789E-4</c:v>
                </c:pt>
                <c:pt idx="164">
                  <c:v>-1.1045231283254298E-3</c:v>
                </c:pt>
                <c:pt idx="165">
                  <c:v>0</c:v>
                </c:pt>
                <c:pt idx="166">
                  <c:v>-3.34126498269538E-3</c:v>
                </c:pt>
                <c:pt idx="167">
                  <c:v>0</c:v>
                </c:pt>
                <c:pt idx="168">
                  <c:v>0</c:v>
                </c:pt>
                <c:pt idx="169">
                  <c:v>-4.4317511338799465E-3</c:v>
                </c:pt>
                <c:pt idx="170">
                  <c:v>-3.8523538866878093E-3</c:v>
                </c:pt>
                <c:pt idx="171">
                  <c:v>-7.4434625022523626E-3</c:v>
                </c:pt>
                <c:pt idx="172">
                  <c:v>-4.7049973501634978E-3</c:v>
                </c:pt>
                <c:pt idx="173">
                  <c:v>-9.0066009340973308E-3</c:v>
                </c:pt>
                <c:pt idx="174">
                  <c:v>-8.8831559576227903E-3</c:v>
                </c:pt>
                <c:pt idx="175">
                  <c:v>-4.9548886440253792E-3</c:v>
                </c:pt>
                <c:pt idx="176">
                  <c:v>-4.4205523180154138E-3</c:v>
                </c:pt>
                <c:pt idx="177">
                  <c:v>-5.7389539576422344E-3</c:v>
                </c:pt>
                <c:pt idx="178">
                  <c:v>-5.5915794758885085E-3</c:v>
                </c:pt>
                <c:pt idx="179">
                  <c:v>-8.6511032815573818E-3</c:v>
                </c:pt>
                <c:pt idx="180">
                  <c:v>-1.2273524440276518E-2</c:v>
                </c:pt>
                <c:pt idx="181">
                  <c:v>-1.0641001141926232E-2</c:v>
                </c:pt>
                <c:pt idx="182">
                  <c:v>-1.3630877486202175E-2</c:v>
                </c:pt>
                <c:pt idx="183">
                  <c:v>-1.2162675973005688E-2</c:v>
                </c:pt>
                <c:pt idx="184">
                  <c:v>-1.1437088897658265E-2</c:v>
                </c:pt>
                <c:pt idx="185">
                  <c:v>-1.4429278649325528E-2</c:v>
                </c:pt>
                <c:pt idx="186">
                  <c:v>-1.5712020092402912E-2</c:v>
                </c:pt>
                <c:pt idx="187">
                  <c:v>-1.3594785462062942E-2</c:v>
                </c:pt>
                <c:pt idx="188">
                  <c:v>-1.1349207402987616E-2</c:v>
                </c:pt>
                <c:pt idx="189">
                  <c:v>-1.4249834276718665E-2</c:v>
                </c:pt>
                <c:pt idx="190">
                  <c:v>-1.1013848578465213E-2</c:v>
                </c:pt>
                <c:pt idx="191">
                  <c:v>-1.1752938195239371E-2</c:v>
                </c:pt>
                <c:pt idx="192">
                  <c:v>-1.0814145177873713E-2</c:v>
                </c:pt>
                <c:pt idx="193">
                  <c:v>-7.3503721824016433E-3</c:v>
                </c:pt>
                <c:pt idx="194">
                  <c:v>-6.324850451942754E-3</c:v>
                </c:pt>
                <c:pt idx="195">
                  <c:v>-3.8994341552732736E-3</c:v>
                </c:pt>
                <c:pt idx="196">
                  <c:v>-2.4910015104607774E-3</c:v>
                </c:pt>
                <c:pt idx="197">
                  <c:v>-3.0538769676484723E-3</c:v>
                </c:pt>
                <c:pt idx="198">
                  <c:v>-3.1094566720382133E-3</c:v>
                </c:pt>
                <c:pt idx="199">
                  <c:v>-3.4796023729349868E-3</c:v>
                </c:pt>
                <c:pt idx="200">
                  <c:v>0</c:v>
                </c:pt>
                <c:pt idx="201">
                  <c:v>0</c:v>
                </c:pt>
                <c:pt idx="202">
                  <c:v>0</c:v>
                </c:pt>
                <c:pt idx="203">
                  <c:v>-2.8235157757117157E-4</c:v>
                </c:pt>
                <c:pt idx="204">
                  <c:v>-1.8925939548245507E-3</c:v>
                </c:pt>
                <c:pt idx="205">
                  <c:v>-3.4005730468954498E-3</c:v>
                </c:pt>
                <c:pt idx="206">
                  <c:v>-1.0663040964272175E-2</c:v>
                </c:pt>
                <c:pt idx="207">
                  <c:v>-7.644820879554648E-3</c:v>
                </c:pt>
                <c:pt idx="208">
                  <c:v>-1.2116050983607574E-2</c:v>
                </c:pt>
                <c:pt idx="209">
                  <c:v>-7.8384530124554486E-3</c:v>
                </c:pt>
                <c:pt idx="210">
                  <c:v>-3.8637607566058829E-3</c:v>
                </c:pt>
                <c:pt idx="211">
                  <c:v>0</c:v>
                </c:pt>
                <c:pt idx="212">
                  <c:v>0</c:v>
                </c:pt>
                <c:pt idx="213">
                  <c:v>0</c:v>
                </c:pt>
                <c:pt idx="214">
                  <c:v>0</c:v>
                </c:pt>
                <c:pt idx="215">
                  <c:v>-8.4152453948993511E-5</c:v>
                </c:pt>
                <c:pt idx="216">
                  <c:v>-4.3483485135709099E-3</c:v>
                </c:pt>
                <c:pt idx="217">
                  <c:v>-2.5982713743655239E-4</c:v>
                </c:pt>
                <c:pt idx="218">
                  <c:v>0</c:v>
                </c:pt>
                <c:pt idx="219">
                  <c:v>0</c:v>
                </c:pt>
                <c:pt idx="220">
                  <c:v>-2.0057820295017459E-3</c:v>
                </c:pt>
                <c:pt idx="221">
                  <c:v>-1.0155510164313597E-3</c:v>
                </c:pt>
                <c:pt idx="222">
                  <c:v>-1.3455936736083141E-3</c:v>
                </c:pt>
                <c:pt idx="223">
                  <c:v>0</c:v>
                </c:pt>
                <c:pt idx="224">
                  <c:v>0</c:v>
                </c:pt>
                <c:pt idx="225">
                  <c:v>0</c:v>
                </c:pt>
                <c:pt idx="226">
                  <c:v>0</c:v>
                </c:pt>
                <c:pt idx="227">
                  <c:v>0</c:v>
                </c:pt>
                <c:pt idx="228">
                  <c:v>-2.3888032235107604E-3</c:v>
                </c:pt>
                <c:pt idx="229">
                  <c:v>0</c:v>
                </c:pt>
                <c:pt idx="230">
                  <c:v>0</c:v>
                </c:pt>
                <c:pt idx="231">
                  <c:v>0</c:v>
                </c:pt>
                <c:pt idx="232">
                  <c:v>0</c:v>
                </c:pt>
                <c:pt idx="233">
                  <c:v>-6.8388743031544408E-4</c:v>
                </c:pt>
                <c:pt idx="234">
                  <c:v>0</c:v>
                </c:pt>
                <c:pt idx="235">
                  <c:v>-1.2797526708120399E-3</c:v>
                </c:pt>
                <c:pt idx="236">
                  <c:v>0</c:v>
                </c:pt>
                <c:pt idx="237">
                  <c:v>0</c:v>
                </c:pt>
                <c:pt idx="238">
                  <c:v>-4.1608342654164687E-4</c:v>
                </c:pt>
                <c:pt idx="239">
                  <c:v>0</c:v>
                </c:pt>
                <c:pt idx="240">
                  <c:v>0</c:v>
                </c:pt>
                <c:pt idx="241">
                  <c:v>0</c:v>
                </c:pt>
                <c:pt idx="242">
                  <c:v>-1.4201378611611304E-4</c:v>
                </c:pt>
                <c:pt idx="243">
                  <c:v>-3.3947611920799314E-3</c:v>
                </c:pt>
                <c:pt idx="244">
                  <c:v>-2.7348883861937345E-3</c:v>
                </c:pt>
                <c:pt idx="245">
                  <c:v>0</c:v>
                </c:pt>
                <c:pt idx="246">
                  <c:v>0</c:v>
                </c:pt>
                <c:pt idx="247">
                  <c:v>0</c:v>
                </c:pt>
                <c:pt idx="248">
                  <c:v>0</c:v>
                </c:pt>
                <c:pt idx="249">
                  <c:v>0</c:v>
                </c:pt>
                <c:pt idx="250">
                  <c:v>0</c:v>
                </c:pt>
                <c:pt idx="251">
                  <c:v>0</c:v>
                </c:pt>
                <c:pt idx="252">
                  <c:v>0</c:v>
                </c:pt>
                <c:pt idx="253">
                  <c:v>-4.4919120921149691E-4</c:v>
                </c:pt>
                <c:pt idx="254">
                  <c:v>0</c:v>
                </c:pt>
                <c:pt idx="255">
                  <c:v>0</c:v>
                </c:pt>
                <c:pt idx="256">
                  <c:v>-2.4920521222518977E-3</c:v>
                </c:pt>
                <c:pt idx="257">
                  <c:v>-9.9998609827911533E-4</c:v>
                </c:pt>
                <c:pt idx="258">
                  <c:v>-3.4676841563265892E-3</c:v>
                </c:pt>
                <c:pt idx="259">
                  <c:v>-1.0843662790089859E-3</c:v>
                </c:pt>
                <c:pt idx="260">
                  <c:v>-4.7678699283998371E-3</c:v>
                </c:pt>
                <c:pt idx="261">
                  <c:v>-3.7128539978691366E-3</c:v>
                </c:pt>
                <c:pt idx="262">
                  <c:v>-3.2275375002681628E-3</c:v>
                </c:pt>
                <c:pt idx="263">
                  <c:v>-2.6532126842137016E-3</c:v>
                </c:pt>
                <c:pt idx="264">
                  <c:v>-3.5340414524072106E-3</c:v>
                </c:pt>
                <c:pt idx="265">
                  <c:v>-5.2282608540965558E-3</c:v>
                </c:pt>
                <c:pt idx="266">
                  <c:v>-5.0377612993226517E-3</c:v>
                </c:pt>
                <c:pt idx="267">
                  <c:v>-7.0673546180135549E-3</c:v>
                </c:pt>
                <c:pt idx="268">
                  <c:v>-1.0233305406656346E-2</c:v>
                </c:pt>
                <c:pt idx="269">
                  <c:v>-5.425055525560496E-3</c:v>
                </c:pt>
                <c:pt idx="270">
                  <c:v>-1.0698751609368062E-2</c:v>
                </c:pt>
                <c:pt idx="271">
                  <c:v>-4.8684528717217734E-3</c:v>
                </c:pt>
                <c:pt idx="272">
                  <c:v>-2.1137064818719242E-3</c:v>
                </c:pt>
                <c:pt idx="273">
                  <c:v>0</c:v>
                </c:pt>
                <c:pt idx="274">
                  <c:v>0</c:v>
                </c:pt>
                <c:pt idx="275">
                  <c:v>0</c:v>
                </c:pt>
                <c:pt idx="276">
                  <c:v>0</c:v>
                </c:pt>
                <c:pt idx="277">
                  <c:v>-3.0805158148039524E-4</c:v>
                </c:pt>
                <c:pt idx="278">
                  <c:v>-2.1437967453951101E-3</c:v>
                </c:pt>
                <c:pt idx="279">
                  <c:v>-2.5112109996305865E-4</c:v>
                </c:pt>
                <c:pt idx="280">
                  <c:v>0</c:v>
                </c:pt>
                <c:pt idx="281">
                  <c:v>0</c:v>
                </c:pt>
                <c:pt idx="282">
                  <c:v>-1.2297414534772066E-3</c:v>
                </c:pt>
                <c:pt idx="283">
                  <c:v>0</c:v>
                </c:pt>
                <c:pt idx="284">
                  <c:v>-6.4754115900742537E-3</c:v>
                </c:pt>
                <c:pt idx="285">
                  <c:v>-3.7202921681311896E-3</c:v>
                </c:pt>
                <c:pt idx="286">
                  <c:v>-1.8245462837630511E-3</c:v>
                </c:pt>
                <c:pt idx="287">
                  <c:v>-7.802092506428826E-3</c:v>
                </c:pt>
                <c:pt idx="288">
                  <c:v>-1.2106286928702303E-2</c:v>
                </c:pt>
                <c:pt idx="289">
                  <c:v>-8.6957659843567292E-3</c:v>
                </c:pt>
                <c:pt idx="290">
                  <c:v>-8.4750906858822583E-3</c:v>
                </c:pt>
                <c:pt idx="291">
                  <c:v>-9.5844867024951208E-3</c:v>
                </c:pt>
                <c:pt idx="292">
                  <c:v>-9.4439000114442395E-3</c:v>
                </c:pt>
                <c:pt idx="293">
                  <c:v>-4.6421307069886009E-3</c:v>
                </c:pt>
                <c:pt idx="294">
                  <c:v>-1.139355052889679E-2</c:v>
                </c:pt>
                <c:pt idx="295">
                  <c:v>-1.1272311778238731E-2</c:v>
                </c:pt>
                <c:pt idx="296">
                  <c:v>-1.0735812102723674E-2</c:v>
                </c:pt>
                <c:pt idx="297">
                  <c:v>-5.6391683451499919E-3</c:v>
                </c:pt>
                <c:pt idx="298">
                  <c:v>-6.2543171511449946E-3</c:v>
                </c:pt>
                <c:pt idx="299">
                  <c:v>-4.9828461538443669E-3</c:v>
                </c:pt>
                <c:pt idx="300">
                  <c:v>-5.0633676417703999E-3</c:v>
                </c:pt>
                <c:pt idx="301">
                  <c:v>-1.6418677527808567E-3</c:v>
                </c:pt>
                <c:pt idx="302">
                  <c:v>-6.1205944792595002E-3</c:v>
                </c:pt>
                <c:pt idx="303">
                  <c:v>-5.1466196144551724E-3</c:v>
                </c:pt>
                <c:pt idx="304">
                  <c:v>-5.9915337956536474E-3</c:v>
                </c:pt>
                <c:pt idx="305">
                  <c:v>-8.927739464439477E-3</c:v>
                </c:pt>
                <c:pt idx="306">
                  <c:v>-1.082239758565906E-2</c:v>
                </c:pt>
                <c:pt idx="307">
                  <c:v>-8.2868854935529423E-3</c:v>
                </c:pt>
                <c:pt idx="308">
                  <c:v>-5.1612108057241812E-3</c:v>
                </c:pt>
                <c:pt idx="309">
                  <c:v>-4.6059269504682421E-3</c:v>
                </c:pt>
                <c:pt idx="310">
                  <c:v>-2.1459506305261389E-3</c:v>
                </c:pt>
                <c:pt idx="311">
                  <c:v>-1.5394923377197722E-3</c:v>
                </c:pt>
                <c:pt idx="312">
                  <c:v>-1.4181690693118032E-3</c:v>
                </c:pt>
                <c:pt idx="313">
                  <c:v>0</c:v>
                </c:pt>
                <c:pt idx="314">
                  <c:v>0</c:v>
                </c:pt>
                <c:pt idx="315">
                  <c:v>0</c:v>
                </c:pt>
                <c:pt idx="316">
                  <c:v>0</c:v>
                </c:pt>
                <c:pt idx="317">
                  <c:v>0</c:v>
                </c:pt>
                <c:pt idx="318">
                  <c:v>0</c:v>
                </c:pt>
                <c:pt idx="319">
                  <c:v>-3.7486433666777952E-4</c:v>
                </c:pt>
                <c:pt idx="320">
                  <c:v>0</c:v>
                </c:pt>
                <c:pt idx="321">
                  <c:v>0</c:v>
                </c:pt>
                <c:pt idx="322">
                  <c:v>0</c:v>
                </c:pt>
                <c:pt idx="323">
                  <c:v>-1.5414694916504601E-5</c:v>
                </c:pt>
                <c:pt idx="324">
                  <c:v>-2.0267335368108208E-3</c:v>
                </c:pt>
                <c:pt idx="325">
                  <c:v>-2.6174285143353293E-3</c:v>
                </c:pt>
                <c:pt idx="326">
                  <c:v>0</c:v>
                </c:pt>
                <c:pt idx="327">
                  <c:v>0</c:v>
                </c:pt>
                <c:pt idx="328">
                  <c:v>-3.4561928663401353E-4</c:v>
                </c:pt>
                <c:pt idx="329">
                  <c:v>0</c:v>
                </c:pt>
                <c:pt idx="330">
                  <c:v>0</c:v>
                </c:pt>
                <c:pt idx="331">
                  <c:v>-9.7741726496713977E-4</c:v>
                </c:pt>
                <c:pt idx="332">
                  <c:v>-8.8534438989562592E-4</c:v>
                </c:pt>
                <c:pt idx="333">
                  <c:v>-2.293536301457344E-3</c:v>
                </c:pt>
                <c:pt idx="334">
                  <c:v>-4.1173040226083479E-4</c:v>
                </c:pt>
                <c:pt idx="335">
                  <c:v>0</c:v>
                </c:pt>
                <c:pt idx="336">
                  <c:v>0</c:v>
                </c:pt>
                <c:pt idx="337">
                  <c:v>-1.353362777097411E-3</c:v>
                </c:pt>
                <c:pt idx="338">
                  <c:v>-1.7189192495370431E-4</c:v>
                </c:pt>
                <c:pt idx="339">
                  <c:v>-4.2600721061808455E-3</c:v>
                </c:pt>
                <c:pt idx="340">
                  <c:v>-4.1392167437844796E-3</c:v>
                </c:pt>
                <c:pt idx="341">
                  <c:v>-1.9195460730909719E-3</c:v>
                </c:pt>
                <c:pt idx="342">
                  <c:v>0</c:v>
                </c:pt>
                <c:pt idx="343">
                  <c:v>-4.5201825867913215E-4</c:v>
                </c:pt>
                <c:pt idx="344">
                  <c:v>-1.4347942557207949E-3</c:v>
                </c:pt>
                <c:pt idx="345">
                  <c:v>0</c:v>
                </c:pt>
                <c:pt idx="346">
                  <c:v>0</c:v>
                </c:pt>
                <c:pt idx="347">
                  <c:v>0</c:v>
                </c:pt>
                <c:pt idx="348">
                  <c:v>-8.1525127686310483E-4</c:v>
                </c:pt>
                <c:pt idx="349">
                  <c:v>0</c:v>
                </c:pt>
                <c:pt idx="350">
                  <c:v>0</c:v>
                </c:pt>
                <c:pt idx="351">
                  <c:v>0</c:v>
                </c:pt>
                <c:pt idx="352">
                  <c:v>0</c:v>
                </c:pt>
                <c:pt idx="353">
                  <c:v>0</c:v>
                </c:pt>
                <c:pt idx="354">
                  <c:v>0</c:v>
                </c:pt>
                <c:pt idx="355">
                  <c:v>0</c:v>
                </c:pt>
                <c:pt idx="356">
                  <c:v>0</c:v>
                </c:pt>
                <c:pt idx="357">
                  <c:v>-9.1964535730459929E-4</c:v>
                </c:pt>
                <c:pt idx="358">
                  <c:v>-7.0662214574701565E-4</c:v>
                </c:pt>
                <c:pt idx="359">
                  <c:v>0</c:v>
                </c:pt>
                <c:pt idx="360">
                  <c:v>-3.6701613433820501E-4</c:v>
                </c:pt>
                <c:pt idx="361">
                  <c:v>0</c:v>
                </c:pt>
                <c:pt idx="362">
                  <c:v>-2.6811176941587966E-5</c:v>
                </c:pt>
                <c:pt idx="363">
                  <c:v>-7.0666338183311694E-5</c:v>
                </c:pt>
                <c:pt idx="364">
                  <c:v>-1.9780415812977736E-3</c:v>
                </c:pt>
                <c:pt idx="365">
                  <c:v>-1.3707818975281505E-3</c:v>
                </c:pt>
                <c:pt idx="366">
                  <c:v>0</c:v>
                </c:pt>
                <c:pt idx="367">
                  <c:v>0</c:v>
                </c:pt>
                <c:pt idx="368">
                  <c:v>0</c:v>
                </c:pt>
                <c:pt idx="369">
                  <c:v>0</c:v>
                </c:pt>
                <c:pt idx="370">
                  <c:v>-1.5528824120347728E-4</c:v>
                </c:pt>
                <c:pt idx="371">
                  <c:v>0</c:v>
                </c:pt>
                <c:pt idx="372">
                  <c:v>0</c:v>
                </c:pt>
                <c:pt idx="373">
                  <c:v>0</c:v>
                </c:pt>
                <c:pt idx="374">
                  <c:v>-3.2312187654714997E-4</c:v>
                </c:pt>
                <c:pt idx="375">
                  <c:v>0</c:v>
                </c:pt>
                <c:pt idx="376">
                  <c:v>-1.5190537300080464E-4</c:v>
                </c:pt>
                <c:pt idx="377">
                  <c:v>-3.4674148149370643E-3</c:v>
                </c:pt>
                <c:pt idx="378">
                  <c:v>-2.3110993148436343E-3</c:v>
                </c:pt>
                <c:pt idx="379">
                  <c:v>-5.5954346668121158E-3</c:v>
                </c:pt>
                <c:pt idx="380">
                  <c:v>-4.4855039772062621E-3</c:v>
                </c:pt>
                <c:pt idx="381">
                  <c:v>-1.6185280425230486E-3</c:v>
                </c:pt>
                <c:pt idx="382">
                  <c:v>0</c:v>
                </c:pt>
                <c:pt idx="383">
                  <c:v>0</c:v>
                </c:pt>
                <c:pt idx="384">
                  <c:v>-9.7628384325887385E-4</c:v>
                </c:pt>
                <c:pt idx="385">
                  <c:v>-1.8649455175706597E-3</c:v>
                </c:pt>
                <c:pt idx="386">
                  <c:v>-6.6114592461918864E-3</c:v>
                </c:pt>
                <c:pt idx="387">
                  <c:v>-4.3894654727173466E-3</c:v>
                </c:pt>
                <c:pt idx="388">
                  <c:v>-1.9961690044741909E-3</c:v>
                </c:pt>
                <c:pt idx="389">
                  <c:v>0</c:v>
                </c:pt>
                <c:pt idx="390">
                  <c:v>-5.9557340767824041E-4</c:v>
                </c:pt>
                <c:pt idx="391">
                  <c:v>-1.5628670664388222E-3</c:v>
                </c:pt>
                <c:pt idx="392">
                  <c:v>-5.6038727448531889E-3</c:v>
                </c:pt>
                <c:pt idx="393">
                  <c:v>-2.5575284940718701E-3</c:v>
                </c:pt>
                <c:pt idx="394">
                  <c:v>-7.2066204106568943E-4</c:v>
                </c:pt>
                <c:pt idx="395">
                  <c:v>-4.6610974246793502E-3</c:v>
                </c:pt>
                <c:pt idx="396">
                  <c:v>-3.9606857526148787E-3</c:v>
                </c:pt>
                <c:pt idx="397">
                  <c:v>-2.8327960271880004E-3</c:v>
                </c:pt>
                <c:pt idx="398">
                  <c:v>-4.3379903214991744E-3</c:v>
                </c:pt>
                <c:pt idx="399">
                  <c:v>-3.0138426765540238E-3</c:v>
                </c:pt>
                <c:pt idx="400">
                  <c:v>-9.9590646821212658E-4</c:v>
                </c:pt>
                <c:pt idx="401">
                  <c:v>-4.2055820800346311E-4</c:v>
                </c:pt>
                <c:pt idx="402">
                  <c:v>0</c:v>
                </c:pt>
                <c:pt idx="403">
                  <c:v>0</c:v>
                </c:pt>
                <c:pt idx="404">
                  <c:v>-1.0876634860605972E-3</c:v>
                </c:pt>
                <c:pt idx="405">
                  <c:v>-2.5555410423041547E-3</c:v>
                </c:pt>
                <c:pt idx="406">
                  <c:v>-7.402939929242236E-3</c:v>
                </c:pt>
                <c:pt idx="407">
                  <c:v>-1.1051909759927314E-2</c:v>
                </c:pt>
                <c:pt idx="408">
                  <c:v>-1.1934272036834281E-2</c:v>
                </c:pt>
                <c:pt idx="409">
                  <c:v>-1.0634124819621116E-2</c:v>
                </c:pt>
                <c:pt idx="410">
                  <c:v>-8.5995878195990194E-3</c:v>
                </c:pt>
                <c:pt idx="411">
                  <c:v>-7.8712389774666658E-3</c:v>
                </c:pt>
                <c:pt idx="412">
                  <c:v>-3.9862723317096727E-3</c:v>
                </c:pt>
                <c:pt idx="413">
                  <c:v>-1.8135918041681798E-3</c:v>
                </c:pt>
                <c:pt idx="414">
                  <c:v>-4.1421947804923809E-3</c:v>
                </c:pt>
                <c:pt idx="415">
                  <c:v>-7.3878408060212841E-4</c:v>
                </c:pt>
                <c:pt idx="416">
                  <c:v>-1.1216868963691562E-3</c:v>
                </c:pt>
                <c:pt idx="417">
                  <c:v>-2.086756093365838E-3</c:v>
                </c:pt>
                <c:pt idx="418">
                  <c:v>-9.4873955738794535E-4</c:v>
                </c:pt>
                <c:pt idx="419">
                  <c:v>-3.1386868352044628E-3</c:v>
                </c:pt>
                <c:pt idx="420">
                  <c:v>-2.1783916631200606E-3</c:v>
                </c:pt>
                <c:pt idx="421">
                  <c:v>-7.0104045438001972E-4</c:v>
                </c:pt>
                <c:pt idx="422">
                  <c:v>-3.977945226483981E-3</c:v>
                </c:pt>
                <c:pt idx="423">
                  <c:v>-2.7559875263862832E-3</c:v>
                </c:pt>
                <c:pt idx="424">
                  <c:v>-3.0081409970806883E-3</c:v>
                </c:pt>
                <c:pt idx="425">
                  <c:v>-9.3800465724303006E-4</c:v>
                </c:pt>
                <c:pt idx="426">
                  <c:v>-6.7522328369773454E-4</c:v>
                </c:pt>
                <c:pt idx="427">
                  <c:v>0</c:v>
                </c:pt>
                <c:pt idx="428">
                  <c:v>-2.8727758884872223E-4</c:v>
                </c:pt>
                <c:pt idx="429">
                  <c:v>-2.356483114806962E-3</c:v>
                </c:pt>
                <c:pt idx="430">
                  <c:v>-7.4646284193234935E-3</c:v>
                </c:pt>
                <c:pt idx="431">
                  <c:v>-5.6484147123192496E-3</c:v>
                </c:pt>
                <c:pt idx="432">
                  <c:v>-2.0539061975433093E-3</c:v>
                </c:pt>
                <c:pt idx="433">
                  <c:v>0</c:v>
                </c:pt>
                <c:pt idx="434">
                  <c:v>0</c:v>
                </c:pt>
                <c:pt idx="435">
                  <c:v>0</c:v>
                </c:pt>
                <c:pt idx="436">
                  <c:v>-3.5463113663823931E-3</c:v>
                </c:pt>
                <c:pt idx="437">
                  <c:v>-2.5046571820371843E-3</c:v>
                </c:pt>
                <c:pt idx="438">
                  <c:v>-1.9129568872395808E-3</c:v>
                </c:pt>
                <c:pt idx="439">
                  <c:v>0</c:v>
                </c:pt>
                <c:pt idx="440">
                  <c:v>-3.0371373523124801E-3</c:v>
                </c:pt>
                <c:pt idx="441">
                  <c:v>-2.2694475896596344E-3</c:v>
                </c:pt>
                <c:pt idx="442">
                  <c:v>-2.9244713227062347E-3</c:v>
                </c:pt>
                <c:pt idx="443">
                  <c:v>-1.3757994781172789E-3</c:v>
                </c:pt>
                <c:pt idx="444">
                  <c:v>0</c:v>
                </c:pt>
                <c:pt idx="445">
                  <c:v>-5.5689657770952028E-4</c:v>
                </c:pt>
                <c:pt idx="446">
                  <c:v>-4.2276452895328998E-4</c:v>
                </c:pt>
                <c:pt idx="447">
                  <c:v>0</c:v>
                </c:pt>
                <c:pt idx="448">
                  <c:v>0</c:v>
                </c:pt>
                <c:pt idx="449">
                  <c:v>0</c:v>
                </c:pt>
                <c:pt idx="450">
                  <c:v>-3.5759694407520026E-3</c:v>
                </c:pt>
                <c:pt idx="451">
                  <c:v>-3.6398123496956813E-3</c:v>
                </c:pt>
                <c:pt idx="452">
                  <c:v>-6.3717095042231664E-3</c:v>
                </c:pt>
                <c:pt idx="453">
                  <c:v>-9.7829503311170907E-3</c:v>
                </c:pt>
                <c:pt idx="454">
                  <c:v>-7.072879100225915E-3</c:v>
                </c:pt>
                <c:pt idx="455">
                  <c:v>-1.0624754872037512E-2</c:v>
                </c:pt>
                <c:pt idx="456">
                  <c:v>-1.2743228703503862E-2</c:v>
                </c:pt>
                <c:pt idx="457">
                  <c:v>-1.28040032741773E-2</c:v>
                </c:pt>
                <c:pt idx="458">
                  <c:v>-1.3855372666146115E-2</c:v>
                </c:pt>
                <c:pt idx="459">
                  <c:v>-1.1111499346237563E-2</c:v>
                </c:pt>
                <c:pt idx="460">
                  <c:v>-8.5609504687589322E-3</c:v>
                </c:pt>
                <c:pt idx="461">
                  <c:v>-1.0517966065041517E-2</c:v>
                </c:pt>
                <c:pt idx="462">
                  <c:v>-8.6961693481723001E-3</c:v>
                </c:pt>
                <c:pt idx="463">
                  <c:v>-8.7588686257352721E-3</c:v>
                </c:pt>
                <c:pt idx="464">
                  <c:v>-8.672940704652965E-3</c:v>
                </c:pt>
                <c:pt idx="465">
                  <c:v>-6.1199914726716154E-3</c:v>
                </c:pt>
                <c:pt idx="466">
                  <c:v>-2.4170286341093083E-3</c:v>
                </c:pt>
                <c:pt idx="467">
                  <c:v>-2.7195144293735707E-3</c:v>
                </c:pt>
                <c:pt idx="468">
                  <c:v>-4.5305264425073988E-3</c:v>
                </c:pt>
                <c:pt idx="469">
                  <c:v>-6.6677048055661103E-3</c:v>
                </c:pt>
                <c:pt idx="470">
                  <c:v>-6.3157435168258447E-3</c:v>
                </c:pt>
                <c:pt idx="471">
                  <c:v>-4.9608597732397897E-3</c:v>
                </c:pt>
                <c:pt idx="472">
                  <c:v>-6.7119987188778429E-3</c:v>
                </c:pt>
                <c:pt idx="473">
                  <c:v>-4.9093979776726471E-3</c:v>
                </c:pt>
                <c:pt idx="474">
                  <c:v>-3.8493041354836777E-3</c:v>
                </c:pt>
                <c:pt idx="475">
                  <c:v>-1.1923537430682529E-3</c:v>
                </c:pt>
                <c:pt idx="476">
                  <c:v>-9.4605224782791097E-3</c:v>
                </c:pt>
                <c:pt idx="477">
                  <c:v>-7.4933016063795099E-3</c:v>
                </c:pt>
                <c:pt idx="478">
                  <c:v>-1.1934199202246587E-2</c:v>
                </c:pt>
                <c:pt idx="479">
                  <c:v>-1.3380685026749828E-2</c:v>
                </c:pt>
                <c:pt idx="480">
                  <c:v>-7.889143119630404E-3</c:v>
                </c:pt>
                <c:pt idx="481">
                  <c:v>-6.1876013352021308E-3</c:v>
                </c:pt>
                <c:pt idx="482">
                  <c:v>-3.7767998567467265E-3</c:v>
                </c:pt>
                <c:pt idx="483">
                  <c:v>-2.3671307959154397E-3</c:v>
                </c:pt>
                <c:pt idx="484">
                  <c:v>-7.097867486719478E-4</c:v>
                </c:pt>
                <c:pt idx="485">
                  <c:v>-2.6335275668081248E-3</c:v>
                </c:pt>
                <c:pt idx="486">
                  <c:v>0</c:v>
                </c:pt>
                <c:pt idx="487">
                  <c:v>-7.3148348736740143E-4</c:v>
                </c:pt>
                <c:pt idx="488">
                  <c:v>-2.1159664493274333E-3</c:v>
                </c:pt>
                <c:pt idx="489">
                  <c:v>-2.2759002472194645E-4</c:v>
                </c:pt>
                <c:pt idx="490">
                  <c:v>-7.9899988477816208E-4</c:v>
                </c:pt>
                <c:pt idx="491">
                  <c:v>-2.2257436070556302E-3</c:v>
                </c:pt>
                <c:pt idx="492">
                  <c:v>-6.6414668754869455E-3</c:v>
                </c:pt>
                <c:pt idx="493">
                  <c:v>-3.2207028989754694E-3</c:v>
                </c:pt>
                <c:pt idx="494">
                  <c:v>-2.7540360093787353E-3</c:v>
                </c:pt>
                <c:pt idx="495">
                  <c:v>-2.2286527154312674E-3</c:v>
                </c:pt>
                <c:pt idx="496">
                  <c:v>-2.0039989586495555E-3</c:v>
                </c:pt>
                <c:pt idx="497">
                  <c:v>0</c:v>
                </c:pt>
                <c:pt idx="498">
                  <c:v>-1.9172602684669471E-4</c:v>
                </c:pt>
                <c:pt idx="499">
                  <c:v>-9.9200092054652078E-4</c:v>
                </c:pt>
                <c:pt idx="500">
                  <c:v>0</c:v>
                </c:pt>
                <c:pt idx="501">
                  <c:v>0</c:v>
                </c:pt>
                <c:pt idx="502">
                  <c:v>-4.7598677408200452E-4</c:v>
                </c:pt>
                <c:pt idx="503">
                  <c:v>-1.1190847980614427E-3</c:v>
                </c:pt>
                <c:pt idx="504">
                  <c:v>-5.7447620054100756E-3</c:v>
                </c:pt>
                <c:pt idx="505">
                  <c:v>-4.4135127578195377E-3</c:v>
                </c:pt>
                <c:pt idx="506">
                  <c:v>-2.4796318640714077E-3</c:v>
                </c:pt>
                <c:pt idx="507">
                  <c:v>-2.7226091268957031E-3</c:v>
                </c:pt>
                <c:pt idx="508">
                  <c:v>-5.3678430529546795E-4</c:v>
                </c:pt>
                <c:pt idx="509">
                  <c:v>0</c:v>
                </c:pt>
                <c:pt idx="510">
                  <c:v>-1.0772273502381857E-3</c:v>
                </c:pt>
                <c:pt idx="511">
                  <c:v>0</c:v>
                </c:pt>
                <c:pt idx="512">
                  <c:v>-8.8202745712750996E-6</c:v>
                </c:pt>
                <c:pt idx="513">
                  <c:v>0</c:v>
                </c:pt>
                <c:pt idx="514">
                  <c:v>0</c:v>
                </c:pt>
                <c:pt idx="515">
                  <c:v>0</c:v>
                </c:pt>
                <c:pt idx="516">
                  <c:v>-2.0171241005774165E-3</c:v>
                </c:pt>
                <c:pt idx="517">
                  <c:v>-3.3127538743172869E-3</c:v>
                </c:pt>
                <c:pt idx="518">
                  <c:v>-2.5424841254062525E-4</c:v>
                </c:pt>
                <c:pt idx="519">
                  <c:v>0</c:v>
                </c:pt>
                <c:pt idx="520">
                  <c:v>0</c:v>
                </c:pt>
                <c:pt idx="521">
                  <c:v>0</c:v>
                </c:pt>
                <c:pt idx="522">
                  <c:v>0</c:v>
                </c:pt>
                <c:pt idx="523">
                  <c:v>0</c:v>
                </c:pt>
                <c:pt idx="524">
                  <c:v>-5.7621461550194653E-5</c:v>
                </c:pt>
                <c:pt idx="525">
                  <c:v>-1.4392160489795636E-4</c:v>
                </c:pt>
                <c:pt idx="526">
                  <c:v>0</c:v>
                </c:pt>
                <c:pt idx="527">
                  <c:v>-1.6644148060374064E-4</c:v>
                </c:pt>
                <c:pt idx="528">
                  <c:v>0</c:v>
                </c:pt>
                <c:pt idx="529">
                  <c:v>0</c:v>
                </c:pt>
                <c:pt idx="530">
                  <c:v>0</c:v>
                </c:pt>
                <c:pt idx="531">
                  <c:v>-8.1933742325623893E-4</c:v>
                </c:pt>
                <c:pt idx="532">
                  <c:v>0</c:v>
                </c:pt>
                <c:pt idx="533">
                  <c:v>0</c:v>
                </c:pt>
                <c:pt idx="534">
                  <c:v>0</c:v>
                </c:pt>
                <c:pt idx="535">
                  <c:v>-1.9608197325656773E-3</c:v>
                </c:pt>
                <c:pt idx="536">
                  <c:v>-3.6030129890812779E-3</c:v>
                </c:pt>
                <c:pt idx="537">
                  <c:v>-5.4377825691016568E-3</c:v>
                </c:pt>
                <c:pt idx="538">
                  <c:v>-3.7810991795169668E-3</c:v>
                </c:pt>
                <c:pt idx="539">
                  <c:v>-4.6031914565770604E-3</c:v>
                </c:pt>
                <c:pt idx="540">
                  <c:v>-4.7363903942293506E-3</c:v>
                </c:pt>
                <c:pt idx="541">
                  <c:v>-1.5182437210254918E-3</c:v>
                </c:pt>
                <c:pt idx="542">
                  <c:v>-7.7624735581438564E-4</c:v>
                </c:pt>
                <c:pt idx="543">
                  <c:v>-1.8221670023665926E-4</c:v>
                </c:pt>
                <c:pt idx="544">
                  <c:v>-1.5827075622243392E-3</c:v>
                </c:pt>
                <c:pt idx="545">
                  <c:v>-4.6390183969402532E-3</c:v>
                </c:pt>
                <c:pt idx="546">
                  <c:v>-3.6067232620738965E-3</c:v>
                </c:pt>
                <c:pt idx="547">
                  <c:v>0</c:v>
                </c:pt>
                <c:pt idx="548">
                  <c:v>0</c:v>
                </c:pt>
                <c:pt idx="549">
                  <c:v>-2.5171377309403109E-3</c:v>
                </c:pt>
                <c:pt idx="550">
                  <c:v>-4.4217377034097005E-3</c:v>
                </c:pt>
                <c:pt idx="551">
                  <c:v>-4.3926210695824919E-3</c:v>
                </c:pt>
                <c:pt idx="552">
                  <c:v>0</c:v>
                </c:pt>
                <c:pt idx="553">
                  <c:v>0</c:v>
                </c:pt>
                <c:pt idx="554">
                  <c:v>0</c:v>
                </c:pt>
                <c:pt idx="555">
                  <c:v>0</c:v>
                </c:pt>
                <c:pt idx="556">
                  <c:v>0</c:v>
                </c:pt>
                <c:pt idx="557">
                  <c:v>0</c:v>
                </c:pt>
                <c:pt idx="558">
                  <c:v>0</c:v>
                </c:pt>
                <c:pt idx="559">
                  <c:v>0</c:v>
                </c:pt>
                <c:pt idx="560">
                  <c:v>-2.9482089560872726E-4</c:v>
                </c:pt>
                <c:pt idx="561">
                  <c:v>0</c:v>
                </c:pt>
                <c:pt idx="562">
                  <c:v>-4.0402064209399402E-4</c:v>
                </c:pt>
                <c:pt idx="563">
                  <c:v>-8.9308742768956506E-4</c:v>
                </c:pt>
                <c:pt idx="564">
                  <c:v>0</c:v>
                </c:pt>
                <c:pt idx="565">
                  <c:v>0</c:v>
                </c:pt>
                <c:pt idx="566">
                  <c:v>-1.7256236022973326E-3</c:v>
                </c:pt>
                <c:pt idx="567">
                  <c:v>-3.0933554098550031E-3</c:v>
                </c:pt>
                <c:pt idx="568">
                  <c:v>-1.6652701067283449E-3</c:v>
                </c:pt>
                <c:pt idx="569">
                  <c:v>-5.1704531566088008E-4</c:v>
                </c:pt>
                <c:pt idx="570">
                  <c:v>-3.4059594980867525E-3</c:v>
                </c:pt>
                <c:pt idx="571">
                  <c:v>-3.6748262071532034E-3</c:v>
                </c:pt>
                <c:pt idx="572">
                  <c:v>-1.552963714074429E-3</c:v>
                </c:pt>
                <c:pt idx="573">
                  <c:v>-1.1303326667926328E-3</c:v>
                </c:pt>
                <c:pt idx="574">
                  <c:v>-5.9293708302154968E-4</c:v>
                </c:pt>
                <c:pt idx="575">
                  <c:v>-3.0301096645202197E-4</c:v>
                </c:pt>
                <c:pt idx="576">
                  <c:v>0</c:v>
                </c:pt>
                <c:pt idx="577">
                  <c:v>-3.6208664396883972E-3</c:v>
                </c:pt>
                <c:pt idx="578">
                  <c:v>-4.3489698893842688E-3</c:v>
                </c:pt>
                <c:pt idx="579">
                  <c:v>-6.3049642250108118E-3</c:v>
                </c:pt>
                <c:pt idx="580">
                  <c:v>-4.3937997522477401E-3</c:v>
                </c:pt>
                <c:pt idx="581">
                  <c:v>-9.4184802409280621E-4</c:v>
                </c:pt>
                <c:pt idx="582">
                  <c:v>-2.2090453588525794E-3</c:v>
                </c:pt>
                <c:pt idx="583">
                  <c:v>-3.089098549338809E-3</c:v>
                </c:pt>
                <c:pt idx="584">
                  <c:v>-2.5632976782588024E-3</c:v>
                </c:pt>
                <c:pt idx="585">
                  <c:v>0</c:v>
                </c:pt>
                <c:pt idx="586">
                  <c:v>-4.2484388700012587E-3</c:v>
                </c:pt>
                <c:pt idx="587">
                  <c:v>-5.7800452107789058E-3</c:v>
                </c:pt>
                <c:pt idx="588">
                  <c:v>-9.7821465734306834E-3</c:v>
                </c:pt>
                <c:pt idx="589">
                  <c:v>-8.7089812844673986E-3</c:v>
                </c:pt>
                <c:pt idx="590">
                  <c:v>-7.2591306430914715E-3</c:v>
                </c:pt>
                <c:pt idx="591">
                  <c:v>-7.0140100318061283E-3</c:v>
                </c:pt>
                <c:pt idx="592">
                  <c:v>-3.2617322492707324E-3</c:v>
                </c:pt>
                <c:pt idx="593">
                  <c:v>-1.0856596001395102E-3</c:v>
                </c:pt>
                <c:pt idx="594">
                  <c:v>0</c:v>
                </c:pt>
                <c:pt idx="595">
                  <c:v>-3.7872446748362654E-3</c:v>
                </c:pt>
                <c:pt idx="596">
                  <c:v>-2.6955539145010476E-3</c:v>
                </c:pt>
                <c:pt idx="597">
                  <c:v>-8.4441558444792175E-4</c:v>
                </c:pt>
                <c:pt idx="598">
                  <c:v>0</c:v>
                </c:pt>
                <c:pt idx="599">
                  <c:v>-1.350018304758116E-3</c:v>
                </c:pt>
                <c:pt idx="600">
                  <c:v>0</c:v>
                </c:pt>
                <c:pt idx="601">
                  <c:v>0</c:v>
                </c:pt>
                <c:pt idx="602">
                  <c:v>0</c:v>
                </c:pt>
                <c:pt idx="603">
                  <c:v>-8.5581803983869609E-4</c:v>
                </c:pt>
                <c:pt idx="604">
                  <c:v>-6.1932421969723706E-6</c:v>
                </c:pt>
                <c:pt idx="605">
                  <c:v>0</c:v>
                </c:pt>
                <c:pt idx="606">
                  <c:v>0</c:v>
                </c:pt>
                <c:pt idx="607">
                  <c:v>-1.0917645251560248E-3</c:v>
                </c:pt>
                <c:pt idx="608">
                  <c:v>-1.3841407523813576E-3</c:v>
                </c:pt>
                <c:pt idx="609">
                  <c:v>-7.3394739568299894E-4</c:v>
                </c:pt>
                <c:pt idx="610">
                  <c:v>-1.4151600737043468E-3</c:v>
                </c:pt>
                <c:pt idx="611">
                  <c:v>-2.3673632839910086E-3</c:v>
                </c:pt>
                <c:pt idx="612">
                  <c:v>-3.7393446038762601E-3</c:v>
                </c:pt>
                <c:pt idx="613">
                  <c:v>-6.2279939840265142E-3</c:v>
                </c:pt>
                <c:pt idx="614">
                  <c:v>-6.7658716585545786E-3</c:v>
                </c:pt>
                <c:pt idx="615">
                  <c:v>-4.4286597778154801E-3</c:v>
                </c:pt>
                <c:pt idx="616">
                  <c:v>-8.1880485262444402E-3</c:v>
                </c:pt>
                <c:pt idx="617">
                  <c:v>-8.1469726904682682E-3</c:v>
                </c:pt>
                <c:pt idx="618">
                  <c:v>-7.8149310875851308E-3</c:v>
                </c:pt>
                <c:pt idx="619">
                  <c:v>-8.2553383261726454E-3</c:v>
                </c:pt>
                <c:pt idx="620">
                  <c:v>-8.5423463896390217E-3</c:v>
                </c:pt>
                <c:pt idx="621">
                  <c:v>-7.3848930870262786E-3</c:v>
                </c:pt>
                <c:pt idx="622">
                  <c:v>-4.7008801149152069E-3</c:v>
                </c:pt>
                <c:pt idx="623">
                  <c:v>-4.7131966077051946E-3</c:v>
                </c:pt>
                <c:pt idx="624">
                  <c:v>-5.8423775997279437E-3</c:v>
                </c:pt>
                <c:pt idx="625">
                  <c:v>-6.1677921980954897E-3</c:v>
                </c:pt>
                <c:pt idx="626">
                  <c:v>-5.1307610470255893E-3</c:v>
                </c:pt>
                <c:pt idx="627">
                  <c:v>-6.1551313906422767E-3</c:v>
                </c:pt>
                <c:pt idx="628">
                  <c:v>-7.2115725397691177E-3</c:v>
                </c:pt>
                <c:pt idx="629">
                  <c:v>-6.9804725648624499E-3</c:v>
                </c:pt>
                <c:pt idx="630">
                  <c:v>-3.516935845476965E-3</c:v>
                </c:pt>
                <c:pt idx="631">
                  <c:v>-4.3039853526327665E-3</c:v>
                </c:pt>
                <c:pt idx="632">
                  <c:v>-7.5092535826706275E-3</c:v>
                </c:pt>
                <c:pt idx="633">
                  <c:v>-7.8790569532327659E-3</c:v>
                </c:pt>
                <c:pt idx="634">
                  <c:v>-7.5225462948887989E-3</c:v>
                </c:pt>
                <c:pt idx="635">
                  <c:v>-8.3753402079136396E-3</c:v>
                </c:pt>
                <c:pt idx="636">
                  <c:v>-7.526494081678492E-3</c:v>
                </c:pt>
                <c:pt idx="637">
                  <c:v>-7.8793401776258154E-3</c:v>
                </c:pt>
                <c:pt idx="638">
                  <c:v>-6.3886609304382169E-3</c:v>
                </c:pt>
                <c:pt idx="639">
                  <c:v>-4.3051608663455809E-3</c:v>
                </c:pt>
                <c:pt idx="640">
                  <c:v>-3.5079064805126903E-3</c:v>
                </c:pt>
                <c:pt idx="641">
                  <c:v>-4.1670294680178355E-3</c:v>
                </c:pt>
                <c:pt idx="642">
                  <c:v>-3.3907903233142411E-3</c:v>
                </c:pt>
                <c:pt idx="643">
                  <c:v>-4.0172799355806532E-3</c:v>
                </c:pt>
                <c:pt idx="644">
                  <c:v>-4.1515194914953923E-4</c:v>
                </c:pt>
                <c:pt idx="645">
                  <c:v>0</c:v>
                </c:pt>
                <c:pt idx="646">
                  <c:v>0</c:v>
                </c:pt>
                <c:pt idx="647">
                  <c:v>-8.5868050824078335E-4</c:v>
                </c:pt>
                <c:pt idx="648">
                  <c:v>0</c:v>
                </c:pt>
                <c:pt idx="649">
                  <c:v>0</c:v>
                </c:pt>
                <c:pt idx="650">
                  <c:v>0</c:v>
                </c:pt>
                <c:pt idx="651">
                  <c:v>0</c:v>
                </c:pt>
                <c:pt idx="652">
                  <c:v>0</c:v>
                </c:pt>
                <c:pt idx="653">
                  <c:v>-5.0140012135968526E-4</c:v>
                </c:pt>
                <c:pt idx="654">
                  <c:v>0</c:v>
                </c:pt>
                <c:pt idx="655">
                  <c:v>-1.3606479028116514E-3</c:v>
                </c:pt>
                <c:pt idx="656">
                  <c:v>0</c:v>
                </c:pt>
                <c:pt idx="657">
                  <c:v>0</c:v>
                </c:pt>
                <c:pt idx="658">
                  <c:v>-8.5257151325102143E-4</c:v>
                </c:pt>
                <c:pt idx="659">
                  <c:v>0</c:v>
                </c:pt>
                <c:pt idx="660">
                  <c:v>0</c:v>
                </c:pt>
                <c:pt idx="661">
                  <c:v>-2.1182893595742547E-3</c:v>
                </c:pt>
                <c:pt idx="662">
                  <c:v>-2.0881074109877495E-3</c:v>
                </c:pt>
                <c:pt idx="663">
                  <c:v>0</c:v>
                </c:pt>
                <c:pt idx="664">
                  <c:v>0</c:v>
                </c:pt>
                <c:pt idx="665">
                  <c:v>0</c:v>
                </c:pt>
                <c:pt idx="666">
                  <c:v>-4.7563520926641178E-4</c:v>
                </c:pt>
                <c:pt idx="667">
                  <c:v>0</c:v>
                </c:pt>
                <c:pt idx="668">
                  <c:v>-1.8284189518735783E-3</c:v>
                </c:pt>
                <c:pt idx="669">
                  <c:v>-1.0599474005680287E-3</c:v>
                </c:pt>
                <c:pt idx="670">
                  <c:v>0</c:v>
                </c:pt>
                <c:pt idx="671">
                  <c:v>0</c:v>
                </c:pt>
                <c:pt idx="672">
                  <c:v>0</c:v>
                </c:pt>
                <c:pt idx="673">
                  <c:v>-2.8847366960527143E-3</c:v>
                </c:pt>
                <c:pt idx="674">
                  <c:v>-3.0737332059657119E-3</c:v>
                </c:pt>
                <c:pt idx="675">
                  <c:v>0</c:v>
                </c:pt>
                <c:pt idx="676">
                  <c:v>0</c:v>
                </c:pt>
                <c:pt idx="677">
                  <c:v>-1.5163359460738102E-3</c:v>
                </c:pt>
                <c:pt idx="678">
                  <c:v>-7.0947144056698885E-4</c:v>
                </c:pt>
                <c:pt idx="679">
                  <c:v>-1.2904245215626942E-3</c:v>
                </c:pt>
                <c:pt idx="680">
                  <c:v>-2.5148512302543002E-3</c:v>
                </c:pt>
                <c:pt idx="681">
                  <c:v>-4.9088653478801536E-4</c:v>
                </c:pt>
                <c:pt idx="682">
                  <c:v>0</c:v>
                </c:pt>
                <c:pt idx="683">
                  <c:v>0</c:v>
                </c:pt>
                <c:pt idx="684">
                  <c:v>0</c:v>
                </c:pt>
                <c:pt idx="685">
                  <c:v>-1.5173525448675118E-3</c:v>
                </c:pt>
                <c:pt idx="686">
                  <c:v>-4.9662859578096796E-3</c:v>
                </c:pt>
                <c:pt idx="687">
                  <c:v>-6.0249524818578593E-3</c:v>
                </c:pt>
                <c:pt idx="688">
                  <c:v>-6.4695579796445468E-3</c:v>
                </c:pt>
                <c:pt idx="689">
                  <c:v>-7.0096810371990115E-3</c:v>
                </c:pt>
                <c:pt idx="690">
                  <c:v>-4.2120355759430739E-3</c:v>
                </c:pt>
                <c:pt idx="691">
                  <c:v>0</c:v>
                </c:pt>
                <c:pt idx="692">
                  <c:v>-1.5480918996724213E-6</c:v>
                </c:pt>
                <c:pt idx="693">
                  <c:v>0</c:v>
                </c:pt>
                <c:pt idx="694">
                  <c:v>0</c:v>
                </c:pt>
                <c:pt idx="695">
                  <c:v>-1.1437178530961933E-3</c:v>
                </c:pt>
                <c:pt idx="696">
                  <c:v>-1.3846678100709608E-3</c:v>
                </c:pt>
                <c:pt idx="697">
                  <c:v>-3.2957247990478278E-3</c:v>
                </c:pt>
                <c:pt idx="698">
                  <c:v>-4.2712505734446848E-3</c:v>
                </c:pt>
                <c:pt idx="699" formatCode="General">
                  <c:v>-5.4253577694419741E-3</c:v>
                </c:pt>
                <c:pt idx="700" formatCode="General">
                  <c:v>-3.4572221180780849E-3</c:v>
                </c:pt>
                <c:pt idx="701" formatCode="General">
                  <c:v>-2.097646442755785E-4</c:v>
                </c:pt>
                <c:pt idx="702" formatCode="General">
                  <c:v>0</c:v>
                </c:pt>
                <c:pt idx="703" formatCode="General">
                  <c:v>0</c:v>
                </c:pt>
                <c:pt idx="704" formatCode="General">
                  <c:v>0</c:v>
                </c:pt>
                <c:pt idx="705" formatCode="General">
                  <c:v>-3.7651091550949811E-3</c:v>
                </c:pt>
                <c:pt idx="706" formatCode="General">
                  <c:v>-5.4628441322422949E-3</c:v>
                </c:pt>
                <c:pt idx="707" formatCode="General">
                  <c:v>-7.9124245478807698E-3</c:v>
                </c:pt>
                <c:pt idx="708" formatCode="General">
                  <c:v>-4.3872290493707222E-3</c:v>
                </c:pt>
                <c:pt idx="709" formatCode="General">
                  <c:v>-3.0660645431233036E-3</c:v>
                </c:pt>
                <c:pt idx="710" formatCode="General">
                  <c:v>0</c:v>
                </c:pt>
                <c:pt idx="711" formatCode="General">
                  <c:v>0</c:v>
                </c:pt>
                <c:pt idx="712" formatCode="General">
                  <c:v>0</c:v>
                </c:pt>
                <c:pt idx="713" formatCode="General">
                  <c:v>0</c:v>
                </c:pt>
                <c:pt idx="714" formatCode="General">
                  <c:v>-2.8506969187458431E-3</c:v>
                </c:pt>
                <c:pt idx="715" formatCode="General">
                  <c:v>-3.4180462415672741E-3</c:v>
                </c:pt>
                <c:pt idx="716" formatCode="General">
                  <c:v>-5.3809533206820026E-3</c:v>
                </c:pt>
                <c:pt idx="717" formatCode="General">
                  <c:v>-7.7569633790640635E-3</c:v>
                </c:pt>
                <c:pt idx="718" formatCode="General">
                  <c:v>-4.4768021312929784E-3</c:v>
                </c:pt>
                <c:pt idx="719" formatCode="General">
                  <c:v>-7.4250006189928719E-3</c:v>
                </c:pt>
                <c:pt idx="720" formatCode="General">
                  <c:v>-8.776826075975297E-3</c:v>
                </c:pt>
                <c:pt idx="721" formatCode="General">
                  <c:v>-9.3922934516452727E-3</c:v>
                </c:pt>
                <c:pt idx="722" formatCode="General">
                  <c:v>-7.831699307650708E-3</c:v>
                </c:pt>
                <c:pt idx="723" formatCode="General">
                  <c:v>-8.9796390937044723E-3</c:v>
                </c:pt>
                <c:pt idx="724" formatCode="General">
                  <c:v>-9.9303863432396167E-3</c:v>
                </c:pt>
                <c:pt idx="725" formatCode="General">
                  <c:v>-6.4895993055328338E-3</c:v>
                </c:pt>
                <c:pt idx="726" formatCode="General">
                  <c:v>-8.8413081821717698E-3</c:v>
                </c:pt>
                <c:pt idx="727" formatCode="General">
                  <c:v>-9.3912500181384528E-3</c:v>
                </c:pt>
                <c:pt idx="728" formatCode="General">
                  <c:v>-6.2783092287677089E-3</c:v>
                </c:pt>
                <c:pt idx="729" formatCode="General">
                  <c:v>-2.7600553495552571E-3</c:v>
                </c:pt>
                <c:pt idx="730" formatCode="General">
                  <c:v>-4.0593800237838096E-3</c:v>
                </c:pt>
                <c:pt idx="731" formatCode="General">
                  <c:v>-1.8399491966556436E-3</c:v>
                </c:pt>
                <c:pt idx="732" formatCode="General">
                  <c:v>-4.6724082729554528E-3</c:v>
                </c:pt>
                <c:pt idx="733" formatCode="General">
                  <c:v>-5.9536519157697976E-3</c:v>
                </c:pt>
                <c:pt idx="734" formatCode="General">
                  <c:v>-6.321483119614224E-3</c:v>
                </c:pt>
                <c:pt idx="735" formatCode="General">
                  <c:v>-7.3527802557439292E-3</c:v>
                </c:pt>
                <c:pt idx="736" formatCode="General">
                  <c:v>-7.5502022381255252E-3</c:v>
                </c:pt>
                <c:pt idx="737" formatCode="General">
                  <c:v>-9.7092822242924592E-3</c:v>
                </c:pt>
                <c:pt idx="738" formatCode="General">
                  <c:v>-1.1326425737321011E-2</c:v>
                </c:pt>
                <c:pt idx="739" formatCode="General">
                  <c:v>-9.0887321690709122E-3</c:v>
                </c:pt>
                <c:pt idx="740" formatCode="General">
                  <c:v>-8.7616582392744391E-3</c:v>
                </c:pt>
                <c:pt idx="741" formatCode="General">
                  <c:v>-9.909990278833769E-3</c:v>
                </c:pt>
                <c:pt idx="742" formatCode="General">
                  <c:v>-7.8503088516602704E-3</c:v>
                </c:pt>
                <c:pt idx="743" formatCode="General">
                  <c:v>-5.1485885600203174E-3</c:v>
                </c:pt>
                <c:pt idx="744" formatCode="General">
                  <c:v>-3.4730265344560252E-3</c:v>
                </c:pt>
                <c:pt idx="745" formatCode="General">
                  <c:v>-2.7587748573778548E-3</c:v>
                </c:pt>
                <c:pt idx="746" formatCode="General">
                  <c:v>-1.3262284460902052E-4</c:v>
                </c:pt>
                <c:pt idx="747" formatCode="General">
                  <c:v>-7.371936290931913E-4</c:v>
                </c:pt>
                <c:pt idx="748" formatCode="General">
                  <c:v>-8.8123855228516845E-4</c:v>
                </c:pt>
                <c:pt idx="749" formatCode="General">
                  <c:v>0</c:v>
                </c:pt>
                <c:pt idx="750" formatCode="General">
                  <c:v>0</c:v>
                </c:pt>
                <c:pt idx="751" formatCode="General">
                  <c:v>0</c:v>
                </c:pt>
                <c:pt idx="752" formatCode="General">
                  <c:v>-3.8653444965812689E-3</c:v>
                </c:pt>
                <c:pt idx="753" formatCode="General">
                  <c:v>-6.061996636267053E-3</c:v>
                </c:pt>
                <c:pt idx="754" formatCode="General">
                  <c:v>-4.3704823689005856E-3</c:v>
                </c:pt>
                <c:pt idx="755" formatCode="General">
                  <c:v>-2.2180350790748093E-3</c:v>
                </c:pt>
                <c:pt idx="756" formatCode="General">
                  <c:v>-6.0628942212026526E-4</c:v>
                </c:pt>
                <c:pt idx="757" formatCode="General">
                  <c:v>0</c:v>
                </c:pt>
                <c:pt idx="758" formatCode="General">
                  <c:v>0</c:v>
                </c:pt>
                <c:pt idx="759" formatCode="General">
                  <c:v>0</c:v>
                </c:pt>
                <c:pt idx="760" formatCode="General">
                  <c:v>0</c:v>
                </c:pt>
                <c:pt idx="761" formatCode="General">
                  <c:v>0</c:v>
                </c:pt>
                <c:pt idx="762" formatCode="General">
                  <c:v>-4.3028167468239786E-4</c:v>
                </c:pt>
                <c:pt idx="763" formatCode="General">
                  <c:v>0</c:v>
                </c:pt>
                <c:pt idx="764" formatCode="General">
                  <c:v>0</c:v>
                </c:pt>
                <c:pt idx="765" formatCode="General">
                  <c:v>0</c:v>
                </c:pt>
                <c:pt idx="766" formatCode="General">
                  <c:v>-3.9289575964207568E-4</c:v>
                </c:pt>
                <c:pt idx="767" formatCode="General">
                  <c:v>-6.3175281897454028E-4</c:v>
                </c:pt>
                <c:pt idx="768" formatCode="General">
                  <c:v>0</c:v>
                </c:pt>
                <c:pt idx="769" formatCode="General">
                  <c:v>0</c:v>
                </c:pt>
                <c:pt idx="770" formatCode="General">
                  <c:v>0</c:v>
                </c:pt>
                <c:pt idx="771" formatCode="General">
                  <c:v>-5.5958928169808075E-4</c:v>
                </c:pt>
                <c:pt idx="772" formatCode="General">
                  <c:v>-1.5130887498374657E-3</c:v>
                </c:pt>
                <c:pt idx="773"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[0]!drawdown_benchmark</c:f>
              <c:numCache>
                <c:formatCode>0.00%</c:formatCode>
                <c:ptCount val="7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pt idx="753" formatCode="General">
                  <c:v>0</c:v>
                </c:pt>
                <c:pt idx="754" formatCode="General">
                  <c:v>0</c:v>
                </c:pt>
                <c:pt idx="755" formatCode="General">
                  <c:v>0</c:v>
                </c:pt>
                <c:pt idx="756" formatCode="General">
                  <c:v>0</c:v>
                </c:pt>
                <c:pt idx="757" formatCode="General">
                  <c:v>0</c:v>
                </c:pt>
                <c:pt idx="758" formatCode="General">
                  <c:v>0</c:v>
                </c:pt>
                <c:pt idx="759" formatCode="General">
                  <c:v>0</c:v>
                </c:pt>
                <c:pt idx="760" formatCode="General">
                  <c:v>0</c:v>
                </c:pt>
                <c:pt idx="761" formatCode="General">
                  <c:v>0</c:v>
                </c:pt>
                <c:pt idx="762" formatCode="General">
                  <c:v>0</c:v>
                </c:pt>
                <c:pt idx="763" formatCode="General">
                  <c:v>0</c:v>
                </c:pt>
                <c:pt idx="764" formatCode="General">
                  <c:v>0</c:v>
                </c:pt>
                <c:pt idx="765" formatCode="General">
                  <c:v>0</c:v>
                </c:pt>
                <c:pt idx="766" formatCode="General">
                  <c:v>0</c:v>
                </c:pt>
                <c:pt idx="767" formatCode="General">
                  <c:v>0</c:v>
                </c:pt>
                <c:pt idx="768" formatCode="General">
                  <c:v>0</c:v>
                </c:pt>
                <c:pt idx="769" formatCode="General">
                  <c:v>0</c:v>
                </c:pt>
                <c:pt idx="770" formatCode="General">
                  <c:v>0</c:v>
                </c:pt>
                <c:pt idx="771" formatCode="General">
                  <c:v>0</c:v>
                </c:pt>
                <c:pt idx="772" formatCode="General">
                  <c:v>0</c:v>
                </c:pt>
                <c:pt idx="773"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DA98EF1-A6C1-46A0-9089-70FA61CE6FDC}">
          <cx:dataPt idx="8">
            <cx:spPr>
              <a:solidFill>
                <a:srgbClr val="343A50"/>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visibility seriesName="0" categoryName="0" value="1"/>
          </cx:dataLabels>
          <cx:dataId val="0"/>
          <cx:layoutPr>
            <cx:visibility connectorLines="0"/>
            <cx:subtotals>
              <cx:idx val="8"/>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00000005-F9BA-461F-8FB5-7782B85B6065}">
          <cx:dataPt idx="3">
            <cx:spPr>
              <a:solidFill>
                <a:srgbClr val="343A50"/>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visibility connectorLines="0"/>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326570</xdr:colOff>
      <xdr:row>4</xdr:row>
      <xdr:rowOff>0</xdr:rowOff>
    </xdr:from>
    <xdr:to>
      <xdr:col>11</xdr:col>
      <xdr:colOff>182008</xdr:colOff>
      <xdr:row>9</xdr:row>
      <xdr:rowOff>21372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0" y="598714"/>
          <a:ext cx="4645152" cy="769765"/>
        </a:xfrm>
        <a:prstGeom prst="rect">
          <a:avLst/>
        </a:prstGeom>
      </xdr:spPr>
    </xdr:pic>
    <xdr:clientData/>
  </xdr:twoCellAnchor>
  <xdr:twoCellAnchor>
    <xdr:from>
      <xdr:col>0</xdr:col>
      <xdr:colOff>130023</xdr:colOff>
      <xdr:row>40</xdr:row>
      <xdr:rowOff>47126</xdr:rowOff>
    </xdr:from>
    <xdr:to>
      <xdr:col>10</xdr:col>
      <xdr:colOff>415773</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130023" y="7122840"/>
          <a:ext cx="4640036" cy="163736"/>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m.br</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23</xdr:col>
      <xdr:colOff>0</xdr:colOff>
      <xdr:row>0</xdr:row>
      <xdr:rowOff>0</xdr:rowOff>
    </xdr:from>
    <xdr:to>
      <xdr:col>26</xdr:col>
      <xdr:colOff>690562</xdr:colOff>
      <xdr:row>2</xdr:row>
      <xdr:rowOff>54100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535400" y="57150"/>
          <a:ext cx="3205162" cy="5303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1123950</xdr:colOff>
          <xdr:row>0</xdr:row>
          <xdr:rowOff>133350</xdr:rowOff>
        </xdr:from>
        <xdr:to>
          <xdr:col>19</xdr:col>
          <xdr:colOff>19050</xdr:colOff>
          <xdr:row>1</xdr:row>
          <xdr:rowOff>161925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3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 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95250</xdr:rowOff>
        </xdr:from>
        <xdr:to>
          <xdr:col>12</xdr:col>
          <xdr:colOff>19050</xdr:colOff>
          <xdr:row>1</xdr:row>
          <xdr:rowOff>114300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3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228600</xdr:colOff>
          <xdr:row>0</xdr:row>
          <xdr:rowOff>114300</xdr:rowOff>
        </xdr:from>
        <xdr:to>
          <xdr:col>22</xdr:col>
          <xdr:colOff>847725</xdr:colOff>
          <xdr:row>1</xdr:row>
          <xdr:rowOff>142875</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300-000004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85725</xdr:colOff>
          <xdr:row>1</xdr:row>
          <xdr:rowOff>66675</xdr:rowOff>
        </xdr:from>
        <xdr:to>
          <xdr:col>16</xdr:col>
          <xdr:colOff>1009650</xdr:colOff>
          <xdr:row>2</xdr:row>
          <xdr:rowOff>152400</xdr:rowOff>
        </xdr:to>
        <xdr:sp macro="" textlink="">
          <xdr:nvSpPr>
            <xdr:cNvPr id="38030" name="Button 142" hidden="1">
              <a:extLst>
                <a:ext uri="{63B3BB69-23CF-44E3-9099-C40C66FF867C}">
                  <a14:compatExt spid="_x0000_s38030"/>
                </a:ext>
                <a:ext uri="{FF2B5EF4-FFF2-40B4-BE49-F238E27FC236}">
                  <a16:creationId xmlns:a16="http://schemas.microsoft.com/office/drawing/2014/main" id="{00000000-0008-0000-0300-00008E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Rebalancear</a:t>
              </a:r>
            </a:p>
          </xdr:txBody>
        </xdr:sp>
        <xdr:clientData fPrintsWithSheet="0"/>
      </xdr:twoCellAnchor>
    </mc:Choice>
    <mc:Fallback/>
  </mc:AlternateContent>
  <xdr:twoCellAnchor editAs="oneCell">
    <xdr:from>
      <xdr:col>4</xdr:col>
      <xdr:colOff>2980763</xdr:colOff>
      <xdr:row>0</xdr:row>
      <xdr:rowOff>235323</xdr:rowOff>
    </xdr:from>
    <xdr:to>
      <xdr:col>8</xdr:col>
      <xdr:colOff>444451</xdr:colOff>
      <xdr:row>3</xdr:row>
      <xdr:rowOff>31688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2822" y="235323"/>
          <a:ext cx="3189894" cy="52474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352425</xdr:colOff>
          <xdr:row>0</xdr:row>
          <xdr:rowOff>371475</xdr:rowOff>
        </xdr:from>
        <xdr:to>
          <xdr:col>8</xdr:col>
          <xdr:colOff>200025</xdr:colOff>
          <xdr:row>2</xdr:row>
          <xdr:rowOff>19050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Rebalanceamento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200025</xdr:colOff>
          <xdr:row>1</xdr:row>
          <xdr:rowOff>209550</xdr:rowOff>
        </xdr:from>
        <xdr:to>
          <xdr:col>19</xdr:col>
          <xdr:colOff>314325</xdr:colOff>
          <xdr:row>3</xdr:row>
          <xdr:rowOff>19050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180975</xdr:colOff>
          <xdr:row>1</xdr:row>
          <xdr:rowOff>152400</xdr:rowOff>
        </xdr:from>
        <xdr:to>
          <xdr:col>28</xdr:col>
          <xdr:colOff>152400</xdr:colOff>
          <xdr:row>2</xdr:row>
          <xdr:rowOff>228600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5</xdr:col>
      <xdr:colOff>35719</xdr:colOff>
      <xdr:row>1</xdr:row>
      <xdr:rowOff>23814</xdr:rowOff>
    </xdr:from>
    <xdr:to>
      <xdr:col>8</xdr:col>
      <xdr:colOff>569819</xdr:colOff>
      <xdr:row>3</xdr:row>
      <xdr:rowOff>77914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69469" y="261939"/>
          <a:ext cx="3200400" cy="5303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847725</xdr:colOff>
          <xdr:row>0</xdr:row>
          <xdr:rowOff>28575</xdr:rowOff>
        </xdr:from>
        <xdr:to>
          <xdr:col>9</xdr:col>
          <xdr:colOff>419100</xdr:colOff>
          <xdr:row>0</xdr:row>
          <xdr:rowOff>314325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9525</xdr:rowOff>
        </xdr:from>
        <xdr:to>
          <xdr:col>13</xdr:col>
          <xdr:colOff>19050</xdr:colOff>
          <xdr:row>0</xdr:row>
          <xdr:rowOff>409575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6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23</xdr:col>
      <xdr:colOff>370416</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939577"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23</xdr:col>
      <xdr:colOff>370416</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9922259"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133</xdr:row>
      <xdr:rowOff>0</xdr:rowOff>
    </xdr:from>
    <xdr:to>
      <xdr:col>24</xdr:col>
      <xdr:colOff>130848</xdr:colOff>
      <xdr:row>164</xdr:row>
      <xdr:rowOff>52917</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23</xdr:col>
      <xdr:colOff>0</xdr:colOff>
      <xdr:row>1</xdr:row>
      <xdr:rowOff>0</xdr:rowOff>
    </xdr:from>
    <xdr:to>
      <xdr:col>27</xdr:col>
      <xdr:colOff>461962</xdr:colOff>
      <xdr:row>2</xdr:row>
      <xdr:rowOff>339850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73438" y="59531"/>
          <a:ext cx="3200400" cy="5303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676275</xdr:colOff>
      <xdr:row>2</xdr:row>
      <xdr:rowOff>339850</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03406" y="59531"/>
          <a:ext cx="3200400" cy="5303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D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15</xdr:col>
      <xdr:colOff>535781</xdr:colOff>
      <xdr:row>1</xdr:row>
      <xdr:rowOff>11907</xdr:rowOff>
    </xdr:from>
    <xdr:to>
      <xdr:col>19</xdr:col>
      <xdr:colOff>664369</xdr:colOff>
      <xdr:row>2</xdr:row>
      <xdr:rowOff>149350</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27844" y="71438"/>
          <a:ext cx="3200400" cy="5303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F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285751</xdr:colOff>
      <xdr:row>0</xdr:row>
      <xdr:rowOff>91031</xdr:rowOff>
    </xdr:from>
    <xdr:to>
      <xdr:col>1</xdr:col>
      <xdr:colOff>2926557</xdr:colOff>
      <xdr:row>3</xdr:row>
      <xdr:rowOff>30286</xdr:rowOff>
    </xdr:to>
    <xdr:pic>
      <xdr:nvPicPr>
        <xdr:cNvPr id="7" name="Pictur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1" y="91031"/>
          <a:ext cx="2938462" cy="48694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10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261940</xdr:colOff>
      <xdr:row>0</xdr:row>
      <xdr:rowOff>90895</xdr:rowOff>
    </xdr:from>
    <xdr:to>
      <xdr:col>2</xdr:col>
      <xdr:colOff>878684</xdr:colOff>
      <xdr:row>3</xdr:row>
      <xdr:rowOff>6474</xdr:rowOff>
    </xdr:to>
    <xdr:pic>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1940" y="90895"/>
          <a:ext cx="2795588" cy="463267"/>
        </a:xfrm>
        <a:prstGeom prst="rect">
          <a:avLst/>
        </a:prstGeom>
      </xdr:spPr>
    </xdr:pic>
    <xdr:clientData/>
  </xdr:twoCellAnchor>
  <xdr:twoCellAnchor>
    <xdr:from>
      <xdr:col>7</xdr:col>
      <xdr:colOff>631032</xdr:colOff>
      <xdr:row>0</xdr:row>
      <xdr:rowOff>130968</xdr:rowOff>
    </xdr:from>
    <xdr:to>
      <xdr:col>8</xdr:col>
      <xdr:colOff>916783</xdr:colOff>
      <xdr:row>2</xdr:row>
      <xdr:rowOff>141553</xdr:rowOff>
    </xdr:to>
    <xdr:sp macro="[0]!CleanColumn" textlink="">
      <xdr:nvSpPr>
        <xdr:cNvPr id="3" name="Rectangle: Rounded Corners 2">
          <a:extLst>
            <a:ext uri="{FF2B5EF4-FFF2-40B4-BE49-F238E27FC236}">
              <a16:creationId xmlns:a16="http://schemas.microsoft.com/office/drawing/2014/main" id="{00000000-0008-0000-1000-000003000000}"/>
            </a:ext>
          </a:extLst>
        </xdr:cNvPr>
        <xdr:cNvSpPr/>
      </xdr:nvSpPr>
      <xdr:spPr>
        <a:xfrm>
          <a:off x="8512970" y="130968"/>
          <a:ext cx="1559719"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Clear Spaces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452437</xdr:colOff>
      <xdr:row>1</xdr:row>
      <xdr:rowOff>119063</xdr:rowOff>
    </xdr:from>
    <xdr:to>
      <xdr:col>23</xdr:col>
      <xdr:colOff>759619</xdr:colOff>
      <xdr:row>3</xdr:row>
      <xdr:rowOff>30288</xdr:rowOff>
    </xdr:to>
    <xdr:pic>
      <xdr:nvPicPr>
        <xdr:cNvPr id="4" name="Pictur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144750" y="178594"/>
          <a:ext cx="3200400" cy="5303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7</xdr:col>
      <xdr:colOff>1152525</xdr:colOff>
      <xdr:row>2</xdr:row>
      <xdr:rowOff>125537</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36156" y="59531"/>
          <a:ext cx="3200400" cy="5303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7</xdr:col>
      <xdr:colOff>1004047</xdr:colOff>
      <xdr:row>2</xdr:row>
      <xdr:rowOff>126938</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43382" y="56029"/>
          <a:ext cx="3200400" cy="5303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326570</xdr:colOff>
      <xdr:row>4</xdr:row>
      <xdr:rowOff>0</xdr:rowOff>
    </xdr:from>
    <xdr:to>
      <xdr:col>11</xdr:col>
      <xdr:colOff>182008</xdr:colOff>
      <xdr:row>9</xdr:row>
      <xdr:rowOff>21372</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0" y="571500"/>
          <a:ext cx="4675088" cy="735747"/>
        </a:xfrm>
        <a:prstGeom prst="rect">
          <a:avLst/>
        </a:prstGeom>
      </xdr:spPr>
    </xdr:pic>
    <xdr:clientData/>
  </xdr:twoCellAnchor>
  <xdr:twoCellAnchor>
    <xdr:from>
      <xdr:col>0</xdr:col>
      <xdr:colOff>130023</xdr:colOff>
      <xdr:row>40</xdr:row>
      <xdr:rowOff>47126</xdr:rowOff>
    </xdr:from>
    <xdr:to>
      <xdr:col>10</xdr:col>
      <xdr:colOff>415773</xdr:colOff>
      <xdr:row>41</xdr:row>
      <xdr:rowOff>61183</xdr:rowOff>
    </xdr:to>
    <xdr:sp macro="" textlink="">
      <xdr:nvSpPr>
        <xdr:cNvPr id="3" name="bsideinvestimentos.com.br">
          <a:extLst>
            <a:ext uri="{FF2B5EF4-FFF2-40B4-BE49-F238E27FC236}">
              <a16:creationId xmlns:a16="http://schemas.microsoft.com/office/drawing/2014/main" id="{00000000-0008-0000-1500-000003000000}"/>
            </a:ext>
          </a:extLst>
        </xdr:cNvPr>
        <xdr:cNvSpPr txBox="1"/>
      </xdr:nvSpPr>
      <xdr:spPr>
        <a:xfrm>
          <a:off x="130023" y="6876551"/>
          <a:ext cx="4667250" cy="156932"/>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m.br</a:t>
          </a:r>
          <a:endParaRPr sz="1100" b="0" spc="601">
            <a:solidFill>
              <a:srgbClr val="B5BBCF"/>
            </a:solidFill>
          </a:endParaRPr>
        </a:p>
      </xdr:txBody>
    </xdr:sp>
    <xdr:clientData/>
  </xdr:twoCellAnchor>
</xdr:wsDr>
</file>

<file path=xl/drawings/drawing20.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5581651"/>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95250" y="781048"/>
          <a:ext cx="9620250" cy="55816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100" b="1" u="sng">
              <a:solidFill>
                <a:schemeClr val="tx1"/>
              </a:solidFill>
              <a:effectLst/>
              <a:latin typeface="+mn-lt"/>
              <a:ea typeface="+mn-ea"/>
              <a:cs typeface="+mn-cs"/>
            </a:rPr>
            <a:t>Liquidez:</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endParaRPr lang="pt-BR">
            <a:effectLst/>
          </a:endParaRPr>
        </a:p>
        <a:p>
          <a:r>
            <a:rPr lang="pt-BR" sz="1100">
              <a:solidFill>
                <a:schemeClr val="tx1"/>
              </a:solidFill>
              <a:effectLst/>
              <a:latin typeface="+mn-lt"/>
              <a:ea typeface="+mn-ea"/>
              <a:cs typeface="+mn-cs"/>
            </a:rPr>
            <a:t> </a:t>
          </a:r>
          <a:endParaRPr lang="pt-BR">
            <a:effectLst/>
          </a:endParaRPr>
        </a:p>
        <a:p>
          <a:pPr eaLnBrk="1" fontAlgn="auto" latinLnBrk="0" hangingPunct="1"/>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 </a:t>
          </a:r>
        </a:p>
        <a:p>
          <a:pPr eaLnBrk="1" fontAlgn="auto" latinLnBrk="0" hangingPunct="1"/>
          <a:endParaRPr lang="pt-BR">
            <a:effectLst/>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a:t>
          </a:r>
          <a:r>
            <a:rPr lang="pt-BR" sz="1100" b="1" u="sng">
              <a:solidFill>
                <a:schemeClr val="tx1"/>
              </a:solidFill>
              <a:effectLst/>
              <a:latin typeface="+mn-lt"/>
              <a:ea typeface="+mn-ea"/>
              <a:cs typeface="+mn-cs"/>
            </a:rPr>
            <a:t>não sendo garantia de performance futura</a:t>
          </a:r>
          <a:r>
            <a:rPr lang="pt-BR" sz="1100">
              <a:solidFill>
                <a:schemeClr val="tx1"/>
              </a:solidFill>
              <a:effectLst/>
              <a:latin typeface="+mn-lt"/>
              <a:ea typeface="+mn-ea"/>
              <a:cs typeface="+mn-cs"/>
            </a:rPr>
            <a:t>. </a:t>
          </a:r>
        </a:p>
        <a:p>
          <a:r>
            <a:rPr lang="pt-BR" sz="1100">
              <a:solidFill>
                <a:schemeClr val="tx1"/>
              </a:solidFill>
              <a:effectLst/>
              <a:latin typeface="+mn-lt"/>
              <a:ea typeface="+mn-ea"/>
              <a:cs typeface="+mn-cs"/>
            </a:rPr>
            <a:t> </a:t>
          </a:r>
          <a:endParaRPr lang="pt-BR">
            <a:effectLst/>
          </a:endParaRPr>
        </a:p>
        <a:p>
          <a:r>
            <a:rPr lang="pt-BR" sz="1100" b="1" u="sng">
              <a:solidFill>
                <a:schemeClr val="tx1"/>
              </a:solidFill>
              <a:effectLst/>
              <a:latin typeface="+mn-lt"/>
              <a:ea typeface="+mn-ea"/>
              <a:cs typeface="+mn-cs"/>
            </a:rPr>
            <a:t>Disclaimer: </a:t>
          </a:r>
          <a:r>
            <a:rPr lang="pt-BR" sz="1100" b="0">
              <a:solidFill>
                <a:schemeClr val="tx1"/>
              </a:solidFill>
              <a:effectLst/>
              <a:latin typeface="+mn-lt"/>
              <a:ea typeface="+mn-ea"/>
              <a:cs typeface="+mn-cs"/>
            </a:rPr>
            <a:t>O portfolio acima, </a:t>
          </a:r>
          <a:r>
            <a:rPr lang="pt-BR" sz="1100" b="1" u="sng">
              <a:solidFill>
                <a:schemeClr val="tx1"/>
              </a:solidFill>
              <a:effectLst/>
              <a:latin typeface="+mn-lt"/>
              <a:ea typeface="+mn-ea"/>
              <a:cs typeface="+mn-cs"/>
            </a:rPr>
            <a:t>não represanta qualquer recomendação de investimento </a:t>
          </a:r>
          <a:r>
            <a:rPr lang="pt-BR" sz="1100" b="0">
              <a:solidFill>
                <a:schemeClr val="tx1"/>
              </a:solidFill>
              <a:effectLst/>
              <a:latin typeface="+mn-lt"/>
              <a:ea typeface="+mn-ea"/>
              <a:cs typeface="+mn-cs"/>
            </a:rPr>
            <a:t>por parte da B.Side Investimentos ("B.Side") ou do BTG Pactual (“BTG”). O portfolio acima é </a:t>
          </a:r>
          <a:r>
            <a:rPr lang="pt-BR" sz="1100" b="0" u="none">
              <a:solidFill>
                <a:schemeClr val="tx1"/>
              </a:solidFill>
              <a:effectLst/>
              <a:latin typeface="+mn-lt"/>
              <a:ea typeface="+mn-ea"/>
              <a:cs typeface="+mn-cs"/>
            </a:rPr>
            <a:t>uma mera simulação de alocação, não configurando a abertura ou compromisso de início de relacionamento com o BTG ou com a B.Side e tampouco oferta de qualquer produto e/ou serviço.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a:t>
          </a:r>
          <a:r>
            <a:rPr lang="pt-BR" sz="1100" b="0">
              <a:solidFill>
                <a:schemeClr val="tx1"/>
              </a:solidFill>
              <a:effectLst/>
              <a:latin typeface="+mn-lt"/>
              <a:ea typeface="+mn-ea"/>
              <a:cs typeface="+mn-cs"/>
            </a:rPr>
            <a:t>.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a:t>
          </a:r>
        </a:p>
        <a:p>
          <a:endParaRPr lang="pt-BR" sz="1100" b="1">
            <a:solidFill>
              <a:schemeClr val="tx1"/>
            </a:solidFill>
            <a:effectLst/>
            <a:latin typeface="+mn-lt"/>
            <a:ea typeface="+mn-ea"/>
            <a:cs typeface="+mn-cs"/>
          </a:endParaRPr>
        </a:p>
        <a:p>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Assessor. </a:t>
          </a:r>
          <a:endParaRPr lang="pt-BR">
            <a:effectLst/>
          </a:endParaRPr>
        </a:p>
      </xdr:txBody>
    </xdr:sp>
    <xdr:clientData/>
  </xdr:oneCellAnchor>
</xdr:wsDr>
</file>

<file path=xl/drawings/drawing21.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7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42574"/>
        </a:xfrm>
        <a:prstGeom prst="rect">
          <a:avLst/>
        </a:prstGeom>
        <a:ln w="12700">
          <a:miter lim="400000"/>
        </a:ln>
      </xdr:spPr>
    </xdr:pic>
    <xdr:clientData/>
  </xdr:twoCellAnchor>
  <xdr:twoCellAnchor editAs="oneCell">
    <xdr:from>
      <xdr:col>12</xdr:col>
      <xdr:colOff>222250</xdr:colOff>
      <xdr:row>20</xdr:row>
      <xdr:rowOff>243417</xdr:rowOff>
    </xdr:from>
    <xdr:to>
      <xdr:col>21</xdr:col>
      <xdr:colOff>38608</xdr:colOff>
      <xdr:row>24</xdr:row>
      <xdr:rowOff>24054</xdr:rowOff>
    </xdr:to>
    <xdr:pic>
      <xdr:nvPicPr>
        <xdr:cNvPr id="6" name="Picture 5">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24500" y="3206750"/>
          <a:ext cx="3721608" cy="616721"/>
        </a:xfrm>
        <a:prstGeom prst="rect">
          <a:avLst/>
        </a:prstGeom>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700-000043000000}"/>
            </a:ext>
          </a:extLst>
        </xdr:cNvPr>
        <xdr:cNvGrpSpPr>
          <a:grpSpLocks noChangeAspect="1"/>
        </xdr:cNvGrpSpPr>
      </xdr:nvGrpSpPr>
      <xdr:grpSpPr>
        <a:xfrm>
          <a:off x="7518400" y="6406325"/>
          <a:ext cx="374651" cy="361951"/>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7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7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7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7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7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700-00006D000000}"/>
            </a:ext>
          </a:extLst>
        </xdr:cNvPr>
        <xdr:cNvGrpSpPr/>
      </xdr:nvGrpSpPr>
      <xdr:grpSpPr>
        <a:xfrm>
          <a:off x="3865035" y="6420909"/>
          <a:ext cx="501648" cy="383116"/>
          <a:chOff x="4169835" y="5767917"/>
          <a:chExt cx="610983" cy="476250"/>
        </a:xfrm>
      </xdr:grpSpPr>
      <xdr:grpSp>
        <xdr:nvGrpSpPr>
          <xdr:cNvPr id="80" name="Agrupar 25">
            <a:extLst>
              <a:ext uri="{FF2B5EF4-FFF2-40B4-BE49-F238E27FC236}">
                <a16:creationId xmlns:a16="http://schemas.microsoft.com/office/drawing/2014/main" id="{00000000-0008-0000-17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7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7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7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7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7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7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7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7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7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7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700-00006C000000}"/>
            </a:ext>
          </a:extLst>
        </xdr:cNvPr>
        <xdr:cNvGrpSpPr/>
      </xdr:nvGrpSpPr>
      <xdr:grpSpPr>
        <a:xfrm>
          <a:off x="344426" y="6431493"/>
          <a:ext cx="580560" cy="376765"/>
          <a:chOff x="560240" y="5803900"/>
          <a:chExt cx="698989" cy="476250"/>
        </a:xfrm>
      </xdr:grpSpPr>
      <xdr:grpSp>
        <xdr:nvGrpSpPr>
          <xdr:cNvPr id="96" name="Group 95">
            <a:extLst>
              <a:ext uri="{FF2B5EF4-FFF2-40B4-BE49-F238E27FC236}">
                <a16:creationId xmlns:a16="http://schemas.microsoft.com/office/drawing/2014/main" id="{00000000-0008-0000-17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7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7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7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7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7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7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7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r="http://schemas.openxmlformats.org/officeDocument/2006/relationships" xmlns:p="http://schemas.openxmlformats.org/presentationml/2006/main" xmlns="" xmlns:ma14="http://schemas.microsoft.com/office/mac/drawingml/2011/main" xmlns:a14="http://schemas.microsoft.com/office/drawing/2010/main" xmlns:m="http://schemas.openxmlformats.org/officeDocument/2006/math"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Agente Autônomo</a:t>
          </a:r>
          <a:r>
            <a:rPr lang="pt-BR" sz="1050" b="0" kern="1200" baseline="0">
              <a:solidFill>
                <a:srgbClr val="9DB3C9"/>
              </a:solidFill>
              <a:latin typeface="+mn-lt"/>
              <a:cs typeface="Sarabun Light" panose="00000400000000000000" pitchFamily="2" charset="-34"/>
              <a:sym typeface="Archia SemiBold"/>
            </a:rPr>
            <a:t> de Investimentos</a:t>
          </a:r>
          <a:r>
            <a:rPr lang="pt-BR" sz="1050" b="0" kern="1200">
              <a:solidFill>
                <a:srgbClr val="9DB3C9"/>
              </a:solidFill>
              <a:latin typeface="+mn-lt"/>
              <a:cs typeface="Sarabun Light" panose="00000400000000000000" pitchFamily="2" charset="-34"/>
              <a:sym typeface="Archia SemiBold"/>
            </a:rPr>
            <a: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07C144BC-C0EC-4BD0-A7B3-1F7B9322CD9E}" autoFormatId="16" applyNumberFormats="0" applyBorderFormats="0" applyFontFormats="0" applyPatternFormats="0" applyAlignmentFormats="0" applyWidthHeightFormats="0">
  <queryTableRefresh nextId="47">
    <queryTableFields count="46">
      <queryTableField id="1" name="Fundo" tableColumnId="1"/>
      <queryTableField id="2" name="CNPJ" tableColumnId="2"/>
      <queryTableField id="3" name="Classe" tableColumnId="3"/>
      <queryTableField id="4" name="Estratégia" tableColumnId="4"/>
      <queryTableField id="5" name="Estilo" tableColumnId="5"/>
      <queryTableField id="6" name="Duration" tableColumnId="6"/>
      <queryTableField id="7" name="Volatilidade" tableColumnId="7"/>
      <queryTableField id="8" name="Crédito" tableColumnId="8"/>
      <queryTableField id="9" name="Geografia" tableColumnId="9"/>
      <queryTableField id="10" name="Moeda" tableColumnId="10"/>
      <queryTableField id="11" name="Status" tableColumnId="11"/>
      <queryTableField id="12" name="Foco" tableColumnId="12"/>
      <queryTableField id="13" name="Código Anbima" tableColumnId="13"/>
      <queryTableField id="14" name="Aberto p/ Captação?" tableColumnId="14"/>
      <queryTableField id="15" name="Início do Fundo" tableColumnId="15"/>
      <queryTableField id="16" name="PL" tableColumnId="16"/>
      <queryTableField id="17" name="PL Média 12M" tableColumnId="17"/>
      <queryTableField id="18" name="Liquidez (D+)" tableColumnId="18"/>
      <queryTableField id="19" name="Retorno YTD" tableColumnId="19"/>
      <queryTableField id="20" name="Retorno %CDI YTD" tableColumnId="20"/>
      <queryTableField id="21" name="Retorno 12M" tableColumnId="21"/>
      <queryTableField id="22" name="Retorno %CDI 12M" tableColumnId="22"/>
      <queryTableField id="23" name="Retorno 24M" tableColumnId="23"/>
      <queryTableField id="24" name="Retorno %CDI 24M" tableColumnId="24"/>
      <queryTableField id="25" name="Retorno 36M" tableColumnId="25"/>
      <queryTableField id="26" name="Retorno %CDI 36M" tableColumnId="26"/>
      <queryTableField id="27" name="Volatilidade 12M" tableColumnId="27"/>
      <queryTableField id="28" name="Sharpe 12M" tableColumnId="28"/>
      <queryTableField id="29" name="Fundo Master" tableColumnId="29"/>
      <queryTableField id="30" name="Gestão" tableColumnId="30"/>
      <queryTableField id="31" name="Administrador" tableColumnId="31"/>
      <queryTableField id="32" name="Custodiante" tableColumnId="32"/>
      <queryTableField id="33" name="Público Alvo" tableColumnId="33"/>
      <queryTableField id="34" name="Aplicação Mínima" tableColumnId="34"/>
      <queryTableField id="35" name="Movimentação Mínima" tableColumnId="35"/>
      <queryTableField id="36" name="Saldo Mínimo" tableColumnId="36"/>
      <queryTableField id="37" name="Taxa de Adm." tableColumnId="37"/>
      <queryTableField id="38" name="Taxa de Performance" tableColumnId="38"/>
      <queryTableField id="39" name="Benchmark" tableColumnId="39"/>
      <queryTableField id="40" name="Prev?" tableColumnId="40"/>
      <queryTableField id="41" name="Classificação CVM" tableColumnId="41"/>
      <queryTableField id="42" name="Classificação Anbima" tableColumnId="42"/>
      <queryTableField id="43" name="Repasse Taxa Adm. AAI" tableColumnId="43"/>
      <queryTableField id="44" name="Repasse Taxa Adm. Gestor" tableColumnId="44"/>
      <queryTableField id="45" name="Comentário" tableColumnId="45"/>
      <queryTableField id="46" name="Onshore/Offshore" tableColumnId="4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12CC756B-CC4B-4DD0-9AC4-F7214D1A089A}" autoFormatId="16" applyNumberFormats="0" applyBorderFormats="0" applyFontFormats="0" applyPatternFormats="0" applyAlignmentFormats="0" applyWidthHeightFormats="0">
  <queryTableRefresh nextId="15">
    <queryTableFields count="6">
      <queryTableField id="9" name="DtRef" tableColumnId="1"/>
      <queryTableField id="10" name="Perfil" tableColumnId="2"/>
      <queryTableField id="11" name="TipoPerfil" tableColumnId="3"/>
      <queryTableField id="12" name="Ativo" tableColumnId="4"/>
      <queryTableField id="13" name="Classe" tableColumnId="5"/>
      <queryTableField id="14" name="Peso"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E9CB0056-8A3C-41E9-AE94-D04F94BE8B2F}" autoFormatId="16" applyNumberFormats="0" applyBorderFormats="0" applyFontFormats="0" applyPatternFormats="0" applyAlignmentFormats="0" applyWidthHeightFormats="0">
  <queryTableRefresh nextId="9">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8" name="Data Ref." tableColumnId="8"/>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pt-BR</v>
    <v>avylgh</v>
    <v>268435456</v>
    <v>1</v>
    <v>Da plataforma Refinitiv</v>
    <v>0</v>
    <v>1</v>
    <v>USD/BRL</v>
    <v>3</v>
    <v>4</v>
    <v>Finance</v>
    <v>5</v>
    <v>5.5297000000000001</v>
    <v>4.6070000000000002</v>
    <v>4.9400000000000004</v>
    <v>4.8940000000000001</v>
    <v>USD</v>
    <v>4.9180999999999999</v>
    <v>45029.786134259259</v>
    <v>BRL</v>
    <v>US Dollar/Brazilian Real FX Spot Rate</v>
    <v>4.9180999999999999</v>
    <v>4.9268999999999998</v>
    <v>USDBRL</v>
    <v>Par de Moedas</v>
    <v>USD/BRL</v>
    <v>8.8000000000000005E-3</v>
    <v>1.789E-3</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6">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m/d/yyyy\ h:mm"/>
    </x:dxf>
  </dxfs>
  <richProperties>
    <rPr n="NumberFormat" t="s"/>
    <rPr n="IsTitleField" t="b"/>
  </richProperties>
  <richStyles>
    <rSty dxfid="0">
      <rpv i="0">_-[$R$-pt-BR] * #,##0.00_-;-[$R$-pt-BR] * #,##0.00_-;_-[$R$-pt-BR] * "-"??_-;_-@_-</rpv>
    </rSty>
    <rSty>
      <rpv i="1">1</rpv>
    </rSty>
    <rSty dxfid="1"/>
    <rSty dxfid="2">
      <rpv i="0">0.00</rpv>
    </rSty>
    <rSty dxfid="3"/>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E53DA6B-0436-431A-82FE-8EF21418EB94}" name="View_FundGuide" displayName="View_FundGuide" ref="B5:AU1544" tableType="queryTable" totalsRowShown="0">
  <autoFilter ref="B5:AU1544" xr:uid="{1E53DA6B-0436-431A-82FE-8EF21418EB94}"/>
  <sortState xmlns:xlrd2="http://schemas.microsoft.com/office/spreadsheetml/2017/richdata2" ref="B6:AU1544">
    <sortCondition ref="L5:L1544"/>
  </sortState>
  <tableColumns count="46">
    <tableColumn id="1" xr3:uid="{28280B21-5B2C-4772-B85B-99014944FE2B}" uniqueName="1" name="Fundo" queryTableFieldId="1" dataDxfId="147"/>
    <tableColumn id="2" xr3:uid="{B4D080C3-BE64-4103-8639-D6B49BBEE67C}" uniqueName="2" name="CNPJ" queryTableFieldId="2" dataDxfId="146"/>
    <tableColumn id="3" xr3:uid="{0CCE8447-FA1E-4001-90E5-82C99C561EAF}" uniqueName="3" name="Classe" queryTableFieldId="3" dataDxfId="145"/>
    <tableColumn id="4" xr3:uid="{9A3AA7C7-9491-4C7A-8829-7EC7CD73BAB4}" uniqueName="4" name="Estratégia" queryTableFieldId="4" dataDxfId="144"/>
    <tableColumn id="5" xr3:uid="{F581FF4F-265F-4570-8FBB-6CE2D151BC25}" uniqueName="5" name="Estilo" queryTableFieldId="5" dataDxfId="143"/>
    <tableColumn id="6" xr3:uid="{99083F34-65AC-4384-83AD-A3E81436EEEA}" uniqueName="6" name="Duration" queryTableFieldId="6" dataDxfId="142"/>
    <tableColumn id="7" xr3:uid="{8A14B970-4172-46A0-817D-4ABE9161BCC3}" uniqueName="7" name="Volatilidade" queryTableFieldId="7" dataDxfId="141"/>
    <tableColumn id="8" xr3:uid="{76B8C0DF-79F7-4E0A-944D-1E2D01C4EB95}" uniqueName="8" name="Crédito" queryTableFieldId="8" dataDxfId="140"/>
    <tableColumn id="9" xr3:uid="{AF7ED99D-F45C-4D40-82F7-C2ADAC137E44}" uniqueName="9" name="Geografia" queryTableFieldId="9" dataDxfId="139"/>
    <tableColumn id="10" xr3:uid="{14190287-9B01-4791-BC64-A1FE0B6F8327}" uniqueName="10" name="Moeda" queryTableFieldId="10" dataDxfId="138"/>
    <tableColumn id="11" xr3:uid="{D98BAE10-8239-4281-83BA-5C3913FF912D}" uniqueName="11" name="Status" queryTableFieldId="11" dataDxfId="137"/>
    <tableColumn id="12" xr3:uid="{281687ED-F7AD-41CF-BCB9-9BF79C23D5FC}" uniqueName="12" name="Foco" queryTableFieldId="12" dataDxfId="136"/>
    <tableColumn id="13" xr3:uid="{B89A80F6-ABA5-4552-AA65-0373A617DFBB}" uniqueName="13" name="Código Anbima" queryTableFieldId="13" dataDxfId="135"/>
    <tableColumn id="14" xr3:uid="{134B3BF7-54CF-4F09-B2A1-B63C326C3E65}" uniqueName="14" name="Aberto p/ Captação?" queryTableFieldId="14" dataDxfId="134"/>
    <tableColumn id="15" xr3:uid="{D23246A0-0CB0-4A34-AA64-32DF56311DC3}" uniqueName="15" name="Início do Fundo" queryTableFieldId="15" dataDxfId="133"/>
    <tableColumn id="16" xr3:uid="{5603811F-481C-4576-A5EF-FC5E83DD0015}" uniqueName="16" name="PL" queryTableFieldId="16" dataDxfId="132" dataCellStyle="Per cent"/>
    <tableColumn id="17" xr3:uid="{A4110308-3795-4282-B206-5B4394F342C0}" uniqueName="17" name="PL Média 12M" queryTableFieldId="17" dataDxfId="131" dataCellStyle="Per cent"/>
    <tableColumn id="18" xr3:uid="{6C923FB4-381A-4D35-B718-1B9D710D2F2C}" uniqueName="18" name="Liquidez (D+)" queryTableFieldId="18" dataDxfId="130"/>
    <tableColumn id="19" xr3:uid="{B5E15696-E74D-40B2-BE08-E7AD731EEE79}" uniqueName="19" name="Retorno YTD" queryTableFieldId="19" dataDxfId="129" dataCellStyle="Per cent"/>
    <tableColumn id="20" xr3:uid="{8B757E65-C3E1-47B4-B2A4-6AB0A2E56E2E}" uniqueName="20" name="Retorno %CDI YTD" queryTableFieldId="20" dataDxfId="128" dataCellStyle="Per cent"/>
    <tableColumn id="21" xr3:uid="{2A764C05-4554-44A0-A26D-CD4B26E48E4C}" uniqueName="21" name="Retorno 12M" queryTableFieldId="21" dataDxfId="127" dataCellStyle="Per cent"/>
    <tableColumn id="22" xr3:uid="{491B9BC5-5489-4DB9-ADF0-1ED0084EA79E}" uniqueName="22" name="Retorno %CDI 12M" queryTableFieldId="22" dataDxfId="126" dataCellStyle="Per cent"/>
    <tableColumn id="23" xr3:uid="{5604359C-2C9D-40CD-9C26-B083EB24DA31}" uniqueName="23" name="Retorno 24M" queryTableFieldId="23" dataDxfId="125" dataCellStyle="Per cent"/>
    <tableColumn id="24" xr3:uid="{A40A0F9E-7E87-4982-BA66-CD70D33DB067}" uniqueName="24" name="Retorno %CDI 24M" queryTableFieldId="24" dataDxfId="124" dataCellStyle="Per cent"/>
    <tableColumn id="25" xr3:uid="{4494C3E8-CE4E-4129-8864-41ABC84CEA3C}" uniqueName="25" name="Retorno 36M" queryTableFieldId="25" dataDxfId="123" dataCellStyle="Per cent"/>
    <tableColumn id="26" xr3:uid="{B5430B6C-53BF-4842-88A9-89B6D1BD3291}" uniqueName="26" name="Retorno %CDI 36M" queryTableFieldId="26" dataDxfId="122" dataCellStyle="Per cent"/>
    <tableColumn id="27" xr3:uid="{4E3B7413-3147-47EF-9E18-B6FC3195568D}" uniqueName="27" name="Volatilidade 12M" queryTableFieldId="27" dataDxfId="121" dataCellStyle="Per cent"/>
    <tableColumn id="28" xr3:uid="{DDFC5552-FDD5-4747-A397-63E2F4D10696}" uniqueName="28" name="Sharpe 12M" queryTableFieldId="28" dataDxfId="120" dataCellStyle="Per cent"/>
    <tableColumn id="29" xr3:uid="{2CB486FF-24FF-4E56-AB02-280DCB1B0F00}" uniqueName="29" name="Fundo Master" queryTableFieldId="29" dataDxfId="119"/>
    <tableColumn id="30" xr3:uid="{BE55D3C7-C676-4980-ADE7-F2847C71B43E}" uniqueName="30" name="Gestão" queryTableFieldId="30" dataDxfId="118"/>
    <tableColumn id="31" xr3:uid="{77F033AC-711F-43F2-ABBB-034CA7858DCD}" uniqueName="31" name="Administrador" queryTableFieldId="31" dataDxfId="117"/>
    <tableColumn id="32" xr3:uid="{8A912A2D-E38A-44F6-A3CF-0CC83078A6F8}" uniqueName="32" name="Custodiante" queryTableFieldId="32" dataDxfId="116"/>
    <tableColumn id="33" xr3:uid="{D401D62D-AF05-46A1-B07D-6088C4C55C05}" uniqueName="33" name="Público Alvo" queryTableFieldId="33" dataDxfId="115"/>
    <tableColumn id="34" xr3:uid="{119F653B-B04D-4330-83FB-39513D1BE799}" uniqueName="34" name="Aplicação Mínima" queryTableFieldId="34" dataDxfId="114"/>
    <tableColumn id="35" xr3:uid="{7CDF3229-E838-425C-82E6-03F783EA7CDC}" uniqueName="35" name="Movimentação Mínima" queryTableFieldId="35" dataDxfId="113"/>
    <tableColumn id="36" xr3:uid="{7F79B2B3-235B-405F-BA01-362D060ECD3F}" uniqueName="36" name="Saldo Mínimo" queryTableFieldId="36" dataDxfId="112"/>
    <tableColumn id="37" xr3:uid="{44B0922F-B452-4DED-B09D-B4E9E8FF5196}" uniqueName="37" name="Taxa de Adm." queryTableFieldId="37" dataDxfId="111" dataCellStyle="Per cent"/>
    <tableColumn id="38" xr3:uid="{5041F1EB-6B71-4F53-8E2F-E43932337827}" uniqueName="38" name="Taxa de Performance" queryTableFieldId="38" dataDxfId="110" dataCellStyle="Per cent"/>
    <tableColumn id="39" xr3:uid="{031D58A9-6132-4B57-B83E-53CB150CD79E}" uniqueName="39" name="Benchmark" queryTableFieldId="39" dataDxfId="109" dataCellStyle="Per cent"/>
    <tableColumn id="40" xr3:uid="{54D071BB-DEB0-424B-A82C-710A15FD0240}" uniqueName="40" name="Prev?" queryTableFieldId="40" dataDxfId="108"/>
    <tableColumn id="41" xr3:uid="{EA6C511D-1794-450F-AC34-31B449DF5930}" uniqueName="41" name="Classificação CVM" queryTableFieldId="41" dataDxfId="107"/>
    <tableColumn id="42" xr3:uid="{FB72CFF5-BF70-4A00-BCFC-6025D61F6738}" uniqueName="42" name="Classificação Anbima" queryTableFieldId="42" dataDxfId="106" dataCellStyle="Per cent"/>
    <tableColumn id="43" xr3:uid="{A2295878-B90E-4A56-A232-D927A52488ED}" uniqueName="43" name="Repasse Taxa Adm. AAI" queryTableFieldId="43" dataDxfId="105" dataCellStyle="Per cent"/>
    <tableColumn id="44" xr3:uid="{1A73510D-A65D-4557-B95A-A6A3E8C3DCED}" uniqueName="44" name="Repasse Taxa Adm. Gestor" queryTableFieldId="44" dataDxfId="104" dataCellStyle="Per cent"/>
    <tableColumn id="45" xr3:uid="{DA87BEB1-4FF4-47BD-B282-5EFBD65CFDAE}" uniqueName="45" name="Comentário" queryTableFieldId="45" dataDxfId="103" dataCellStyle="Per cent"/>
    <tableColumn id="46" xr3:uid="{983638AC-9B25-421B-B676-AD8CCC83E24B}" uniqueName="46" name="Onshore/Offshore" queryTableFieldId="46" dataDxfId="102" dataCellStyle="Per 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513F7C-98D3-4A72-B602-4AB92E9458EA}" name="Tbl_AssetAllocation" displayName="Tbl_AssetAllocation" ref="B6:G67" tableType="queryTable" totalsRowShown="0" headerRowDxfId="35" dataDxfId="34">
  <autoFilter ref="B6:G67" xr:uid="{987DFB97-53CA-47E5-9755-E26722D761BD}"/>
  <tableColumns count="6">
    <tableColumn id="1" xr3:uid="{7257BE42-B361-4A41-AED4-611C88D8247E}" uniqueName="1" name="DtRef" queryTableFieldId="9" dataDxfId="12"/>
    <tableColumn id="2" xr3:uid="{7AA070E1-9384-463D-92A4-642A3136D41C}" uniqueName="2" name="Perfil" queryTableFieldId="10" dataDxfId="11"/>
    <tableColumn id="3" xr3:uid="{9A968D79-A36B-4F71-B338-ED9E43581AC7}" uniqueName="3" name="TipoPerfil" queryTableFieldId="11" dataDxfId="10"/>
    <tableColumn id="4" xr3:uid="{583DBDFA-C737-4784-ABEB-D23902CBFE61}" uniqueName="4" name="Ativo" queryTableFieldId="12" dataDxfId="9"/>
    <tableColumn id="5" xr3:uid="{AF1DB760-37B5-405E-B97A-5FDF249737D9}" uniqueName="5" name="Classe" queryTableFieldId="13" dataDxfId="8"/>
    <tableColumn id="6" xr3:uid="{AF4D9BE8-0DEE-4460-842E-9F1795EFE904}" uniqueName="6" name="Peso" queryTableFieldId="14" dataDxfId="7" dataCellStyle="Per cent"/>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87DFB97-53CA-47E5-9755-E26722D761BD}" name="Tbl_TaxasDiarias" displayName="Tbl_TaxasDiarias" ref="B8:H61" tableType="queryTable" totalsRowShown="0">
  <autoFilter ref="B8:H61" xr:uid="{987DFB97-53CA-47E5-9755-E26722D761BD}"/>
  <tableColumns count="7">
    <tableColumn id="1" xr3:uid="{9C697CC3-E435-4DB8-B25E-187E550CA4E9}" uniqueName="1" name="PRODUTO" queryTableFieldId="1" dataDxfId="6"/>
    <tableColumn id="2" xr3:uid="{58784FB5-6CA9-4D1E-819F-1112F19B8058}" uniqueName="2" name="Tipo" queryTableFieldId="2" dataDxfId="5"/>
    <tableColumn id="3" xr3:uid="{DE7BEC56-4761-49A7-9880-A1395F36B3C9}" uniqueName="3" name="Indexador" queryTableFieldId="3" dataDxfId="4"/>
    <tableColumn id="4" xr3:uid="{997B92A7-3893-4527-88C2-CDD81E5B7E9F}" uniqueName="4" name="Taxa Considerada" queryTableFieldId="4" dataDxfId="3" dataCellStyle="Per cent"/>
    <tableColumn id="5" xr3:uid="{F68B50E3-5D9F-4156-8074-F9860FCFD11E}" uniqueName="5" name="Vencimento" queryTableFieldId="5" dataDxfId="2"/>
    <tableColumn id="6" xr3:uid="{9D246FEF-5C19-4A05-9BB9-D338639F3D33}" uniqueName="6" name="Duration" queryTableFieldId="6" dataDxfId="1"/>
    <tableColumn id="8" xr3:uid="{E81BD8D8-71E4-40BC-854F-D9436254F93E}" uniqueName="8" name="Data Ref." queryTableFieldId="8" dataDxfId="0"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br" TargetMode="External"/><Relationship Id="rId1" Type="http://schemas.openxmlformats.org/officeDocument/2006/relationships/hyperlink" Target="http://bsideinvestimentos.com.br/" TargetMode="External"/><Relationship Id="rId5" Type="http://schemas.openxmlformats.org/officeDocument/2006/relationships/drawing" Target="../drawings/drawing21.xml"/><Relationship Id="rId4"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999" t="s">
        <v>0</v>
      </c>
    </row>
    <row r="3" spans="2:9" ht="25.5" customHeight="1" thickBot="1">
      <c r="B3" s="999"/>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showRowColHeaders="0" showRuler="0" view="pageLayout" zoomScaleNormal="80" workbookViewId="0">
      <selection activeCell="N26" sqref="N26:U27"/>
    </sheetView>
  </sheetViews>
  <sheetFormatPr defaultColWidth="10.69921875" defaultRowHeight="11.25"/>
  <cols>
    <col min="1" max="1" width="4.8984375" style="269" customWidth="1"/>
    <col min="2" max="4" width="4.8984375" style="266" customWidth="1"/>
    <col min="5" max="22" width="4.8984375" style="269" customWidth="1"/>
    <col min="23" max="23" width="4.8984375" style="266" customWidth="1"/>
    <col min="24" max="16384" width="10.69921875" style="266"/>
  </cols>
  <sheetData>
    <row r="1" spans="1:23">
      <c r="A1" s="600"/>
      <c r="B1" s="601"/>
      <c r="C1" s="601"/>
      <c r="D1" s="601"/>
      <c r="E1" s="600"/>
      <c r="F1" s="600"/>
      <c r="G1" s="600"/>
      <c r="H1" s="600"/>
      <c r="I1" s="600"/>
      <c r="J1" s="600"/>
      <c r="K1" s="600"/>
      <c r="L1" s="600"/>
      <c r="M1" s="600"/>
      <c r="N1" s="600"/>
      <c r="O1" s="600"/>
      <c r="P1" s="600"/>
      <c r="Q1" s="600"/>
      <c r="R1" s="600"/>
      <c r="S1" s="600"/>
      <c r="T1" s="600"/>
      <c r="U1" s="600"/>
      <c r="V1" s="600"/>
      <c r="W1" s="601"/>
    </row>
    <row r="2" spans="1:23">
      <c r="A2" s="600"/>
      <c r="B2" s="601"/>
      <c r="C2" s="601"/>
      <c r="D2" s="601"/>
      <c r="E2" s="600"/>
      <c r="F2" s="600"/>
      <c r="G2" s="600"/>
      <c r="H2" s="600"/>
      <c r="I2" s="600"/>
      <c r="J2" s="600"/>
      <c r="K2" s="600"/>
      <c r="L2" s="600"/>
      <c r="M2" s="600"/>
      <c r="N2" s="600"/>
      <c r="O2" s="600"/>
      <c r="P2" s="600"/>
      <c r="Q2" s="600"/>
      <c r="R2" s="600"/>
      <c r="S2" s="600"/>
      <c r="T2" s="600"/>
      <c r="U2" s="600"/>
      <c r="V2" s="600"/>
      <c r="W2" s="601"/>
    </row>
    <row r="3" spans="1:23">
      <c r="A3" s="600"/>
      <c r="B3" s="601"/>
      <c r="C3" s="601"/>
      <c r="D3" s="601"/>
      <c r="E3" s="600"/>
      <c r="F3" s="600"/>
      <c r="G3" s="600"/>
      <c r="H3" s="600"/>
      <c r="I3" s="600"/>
      <c r="J3" s="600"/>
      <c r="K3" s="600"/>
      <c r="L3" s="600"/>
      <c r="M3" s="600"/>
      <c r="N3" s="600"/>
      <c r="O3" s="600"/>
      <c r="P3" s="600"/>
      <c r="Q3" s="600"/>
      <c r="R3" s="600"/>
      <c r="S3" s="600"/>
      <c r="T3" s="600"/>
      <c r="U3" s="600"/>
      <c r="V3" s="600"/>
      <c r="W3" s="601"/>
    </row>
    <row r="4" spans="1:23">
      <c r="A4" s="600"/>
      <c r="B4" s="601"/>
      <c r="C4" s="601"/>
      <c r="D4" s="601"/>
      <c r="E4" s="600"/>
      <c r="F4" s="600"/>
      <c r="G4" s="600"/>
      <c r="H4" s="600"/>
      <c r="I4" s="600"/>
      <c r="J4" s="600"/>
      <c r="K4" s="600"/>
      <c r="L4" s="600"/>
      <c r="M4" s="600"/>
      <c r="N4" s="600"/>
      <c r="O4" s="600"/>
      <c r="P4" s="600"/>
      <c r="Q4" s="600"/>
      <c r="R4" s="600"/>
      <c r="S4" s="600"/>
      <c r="T4" s="600"/>
      <c r="U4" s="600"/>
      <c r="V4" s="600"/>
      <c r="W4" s="601"/>
    </row>
    <row r="5" spans="1:23">
      <c r="A5" s="600"/>
      <c r="B5" s="601"/>
      <c r="C5" s="601"/>
      <c r="D5" s="601"/>
      <c r="E5" s="600"/>
      <c r="F5" s="600"/>
      <c r="G5" s="600"/>
      <c r="H5" s="600"/>
      <c r="I5" s="600"/>
      <c r="J5" s="600"/>
      <c r="K5" s="600"/>
      <c r="L5" s="600"/>
      <c r="M5" s="600"/>
      <c r="N5" s="600"/>
      <c r="O5" s="600"/>
      <c r="P5" s="600"/>
      <c r="Q5" s="600"/>
      <c r="R5" s="600"/>
      <c r="S5" s="600"/>
      <c r="T5" s="600"/>
      <c r="U5" s="600"/>
      <c r="V5" s="600"/>
      <c r="W5" s="601"/>
    </row>
    <row r="6" spans="1:23">
      <c r="A6" s="600"/>
      <c r="B6" s="601"/>
      <c r="C6" s="601"/>
      <c r="D6" s="601"/>
      <c r="E6" s="600"/>
      <c r="F6" s="600"/>
      <c r="G6" s="600"/>
      <c r="H6" s="600"/>
      <c r="I6" s="600"/>
      <c r="J6" s="600"/>
      <c r="K6" s="600"/>
      <c r="L6" s="600"/>
      <c r="M6" s="600"/>
      <c r="N6" s="600"/>
      <c r="O6" s="600"/>
      <c r="P6" s="600"/>
      <c r="Q6" s="600"/>
      <c r="R6" s="600"/>
      <c r="S6" s="600"/>
      <c r="T6" s="600"/>
      <c r="U6" s="600"/>
      <c r="V6" s="600"/>
      <c r="W6" s="601"/>
    </row>
    <row r="7" spans="1:23">
      <c r="A7" s="600"/>
      <c r="B7" s="601"/>
      <c r="C7" s="601"/>
      <c r="D7" s="601"/>
      <c r="E7" s="600"/>
      <c r="F7" s="600"/>
      <c r="G7" s="600"/>
      <c r="H7" s="600"/>
      <c r="I7" s="600"/>
      <c r="J7" s="600"/>
      <c r="K7" s="600"/>
      <c r="L7" s="600"/>
      <c r="M7" s="600"/>
      <c r="N7" s="600"/>
      <c r="O7" s="600"/>
      <c r="P7" s="600"/>
      <c r="Q7" s="600"/>
      <c r="R7" s="600"/>
      <c r="S7" s="600"/>
      <c r="T7" s="600"/>
      <c r="U7" s="600"/>
      <c r="V7" s="600"/>
      <c r="W7" s="601"/>
    </row>
    <row r="8" spans="1:23">
      <c r="A8" s="600"/>
      <c r="B8" s="601"/>
      <c r="C8" s="601"/>
      <c r="D8" s="601"/>
      <c r="E8" s="600"/>
      <c r="F8" s="600"/>
      <c r="G8" s="600"/>
      <c r="H8" s="600"/>
      <c r="I8" s="600"/>
      <c r="J8" s="600"/>
      <c r="K8" s="600"/>
      <c r="L8" s="600"/>
      <c r="M8" s="600"/>
      <c r="N8" s="600"/>
      <c r="O8" s="600"/>
      <c r="P8" s="600"/>
      <c r="Q8" s="600"/>
      <c r="R8" s="600"/>
      <c r="S8" s="600"/>
      <c r="T8" s="600"/>
      <c r="U8" s="600"/>
      <c r="V8" s="600"/>
      <c r="W8" s="601"/>
    </row>
    <row r="9" spans="1:23">
      <c r="A9" s="600"/>
      <c r="B9" s="601"/>
      <c r="C9" s="601"/>
      <c r="D9" s="601"/>
      <c r="E9" s="600"/>
      <c r="F9" s="600"/>
      <c r="G9" s="600"/>
      <c r="H9" s="600"/>
      <c r="I9" s="600"/>
      <c r="J9" s="600"/>
      <c r="K9" s="600"/>
      <c r="L9" s="600"/>
      <c r="M9" s="600"/>
      <c r="N9" s="600"/>
      <c r="O9" s="600"/>
      <c r="P9" s="600"/>
      <c r="Q9" s="600"/>
      <c r="R9" s="600"/>
      <c r="S9" s="600"/>
      <c r="T9" s="600"/>
      <c r="U9" s="600"/>
      <c r="V9" s="600"/>
      <c r="W9" s="601"/>
    </row>
    <row r="10" spans="1:23">
      <c r="A10" s="600"/>
      <c r="B10" s="601"/>
      <c r="C10" s="601"/>
      <c r="D10" s="601"/>
      <c r="E10" s="600"/>
      <c r="F10" s="600"/>
      <c r="G10" s="600"/>
      <c r="H10" s="600"/>
      <c r="I10" s="600"/>
      <c r="J10" s="600"/>
      <c r="K10" s="600"/>
      <c r="L10" s="600"/>
      <c r="M10" s="600"/>
      <c r="N10" s="600"/>
      <c r="O10" s="600"/>
      <c r="P10" s="600"/>
      <c r="Q10" s="600"/>
      <c r="R10" s="600"/>
      <c r="S10" s="600"/>
      <c r="T10" s="600"/>
      <c r="U10" s="600"/>
      <c r="V10" s="600"/>
      <c r="W10" s="601"/>
    </row>
    <row r="11" spans="1:23">
      <c r="A11" s="600"/>
      <c r="B11" s="601"/>
      <c r="C11" s="601"/>
      <c r="D11" s="601"/>
      <c r="E11" s="600"/>
      <c r="F11" s="600"/>
      <c r="G11" s="600"/>
      <c r="H11" s="600"/>
      <c r="I11" s="600"/>
      <c r="J11" s="600"/>
      <c r="K11" s="600"/>
      <c r="L11" s="600"/>
      <c r="M11" s="600"/>
      <c r="N11" s="600"/>
      <c r="O11" s="600"/>
      <c r="P11" s="600"/>
      <c r="Q11" s="600"/>
      <c r="R11" s="600"/>
      <c r="S11" s="600"/>
      <c r="T11" s="600"/>
      <c r="U11" s="600"/>
      <c r="V11" s="600"/>
      <c r="W11" s="601"/>
    </row>
    <row r="12" spans="1:23">
      <c r="A12" s="600"/>
      <c r="B12" s="601"/>
      <c r="C12" s="601"/>
      <c r="D12" s="601"/>
      <c r="E12" s="600"/>
      <c r="F12" s="600"/>
      <c r="G12" s="600"/>
      <c r="H12" s="600"/>
      <c r="I12" s="600"/>
      <c r="J12" s="600"/>
      <c r="K12" s="600"/>
      <c r="L12" s="600"/>
      <c r="M12" s="600"/>
      <c r="N12" s="600"/>
      <c r="O12" s="600"/>
      <c r="P12" s="600"/>
      <c r="Q12" s="600"/>
      <c r="R12" s="600"/>
      <c r="S12" s="600"/>
      <c r="T12" s="600"/>
      <c r="U12" s="600"/>
      <c r="V12" s="600"/>
      <c r="W12" s="601"/>
    </row>
    <row r="13" spans="1:23">
      <c r="A13" s="600"/>
      <c r="B13" s="601"/>
      <c r="C13" s="601"/>
      <c r="D13" s="601"/>
      <c r="E13" s="600"/>
      <c r="F13" s="600"/>
      <c r="G13" s="600"/>
      <c r="H13" s="600"/>
      <c r="I13" s="600"/>
      <c r="J13" s="600"/>
      <c r="K13" s="600"/>
      <c r="L13" s="600"/>
      <c r="M13" s="600"/>
      <c r="N13" s="600"/>
      <c r="O13" s="600"/>
      <c r="P13" s="600"/>
      <c r="Q13" s="600"/>
      <c r="R13" s="600"/>
      <c r="S13" s="600"/>
      <c r="T13" s="600"/>
      <c r="U13" s="600"/>
      <c r="V13" s="600"/>
      <c r="W13" s="601"/>
    </row>
    <row r="14" spans="1:23">
      <c r="A14" s="600"/>
      <c r="B14" s="601"/>
      <c r="C14" s="601"/>
      <c r="D14" s="601"/>
      <c r="E14" s="600"/>
      <c r="F14" s="600"/>
      <c r="G14" s="600"/>
      <c r="H14" s="600"/>
      <c r="I14" s="600"/>
      <c r="J14" s="600"/>
      <c r="K14" s="600"/>
      <c r="L14" s="600"/>
      <c r="M14" s="600"/>
      <c r="N14" s="600"/>
      <c r="O14" s="600"/>
      <c r="P14" s="600"/>
      <c r="Q14" s="600"/>
      <c r="R14" s="600"/>
      <c r="S14" s="600"/>
      <c r="T14" s="600"/>
      <c r="U14" s="600"/>
      <c r="V14" s="600"/>
      <c r="W14" s="601"/>
    </row>
    <row r="15" spans="1:23">
      <c r="A15" s="600"/>
      <c r="B15" s="601"/>
      <c r="C15" s="601"/>
      <c r="D15" s="601"/>
      <c r="E15" s="600"/>
      <c r="F15" s="600"/>
      <c r="G15" s="600"/>
      <c r="H15" s="600"/>
      <c r="I15" s="600"/>
      <c r="J15" s="600"/>
      <c r="K15" s="600"/>
      <c r="L15" s="600"/>
      <c r="M15" s="600"/>
      <c r="N15" s="600"/>
      <c r="O15" s="600"/>
      <c r="P15" s="600"/>
      <c r="Q15" s="600"/>
      <c r="R15" s="600"/>
      <c r="S15" s="600"/>
      <c r="T15" s="600"/>
      <c r="U15" s="600"/>
      <c r="V15" s="600"/>
      <c r="W15" s="601"/>
    </row>
    <row r="16" spans="1:23" ht="42" customHeight="1">
      <c r="A16" s="600"/>
      <c r="B16" s="601"/>
      <c r="C16" s="601"/>
      <c r="D16" s="601"/>
      <c r="E16" s="600"/>
      <c r="F16" s="600"/>
      <c r="G16" s="600"/>
      <c r="H16" s="600"/>
      <c r="I16" s="600"/>
      <c r="J16" s="600"/>
      <c r="K16" s="600"/>
      <c r="L16" s="600"/>
      <c r="M16" s="600"/>
      <c r="N16" s="600"/>
      <c r="O16" s="600"/>
      <c r="P16" s="600"/>
      <c r="Q16" s="600"/>
      <c r="R16" s="600"/>
      <c r="S16" s="600"/>
      <c r="T16" s="600"/>
      <c r="U16" s="600"/>
      <c r="V16" s="600"/>
      <c r="W16" s="601"/>
    </row>
    <row r="17" spans="1:23">
      <c r="A17" s="600"/>
      <c r="B17" s="601"/>
      <c r="C17" s="601"/>
      <c r="D17" s="601"/>
      <c r="E17" s="600"/>
      <c r="F17" s="600"/>
      <c r="G17" s="600"/>
      <c r="H17" s="600"/>
      <c r="I17" s="600"/>
      <c r="J17" s="600"/>
      <c r="K17" s="600"/>
      <c r="L17" s="600"/>
      <c r="M17" s="600"/>
      <c r="N17" s="600"/>
      <c r="O17" s="600"/>
      <c r="P17" s="600"/>
      <c r="Q17" s="600"/>
      <c r="R17" s="600"/>
      <c r="S17" s="600"/>
      <c r="T17" s="600"/>
      <c r="U17" s="600"/>
      <c r="V17" s="600"/>
      <c r="W17" s="601"/>
    </row>
    <row r="18" spans="1:23">
      <c r="A18" s="600"/>
      <c r="B18" s="601"/>
      <c r="C18" s="601"/>
      <c r="D18" s="601"/>
      <c r="E18" s="600"/>
      <c r="F18" s="600"/>
      <c r="G18" s="600"/>
      <c r="H18" s="600"/>
      <c r="I18" s="600"/>
      <c r="J18" s="600"/>
      <c r="K18" s="600"/>
      <c r="L18" s="600"/>
      <c r="M18" s="600"/>
      <c r="N18" s="600"/>
      <c r="O18" s="600"/>
      <c r="P18" s="600"/>
      <c r="Q18" s="600"/>
      <c r="R18" s="600"/>
      <c r="S18" s="600"/>
      <c r="T18" s="600"/>
      <c r="U18" s="600"/>
      <c r="V18" s="600"/>
      <c r="W18" s="601"/>
    </row>
    <row r="19" spans="1:23">
      <c r="A19" s="600"/>
      <c r="B19" s="601"/>
      <c r="C19" s="601"/>
      <c r="D19" s="601"/>
      <c r="E19" s="600"/>
      <c r="F19" s="600"/>
      <c r="G19" s="600"/>
      <c r="H19" s="600"/>
      <c r="I19" s="600"/>
      <c r="J19" s="600"/>
      <c r="K19" s="600"/>
      <c r="L19" s="600"/>
      <c r="M19" s="600"/>
      <c r="N19" s="600"/>
      <c r="O19" s="600"/>
      <c r="P19" s="600"/>
      <c r="Q19" s="600"/>
      <c r="R19" s="600"/>
      <c r="S19" s="600"/>
      <c r="T19" s="600"/>
      <c r="U19" s="600"/>
      <c r="V19" s="600"/>
      <c r="W19" s="601"/>
    </row>
    <row r="20" spans="1:23">
      <c r="A20" s="600"/>
      <c r="B20" s="601"/>
      <c r="C20" s="601"/>
      <c r="D20" s="601"/>
      <c r="E20" s="600"/>
      <c r="F20" s="600"/>
      <c r="G20" s="600"/>
      <c r="H20" s="600"/>
      <c r="I20" s="600"/>
      <c r="J20" s="600"/>
      <c r="K20" s="600"/>
      <c r="L20" s="600"/>
      <c r="M20" s="600"/>
      <c r="N20" s="600"/>
      <c r="O20" s="600"/>
      <c r="P20" s="600"/>
      <c r="Q20" s="600"/>
      <c r="R20" s="600"/>
      <c r="S20" s="600"/>
      <c r="T20" s="600"/>
      <c r="U20" s="600"/>
      <c r="V20" s="600"/>
      <c r="W20" s="601"/>
    </row>
    <row r="21" spans="1:23" ht="30.75" customHeight="1">
      <c r="A21" s="600"/>
      <c r="B21" s="601"/>
      <c r="C21" s="601"/>
      <c r="D21" s="601"/>
      <c r="E21" s="600"/>
      <c r="F21" s="600"/>
      <c r="G21" s="600"/>
      <c r="H21" s="600"/>
      <c r="I21" s="600"/>
      <c r="J21" s="600"/>
      <c r="K21" s="1001" t="s">
        <v>1425</v>
      </c>
      <c r="L21" s="1001"/>
      <c r="M21" s="1001"/>
      <c r="N21" s="1001"/>
      <c r="O21" s="1001"/>
      <c r="P21" s="1001"/>
      <c r="Q21" s="1001"/>
      <c r="R21" s="1001"/>
      <c r="S21" s="1001"/>
      <c r="T21" s="1001"/>
      <c r="U21" s="1001"/>
      <c r="V21" s="600"/>
      <c r="W21" s="601"/>
    </row>
    <row r="22" spans="1:23" ht="11.25" customHeight="1">
      <c r="A22" s="600"/>
      <c r="B22" s="601"/>
      <c r="C22" s="601"/>
      <c r="D22" s="601"/>
      <c r="E22" s="600"/>
      <c r="F22" s="600"/>
      <c r="G22" s="600"/>
      <c r="H22" s="600"/>
      <c r="I22" s="600"/>
      <c r="J22" s="600"/>
      <c r="K22" s="1001"/>
      <c r="L22" s="1001"/>
      <c r="M22" s="1001"/>
      <c r="N22" s="1001"/>
      <c r="O22" s="1001"/>
      <c r="P22" s="1001"/>
      <c r="Q22" s="1001"/>
      <c r="R22" s="1001"/>
      <c r="S22" s="1001"/>
      <c r="T22" s="1001"/>
      <c r="U22" s="1001"/>
      <c r="V22" s="600"/>
      <c r="W22" s="601"/>
    </row>
    <row r="23" spans="1:23" ht="11.25" customHeight="1">
      <c r="A23" s="600"/>
      <c r="B23" s="601"/>
      <c r="C23" s="601"/>
      <c r="D23" s="601"/>
      <c r="E23" s="600"/>
      <c r="F23" s="600"/>
      <c r="G23" s="600"/>
      <c r="H23" s="600"/>
      <c r="I23" s="600"/>
      <c r="J23" s="600"/>
      <c r="K23" s="1001"/>
      <c r="L23" s="1001"/>
      <c r="M23" s="1001"/>
      <c r="N23" s="1001"/>
      <c r="O23" s="1001"/>
      <c r="P23" s="1001"/>
      <c r="Q23" s="1001"/>
      <c r="R23" s="1001"/>
      <c r="S23" s="1001"/>
      <c r="T23" s="1001"/>
      <c r="U23" s="1001"/>
      <c r="V23" s="600"/>
      <c r="W23" s="601"/>
    </row>
    <row r="24" spans="1:23" ht="11.25" customHeight="1">
      <c r="A24" s="600"/>
      <c r="B24" s="601"/>
      <c r="C24" s="601"/>
      <c r="D24" s="601"/>
      <c r="E24" s="600"/>
      <c r="F24" s="600"/>
      <c r="G24" s="600"/>
      <c r="H24" s="600"/>
      <c r="I24" s="600"/>
      <c r="J24" s="600"/>
      <c r="K24" s="1001"/>
      <c r="L24" s="1001"/>
      <c r="M24" s="1001"/>
      <c r="N24" s="1001"/>
      <c r="O24" s="1001"/>
      <c r="P24" s="1001"/>
      <c r="Q24" s="1001"/>
      <c r="R24" s="1001"/>
      <c r="S24" s="1001"/>
      <c r="T24" s="1001"/>
      <c r="U24" s="1001"/>
      <c r="V24" s="600"/>
      <c r="W24" s="601"/>
    </row>
    <row r="25" spans="1:23" ht="11.25" customHeight="1">
      <c r="A25" s="600"/>
      <c r="B25" s="601"/>
      <c r="C25" s="601"/>
      <c r="D25" s="601"/>
      <c r="E25" s="600"/>
      <c r="F25" s="600"/>
      <c r="G25" s="600"/>
      <c r="H25" s="600"/>
      <c r="I25" s="600"/>
      <c r="J25" s="600"/>
      <c r="K25" s="1001"/>
      <c r="L25" s="1001"/>
      <c r="M25" s="1001"/>
      <c r="N25" s="1001"/>
      <c r="O25" s="1001"/>
      <c r="P25" s="1001"/>
      <c r="Q25" s="1001"/>
      <c r="R25" s="1001"/>
      <c r="S25" s="1001"/>
      <c r="T25" s="1001"/>
      <c r="U25" s="1001"/>
      <c r="V25" s="600"/>
      <c r="W25" s="601"/>
    </row>
    <row r="26" spans="1:23" ht="11.25" customHeight="1">
      <c r="A26" s="600"/>
      <c r="B26" s="601"/>
      <c r="C26" s="601"/>
      <c r="D26" s="601"/>
      <c r="E26" s="600"/>
      <c r="F26" s="600"/>
      <c r="G26" s="600"/>
      <c r="H26" s="600"/>
      <c r="I26" s="600"/>
      <c r="J26" s="600"/>
      <c r="K26" s="602"/>
      <c r="L26" s="602"/>
      <c r="M26" s="602"/>
      <c r="N26" s="1000" t="str">
        <f>'Portfólio Final'!D2</f>
        <v>Nome Cliente</v>
      </c>
      <c r="O26" s="1000"/>
      <c r="P26" s="1000"/>
      <c r="Q26" s="1000"/>
      <c r="R26" s="1000"/>
      <c r="S26" s="1000"/>
      <c r="T26" s="1000"/>
      <c r="U26" s="1000"/>
      <c r="V26" s="600"/>
      <c r="W26" s="601"/>
    </row>
    <row r="27" spans="1:23" ht="11.25" customHeight="1">
      <c r="A27" s="600"/>
      <c r="B27" s="601"/>
      <c r="C27" s="601"/>
      <c r="D27" s="601"/>
      <c r="E27" s="600"/>
      <c r="F27" s="600"/>
      <c r="G27" s="600"/>
      <c r="H27" s="600"/>
      <c r="I27" s="600"/>
      <c r="J27" s="600"/>
      <c r="K27" s="602"/>
      <c r="L27" s="602"/>
      <c r="M27" s="602"/>
      <c r="N27" s="1000"/>
      <c r="O27" s="1000"/>
      <c r="P27" s="1000"/>
      <c r="Q27" s="1000"/>
      <c r="R27" s="1000"/>
      <c r="S27" s="1000"/>
      <c r="T27" s="1000"/>
      <c r="U27" s="1000"/>
      <c r="V27" s="600"/>
      <c r="W27" s="601"/>
    </row>
    <row r="28" spans="1:23" ht="11.25" customHeight="1">
      <c r="A28" s="600"/>
      <c r="B28" s="601"/>
      <c r="C28" s="601"/>
      <c r="D28" s="601"/>
      <c r="E28" s="600"/>
      <c r="F28" s="600"/>
      <c r="G28" s="600"/>
      <c r="H28" s="600"/>
      <c r="I28" s="600"/>
      <c r="J28" s="600"/>
      <c r="K28" s="602"/>
      <c r="L28" s="602"/>
      <c r="M28" s="602"/>
      <c r="N28" s="602"/>
      <c r="O28" s="602"/>
      <c r="P28" s="602"/>
      <c r="Q28" s="602"/>
      <c r="R28" s="602"/>
      <c r="S28" s="602"/>
      <c r="T28" s="602"/>
      <c r="U28" s="602"/>
      <c r="V28" s="602"/>
      <c r="W28" s="601"/>
    </row>
    <row r="29" spans="1:23" ht="11.25" customHeight="1">
      <c r="A29" s="600"/>
      <c r="B29" s="601"/>
      <c r="C29" s="601"/>
      <c r="D29" s="601"/>
      <c r="E29" s="600"/>
      <c r="F29" s="600"/>
      <c r="G29" s="600"/>
      <c r="H29" s="600"/>
      <c r="I29" s="600"/>
      <c r="J29" s="600"/>
      <c r="K29" s="602"/>
      <c r="L29" s="602"/>
      <c r="M29" s="602"/>
      <c r="N29" s="602"/>
      <c r="O29" s="602"/>
      <c r="P29" s="602"/>
      <c r="Q29" s="602"/>
      <c r="R29" s="602"/>
      <c r="S29" s="602"/>
      <c r="T29" s="602"/>
      <c r="U29" s="602"/>
      <c r="V29" s="602"/>
      <c r="W29" s="601"/>
    </row>
    <row r="30" spans="1:23">
      <c r="A30" s="600"/>
      <c r="B30" s="601"/>
      <c r="C30" s="601"/>
      <c r="D30" s="601"/>
      <c r="E30" s="600"/>
      <c r="F30" s="600"/>
      <c r="G30" s="600"/>
      <c r="H30" s="600"/>
      <c r="I30" s="600"/>
      <c r="J30" s="600"/>
      <c r="K30" s="600"/>
      <c r="L30" s="600"/>
      <c r="M30" s="600"/>
      <c r="N30" s="600"/>
      <c r="O30" s="600"/>
      <c r="P30" s="600"/>
      <c r="Q30" s="600"/>
      <c r="R30" s="600"/>
      <c r="S30" s="600"/>
      <c r="T30" s="600"/>
      <c r="U30" s="600"/>
      <c r="V30" s="600"/>
      <c r="W30" s="601"/>
    </row>
    <row r="31" spans="1:23" ht="40.5" customHeight="1">
      <c r="A31" s="600"/>
      <c r="B31" s="601"/>
      <c r="C31" s="601"/>
      <c r="D31" s="601"/>
      <c r="E31" s="600"/>
      <c r="F31" s="600"/>
      <c r="G31" s="600"/>
      <c r="H31" s="600"/>
      <c r="I31" s="600"/>
      <c r="J31" s="600"/>
      <c r="K31" s="600"/>
      <c r="L31" s="600"/>
      <c r="M31" s="600"/>
      <c r="N31" s="600"/>
      <c r="O31" s="600"/>
      <c r="P31" s="600"/>
      <c r="Q31" s="600"/>
      <c r="R31" s="600"/>
      <c r="S31" s="600"/>
      <c r="T31" s="600"/>
      <c r="U31" s="600"/>
      <c r="V31" s="600"/>
      <c r="W31" s="601"/>
    </row>
    <row r="32" spans="1:23">
      <c r="A32" s="600"/>
      <c r="B32" s="601"/>
      <c r="C32" s="601"/>
      <c r="D32" s="601"/>
      <c r="E32" s="600"/>
      <c r="F32" s="600"/>
      <c r="G32" s="600"/>
      <c r="H32" s="600"/>
      <c r="I32" s="600"/>
      <c r="J32" s="600"/>
      <c r="K32" s="600"/>
      <c r="L32" s="600"/>
      <c r="M32" s="600"/>
      <c r="N32" s="600"/>
      <c r="O32" s="600"/>
      <c r="P32" s="600"/>
      <c r="Q32" s="600"/>
      <c r="R32" s="600"/>
      <c r="S32" s="600"/>
      <c r="T32" s="600"/>
      <c r="U32" s="600"/>
      <c r="V32" s="600"/>
      <c r="W32" s="601"/>
    </row>
    <row r="33" spans="1:23">
      <c r="A33" s="600"/>
      <c r="B33" s="601"/>
      <c r="C33" s="601"/>
      <c r="D33" s="601"/>
      <c r="E33" s="600"/>
      <c r="F33" s="600"/>
      <c r="G33" s="600"/>
      <c r="H33" s="600"/>
      <c r="I33" s="600"/>
      <c r="J33" s="600"/>
      <c r="K33" s="600"/>
      <c r="L33" s="600"/>
      <c r="M33" s="600"/>
      <c r="N33" s="600"/>
      <c r="O33" s="600"/>
      <c r="P33" s="600"/>
      <c r="Q33" s="600"/>
      <c r="R33" s="600"/>
      <c r="S33" s="600"/>
      <c r="T33" s="600"/>
      <c r="U33" s="600"/>
      <c r="V33" s="600"/>
      <c r="W33" s="601"/>
    </row>
    <row r="34" spans="1:23" ht="12">
      <c r="A34" s="600"/>
      <c r="B34" s="601"/>
      <c r="C34" s="601"/>
      <c r="D34" s="601"/>
      <c r="E34" s="600"/>
      <c r="F34" s="600"/>
      <c r="G34" s="600"/>
      <c r="H34" s="600"/>
      <c r="I34" s="600"/>
      <c r="J34" s="600"/>
      <c r="K34" s="600"/>
      <c r="L34" s="600"/>
      <c r="M34" s="600"/>
      <c r="N34" s="600"/>
      <c r="O34" s="600"/>
      <c r="P34" s="600"/>
      <c r="Q34" s="636"/>
      <c r="R34" s="600"/>
      <c r="S34" s="600"/>
      <c r="T34" s="600"/>
      <c r="U34" s="600"/>
      <c r="V34" s="600"/>
      <c r="W34" s="601"/>
    </row>
    <row r="35" spans="1:23">
      <c r="A35" s="600"/>
      <c r="B35" s="601"/>
      <c r="C35" s="601"/>
      <c r="D35" s="601"/>
      <c r="E35" s="600"/>
      <c r="F35" s="600"/>
      <c r="G35" s="600"/>
      <c r="H35" s="600"/>
      <c r="I35" s="600"/>
      <c r="J35" s="600"/>
      <c r="K35" s="600"/>
      <c r="L35" s="600"/>
      <c r="M35" s="600"/>
      <c r="N35" s="600"/>
      <c r="O35" s="600"/>
      <c r="P35" s="600"/>
      <c r="Q35" s="600"/>
      <c r="R35" s="600"/>
      <c r="S35" s="600"/>
      <c r="T35" s="600"/>
      <c r="U35" s="600"/>
      <c r="V35" s="600"/>
      <c r="W35" s="601"/>
    </row>
    <row r="36" spans="1:23">
      <c r="A36" s="600"/>
      <c r="B36" s="601"/>
      <c r="C36" s="601"/>
      <c r="D36" s="601"/>
      <c r="E36" s="600"/>
      <c r="F36" s="600"/>
      <c r="G36" s="600"/>
      <c r="H36" s="600"/>
      <c r="I36" s="600"/>
      <c r="J36" s="600"/>
      <c r="K36" s="600"/>
      <c r="L36" s="600"/>
      <c r="M36" s="600"/>
      <c r="N36" s="600"/>
      <c r="O36" s="600"/>
      <c r="P36" s="600"/>
      <c r="Q36" s="600"/>
      <c r="R36" s="600"/>
      <c r="S36" s="600"/>
      <c r="T36" s="600"/>
      <c r="U36" s="600"/>
      <c r="V36" s="600"/>
      <c r="W36" s="601"/>
    </row>
    <row r="37" spans="1:23">
      <c r="A37" s="600"/>
      <c r="B37" s="601"/>
      <c r="C37" s="601"/>
      <c r="D37" s="601"/>
      <c r="E37" s="600"/>
      <c r="F37" s="600"/>
      <c r="G37" s="600"/>
      <c r="H37" s="600"/>
      <c r="I37" s="600"/>
      <c r="J37" s="600"/>
      <c r="K37" s="600"/>
      <c r="L37" s="600"/>
      <c r="M37" s="600"/>
      <c r="N37" s="600"/>
      <c r="O37" s="600"/>
      <c r="P37" s="600"/>
      <c r="Q37" s="600"/>
      <c r="R37" s="600"/>
      <c r="S37" s="600"/>
      <c r="T37" s="600"/>
      <c r="U37" s="600"/>
      <c r="V37" s="600"/>
      <c r="W37" s="601"/>
    </row>
    <row r="38" spans="1:23">
      <c r="A38" s="600"/>
      <c r="B38" s="601"/>
      <c r="C38" s="601"/>
      <c r="D38" s="601"/>
      <c r="E38" s="600"/>
      <c r="F38" s="600"/>
      <c r="G38" s="600"/>
      <c r="H38" s="600"/>
      <c r="I38" s="600"/>
      <c r="J38" s="600"/>
      <c r="K38" s="600"/>
      <c r="L38" s="600"/>
      <c r="M38" s="600"/>
      <c r="N38" s="600"/>
      <c r="O38" s="600"/>
      <c r="P38" s="600"/>
      <c r="Q38" s="600"/>
      <c r="R38" s="600"/>
      <c r="S38" s="600"/>
      <c r="T38" s="600"/>
      <c r="U38" s="600"/>
      <c r="V38" s="600"/>
      <c r="W38" s="601"/>
    </row>
    <row r="39" spans="1:23">
      <c r="A39" s="600"/>
      <c r="B39" s="601"/>
      <c r="C39" s="601"/>
      <c r="D39" s="601"/>
      <c r="E39" s="600"/>
      <c r="F39" s="600"/>
      <c r="G39" s="600"/>
      <c r="H39" s="600"/>
      <c r="I39" s="600"/>
      <c r="J39" s="600"/>
      <c r="K39" s="600"/>
      <c r="L39" s="600"/>
      <c r="M39" s="600"/>
      <c r="N39" s="600"/>
      <c r="O39" s="600"/>
      <c r="P39" s="600"/>
      <c r="Q39" s="600"/>
      <c r="R39" s="600"/>
      <c r="S39" s="600"/>
      <c r="T39" s="600"/>
      <c r="U39" s="600"/>
      <c r="V39" s="600"/>
      <c r="W39" s="601"/>
    </row>
    <row r="40" spans="1:23" ht="18.75">
      <c r="A40" s="600"/>
      <c r="B40" s="601"/>
      <c r="C40" s="604"/>
      <c r="D40" s="601"/>
      <c r="E40" s="600"/>
      <c r="F40" s="600"/>
      <c r="G40" s="600"/>
      <c r="H40" s="600"/>
      <c r="I40" s="600"/>
      <c r="J40" s="600"/>
      <c r="K40" s="600"/>
      <c r="L40" s="600"/>
      <c r="M40" s="600"/>
      <c r="N40" s="600"/>
      <c r="O40" s="600"/>
      <c r="P40" s="600"/>
      <c r="Q40" s="600"/>
      <c r="R40" s="600"/>
      <c r="S40" s="600"/>
      <c r="T40" s="600"/>
      <c r="U40" s="600"/>
      <c r="V40" s="600"/>
      <c r="W40" s="601"/>
    </row>
    <row r="41" spans="1:23">
      <c r="A41" s="600"/>
      <c r="B41" s="601"/>
      <c r="C41" s="601"/>
      <c r="D41" s="601"/>
      <c r="E41" s="600"/>
      <c r="F41" s="600"/>
      <c r="G41" s="600"/>
      <c r="H41" s="600"/>
      <c r="I41" s="600"/>
      <c r="J41" s="600"/>
      <c r="K41" s="600"/>
      <c r="L41" s="600"/>
      <c r="M41" s="600"/>
      <c r="N41" s="600"/>
      <c r="O41" s="600"/>
      <c r="P41" s="600"/>
      <c r="Q41" s="600"/>
      <c r="R41" s="600"/>
      <c r="S41" s="600"/>
      <c r="T41" s="600"/>
      <c r="U41" s="600"/>
      <c r="V41" s="600"/>
      <c r="W41" s="601"/>
    </row>
    <row r="42" spans="1:23">
      <c r="A42" s="600"/>
      <c r="B42" s="601"/>
      <c r="C42" s="601"/>
      <c r="D42" s="601"/>
      <c r="E42" s="600"/>
      <c r="F42" s="600"/>
      <c r="G42" s="600"/>
      <c r="H42" s="600"/>
      <c r="I42" s="600"/>
      <c r="J42" s="600"/>
      <c r="K42" s="600"/>
      <c r="L42" s="600"/>
      <c r="M42" s="600"/>
      <c r="N42" s="600"/>
      <c r="O42" s="600"/>
      <c r="P42" s="600"/>
      <c r="Q42" s="600"/>
      <c r="R42" s="600"/>
      <c r="S42" s="600"/>
      <c r="T42" s="600"/>
      <c r="U42" s="600"/>
      <c r="V42" s="600"/>
      <c r="W42" s="601"/>
    </row>
    <row r="43" spans="1:23">
      <c r="A43" s="600"/>
      <c r="B43" s="601"/>
      <c r="C43" s="601"/>
      <c r="D43" s="601"/>
      <c r="E43" s="600"/>
      <c r="F43" s="600"/>
      <c r="G43" s="600"/>
      <c r="H43" s="600"/>
      <c r="I43" s="600"/>
      <c r="J43" s="600"/>
      <c r="K43" s="600"/>
      <c r="L43" s="600"/>
      <c r="M43" s="600"/>
      <c r="N43" s="600"/>
      <c r="O43" s="600"/>
      <c r="P43" s="600"/>
      <c r="Q43" s="600"/>
      <c r="R43" s="600"/>
      <c r="S43" s="600"/>
      <c r="T43" s="600"/>
      <c r="U43" s="600"/>
      <c r="V43" s="600"/>
      <c r="W43" s="601"/>
    </row>
    <row r="44" spans="1:23">
      <c r="A44" s="600"/>
      <c r="B44" s="601"/>
      <c r="C44" s="601"/>
      <c r="D44" s="601"/>
      <c r="E44" s="600"/>
      <c r="F44" s="600"/>
      <c r="G44" s="600"/>
      <c r="H44" s="600"/>
      <c r="I44" s="600"/>
      <c r="J44" s="600"/>
      <c r="K44" s="600"/>
      <c r="L44" s="600"/>
      <c r="M44" s="600"/>
      <c r="N44" s="600"/>
      <c r="O44" s="600"/>
      <c r="P44" s="600"/>
      <c r="Q44" s="600"/>
      <c r="R44" s="600"/>
      <c r="S44" s="600"/>
      <c r="T44" s="600"/>
      <c r="U44" s="600"/>
      <c r="V44" s="600"/>
      <c r="W44" s="601"/>
    </row>
    <row r="45" spans="1:23">
      <c r="A45" s="600"/>
      <c r="B45" s="601"/>
      <c r="C45" s="601"/>
      <c r="D45" s="601"/>
      <c r="E45" s="600"/>
      <c r="F45" s="600"/>
      <c r="G45" s="600"/>
      <c r="H45" s="600"/>
      <c r="I45" s="600"/>
      <c r="J45" s="600"/>
      <c r="K45" s="600"/>
      <c r="L45" s="600"/>
      <c r="M45" s="600"/>
      <c r="N45" s="600"/>
      <c r="O45" s="600"/>
      <c r="P45" s="600"/>
      <c r="Q45" s="600"/>
      <c r="R45" s="600"/>
      <c r="S45" s="600"/>
      <c r="T45" s="600"/>
      <c r="U45" s="600"/>
      <c r="V45" s="600"/>
      <c r="W45" s="601"/>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CD045-0052-4B90-93CA-7C539BBE408E}">
  <sheetPr codeName="Sheet16">
    <tabColor theme="3"/>
  </sheetPr>
  <dimension ref="A2:AC22"/>
  <sheetViews>
    <sheetView showGridLines="0" showRowColHeaders="0" tabSelected="1" zoomScale="85" zoomScaleNormal="85" workbookViewId="0">
      <selection activeCell="M7" sqref="M7"/>
    </sheetView>
  </sheetViews>
  <sheetFormatPr defaultRowHeight="18.75"/>
  <cols>
    <col min="2" max="2" width="18.69921875" customWidth="1"/>
    <col min="3" max="3" width="11.796875" customWidth="1"/>
  </cols>
  <sheetData>
    <row r="2" spans="1:29" s="29" customFormat="1" ht="30.75">
      <c r="A2" s="211"/>
      <c r="B2" s="31" t="s">
        <v>4381</v>
      </c>
      <c r="C2" s="31"/>
      <c r="D2" s="33"/>
      <c r="E2" s="33"/>
      <c r="F2" s="8"/>
      <c r="G2" s="8"/>
      <c r="H2" s="8"/>
      <c r="I2" s="33"/>
      <c r="J2" s="33"/>
      <c r="K2" s="33"/>
      <c r="L2" s="33"/>
      <c r="M2" s="8"/>
      <c r="N2" s="33"/>
      <c r="O2" s="33"/>
      <c r="P2" s="33"/>
      <c r="Q2" s="33"/>
      <c r="R2" s="8"/>
      <c r="S2" s="33"/>
      <c r="T2" s="33"/>
      <c r="U2" s="33"/>
      <c r="V2" s="33"/>
      <c r="W2" s="8"/>
      <c r="X2" s="33"/>
      <c r="Y2" s="33"/>
      <c r="Z2" s="33"/>
      <c r="AA2" s="33"/>
      <c r="AB2" s="33"/>
      <c r="AC2" s="8"/>
    </row>
    <row r="3" spans="1:29" s="29" customFormat="1" ht="5.25" customHeight="1">
      <c r="A3" s="211"/>
      <c r="B3" s="8"/>
      <c r="C3" s="8"/>
      <c r="D3" s="34"/>
      <c r="E3" s="34"/>
      <c r="F3" s="35"/>
      <c r="G3" s="35"/>
      <c r="H3" s="35"/>
      <c r="I3" s="34"/>
      <c r="J3" s="34"/>
      <c r="K3" s="34"/>
      <c r="L3" s="34"/>
      <c r="M3" s="35"/>
      <c r="N3" s="34"/>
      <c r="O3" s="34"/>
      <c r="P3" s="34"/>
      <c r="Q3" s="34"/>
      <c r="R3" s="35"/>
      <c r="S3" s="34"/>
      <c r="T3" s="34"/>
      <c r="U3" s="34"/>
      <c r="V3" s="34"/>
      <c r="W3" s="35"/>
      <c r="X3" s="34"/>
      <c r="Y3" s="34"/>
      <c r="Z3" s="34"/>
      <c r="AA3" s="34"/>
      <c r="AB3" s="34"/>
      <c r="AC3" s="8"/>
    </row>
    <row r="4" spans="1:29">
      <c r="B4" s="1003" t="s">
        <v>4773</v>
      </c>
      <c r="C4" s="1003"/>
      <c r="F4" s="1002" t="s">
        <v>4382</v>
      </c>
      <c r="G4" s="1002"/>
    </row>
    <row r="5" spans="1:29">
      <c r="B5" s="940" t="s">
        <v>1357</v>
      </c>
      <c r="C5" s="941" t="s">
        <v>1358</v>
      </c>
      <c r="F5" s="936" t="s">
        <v>4774</v>
      </c>
      <c r="G5" s="937">
        <v>0.11650000000000001</v>
      </c>
      <c r="K5" s="938"/>
    </row>
    <row r="6" spans="1:29">
      <c r="B6" s="940" t="s">
        <v>704</v>
      </c>
      <c r="C6" s="942">
        <v>5</v>
      </c>
      <c r="F6" s="936" t="s">
        <v>4775</v>
      </c>
      <c r="G6" s="937">
        <v>5.8000000000000003E-2</v>
      </c>
    </row>
    <row r="7" spans="1:29">
      <c r="B7" s="940" t="s">
        <v>4776</v>
      </c>
      <c r="C7" s="941">
        <v>6.5199999999999994E-2</v>
      </c>
    </row>
    <row r="8" spans="1:29">
      <c r="B8" s="940" t="s">
        <v>4777</v>
      </c>
      <c r="C8" s="939">
        <f>IF(C$5="CDI+", (1+C$7)*(1+$G$5), IF(C$5="IPCA+", (1+C$7)*(1+$G$6), IF(C$5 = "%CDI", 1+C$7*$G$5, 1+C$7))) / (1+$G$5)-1</f>
        <v>9.3879086430810332E-3</v>
      </c>
    </row>
    <row r="9" spans="1:29">
      <c r="B9" s="940" t="s">
        <v>4778</v>
      </c>
      <c r="C9" s="939">
        <f>IF(C$5="CDI+", (1+C$7)*(1+$G$5), IF(C$5="IPCA+", (1+C$7)*(1+$G$6), IF(C$5 = "%CDI", 1+C$7*$G$5, 1+C$7))) / (1+$G$6)-1</f>
        <v>6.5199999999999925E-2</v>
      </c>
    </row>
    <row r="10" spans="1:29">
      <c r="B10" s="940" t="s">
        <v>4779</v>
      </c>
      <c r="C10" s="939">
        <f>IF(C$5="CDI+", (((1+C$7)*(1+$G$5)-1) / (1-IF(C$6&lt;=0.5, 22.5%,  IF(C$6&lt;=1, 20%, IF(C$6&lt;=2, 17.5%, 15%))))+1), IF(C$5="IPCA+", (((1+C$7)*(1+$G$6)-1) / (1-IF(C$6&lt;=0.5, 22.5%,  IF(C$6&lt;=1, 20%, IF(C$6&lt;=2, 17.5%, 15%))))+1), IF(C$5 = "%CDI", (C$7*$G$5 / (1-IF(C$6&lt;=0.5, 22.5%,  IF(C$6&lt;=1, 20%, IF(C$6&lt;=2, 17.5%, 15%))))+1), 1+C$7))) / (1+$G$6)-1</f>
        <v>8.6380073390414536E-2</v>
      </c>
    </row>
    <row r="11" spans="1:29">
      <c r="B11" s="940" t="s">
        <v>4780</v>
      </c>
      <c r="C11" s="939">
        <f>IF(C$5="CDI+", (((1+C$7)*(1+$G$5)-1) / (1-IF(C$6&lt;=0.5, 22.5%,  IF(C$6&lt;=1, 20%, IF(C$6&lt;=2, 17.5%, 15%))))), IF(C$5="IPCA+", (((1+C$7)*(1+$G$6)-1) / (1-IF(C$6&lt;=0.5, 22.5%,  IF(C$6&lt;=1, 20%, IF(C$6&lt;=2, 17.5%, 15%))))), IF(C$5 = "%CDI", (C$7*$G$5 / (1-IF(C$6&lt;=0.5, 22.5%,  IF(C$6&lt;=1, 20%, IF(C$6&lt;=2, 17.5%, 15%))))+1), C$7))) /$G$5</f>
        <v>1.2823186064125212</v>
      </c>
    </row>
    <row r="12" spans="1:29">
      <c r="B12" s="940" t="s">
        <v>4781</v>
      </c>
      <c r="C12" s="939">
        <f>IF(C$5="CDI+", (((1+C$7)*(1+$G$5)-1) / (1-IF(C$6&lt;=0.5, 22.5%,  IF(C$6&lt;=1, 20%, IF(C$6&lt;=2, 17.5%, 15%))))), IF(C$5="IPCA+", (((1+C$7)*(1+$G$6)-1) / (1-IF(C$6&lt;=0.5, 22.5%,  IF(C$6&lt;=1, 20%, IF(C$6&lt;=2, 17.5%, 15%))))), IF(C$5 = "%CDI", (C$7*$G$5 / (1-IF(C$6&lt;=0.5, 22.5%,  IF(C$6&lt;=1, 20%, IF(C$6&lt;=2, 17.5%, 15%))))+1), C$7)))</f>
        <v>0.14939011764705873</v>
      </c>
    </row>
    <row r="14" spans="1:29">
      <c r="B14" s="1003" t="s">
        <v>4782</v>
      </c>
      <c r="C14" s="1003"/>
    </row>
    <row r="15" spans="1:29">
      <c r="B15" s="940" t="s">
        <v>1357</v>
      </c>
      <c r="C15" s="941" t="s">
        <v>1358</v>
      </c>
    </row>
    <row r="16" spans="1:29">
      <c r="B16" s="940" t="s">
        <v>704</v>
      </c>
      <c r="C16" s="942">
        <v>5</v>
      </c>
    </row>
    <row r="17" spans="2:3">
      <c r="B17" s="940" t="s">
        <v>4783</v>
      </c>
      <c r="C17" s="941">
        <v>9.2299999999999993E-2</v>
      </c>
    </row>
    <row r="18" spans="2:3">
      <c r="B18" s="940" t="s">
        <v>4777</v>
      </c>
      <c r="C18" s="939">
        <f>(IF(C$15="CDI+", (1+C$17)*(1+$G$5)-1, IF(C$15="IPCA+", (1+C$17)*(1+$G$6)-1, IF(C$15 = "%CDI", C$17*$G$5, C$17))) * (1-IF(C$6&lt;=0.5, 22.5%,  IF(C$6&lt;=1, 20%, IF(C$6&lt;=2, 17.5%, 15%))))+1)/(1+$G$5)-1</f>
        <v>1.4156193461710709E-2</v>
      </c>
    </row>
    <row r="19" spans="2:3">
      <c r="B19" s="940" t="s">
        <v>4778</v>
      </c>
      <c r="C19" s="939">
        <f>(IF(C$15="CDI+", (1+C$17)*(1+$G$5)-1, IF(C$15="IPCA+", (1+C$17)*(1+$G$6)-1, IF(C$15 = "%CDI", C$17*$G$5, C$17))) * (1-IF(C$6&lt;=0.5, 22.5%,  IF(C$6&lt;=1, 20%, IF(C$6&lt;=2, 17.5%, 15%))))+1)/(1+$G$6)-1</f>
        <v>7.0231937618147278E-2</v>
      </c>
    </row>
    <row r="20" spans="2:3">
      <c r="B20" s="940" t="s">
        <v>4779</v>
      </c>
      <c r="C20" s="939">
        <f>IF(C$15="CDI+", (1+C$17)*(1+$G$5), IF(C$15="IPCA+", (1+C$17)*(1+$G$6), IF(C$15 = "%CDI", 1+C$17*$G$5, 1+C$17))) / (1+$G$6)-1</f>
        <v>9.2300000000000049E-2</v>
      </c>
    </row>
    <row r="21" spans="2:3">
      <c r="B21" s="940" t="s">
        <v>4780</v>
      </c>
      <c r="C21" s="939">
        <f>(IF(C$15="CDI+", (1+C$17)*(1+$G$5), IF(C$15="IPCA+", (1+C$17)*(1+$G$6), IF(C$15 = "%CDI", 1+C$17*$G$5, 1+C$17)))-1)/G5</f>
        <v>1.3360806866952792</v>
      </c>
    </row>
    <row r="22" spans="2:3">
      <c r="B22" s="940" t="s">
        <v>4781</v>
      </c>
      <c r="C22" s="939">
        <f>IF(C$15="CDI+", (1+C$17)*(1+$G$5), IF(C$15="IPCA+", (1+C$17)*(1+$G$6), IF(C$15 = "%CDI", 1+C$17*$G$5, 1+C$17)))-1</f>
        <v>0.15565340000000005</v>
      </c>
    </row>
  </sheetData>
  <mergeCells count="3">
    <mergeCell ref="F4:G4"/>
    <mergeCell ref="B4:C4"/>
    <mergeCell ref="B14:C14"/>
  </mergeCells>
  <dataValidations count="1">
    <dataValidation type="list" allowBlank="1" showInputMessage="1" showErrorMessage="1" sqref="C5 C15" xr:uid="{3560A2C5-4A4B-4A6F-BAA5-58889322F84B}">
      <formula1>"%CDI,CDI+,IPCA+,PRÉ"</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6D85D-FB1A-4B58-B669-CD5E4C1110FE}">
  <sheetPr codeName="Sheet22">
    <tabColor theme="9"/>
  </sheetPr>
  <dimension ref="B1:AB90"/>
  <sheetViews>
    <sheetView showGridLines="0" zoomScale="85" zoomScaleNormal="85" workbookViewId="0">
      <pane ySplit="8" topLeftCell="A9" activePane="bottomLeft" state="frozen"/>
      <selection activeCell="H64" sqref="H64"/>
      <selection pane="bottomLeft" activeCell="J23" sqref="J23"/>
    </sheetView>
  </sheetViews>
  <sheetFormatPr defaultColWidth="10.69921875" defaultRowHeight="27"/>
  <cols>
    <col min="1" max="1" width="1.19921875" style="400" customWidth="1"/>
    <col min="2" max="4" width="2.09765625" style="396" hidden="1" customWidth="1"/>
    <col min="5" max="5" width="32.3984375" style="397" customWidth="1"/>
    <col min="6" max="6" width="14.296875" style="398" customWidth="1"/>
    <col min="7" max="7" width="7.09765625" style="398" customWidth="1"/>
    <col min="8" max="8" width="6.296875" style="398" customWidth="1"/>
    <col min="9" max="9" width="8.19921875" style="399" customWidth="1"/>
    <col min="10" max="10" width="10.09765625" style="400" customWidth="1"/>
    <col min="11" max="11" width="8.09765625" style="400" customWidth="1"/>
    <col min="12" max="12" width="1.19921875" style="400" customWidth="1"/>
    <col min="13" max="13" width="12.5" style="401" customWidth="1"/>
    <col min="14" max="14" width="6.796875" style="400" customWidth="1"/>
    <col min="15" max="15" width="8.3984375" style="401" customWidth="1"/>
    <col min="16" max="16" width="1.19921875" style="400" customWidth="1"/>
    <col min="17" max="17" width="12" style="402" customWidth="1"/>
    <col min="18" max="18" width="7.59765625" style="400" customWidth="1"/>
    <col min="19" max="19" width="8" style="402" customWidth="1"/>
    <col min="20" max="20" width="1.19921875" style="400" customWidth="1"/>
    <col min="21" max="21" width="13.3984375" style="402" customWidth="1"/>
    <col min="22" max="22" width="1.19921875" style="400" customWidth="1"/>
    <col min="23" max="23" width="21.19921875" style="400" customWidth="1"/>
    <col min="24" max="24" width="10.5" style="400" customWidth="1"/>
    <col min="25" max="16384" width="10.69921875" style="400"/>
  </cols>
  <sheetData>
    <row r="1" spans="2:28" s="313" customFormat="1" ht="20.25" customHeight="1" thickBot="1">
      <c r="B1" s="311"/>
      <c r="C1" s="311"/>
      <c r="D1" s="311"/>
      <c r="E1" s="734"/>
      <c r="K1" s="99"/>
      <c r="O1" s="773"/>
    </row>
    <row r="2" spans="2:28" s="99" customFormat="1" ht="18.95" customHeight="1" thickBot="1">
      <c r="B2" s="315"/>
      <c r="C2" s="315"/>
      <c r="D2" s="315"/>
      <c r="E2" s="1006" t="s">
        <v>4307</v>
      </c>
      <c r="L2" s="775"/>
      <c r="M2" s="777" t="s">
        <v>4309</v>
      </c>
      <c r="N2" s="1007">
        <v>1000000</v>
      </c>
      <c r="O2" s="1008"/>
      <c r="X2" s="735"/>
      <c r="Y2" s="724"/>
      <c r="Z2" s="313"/>
      <c r="AA2" s="313"/>
      <c r="AB2" s="313"/>
    </row>
    <row r="3" spans="2:28" s="99" customFormat="1" ht="18.95" customHeight="1" thickBot="1">
      <c r="B3" s="315"/>
      <c r="C3" s="315"/>
      <c r="D3" s="315"/>
      <c r="E3" s="1006"/>
      <c r="F3" s="736"/>
      <c r="J3" s="778" t="s">
        <v>2681</v>
      </c>
      <c r="K3" s="774" t="s">
        <v>643</v>
      </c>
      <c r="L3" s="776"/>
      <c r="M3" s="777" t="s">
        <v>4308</v>
      </c>
      <c r="N3" s="1013">
        <v>1000000</v>
      </c>
      <c r="O3" s="1014"/>
      <c r="Q3" s="322"/>
      <c r="R3" s="1009" t="s">
        <v>620</v>
      </c>
      <c r="S3" s="1010"/>
      <c r="U3" s="1011" t="str">
        <f>IF(OR(AND(ROUND(N86,2)&lt;&gt;1, N10+N40+N56&lt;&gt;0), AND(ROUND(O86,2)&lt;&gt;1, O10+O40+O56&lt;&gt;0), AND(ROUND(R86,2)&lt;&gt;1, R10+R40+R56&lt;&gt;0), AND(ROUND(S86,2)&lt;&gt;1, S10+S40+S56&lt;&gt;0)), "O portfólio não totaliza 100%", "")</f>
        <v/>
      </c>
      <c r="V3" s="1011"/>
      <c r="W3" s="1011"/>
      <c r="X3" s="735"/>
      <c r="Y3" s="724"/>
      <c r="Z3" s="313"/>
      <c r="AA3" s="313"/>
      <c r="AB3" s="313"/>
    </row>
    <row r="4" spans="2:28" s="99" customFormat="1" ht="18.75" customHeight="1">
      <c r="B4" s="315"/>
      <c r="C4" s="315"/>
      <c r="D4" s="315"/>
      <c r="E4" s="1006"/>
      <c r="N4" s="1012" t="str">
        <f>IF(N86=0, "", N86)</f>
        <v/>
      </c>
      <c r="R4" s="1012" t="str">
        <f>IF(R86=0, "", R86)</f>
        <v/>
      </c>
      <c r="S4" s="325"/>
      <c r="U4" s="1011" t="str" cm="1">
        <f t="array" aca="1" ref="U4" ca="1">IF(SUM(IF(IF($K$10:$K$95="Não", $U$10:$U$95, 0)&gt;0, 1,0))&gt;0, "Atenção! Há fundos fechados na carteira", "")</f>
        <v/>
      </c>
      <c r="V4" s="1011"/>
      <c r="W4" s="1011"/>
      <c r="X4" s="723"/>
      <c r="Y4" s="723"/>
    </row>
    <row r="5" spans="2:28" s="331" customFormat="1" ht="5.25" customHeight="1">
      <c r="B5" s="329"/>
      <c r="C5" s="329"/>
      <c r="D5" s="329"/>
      <c r="N5" s="1012"/>
      <c r="R5" s="1012"/>
      <c r="W5" s="723"/>
      <c r="X5" s="723"/>
      <c r="Y5" s="723"/>
    </row>
    <row r="6" spans="2:28" s="328" customFormat="1" ht="24" customHeight="1">
      <c r="B6" s="326"/>
      <c r="C6" s="326"/>
      <c r="D6" s="326"/>
      <c r="E6" s="327"/>
      <c r="F6" s="1004" t="s">
        <v>1367</v>
      </c>
      <c r="G6" s="1005"/>
      <c r="H6" s="1005"/>
      <c r="I6" s="1005"/>
      <c r="J6" s="1005"/>
      <c r="K6" s="327"/>
      <c r="L6" s="737"/>
      <c r="M6" s="1005" t="s">
        <v>4299</v>
      </c>
      <c r="N6" s="1005"/>
      <c r="O6" s="1005"/>
      <c r="P6" s="738"/>
      <c r="Q6" s="1005" t="s">
        <v>1349</v>
      </c>
      <c r="R6" s="1005"/>
      <c r="S6" s="1005"/>
      <c r="U6" s="733" t="s">
        <v>4300</v>
      </c>
      <c r="W6" s="723"/>
      <c r="X6" s="723"/>
      <c r="Y6" s="723"/>
    </row>
    <row r="7" spans="2:28" s="331" customFormat="1" ht="5.25" customHeight="1">
      <c r="B7" s="329"/>
      <c r="C7" s="329"/>
      <c r="D7" s="329"/>
      <c r="E7" s="330"/>
      <c r="L7" s="739"/>
      <c r="M7" s="740"/>
      <c r="N7" s="741"/>
      <c r="O7" s="740"/>
      <c r="P7" s="742"/>
      <c r="Q7" s="743"/>
      <c r="R7" s="744"/>
      <c r="S7" s="743"/>
      <c r="U7" s="334"/>
    </row>
    <row r="8" spans="2:28" s="338" customFormat="1" ht="31.5">
      <c r="B8" s="335"/>
      <c r="C8" s="335"/>
      <c r="D8" s="335"/>
      <c r="E8" s="336" t="s">
        <v>715</v>
      </c>
      <c r="F8" s="337" t="s">
        <v>31</v>
      </c>
      <c r="G8" s="337" t="s">
        <v>33</v>
      </c>
      <c r="H8" s="337" t="s">
        <v>8</v>
      </c>
      <c r="I8" s="337" t="s">
        <v>1408</v>
      </c>
      <c r="J8" s="337" t="s">
        <v>706</v>
      </c>
      <c r="K8" s="487" t="s">
        <v>1438</v>
      </c>
      <c r="L8" s="745"/>
      <c r="M8" s="339" t="s">
        <v>4301</v>
      </c>
      <c r="N8" s="339" t="s">
        <v>1347</v>
      </c>
      <c r="O8" s="339" t="s">
        <v>1348</v>
      </c>
      <c r="P8" s="746"/>
      <c r="Q8" s="339" t="s">
        <v>4301</v>
      </c>
      <c r="R8" s="339" t="s">
        <v>1347</v>
      </c>
      <c r="S8" s="339" t="s">
        <v>1348</v>
      </c>
      <c r="U8" s="339" t="s">
        <v>4301</v>
      </c>
    </row>
    <row r="9" spans="2:28" s="331" customFormat="1" ht="5.25" customHeight="1">
      <c r="B9" s="329"/>
      <c r="C9" s="329"/>
      <c r="D9" s="329"/>
      <c r="E9" s="340"/>
      <c r="F9" s="341"/>
      <c r="G9" s="341"/>
      <c r="H9" s="341"/>
      <c r="I9" s="342"/>
      <c r="J9" s="342"/>
      <c r="K9" s="342"/>
      <c r="M9" s="342"/>
      <c r="Q9" s="342"/>
      <c r="U9" s="342"/>
    </row>
    <row r="10" spans="2:28" s="347" customFormat="1" ht="14.25" customHeight="1">
      <c r="B10" s="343"/>
      <c r="C10" s="343"/>
      <c r="D10" s="343" t="s">
        <v>1394</v>
      </c>
      <c r="E10" s="344" t="s">
        <v>11</v>
      </c>
      <c r="F10" s="345"/>
      <c r="G10" s="345"/>
      <c r="H10" s="345"/>
      <c r="I10" s="346"/>
      <c r="J10" s="346"/>
      <c r="K10" s="346"/>
      <c r="M10" s="348">
        <f>M12+M15+M26+M37</f>
        <v>0</v>
      </c>
      <c r="N10" s="349">
        <f>N12+N15+N26+N37</f>
        <v>0</v>
      </c>
      <c r="O10" s="349">
        <f>O12+O15+O26+O37</f>
        <v>0</v>
      </c>
      <c r="Q10" s="348">
        <f>IFERROR(IF(Q12+Q15+Q26+Q37=0, 0,Q12+Q15+Q26+Q37),"")</f>
        <v>0</v>
      </c>
      <c r="R10" s="349">
        <f>R12+R15+R26+R37</f>
        <v>0</v>
      </c>
      <c r="S10" s="349">
        <f>S12+S15+S26+S37</f>
        <v>0</v>
      </c>
      <c r="U10" s="348">
        <f>Q10-M10</f>
        <v>0</v>
      </c>
    </row>
    <row r="11" spans="2:28" s="331" customFormat="1" ht="5.25" customHeight="1">
      <c r="B11" s="329"/>
      <c r="C11" s="329"/>
      <c r="D11" s="329"/>
      <c r="E11" s="340"/>
      <c r="F11" s="341"/>
      <c r="G11" s="341"/>
      <c r="H11" s="341"/>
      <c r="I11" s="342"/>
      <c r="J11" s="342"/>
      <c r="K11" s="342"/>
      <c r="M11" s="351"/>
      <c r="Q11" s="351"/>
      <c r="U11" s="351"/>
    </row>
    <row r="12" spans="2:28" s="347" customFormat="1" ht="14.25" customHeight="1">
      <c r="B12" s="343"/>
      <c r="C12" s="343" t="s">
        <v>12</v>
      </c>
      <c r="D12" s="343" t="s">
        <v>12</v>
      </c>
      <c r="E12" s="352" t="s">
        <v>620</v>
      </c>
      <c r="F12" s="353"/>
      <c r="G12" s="353"/>
      <c r="H12" s="353"/>
      <c r="I12" s="354"/>
      <c r="J12" s="354"/>
      <c r="K12" s="354"/>
      <c r="M12" s="772">
        <f>IFERROR(IF(N12=0, 0, N12*$N$2),0)</f>
        <v>0</v>
      </c>
      <c r="N12" s="748">
        <f>SUM(N13:N14)</f>
        <v>0</v>
      </c>
      <c r="O12" s="748">
        <f>IF(N12=0,0,ROUND(SUM(O13:O14)*N12,6))</f>
        <v>0</v>
      </c>
      <c r="Q12" s="772">
        <f>IFERROR(IF(R12=0, 0, R12*$N$3),0)</f>
        <v>0</v>
      </c>
      <c r="R12" s="489"/>
      <c r="S12" s="748">
        <f>IF(R12=0,0,ROUND(SUM(S13:S14)*R12,6))</f>
        <v>0</v>
      </c>
      <c r="U12" s="772">
        <f>Q12-M12</f>
        <v>0</v>
      </c>
      <c r="W12" s="749"/>
    </row>
    <row r="13" spans="2:28" s="749" customFormat="1" ht="14.25" customHeight="1">
      <c r="B13" s="357"/>
      <c r="C13" s="357"/>
      <c r="D13" s="357"/>
      <c r="E13" s="268"/>
      <c r="F13" s="358" t="str">
        <f ca="1">IF($E13="", "", IFERROR(INDEX(OFFSET('Fund Guide'!$B$5,1,MATCH(F$8,OFFSET('Fund Guide'!$B$5,,,,COUNTA('Fund Guide'!6:6)),0)-1,COUNTA('Fund Guide'!$B:$B)-COUNTA('Fund Guide'!$B$2:$B$5)),MATCH($E13,OFFSET('Fund Guide'!$B$5,1,,COUNTA('Fund Guide'!$B:$B)-COUNTA('Fund Guide'!$B$2:$B$5)),0)),"-"))</f>
        <v/>
      </c>
      <c r="G13" s="359" t="str">
        <f ca="1">IF($E13="", "", IFERROR(INDEX(OFFSET('Fund Guide'!$B$5,1,MATCH(G$8,OFFSET('Fund Guide'!$B$5,,,,COUNTA('Fund Guide'!$5:$5)),0)-1,COUNTA('Fund Guide'!$B:$B)-COUNTA('Fund Guide'!$B$2:$B$5)),MATCH($E13,OFFSET('Fund Guide'!$B$5,1,,COUNTA('Fund Guide'!$B:$B)-COUNTA('Fund Guide'!$B$2:$B$5)),0)),
IFERROR(IF(OR(LEFT($E13,3)="NTN",LEFT($E13,3)="LFT"),DATE(_xlfn.NUMBERVALUE(RIGHT(LEFT($E13,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360"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
      </c>
      <c r="I13" s="361"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
      </c>
      <c r="J13" s="362" t="str" cm="1">
        <f t="array" aca="1" ref="J13" ca="1">IF($E13="", "", IFERROR(INDEX(OFFSET('Fund Guide'!$B$5,1,MATCH(J$8,OFFSET('Fund Guide'!$B$5,,,,COUNTA('Fund Guide'!$5:$5)),0)-1,COUNTA('Fund Guide'!$B:$B)-COUNTA('Fund Guide'!$B$2:$B$5)),MATCH($E13,OFFSET('Fund Guide'!$B$5,1,,COUNTA('Fund Guide'!$B:$B)-COUNTA('Fund Guide'!$B$2:$B$5)),0)),
IFERROR(INDEX(OFFSET('RF &amp; RV Guide'!$X$10,1, , 100),MATCH(IF(FIND("(", $E13)&gt;0, LEFT($E13, FIND("(", $E13)-1),), IFERROR(IF(FIND("(", OFFSET('RF &amp; RV Guide'!$E$10,1,,200))&gt;0, LEFT(OFFSET('RF &amp; RV Guide'!$E$10,1,,200), FIND("(", $E13)-1),),"-"),0)),
IFERROR(INDEX(OFFSET('RF &amp; RV Guide'!$X$10,1, , 100),MATCH($E13, OFFSET('RF &amp; RV Guide'!$E$10,1,,200),0)),"-"))))</f>
        <v/>
      </c>
      <c r="K13" s="750" t="str">
        <f ca="1">IF($E13="", "", IFERROR(INDEX(OFFSET('Fund Guide'!#REF!,1,MATCH(K$8,OFFSET('Fund Guide'!#REF!,,,,COUNTA('Fund Guide'!$5:$5)),0)-1,COUNTA('Fund Guide'!$B:$B)-COUNTA('Fund Guide'!$B$2:$B$2)),MATCH($E13,OFFSET('Fund Guide'!#REF!,1,,COUNTA('Fund Guide'!$B:$B)-COUNTA('Fund Guide'!$B$2:$B$2)),0)),
IFERROR(OFFSET('RF &amp; RV Guide'!$E$8,2+MATCH($E13, OFFSET('RF &amp; RV Guide'!$E$8,3,,COUNTA('RF &amp; RV Guide'!$E:$E)-COUNTA('RF &amp; RV Guide'!$E$1:$E$8)), 0),-1+MATCH("Captação", OFFSET('RF &amp; RV Guide'!$E$8,,,,COUNTA('RF &amp; RV Guide'!$8:$8)-COUNTA('RF &amp; RV Guide'!$A$8:$E$8)),0)), "-")))</f>
        <v/>
      </c>
      <c r="M13" s="934"/>
      <c r="N13" s="935" t="str">
        <f>IFERROR(IF(M13="", "", M13/$N$2), 0)</f>
        <v/>
      </c>
      <c r="O13" s="365" t="str">
        <f>IFERROR(IF(N13="", "", N13/N$12),0)</f>
        <v/>
      </c>
      <c r="Q13" s="751" t="str">
        <f>IFERROR(IF(R13="", "", R13*$N$3), 0)</f>
        <v/>
      </c>
      <c r="R13" s="198"/>
      <c r="S13" s="365" t="str">
        <f t="shared" ref="S13" si="0">IFERROR(IF(R13="", "", R13/R$12),0)</f>
        <v/>
      </c>
      <c r="U13" s="751" t="str">
        <f>IFERROR(ROUND(Q13-M13,2), "")</f>
        <v/>
      </c>
    </row>
    <row r="14" spans="2:28" s="331" customFormat="1" ht="5.25" customHeight="1">
      <c r="B14" s="329"/>
      <c r="C14" s="329"/>
      <c r="D14" s="329"/>
      <c r="E14" s="366"/>
      <c r="F14" s="367"/>
      <c r="G14" s="341"/>
      <c r="H14" s="341"/>
      <c r="I14" s="342"/>
      <c r="J14" s="342"/>
      <c r="K14" s="342"/>
      <c r="M14" s="351"/>
      <c r="Q14" s="351"/>
      <c r="U14" s="351"/>
      <c r="W14" s="749"/>
    </row>
    <row r="15" spans="2:28" s="347" customFormat="1" ht="14.25" customHeight="1">
      <c r="B15" s="343"/>
      <c r="C15" s="343" t="s">
        <v>1394</v>
      </c>
      <c r="D15" s="343" t="s">
        <v>12</v>
      </c>
      <c r="E15" s="352" t="s">
        <v>621</v>
      </c>
      <c r="F15" s="353"/>
      <c r="G15" s="353"/>
      <c r="H15" s="353"/>
      <c r="I15" s="354"/>
      <c r="J15" s="354"/>
      <c r="K15" s="354"/>
      <c r="M15" s="355">
        <f>IFERROR(IF(N15=0, 0, N15*$N$2),0)</f>
        <v>0</v>
      </c>
      <c r="N15" s="748">
        <f>N17+N20+N23</f>
        <v>0</v>
      </c>
      <c r="O15" s="356">
        <f>ROUND(O17+O20+O23,6)</f>
        <v>0</v>
      </c>
      <c r="Q15" s="355">
        <f>IFERROR(IF(R15=0, 0, R15*$N$3),0)</f>
        <v>0</v>
      </c>
      <c r="R15" s="202">
        <f>R17+R20+R23</f>
        <v>0</v>
      </c>
      <c r="S15" s="356">
        <f>ROUND(S17+S20+S23,6)</f>
        <v>0</v>
      </c>
      <c r="U15" s="355">
        <f>Q15-M15</f>
        <v>0</v>
      </c>
    </row>
    <row r="16" spans="2:28" s="755" customFormat="1" ht="3" customHeight="1">
      <c r="B16" s="368"/>
      <c r="C16" s="368"/>
      <c r="D16" s="368"/>
      <c r="E16" s="752"/>
      <c r="F16" s="753"/>
      <c r="G16" s="753"/>
      <c r="H16" s="753"/>
      <c r="I16" s="754"/>
      <c r="J16" s="754"/>
      <c r="K16" s="754"/>
      <c r="M16" s="756"/>
      <c r="Q16" s="756"/>
      <c r="R16" s="374"/>
      <c r="U16" s="756"/>
    </row>
    <row r="17" spans="2:25" s="347" customFormat="1" ht="14.25" customHeight="1">
      <c r="B17" s="343"/>
      <c r="C17" s="343"/>
      <c r="D17" s="343" t="s">
        <v>12</v>
      </c>
      <c r="E17" s="375" t="s">
        <v>2747</v>
      </c>
      <c r="F17" s="376"/>
      <c r="G17" s="376"/>
      <c r="H17" s="376"/>
      <c r="I17" s="377"/>
      <c r="J17" s="377"/>
      <c r="K17" s="377"/>
      <c r="M17" s="378">
        <f>IFERROR(IF(N17=0, 0, N17*$N$2),0)</f>
        <v>0</v>
      </c>
      <c r="N17" s="857">
        <f>SUM(N18:N19)</f>
        <v>0</v>
      </c>
      <c r="O17" s="379">
        <f>IF(N17=0, 0, SUM(O18:O19)*N17)</f>
        <v>0</v>
      </c>
      <c r="Q17" s="378">
        <f>IFERROR(IF(R17=0, 0, R17*$N$3),0)</f>
        <v>0</v>
      </c>
      <c r="R17" s="490"/>
      <c r="S17" s="379">
        <f>IF(R17=0, 0, SUM(S18:S19)*R17)</f>
        <v>0</v>
      </c>
      <c r="U17" s="378">
        <f>Q17-M17</f>
        <v>0</v>
      </c>
    </row>
    <row r="18" spans="2:25" s="749" customFormat="1" ht="14.25" customHeight="1">
      <c r="B18" s="357"/>
      <c r="C18" s="357"/>
      <c r="D18" s="357"/>
      <c r="E18" s="268"/>
      <c r="F18" s="358" t="str">
        <f ca="1">IF($E18="", "", IFERROR(INDEX(OFFSET('Fund Guide'!$B$5,1,MATCH(F$8,OFFSET('Fund Guide'!$B$5,,,,COUNTA('Fund Guide'!11:11)),0)-1,COUNTA('Fund Guide'!$B:$B)-COUNTA('Fund Guide'!$B$2:$B$5)),MATCH($E18,OFFSET('Fund Guide'!$B$5,1,,COUNTA('Fund Guide'!$B:$B)-COUNTA('Fund Guide'!$B$2:$B$5)),0)),"-"))</f>
        <v/>
      </c>
      <c r="G18" s="359" t="str">
        <f ca="1">IF($E18="", "", IFERROR(INDEX(OFFSET('Fund Guide'!$B$5,1,MATCH(G$8,OFFSET('Fund Guide'!$B$5,,,,COUNTA('Fund Guide'!$5:$5)),0)-1,COUNTA('Fund Guide'!$B:$B)-COUNTA('Fund Guide'!$B$2:$B$5)),MATCH($E18,OFFSET('Fund Guide'!$B$5,1,,COUNTA('Fund Guide'!$B:$B)-COUNTA('Fund Guide'!$B$2:$B$5)),0)),
IFERROR(IF(OR(LEFT($E18,3)="NTN",LEFT($E18,3)="LFT"),DATE(_xlfn.NUMBERVALUE(RIGHT(LEFT($E18,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360" t="str">
        <f ca="1">IF($E18="", "", IFERROR(INDEX(OFFSET('Fund Guide'!$B$5,1,MATCH(H$8,OFFSET('Fund Guide'!$B$5,,,,COUNTA('Fund Guide'!#REF!)),0)-1,COUNTA('Fund Guide'!$B:$B)-COUNTA('Fund Guide'!$B$2:$B$5)),MATCH($E18,OFFSET('Fund Guide'!$B$5,1,,COUNTA('Fund Guide'!$B:$B)-COUNTA('Fund Guide'!$B$2:$B$5)),0)),IFERROR(OFFSET('RF &amp; RV Guide'!$E$8,2+MATCH($E18, OFFSET('RF &amp; RV Guide'!$E$8,3,,200), 0),-1+MATCH(H$8, OFFSET('RF &amp; RV Guide'!$E$8,,,,COUNTA('RF &amp; RV Guide'!$8:$8)-COUNTA('RF &amp; RV Guide'!$A$8:$E$8)),0)),"BRL")))</f>
        <v/>
      </c>
      <c r="I18" s="361"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
      </c>
      <c r="J18" s="362" t="str" cm="1">
        <f t="array" aca="1" ref="J18" ca="1">IF($E18="", "", IFERROR(INDEX(OFFSET('Fund Guide'!$B$5,1,MATCH(J$8,OFFSET('Fund Guide'!$B$5,,,,COUNTA('Fund Guide'!$5:$5)),0)-1,COUNTA('Fund Guide'!$B:$B)-COUNTA('Fund Guide'!$B$2:$B$5)),MATCH($E18,OFFSET('Fund Guide'!$B$5,1,,COUNTA('Fund Guide'!$B:$B)-COUNTA('Fund Guide'!$B$2:$B$5)),0)),
IFERROR(INDEX(OFFSET('RF &amp; RV Guide'!$X$10,1, , 100),MATCH(IF(FIND("(", $E18)&gt;0, LEFT($E18, FIND("(", $E18)-1),), IFERROR(IF(FIND("(", OFFSET('RF &amp; RV Guide'!$E$10,1,,200))&gt;0, LEFT(OFFSET('RF &amp; RV Guide'!$E$10,1,,200), FIND("(", $E18)-1),),"-"),0)),
IFERROR(INDEX(OFFSET('RF &amp; RV Guide'!$X$10,1, , 100),MATCH($E18, OFFSET('RF &amp; RV Guide'!$E$10,1,,200),0)),"-"))))</f>
        <v/>
      </c>
      <c r="K18" s="750" t="str">
        <f ca="1">IF($E18="", "", IFERROR(INDEX(OFFSET('Fund Guide'!#REF!,1,MATCH(K$8,OFFSET('Fund Guide'!#REF!,,,,COUNTA('Fund Guide'!$5:$5)),0)-1,COUNTA('Fund Guide'!$B:$B)-COUNTA('Fund Guide'!$B$2:$B$2)),MATCH($E18,OFFSET('Fund Guide'!#REF!,1,,COUNTA('Fund Guide'!$B:$B)-COUNTA('Fund Guide'!$B$2:$B$2)),0)),
IFERROR(OFFSET('RF &amp; RV Guide'!$E$8,2+MATCH($E18, OFFSET('RF &amp; RV Guide'!$E$8,3,,COUNTA('RF &amp; RV Guide'!$E:$E)-COUNTA('RF &amp; RV Guide'!$E$1:$E$8)), 0),-1+MATCH("Captação", OFFSET('RF &amp; RV Guide'!$E$8,,,,COUNTA('RF &amp; RV Guide'!$8:$8)-COUNTA('RF &amp; RV Guide'!$A$8:$E$8)),0)), "-")))</f>
        <v/>
      </c>
      <c r="M18" s="934"/>
      <c r="N18" s="935" t="str">
        <f>IFERROR(IF(M18="", "", M18/$N$2), 0)</f>
        <v/>
      </c>
      <c r="O18" s="380" t="str">
        <f>IFERROR(IF(N18="", "", N18/N$17),0)</f>
        <v/>
      </c>
      <c r="Q18" s="751" t="str">
        <f>IFERROR(IF(R18="", "", R18*$N$3), 0)</f>
        <v/>
      </c>
      <c r="R18" s="198"/>
      <c r="S18" s="380" t="str">
        <f>IFERROR(IF(R18="", "", R18/R$17),0)</f>
        <v/>
      </c>
      <c r="U18" s="751" t="str">
        <f>IFERROR(ROUND(Q18-M18,2), "")</f>
        <v/>
      </c>
    </row>
    <row r="19" spans="2:25" s="755" customFormat="1" ht="4.5" customHeight="1">
      <c r="B19" s="368"/>
      <c r="C19" s="368"/>
      <c r="D19" s="368"/>
      <c r="E19" s="752"/>
      <c r="F19" s="757"/>
      <c r="G19" s="753"/>
      <c r="H19" s="753"/>
      <c r="I19" s="754"/>
      <c r="J19" s="754"/>
      <c r="K19" s="754"/>
      <c r="M19" s="756"/>
      <c r="O19" s="755" t="str">
        <f>IFERROR(IF(N19="", "", N19/N$17),0)</f>
        <v/>
      </c>
      <c r="Q19" s="756"/>
      <c r="S19" s="755" t="str">
        <f>IFERROR(IF(R19="", "", R19/R$17),0)</f>
        <v/>
      </c>
      <c r="U19" s="756"/>
    </row>
    <row r="20" spans="2:25" s="347" customFormat="1" ht="14.25" customHeight="1">
      <c r="B20" s="343"/>
      <c r="C20" s="343"/>
      <c r="D20" s="343" t="s">
        <v>12</v>
      </c>
      <c r="E20" s="375" t="s">
        <v>2748</v>
      </c>
      <c r="F20" s="376"/>
      <c r="G20" s="376"/>
      <c r="H20" s="376"/>
      <c r="I20" s="377"/>
      <c r="J20" s="377"/>
      <c r="K20" s="377"/>
      <c r="M20" s="378">
        <f>IFERROR(IF(N20=0, 0, N20*$N$2),0)</f>
        <v>0</v>
      </c>
      <c r="N20" s="857">
        <f>SUM(N21:N22)</f>
        <v>0</v>
      </c>
      <c r="O20" s="379">
        <f>IF(N20=0, 0, SUM(O21:O22)*N20)</f>
        <v>0</v>
      </c>
      <c r="Q20" s="378">
        <f>IFERROR(IF(R20=0, 0, R20*$N$3),0)</f>
        <v>0</v>
      </c>
      <c r="R20" s="490"/>
      <c r="S20" s="379">
        <f>IF(R20=0, 0, SUM(S21:S22)*R20)</f>
        <v>0</v>
      </c>
      <c r="U20" s="378">
        <f>Q20-M20</f>
        <v>0</v>
      </c>
    </row>
    <row r="21" spans="2:25" s="749" customFormat="1" ht="15" customHeight="1">
      <c r="B21" s="357"/>
      <c r="C21" s="357"/>
      <c r="D21" s="357"/>
      <c r="E21" s="268"/>
      <c r="F21" s="358" t="str">
        <f ca="1">IF($E21="", "", IFERROR(INDEX(OFFSET('Fund Guide'!$B$5,1,MATCH(F$8,OFFSET('Fund Guide'!$B$5,,,,COUNTA('Fund Guide'!14:14)),0)-1,COUNTA('Fund Guide'!$B:$B)-COUNTA('Fund Guide'!$B$2:$B$5)),MATCH($E21,OFFSET('Fund Guide'!$B$5,1,,COUNTA('Fund Guide'!$B:$B)-COUNTA('Fund Guide'!$B$2:$B$5)),0)),"-"))</f>
        <v/>
      </c>
      <c r="G21" s="359" t="str">
        <f ca="1">IF($E21="", "", IFERROR(INDEX(OFFSET('Fund Guide'!$B$5,1,MATCH(G$8,OFFSET('Fund Guide'!$B$5,,,,COUNTA('Fund Guide'!$5:$5)),0)-1,COUNTA('Fund Guide'!$B:$B)-COUNTA('Fund Guide'!$B$2:$B$5)),MATCH($E21,OFFSET('Fund Guide'!$B$5,1,,COUNTA('Fund Guide'!$B:$B)-COUNTA('Fund Guide'!$B$2:$B$5)),0)),
IFERROR(IF(OR(LEFT($E21,3)="NTN",LEFT($E21,3)="LFT"),DATE(_xlfn.NUMBERVALUE(RIGHT(LEFT($E21,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360" t="str">
        <f ca="1">IF($E21="", "", IFERROR(INDEX(OFFSET('Fund Guide'!$B$5,1,MATCH(H$8,OFFSET('Fund Guide'!$B$5,,,,COUNTA('Fund Guide'!#REF!)),0)-1,COUNTA('Fund Guide'!$B:$B)-COUNTA('Fund Guide'!$B$2:$B$5)),MATCH($E21,OFFSET('Fund Guide'!$B$5,1,,COUNTA('Fund Guide'!$B:$B)-COUNTA('Fund Guide'!$B$2:$B$5)),0)),IFERROR(OFFSET('RF &amp; RV Guide'!$E$8,2+MATCH($E21, OFFSET('RF &amp; RV Guide'!$E$8,3,,200), 0),-1+MATCH(H$8, OFFSET('RF &amp; RV Guide'!$E$8,,,,COUNTA('RF &amp; RV Guide'!$8:$8)-COUNTA('RF &amp; RV Guide'!$A$8:$E$8)),0)),"BRL")))</f>
        <v/>
      </c>
      <c r="I21" s="361"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Guide'!$E$8,3,,200), 0),-1+MATCH(I$8, OFFSET('RF &amp; RV Guide'!$E$8,,,,COUNTA('RF &amp; RV Guide'!$8:$8)-COUNTA('RF &amp; RV Guide'!$A$8:$E$8)),0)),IFERROR(IF(FIND("tulo",$E21), 0.25%), "-"))))</f>
        <v/>
      </c>
      <c r="J21" s="362" t="str" cm="1">
        <f t="array" aca="1" ref="J21" ca="1">IF($E21="", "", IFERROR(INDEX(OFFSET('Fund Guide'!$B$5,1,MATCH(J$8,OFFSET('Fund Guide'!$B$5,,,,COUNTA('Fund Guide'!$5:$5)),0)-1,COUNTA('Fund Guide'!$B:$B)-COUNTA('Fund Guide'!$B$2:$B$5)),MATCH($E21,OFFSET('Fund Guide'!$B$5,1,,COUNTA('Fund Guide'!$B:$B)-COUNTA('Fund Guide'!$B$2:$B$5)),0)),
IFERROR(INDEX(OFFSET('RF &amp; RV Guide'!$X$10,1, , 100),MATCH(IF(FIND("(", $E21)&gt;0, LEFT($E21, FIND("(", $E21)-1),), IFERROR(IF(FIND("(", OFFSET('RF &amp; RV Guide'!$E$10,1,,200))&gt;0, LEFT(OFFSET('RF &amp; RV Guide'!$E$10,1,,200), FIND("(", $E21)-1),),"-"),0)),
IFERROR(INDEX(OFFSET('RF &amp; RV Guide'!$X$10,1, , 100),MATCH($E21, OFFSET('RF &amp; RV Guide'!$E$10,1,,200),0)),"-"))))</f>
        <v/>
      </c>
      <c r="K21" s="750" t="str">
        <f ca="1">IF($E21="", "", IFERROR(INDEX(OFFSET('Fund Guide'!#REF!,1,MATCH(K$8,OFFSET('Fund Guide'!#REF!,,,,COUNTA('Fund Guide'!$5:$5)),0)-1,COUNTA('Fund Guide'!$B:$B)-COUNTA('Fund Guide'!$B$2:$B$2)),MATCH($E21,OFFSET('Fund Guide'!#REF!,1,,COUNTA('Fund Guide'!$B:$B)-COUNTA('Fund Guide'!$B$2:$B$2)),0)),
IFERROR(OFFSET('RF &amp; RV Guide'!$E$8,2+MATCH($E21, OFFSET('RF &amp; RV Guide'!$E$8,3,,COUNTA('RF &amp; RV Guide'!$E:$E)-COUNTA('RF &amp; RV Guide'!$E$1:$E$8)), 0),-1+MATCH("Captação", OFFSET('RF &amp; RV Guide'!$E$8,,,,COUNTA('RF &amp; RV Guide'!$8:$8)-COUNTA('RF &amp; RV Guide'!$A$8:$E$8)),0)), "-")))</f>
        <v/>
      </c>
      <c r="M21" s="934"/>
      <c r="N21" s="935" t="str">
        <f>IFERROR(IF(M21="", "", M21/$N$2), 0)</f>
        <v/>
      </c>
      <c r="O21" s="380" t="str">
        <f>IFERROR(IF(N21="", "", N21/N$20),0)</f>
        <v/>
      </c>
      <c r="Q21" s="751" t="str">
        <f>IFERROR(IF(R21="", "", R21*$N$3), 0)</f>
        <v/>
      </c>
      <c r="R21" s="198"/>
      <c r="S21" s="380" t="str">
        <f>IFERROR(IF(R21="", "", R21/R$20),0)</f>
        <v/>
      </c>
      <c r="U21" s="751" t="str">
        <f>IFERROR(ROUND(Q21-M21,2), "")</f>
        <v/>
      </c>
    </row>
    <row r="22" spans="2:25" s="755" customFormat="1" ht="4.5" customHeight="1">
      <c r="B22" s="368"/>
      <c r="C22" s="368"/>
      <c r="D22" s="368"/>
      <c r="E22" s="752"/>
      <c r="F22" s="757"/>
      <c r="G22" s="753"/>
      <c r="H22" s="753"/>
      <c r="I22" s="754"/>
      <c r="J22" s="754"/>
      <c r="K22" s="754"/>
      <c r="M22" s="756"/>
      <c r="Q22" s="756"/>
      <c r="U22" s="756"/>
      <c r="Y22" s="749"/>
    </row>
    <row r="23" spans="2:25" s="347" customFormat="1" ht="14.25" customHeight="1">
      <c r="B23" s="343"/>
      <c r="C23" s="343"/>
      <c r="D23" s="343" t="s">
        <v>12</v>
      </c>
      <c r="E23" s="375" t="s">
        <v>1369</v>
      </c>
      <c r="F23" s="376"/>
      <c r="G23" s="376"/>
      <c r="H23" s="376"/>
      <c r="I23" s="377"/>
      <c r="J23" s="377"/>
      <c r="K23" s="377"/>
      <c r="M23" s="378">
        <f>IFERROR(IF(N23=0, 0, N23*$N$2),0)</f>
        <v>0</v>
      </c>
      <c r="N23" s="857">
        <f>SUM(N24:N25)</f>
        <v>0</v>
      </c>
      <c r="O23" s="379">
        <f>IF(N23=0, 0, SUM(O24:O25)*N23)</f>
        <v>0</v>
      </c>
      <c r="Q23" s="378">
        <f>IFERROR(IF(R23=0, 0, R23*$N$3),0)</f>
        <v>0</v>
      </c>
      <c r="R23" s="490"/>
      <c r="S23" s="379">
        <f>IF(R23=0, 0, SUM(S24:S25)*R23)</f>
        <v>0</v>
      </c>
      <c r="U23" s="378">
        <f>Q23-M23</f>
        <v>0</v>
      </c>
    </row>
    <row r="24" spans="2:25" s="749" customFormat="1" ht="15" customHeight="1">
      <c r="B24" s="357"/>
      <c r="C24" s="357"/>
      <c r="D24" s="357"/>
      <c r="E24" s="268"/>
      <c r="F24" s="358" t="str">
        <f ca="1">IF($E24="", "", IFERROR(INDEX(OFFSET('Fund Guide'!$B$5,1,MATCH(F$8,OFFSET('Fund Guide'!$B$5,,,,COUNTA('Fund Guide'!17:17)),0)-1,COUNTA('Fund Guide'!$B:$B)-COUNTA('Fund Guide'!$B$2:$B$5)),MATCH($E24,OFFSET('Fund Guide'!$B$5,1,,COUNTA('Fund Guide'!$B:$B)-COUNTA('Fund Guide'!$B$2:$B$5)),0)),"-"))</f>
        <v/>
      </c>
      <c r="G24" s="359" t="str">
        <f ca="1">IF($E24="", "", IFERROR(INDEX(OFFSET('Fund Guide'!$B$5,1,MATCH(G$8,OFFSET('Fund Guide'!$B$5,,,,COUNTA('Fund Guide'!$5:$5)),0)-1,COUNTA('Fund Guide'!$B:$B)-COUNTA('Fund Guide'!$B$2:$B$5)),MATCH($E24,OFFSET('Fund Guide'!$B$5,1,,COUNTA('Fund Guide'!$B:$B)-COUNTA('Fund Guide'!$B$2:$B$5)),0)),
IFERROR(IF(OR(LEFT($E24,3)="NTN",LEFT($E24,3)="LFT"),DATE(_xlfn.NUMBERVALUE(RIGHT(LEFT($E24,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360" t="str">
        <f ca="1">IF($E24="", "", IFERROR(INDEX(OFFSET('Fund Guide'!$B$5,1,MATCH(H$8,OFFSET('Fund Guide'!$B$5,,,,COUNTA('Fund Guide'!#REF!)),0)-1,COUNTA('Fund Guide'!$B:$B)-COUNTA('Fund Guide'!$B$2:$B$5)),MATCH($E24,OFFSET('Fund Guide'!$B$5,1,,COUNTA('Fund Guide'!$B:$B)-COUNTA('Fund Guide'!$B$2:$B$5)),0)),IFERROR(OFFSET('RF &amp; RV Guide'!$E$8,2+MATCH($E24, OFFSET('RF &amp; RV Guide'!$E$8,3,,200), 0),-1+MATCH(H$8, OFFSET('RF &amp; RV Guide'!$E$8,,,,COUNTA('RF &amp; RV Guide'!$8:$8)-COUNTA('RF &amp; RV Guide'!$A$8:$E$8)),0)),"BRL")))</f>
        <v/>
      </c>
      <c r="I24" s="361"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Guide'!$E$8,3,,200), 0),-1+MATCH(I$8, OFFSET('RF &amp; RV Guide'!$E$8,,,,COUNTA('RF &amp; RV Guide'!$8:$8)-COUNTA('RF &amp; RV Guide'!$A$8:$E$8)),0)),IFERROR(IF(FIND("tulo",$E24), 0.25%), "-"))))</f>
        <v/>
      </c>
      <c r="J24" s="362" t="str" cm="1">
        <f t="array" aca="1" ref="J24" ca="1">IF($E24="", "", IFERROR(INDEX(OFFSET('Fund Guide'!$B$5,1,MATCH(J$8,OFFSET('Fund Guide'!$B$5,,,,COUNTA('Fund Guide'!$5:$5)),0)-1,COUNTA('Fund Guide'!$B:$B)-COUNTA('Fund Guide'!$B$2:$B$5)),MATCH($E24,OFFSET('Fund Guide'!$B$5,1,,COUNTA('Fund Guide'!$B:$B)-COUNTA('Fund Guide'!$B$2:$B$5)),0)),
IFERROR(INDEX(OFFSET('RF &amp; RV Guide'!$X$10,1, , 100),MATCH(IF(FIND("(", $E24)&gt;0, LEFT($E24, FIND("(", $E24)-1),), IFERROR(IF(FIND("(", OFFSET('RF &amp; RV Guide'!$E$10,1,,200))&gt;0, LEFT(OFFSET('RF &amp; RV Guide'!$E$10,1,,200), FIND("(", $E24)-1),),"-"),0)),
IFERROR(INDEX(OFFSET('RF &amp; RV Guide'!$X$10,1, , 100),MATCH($E24, OFFSET('RF &amp; RV Guide'!$E$10,1,,200),0)),"-"))))</f>
        <v/>
      </c>
      <c r="K24" s="750" t="str">
        <f ca="1">IF($E24="", "", IFERROR(INDEX(OFFSET('Fund Guide'!#REF!,1,MATCH(K$8,OFFSET('Fund Guide'!#REF!,,,,COUNTA('Fund Guide'!$5:$5)),0)-1,COUNTA('Fund Guide'!$B:$B)-COUNTA('Fund Guide'!$B$2:$B$2)),MATCH($E24,OFFSET('Fund Guide'!#REF!,1,,COUNTA('Fund Guide'!$B:$B)-COUNTA('Fund Guide'!$B$2:$B$2)),0)),
IFERROR(OFFSET('RF &amp; RV Guide'!$E$8,2+MATCH($E24, OFFSET('RF &amp; RV Guide'!$E$8,3,,COUNTA('RF &amp; RV Guide'!$E:$E)-COUNTA('RF &amp; RV Guide'!$E$1:$E$8)), 0),-1+MATCH("Captação", OFFSET('RF &amp; RV Guide'!$E$8,,,,COUNTA('RF &amp; RV Guide'!$8:$8)-COUNTA('RF &amp; RV Guide'!$A$8:$E$8)),0)), "-")))</f>
        <v/>
      </c>
      <c r="M24" s="934"/>
      <c r="N24" s="935" t="str">
        <f>IFERROR(IF(M24="", "", M24/$N$2), 0)</f>
        <v/>
      </c>
      <c r="O24" s="380" t="str">
        <f>IFERROR(IF(N24="", "", N24/N$23),0)</f>
        <v/>
      </c>
      <c r="Q24" s="751" t="str">
        <f>IFERROR(IF(R24="", "", R24*$N$3), 0)</f>
        <v/>
      </c>
      <c r="R24" s="198"/>
      <c r="S24" s="380" t="str">
        <f>IFERROR(IF(R24="", "", R24/R$23),0)</f>
        <v/>
      </c>
      <c r="U24" s="751" t="str">
        <f>IFERROR(ROUND(Q24-M24,2), "")</f>
        <v/>
      </c>
    </row>
    <row r="25" spans="2:25" s="755" customFormat="1" ht="5.25" customHeight="1">
      <c r="B25" s="368"/>
      <c r="C25" s="368"/>
      <c r="D25" s="368"/>
      <c r="E25" s="752"/>
      <c r="F25" s="757"/>
      <c r="G25" s="753"/>
      <c r="H25" s="753"/>
      <c r="I25" s="754"/>
      <c r="J25" s="754"/>
      <c r="K25" s="754"/>
      <c r="M25" s="756"/>
      <c r="Q25" s="756"/>
      <c r="U25" s="756"/>
    </row>
    <row r="26" spans="2:25" s="347" customFormat="1" ht="14.25" customHeight="1">
      <c r="B26" s="343"/>
      <c r="C26" s="343" t="s">
        <v>1394</v>
      </c>
      <c r="D26" s="343" t="s">
        <v>12</v>
      </c>
      <c r="E26" s="352" t="s">
        <v>661</v>
      </c>
      <c r="F26" s="353"/>
      <c r="G26" s="353"/>
      <c r="H26" s="353"/>
      <c r="I26" s="354"/>
      <c r="J26" s="354"/>
      <c r="K26" s="354"/>
      <c r="M26" s="355">
        <f>IFERROR(IF(N26=0, 0, N26*$N$2),0)</f>
        <v>0</v>
      </c>
      <c r="N26" s="748">
        <f>N28+N31+N34</f>
        <v>0</v>
      </c>
      <c r="O26" s="356">
        <f>ROUND(O28+O31+O34,6)</f>
        <v>0</v>
      </c>
      <c r="Q26" s="355">
        <f>IFERROR(IF(R26=0, 0, R26*$N$3),0)</f>
        <v>0</v>
      </c>
      <c r="R26" s="202">
        <f>R28+R31+R34</f>
        <v>0</v>
      </c>
      <c r="S26" s="356">
        <f>ROUND(S28+S31+S34,6)</f>
        <v>0</v>
      </c>
      <c r="U26" s="355">
        <f>Q26-M26</f>
        <v>0</v>
      </c>
    </row>
    <row r="27" spans="2:25" s="755" customFormat="1" ht="3" customHeight="1">
      <c r="B27" s="368"/>
      <c r="C27" s="368"/>
      <c r="D27" s="368"/>
      <c r="E27" s="752"/>
      <c r="F27" s="753"/>
      <c r="G27" s="753"/>
      <c r="H27" s="753"/>
      <c r="I27" s="754"/>
      <c r="J27" s="754"/>
      <c r="K27" s="754"/>
      <c r="M27" s="756"/>
      <c r="Q27" s="756"/>
      <c r="R27" s="374"/>
      <c r="U27" s="756"/>
    </row>
    <row r="28" spans="2:25" s="347" customFormat="1" ht="14.25" customHeight="1">
      <c r="B28" s="343"/>
      <c r="C28" s="343"/>
      <c r="D28" s="343" t="s">
        <v>12</v>
      </c>
      <c r="E28" s="375" t="s">
        <v>1372</v>
      </c>
      <c r="F28" s="376"/>
      <c r="G28" s="376"/>
      <c r="H28" s="376"/>
      <c r="I28" s="377"/>
      <c r="J28" s="377"/>
      <c r="K28" s="377"/>
      <c r="M28" s="378">
        <f>IFERROR(IF(N28=0, 0, N28*$N$2),0)</f>
        <v>0</v>
      </c>
      <c r="N28" s="857">
        <f>SUM(N29:N30)</f>
        <v>0</v>
      </c>
      <c r="O28" s="379">
        <f>IF(N28=0, 0, SUM(O29:O30)*N28)</f>
        <v>0</v>
      </c>
      <c r="Q28" s="378">
        <f>IFERROR(IF(R28=0, 0, R28*$N$3),0)</f>
        <v>0</v>
      </c>
      <c r="R28" s="490"/>
      <c r="S28" s="379">
        <f>IF(R28=0, 0, SUM(S29:S30)*R28)</f>
        <v>0</v>
      </c>
      <c r="U28" s="378">
        <f>Q28-M28</f>
        <v>0</v>
      </c>
    </row>
    <row r="29" spans="2:25" s="749" customFormat="1" ht="14.25" customHeight="1">
      <c r="B29" s="357"/>
      <c r="C29" s="357"/>
      <c r="D29" s="357"/>
      <c r="E29" s="268"/>
      <c r="F29" s="358" t="str">
        <f ca="1">IF($E29="", "", IFERROR(INDEX(OFFSET('Fund Guide'!$B$5,1,MATCH(F$8,OFFSET('Fund Guide'!$B$5,,,,COUNTA('Fund Guide'!22:22)),0)-1,COUNTA('Fund Guide'!$B:$B)-COUNTA('Fund Guide'!$B$2:$B$5)),MATCH($E29,OFFSET('Fund Guide'!$B$5,1,,COUNTA('Fund Guide'!$B:$B)-COUNTA('Fund Guide'!$B$2:$B$5)),0)),"-"))</f>
        <v/>
      </c>
      <c r="G29" s="359" t="str">
        <f ca="1">IF($E29="", "", IFERROR(INDEX(OFFSET('Fund Guide'!$B$5,1,MATCH(G$8,OFFSET('Fund Guide'!$B$5,,,,COUNTA('Fund Guide'!$5:$5)),0)-1,COUNTA('Fund Guide'!$B:$B)-COUNTA('Fund Guide'!$B$2:$B$5)),MATCH($E29,OFFSET('Fund Guide'!$B$5,1,,COUNTA('Fund Guide'!$B:$B)-COUNTA('Fund Guide'!$B$2:$B$5)),0)),
IFERROR(IF(OR(LEFT($E29,3)="NTN",LEFT($E29,3)="LFT"),DATE(_xlfn.NUMBERVALUE(RIGHT(LEFT($E29,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360" t="str">
        <f ca="1">IF($E29="", "", IFERROR(INDEX(OFFSET('Fund Guide'!$B$5,1,MATCH(H$8,OFFSET('Fund Guide'!$B$5,,,,COUNTA('Fund Guide'!#REF!)),0)-1,COUNTA('Fund Guide'!$B:$B)-COUNTA('Fund Guide'!$B$2:$B$5)),MATCH($E29,OFFSET('Fund Guide'!$B$5,1,,COUNTA('Fund Guide'!$B:$B)-COUNTA('Fund Guide'!$B$2:$B$5)),0)),IFERROR(OFFSET('RF &amp; RV Guide'!$E$8,2+MATCH($E29, OFFSET('RF &amp; RV Guide'!$E$8,3,,200), 0),-1+MATCH(H$8, OFFSET('RF &amp; RV Guide'!$E$8,,,,COUNTA('RF &amp; RV Guide'!$8:$8)-COUNTA('RF &amp; RV Guide'!$A$8:$E$8)),0)),"BRL")))</f>
        <v/>
      </c>
      <c r="I29" s="361"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Guide'!$E$8,3,,200), 0),-1+MATCH(I$8, OFFSET('RF &amp; RV Guide'!$E$8,,,,COUNTA('RF &amp; RV Guide'!$8:$8)-COUNTA('RF &amp; RV Guide'!$A$8:$E$8)),0)),IFERROR(IF(FIND("tulo",$E29), 0.25%), "-"))))</f>
        <v/>
      </c>
      <c r="J29" s="362" t="str" cm="1">
        <f t="array" aca="1" ref="J29" ca="1">IF($E29="", "", IFERROR(INDEX(OFFSET('Fund Guide'!$B$5,1,MATCH(J$8,OFFSET('Fund Guide'!$B$5,,,,COUNTA('Fund Guide'!$5:$5)),0)-1,COUNTA('Fund Guide'!$B:$B)-COUNTA('Fund Guide'!$B$2:$B$5)),MATCH($E29,OFFSET('Fund Guide'!$B$5,1,,COUNTA('Fund Guide'!$B:$B)-COUNTA('Fund Guide'!$B$2:$B$5)),0)),
IFERROR(INDEX(OFFSET('RF &amp; RV Guide'!$X$10,1, , 100),MATCH(IF(FIND("(", $E29)&gt;0, LEFT($E29, FIND("(", $E29)-1),), IFERROR(IF(FIND("(", OFFSET('RF &amp; RV Guide'!$E$10,1,,200))&gt;0, LEFT(OFFSET('RF &amp; RV Guide'!$E$10,1,,200), FIND("(", $E29)-1),),"-"),0)),
IFERROR(INDEX(OFFSET('RF &amp; RV Guide'!$X$10,1, , 100),MATCH($E29, OFFSET('RF &amp; RV Guide'!$E$10,1,,200),0)),"-"))))</f>
        <v/>
      </c>
      <c r="K29" s="750" t="str">
        <f ca="1">IF($E29="", "", IFERROR(INDEX(OFFSET('Fund Guide'!#REF!,1,MATCH(K$8,OFFSET('Fund Guide'!#REF!,,,,COUNTA('Fund Guide'!$5:$5)),0)-1,COUNTA('Fund Guide'!$B:$B)-COUNTA('Fund Guide'!$B$2:$B$2)),MATCH($E29,OFFSET('Fund Guide'!#REF!,1,,COUNTA('Fund Guide'!$B:$B)-COUNTA('Fund Guide'!$B$2:$B$2)),0)),
IFERROR(OFFSET('RF &amp; RV Guide'!$E$8,2+MATCH($E29, OFFSET('RF &amp; RV Guide'!$E$8,3,,COUNTA('RF &amp; RV Guide'!$E:$E)-COUNTA('RF &amp; RV Guide'!$E$1:$E$8)), 0),-1+MATCH("Captação", OFFSET('RF &amp; RV Guide'!$E$8,,,,COUNTA('RF &amp; RV Guide'!$8:$8)-COUNTA('RF &amp; RV Guide'!$A$8:$E$8)),0)), "-")))</f>
        <v/>
      </c>
      <c r="M29" s="934"/>
      <c r="N29" s="935" t="str">
        <f>IFERROR(IF(M29="", "", M29/$N$2), 0)</f>
        <v/>
      </c>
      <c r="O29" s="380" t="str">
        <f>IFERROR(IF(N29="", "", N29/N$28),0)</f>
        <v/>
      </c>
      <c r="Q29" s="751" t="str">
        <f>IFERROR(IF(R29="", "", R29*$N$3), 0)</f>
        <v/>
      </c>
      <c r="R29" s="198"/>
      <c r="S29" s="380" t="str">
        <f>IFERROR(IF(R29="", "", R29/R$28),0)</f>
        <v/>
      </c>
      <c r="U29" s="751" t="str">
        <f>IFERROR(ROUND(Q29-M29,2), "")</f>
        <v/>
      </c>
    </row>
    <row r="30" spans="2:25" s="331" customFormat="1" ht="4.5" customHeight="1">
      <c r="B30" s="329"/>
      <c r="C30" s="329"/>
      <c r="D30" s="329"/>
      <c r="E30" s="340"/>
      <c r="F30" s="367"/>
      <c r="G30" s="341"/>
      <c r="H30" s="341"/>
      <c r="I30" s="342"/>
      <c r="J30" s="342"/>
      <c r="K30" s="342"/>
      <c r="M30" s="351"/>
      <c r="Q30" s="351"/>
      <c r="U30" s="351"/>
    </row>
    <row r="31" spans="2:25" s="347" customFormat="1" ht="14.25" customHeight="1">
      <c r="B31" s="343"/>
      <c r="C31" s="343"/>
      <c r="D31" s="343" t="s">
        <v>12</v>
      </c>
      <c r="E31" s="375" t="s">
        <v>2746</v>
      </c>
      <c r="F31" s="376"/>
      <c r="G31" s="376"/>
      <c r="H31" s="376"/>
      <c r="I31" s="377"/>
      <c r="J31" s="377"/>
      <c r="K31" s="377"/>
      <c r="M31" s="378">
        <f>IFERROR(IF(N31=0, 0, N31*$N$2),0)</f>
        <v>0</v>
      </c>
      <c r="N31" s="857">
        <f>SUM(N32:N33)</f>
        <v>0</v>
      </c>
      <c r="O31" s="379">
        <f>IF(N31=0, 0, SUM(O32:O33)*N31)</f>
        <v>0</v>
      </c>
      <c r="Q31" s="378">
        <f>IFERROR(IF(R31=0, 0, R31*$N$3),0)</f>
        <v>0</v>
      </c>
      <c r="R31" s="490"/>
      <c r="S31" s="379">
        <f>IF(R31=0, 0, SUM(S32:S33)*R31)</f>
        <v>0</v>
      </c>
      <c r="U31" s="378">
        <f>Q31-M31</f>
        <v>0</v>
      </c>
    </row>
    <row r="32" spans="2:25" s="749" customFormat="1" ht="14.25" customHeight="1">
      <c r="B32" s="357"/>
      <c r="C32" s="357"/>
      <c r="D32" s="357"/>
      <c r="E32" s="268"/>
      <c r="F32" s="358" t="str">
        <f ca="1">IF($E32="", "", IFERROR(INDEX(OFFSET('Fund Guide'!$B$5,1,MATCH(F$8,OFFSET('Fund Guide'!$B$5,,,,COUNTA('Fund Guide'!25:25)),0)-1,COUNTA('Fund Guide'!$B:$B)-COUNTA('Fund Guide'!$B$2:$B$5)),MATCH($E32,OFFSET('Fund Guide'!$B$5,1,,COUNTA('Fund Guide'!$B:$B)-COUNTA('Fund Guide'!$B$2:$B$5)),0)),"-"))</f>
        <v/>
      </c>
      <c r="G32" s="359" t="str">
        <f ca="1">IF($E32="", "", IFERROR(INDEX(OFFSET('Fund Guide'!$B$5,1,MATCH(G$8,OFFSET('Fund Guide'!$B$5,,,,COUNTA('Fund Guide'!$5:$5)),0)-1,COUNTA('Fund Guide'!$B:$B)-COUNTA('Fund Guide'!$B$2:$B$5)),MATCH($E32,OFFSET('Fund Guide'!$B$5,1,,COUNTA('Fund Guide'!$B:$B)-COUNTA('Fund Guide'!$B$2:$B$5)),0)),
IFERROR(IF(OR(LEFT($E32,3)="NTN",LEFT($E32,3)="LFT"),DATE(_xlfn.NUMBERVALUE(RIGHT(LEFT($E32,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360" t="str">
        <f ca="1">IF($E32="", "", IFERROR(INDEX(OFFSET('Fund Guide'!$B$5,1,MATCH(H$8,OFFSET('Fund Guide'!$B$5,,,,COUNTA('Fund Guide'!#REF!)),0)-1,COUNTA('Fund Guide'!$B:$B)-COUNTA('Fund Guide'!$B$2:$B$5)),MATCH($E32,OFFSET('Fund Guide'!$B$5,1,,COUNTA('Fund Guide'!$B:$B)-COUNTA('Fund Guide'!$B$2:$B$5)),0)),IFERROR(OFFSET('RF &amp; RV Guide'!$E$8,2+MATCH($E32, OFFSET('RF &amp; RV Guide'!$E$8,3,,200), 0),-1+MATCH(H$8, OFFSET('RF &amp; RV Guide'!$E$8,,,,COUNTA('RF &amp; RV Guide'!$8:$8)-COUNTA('RF &amp; RV Guide'!$A$8:$E$8)),0)),"BRL")))</f>
        <v/>
      </c>
      <c r="I32" s="361"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Guide'!$E$8,3,,200), 0),-1+MATCH(I$8, OFFSET('RF &amp; RV Guide'!$E$8,,,,COUNTA('RF &amp; RV Guide'!$8:$8)-COUNTA('RF &amp; RV Guide'!$A$8:$E$8)),0)),IFERROR(IF(FIND("tulo",$E32), 0.25%), "-"))))</f>
        <v/>
      </c>
      <c r="J32" s="362" t="str" cm="1">
        <f t="array" aca="1" ref="J32" ca="1">IF($E32="", "", IFERROR(INDEX(OFFSET('Fund Guide'!$B$5,1,MATCH(J$8,OFFSET('Fund Guide'!$B$5,,,,COUNTA('Fund Guide'!$5:$5)),0)-1,COUNTA('Fund Guide'!$B:$B)-COUNTA('Fund Guide'!$B$2:$B$5)),MATCH($E32,OFFSET('Fund Guide'!$B$5,1,,COUNTA('Fund Guide'!$B:$B)-COUNTA('Fund Guide'!$B$2:$B$5)),0)),
IFERROR(INDEX(OFFSET('RF &amp; RV Guide'!$X$10,1, , 100),MATCH(IF(FIND("(", $E32)&gt;0, LEFT($E32, FIND("(", $E32)-1),), IFERROR(IF(FIND("(", OFFSET('RF &amp; RV Guide'!$E$10,1,,200))&gt;0, LEFT(OFFSET('RF &amp; RV Guide'!$E$10,1,,200), FIND("(", $E32)-1),),"-"),0)),
IFERROR(INDEX(OFFSET('RF &amp; RV Guide'!$X$10,1, , 100),MATCH($E32, OFFSET('RF &amp; RV Guide'!$E$10,1,,200),0)),"-"))))</f>
        <v/>
      </c>
      <c r="K32" s="750" t="str">
        <f ca="1">IF($E32="", "", IFERROR(INDEX(OFFSET('Fund Guide'!#REF!,1,MATCH(K$8,OFFSET('Fund Guide'!#REF!,,,,COUNTA('Fund Guide'!$5:$5)),0)-1,COUNTA('Fund Guide'!$B:$B)-COUNTA('Fund Guide'!$B$2:$B$2)),MATCH($E32,OFFSET('Fund Guide'!#REF!,1,,COUNTA('Fund Guide'!$B:$B)-COUNTA('Fund Guide'!$B$2:$B$2)),0)),
IFERROR(OFFSET('RF &amp; RV Guide'!$E$8,2+MATCH($E32, OFFSET('RF &amp; RV Guide'!$E$8,3,,COUNTA('RF &amp; RV Guide'!$E:$E)-COUNTA('RF &amp; RV Guide'!$E$1:$E$8)), 0),-1+MATCH("Captação", OFFSET('RF &amp; RV Guide'!$E$8,,,,COUNTA('RF &amp; RV Guide'!$8:$8)-COUNTA('RF &amp; RV Guide'!$A$8:$E$8)),0)), "-")))</f>
        <v/>
      </c>
      <c r="M32" s="934"/>
      <c r="N32" s="935" t="str">
        <f>IFERROR(IF(M32="", "", M32/$N$2), 0)</f>
        <v/>
      </c>
      <c r="O32" s="380" t="str">
        <f>IFERROR(IF(N32="", "", N32/N$31),0)</f>
        <v/>
      </c>
      <c r="Q32" s="751" t="str">
        <f>IFERROR(IF(R32="", "", R32*$N$3), 0)</f>
        <v/>
      </c>
      <c r="R32" s="198"/>
      <c r="S32" s="380" t="str">
        <f t="shared" ref="S32" si="1">IFERROR(IF(R32="", "", R32/R$31),0)</f>
        <v/>
      </c>
      <c r="U32" s="751" t="str">
        <f>IFERROR(ROUND(Q32-M32,2), "")</f>
        <v/>
      </c>
    </row>
    <row r="33" spans="2:23" s="331" customFormat="1" ht="4.5" customHeight="1">
      <c r="B33" s="329"/>
      <c r="C33" s="329"/>
      <c r="D33" s="329"/>
      <c r="E33" s="340"/>
      <c r="F33" s="367"/>
      <c r="G33" s="341"/>
      <c r="H33" s="341"/>
      <c r="I33" s="342"/>
      <c r="J33" s="342"/>
      <c r="K33" s="342"/>
      <c r="M33" s="351"/>
      <c r="Q33" s="351"/>
      <c r="U33" s="351"/>
    </row>
    <row r="34" spans="2:23" s="347" customFormat="1" ht="14.25" customHeight="1">
      <c r="B34" s="343"/>
      <c r="C34" s="343"/>
      <c r="D34" s="343" t="s">
        <v>12</v>
      </c>
      <c r="E34" s="375" t="s">
        <v>1370</v>
      </c>
      <c r="F34" s="376"/>
      <c r="G34" s="376"/>
      <c r="H34" s="376"/>
      <c r="I34" s="377"/>
      <c r="J34" s="377"/>
      <c r="K34" s="377"/>
      <c r="M34" s="378">
        <f>IFERROR(IF(N34=0, 0, N34*$N$2),0)</f>
        <v>0</v>
      </c>
      <c r="N34" s="857">
        <f>SUM(N35:N36)</f>
        <v>0</v>
      </c>
      <c r="O34" s="379">
        <f>IF(N34=0, 0, SUM(O35:O36)*N34)</f>
        <v>0</v>
      </c>
      <c r="Q34" s="378">
        <f>IFERROR(IF(R34=0, 0, R34*$N$3),0)</f>
        <v>0</v>
      </c>
      <c r="R34" s="490"/>
      <c r="S34" s="379">
        <f>IF(R34=0, 0, SUM(S35:S39)*R34)</f>
        <v>0</v>
      </c>
      <c r="U34" s="378">
        <f>Q34-M34</f>
        <v>0</v>
      </c>
    </row>
    <row r="35" spans="2:23" s="749" customFormat="1" ht="14.25" customHeight="1">
      <c r="B35" s="357"/>
      <c r="C35" s="357"/>
      <c r="D35" s="357"/>
      <c r="E35" s="268"/>
      <c r="F35" s="358" t="str">
        <f ca="1">IF($E35="", "", IFERROR(INDEX(OFFSET('Fund Guide'!$B$5,1,MATCH(F$8,OFFSET('Fund Guide'!$B$5,,,,COUNTA('Fund Guide'!28:28)),0)-1,COUNTA('Fund Guide'!$B:$B)-COUNTA('Fund Guide'!$B$2:$B$5)),MATCH($E35,OFFSET('Fund Guide'!$B$5,1,,COUNTA('Fund Guide'!$B:$B)-COUNTA('Fund Guide'!$B$2:$B$5)),0)),"-"))</f>
        <v/>
      </c>
      <c r="G35" s="359" t="str">
        <f ca="1">IF($E35="", "", IFERROR(INDEX(OFFSET('Fund Guide'!$B$5,1,MATCH(G$8,OFFSET('Fund Guide'!$B$5,,,,COUNTA('Fund Guide'!$5:$5)),0)-1,COUNTA('Fund Guide'!$B:$B)-COUNTA('Fund Guide'!$B$2:$B$5)),MATCH($E35,OFFSET('Fund Guide'!$B$5,1,,COUNTA('Fund Guide'!$B:$B)-COUNTA('Fund Guide'!$B$2:$B$5)),0)),
IFERROR(IF(OR(LEFT($E35,3)="NTN",LEFT($E35,3)="LFT"),DATE(_xlfn.NUMBERVALUE(RIGHT(LEFT($E35,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360" t="str">
        <f ca="1">IF($E35="", "", IFERROR(INDEX(OFFSET('Fund Guide'!$B$5,1,MATCH(H$8,OFFSET('Fund Guide'!$B$5,,,,COUNTA('Fund Guide'!#REF!)),0)-1,COUNTA('Fund Guide'!$B:$B)-COUNTA('Fund Guide'!$B$2:$B$5)),MATCH($E35,OFFSET('Fund Guide'!$B$5,1,,COUNTA('Fund Guide'!$B:$B)-COUNTA('Fund Guide'!$B$2:$B$5)),0)),IFERROR(OFFSET('RF &amp; RV Guide'!$E$8,2+MATCH($E35, OFFSET('RF &amp; RV Guide'!$E$8,3,,200), 0),-1+MATCH(H$8, OFFSET('RF &amp; RV Guide'!$E$8,,,,COUNTA('RF &amp; RV Guide'!$8:$8)-COUNTA('RF &amp; RV Guide'!$A$8:$E$8)),0)),"BRL")))</f>
        <v/>
      </c>
      <c r="I35" s="361"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Guide'!$E$8,3,,200), 0),-1+MATCH(I$8, OFFSET('RF &amp; RV Guide'!$E$8,,,,COUNTA('RF &amp; RV Guide'!$8:$8)-COUNTA('RF &amp; RV Guide'!$A$8:$E$8)),0)),IFERROR(IF(FIND("tulo",$E35), 0.25%), "-"))))</f>
        <v/>
      </c>
      <c r="J35" s="362" t="str" cm="1">
        <f t="array" aca="1" ref="J35" ca="1">IF($E35="", "", IFERROR(INDEX(OFFSET('Fund Guide'!$B$5,1,MATCH(J$8,OFFSET('Fund Guide'!$B$5,,,,COUNTA('Fund Guide'!$5:$5)),0)-1,COUNTA('Fund Guide'!$B:$B)-COUNTA('Fund Guide'!$B$2:$B$5)),MATCH($E35,OFFSET('Fund Guide'!$B$5,1,,COUNTA('Fund Guide'!$B:$B)-COUNTA('Fund Guide'!$B$2:$B$5)),0)),
IFERROR(INDEX(OFFSET('RF &amp; RV Guide'!$X$10,1, , 100),MATCH(IF(FIND("(", $E35)&gt;0, LEFT($E35, FIND("(", $E35)-1),), IFERROR(IF(FIND("(", OFFSET('RF &amp; RV Guide'!$E$10,1,,200))&gt;0, LEFT(OFFSET('RF &amp; RV Guide'!$E$10,1,,200), FIND("(", $E35)-1),),"-"),0)),
IFERROR(INDEX(OFFSET('RF &amp; RV Guide'!$X$10,1, , 100),MATCH($E35, OFFSET('RF &amp; RV Guide'!$E$10,1,,200),0)),"-"))))</f>
        <v/>
      </c>
      <c r="K35" s="750" t="str">
        <f ca="1">IF($E35="", "", IFERROR(INDEX(OFFSET('Fund Guide'!#REF!,1,MATCH(K$8,OFFSET('Fund Guide'!#REF!,,,,COUNTA('Fund Guide'!$5:$5)),0)-1,COUNTA('Fund Guide'!$B:$B)-COUNTA('Fund Guide'!$B$2:$B$2)),MATCH($E35,OFFSET('Fund Guide'!#REF!,1,,COUNTA('Fund Guide'!$B:$B)-COUNTA('Fund Guide'!$B$2:$B$2)),0)),
IFERROR(OFFSET('RF &amp; RV Guide'!$E$8,2+MATCH($E35, OFFSET('RF &amp; RV Guide'!$E$8,3,,COUNTA('RF &amp; RV Guide'!$E:$E)-COUNTA('RF &amp; RV Guide'!$E$1:$E$8)), 0),-1+MATCH("Captação", OFFSET('RF &amp; RV Guide'!$E$8,,,,COUNTA('RF &amp; RV Guide'!$8:$8)-COUNTA('RF &amp; RV Guide'!$A$8:$E$8)),0)), "-")))</f>
        <v/>
      </c>
      <c r="M35" s="934"/>
      <c r="N35" s="935" t="str">
        <f>IFERROR(IF(M35="", "", M35/$N$2), 0)</f>
        <v/>
      </c>
      <c r="O35" s="380" t="str">
        <f>IFERROR(IF(N35="", "", N35/N$34),0)</f>
        <v/>
      </c>
      <c r="Q35" s="751" t="str">
        <f>IFERROR(IF(R35="", "", R35*$N$3), 0)</f>
        <v/>
      </c>
      <c r="R35" s="198"/>
      <c r="S35" s="380" t="str">
        <f>IFERROR(IF(R35="", "", R35/R$34),0)</f>
        <v/>
      </c>
      <c r="U35" s="751" t="str">
        <f>IFERROR(ROUND(Q35-M35,2), "")</f>
        <v/>
      </c>
    </row>
    <row r="36" spans="2:23" s="331" customFormat="1" ht="5.25" customHeight="1">
      <c r="B36" s="329"/>
      <c r="C36" s="329"/>
      <c r="D36" s="329"/>
      <c r="E36" s="340"/>
      <c r="F36" s="341"/>
      <c r="G36" s="341"/>
      <c r="H36" s="341"/>
      <c r="I36" s="342"/>
      <c r="J36" s="342"/>
      <c r="K36" s="342"/>
      <c r="M36" s="351"/>
      <c r="Q36" s="351"/>
      <c r="U36" s="351"/>
    </row>
    <row r="37" spans="2:23" s="347" customFormat="1" ht="14.25" customHeight="1">
      <c r="B37" s="343"/>
      <c r="C37" s="343" t="s">
        <v>12</v>
      </c>
      <c r="D37" s="343" t="s">
        <v>12</v>
      </c>
      <c r="E37" s="352" t="s">
        <v>628</v>
      </c>
      <c r="F37" s="353"/>
      <c r="G37" s="353"/>
      <c r="H37" s="353"/>
      <c r="I37" s="354"/>
      <c r="J37" s="354"/>
      <c r="K37" s="354"/>
      <c r="M37" s="747">
        <f>IFERROR(IF(N37=0, 0, N37*$N$2),0)</f>
        <v>0</v>
      </c>
      <c r="N37" s="748">
        <f>SUM(N38:N39)</f>
        <v>0</v>
      </c>
      <c r="O37" s="748">
        <f>IF(N37=0,0,ROUND(SUM(O38:O39)*N37,6))</f>
        <v>0</v>
      </c>
      <c r="Q37" s="747">
        <f>IFERROR(IF(R37=0, 0, R37*$N$3),0)</f>
        <v>0</v>
      </c>
      <c r="R37" s="489"/>
      <c r="S37" s="748">
        <f>IF(R37=0,0,ROUND(SUM(S38:S39)*R37,6))</f>
        <v>0</v>
      </c>
      <c r="U37" s="747">
        <f>Q37-M37</f>
        <v>0</v>
      </c>
      <c r="W37" s="99"/>
    </row>
    <row r="38" spans="2:23" s="749" customFormat="1" ht="14.25" customHeight="1">
      <c r="B38" s="357"/>
      <c r="C38" s="357"/>
      <c r="D38" s="357"/>
      <c r="E38" s="268"/>
      <c r="F38" s="358" t="str">
        <f ca="1">IF($E38="", "", IFERROR(INDEX(OFFSET('Fund Guide'!$B$5,1,MATCH(F$8,OFFSET('Fund Guide'!$B$5,,,,COUNTA('Fund Guide'!31:31)),0)-1,COUNTA('Fund Guide'!$B:$B)-COUNTA('Fund Guide'!$B$2:$B$5)),MATCH($E38,OFFSET('Fund Guide'!$B$5,1,,COUNTA('Fund Guide'!$B:$B)-COUNTA('Fund Guide'!$B$2:$B$5)),0)),"-"))</f>
        <v/>
      </c>
      <c r="G38" s="359" t="str">
        <f ca="1">IF($E38="", "", IFERROR(INDEX(OFFSET('Fund Guide'!$B$5,1,MATCH(G$8,OFFSET('Fund Guide'!$B$5,,,,COUNTA('Fund Guide'!$5:$5)),0)-1,COUNTA('Fund Guide'!$B:$B)-COUNTA('Fund Guide'!$B$2:$B$5)),MATCH($E38,OFFSET('Fund Guide'!$B$5,1,,COUNTA('Fund Guide'!$B:$B)-COUNTA('Fund Guide'!$B$2:$B$5)),0)),
IFERROR(IF(OR(LEFT($E38,3)="NTN",LEFT($E38,3)="LFT"),DATE(_xlfn.NUMBERVALUE(RIGHT(LEFT($E38,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360" t="str">
        <f ca="1">IF($E38="", "", IFERROR(INDEX(OFFSET('Fund Guide'!$B$5,1,MATCH(H$8,OFFSET('Fund Guide'!$B$5,,,,COUNTA('Fund Guide'!#REF!)),0)-1,COUNTA('Fund Guide'!$B:$B)-COUNTA('Fund Guide'!$B$2:$B$5)),MATCH($E38,OFFSET('Fund Guide'!$B$5,1,,COUNTA('Fund Guide'!$B:$B)-COUNTA('Fund Guide'!$B$2:$B$5)),0)),IFERROR(OFFSET('RF &amp; RV Guide'!$E$8,2+MATCH($E38, OFFSET('RF &amp; RV Guide'!$E$8,3,,200), 0),-1+MATCH(H$8, OFFSET('RF &amp; RV Guide'!$E$8,,,,COUNTA('RF &amp; RV Guide'!$8:$8)-COUNTA('RF &amp; RV Guide'!$A$8:$E$8)),0)),"BRL")))</f>
        <v/>
      </c>
      <c r="I38" s="361" t="str">
        <f ca="1">IF($E38="", "", IFERROR(INDEX(OFFSET('Fund Guide'!$B$5,1,MATCH("Repasse Taxa Adm. Gestor",OFFSET('Fund Guide'!$B$5,,,,COUNTA('Fund Guide'!$5:$5)),0)-1,COUNTA('Fund Guide'!$B:$B)-COUNTA('Fund Guide'!$B$2:$B$5)),MATCH($E38,OFFSET('Fund Guide'!$B$5,1,,COUNTA('Fund Guide'!$B:$B)-COUNTA('Fund Guide'!$B$2:$B$5)),0)),
IFERROR(OFFSET('RF &amp; RV Guide'!$E$8,2+MATCH($E38, OFFSET('RF &amp; RV Guide'!$E$8,3,,200), 0),-1+MATCH(I$8, OFFSET('RF &amp; RV Guide'!$E$8,,,,COUNTA('RF &amp; RV Guide'!$8:$8)-COUNTA('RF &amp; RV Guide'!$A$8:$E$8)),0)),IFERROR(IF(FIND("tulo",$E38), 0.25%), "-"))))</f>
        <v/>
      </c>
      <c r="J38" s="362" t="str" cm="1">
        <f t="array" aca="1" ref="J38" ca="1">IF($E38="", "", IFERROR(INDEX(OFFSET('Fund Guide'!$B$5,1,MATCH(J$8,OFFSET('Fund Guide'!$B$5,,,,COUNTA('Fund Guide'!$5:$5)),0)-1,COUNTA('Fund Guide'!$B:$B)-COUNTA('Fund Guide'!$B$2:$B$5)),MATCH($E38,OFFSET('Fund Guide'!$B$5,1,,COUNTA('Fund Guide'!$B:$B)-COUNTA('Fund Guide'!$B$2:$B$5)),0)),
IFERROR(INDEX(OFFSET('RF &amp; RV Guide'!$X$10,1, , 100),MATCH(IF(FIND("(", $E38)&gt;0, LEFT($E38, FIND("(", $E38)-1),), IFERROR(IF(FIND("(", OFFSET('RF &amp; RV Guide'!$E$10,1,,200))&gt;0, LEFT(OFFSET('RF &amp; RV Guide'!$E$10,1,,200), FIND("(", $E38)-1),),"-"),0)),
IFERROR(INDEX(OFFSET('RF &amp; RV Guide'!$X$10,1, , 100),MATCH($E38, OFFSET('RF &amp; RV Guide'!$E$10,1,,200),0)),"-"))))</f>
        <v/>
      </c>
      <c r="K38" s="750" t="str">
        <f ca="1">IF($E38="", "", IFERROR(INDEX(OFFSET('Fund Guide'!#REF!,1,MATCH(K$8,OFFSET('Fund Guide'!#REF!,,,,COUNTA('Fund Guide'!$5:$5)),0)-1,COUNTA('Fund Guide'!$B:$B)-COUNTA('Fund Guide'!$B$2:$B$2)),MATCH($E38,OFFSET('Fund Guide'!#REF!,1,,COUNTA('Fund Guide'!$B:$B)-COUNTA('Fund Guide'!$B$2:$B$2)),0)),
IFERROR(OFFSET('RF &amp; RV Guide'!$E$8,2+MATCH($E38, OFFSET('RF &amp; RV Guide'!$E$8,3,,COUNTA('RF &amp; RV Guide'!$E:$E)-COUNTA('RF &amp; RV Guide'!$E$1:$E$8)), 0),-1+MATCH("Captação", OFFSET('RF &amp; RV Guide'!$E$8,,,,COUNTA('RF &amp; RV Guide'!$8:$8)-COUNTA('RF &amp; RV Guide'!$A$8:$E$8)),0)), "-")))</f>
        <v/>
      </c>
      <c r="M38" s="934"/>
      <c r="N38" s="935" t="str">
        <f>IFERROR(IF(M38="", "", M38/$N$2), 0)</f>
        <v/>
      </c>
      <c r="O38" s="365" t="str">
        <f>IFERROR(IF(N38="", "", N38/N$37),0)</f>
        <v/>
      </c>
      <c r="Q38" s="751" t="str">
        <f>IFERROR(IF(R38="", "", R38*$N$3), 0)</f>
        <v/>
      </c>
      <c r="R38" s="198"/>
      <c r="S38" s="365" t="str">
        <f>IFERROR(IF(R38="", "", R38/R$37),0)</f>
        <v/>
      </c>
      <c r="U38" s="751" t="str">
        <f>IFERROR(ROUND(Q38-M38,2), "")</f>
        <v/>
      </c>
    </row>
    <row r="39" spans="2:23" s="331" customFormat="1" ht="7.5" customHeight="1">
      <c r="B39" s="329"/>
      <c r="C39" s="329"/>
      <c r="D39" s="329"/>
      <c r="E39" s="340"/>
      <c r="F39" s="367"/>
      <c r="G39" s="341"/>
      <c r="H39" s="341"/>
      <c r="I39" s="342"/>
      <c r="J39" s="342"/>
      <c r="K39" s="342"/>
      <c r="M39" s="351"/>
      <c r="Q39" s="351"/>
      <c r="R39" s="383"/>
      <c r="U39" s="351"/>
    </row>
    <row r="40" spans="2:23" s="347" customFormat="1" ht="14.25" customHeight="1">
      <c r="B40" s="343"/>
      <c r="C40" s="343"/>
      <c r="D40" s="343" t="s">
        <v>1394</v>
      </c>
      <c r="E40" s="344" t="s">
        <v>13</v>
      </c>
      <c r="F40" s="345"/>
      <c r="G40" s="345"/>
      <c r="H40" s="345"/>
      <c r="I40" s="346"/>
      <c r="J40" s="346"/>
      <c r="K40" s="346"/>
      <c r="M40" s="348">
        <f>IFERROR(IF(N40=0, 0, N40*$N$2),0)</f>
        <v>0</v>
      </c>
      <c r="N40" s="349">
        <f>N42+N45</f>
        <v>0</v>
      </c>
      <c r="O40" s="350">
        <f>O42+O45</f>
        <v>0</v>
      </c>
      <c r="Q40" s="348">
        <f>IFERROR(IF(Q42+Q45=0, 0,Q42+Q45),"")</f>
        <v>0</v>
      </c>
      <c r="R40" s="349">
        <f>R42+R45</f>
        <v>0</v>
      </c>
      <c r="S40" s="350">
        <f>S42+S45</f>
        <v>0</v>
      </c>
      <c r="U40" s="348">
        <f>IFERROR(IF(U42+U45=0, 0,U42+U45),"")</f>
        <v>0</v>
      </c>
    </row>
    <row r="41" spans="2:23" s="331" customFormat="1" ht="4.5" customHeight="1">
      <c r="B41" s="329"/>
      <c r="C41" s="329"/>
      <c r="D41" s="329"/>
      <c r="E41" s="340"/>
      <c r="F41" s="341"/>
      <c r="G41" s="341"/>
      <c r="H41" s="341"/>
      <c r="I41" s="342"/>
      <c r="J41" s="342"/>
      <c r="K41" s="342"/>
      <c r="M41" s="351"/>
      <c r="Q41" s="351"/>
      <c r="U41" s="351"/>
    </row>
    <row r="42" spans="2:23" s="347" customFormat="1" ht="14.25" customHeight="1">
      <c r="B42" s="343"/>
      <c r="C42" s="343" t="s">
        <v>12</v>
      </c>
      <c r="D42" s="343" t="s">
        <v>12</v>
      </c>
      <c r="E42" s="352" t="s">
        <v>615</v>
      </c>
      <c r="F42" s="353"/>
      <c r="G42" s="353"/>
      <c r="H42" s="353"/>
      <c r="I42" s="354"/>
      <c r="J42" s="354"/>
      <c r="K42" s="354"/>
      <c r="M42" s="355">
        <f>IFERROR(IF(N42=0, 0, N42*$N$2),0)</f>
        <v>0</v>
      </c>
      <c r="N42" s="748">
        <f>SUM(N43:N44)</f>
        <v>0</v>
      </c>
      <c r="O42" s="356">
        <f>IF(N42=0, 0, ROUND(SUM(O43:O44)*N42,6))</f>
        <v>0</v>
      </c>
      <c r="Q42" s="355">
        <f>IFERROR(IF(R42=0, 0, R42*$N$3),0)</f>
        <v>0</v>
      </c>
      <c r="R42" s="489"/>
      <c r="S42" s="356">
        <f>IF(R42=0, 0, ROUND(SUM(S43:S44)*R42,6))</f>
        <v>0</v>
      </c>
      <c r="U42" s="355">
        <f>Q42-M42</f>
        <v>0</v>
      </c>
    </row>
    <row r="43" spans="2:23" s="749" customFormat="1" ht="14.25" customHeight="1">
      <c r="B43" s="357"/>
      <c r="C43" s="357"/>
      <c r="D43" s="357"/>
      <c r="E43" s="268"/>
      <c r="F43" s="358" t="str">
        <f ca="1">IF($E43="", "", IFERROR(INDEX(OFFSET('Fund Guide'!$B$5,1,MATCH(F$8,OFFSET('Fund Guide'!$B$5,,,,COUNTA('Fund Guide'!36:36)),0)-1,COUNTA('Fund Guide'!$B:$B)-COUNTA('Fund Guide'!$B$2:$B$5)),MATCH($E43,OFFSET('Fund Guide'!$B$5,1,,COUNTA('Fund Guide'!$B:$B)-COUNTA('Fund Guide'!$B$2:$B$5)),0)),"-"))</f>
        <v/>
      </c>
      <c r="G43" s="359" t="str">
        <f ca="1">IF($E43="", "", IFERROR(INDEX(OFFSET('Fund Guide'!$B$5,1,MATCH(G$8,OFFSET('Fund Guide'!$B$5,,,,COUNTA('Fund Guide'!$5:$5)),0)-1,COUNTA('Fund Guide'!$B:$B)-COUNTA('Fund Guide'!$B$2:$B$5)),MATCH($E43,OFFSET('Fund Guide'!$B$5,1,,COUNTA('Fund Guide'!$B:$B)-COUNTA('Fund Guide'!$B$2:$B$5)),0)),
IFERROR(IF(OR(LEFT($E43,3)="NTN",LEFT($E43,3)="LFT"),DATE(_xlfn.NUMBERVALUE(RIGHT(LEFT($E43,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360" t="str">
        <f ca="1">IF($E43="", "", IFERROR(INDEX(OFFSET('Fund Guide'!$B$5,1,MATCH(H$8,OFFSET('Fund Guide'!$B$5,,,,COUNTA('Fund Guide'!#REF!)),0)-1,COUNTA('Fund Guide'!$B:$B)-COUNTA('Fund Guide'!$B$2:$B$5)),MATCH($E43,OFFSET('Fund Guide'!$B$5,1,,COUNTA('Fund Guide'!$B:$B)-COUNTA('Fund Guide'!$B$2:$B$5)),0)),IFERROR(OFFSET('RF &amp; RV Guide'!$E$8,2+MATCH($E43, OFFSET('RF &amp; RV Guide'!$E$8,3,,200), 0),-1+MATCH(H$8, OFFSET('RF &amp; RV Guide'!$E$8,,,,COUNTA('RF &amp; RV Guide'!$8:$8)-COUNTA('RF &amp; RV Guide'!$A$8:$E$8)),0)),"BRL")))</f>
        <v/>
      </c>
      <c r="I43" s="361" t="str">
        <f ca="1">IF($E43="", "", IFERROR(INDEX(OFFSET('Fund Guide'!$B$5,1,MATCH("Repasse Taxa Adm. Gestor",OFFSET('Fund Guide'!$B$5,,,,COUNTA('Fund Guide'!$5:$5)),0)-1,COUNTA('Fund Guide'!$B:$B)-COUNTA('Fund Guide'!$B$2:$B$5)),MATCH($E43,OFFSET('Fund Guide'!$B$5,1,,COUNTA('Fund Guide'!$B:$B)-COUNTA('Fund Guide'!$B$2:$B$5)),0)),
IFERROR(OFFSET('RF &amp; RV Guide'!$E$8,2+MATCH($E43, OFFSET('RF &amp; RV Guide'!$E$8,3,,200), 0),-1+MATCH(I$8, OFFSET('RF &amp; RV Guide'!$E$8,,,,COUNTA('RF &amp; RV Guide'!$8:$8)-COUNTA('RF &amp; RV Guide'!$A$8:$E$8)),0)),IFERROR(IF(FIND("tulo",$E43), 0.25%), "-"))))</f>
        <v/>
      </c>
      <c r="J43" s="362" t="str" cm="1">
        <f t="array" aca="1" ref="J43" ca="1">IF($E43="", "", IFERROR(INDEX(OFFSET('Fund Guide'!$B$5,1,MATCH(J$8,OFFSET('Fund Guide'!$B$5,,,,COUNTA('Fund Guide'!$5:$5)),0)-1,COUNTA('Fund Guide'!$B:$B)-COUNTA('Fund Guide'!$B$2:$B$5)),MATCH($E43,OFFSET('Fund Guide'!$B$5,1,,COUNTA('Fund Guide'!$B:$B)-COUNTA('Fund Guide'!$B$2:$B$5)),0)),
IFERROR(INDEX(OFFSET('RF &amp; RV Guide'!$X$10,1, , 100),MATCH(IF(FIND("(", $E43)&gt;0, LEFT($E43, FIND("(", $E43)-1),), IFERROR(IF(FIND("(", OFFSET('RF &amp; RV Guide'!$E$10,1,,200))&gt;0, LEFT(OFFSET('RF &amp; RV Guide'!$E$10,1,,200), FIND("(", $E43)-1),),"-"),0)),
IFERROR(INDEX(OFFSET('RF &amp; RV Guide'!$X$10,1, , 100),MATCH($E43, OFFSET('RF &amp; RV Guide'!$E$10,1,,200),0)),"-"))))</f>
        <v/>
      </c>
      <c r="K43" s="750" t="str">
        <f ca="1">IF($E43="", "", IFERROR(INDEX(OFFSET('Fund Guide'!#REF!,1,MATCH(K$8,OFFSET('Fund Guide'!#REF!,,,,COUNTA('Fund Guide'!$5:$5)),0)-1,COUNTA('Fund Guide'!$B:$B)-COUNTA('Fund Guide'!$B$2:$B$2)),MATCH($E43,OFFSET('Fund Guide'!#REF!,1,,COUNTA('Fund Guide'!$B:$B)-COUNTA('Fund Guide'!$B$2:$B$2)),0)),
IFERROR(OFFSET('RF &amp; RV Guide'!$E$8,2+MATCH($E43, OFFSET('RF &amp; RV Guide'!$E$8,3,,COUNTA('RF &amp; RV Guide'!$E:$E)-COUNTA('RF &amp; RV Guide'!$E$1:$E$8)), 0),-1+MATCH("Captação", OFFSET('RF &amp; RV Guide'!$E$8,,,,COUNTA('RF &amp; RV Guide'!$8:$8)-COUNTA('RF &amp; RV Guide'!$A$8:$E$8)),0)), "-")))</f>
        <v/>
      </c>
      <c r="M43" s="934"/>
      <c r="N43" s="935" t="str">
        <f>IFERROR(IF(M43="", "", M43/$N$2), 0)</f>
        <v/>
      </c>
      <c r="O43" s="380" t="str">
        <f>IFERROR(IF(N43="", "", N43/N$42),0)</f>
        <v/>
      </c>
      <c r="Q43" s="751" t="str">
        <f>IFERROR(IF(R43="", "", R43*$N$3), 0)</f>
        <v/>
      </c>
      <c r="R43" s="198"/>
      <c r="S43" s="380" t="str">
        <f t="shared" ref="S43" si="2">IFERROR(IF(R43="", "", R43/R$42),0)</f>
        <v/>
      </c>
      <c r="U43" s="751" t="str">
        <f t="shared" ref="U43" si="3">IFERROR(ROUND(Q43-M43,2), "")</f>
        <v/>
      </c>
    </row>
    <row r="44" spans="2:23" s="331" customFormat="1" ht="5.25" customHeight="1">
      <c r="B44" s="329"/>
      <c r="C44" s="329"/>
      <c r="D44" s="329"/>
      <c r="E44" s="340"/>
      <c r="F44" s="367"/>
      <c r="G44" s="341"/>
      <c r="H44" s="341"/>
      <c r="I44" s="342"/>
      <c r="J44" s="342"/>
      <c r="K44" s="342"/>
      <c r="M44" s="351"/>
      <c r="Q44" s="351"/>
      <c r="U44" s="351"/>
    </row>
    <row r="45" spans="2:23" s="347" customFormat="1" ht="14.25" customHeight="1">
      <c r="B45" s="343"/>
      <c r="C45" s="343" t="s">
        <v>1394</v>
      </c>
      <c r="D45" s="343" t="s">
        <v>12</v>
      </c>
      <c r="E45" s="352" t="s">
        <v>616</v>
      </c>
      <c r="F45" s="353"/>
      <c r="G45" s="353"/>
      <c r="H45" s="353"/>
      <c r="I45" s="354"/>
      <c r="J45" s="354"/>
      <c r="K45" s="354"/>
      <c r="M45" s="355">
        <f>IFERROR(IF(N45=0, 0, N45*$N$2),0)</f>
        <v>0</v>
      </c>
      <c r="N45" s="748">
        <f>N47+N50+N53</f>
        <v>0</v>
      </c>
      <c r="O45" s="356">
        <f>ROUND(O47+O50+O53,6)</f>
        <v>0</v>
      </c>
      <c r="Q45" s="355">
        <f>IFERROR(IF(R45=0, 0, R45*$N$3),0)</f>
        <v>0</v>
      </c>
      <c r="R45" s="202">
        <f>R47+R50+R53</f>
        <v>0</v>
      </c>
      <c r="S45" s="356">
        <f>ROUND(S47+S50+S53,6)</f>
        <v>0</v>
      </c>
      <c r="U45" s="355">
        <f>Q45-M45</f>
        <v>0</v>
      </c>
    </row>
    <row r="46" spans="2:23" s="331" customFormat="1" ht="3" customHeight="1">
      <c r="B46" s="329"/>
      <c r="C46" s="329"/>
      <c r="D46" s="329"/>
      <c r="E46" s="340"/>
      <c r="F46" s="341"/>
      <c r="G46" s="341"/>
      <c r="H46" s="341"/>
      <c r="I46" s="342"/>
      <c r="J46" s="342"/>
      <c r="K46" s="342"/>
      <c r="M46" s="351"/>
      <c r="Q46" s="351"/>
      <c r="R46" s="383"/>
      <c r="U46" s="351"/>
    </row>
    <row r="47" spans="2:23" s="347" customFormat="1" ht="14.25" customHeight="1">
      <c r="B47" s="343"/>
      <c r="C47" s="343"/>
      <c r="D47" s="343" t="s">
        <v>12</v>
      </c>
      <c r="E47" s="375" t="s">
        <v>610</v>
      </c>
      <c r="F47" s="384"/>
      <c r="G47" s="384"/>
      <c r="H47" s="384"/>
      <c r="I47" s="385"/>
      <c r="J47" s="385"/>
      <c r="K47" s="385"/>
      <c r="M47" s="378">
        <f>IFERROR(IF(N47=0, 0, N47*$N$2),0)</f>
        <v>0</v>
      </c>
      <c r="N47" s="379">
        <f>SUM(N48:N49)</f>
        <v>0</v>
      </c>
      <c r="O47" s="379">
        <f>IF(N47=0, 0, SUM(O48:O49)*N47)</f>
        <v>0</v>
      </c>
      <c r="Q47" s="378">
        <f>IFERROR(IF(R47=0, 0, R47*$N$3),0)</f>
        <v>0</v>
      </c>
      <c r="R47" s="758"/>
      <c r="S47" s="379">
        <f>IF(R47=0, 0, SUM(S48:S49)*R47)</f>
        <v>0</v>
      </c>
      <c r="U47" s="378">
        <f>Q47-M47</f>
        <v>0</v>
      </c>
    </row>
    <row r="48" spans="2:23" s="749" customFormat="1" ht="14.25" customHeight="1">
      <c r="B48" s="357"/>
      <c r="C48" s="357"/>
      <c r="D48" s="357"/>
      <c r="E48" s="268"/>
      <c r="F48" s="358" t="str">
        <f ca="1">IF($E48="", "", IFERROR(INDEX(OFFSET('Fund Guide'!$B$5,1,MATCH(F$8,OFFSET('Fund Guide'!$B$5,,,,COUNTA('Fund Guide'!41:41)),0)-1,COUNTA('Fund Guide'!$B:$B)-COUNTA('Fund Guide'!$B$2:$B$5)),MATCH($E48,OFFSET('Fund Guide'!$B$5,1,,COUNTA('Fund Guide'!$B:$B)-COUNTA('Fund Guide'!$B$2:$B$5)),0)),"-"))</f>
        <v/>
      </c>
      <c r="G48" s="359" t="str">
        <f ca="1">IF($E48="", "", IFERROR(INDEX(OFFSET('Fund Guide'!$B$5,1,MATCH(G$8,OFFSET('Fund Guide'!$B$5,,,,COUNTA('Fund Guide'!$5:$5)),0)-1,COUNTA('Fund Guide'!$B:$B)-COUNTA('Fund Guide'!$B$2:$B$5)),MATCH($E48,OFFSET('Fund Guide'!$B$5,1,,COUNTA('Fund Guide'!$B:$B)-COUNTA('Fund Guide'!$B$2:$B$5)),0)),
IFERROR(IF(OR(LEFT($E48,3)="NTN",LEFT($E48,3)="LFT"),DATE(_xlfn.NUMBERVALUE(RIGHT(LEFT($E48,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360" t="str">
        <f ca="1">IF($E48="", "", IFERROR(INDEX(OFFSET('Fund Guide'!$B$5,1,MATCH(H$8,OFFSET('Fund Guide'!$B$5,,,,COUNTA('Fund Guide'!#REF!)),0)-1,COUNTA('Fund Guide'!$B:$B)-COUNTA('Fund Guide'!$B$2:$B$5)),MATCH($E48,OFFSET('Fund Guide'!$B$5,1,,COUNTA('Fund Guide'!$B:$B)-COUNTA('Fund Guide'!$B$2:$B$5)),0)),IFERROR(OFFSET('RF &amp; RV Guide'!$E$8,2+MATCH($E48, OFFSET('RF &amp; RV Guide'!$E$8,3,,200), 0),-1+MATCH(H$8, OFFSET('RF &amp; RV Guide'!$E$8,,,,COUNTA('RF &amp; RV Guide'!$8:$8)-COUNTA('RF &amp; RV Guide'!$A$8:$E$8)),0)),"BRL")))</f>
        <v/>
      </c>
      <c r="I48" s="361"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Guide'!$E$8,3,,200), 0),-1+MATCH(I$8, OFFSET('RF &amp; RV Guide'!$E$8,,,,COUNTA('RF &amp; RV Guide'!$8:$8)-COUNTA('RF &amp; RV Guide'!$A$8:$E$8)),0)),IFERROR(IF(FIND("tulo",$E48), 0.25%), "-"))))</f>
        <v/>
      </c>
      <c r="J48" s="362" t="str" cm="1">
        <f t="array" aca="1" ref="J48" ca="1">IF($E48="", "", IFERROR(INDEX(OFFSET('Fund Guide'!$B$5,1,MATCH(J$8,OFFSET('Fund Guide'!$B$5,,,,COUNTA('Fund Guide'!$5:$5)),0)-1,COUNTA('Fund Guide'!$B:$B)-COUNTA('Fund Guide'!$B$2:$B$5)),MATCH($E48,OFFSET('Fund Guide'!$B$5,1,,COUNTA('Fund Guide'!$B:$B)-COUNTA('Fund Guide'!$B$2:$B$5)),0)),
IFERROR(INDEX(OFFSET('RF &amp; RV Guide'!$X$10,1, , 100),MATCH(IF(FIND("(", $E48)&gt;0, LEFT($E48, FIND("(", $E48)-1),), IFERROR(IF(FIND("(", OFFSET('RF &amp; RV Guide'!$E$10,1,,200))&gt;0, LEFT(OFFSET('RF &amp; RV Guide'!$E$10,1,,200), FIND("(", $E48)-1),),"-"),0)),
IFERROR(INDEX(OFFSET('RF &amp; RV Guide'!$X$10,1, , 100),MATCH($E48, OFFSET('RF &amp; RV Guide'!$E$10,1,,200),0)),"-"))))</f>
        <v/>
      </c>
      <c r="K48" s="750" t="str">
        <f ca="1">IF($E48="", "", IFERROR(INDEX(OFFSET('Fund Guide'!#REF!,1,MATCH(K$8,OFFSET('Fund Guide'!#REF!,,,,COUNTA('Fund Guide'!$5:$5)),0)-1,COUNTA('Fund Guide'!$B:$B)-COUNTA('Fund Guide'!$B$2:$B$2)),MATCH($E48,OFFSET('Fund Guide'!#REF!,1,,COUNTA('Fund Guide'!$B:$B)-COUNTA('Fund Guide'!$B$2:$B$2)),0)),
IFERROR(OFFSET('RF &amp; RV Guide'!$E$8,2+MATCH($E48, OFFSET('RF &amp; RV Guide'!$E$8,3,,COUNTA('RF &amp; RV Guide'!$E:$E)-COUNTA('RF &amp; RV Guide'!$E$1:$E$8)), 0),-1+MATCH("Captação", OFFSET('RF &amp; RV Guide'!$E$8,,,,COUNTA('RF &amp; RV Guide'!$8:$8)-COUNTA('RF &amp; RV Guide'!$A$8:$E$8)),0)), "-")))</f>
        <v/>
      </c>
      <c r="M48" s="934"/>
      <c r="N48" s="935" t="str">
        <f>IFERROR(IF(M48="", "", M48/$N$2), 0)</f>
        <v/>
      </c>
      <c r="O48" s="380" t="str">
        <f>IFERROR(IF(N48="", "", N48/N$47),0)</f>
        <v/>
      </c>
      <c r="Q48" s="751" t="str">
        <f>IFERROR(IF(R48="", "", R48*$N$3), 0)</f>
        <v/>
      </c>
      <c r="R48" s="198"/>
      <c r="S48" s="380" t="str">
        <f>IFERROR(IF(R48="", "", R48/R$47),0)</f>
        <v/>
      </c>
      <c r="U48" s="751" t="str">
        <f>IFERROR(ROUND(Q48-M48,2), "")</f>
        <v/>
      </c>
    </row>
    <row r="49" spans="2:21" s="331" customFormat="1" ht="4.5" customHeight="1">
      <c r="B49" s="329"/>
      <c r="C49" s="329"/>
      <c r="D49" s="329"/>
      <c r="E49" s="340"/>
      <c r="F49" s="367"/>
      <c r="G49" s="341"/>
      <c r="H49" s="341"/>
      <c r="I49" s="342"/>
      <c r="J49" s="342"/>
      <c r="K49" s="342"/>
      <c r="M49" s="351"/>
      <c r="Q49" s="351"/>
      <c r="U49" s="351"/>
    </row>
    <row r="50" spans="2:21" s="347" customFormat="1" ht="14.25" customHeight="1">
      <c r="B50" s="343"/>
      <c r="C50" s="343"/>
      <c r="D50" s="343" t="s">
        <v>12</v>
      </c>
      <c r="E50" s="375" t="s">
        <v>617</v>
      </c>
      <c r="F50" s="384"/>
      <c r="G50" s="384"/>
      <c r="H50" s="384"/>
      <c r="I50" s="385"/>
      <c r="J50" s="385"/>
      <c r="K50" s="385"/>
      <c r="M50" s="378">
        <f>IFERROR(IF(N50=0, 0, N50*$N$2),0)</f>
        <v>0</v>
      </c>
      <c r="N50" s="857">
        <f>SUM(N51:N52)</f>
        <v>0</v>
      </c>
      <c r="O50" s="379">
        <f>IF(N50=0, 0, SUM(O51:O52)*N50)</f>
        <v>0</v>
      </c>
      <c r="Q50" s="378">
        <f>IFERROR(IF(R50=0, 0, R50*$N$3),0)</f>
        <v>0</v>
      </c>
      <c r="R50" s="490"/>
      <c r="S50" s="379">
        <f>IF(R50=0, 0, SUM(S51:S52)*R50)</f>
        <v>0</v>
      </c>
      <c r="U50" s="378">
        <f>Q50-M50</f>
        <v>0</v>
      </c>
    </row>
    <row r="51" spans="2:21" s="749" customFormat="1" ht="14.25" customHeight="1">
      <c r="B51" s="357"/>
      <c r="C51" s="357"/>
      <c r="D51" s="357"/>
      <c r="E51" s="268"/>
      <c r="F51" s="358" t="str">
        <f ca="1">IF($E51="", "", IFERROR(INDEX(OFFSET('Fund Guide'!$B$5,1,MATCH(F$8,OFFSET('Fund Guide'!$B$5,,,,COUNTA('Fund Guide'!44:44)),0)-1,COUNTA('Fund Guide'!$B:$B)-COUNTA('Fund Guide'!$B$2:$B$5)),MATCH($E51,OFFSET('Fund Guide'!$B$5,1,,COUNTA('Fund Guide'!$B:$B)-COUNTA('Fund Guide'!$B$2:$B$5)),0)),"-"))</f>
        <v/>
      </c>
      <c r="G51" s="359" t="str">
        <f ca="1">IF($E51="", "", IFERROR(INDEX(OFFSET('Fund Guide'!$B$5,1,MATCH(G$8,OFFSET('Fund Guide'!$B$5,,,,COUNTA('Fund Guide'!$5:$5)),0)-1,COUNTA('Fund Guide'!$B:$B)-COUNTA('Fund Guide'!$B$2:$B$5)),MATCH($E51,OFFSET('Fund Guide'!$B$5,1,,COUNTA('Fund Guide'!$B:$B)-COUNTA('Fund Guide'!$B$2:$B$5)),0)),
IFERROR(IF(OR(LEFT($E51,3)="NTN",LEFT($E51,3)="LFT"),DATE(_xlfn.NUMBERVALUE(RIGHT(LEFT($E51,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360" t="str">
        <f ca="1">IF($E51="", "", IFERROR(INDEX(OFFSET('Fund Guide'!$B$5,1,MATCH(H$8,OFFSET('Fund Guide'!$B$5,,,,COUNTA('Fund Guide'!#REF!)),0)-1,COUNTA('Fund Guide'!$B:$B)-COUNTA('Fund Guide'!$B$2:$B$5)),MATCH($E51,OFFSET('Fund Guide'!$B$5,1,,COUNTA('Fund Guide'!$B:$B)-COUNTA('Fund Guide'!$B$2:$B$5)),0)),IFERROR(OFFSET('RF &amp; RV Guide'!$E$8,2+MATCH($E51, OFFSET('RF &amp; RV Guide'!$E$8,3,,200), 0),-1+MATCH(H$8, OFFSET('RF &amp; RV Guide'!$E$8,,,,COUNTA('RF &amp; RV Guide'!$8:$8)-COUNTA('RF &amp; RV Guide'!$A$8:$E$8)),0)),"BRL")))</f>
        <v/>
      </c>
      <c r="I51" s="361" t="str">
        <f ca="1">IF($E51="", "", IFERROR(INDEX(OFFSET('Fund Guide'!$B$5,1,MATCH("Repasse Taxa Adm. Gestor",OFFSET('Fund Guide'!$B$5,,,,COUNTA('Fund Guide'!$5:$5)),0)-1,COUNTA('Fund Guide'!$B:$B)-COUNTA('Fund Guide'!$B$2:$B$5)),MATCH($E51,OFFSET('Fund Guide'!$B$5,1,,COUNTA('Fund Guide'!$B:$B)-COUNTA('Fund Guide'!$B$2:$B$5)),0)),
IFERROR(OFFSET('RF &amp; RV Guide'!$E$8,2+MATCH($E51, OFFSET('RF &amp; RV Guide'!$E$8,3,,200), 0),-1+MATCH(I$8, OFFSET('RF &amp; RV Guide'!$E$8,,,,COUNTA('RF &amp; RV Guide'!$8:$8)-COUNTA('RF &amp; RV Guide'!$A$8:$E$8)),0)),IFERROR(IF(FIND("tulo",$E51), 0.25%), "-"))))</f>
        <v/>
      </c>
      <c r="J51" s="362" t="str" cm="1">
        <f t="array" aca="1" ref="J51" ca="1">IF($E51="", "", IFERROR(INDEX(OFFSET('Fund Guide'!$B$5,1,MATCH(J$8,OFFSET('Fund Guide'!$B$5,,,,COUNTA('Fund Guide'!$5:$5)),0)-1,COUNTA('Fund Guide'!$B:$B)-COUNTA('Fund Guide'!$B$2:$B$5)),MATCH($E51,OFFSET('Fund Guide'!$B$5,1,,COUNTA('Fund Guide'!$B:$B)-COUNTA('Fund Guide'!$B$2:$B$5)),0)),
IFERROR(INDEX(OFFSET('RF &amp; RV Guide'!$X$10,1, , 100),MATCH(IF(FIND("(", $E51)&gt;0, LEFT($E51, FIND("(", $E51)-1),), IFERROR(IF(FIND("(", OFFSET('RF &amp; RV Guide'!$E$10,1,,200))&gt;0, LEFT(OFFSET('RF &amp; RV Guide'!$E$10,1,,200), FIND("(", $E51)-1),),"-"),0)),
IFERROR(INDEX(OFFSET('RF &amp; RV Guide'!$X$10,1, , 100),MATCH($E51, OFFSET('RF &amp; RV Guide'!$E$10,1,,200),0)),"-"))))</f>
        <v/>
      </c>
      <c r="K51" s="750" t="str">
        <f ca="1">IF($E51="", "", IFERROR(INDEX(OFFSET('Fund Guide'!#REF!,1,MATCH(K$8,OFFSET('Fund Guide'!#REF!,,,,COUNTA('Fund Guide'!$5:$5)),0)-1,COUNTA('Fund Guide'!$B:$B)-COUNTA('Fund Guide'!$B$2:$B$2)),MATCH($E51,OFFSET('Fund Guide'!#REF!,1,,COUNTA('Fund Guide'!$B:$B)-COUNTA('Fund Guide'!$B$2:$B$2)),0)),
IFERROR(OFFSET('RF &amp; RV Guide'!$E$8,2+MATCH($E51, OFFSET('RF &amp; RV Guide'!$E$8,3,,COUNTA('RF &amp; RV Guide'!$E:$E)-COUNTA('RF &amp; RV Guide'!$E$1:$E$8)), 0),-1+MATCH("Captação", OFFSET('RF &amp; RV Guide'!$E$8,,,,COUNTA('RF &amp; RV Guide'!$8:$8)-COUNTA('RF &amp; RV Guide'!$A$8:$E$8)),0)), "-")))</f>
        <v/>
      </c>
      <c r="M51" s="934"/>
      <c r="N51" s="935" t="str">
        <f>IFERROR(IF(M51="", "", M51/$N$2), 0)</f>
        <v/>
      </c>
      <c r="O51" s="380" t="str">
        <f>IFERROR(IF(N51="", "", N51/N$50),0)</f>
        <v/>
      </c>
      <c r="Q51" s="751" t="str">
        <f>IFERROR(IF(R51="", "", R51*$N$3), 0)</f>
        <v/>
      </c>
      <c r="R51" s="198"/>
      <c r="S51" s="380" t="str">
        <f>IFERROR(IF(R51="", "", R51/R$50),0)</f>
        <v/>
      </c>
      <c r="U51" s="751" t="str">
        <f>IFERROR(ROUND(Q51-M51,2), "")</f>
        <v/>
      </c>
    </row>
    <row r="52" spans="2:21" s="331" customFormat="1" ht="4.5" customHeight="1">
      <c r="B52" s="329"/>
      <c r="C52" s="329"/>
      <c r="D52" s="329"/>
      <c r="E52" s="340"/>
      <c r="F52" s="367"/>
      <c r="G52" s="341"/>
      <c r="H52" s="341"/>
      <c r="I52" s="342"/>
      <c r="J52" s="342"/>
      <c r="K52" s="342"/>
      <c r="M52" s="351"/>
      <c r="Q52" s="351"/>
      <c r="U52" s="351"/>
    </row>
    <row r="53" spans="2:21" s="347" customFormat="1" ht="14.25" customHeight="1">
      <c r="B53" s="343"/>
      <c r="C53" s="343"/>
      <c r="D53" s="343" t="s">
        <v>12</v>
      </c>
      <c r="E53" s="375" t="s">
        <v>619</v>
      </c>
      <c r="F53" s="384"/>
      <c r="G53" s="384"/>
      <c r="H53" s="384"/>
      <c r="I53" s="385"/>
      <c r="J53" s="385"/>
      <c r="K53" s="385"/>
      <c r="M53" s="378">
        <f>IFERROR(IF(N53=0, 0, N53*$N$2),0)</f>
        <v>0</v>
      </c>
      <c r="N53" s="857">
        <f>SUM(N54:N55)</f>
        <v>0</v>
      </c>
      <c r="O53" s="379">
        <f>IF(N53=0, 0, SUM(O54:O55)*N53)</f>
        <v>0</v>
      </c>
      <c r="Q53" s="378">
        <f>IFERROR(IF(R53=0, 0, R53*$N$3),0)</f>
        <v>0</v>
      </c>
      <c r="R53" s="490"/>
      <c r="S53" s="379">
        <f>IF(R53=0, 0, SUM(S54:S55)*R53)</f>
        <v>0</v>
      </c>
      <c r="U53" s="378">
        <f>Q53-M53</f>
        <v>0</v>
      </c>
    </row>
    <row r="54" spans="2:21" s="749" customFormat="1" ht="14.25" customHeight="1">
      <c r="B54" s="357"/>
      <c r="C54" s="357"/>
      <c r="D54" s="357"/>
      <c r="E54" s="268"/>
      <c r="F54" s="358" t="str">
        <f ca="1">IF($E54="", "", IFERROR(INDEX(OFFSET('Fund Guide'!$B$5,1,MATCH(F$8,OFFSET('Fund Guide'!$B$5,,,,COUNTA('Fund Guide'!47:47)),0)-1,COUNTA('Fund Guide'!$B:$B)-COUNTA('Fund Guide'!$B$2:$B$5)),MATCH($E54,OFFSET('Fund Guide'!$B$5,1,,COUNTA('Fund Guide'!$B:$B)-COUNTA('Fund Guide'!$B$2:$B$5)),0)),"-"))</f>
        <v/>
      </c>
      <c r="G54" s="359" t="str">
        <f ca="1">IF($E54="", "", IFERROR(INDEX(OFFSET('Fund Guide'!$B$5,1,MATCH(G$8,OFFSET('Fund Guide'!$B$5,,,,COUNTA('Fund Guide'!$5:$5)),0)-1,COUNTA('Fund Guide'!$B:$B)-COUNTA('Fund Guide'!$B$2:$B$5)),MATCH($E54,OFFSET('Fund Guide'!$B$5,1,,COUNTA('Fund Guide'!$B:$B)-COUNTA('Fund Guide'!$B$2:$B$5)),0)),
IFERROR(IF(OR(LEFT($E54,3)="NTN",LEFT($E54,3)="LFT"),DATE(_xlfn.NUMBERVALUE(RIGHT(LEFT($E54,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360" t="str">
        <f ca="1">IF($E54="", "", IFERROR(INDEX(OFFSET('Fund Guide'!$B$5,1,MATCH(H$8,OFFSET('Fund Guide'!$B$5,,,,COUNTA('Fund Guide'!#REF!)),0)-1,COUNTA('Fund Guide'!$B:$B)-COUNTA('Fund Guide'!$B$2:$B$5)),MATCH($E54,OFFSET('Fund Guide'!$B$5,1,,COUNTA('Fund Guide'!$B:$B)-COUNTA('Fund Guide'!$B$2:$B$5)),0)),IFERROR(OFFSET('RF &amp; RV Guide'!$E$8,2+MATCH($E54, OFFSET('RF &amp; RV Guide'!$E$8,3,,200), 0),-1+MATCH(H$8, OFFSET('RF &amp; RV Guide'!$E$8,,,,COUNTA('RF &amp; RV Guide'!$8:$8)-COUNTA('RF &amp; RV Guide'!$A$8:$E$8)),0)),"BRL")))</f>
        <v/>
      </c>
      <c r="I54" s="361"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Guide'!$E$8,3,,200), 0),-1+MATCH(I$8, OFFSET('RF &amp; RV Guide'!$E$8,,,,COUNTA('RF &amp; RV Guide'!$8:$8)-COUNTA('RF &amp; RV Guide'!$A$8:$E$8)),0)),IFERROR(IF(FIND("tulo",$E54), 0.25%), "-"))))</f>
        <v/>
      </c>
      <c r="J54" s="362" t="str" cm="1">
        <f t="array" aca="1" ref="J54" ca="1">IF($E54="", "", IFERROR(INDEX(OFFSET('Fund Guide'!$B$5,1,MATCH(J$8,OFFSET('Fund Guide'!$B$5,,,,COUNTA('Fund Guide'!$5:$5)),0)-1,COUNTA('Fund Guide'!$B:$B)-COUNTA('Fund Guide'!$B$2:$B$5)),MATCH($E54,OFFSET('Fund Guide'!$B$5,1,,COUNTA('Fund Guide'!$B:$B)-COUNTA('Fund Guide'!$B$2:$B$5)),0)),
IFERROR(INDEX(OFFSET('RF &amp; RV Guide'!$X$10,1, , 100),MATCH(IF(FIND("(", $E54)&gt;0, LEFT($E54, FIND("(", $E54)-1),), IFERROR(IF(FIND("(", OFFSET('RF &amp; RV Guide'!$E$10,1,,200))&gt;0, LEFT(OFFSET('RF &amp; RV Guide'!$E$10,1,,200), FIND("(", $E54)-1),),"-"),0)),
IFERROR(INDEX(OFFSET('RF &amp; RV Guide'!$X$10,1, , 100),MATCH($E54, OFFSET('RF &amp; RV Guide'!$E$10,1,,200),0)),"-"))))</f>
        <v/>
      </c>
      <c r="K54" s="750" t="str">
        <f ca="1">IF($E54="", "", IFERROR(INDEX(OFFSET('Fund Guide'!#REF!,1,MATCH(K$8,OFFSET('Fund Guide'!#REF!,,,,COUNTA('Fund Guide'!$5:$5)),0)-1,COUNTA('Fund Guide'!$B:$B)-COUNTA('Fund Guide'!$B$2:$B$2)),MATCH($E54,OFFSET('Fund Guide'!#REF!,1,,COUNTA('Fund Guide'!$B:$B)-COUNTA('Fund Guide'!$B$2:$B$2)),0)),
IFERROR(OFFSET('RF &amp; RV Guide'!$E$8,2+MATCH($E54, OFFSET('RF &amp; RV Guide'!$E$8,3,,COUNTA('RF &amp; RV Guide'!$E:$E)-COUNTA('RF &amp; RV Guide'!$E$1:$E$8)), 0),-1+MATCH("Captação", OFFSET('RF &amp; RV Guide'!$E$8,,,,COUNTA('RF &amp; RV Guide'!$8:$8)-COUNTA('RF &amp; RV Guide'!$A$8:$E$8)),0)), "-")))</f>
        <v/>
      </c>
      <c r="M54" s="934"/>
      <c r="N54" s="935" t="str">
        <f>IFERROR(IF(M54="", "", M54/$N$2), 0)</f>
        <v/>
      </c>
      <c r="O54" s="380" t="str">
        <f>IFERROR(IF(N54="", "", N54/N$53),0)</f>
        <v/>
      </c>
      <c r="Q54" s="751" t="str">
        <f>IFERROR(IF(R54="", "", R54*$N$3), 0)</f>
        <v/>
      </c>
      <c r="R54" s="198"/>
      <c r="S54" s="380" t="str">
        <f>IFERROR(IF(R54="", "", R54/R$53),0)</f>
        <v/>
      </c>
      <c r="U54" s="751" t="str">
        <f>IFERROR(ROUND(Q54-M54,2), "")</f>
        <v/>
      </c>
    </row>
    <row r="55" spans="2:21" s="331" customFormat="1" ht="7.5" customHeight="1">
      <c r="B55" s="329"/>
      <c r="C55" s="329"/>
      <c r="D55" s="329"/>
      <c r="E55" s="340"/>
      <c r="F55" s="367"/>
      <c r="G55" s="341"/>
      <c r="H55" s="341"/>
      <c r="I55" s="342"/>
      <c r="J55" s="342"/>
      <c r="K55" s="342"/>
      <c r="M55" s="351"/>
      <c r="Q55" s="351"/>
      <c r="R55" s="383"/>
      <c r="U55" s="351"/>
    </row>
    <row r="56" spans="2:21" s="347" customFormat="1" ht="14.25" customHeight="1">
      <c r="B56" s="343"/>
      <c r="C56" s="343"/>
      <c r="D56" s="343" t="s">
        <v>1394</v>
      </c>
      <c r="E56" s="344" t="s">
        <v>14</v>
      </c>
      <c r="F56" s="345"/>
      <c r="G56" s="345"/>
      <c r="H56" s="345"/>
      <c r="I56" s="346"/>
      <c r="J56" s="346"/>
      <c r="K56" s="346"/>
      <c r="M56" s="348">
        <f>IFERROR(IF(N56=0, 0, N56*$N$2),0)</f>
        <v>0</v>
      </c>
      <c r="N56" s="349">
        <f>N58+N69</f>
        <v>0</v>
      </c>
      <c r="O56" s="350">
        <f>O58+O69</f>
        <v>0</v>
      </c>
      <c r="Q56" s="348">
        <f>IF(Q58+Q69=0, 0,Q58+Q69)</f>
        <v>0</v>
      </c>
      <c r="R56" s="349">
        <f>R58+R69</f>
        <v>0</v>
      </c>
      <c r="S56" s="350">
        <f>S58+S69</f>
        <v>0</v>
      </c>
      <c r="U56" s="348">
        <f>Q56-M56</f>
        <v>0</v>
      </c>
    </row>
    <row r="57" spans="2:21" s="331" customFormat="1" ht="4.5" customHeight="1">
      <c r="B57" s="329"/>
      <c r="C57" s="329"/>
      <c r="D57" s="329"/>
      <c r="E57" s="340"/>
      <c r="F57" s="341"/>
      <c r="G57" s="341"/>
      <c r="H57" s="341"/>
      <c r="I57" s="342"/>
      <c r="J57" s="342"/>
      <c r="K57" s="342"/>
      <c r="M57" s="351"/>
      <c r="Q57" s="351"/>
      <c r="U57" s="351"/>
    </row>
    <row r="58" spans="2:21" s="347" customFormat="1" ht="14.25" customHeight="1">
      <c r="B58" s="343"/>
      <c r="C58" s="343" t="s">
        <v>1394</v>
      </c>
      <c r="D58" s="343" t="s">
        <v>12</v>
      </c>
      <c r="E58" s="352" t="s">
        <v>608</v>
      </c>
      <c r="F58" s="353"/>
      <c r="G58" s="353"/>
      <c r="H58" s="353"/>
      <c r="I58" s="354"/>
      <c r="J58" s="354"/>
      <c r="K58" s="354"/>
      <c r="M58" s="355">
        <f>IFERROR(IF(N58=0, 0, N58*$N$2),0)</f>
        <v>0</v>
      </c>
      <c r="N58" s="748">
        <f>N60+N63+N66</f>
        <v>0</v>
      </c>
      <c r="O58" s="356">
        <f>ROUND(O60+O63+O66,6)</f>
        <v>0</v>
      </c>
      <c r="Q58" s="355">
        <f>IFERROR(IF(R58=0, 0, R58*$N$3),0)</f>
        <v>0</v>
      </c>
      <c r="R58" s="202">
        <f>R60+R63+R66</f>
        <v>0</v>
      </c>
      <c r="S58" s="356">
        <f>ROUND(S60+S63+S66,6)</f>
        <v>0</v>
      </c>
      <c r="U58" s="355">
        <f>Q58-M58</f>
        <v>0</v>
      </c>
    </row>
    <row r="59" spans="2:21" s="331" customFormat="1" ht="3" customHeight="1">
      <c r="B59" s="329"/>
      <c r="C59" s="329"/>
      <c r="D59" s="329"/>
      <c r="E59" s="340"/>
      <c r="F59" s="341"/>
      <c r="G59" s="341"/>
      <c r="H59" s="341"/>
      <c r="I59" s="342"/>
      <c r="J59" s="342"/>
      <c r="K59" s="342"/>
      <c r="M59" s="351"/>
      <c r="Q59" s="351"/>
      <c r="R59" s="383"/>
      <c r="U59" s="351"/>
    </row>
    <row r="60" spans="2:21" s="347" customFormat="1" ht="14.25" customHeight="1">
      <c r="B60" s="343"/>
      <c r="C60" s="343"/>
      <c r="D60" s="343" t="s">
        <v>12</v>
      </c>
      <c r="E60" s="375" t="s">
        <v>607</v>
      </c>
      <c r="F60" s="384"/>
      <c r="G60" s="384"/>
      <c r="H60" s="384"/>
      <c r="I60" s="385"/>
      <c r="J60" s="385"/>
      <c r="K60" s="385"/>
      <c r="M60" s="378">
        <f>IFERROR(IF(N60=0, 0, N60*$N$2),0)</f>
        <v>0</v>
      </c>
      <c r="N60" s="857">
        <f>SUM(N61:N62)</f>
        <v>0</v>
      </c>
      <c r="O60" s="379">
        <f>IF(N60=0, 0, SUM(O61:O62)*N60)</f>
        <v>0</v>
      </c>
      <c r="Q60" s="378">
        <f>IFERROR(IF(R60=0, 0, R60*$N$3),0)</f>
        <v>0</v>
      </c>
      <c r="R60" s="490"/>
      <c r="S60" s="379">
        <f>IF(R60=0, 0, SUM(S61:S62)*R60)</f>
        <v>0</v>
      </c>
      <c r="U60" s="378">
        <f>Q60-M60</f>
        <v>0</v>
      </c>
    </row>
    <row r="61" spans="2:21" s="749" customFormat="1" ht="14.25" customHeight="1">
      <c r="B61" s="357"/>
      <c r="C61" s="357"/>
      <c r="D61" s="357"/>
      <c r="E61" s="268"/>
      <c r="F61" s="358" t="str">
        <f ca="1">IF($E61="", "", IFERROR(INDEX(OFFSET('Fund Guide'!$B$5,1,MATCH(F$8,OFFSET('Fund Guide'!$B$5,,,,COUNTA('Fund Guide'!54:54)),0)-1,COUNTA('Fund Guide'!$B:$B)-COUNTA('Fund Guide'!$B$2:$B$5)),MATCH($E61,OFFSET('Fund Guide'!$B$5,1,,COUNTA('Fund Guide'!$B:$B)-COUNTA('Fund Guide'!$B$2:$B$5)),0)),"-"))</f>
        <v/>
      </c>
      <c r="G61" s="359" t="str">
        <f ca="1">IF($E61="", "", IFERROR(INDEX(OFFSET('Fund Guide'!$B$5,1,MATCH(G$8,OFFSET('Fund Guide'!$B$5,,,,COUNTA('Fund Guide'!$5:$5)),0)-1,COUNTA('Fund Guide'!$B:$B)-COUNTA('Fund Guide'!$B$2:$B$5)),MATCH($E61,OFFSET('Fund Guide'!$B$5,1,,COUNTA('Fund Guide'!$B:$B)-COUNTA('Fund Guide'!$B$2:$B$5)),0)),
IFERROR(IF(OR(LEFT($E61,3)="NTN",LEFT($E61,3)="LFT"),DATE(_xlfn.NUMBERVALUE(RIGHT(LEFT($E61,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360" t="str">
        <f ca="1">IF($E61="", "", IFERROR(INDEX(OFFSET('Fund Guide'!$B$5,1,MATCH(H$8,OFFSET('Fund Guide'!$B$5,,,,COUNTA('Fund Guide'!#REF!)),0)-1,COUNTA('Fund Guide'!$B:$B)-COUNTA('Fund Guide'!$B$2:$B$5)),MATCH($E61,OFFSET('Fund Guide'!$B$5,1,,COUNTA('Fund Guide'!$B:$B)-COUNTA('Fund Guide'!$B$2:$B$5)),0)),IFERROR(OFFSET('RF &amp; RV Guide'!$E$8,2+MATCH($E61, OFFSET('RF &amp; RV Guide'!$E$8,3,,200), 0),-1+MATCH(H$8, OFFSET('RF &amp; RV Guide'!$E$8,,,,COUNTA('RF &amp; RV Guide'!$8:$8)-COUNTA('RF &amp; RV Guide'!$A$8:$E$8)),0)),"BRL")))</f>
        <v/>
      </c>
      <c r="I61" s="361" t="str">
        <f ca="1">IF($E61="", "", IFERROR(INDEX(OFFSET('Fund Guide'!$B$5,1,MATCH("Repasse Taxa Adm. Gestor",OFFSET('Fund Guide'!$B$5,,,,COUNTA('Fund Guide'!$5:$5)),0)-1,COUNTA('Fund Guide'!$B:$B)-COUNTA('Fund Guide'!$B$2:$B$5)),MATCH($E61,OFFSET('Fund Guide'!$B$5,1,,COUNTA('Fund Guide'!$B:$B)-COUNTA('Fund Guide'!$B$2:$B$5)),0)),
IFERROR(OFFSET('RF &amp; RV Guide'!$E$8,2+MATCH($E61, OFFSET('RF &amp; RV Guide'!$E$8,3,,200), 0),-1+MATCH(I$8, OFFSET('RF &amp; RV Guide'!$E$8,,,,COUNTA('RF &amp; RV Guide'!$8:$8)-COUNTA('RF &amp; RV Guide'!$A$8:$E$8)),0)),IFERROR(IF(FIND("tulo",$E61), 0.25%), "-"))))</f>
        <v/>
      </c>
      <c r="J61" s="362" t="str" cm="1">
        <f t="array" aca="1" ref="J61" ca="1">IF($E61="", "", IFERROR(INDEX(OFFSET('Fund Guide'!$B$5,1,MATCH(J$8,OFFSET('Fund Guide'!$B$5,,,,COUNTA('Fund Guide'!$5:$5)),0)-1,COUNTA('Fund Guide'!$B:$B)-COUNTA('Fund Guide'!$B$2:$B$5)),MATCH($E61,OFFSET('Fund Guide'!$B$5,1,,COUNTA('Fund Guide'!$B:$B)-COUNTA('Fund Guide'!$B$2:$B$5)),0)),
IFERROR(INDEX(OFFSET('RF &amp; RV Guide'!$X$10,1, , 100),MATCH(IF(FIND("(", $E61)&gt;0, LEFT($E61, FIND("(", $E61)-1),), IFERROR(IF(FIND("(", OFFSET('RF &amp; RV Guide'!$E$10,1,,200))&gt;0, LEFT(OFFSET('RF &amp; RV Guide'!$E$10,1,,200), FIND("(", $E61)-1),),"-"),0)),
IFERROR(INDEX(OFFSET('RF &amp; RV Guide'!$X$10,1, , 100),MATCH($E61, OFFSET('RF &amp; RV Guide'!$E$10,1,,200),0)),"-"))))</f>
        <v/>
      </c>
      <c r="K61" s="750" t="str">
        <f ca="1">IF($E61="", "", IFERROR(INDEX(OFFSET('Fund Guide'!#REF!,1,MATCH(K$8,OFFSET('Fund Guide'!#REF!,,,,COUNTA('Fund Guide'!$5:$5)),0)-1,COUNTA('Fund Guide'!$B:$B)-COUNTA('Fund Guide'!$B$2:$B$2)),MATCH($E61,OFFSET('Fund Guide'!#REF!,1,,COUNTA('Fund Guide'!$B:$B)-COUNTA('Fund Guide'!$B$2:$B$2)),0)),
IFERROR(OFFSET('RF &amp; RV Guide'!$E$8,2+MATCH($E61, OFFSET('RF &amp; RV Guide'!$E$8,3,,COUNTA('RF &amp; RV Guide'!$E:$E)-COUNTA('RF &amp; RV Guide'!$E$1:$E$8)), 0),-1+MATCH("Captação", OFFSET('RF &amp; RV Guide'!$E$8,,,,COUNTA('RF &amp; RV Guide'!$8:$8)-COUNTA('RF &amp; RV Guide'!$A$8:$E$8)),0)), "-")))</f>
        <v/>
      </c>
      <c r="M61" s="934"/>
      <c r="N61" s="935" t="str">
        <f>IFERROR(IF(M61="", "", M61/$N$2), 0)</f>
        <v/>
      </c>
      <c r="O61" s="380" t="str">
        <f>IFERROR(IF(N61="", "", N61/N$60),0)</f>
        <v/>
      </c>
      <c r="Q61" s="751" t="str">
        <f>IFERROR(IF(R61="", "", R61*$N$3), 0)</f>
        <v/>
      </c>
      <c r="R61" s="198"/>
      <c r="S61" s="380" t="str">
        <f>IFERROR(IF(R61="", "", R61/R$60),0)</f>
        <v/>
      </c>
      <c r="U61" s="751" t="str">
        <f>IFERROR(ROUND(Q61-M61,2), "")</f>
        <v/>
      </c>
    </row>
    <row r="62" spans="2:21" s="331" customFormat="1" ht="4.5" customHeight="1">
      <c r="B62" s="329"/>
      <c r="C62" s="329"/>
      <c r="D62" s="329"/>
      <c r="E62" s="340"/>
      <c r="F62" s="367"/>
      <c r="G62" s="341"/>
      <c r="H62" s="341"/>
      <c r="I62" s="342"/>
      <c r="J62" s="342"/>
      <c r="K62" s="342"/>
      <c r="M62" s="351"/>
      <c r="Q62" s="351"/>
      <c r="U62" s="351"/>
    </row>
    <row r="63" spans="2:21" s="347" customFormat="1" ht="14.25" customHeight="1">
      <c r="B63" s="343"/>
      <c r="C63" s="343"/>
      <c r="D63" s="343" t="s">
        <v>12</v>
      </c>
      <c r="E63" s="375" t="s">
        <v>614</v>
      </c>
      <c r="F63" s="384"/>
      <c r="G63" s="384"/>
      <c r="H63" s="384"/>
      <c r="I63" s="385"/>
      <c r="J63" s="385"/>
      <c r="K63" s="385"/>
      <c r="M63" s="378">
        <f>IFERROR(IF(N63=0, 0, N63*$N$2),0)</f>
        <v>0</v>
      </c>
      <c r="N63" s="857">
        <f>SUM(N64:N65)</f>
        <v>0</v>
      </c>
      <c r="O63" s="379">
        <f>IF(N63=0, 0, SUM(O64:O65)*N63)</f>
        <v>0</v>
      </c>
      <c r="Q63" s="378">
        <f>IFERROR(IF(R63=0, 0, R63*$N$3),0)</f>
        <v>0</v>
      </c>
      <c r="R63" s="490"/>
      <c r="S63" s="379">
        <f>IF(R63=0, 0, SUM(S64:S65)*R63)</f>
        <v>0</v>
      </c>
      <c r="U63" s="378">
        <f>Q63-M63</f>
        <v>0</v>
      </c>
    </row>
    <row r="64" spans="2:21" s="749" customFormat="1" ht="14.25" customHeight="1">
      <c r="B64" s="357"/>
      <c r="C64" s="357"/>
      <c r="D64" s="357"/>
      <c r="E64" s="268"/>
      <c r="F64" s="358" t="str">
        <f ca="1">IF($E64="", "", IFERROR(INDEX(OFFSET('Fund Guide'!$B$5,1,MATCH(F$8,OFFSET('Fund Guide'!$B$5,,,,COUNTA('Fund Guide'!57:57)),0)-1,COUNTA('Fund Guide'!$B:$B)-COUNTA('Fund Guide'!$B$2:$B$5)),MATCH($E64,OFFSET('Fund Guide'!$B$5,1,,COUNTA('Fund Guide'!$B:$B)-COUNTA('Fund Guide'!$B$2:$B$5)),0)),"-"))</f>
        <v/>
      </c>
      <c r="G64" s="359" t="str">
        <f ca="1">IF($E64="", "", IFERROR(INDEX(OFFSET('Fund Guide'!$B$5,1,MATCH(G$8,OFFSET('Fund Guide'!$B$5,,,,COUNTA('Fund Guide'!$5:$5)),0)-1,COUNTA('Fund Guide'!$B:$B)-COUNTA('Fund Guide'!$B$2:$B$5)),MATCH($E64,OFFSET('Fund Guide'!$B$5,1,,COUNTA('Fund Guide'!$B:$B)-COUNTA('Fund Guide'!$B$2:$B$5)),0)),
IFERROR(IF(OR(LEFT($E64,3)="NTN",LEFT($E64,3)="LFT"),DATE(_xlfn.NUMBERVALUE(RIGHT(LEFT($E64,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360" t="str">
        <f ca="1">IF($E64="", "", IFERROR(INDEX(OFFSET('Fund Guide'!$B$5,1,MATCH(H$8,OFFSET('Fund Guide'!$B$5,,,,COUNTA('Fund Guide'!#REF!)),0)-1,COUNTA('Fund Guide'!$B:$B)-COUNTA('Fund Guide'!$B$2:$B$5)),MATCH($E64,OFFSET('Fund Guide'!$B$5,1,,COUNTA('Fund Guide'!$B:$B)-COUNTA('Fund Guide'!$B$2:$B$5)),0)),IFERROR(OFFSET('RF &amp; RV Guide'!$E$8,2+MATCH($E64, OFFSET('RF &amp; RV Guide'!$E$8,3,,200), 0),-1+MATCH(H$8, OFFSET('RF &amp; RV Guide'!$E$8,,,,COUNTA('RF &amp; RV Guide'!$8:$8)-COUNTA('RF &amp; RV Guide'!$A$8:$E$8)),0)),"BRL")))</f>
        <v/>
      </c>
      <c r="I64" s="361"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Guide'!$E$8,3,,200), 0),-1+MATCH(I$8, OFFSET('RF &amp; RV Guide'!$E$8,,,,COUNTA('RF &amp; RV Guide'!$8:$8)-COUNTA('RF &amp; RV Guide'!$A$8:$E$8)),0)),IFERROR(IF(FIND("tulo",$E64), 0.25%), "-"))))</f>
        <v/>
      </c>
      <c r="J64" s="362" t="str" cm="1">
        <f t="array" aca="1" ref="J64" ca="1">IF($E64="", "", IFERROR(INDEX(OFFSET('Fund Guide'!$B$5,1,MATCH(J$8,OFFSET('Fund Guide'!$B$5,,,,COUNTA('Fund Guide'!$5:$5)),0)-1,COUNTA('Fund Guide'!$B:$B)-COUNTA('Fund Guide'!$B$2:$B$5)),MATCH($E64,OFFSET('Fund Guide'!$B$5,1,,COUNTA('Fund Guide'!$B:$B)-COUNTA('Fund Guide'!$B$2:$B$5)),0)),
IFERROR(INDEX(OFFSET('RF &amp; RV Guide'!$X$10,1, , 100),MATCH(IF(FIND("(", $E64)&gt;0, LEFT($E64, FIND("(", $E64)-1),), IFERROR(IF(FIND("(", OFFSET('RF &amp; RV Guide'!$E$10,1,,200))&gt;0, LEFT(OFFSET('RF &amp; RV Guide'!$E$10,1,,200), FIND("(", $E64)-1),),"-"),0)),
IFERROR(INDEX(OFFSET('RF &amp; RV Guide'!$X$10,1, , 100),MATCH($E64, OFFSET('RF &amp; RV Guide'!$E$10,1,,200),0)),"-"))))</f>
        <v/>
      </c>
      <c r="K64" s="750" t="str">
        <f ca="1">IF($E64="", "", IFERROR(INDEX(OFFSET('Fund Guide'!#REF!,1,MATCH(K$8,OFFSET('Fund Guide'!#REF!,,,,COUNTA('Fund Guide'!$5:$5)),0)-1,COUNTA('Fund Guide'!$B:$B)-COUNTA('Fund Guide'!$B$2:$B$2)),MATCH($E64,OFFSET('Fund Guide'!#REF!,1,,COUNTA('Fund Guide'!$B:$B)-COUNTA('Fund Guide'!$B$2:$B$2)),0)),
IFERROR(OFFSET('RF &amp; RV Guide'!$E$8,2+MATCH($E64, OFFSET('RF &amp; RV Guide'!$E$8,3,,COUNTA('RF &amp; RV Guide'!$E:$E)-COUNTA('RF &amp; RV Guide'!$E$1:$E$8)), 0),-1+MATCH("Captação", OFFSET('RF &amp; RV Guide'!$E$8,,,,COUNTA('RF &amp; RV Guide'!$8:$8)-COUNTA('RF &amp; RV Guide'!$A$8:$E$8)),0)), "-")))</f>
        <v/>
      </c>
      <c r="M64" s="934"/>
      <c r="N64" s="935" t="str">
        <f>IFERROR(IF(M64="", "", M64/$N$2), 0)</f>
        <v/>
      </c>
      <c r="O64" s="380" t="str">
        <f>IFERROR(IF(N64="", "", N64/N$63),0)</f>
        <v/>
      </c>
      <c r="Q64" s="751" t="str">
        <f>IFERROR(IF(R64="", "", R64*$N$3), 0)</f>
        <v/>
      </c>
      <c r="R64" s="198"/>
      <c r="S64" s="380" t="str">
        <f>IFERROR(IF(R64="", "", R64/R$63),0)</f>
        <v/>
      </c>
      <c r="U64" s="751" t="str">
        <f>IFERROR(ROUND(Q64-M64,2), "")</f>
        <v/>
      </c>
    </row>
    <row r="65" spans="2:21" s="331" customFormat="1" ht="4.5" customHeight="1">
      <c r="B65" s="329"/>
      <c r="C65" s="329"/>
      <c r="D65" s="329"/>
      <c r="E65" s="340"/>
      <c r="F65" s="367"/>
      <c r="G65" s="341"/>
      <c r="H65" s="341"/>
      <c r="I65" s="342"/>
      <c r="J65" s="342"/>
      <c r="K65" s="342"/>
      <c r="M65" s="351"/>
      <c r="Q65" s="351"/>
      <c r="U65" s="351"/>
    </row>
    <row r="66" spans="2:21" s="347" customFormat="1" ht="14.25" customHeight="1">
      <c r="B66" s="343"/>
      <c r="C66" s="343"/>
      <c r="D66" s="343" t="s">
        <v>12</v>
      </c>
      <c r="E66" s="375" t="s">
        <v>15</v>
      </c>
      <c r="F66" s="384"/>
      <c r="G66" s="384"/>
      <c r="H66" s="384"/>
      <c r="I66" s="385"/>
      <c r="J66" s="385"/>
      <c r="K66" s="385"/>
      <c r="M66" s="378">
        <f>IFERROR(IF(N66=0, 0, N66*$N$2),0)</f>
        <v>0</v>
      </c>
      <c r="N66" s="857">
        <f>SUM(N67:N68)</f>
        <v>0</v>
      </c>
      <c r="O66" s="379">
        <f>IF(N66=0, 0, SUM(O67:O68)*N66)</f>
        <v>0</v>
      </c>
      <c r="Q66" s="378">
        <f>IFERROR(IF(R66=0, 0, R66*$N$3),0)</f>
        <v>0</v>
      </c>
      <c r="R66" s="490"/>
      <c r="S66" s="379">
        <f>IF(R66=0, 0, SUM(S67:S68)*R66)</f>
        <v>0</v>
      </c>
      <c r="U66" s="378">
        <f>Q66-M66</f>
        <v>0</v>
      </c>
    </row>
    <row r="67" spans="2:21" s="749" customFormat="1" ht="14.25" customHeight="1">
      <c r="B67" s="357"/>
      <c r="C67" s="357"/>
      <c r="D67" s="357"/>
      <c r="E67" s="268"/>
      <c r="F67" s="358" t="str">
        <f ca="1">IF($E67="", "", IFERROR(INDEX(OFFSET('Fund Guide'!$B$5,1,MATCH(F$8,OFFSET('Fund Guide'!$B$5,,,,COUNTA('Fund Guide'!60:60)),0)-1,COUNTA('Fund Guide'!$B:$B)-COUNTA('Fund Guide'!$B$2:$B$5)),MATCH($E67,OFFSET('Fund Guide'!$B$5,1,,COUNTA('Fund Guide'!$B:$B)-COUNTA('Fund Guide'!$B$2:$B$5)),0)),"-"))</f>
        <v/>
      </c>
      <c r="G67" s="359" t="str">
        <f ca="1">IF($E67="", "", IFERROR(INDEX(OFFSET('Fund Guide'!$B$5,1,MATCH(G$8,OFFSET('Fund Guide'!$B$5,,,,COUNTA('Fund Guide'!$5:$5)),0)-1,COUNTA('Fund Guide'!$B:$B)-COUNTA('Fund Guide'!$B$2:$B$5)),MATCH($E67,OFFSET('Fund Guide'!$B$5,1,,COUNTA('Fund Guide'!$B:$B)-COUNTA('Fund Guide'!$B$2:$B$5)),0)),
IFERROR(IF(OR(LEFT($E67,3)="NTN",LEFT($E67,3)="LFT"),DATE(_xlfn.NUMBERVALUE(RIGHT(LEFT($E67,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360" t="str">
        <f ca="1">IF($E67="", "", IFERROR(INDEX(OFFSET('Fund Guide'!$B$5,1,MATCH(H$8,OFFSET('Fund Guide'!$B$5,,,,COUNTA('Fund Guide'!#REF!)),0)-1,COUNTA('Fund Guide'!$B:$B)-COUNTA('Fund Guide'!$B$2:$B$5)),MATCH($E67,OFFSET('Fund Guide'!$B$5,1,,COUNTA('Fund Guide'!$B:$B)-COUNTA('Fund Guide'!$B$2:$B$5)),0)),IFERROR(OFFSET('RF &amp; RV Guide'!$E$8,2+MATCH($E67, OFFSET('RF &amp; RV Guide'!$E$8,3,,200), 0),-1+MATCH(H$8, OFFSET('RF &amp; RV Guide'!$E$8,,,,COUNTA('RF &amp; RV Guide'!$8:$8)-COUNTA('RF &amp; RV Guide'!$A$8:$E$8)),0)),"BRL")))</f>
        <v/>
      </c>
      <c r="I67" s="361" t="str">
        <f ca="1">IF($E67="", "", IFERROR(INDEX(OFFSET('Fund Guide'!$B$5,1,MATCH("Repasse Taxa Adm. Gestor",OFFSET('Fund Guide'!$B$5,,,,COUNTA('Fund Guide'!$5:$5)),0)-1,COUNTA('Fund Guide'!$B:$B)-COUNTA('Fund Guide'!$B$2:$B$5)),MATCH($E67,OFFSET('Fund Guide'!$B$5,1,,COUNTA('Fund Guide'!$B:$B)-COUNTA('Fund Guide'!$B$2:$B$5)),0)),
IFERROR(OFFSET('RF &amp; RV Guide'!$E$8,2+MATCH($E67, OFFSET('RF &amp; RV Guide'!$E$8,3,,200), 0),-1+MATCH(I$8, OFFSET('RF &amp; RV Guide'!$E$8,,,,COUNTA('RF &amp; RV Guide'!$8:$8)-COUNTA('RF &amp; RV Guide'!$A$8:$E$8)),0)),IFERROR(IF(FIND("tulo",$E67), 0.25%), "-"))))</f>
        <v/>
      </c>
      <c r="J67" s="362" t="str" cm="1">
        <f t="array" aca="1" ref="J67" ca="1">IF($E67="", "", IFERROR(INDEX(OFFSET('Fund Guide'!$B$5,1,MATCH(J$8,OFFSET('Fund Guide'!$B$5,,,,COUNTA('Fund Guide'!$5:$5)),0)-1,COUNTA('Fund Guide'!$B:$B)-COUNTA('Fund Guide'!$B$2:$B$5)),MATCH($E67,OFFSET('Fund Guide'!$B$5,1,,COUNTA('Fund Guide'!$B:$B)-COUNTA('Fund Guide'!$B$2:$B$5)),0)),
IFERROR(INDEX(OFFSET('RF &amp; RV Guide'!$X$10,1, , 100),MATCH(IF(FIND("(", $E67)&gt;0, LEFT($E67, FIND("(", $E67)-1),), IFERROR(IF(FIND("(", OFFSET('RF &amp; RV Guide'!$E$10,1,,200))&gt;0, LEFT(OFFSET('RF &amp; RV Guide'!$E$10,1,,200), FIND("(", $E67)-1),),"-"),0)),
IFERROR(INDEX(OFFSET('RF &amp; RV Guide'!$X$10,1, , 100),MATCH($E67, OFFSET('RF &amp; RV Guide'!$E$10,1,,200),0)),"-"))))</f>
        <v/>
      </c>
      <c r="K67" s="750" t="str">
        <f ca="1">IF($E67="", "", IFERROR(INDEX(OFFSET('Fund Guide'!#REF!,1,MATCH(K$8,OFFSET('Fund Guide'!#REF!,,,,COUNTA('Fund Guide'!$5:$5)),0)-1,COUNTA('Fund Guide'!$B:$B)-COUNTA('Fund Guide'!$B$2:$B$2)),MATCH($E67,OFFSET('Fund Guide'!#REF!,1,,COUNTA('Fund Guide'!$B:$B)-COUNTA('Fund Guide'!$B$2:$B$2)),0)),
IFERROR(OFFSET('RF &amp; RV Guide'!$E$8,2+MATCH($E67, OFFSET('RF &amp; RV Guide'!$E$8,3,,COUNTA('RF &amp; RV Guide'!$E:$E)-COUNTA('RF &amp; RV Guide'!$E$1:$E$8)), 0),-1+MATCH("Captação", OFFSET('RF &amp; RV Guide'!$E$8,,,,COUNTA('RF &amp; RV Guide'!$8:$8)-COUNTA('RF &amp; RV Guide'!$A$8:$E$8)),0)), "-")))</f>
        <v/>
      </c>
      <c r="M67" s="934"/>
      <c r="N67" s="935" t="str">
        <f>IFERROR(IF(M67="", "", M67/$N$2), 0)</f>
        <v/>
      </c>
      <c r="O67" s="380" t="str">
        <f>IFERROR(IF(N67="", "", N67/N$66),0)</f>
        <v/>
      </c>
      <c r="Q67" s="751" t="str">
        <f>IFERROR(IF(R67="", "", R67*$N$3), 0)</f>
        <v/>
      </c>
      <c r="R67" s="198"/>
      <c r="S67" s="380" t="str">
        <f>IFERROR(IF(R67="", "", R67/R$66),0)</f>
        <v/>
      </c>
      <c r="U67" s="751" t="str">
        <f>IFERROR(ROUND(Q67-M67,2), "")</f>
        <v/>
      </c>
    </row>
    <row r="68" spans="2:21" s="331" customFormat="1" ht="5.25" customHeight="1">
      <c r="B68" s="329"/>
      <c r="C68" s="329"/>
      <c r="D68" s="329"/>
      <c r="E68" s="340"/>
      <c r="F68" s="367"/>
      <c r="G68" s="341"/>
      <c r="H68" s="341"/>
      <c r="I68" s="342"/>
      <c r="J68" s="342"/>
      <c r="K68" s="342"/>
      <c r="M68" s="351"/>
      <c r="Q68" s="351"/>
      <c r="U68" s="351"/>
    </row>
    <row r="69" spans="2:21" s="347" customFormat="1" ht="14.25" customHeight="1">
      <c r="B69" s="343"/>
      <c r="C69" s="343" t="s">
        <v>1394</v>
      </c>
      <c r="D69" s="343" t="s">
        <v>12</v>
      </c>
      <c r="E69" s="352" t="s">
        <v>628</v>
      </c>
      <c r="F69" s="353"/>
      <c r="G69" s="353"/>
      <c r="H69" s="353"/>
      <c r="I69" s="354"/>
      <c r="J69" s="354"/>
      <c r="K69" s="354"/>
      <c r="M69" s="355">
        <f>IFERROR(IF(N69=0, 0, N69*$N$2),0)</f>
        <v>0</v>
      </c>
      <c r="N69" s="748">
        <f>N71+N74+N77+N80+N83</f>
        <v>0</v>
      </c>
      <c r="O69" s="356">
        <f>ROUND(O71+O74+O77+O80+O83,6)</f>
        <v>0</v>
      </c>
      <c r="Q69" s="355">
        <f>IFERROR(IF(R69=0, 0, R69*$N$3),0)</f>
        <v>0</v>
      </c>
      <c r="R69" s="202">
        <f>R71+R74+R77+R80+R83</f>
        <v>0</v>
      </c>
      <c r="S69" s="356">
        <f>ROUND(S71+S74+S77+S80+S83,6)</f>
        <v>0</v>
      </c>
      <c r="U69" s="355">
        <f>Q69-M69</f>
        <v>0</v>
      </c>
    </row>
    <row r="70" spans="2:21" s="331" customFormat="1" ht="3" customHeight="1">
      <c r="B70" s="329"/>
      <c r="C70" s="329"/>
      <c r="D70" s="329"/>
      <c r="E70" s="340"/>
      <c r="F70" s="341"/>
      <c r="G70" s="341"/>
      <c r="H70" s="341"/>
      <c r="I70" s="342"/>
      <c r="J70" s="342"/>
      <c r="K70" s="342"/>
      <c r="M70" s="351"/>
      <c r="Q70" s="351"/>
      <c r="R70" s="383"/>
      <c r="U70" s="351"/>
    </row>
    <row r="71" spans="2:21" s="347" customFormat="1" ht="14.25" customHeight="1">
      <c r="B71" s="343"/>
      <c r="C71" s="343"/>
      <c r="D71" s="343" t="s">
        <v>12</v>
      </c>
      <c r="E71" s="375" t="s">
        <v>609</v>
      </c>
      <c r="F71" s="376"/>
      <c r="G71" s="376"/>
      <c r="H71" s="376"/>
      <c r="I71" s="377"/>
      <c r="J71" s="377"/>
      <c r="K71" s="377"/>
      <c r="M71" s="378">
        <f>IFERROR(IF(N71=0, 0, N71*$N$2),0)</f>
        <v>0</v>
      </c>
      <c r="N71" s="857">
        <f>SUM(N72:N73)</f>
        <v>0</v>
      </c>
      <c r="O71" s="379">
        <f>IF(N71=0, 0, SUM(O72:O73)*N71)</f>
        <v>0</v>
      </c>
      <c r="Q71" s="378">
        <f>IFERROR(IF(R71=0, 0, R71*$N$3),0)</f>
        <v>0</v>
      </c>
      <c r="R71" s="490"/>
      <c r="S71" s="379">
        <f>IF(R71=0, 0, SUM(S72:S73)*R71)</f>
        <v>0</v>
      </c>
      <c r="U71" s="378">
        <f>Q71-M71</f>
        <v>0</v>
      </c>
    </row>
    <row r="72" spans="2:21" s="749" customFormat="1" ht="14.25" customHeight="1">
      <c r="B72" s="357"/>
      <c r="C72" s="357"/>
      <c r="D72" s="357"/>
      <c r="E72" s="268"/>
      <c r="F72" s="358" t="str">
        <f ca="1">IF($E72="", "", IFERROR(INDEX(OFFSET('Fund Guide'!$B$5,1,MATCH(F$8,OFFSET('Fund Guide'!$B$5,,,,COUNTA('Fund Guide'!65:65)),0)-1,COUNTA('Fund Guide'!$B:$B)-COUNTA('Fund Guide'!$B$2:$B$5)),MATCH($E72,OFFSET('Fund Guide'!$B$5,1,,COUNTA('Fund Guide'!$B:$B)-COUNTA('Fund Guide'!$B$2:$B$5)),0)),"-"))</f>
        <v/>
      </c>
      <c r="G72" s="359" t="str">
        <f ca="1">IF($E72="", "", IFERROR(INDEX(OFFSET('Fund Guide'!$B$5,1,MATCH(G$8,OFFSET('Fund Guide'!$B$5,,,,COUNTA('Fund Guide'!$5:$5)),0)-1,COUNTA('Fund Guide'!$B:$B)-COUNTA('Fund Guide'!$B$2:$B$5)),MATCH($E72,OFFSET('Fund Guide'!$B$5,1,,COUNTA('Fund Guide'!$B:$B)-COUNTA('Fund Guide'!$B$2:$B$5)),0)),
IFERROR(IF(OR(LEFT($E72,3)="NTN",LEFT($E72,3)="LFT"),DATE(_xlfn.NUMBERVALUE(RIGHT(LEFT($E72,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360" t="str">
        <f ca="1">IF($E72="", "", IFERROR(INDEX(OFFSET('Fund Guide'!$B$5,1,MATCH(H$8,OFFSET('Fund Guide'!$B$5,,,,COUNTA('Fund Guide'!#REF!)),0)-1,COUNTA('Fund Guide'!$B:$B)-COUNTA('Fund Guide'!$B$2:$B$5)),MATCH($E72,OFFSET('Fund Guide'!$B$5,1,,COUNTA('Fund Guide'!$B:$B)-COUNTA('Fund Guide'!$B$2:$B$5)),0)),IFERROR(OFFSET('RF &amp; RV Guide'!$E$8,2+MATCH($E72, OFFSET('RF &amp; RV Guide'!$E$8,3,,200), 0),-1+MATCH(H$8, OFFSET('RF &amp; RV Guide'!$E$8,,,,COUNTA('RF &amp; RV Guide'!$8:$8)-COUNTA('RF &amp; RV Guide'!$A$8:$E$8)),0)),"BRL")))</f>
        <v/>
      </c>
      <c r="I72" s="361"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Guide'!$E$8,3,,200), 0),-1+MATCH(I$8, OFFSET('RF &amp; RV Guide'!$E$8,,,,COUNTA('RF &amp; RV Guide'!$8:$8)-COUNTA('RF &amp; RV Guide'!$A$8:$E$8)),0)),IFERROR(IF(FIND("tulo",$E72), 0.25%), "-"))))</f>
        <v/>
      </c>
      <c r="J72" s="362" t="str" cm="1">
        <f t="array" aca="1" ref="J72" ca="1">IF($E72="", "", IFERROR(INDEX(OFFSET('Fund Guide'!$B$5,1,MATCH(J$8,OFFSET('Fund Guide'!$B$5,,,,COUNTA('Fund Guide'!$5:$5)),0)-1,COUNTA('Fund Guide'!$B:$B)-COUNTA('Fund Guide'!$B$2:$B$5)),MATCH($E72,OFFSET('Fund Guide'!$B$5,1,,COUNTA('Fund Guide'!$B:$B)-COUNTA('Fund Guide'!$B$2:$B$5)),0)),
IFERROR(INDEX(OFFSET('RF &amp; RV Guide'!$X$10,1, , 100),MATCH(IF(FIND("(", $E72)&gt;0, LEFT($E72, FIND("(", $E72)-1),), IFERROR(IF(FIND("(", OFFSET('RF &amp; RV Guide'!$E$10,1,,200))&gt;0, LEFT(OFFSET('RF &amp; RV Guide'!$E$10,1,,200), FIND("(", $E72)-1),),"-"),0)),
IFERROR(INDEX(OFFSET('RF &amp; RV Guide'!$X$10,1, , 100),MATCH($E72, OFFSET('RF &amp; RV Guide'!$E$10,1,,200),0)),"-"))))</f>
        <v/>
      </c>
      <c r="K72" s="750" t="str">
        <f ca="1">IF($E72="", "", IFERROR(INDEX(OFFSET('Fund Guide'!#REF!,1,MATCH(K$8,OFFSET('Fund Guide'!#REF!,,,,COUNTA('Fund Guide'!$5:$5)),0)-1,COUNTA('Fund Guide'!$B:$B)-COUNTA('Fund Guide'!$B$2:$B$2)),MATCH($E72,OFFSET('Fund Guide'!#REF!,1,,COUNTA('Fund Guide'!$B:$B)-COUNTA('Fund Guide'!$B$2:$B$2)),0)),
IFERROR(OFFSET('RF &amp; RV Guide'!$E$8,2+MATCH($E72, OFFSET('RF &amp; RV Guide'!$E$8,3,,COUNTA('RF &amp; RV Guide'!$E:$E)-COUNTA('RF &amp; RV Guide'!$E$1:$E$8)), 0),-1+MATCH("Captação", OFFSET('RF &amp; RV Guide'!$E$8,,,,COUNTA('RF &amp; RV Guide'!$8:$8)-COUNTA('RF &amp; RV Guide'!$A$8:$E$8)),0)), "-")))</f>
        <v/>
      </c>
      <c r="M72" s="934"/>
      <c r="N72" s="935" t="str">
        <f>IFERROR(IF(M72="", "", M72/$N$2), 0)</f>
        <v/>
      </c>
      <c r="O72" s="380" t="str">
        <f>IFERROR(IF(N72="", "", N72/N$71),0)</f>
        <v/>
      </c>
      <c r="Q72" s="751" t="str">
        <f>IFERROR(IF(R72="", "", R72*$N$3), 0)</f>
        <v/>
      </c>
      <c r="R72" s="198"/>
      <c r="S72" s="380" t="str">
        <f>IFERROR(IF(R72="", "", R72/R$71),0)</f>
        <v/>
      </c>
      <c r="U72" s="751" t="str">
        <f>IFERROR(ROUND(Q72-M72,2), "")</f>
        <v/>
      </c>
    </row>
    <row r="73" spans="2:21" s="331" customFormat="1" ht="4.5" customHeight="1">
      <c r="B73" s="329"/>
      <c r="C73" s="329"/>
      <c r="D73" s="329"/>
      <c r="E73" s="340"/>
      <c r="F73" s="367"/>
      <c r="G73" s="341"/>
      <c r="H73" s="341"/>
      <c r="I73" s="342"/>
      <c r="J73" s="342"/>
      <c r="K73" s="342"/>
      <c r="M73" s="351"/>
      <c r="Q73" s="351"/>
      <c r="U73" s="351"/>
    </row>
    <row r="74" spans="2:21" s="347" customFormat="1" ht="14.25" customHeight="1">
      <c r="B74" s="343"/>
      <c r="C74" s="343"/>
      <c r="D74" s="343" t="s">
        <v>12</v>
      </c>
      <c r="E74" s="375" t="s">
        <v>612</v>
      </c>
      <c r="F74" s="376"/>
      <c r="G74" s="376"/>
      <c r="H74" s="376"/>
      <c r="I74" s="377"/>
      <c r="J74" s="377"/>
      <c r="K74" s="377"/>
      <c r="M74" s="378">
        <f>IFERROR(IF(N74=0, 0, N74*$N$2),0)</f>
        <v>0</v>
      </c>
      <c r="N74" s="857">
        <f>SUM(N75:N76)</f>
        <v>0</v>
      </c>
      <c r="O74" s="379">
        <f>IF(N74=0, 0, SUM(O75:O76)*N74)</f>
        <v>0</v>
      </c>
      <c r="Q74" s="378">
        <f>IFERROR(IF(R74=0, 0, R74*$N$3),0)</f>
        <v>0</v>
      </c>
      <c r="R74" s="490"/>
      <c r="S74" s="379">
        <f>IF(R74=0, 0, SUM(S75:S76)*R74)</f>
        <v>0</v>
      </c>
      <c r="U74" s="378">
        <f>Q74-M74</f>
        <v>0</v>
      </c>
    </row>
    <row r="75" spans="2:21" s="749" customFormat="1" ht="14.25" customHeight="1">
      <c r="B75" s="357"/>
      <c r="C75" s="357"/>
      <c r="D75" s="357"/>
      <c r="E75" s="268"/>
      <c r="F75" s="358" t="str">
        <f ca="1">IF($E75="", "", IFERROR(INDEX(OFFSET('Fund Guide'!$B$5,1,MATCH(F$8,OFFSET('Fund Guide'!$B$5,,,,COUNTA('Fund Guide'!68:68)),0)-1,COUNTA('Fund Guide'!$B:$B)-COUNTA('Fund Guide'!$B$2:$B$5)),MATCH($E75,OFFSET('Fund Guide'!$B$5,1,,COUNTA('Fund Guide'!$B:$B)-COUNTA('Fund Guide'!$B$2:$B$5)),0)),"-"))</f>
        <v/>
      </c>
      <c r="G75" s="359" t="str">
        <f ca="1">IF($E75="", "", IFERROR(INDEX(OFFSET('Fund Guide'!$B$5,1,MATCH(G$8,OFFSET('Fund Guide'!$B$5,,,,COUNTA('Fund Guide'!$5:$5)),0)-1,COUNTA('Fund Guide'!$B:$B)-COUNTA('Fund Guide'!$B$2:$B$5)),MATCH($E75,OFFSET('Fund Guide'!$B$5,1,,COUNTA('Fund Guide'!$B:$B)-COUNTA('Fund Guide'!$B$2:$B$5)),0)),
IFERROR(IF(OR(LEFT($E75,3)="NTN",LEFT($E75,3)="LFT"),DATE(_xlfn.NUMBERVALUE(RIGHT(LEFT($E75,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360" t="str">
        <f ca="1">IF($E75="", "", IFERROR(INDEX(OFFSET('Fund Guide'!$B$5,1,MATCH(H$8,OFFSET('Fund Guide'!$B$5,,,,COUNTA('Fund Guide'!#REF!)),0)-1,COUNTA('Fund Guide'!$B:$B)-COUNTA('Fund Guide'!$B$2:$B$5)),MATCH($E75,OFFSET('Fund Guide'!$B$5,1,,COUNTA('Fund Guide'!$B:$B)-COUNTA('Fund Guide'!$B$2:$B$5)),0)),IFERROR(OFFSET('RF &amp; RV Guide'!$E$8,2+MATCH($E75, OFFSET('RF &amp; RV Guide'!$E$8,3,,200), 0),-1+MATCH(H$8, OFFSET('RF &amp; RV Guide'!$E$8,,,,COUNTA('RF &amp; RV Guide'!$8:$8)-COUNTA('RF &amp; RV Guide'!$A$8:$E$8)),0)),"BRL")))</f>
        <v/>
      </c>
      <c r="I75" s="361"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Guide'!$E$8,3,,200), 0),-1+MATCH(I$8, OFFSET('RF &amp; RV Guide'!$E$8,,,,COUNTA('RF &amp; RV Guide'!$8:$8)-COUNTA('RF &amp; RV Guide'!$A$8:$E$8)),0)),IFERROR(IF(FIND("tulo",$E75), 0.25%), "-"))))</f>
        <v/>
      </c>
      <c r="J75" s="362" t="str" cm="1">
        <f t="array" aca="1" ref="J75" ca="1">IF($E75="", "", IFERROR(INDEX(OFFSET('Fund Guide'!$B$5,1,MATCH(J$8,OFFSET('Fund Guide'!$B$5,,,,COUNTA('Fund Guide'!$5:$5)),0)-1,COUNTA('Fund Guide'!$B:$B)-COUNTA('Fund Guide'!$B$2:$B$5)),MATCH($E75,OFFSET('Fund Guide'!$B$5,1,,COUNTA('Fund Guide'!$B:$B)-COUNTA('Fund Guide'!$B$2:$B$5)),0)),
IFERROR(INDEX(OFFSET('RF &amp; RV Guide'!$X$10,1, , 100),MATCH(IF(FIND("(", $E75)&gt;0, LEFT($E75, FIND("(", $E75)-1),), IFERROR(IF(FIND("(", OFFSET('RF &amp; RV Guide'!$E$10,1,,200))&gt;0, LEFT(OFFSET('RF &amp; RV Guide'!$E$10,1,,200), FIND("(", $E75)-1),),"-"),0)),
IFERROR(INDEX(OFFSET('RF &amp; RV Guide'!$X$10,1, , 100),MATCH($E75, OFFSET('RF &amp; RV Guide'!$E$10,1,,200),0)),"-"))))</f>
        <v/>
      </c>
      <c r="K75" s="750" t="str">
        <f ca="1">IF($E75="", "", IFERROR(INDEX(OFFSET('Fund Guide'!#REF!,1,MATCH(K$8,OFFSET('Fund Guide'!#REF!,,,,COUNTA('Fund Guide'!$5:$5)),0)-1,COUNTA('Fund Guide'!$B:$B)-COUNTA('Fund Guide'!$B$2:$B$2)),MATCH($E75,OFFSET('Fund Guide'!#REF!,1,,COUNTA('Fund Guide'!$B:$B)-COUNTA('Fund Guide'!$B$2:$B$2)),0)),
IFERROR(OFFSET('RF &amp; RV Guide'!$E$8,2+MATCH($E75, OFFSET('RF &amp; RV Guide'!$E$8,3,,COUNTA('RF &amp; RV Guide'!$E:$E)-COUNTA('RF &amp; RV Guide'!$E$1:$E$8)), 0),-1+MATCH("Captação", OFFSET('RF &amp; RV Guide'!$E$8,,,,COUNTA('RF &amp; RV Guide'!$8:$8)-COUNTA('RF &amp; RV Guide'!$A$8:$E$8)),0)), "-")))</f>
        <v/>
      </c>
      <c r="M75" s="934"/>
      <c r="N75" s="935" t="str">
        <f>IFERROR(IF(M75="", "", M75/$N$2), 0)</f>
        <v/>
      </c>
      <c r="O75" s="380" t="str">
        <f>IFERROR(IF(N75="", "", N75/N$74),0)</f>
        <v/>
      </c>
      <c r="Q75" s="751" t="str">
        <f>IFERROR(IF(R75="", "", R75*$N$3), 0)</f>
        <v/>
      </c>
      <c r="R75" s="198"/>
      <c r="S75" s="380" t="str">
        <f>IFERROR(IF(R75="", "", R75/R$74),0)</f>
        <v/>
      </c>
      <c r="U75" s="751" t="str">
        <f>IFERROR(ROUND(Q75-M75,2), "")</f>
        <v/>
      </c>
    </row>
    <row r="76" spans="2:21" s="331" customFormat="1" ht="4.5" customHeight="1">
      <c r="B76" s="329"/>
      <c r="C76" s="329"/>
      <c r="D76" s="329"/>
      <c r="E76" s="340"/>
      <c r="F76" s="367"/>
      <c r="G76" s="341"/>
      <c r="H76" s="341"/>
      <c r="I76" s="342"/>
      <c r="J76" s="342"/>
      <c r="K76" s="342"/>
      <c r="M76" s="351"/>
      <c r="Q76" s="351"/>
      <c r="U76" s="351"/>
    </row>
    <row r="77" spans="2:21" s="347" customFormat="1" ht="14.25" customHeight="1">
      <c r="B77" s="343"/>
      <c r="C77" s="343"/>
      <c r="D77" s="343" t="s">
        <v>12</v>
      </c>
      <c r="E77" s="375" t="s">
        <v>613</v>
      </c>
      <c r="F77" s="376"/>
      <c r="G77" s="376"/>
      <c r="H77" s="376"/>
      <c r="I77" s="377"/>
      <c r="J77" s="377"/>
      <c r="K77" s="377"/>
      <c r="M77" s="378">
        <f>IFERROR(IF(N77=0, 0, N77*$N$2),0)</f>
        <v>0</v>
      </c>
      <c r="N77" s="857">
        <f>SUM(N78:N79)</f>
        <v>0</v>
      </c>
      <c r="O77" s="379">
        <f>IF(N77=0, 0, SUM(O78:O79)*N77)</f>
        <v>0</v>
      </c>
      <c r="Q77" s="378">
        <f>IFERROR(IF(R77=0, 0, R77*$N$3),0)</f>
        <v>0</v>
      </c>
      <c r="R77" s="490"/>
      <c r="S77" s="379">
        <f>IF(R77=0, 0, SUM(S78:S79)*R77)</f>
        <v>0</v>
      </c>
      <c r="U77" s="378">
        <f>Q77-M77</f>
        <v>0</v>
      </c>
    </row>
    <row r="78" spans="2:21" s="749" customFormat="1" ht="14.25" customHeight="1">
      <c r="B78" s="357"/>
      <c r="C78" s="357"/>
      <c r="D78" s="357"/>
      <c r="E78" s="268"/>
      <c r="F78" s="358" t="str">
        <f ca="1">IF($E78="", "", IFERROR(INDEX(OFFSET('Fund Guide'!$B$5,1,MATCH(F$8,OFFSET('Fund Guide'!$B$5,,,,COUNTA('Fund Guide'!71:71)),0)-1,COUNTA('Fund Guide'!$B:$B)-COUNTA('Fund Guide'!$B$2:$B$5)),MATCH($E78,OFFSET('Fund Guide'!$B$5,1,,COUNTA('Fund Guide'!$B:$B)-COUNTA('Fund Guide'!$B$2:$B$5)),0)),"-"))</f>
        <v/>
      </c>
      <c r="G78" s="359" t="str">
        <f ca="1">IF($E78="", "", IFERROR(INDEX(OFFSET('Fund Guide'!$B$5,1,MATCH(G$8,OFFSET('Fund Guide'!$B$5,,,,COUNTA('Fund Guide'!$5:$5)),0)-1,COUNTA('Fund Guide'!$B:$B)-COUNTA('Fund Guide'!$B$2:$B$5)),MATCH($E78,OFFSET('Fund Guide'!$B$5,1,,COUNTA('Fund Guide'!$B:$B)-COUNTA('Fund Guide'!$B$2:$B$5)),0)),
IFERROR(IF(OR(LEFT($E78,3)="NTN",LEFT($E78,3)="LFT"),DATE(_xlfn.NUMBERVALUE(RIGHT(LEFT($E78,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360" t="str">
        <f ca="1">IF($E78="", "", IFERROR(INDEX(OFFSET('Fund Guide'!$B$5,1,MATCH(H$8,OFFSET('Fund Guide'!$B$5,,,,COUNTA('Fund Guide'!#REF!)),0)-1,COUNTA('Fund Guide'!$B:$B)-COUNTA('Fund Guide'!$B$2:$B$5)),MATCH($E78,OFFSET('Fund Guide'!$B$5,1,,COUNTA('Fund Guide'!$B:$B)-COUNTA('Fund Guide'!$B$2:$B$5)),0)),IFERROR(OFFSET('RF &amp; RV Guide'!$E$8,2+MATCH($E78, OFFSET('RF &amp; RV Guide'!$E$8,3,,200), 0),-1+MATCH(H$8, OFFSET('RF &amp; RV Guide'!$E$8,,,,COUNTA('RF &amp; RV Guide'!$8:$8)-COUNTA('RF &amp; RV Guide'!$A$8:$E$8)),0)),"BRL")))</f>
        <v/>
      </c>
      <c r="I78" s="361" t="str">
        <f ca="1">IF($E78="", "", IFERROR(INDEX(OFFSET('Fund Guide'!$B$5,1,MATCH("Repasse Taxa Adm. Gestor",OFFSET('Fund Guide'!$B$5,,,,COUNTA('Fund Guide'!$5:$5)),0)-1,COUNTA('Fund Guide'!$B:$B)-COUNTA('Fund Guide'!$B$2:$B$5)),MATCH($E78,OFFSET('Fund Guide'!$B$5,1,,COUNTA('Fund Guide'!$B:$B)-COUNTA('Fund Guide'!$B$2:$B$5)),0)),
IFERROR(OFFSET('RF &amp; RV Guide'!$E$8,2+MATCH($E78, OFFSET('RF &amp; RV Guide'!$E$8,3,,200), 0),-1+MATCH(I$8, OFFSET('RF &amp; RV Guide'!$E$8,,,,COUNTA('RF &amp; RV Guide'!$8:$8)-COUNTA('RF &amp; RV Guide'!$A$8:$E$8)),0)),IFERROR(IF(FIND("tulo",$E78), 0.25%), "-"))))</f>
        <v/>
      </c>
      <c r="J78" s="362" t="str" cm="1">
        <f t="array" aca="1" ref="J78" ca="1">IF($E78="", "", IFERROR(INDEX(OFFSET('Fund Guide'!$B$5,1,MATCH(J$8,OFFSET('Fund Guide'!$B$5,,,,COUNTA('Fund Guide'!$5:$5)),0)-1,COUNTA('Fund Guide'!$B:$B)-COUNTA('Fund Guide'!$B$2:$B$5)),MATCH($E78,OFFSET('Fund Guide'!$B$5,1,,COUNTA('Fund Guide'!$B:$B)-COUNTA('Fund Guide'!$B$2:$B$5)),0)),
IFERROR(INDEX(OFFSET('RF &amp; RV Guide'!$X$10,1, , 100),MATCH(IF(FIND("(", $E78)&gt;0, LEFT($E78, FIND("(", $E78)-1),), IFERROR(IF(FIND("(", OFFSET('RF &amp; RV Guide'!$E$10,1,,200))&gt;0, LEFT(OFFSET('RF &amp; RV Guide'!$E$10,1,,200), FIND("(", $E78)-1),),"-"),0)),
IFERROR(INDEX(OFFSET('RF &amp; RV Guide'!$X$10,1, , 100),MATCH($E78, OFFSET('RF &amp; RV Guide'!$E$10,1,,200),0)),"-"))))</f>
        <v/>
      </c>
      <c r="K78" s="750" t="str">
        <f ca="1">IF($E78="", "", IFERROR(INDEX(OFFSET('Fund Guide'!#REF!,1,MATCH(K$8,OFFSET('Fund Guide'!#REF!,,,,COUNTA('Fund Guide'!$5:$5)),0)-1,COUNTA('Fund Guide'!$B:$B)-COUNTA('Fund Guide'!$B$2:$B$2)),MATCH($E78,OFFSET('Fund Guide'!#REF!,1,,COUNTA('Fund Guide'!$B:$B)-COUNTA('Fund Guide'!$B$2:$B$2)),0)),
IFERROR(OFFSET('RF &amp; RV Guide'!$E$8,2+MATCH($E78, OFFSET('RF &amp; RV Guide'!$E$8,3,,COUNTA('RF &amp; RV Guide'!$E:$E)-COUNTA('RF &amp; RV Guide'!$E$1:$E$8)), 0),-1+MATCH("Captação", OFFSET('RF &amp; RV Guide'!$E$8,,,,COUNTA('RF &amp; RV Guide'!$8:$8)-COUNTA('RF &amp; RV Guide'!$A$8:$E$8)),0)), "-")))</f>
        <v/>
      </c>
      <c r="M78" s="934"/>
      <c r="N78" s="935" t="str">
        <f>IFERROR(IF(M78="", "", M78/$N$2), 0)</f>
        <v/>
      </c>
      <c r="O78" s="380" t="str">
        <f>IFERROR(IF(N78="", "", N78/N$77),0)</f>
        <v/>
      </c>
      <c r="Q78" s="751" t="str">
        <f>IFERROR(IF(R78="", "", R78*$N$3), 0)</f>
        <v/>
      </c>
      <c r="R78" s="198"/>
      <c r="S78" s="380" t="str">
        <f>IFERROR(IF(R78="", "", R78/R$77),0)</f>
        <v/>
      </c>
      <c r="U78" s="751" t="str">
        <f>IFERROR(ROUND(Q78-M78,2), "")</f>
        <v/>
      </c>
    </row>
    <row r="79" spans="2:21" s="331" customFormat="1" ht="4.5" customHeight="1">
      <c r="B79" s="329"/>
      <c r="C79" s="329"/>
      <c r="D79" s="329"/>
      <c r="E79" s="340"/>
      <c r="F79" s="367"/>
      <c r="G79" s="341"/>
      <c r="H79" s="341"/>
      <c r="I79" s="342"/>
      <c r="J79" s="342"/>
      <c r="K79" s="342"/>
      <c r="M79" s="351"/>
      <c r="Q79" s="351"/>
      <c r="U79" s="351"/>
    </row>
    <row r="80" spans="2:21" s="347" customFormat="1" ht="14.25" customHeight="1">
      <c r="B80" s="343"/>
      <c r="C80" s="343"/>
      <c r="D80" s="343" t="s">
        <v>12</v>
      </c>
      <c r="E80" s="375" t="s">
        <v>611</v>
      </c>
      <c r="F80" s="376"/>
      <c r="G80" s="376"/>
      <c r="H80" s="376"/>
      <c r="I80" s="377"/>
      <c r="J80" s="377"/>
      <c r="K80" s="377"/>
      <c r="M80" s="378">
        <f>IFERROR(IF(N80=0, 0, N80*$N$2),0)</f>
        <v>0</v>
      </c>
      <c r="N80" s="857">
        <f>SUM(N81:N82)</f>
        <v>0</v>
      </c>
      <c r="O80" s="379">
        <f>IF(N80=0, 0, SUM(O81:O82)*N80)</f>
        <v>0</v>
      </c>
      <c r="Q80" s="378">
        <f>IFERROR(IF(R80=0, 0, R80*$N$3),0)</f>
        <v>0</v>
      </c>
      <c r="R80" s="490"/>
      <c r="S80" s="379">
        <f>IF(R80=0, 0, SUM(S81:S82)*R80)</f>
        <v>0</v>
      </c>
      <c r="U80" s="378">
        <f>Q80-M80</f>
        <v>0</v>
      </c>
    </row>
    <row r="81" spans="2:21" s="749" customFormat="1" ht="14.25" customHeight="1">
      <c r="B81" s="357"/>
      <c r="C81" s="357"/>
      <c r="D81" s="357"/>
      <c r="E81" s="268"/>
      <c r="F81" s="358" t="str">
        <f ca="1">IF($E81="", "", IFERROR(INDEX(OFFSET('Fund Guide'!$B$5,1,MATCH(F$8,OFFSET('Fund Guide'!$B$5,,,,COUNTA('Fund Guide'!74:74)),0)-1,COUNTA('Fund Guide'!$B:$B)-COUNTA('Fund Guide'!$B$2:$B$5)),MATCH($E81,OFFSET('Fund Guide'!$B$5,1,,COUNTA('Fund Guide'!$B:$B)-COUNTA('Fund Guide'!$B$2:$B$5)),0)),"-"))</f>
        <v/>
      </c>
      <c r="G81" s="359" t="str">
        <f ca="1">IF($E81="", "", IFERROR(INDEX(OFFSET('Fund Guide'!$B$5,1,MATCH(G$8,OFFSET('Fund Guide'!$B$5,,,,COUNTA('Fund Guide'!$5:$5)),0)-1,COUNTA('Fund Guide'!$B:$B)-COUNTA('Fund Guide'!$B$2:$B$5)),MATCH($E81,OFFSET('Fund Guide'!$B$5,1,,COUNTA('Fund Guide'!$B:$B)-COUNTA('Fund Guide'!$B$2:$B$5)),0)),
IFERROR(IF(OR(LEFT($E81,3)="NTN",LEFT($E81,3)="LFT"),DATE(_xlfn.NUMBERVALUE(RIGHT(LEFT($E81,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360" t="str">
        <f ca="1">IF($E81="", "", IFERROR(INDEX(OFFSET('Fund Guide'!$B$5,1,MATCH(H$8,OFFSET('Fund Guide'!$B$5,,,,COUNTA('Fund Guide'!#REF!)),0)-1,COUNTA('Fund Guide'!$B:$B)-COUNTA('Fund Guide'!$B$2:$B$5)),MATCH($E81,OFFSET('Fund Guide'!$B$5,1,,COUNTA('Fund Guide'!$B:$B)-COUNTA('Fund Guide'!$B$2:$B$5)),0)),IFERROR(OFFSET('RF &amp; RV Guide'!$E$8,2+MATCH($E81, OFFSET('RF &amp; RV Guide'!$E$8,3,,200), 0),-1+MATCH(H$8, OFFSET('RF &amp; RV Guide'!$E$8,,,,COUNTA('RF &amp; RV Guide'!$8:$8)-COUNTA('RF &amp; RV Guide'!$A$8:$E$8)),0)),"BRL")))</f>
        <v/>
      </c>
      <c r="I81" s="361"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Guide'!$E$8,3,,200), 0),-1+MATCH(I$8, OFFSET('RF &amp; RV Guide'!$E$8,,,,COUNTA('RF &amp; RV Guide'!$8:$8)-COUNTA('RF &amp; RV Guide'!$A$8:$E$8)),0)),IFERROR(IF(FIND("tulo",$E81), 0.25%), "-"))))</f>
        <v/>
      </c>
      <c r="J81" s="362" t="str" cm="1">
        <f t="array" aca="1" ref="J81" ca="1">IF($E81="", "", IFERROR(INDEX(OFFSET('Fund Guide'!$B$5,1,MATCH(J$8,OFFSET('Fund Guide'!$B$5,,,,COUNTA('Fund Guide'!$5:$5)),0)-1,COUNTA('Fund Guide'!$B:$B)-COUNTA('Fund Guide'!$B$2:$B$5)),MATCH($E81,OFFSET('Fund Guide'!$B$5,1,,COUNTA('Fund Guide'!$B:$B)-COUNTA('Fund Guide'!$B$2:$B$5)),0)),
IFERROR(INDEX(OFFSET('RF &amp; RV Guide'!$X$10,1, , 100),MATCH(IF(FIND("(", $E81)&gt;0, LEFT($E81, FIND("(", $E81)-1),), IFERROR(IF(FIND("(", OFFSET('RF &amp; RV Guide'!$E$10,1,,200))&gt;0, LEFT(OFFSET('RF &amp; RV Guide'!$E$10,1,,200), FIND("(", $E81)-1),),"-"),0)),
IFERROR(INDEX(OFFSET('RF &amp; RV Guide'!$X$10,1, , 100),MATCH($E81, OFFSET('RF &amp; RV Guide'!$E$10,1,,200),0)),"-"))))</f>
        <v/>
      </c>
      <c r="K81" s="750" t="str">
        <f ca="1">IF($E81="", "", IFERROR(INDEX(OFFSET('Fund Guide'!#REF!,1,MATCH(K$8,OFFSET('Fund Guide'!#REF!,,,,COUNTA('Fund Guide'!$5:$5)),0)-1,COUNTA('Fund Guide'!$B:$B)-COUNTA('Fund Guide'!$B$2:$B$2)),MATCH($E81,OFFSET('Fund Guide'!#REF!,1,,COUNTA('Fund Guide'!$B:$B)-COUNTA('Fund Guide'!$B$2:$B$2)),0)),
IFERROR(OFFSET('RF &amp; RV Guide'!$E$8,2+MATCH($E81, OFFSET('RF &amp; RV Guide'!$E$8,3,,COUNTA('RF &amp; RV Guide'!$E:$E)-COUNTA('RF &amp; RV Guide'!$E$1:$E$8)), 0),-1+MATCH("Captação", OFFSET('RF &amp; RV Guide'!$E$8,,,,COUNTA('RF &amp; RV Guide'!$8:$8)-COUNTA('RF &amp; RV Guide'!$A$8:$E$8)),0)), "-")))</f>
        <v/>
      </c>
      <c r="M81" s="934"/>
      <c r="N81" s="935" t="str">
        <f>IFERROR(IF(M81="", "", M81/$N$2), 0)</f>
        <v/>
      </c>
      <c r="O81" s="380" t="str">
        <f>IFERROR(IF(N81="", "", N81/N$80),0)</f>
        <v/>
      </c>
      <c r="Q81" s="751" t="str">
        <f>IFERROR(IF(R81="", "", R81*$N$3), 0)</f>
        <v/>
      </c>
      <c r="R81" s="198"/>
      <c r="S81" s="380" t="str">
        <f>IFERROR(IF(R81="", "", R81/R$80),0)</f>
        <v/>
      </c>
      <c r="U81" s="751" t="str">
        <f>IFERROR(ROUND(Q81-M81,2), "")</f>
        <v/>
      </c>
    </row>
    <row r="82" spans="2:21" s="331" customFormat="1" ht="4.5" customHeight="1">
      <c r="B82" s="329"/>
      <c r="C82" s="329"/>
      <c r="D82" s="329"/>
      <c r="E82" s="340"/>
      <c r="F82" s="367"/>
      <c r="G82" s="341"/>
      <c r="H82" s="341"/>
      <c r="I82" s="342"/>
      <c r="J82" s="342"/>
      <c r="K82" s="342"/>
      <c r="M82" s="351"/>
      <c r="Q82" s="351"/>
      <c r="U82" s="351"/>
    </row>
    <row r="83" spans="2:21" s="347" customFormat="1" ht="14.25" customHeight="1">
      <c r="B83" s="343"/>
      <c r="C83" s="343"/>
      <c r="D83" s="343" t="s">
        <v>12</v>
      </c>
      <c r="E83" s="375" t="s">
        <v>696</v>
      </c>
      <c r="F83" s="376"/>
      <c r="G83" s="376"/>
      <c r="H83" s="376"/>
      <c r="I83" s="377"/>
      <c r="J83" s="377"/>
      <c r="K83" s="377"/>
      <c r="M83" s="378">
        <f>IFERROR(IF(N83=0, 0, N83*$N$2),0)</f>
        <v>0</v>
      </c>
      <c r="N83" s="857">
        <f>SUM(N84:N85)</f>
        <v>0</v>
      </c>
      <c r="O83" s="379">
        <f>IF(N83=0, 0, SUM(O84:O85)*N83)</f>
        <v>0</v>
      </c>
      <c r="Q83" s="378">
        <f>IFERROR(IF(R83=0, 0, R83*$N$3),0)</f>
        <v>0</v>
      </c>
      <c r="R83" s="490"/>
      <c r="S83" s="379">
        <f>IF(R83=0, 0, SUM(S84:S85)*R83)</f>
        <v>0</v>
      </c>
      <c r="U83" s="378">
        <f>Q83-M83</f>
        <v>0</v>
      </c>
    </row>
    <row r="84" spans="2:21" s="749" customFormat="1" ht="14.25" customHeight="1">
      <c r="B84" s="357"/>
      <c r="C84" s="357"/>
      <c r="D84" s="357"/>
      <c r="E84" s="268"/>
      <c r="F84" s="358" t="str">
        <f ca="1">IF($E84="", "", IFERROR(INDEX(OFFSET('Fund Guide'!$B$5,1,MATCH(F$8,OFFSET('Fund Guide'!$B$5,,,,COUNTA('Fund Guide'!77:77)),0)-1,COUNTA('Fund Guide'!$B:$B)-COUNTA('Fund Guide'!$B$2:$B$5)),MATCH($E84,OFFSET('Fund Guide'!$B$5,1,,COUNTA('Fund Guide'!$B:$B)-COUNTA('Fund Guide'!$B$2:$B$5)),0)),"-"))</f>
        <v/>
      </c>
      <c r="G84" s="359" t="str">
        <f ca="1">IF($E84="", "", IFERROR(INDEX(OFFSET('Fund Guide'!$B$5,1,MATCH(G$8,OFFSET('Fund Guide'!$B$5,,,,COUNTA('Fund Guide'!$5:$5)),0)-1,COUNTA('Fund Guide'!$B:$B)-COUNTA('Fund Guide'!$B$2:$B$5)),MATCH($E84,OFFSET('Fund Guide'!$B$5,1,,COUNTA('Fund Guide'!$B:$B)-COUNTA('Fund Guide'!$B$2:$B$5)),0)),
IFERROR(IF(OR(LEFT($E84,3)="NTN",LEFT($E84,3)="LFT"),DATE(_xlfn.NUMBERVALUE(RIGHT(LEFT($E84,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360" t="str">
        <f ca="1">IF($E84="", "", IFERROR(INDEX(OFFSET('Fund Guide'!$B$5,1,MATCH(H$8,OFFSET('Fund Guide'!$B$5,,,,COUNTA('Fund Guide'!#REF!)),0)-1,COUNTA('Fund Guide'!$B:$B)-COUNTA('Fund Guide'!$B$2:$B$5)),MATCH($E84,OFFSET('Fund Guide'!$B$5,1,,COUNTA('Fund Guide'!$B:$B)-COUNTA('Fund Guide'!$B$2:$B$5)),0)),IFERROR(OFFSET('RF &amp; RV Guide'!$E$8,2+MATCH($E84, OFFSET('RF &amp; RV Guide'!$E$8,3,,200), 0),-1+MATCH(H$8, OFFSET('RF &amp; RV Guide'!$E$8,,,,COUNTA('RF &amp; RV Guide'!$8:$8)-COUNTA('RF &amp; RV Guide'!$A$8:$E$8)),0)),"BRL")))</f>
        <v/>
      </c>
      <c r="I84" s="361" t="str">
        <f ca="1">IF($E84="", "", IFERROR(INDEX(OFFSET('Fund Guide'!$B$5,1,MATCH("Repasse Taxa Adm. Gestor",OFFSET('Fund Guide'!$B$5,,,,COUNTA('Fund Guide'!$5:$5)),0)-1,COUNTA('Fund Guide'!$B:$B)-COUNTA('Fund Guide'!$B$2:$B$5)),MATCH($E84,OFFSET('Fund Guide'!$B$5,1,,COUNTA('Fund Guide'!$B:$B)-COUNTA('Fund Guide'!$B$2:$B$5)),0)),
IFERROR(OFFSET('RF &amp; RV Guide'!$E$8,2+MATCH($E84, OFFSET('RF &amp; RV Guide'!$E$8,3,,200), 0),-1+MATCH(I$8, OFFSET('RF &amp; RV Guide'!$E$8,,,,COUNTA('RF &amp; RV Guide'!$8:$8)-COUNTA('RF &amp; RV Guide'!$A$8:$E$8)),0)),IFERROR(IF(FIND("tulo",$E84), 0.25%), "-"))))</f>
        <v/>
      </c>
      <c r="J84" s="362" t="str" cm="1">
        <f t="array" aca="1" ref="J84" ca="1">IF($E84="", "", IFERROR(INDEX(OFFSET('Fund Guide'!$B$5,1,MATCH(J$8,OFFSET('Fund Guide'!$B$5,,,,COUNTA('Fund Guide'!$5:$5)),0)-1,COUNTA('Fund Guide'!$B:$B)-COUNTA('Fund Guide'!$B$2:$B$5)),MATCH($E84,OFFSET('Fund Guide'!$B$5,1,,COUNTA('Fund Guide'!$B:$B)-COUNTA('Fund Guide'!$B$2:$B$5)),0)),
IFERROR(INDEX(OFFSET('RF &amp; RV Guide'!$X$10,1, , 100),MATCH(IF(FIND("(", $E84)&gt;0, LEFT($E84, FIND("(", $E84)-1),), IFERROR(IF(FIND("(", OFFSET('RF &amp; RV Guide'!$E$10,1,,200))&gt;0, LEFT(OFFSET('RF &amp; RV Guide'!$E$10,1,,200), FIND("(", $E84)-1),),"-"),0)),
IFERROR(INDEX(OFFSET('RF &amp; RV Guide'!$X$10,1, , 100),MATCH($E84, OFFSET('RF &amp; RV Guide'!$E$10,1,,200),0)),"-"))))</f>
        <v/>
      </c>
      <c r="K84" s="750" t="str">
        <f ca="1">IF($E84="", "", IFERROR(INDEX(OFFSET('Fund Guide'!#REF!,1,MATCH(K$8,OFFSET('Fund Guide'!#REF!,,,,COUNTA('Fund Guide'!$5:$5)),0)-1,COUNTA('Fund Guide'!$B:$B)-COUNTA('Fund Guide'!$B$2:$B$2)),MATCH($E84,OFFSET('Fund Guide'!#REF!,1,,COUNTA('Fund Guide'!$B:$B)-COUNTA('Fund Guide'!$B$2:$B$2)),0)),
IFERROR(OFFSET('RF &amp; RV Guide'!$E$8,2+MATCH($E84, OFFSET('RF &amp; RV Guide'!$E$8,3,,COUNTA('RF &amp; RV Guide'!$E:$E)-COUNTA('RF &amp; RV Guide'!$E$1:$E$8)), 0),-1+MATCH("Captação", OFFSET('RF &amp; RV Guide'!$E$8,,,,COUNTA('RF &amp; RV Guide'!$8:$8)-COUNTA('RF &amp; RV Guide'!$A$8:$E$8)),0)), "-")))</f>
        <v/>
      </c>
      <c r="M84" s="934"/>
      <c r="N84" s="935" t="str">
        <f>IFERROR(IF(M84="", "", M84/$N$2), 0)</f>
        <v/>
      </c>
      <c r="O84" s="380" t="str">
        <f>IFERROR(IF(N84="", "", N84/N$83),0)</f>
        <v/>
      </c>
      <c r="Q84" s="751" t="str">
        <f>IFERROR(IF(R84="", "", R84*$N$3), 0)</f>
        <v/>
      </c>
      <c r="R84" s="198"/>
      <c r="S84" s="380" t="str">
        <f>IFERROR(IF(R84="", "", R84/R$83),0)</f>
        <v/>
      </c>
      <c r="U84" s="751" t="str">
        <f>IFERROR(ROUND(Q84-M84,2), "")</f>
        <v/>
      </c>
    </row>
    <row r="85" spans="2:21" s="331" customFormat="1" ht="4.5" customHeight="1">
      <c r="B85" s="329"/>
      <c r="C85" s="329"/>
      <c r="D85" s="329"/>
      <c r="F85" s="387"/>
      <c r="O85" s="331" t="str">
        <f>IFERROR(IF(N85="", "", N85/N$83),0)</f>
        <v/>
      </c>
      <c r="S85" s="331" t="str">
        <f>IFERROR(IF(R85="", "", R85/R$83),0)</f>
        <v/>
      </c>
    </row>
    <row r="86" spans="2:21" s="347" customFormat="1" ht="18" customHeight="1">
      <c r="B86" s="343" t="s">
        <v>1343</v>
      </c>
      <c r="C86" s="343" t="s">
        <v>1343</v>
      </c>
      <c r="D86" s="343" t="s">
        <v>1343</v>
      </c>
      <c r="E86" s="388" t="s">
        <v>1407</v>
      </c>
      <c r="F86" s="350"/>
      <c r="G86" s="350"/>
      <c r="H86" s="349">
        <f ca="1">SUMIF($H$13:$H$85,"="&amp;"USD", $N$13:$N$85)</f>
        <v>0</v>
      </c>
      <c r="I86" s="349">
        <f ca="1">SUMPRODUCT($I$13:$I$85,$N$13:$N$85)</f>
        <v>0</v>
      </c>
      <c r="J86" s="350"/>
      <c r="K86" s="350"/>
      <c r="M86" s="389">
        <f>M56+M40+M10</f>
        <v>0</v>
      </c>
      <c r="N86" s="350">
        <f>ROUND(N56+N40+N10,5)</f>
        <v>0</v>
      </c>
      <c r="O86" s="350">
        <f>ROUND(O56+O40+O10,6)</f>
        <v>0</v>
      </c>
      <c r="Q86" s="389">
        <f>Q56+Q40+Q10</f>
        <v>0</v>
      </c>
      <c r="R86" s="350">
        <f>ROUND(R56+R40+R10,5)</f>
        <v>0</v>
      </c>
      <c r="S86" s="350">
        <f>ROUND(S56+S40+S10,6)</f>
        <v>0</v>
      </c>
      <c r="U86" s="389">
        <f>U56+U40+U10</f>
        <v>0</v>
      </c>
    </row>
    <row r="87" spans="2:21" s="61" customFormat="1" ht="18.75" customHeight="1">
      <c r="B87" s="390"/>
      <c r="C87" s="390"/>
      <c r="D87" s="391"/>
      <c r="F87" s="392"/>
      <c r="G87" s="392"/>
      <c r="M87" s="392"/>
      <c r="N87" s="393"/>
      <c r="O87" s="392"/>
      <c r="Q87" s="392"/>
      <c r="S87" s="392"/>
      <c r="U87" s="392"/>
    </row>
    <row r="88" spans="2:21" s="61" customFormat="1" ht="18.75" customHeight="1">
      <c r="B88" s="390"/>
      <c r="C88" s="390"/>
      <c r="D88" s="391"/>
      <c r="F88" s="392"/>
      <c r="G88" s="392"/>
      <c r="M88" s="392"/>
      <c r="N88" s="393"/>
      <c r="O88" s="392"/>
      <c r="Q88" s="392"/>
      <c r="S88" s="392"/>
      <c r="U88" s="392"/>
    </row>
    <row r="89" spans="2:21" s="61" customFormat="1" ht="18.75" customHeight="1">
      <c r="B89" s="390"/>
      <c r="C89" s="390"/>
      <c r="D89" s="391"/>
      <c r="F89" s="392"/>
      <c r="G89" s="392"/>
      <c r="M89" s="392"/>
      <c r="N89" s="393"/>
      <c r="O89" s="392"/>
      <c r="Q89" s="392"/>
      <c r="S89" s="392"/>
      <c r="U89" s="392"/>
    </row>
    <row r="90" spans="2:21" s="331" customFormat="1" ht="15.75">
      <c r="B90" s="329"/>
      <c r="C90" s="329"/>
      <c r="D90" s="329"/>
      <c r="E90" s="340"/>
      <c r="F90" s="341"/>
      <c r="G90" s="341"/>
      <c r="H90" s="341"/>
      <c r="I90" s="342"/>
      <c r="M90" s="394"/>
      <c r="N90" s="395"/>
      <c r="O90" s="394"/>
      <c r="Q90" s="394"/>
      <c r="S90" s="394"/>
      <c r="U90" s="394"/>
    </row>
  </sheetData>
  <mergeCells count="11">
    <mergeCell ref="U3:W3"/>
    <mergeCell ref="N4:N5"/>
    <mergeCell ref="R4:R5"/>
    <mergeCell ref="U4:W4"/>
    <mergeCell ref="N3:O3"/>
    <mergeCell ref="F6:J6"/>
    <mergeCell ref="M6:O6"/>
    <mergeCell ref="Q6:S6"/>
    <mergeCell ref="E2:E4"/>
    <mergeCell ref="N2:O2"/>
    <mergeCell ref="R3:S3"/>
  </mergeCells>
  <conditionalFormatting sqref="O10 O42 O56 O69 O40 O58 O45 O26 O15 O12 O17 O20 O23 O31 O34 O47 O50 O53 O60 O63 O66 O71 O74 O77 O80 O83 S10 S42 S56 S69 S40 S58 S45 S26 S15 S12 S17 S20 S23 S31 S34 S47 S50 S53 S60 S63 S66 S71 S74 S77 S80 S83">
    <cfRule type="expression" dxfId="1197" priority="21">
      <formula>ROUND(O10,4)&lt;&gt;ROUND(N10,4)</formula>
    </cfRule>
  </conditionalFormatting>
  <conditionalFormatting sqref="K13">
    <cfRule type="expression" dxfId="1196" priority="20">
      <formula>$K13="Não"</formula>
    </cfRule>
  </conditionalFormatting>
  <conditionalFormatting sqref="U4">
    <cfRule type="expression" dxfId="1195" priority="23">
      <formula>$U$4&lt;&gt;""</formula>
    </cfRule>
  </conditionalFormatting>
  <conditionalFormatting sqref="U3">
    <cfRule type="expression" dxfId="1194" priority="24">
      <formula>$U$3&lt;&gt;""</formula>
    </cfRule>
  </conditionalFormatting>
  <conditionalFormatting sqref="N2:O2">
    <cfRule type="expression" dxfId="1193" priority="17">
      <formula>$O$1="USD"</formula>
    </cfRule>
  </conditionalFormatting>
  <conditionalFormatting sqref="S86">
    <cfRule type="expression" dxfId="1192" priority="13">
      <formula>AND(ROUND($R$86,3)&lt;&gt;1,$R$86&lt;&gt;0)</formula>
    </cfRule>
  </conditionalFormatting>
  <conditionalFormatting sqref="U18 U24 U35 U51 U67 U72 U75 U78 U81 U84 U38 U32 U64 U54 U13 U43 U48 U61 U21 U29">
    <cfRule type="cellIs" dxfId="1191" priority="8" operator="lessThan">
      <formula>0</formula>
    </cfRule>
    <cfRule type="cellIs" dxfId="1190" priority="9" operator="greaterThan">
      <formula>0</formula>
    </cfRule>
  </conditionalFormatting>
  <conditionalFormatting sqref="O37 S37">
    <cfRule type="expression" dxfId="1189" priority="7">
      <formula>ROUND(O37,4)&lt;&gt;ROUND(N37,4)</formula>
    </cfRule>
  </conditionalFormatting>
  <conditionalFormatting sqref="K38">
    <cfRule type="expression" dxfId="1188" priority="6">
      <formula>$K38="Não"</formula>
    </cfRule>
  </conditionalFormatting>
  <conditionalFormatting sqref="M18 M24 M35 M51 M67 M75 M78 M81 M84 M72 M38 M32 M54 M64 M13 M21 M29 M43 M48 M61">
    <cfRule type="expression" dxfId="1187" priority="11648">
      <formula>AND(OR($E13&lt;&gt;"", $R13 &lt;&gt;""), $M13="")</formula>
    </cfRule>
  </conditionalFormatting>
  <conditionalFormatting sqref="E18 E24 E35 E51 E67 E75 E78 E81 E84 E72 E38 E32 E54 E64 E13 E21 E29 E43 E48 E61">
    <cfRule type="expression" dxfId="1186" priority="11668">
      <formula>AND(OR($M13 &lt;&gt;"", $R13 &lt;&gt;""), $E13="")</formula>
    </cfRule>
  </conditionalFormatting>
  <conditionalFormatting sqref="R18 R24 R35 R51 R67 R75 R78 R81 R84 R72 R38 R32 R54 R64 R13 R21 R29 R43 R48 R61">
    <cfRule type="expression" dxfId="1185" priority="11715">
      <formula>AND(OR($E13&lt;&gt;"", $M13 &lt;&gt;""), $R13="")</formula>
    </cfRule>
  </conditionalFormatting>
  <conditionalFormatting sqref="N3:O3">
    <cfRule type="expression" dxfId="1184" priority="1">
      <formula>$O$1="USD"</formula>
    </cfRule>
  </conditionalFormatting>
  <conditionalFormatting sqref="G5:I12 G14:I17 G19:I20 G22:I23 G25:I28 G30:I31 G33:I34 G36:I37 G39:I42">
    <cfRule type="expression" dxfId="1183" priority="15433">
      <formula>$N$86=0</formula>
    </cfRule>
  </conditionalFormatting>
  <dataValidations count="22">
    <dataValidation type="list" allowBlank="1" showInputMessage="1" sqref="E38" xr:uid="{13DC2E7E-D145-45F7-AEB6-86D5391C4316}">
      <formula1>Internacional</formula1>
    </dataValidation>
    <dataValidation type="list" allowBlank="1" showInputMessage="1" showErrorMessage="1" sqref="P3 R3:T3" xr:uid="{FC213041-FEA5-4180-9685-4FC681EE6489}">
      <formula1>strategies</formula1>
    </dataValidation>
    <dataValidation type="list" allowBlank="1" showInputMessage="1" sqref="E24" xr:uid="{3CFF80E1-4520-407C-B3E5-7C459637D407}">
      <formula1>Inflação_Longa</formula1>
    </dataValidation>
    <dataValidation type="list" allowBlank="1" showInputMessage="1" sqref="E29" xr:uid="{B09195AC-2253-43DA-BD8B-7C511CDB8361}">
      <formula1>Pré_Curta</formula1>
    </dataValidation>
    <dataValidation type="list" allowBlank="1" showInputMessage="1" sqref="E32" xr:uid="{2FF7524B-E1F1-4264-B8D5-5768B1E533FD}">
      <formula1>Pré_Média</formula1>
    </dataValidation>
    <dataValidation type="list" allowBlank="1" showInputMessage="1" sqref="E35" xr:uid="{05ADD56D-7DDA-41E3-BB3E-E74AD4345D09}">
      <formula1>Pré_Longa</formula1>
    </dataValidation>
    <dataValidation type="list" allowBlank="1" showInputMessage="1" sqref="E48" xr:uid="{877E4CF8-7DA3-4C46-AB3A-845BCE6A335F}">
      <formula1>Quant</formula1>
    </dataValidation>
    <dataValidation type="list" allowBlank="1" showInputMessage="1" sqref="E51" xr:uid="{D9360E5E-9FCA-43FB-97FA-50E6E2C04745}">
      <formula1>Long_Short</formula1>
    </dataValidation>
    <dataValidation type="list" allowBlank="1" showInputMessage="1" sqref="E61" xr:uid="{DCAF7F74-E935-417F-AADE-9B308D4D2B58}">
      <formula1>Long_Only</formula1>
    </dataValidation>
    <dataValidation type="list" allowBlank="1" showInputMessage="1" sqref="E64" xr:uid="{6B597A6E-48B9-4C9E-A28D-8CFE5441C7FB}">
      <formula1>Long_Bias</formula1>
    </dataValidation>
    <dataValidation type="list" allowBlank="1" showInputMessage="1" sqref="E67" xr:uid="{7AFB239B-620B-4692-B418-756D1BAEF246}">
      <formula1>Alternativos</formula1>
    </dataValidation>
    <dataValidation type="list" allowBlank="1" showInputMessage="1" sqref="E72" xr:uid="{12DD67FC-6F23-44BF-925E-7E4FBD1C48DE}">
      <formula1>EUA</formula1>
    </dataValidation>
    <dataValidation type="list" allowBlank="1" showInputMessage="1" sqref="E75" xr:uid="{E11AF714-F59D-4A3D-A681-2BB56EF28A29}">
      <formula1>China</formula1>
    </dataValidation>
    <dataValidation type="list" allowBlank="1" showInputMessage="1" sqref="E78" xr:uid="{5BF7BC43-4A2A-4080-96D5-48EA5B4EB8CA}">
      <formula1>Europa</formula1>
    </dataValidation>
    <dataValidation type="list" allowBlank="1" showInputMessage="1" sqref="E81" xr:uid="{FE40F13F-61AE-4478-94F8-CCF0820D73CB}">
      <formula1>Global</formula1>
    </dataValidation>
    <dataValidation type="list" allowBlank="1" showInputMessage="1" sqref="E18" xr:uid="{547BE3AE-590B-4342-BC09-A0A1BEF0975D}">
      <formula1>Inflação_Curta</formula1>
    </dataValidation>
    <dataValidation type="list" allowBlank="1" showInputMessage="1" showErrorMessage="1" sqref="K3" xr:uid="{8EE7CC24-0757-48FA-B9CF-19CFAD75FC13}">
      <formula1>"Perfil 1,Perfil 2,Perfil 3,Perfil 4,Perfil 5"</formula1>
    </dataValidation>
    <dataValidation type="list" allowBlank="1" showInputMessage="1" sqref="E21" xr:uid="{373BE8BA-DBE1-4CBB-AEE8-EDC8476B39CD}">
      <formula1>Inflação_Média</formula1>
    </dataValidation>
    <dataValidation type="list" allowBlank="1" showInputMessage="1" sqref="E54" xr:uid="{F50C2E61-2E6B-4216-B126-302ADB859789}">
      <formula1>Multiestratégia</formula1>
    </dataValidation>
    <dataValidation type="list" allowBlank="1" showInputMessage="1" sqref="E13" xr:uid="{44BEF0AC-316C-4F8B-89A0-EB26A8F02591}">
      <formula1>Pós_fixado</formula1>
    </dataValidation>
    <dataValidation type="list" allowBlank="1" showInputMessage="1" sqref="E43" xr:uid="{EF263F66-ABE7-4FC5-9499-5AFCFC5E4D7A}">
      <formula1>Macro</formula1>
    </dataValidation>
    <dataValidation type="list" allowBlank="1" showInputMessage="1" sqref="E84" xr:uid="{8680A9F1-85D0-4CCA-93C4-873E368732CE}">
      <formula1>EM</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add_linha_R">
                <anchor moveWithCells="1" sizeWithCells="1">
                  <from>
                    <xdr:col>16</xdr:col>
                    <xdr:colOff>1123950</xdr:colOff>
                    <xdr:row>0</xdr:row>
                    <xdr:rowOff>133350</xdr:rowOff>
                  </from>
                  <to>
                    <xdr:col>19</xdr:col>
                    <xdr:colOff>19050</xdr:colOff>
                    <xdr:row>1</xdr:row>
                    <xdr:rowOff>161925</xdr:rowOff>
                  </to>
                </anchor>
              </controlPr>
            </control>
          </mc:Choice>
        </mc:AlternateContent>
        <mc:AlternateContent xmlns:mc="http://schemas.openxmlformats.org/markup-compatibility/2006">
          <mc:Choice Requires="x14">
            <control shapeId="37890" r:id="rId5" name="Button 2">
              <controlPr defaultSize="0" print="0" autoFill="0" autoPict="0" macro="[0]!limpa_rebalanceamento">
                <anchor moveWithCells="1" sizeWithCells="1">
                  <from>
                    <xdr:col>9</xdr:col>
                    <xdr:colOff>238125</xdr:colOff>
                    <xdr:row>0</xdr:row>
                    <xdr:rowOff>95250</xdr:rowOff>
                  </from>
                  <to>
                    <xdr:col>12</xdr:col>
                    <xdr:colOff>19050</xdr:colOff>
                    <xdr:row>1</xdr:row>
                    <xdr:rowOff>114300</xdr:rowOff>
                  </to>
                </anchor>
              </controlPr>
            </control>
          </mc:Choice>
        </mc:AlternateContent>
        <mc:AlternateContent xmlns:mc="http://schemas.openxmlformats.org/markup-compatibility/2006">
          <mc:Choice Requires="x14">
            <control shapeId="37892" r:id="rId6" name="Button 4">
              <controlPr defaultSize="0" print="0" autoFill="0" autoPict="0" macro="[0]!resumir_rebalanceamento">
                <anchor moveWithCells="1" sizeWithCells="1">
                  <from>
                    <xdr:col>20</xdr:col>
                    <xdr:colOff>228600</xdr:colOff>
                    <xdr:row>0</xdr:row>
                    <xdr:rowOff>114300</xdr:rowOff>
                  </from>
                  <to>
                    <xdr:col>22</xdr:col>
                    <xdr:colOff>847725</xdr:colOff>
                    <xdr:row>1</xdr:row>
                    <xdr:rowOff>142875</xdr:rowOff>
                  </to>
                </anchor>
              </controlPr>
            </control>
          </mc:Choice>
        </mc:AlternateContent>
        <mc:AlternateContent xmlns:mc="http://schemas.openxmlformats.org/markup-compatibility/2006">
          <mc:Choice Requires="x14">
            <control shapeId="38030" r:id="rId7" name="Button 142">
              <controlPr defaultSize="0" print="0" autoFill="0" autoPict="0" macro="[0]!Rebalancear.rebalancear">
                <anchor moveWithCells="1" sizeWithCells="1">
                  <from>
                    <xdr:col>15</xdr:col>
                    <xdr:colOff>85725</xdr:colOff>
                    <xdr:row>1</xdr:row>
                    <xdr:rowOff>66675</xdr:rowOff>
                  </from>
                  <to>
                    <xdr:col>16</xdr:col>
                    <xdr:colOff>1009650</xdr:colOff>
                    <xdr:row>2</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6D88D-C3FE-4C92-A396-4774D3A603B4}">
  <sheetPr codeName="Sheet35">
    <tabColor theme="9" tint="0.39997558519241921"/>
  </sheetPr>
  <dimension ref="A1:J92"/>
  <sheetViews>
    <sheetView showGridLines="0" showRuler="0" view="pageLayout" zoomScaleNormal="80" workbookViewId="0">
      <selection activeCell="E30" sqref="E30"/>
    </sheetView>
  </sheetViews>
  <sheetFormatPr defaultColWidth="10.69921875" defaultRowHeight="11.25"/>
  <cols>
    <col min="1" max="1" width="0.796875" style="266" customWidth="1"/>
    <col min="2" max="3" width="1.8984375" style="266" hidden="1" customWidth="1"/>
    <col min="4" max="4" width="25.19921875" style="266" customWidth="1"/>
    <col min="5" max="5" width="10.8984375" style="266" customWidth="1"/>
    <col min="6" max="6" width="6.5" style="269" customWidth="1"/>
    <col min="7" max="7" width="10.19921875" style="266" customWidth="1"/>
    <col min="8" max="8" width="10.8984375" style="266" customWidth="1"/>
    <col min="9" max="9" width="6.5" style="269" customWidth="1"/>
    <col min="10" max="10" width="5.5" style="269" customWidth="1"/>
    <col min="11" max="16384" width="10.69921875" style="266"/>
  </cols>
  <sheetData>
    <row r="1" spans="1:10" s="409" customFormat="1" ht="33.75" customHeight="1">
      <c r="A1" s="407"/>
      <c r="B1" s="407"/>
      <c r="C1" s="407"/>
      <c r="D1" s="408" t="s">
        <v>4322</v>
      </c>
      <c r="F1" s="410"/>
      <c r="I1" s="410"/>
      <c r="J1" s="411"/>
    </row>
    <row r="2" spans="1:10" s="414" customFormat="1" ht="16.5" customHeight="1">
      <c r="A2" s="407"/>
      <c r="B2" s="407"/>
      <c r="C2" s="984"/>
      <c r="D2" s="274" t="s">
        <v>2675</v>
      </c>
      <c r="E2" s="1019"/>
      <c r="F2" s="1019"/>
      <c r="G2" s="530"/>
      <c r="H2" s="759" t="s">
        <v>643</v>
      </c>
      <c r="I2" s="599"/>
      <c r="J2" s="650" t="s">
        <v>640</v>
      </c>
    </row>
    <row r="3" spans="1:10" s="409" customFormat="1" ht="12" customHeight="1">
      <c r="A3" s="416"/>
      <c r="B3" s="416"/>
      <c r="C3" s="416"/>
      <c r="F3" s="411"/>
      <c r="I3" s="411"/>
      <c r="J3" s="411"/>
    </row>
    <row r="4" spans="1:10" s="407" customFormat="1" ht="12">
      <c r="D4" s="1017" t="s">
        <v>4302</v>
      </c>
      <c r="E4" s="1015" t="s">
        <v>4303</v>
      </c>
      <c r="F4" s="1016"/>
      <c r="G4" s="760" t="s">
        <v>4304</v>
      </c>
      <c r="H4" s="1015" t="s">
        <v>4305</v>
      </c>
      <c r="I4" s="1016"/>
      <c r="J4" s="1018" t="s">
        <v>33</v>
      </c>
    </row>
    <row r="5" spans="1:10" ht="2.25" customHeight="1">
      <c r="D5" s="1017"/>
      <c r="E5" s="762"/>
      <c r="F5" s="763"/>
      <c r="G5" s="764"/>
      <c r="H5" s="762"/>
      <c r="I5" s="763"/>
      <c r="J5" s="1018"/>
    </row>
    <row r="6" spans="1:10" s="407" customFormat="1" ht="12">
      <c r="D6" s="1017"/>
      <c r="E6" s="419" t="s">
        <v>10</v>
      </c>
      <c r="F6" s="761" t="s">
        <v>1347</v>
      </c>
      <c r="G6" s="765" t="s">
        <v>10</v>
      </c>
      <c r="H6" s="419" t="s">
        <v>10</v>
      </c>
      <c r="I6" s="761" t="s">
        <v>1347</v>
      </c>
      <c r="J6" s="1018"/>
    </row>
    <row r="7" spans="1:10" ht="5.25" customHeight="1"/>
    <row r="8" spans="1:10" ht="14.25" customHeight="1">
      <c r="B8" s="266" t="s">
        <v>12</v>
      </c>
      <c r="C8" s="266" t="s">
        <v>12</v>
      </c>
      <c r="D8" s="766" t="s">
        <v>11</v>
      </c>
      <c r="E8" s="649">
        <v>725000</v>
      </c>
      <c r="F8" s="709">
        <v>0.72499999999999998</v>
      </c>
      <c r="G8" s="767">
        <v>0</v>
      </c>
      <c r="H8" s="649">
        <v>725000</v>
      </c>
      <c r="I8" s="779">
        <v>0.72499999999999998</v>
      </c>
      <c r="J8" s="647"/>
    </row>
    <row r="9" spans="1:10" ht="5.25" customHeight="1"/>
    <row r="10" spans="1:10" ht="11.25" customHeight="1">
      <c r="C10" s="266" t="s">
        <v>12</v>
      </c>
      <c r="D10" s="768" t="s">
        <v>620</v>
      </c>
      <c r="E10" s="286">
        <v>175000</v>
      </c>
      <c r="F10" s="710">
        <v>0.17499999999999999</v>
      </c>
      <c r="G10" s="769">
        <v>0</v>
      </c>
      <c r="H10" s="286">
        <v>175000</v>
      </c>
      <c r="I10" s="780">
        <v>0.17499999999999999</v>
      </c>
      <c r="J10" s="276"/>
    </row>
    <row r="11" spans="1:10" ht="11.25" customHeight="1">
      <c r="D11" s="266" t="s">
        <v>2713</v>
      </c>
      <c r="E11" s="945">
        <v>25000</v>
      </c>
      <c r="F11" s="946">
        <v>2.5000000000000001E-2</v>
      </c>
      <c r="G11" s="945">
        <v>0</v>
      </c>
      <c r="H11" s="945">
        <v>25000</v>
      </c>
      <c r="I11" s="946">
        <v>2.5000000000000001E-2</v>
      </c>
      <c r="J11" s="950" t="s">
        <v>34</v>
      </c>
    </row>
    <row r="12" spans="1:10" ht="11.25" customHeight="1">
      <c r="D12" s="278" t="s">
        <v>2713</v>
      </c>
      <c r="E12" s="279">
        <v>25000</v>
      </c>
      <c r="F12" s="717">
        <v>2.5000000000000001E-2</v>
      </c>
      <c r="G12" s="279">
        <v>0</v>
      </c>
      <c r="H12" s="279">
        <v>25000</v>
      </c>
      <c r="I12" s="717">
        <v>2.5000000000000001E-2</v>
      </c>
      <c r="J12" s="281" t="s">
        <v>34</v>
      </c>
    </row>
    <row r="13" spans="1:10" ht="11.25" customHeight="1">
      <c r="D13" s="278" t="s">
        <v>2713</v>
      </c>
      <c r="E13" s="279">
        <v>25000</v>
      </c>
      <c r="F13" s="717">
        <v>2.5000000000000001E-2</v>
      </c>
      <c r="G13" s="279">
        <v>0</v>
      </c>
      <c r="H13" s="279">
        <v>25000</v>
      </c>
      <c r="I13" s="717">
        <v>2.5000000000000001E-2</v>
      </c>
      <c r="J13" s="281" t="s">
        <v>34</v>
      </c>
    </row>
    <row r="14" spans="1:10" ht="11.25" customHeight="1">
      <c r="D14" s="278" t="s">
        <v>2713</v>
      </c>
      <c r="E14" s="279">
        <v>25000</v>
      </c>
      <c r="F14" s="717">
        <v>2.5000000000000001E-2</v>
      </c>
      <c r="G14" s="279">
        <v>0</v>
      </c>
      <c r="H14" s="279">
        <v>25000</v>
      </c>
      <c r="I14" s="717">
        <v>2.5000000000000001E-2</v>
      </c>
      <c r="J14" s="281" t="s">
        <v>34</v>
      </c>
    </row>
    <row r="15" spans="1:10" ht="11.25" customHeight="1">
      <c r="D15" s="278" t="s">
        <v>2713</v>
      </c>
      <c r="E15" s="279">
        <v>25000</v>
      </c>
      <c r="F15" s="717">
        <v>2.5000000000000001E-2</v>
      </c>
      <c r="G15" s="279">
        <v>0</v>
      </c>
      <c r="H15" s="279">
        <v>25000</v>
      </c>
      <c r="I15" s="717">
        <v>2.5000000000000001E-2</v>
      </c>
      <c r="J15" s="281" t="s">
        <v>34</v>
      </c>
    </row>
    <row r="16" spans="1:10" ht="11.25" customHeight="1">
      <c r="D16" s="278" t="s">
        <v>2713</v>
      </c>
      <c r="E16" s="279">
        <v>25000</v>
      </c>
      <c r="F16" s="717">
        <v>2.5000000000000001E-2</v>
      </c>
      <c r="G16" s="279">
        <v>0</v>
      </c>
      <c r="H16" s="279">
        <v>25000</v>
      </c>
      <c r="I16" s="717">
        <v>2.5000000000000001E-2</v>
      </c>
      <c r="J16" s="281" t="s">
        <v>34</v>
      </c>
    </row>
    <row r="17" spans="3:10" ht="11.25" customHeight="1">
      <c r="D17" s="282" t="s">
        <v>2713</v>
      </c>
      <c r="E17" s="283">
        <v>25000</v>
      </c>
      <c r="F17" s="714">
        <v>2.5000000000000001E-2</v>
      </c>
      <c r="G17" s="283">
        <v>0</v>
      </c>
      <c r="H17" s="283">
        <v>25000</v>
      </c>
      <c r="I17" s="714">
        <v>2.5000000000000001E-2</v>
      </c>
      <c r="J17" s="285" t="s">
        <v>34</v>
      </c>
    </row>
    <row r="18" spans="3:10" ht="5.25" customHeight="1"/>
    <row r="19" spans="3:10" ht="11.25" customHeight="1">
      <c r="C19" s="266" t="s">
        <v>12</v>
      </c>
      <c r="D19" s="768" t="s">
        <v>621</v>
      </c>
      <c r="E19" s="286">
        <v>300000</v>
      </c>
      <c r="F19" s="710">
        <v>0.3</v>
      </c>
      <c r="G19" s="769">
        <v>0</v>
      </c>
      <c r="H19" s="286">
        <v>300000</v>
      </c>
      <c r="I19" s="780">
        <v>0.3</v>
      </c>
      <c r="J19" s="276"/>
    </row>
    <row r="20" spans="3:10" ht="3" customHeight="1"/>
    <row r="21" spans="3:10" ht="11.25" customHeight="1">
      <c r="D21" s="985" t="s">
        <v>2748</v>
      </c>
      <c r="E21" s="294">
        <v>300000</v>
      </c>
      <c r="F21" s="720">
        <v>0.3</v>
      </c>
      <c r="G21" s="986">
        <v>0</v>
      </c>
      <c r="H21" s="294">
        <v>300000</v>
      </c>
      <c r="I21" s="987">
        <v>0.3</v>
      </c>
      <c r="J21" s="292"/>
    </row>
    <row r="22" spans="3:10" ht="11.25" customHeight="1">
      <c r="D22" s="266" t="s">
        <v>4584</v>
      </c>
      <c r="E22" s="945">
        <v>25000</v>
      </c>
      <c r="F22" s="946">
        <v>2.5000000000000001E-2</v>
      </c>
      <c r="G22" s="945">
        <v>0</v>
      </c>
      <c r="H22" s="945">
        <v>25000</v>
      </c>
      <c r="I22" s="946">
        <v>2.5000000000000001E-2</v>
      </c>
      <c r="J22" s="950" t="s">
        <v>34</v>
      </c>
    </row>
    <row r="23" spans="3:10" ht="11.25" customHeight="1">
      <c r="D23" s="278" t="s">
        <v>4584</v>
      </c>
      <c r="E23" s="279">
        <v>25000</v>
      </c>
      <c r="F23" s="717">
        <v>2.5000000000000001E-2</v>
      </c>
      <c r="G23" s="279">
        <v>0</v>
      </c>
      <c r="H23" s="279">
        <v>25000</v>
      </c>
      <c r="I23" s="717">
        <v>2.5000000000000001E-2</v>
      </c>
      <c r="J23" s="281" t="s">
        <v>34</v>
      </c>
    </row>
    <row r="24" spans="3:10" ht="11.25" customHeight="1">
      <c r="D24" s="278" t="s">
        <v>4584</v>
      </c>
      <c r="E24" s="279">
        <v>25000</v>
      </c>
      <c r="F24" s="717">
        <v>2.5000000000000001E-2</v>
      </c>
      <c r="G24" s="279">
        <v>0</v>
      </c>
      <c r="H24" s="279">
        <v>25000</v>
      </c>
      <c r="I24" s="717">
        <v>2.5000000000000001E-2</v>
      </c>
      <c r="J24" s="281" t="s">
        <v>34</v>
      </c>
    </row>
    <row r="25" spans="3:10" ht="11.25" customHeight="1">
      <c r="D25" s="278" t="s">
        <v>4584</v>
      </c>
      <c r="E25" s="279">
        <v>25000</v>
      </c>
      <c r="F25" s="717">
        <v>2.5000000000000001E-2</v>
      </c>
      <c r="G25" s="279">
        <v>0</v>
      </c>
      <c r="H25" s="279">
        <v>25000</v>
      </c>
      <c r="I25" s="717">
        <v>2.5000000000000001E-2</v>
      </c>
      <c r="J25" s="281" t="s">
        <v>34</v>
      </c>
    </row>
    <row r="26" spans="3:10" ht="11.25" customHeight="1">
      <c r="D26" s="278" t="s">
        <v>4584</v>
      </c>
      <c r="E26" s="279">
        <v>25000</v>
      </c>
      <c r="F26" s="717">
        <v>2.5000000000000001E-2</v>
      </c>
      <c r="G26" s="279">
        <v>0</v>
      </c>
      <c r="H26" s="279">
        <v>25000</v>
      </c>
      <c r="I26" s="717">
        <v>2.5000000000000001E-2</v>
      </c>
      <c r="J26" s="281" t="s">
        <v>34</v>
      </c>
    </row>
    <row r="27" spans="3:10" ht="11.25" customHeight="1">
      <c r="D27" s="278" t="s">
        <v>4584</v>
      </c>
      <c r="E27" s="279">
        <v>25000</v>
      </c>
      <c r="F27" s="717">
        <v>2.5000000000000001E-2</v>
      </c>
      <c r="G27" s="279">
        <v>0</v>
      </c>
      <c r="H27" s="279">
        <v>25000</v>
      </c>
      <c r="I27" s="717">
        <v>2.5000000000000001E-2</v>
      </c>
      <c r="J27" s="281" t="s">
        <v>34</v>
      </c>
    </row>
    <row r="28" spans="3:10" ht="11.25" customHeight="1">
      <c r="D28" s="278" t="s">
        <v>4584</v>
      </c>
      <c r="E28" s="279">
        <v>25000</v>
      </c>
      <c r="F28" s="717">
        <v>2.5000000000000001E-2</v>
      </c>
      <c r="G28" s="279">
        <v>0</v>
      </c>
      <c r="H28" s="279">
        <v>25000</v>
      </c>
      <c r="I28" s="717">
        <v>2.5000000000000001E-2</v>
      </c>
      <c r="J28" s="281" t="s">
        <v>34</v>
      </c>
    </row>
    <row r="29" spans="3:10" ht="11.25" customHeight="1">
      <c r="D29" s="278" t="s">
        <v>4584</v>
      </c>
      <c r="E29" s="279">
        <v>25000</v>
      </c>
      <c r="F29" s="717">
        <v>2.5000000000000001E-2</v>
      </c>
      <c r="G29" s="279">
        <v>0</v>
      </c>
      <c r="H29" s="279">
        <v>25000</v>
      </c>
      <c r="I29" s="717">
        <v>2.5000000000000001E-2</v>
      </c>
      <c r="J29" s="281" t="s">
        <v>34</v>
      </c>
    </row>
    <row r="30" spans="3:10" ht="11.25" customHeight="1">
      <c r="D30" s="278" t="s">
        <v>4584</v>
      </c>
      <c r="E30" s="279">
        <v>25000</v>
      </c>
      <c r="F30" s="717">
        <v>2.5000000000000001E-2</v>
      </c>
      <c r="G30" s="279">
        <v>0</v>
      </c>
      <c r="H30" s="279">
        <v>25000</v>
      </c>
      <c r="I30" s="717">
        <v>2.5000000000000001E-2</v>
      </c>
      <c r="J30" s="281" t="s">
        <v>34</v>
      </c>
    </row>
    <row r="31" spans="3:10" ht="11.25" customHeight="1">
      <c r="D31" s="278" t="s">
        <v>4584</v>
      </c>
      <c r="E31" s="279">
        <v>25000</v>
      </c>
      <c r="F31" s="717">
        <v>2.5000000000000001E-2</v>
      </c>
      <c r="G31" s="279">
        <v>0</v>
      </c>
      <c r="H31" s="279">
        <v>25000</v>
      </c>
      <c r="I31" s="717">
        <v>2.5000000000000001E-2</v>
      </c>
      <c r="J31" s="281" t="s">
        <v>34</v>
      </c>
    </row>
    <row r="32" spans="3:10" ht="11.25" customHeight="1">
      <c r="D32" s="278" t="s">
        <v>4584</v>
      </c>
      <c r="E32" s="279">
        <v>25000</v>
      </c>
      <c r="F32" s="717">
        <v>2.5000000000000001E-2</v>
      </c>
      <c r="G32" s="279">
        <v>0</v>
      </c>
      <c r="H32" s="279">
        <v>25000</v>
      </c>
      <c r="I32" s="717">
        <v>2.5000000000000001E-2</v>
      </c>
      <c r="J32" s="281" t="s">
        <v>34</v>
      </c>
    </row>
    <row r="33" spans="3:10" ht="11.25" customHeight="1">
      <c r="D33" s="282" t="s">
        <v>4584</v>
      </c>
      <c r="E33" s="283">
        <v>25000</v>
      </c>
      <c r="F33" s="714">
        <v>2.5000000000000001E-2</v>
      </c>
      <c r="G33" s="283">
        <v>0</v>
      </c>
      <c r="H33" s="283">
        <v>25000</v>
      </c>
      <c r="I33" s="714">
        <v>2.5000000000000001E-2</v>
      </c>
      <c r="J33" s="285" t="s">
        <v>34</v>
      </c>
    </row>
    <row r="34" spans="3:10" ht="5.25" customHeight="1"/>
    <row r="35" spans="3:10" ht="11.25" customHeight="1">
      <c r="C35" s="266" t="s">
        <v>12</v>
      </c>
      <c r="D35" s="768" t="s">
        <v>661</v>
      </c>
      <c r="E35" s="286">
        <v>249999.99999999997</v>
      </c>
      <c r="F35" s="710">
        <v>0.24999999999999997</v>
      </c>
      <c r="G35" s="769">
        <v>0</v>
      </c>
      <c r="H35" s="286">
        <v>249999.99999999997</v>
      </c>
      <c r="I35" s="780">
        <v>0.24999999999999997</v>
      </c>
      <c r="J35" s="276"/>
    </row>
    <row r="36" spans="3:10" ht="3" customHeight="1"/>
    <row r="37" spans="3:10" ht="11.25" customHeight="1">
      <c r="D37" s="985" t="s">
        <v>1372</v>
      </c>
      <c r="E37" s="294">
        <v>249999.99999999997</v>
      </c>
      <c r="F37" s="720">
        <v>0.24999999999999997</v>
      </c>
      <c r="G37" s="986">
        <v>0</v>
      </c>
      <c r="H37" s="294">
        <v>249999.99999999997</v>
      </c>
      <c r="I37" s="987">
        <v>0.24999999999999997</v>
      </c>
      <c r="J37" s="292"/>
    </row>
    <row r="38" spans="3:10" ht="11.25" customHeight="1">
      <c r="D38" s="266" t="s">
        <v>4681</v>
      </c>
      <c r="E38" s="945">
        <v>25000</v>
      </c>
      <c r="F38" s="946">
        <v>2.5000000000000001E-2</v>
      </c>
      <c r="G38" s="945">
        <v>0</v>
      </c>
      <c r="H38" s="945">
        <v>25000</v>
      </c>
      <c r="I38" s="946">
        <v>2.5000000000000001E-2</v>
      </c>
      <c r="J38" s="950">
        <v>878</v>
      </c>
    </row>
    <row r="39" spans="3:10" ht="11.25" customHeight="1">
      <c r="D39" s="278" t="s">
        <v>4681</v>
      </c>
      <c r="E39" s="279">
        <v>25000</v>
      </c>
      <c r="F39" s="717">
        <v>2.5000000000000001E-2</v>
      </c>
      <c r="G39" s="279">
        <v>0</v>
      </c>
      <c r="H39" s="279">
        <v>25000</v>
      </c>
      <c r="I39" s="717">
        <v>2.5000000000000001E-2</v>
      </c>
      <c r="J39" s="281">
        <v>878</v>
      </c>
    </row>
    <row r="40" spans="3:10" ht="11.25" customHeight="1">
      <c r="D40" s="278" t="s">
        <v>4681</v>
      </c>
      <c r="E40" s="279">
        <v>25000</v>
      </c>
      <c r="F40" s="717">
        <v>2.5000000000000001E-2</v>
      </c>
      <c r="G40" s="279">
        <v>0</v>
      </c>
      <c r="H40" s="279">
        <v>25000</v>
      </c>
      <c r="I40" s="717">
        <v>2.5000000000000001E-2</v>
      </c>
      <c r="J40" s="281">
        <v>878</v>
      </c>
    </row>
    <row r="41" spans="3:10" ht="11.25" customHeight="1">
      <c r="D41" s="278" t="s">
        <v>4681</v>
      </c>
      <c r="E41" s="279">
        <v>25000</v>
      </c>
      <c r="F41" s="717">
        <v>2.5000000000000001E-2</v>
      </c>
      <c r="G41" s="279">
        <v>0</v>
      </c>
      <c r="H41" s="279">
        <v>25000</v>
      </c>
      <c r="I41" s="717">
        <v>2.5000000000000001E-2</v>
      </c>
      <c r="J41" s="281">
        <v>878</v>
      </c>
    </row>
    <row r="42" spans="3:10" ht="11.25" customHeight="1">
      <c r="D42" s="278" t="s">
        <v>4681</v>
      </c>
      <c r="E42" s="279">
        <v>25000</v>
      </c>
      <c r="F42" s="717">
        <v>2.5000000000000001E-2</v>
      </c>
      <c r="G42" s="279">
        <v>0</v>
      </c>
      <c r="H42" s="279">
        <v>25000</v>
      </c>
      <c r="I42" s="717">
        <v>2.5000000000000001E-2</v>
      </c>
      <c r="J42" s="281">
        <v>878</v>
      </c>
    </row>
    <row r="43" spans="3:10" ht="11.25" customHeight="1">
      <c r="D43" s="278" t="s">
        <v>4681</v>
      </c>
      <c r="E43" s="279">
        <v>25000</v>
      </c>
      <c r="F43" s="717">
        <v>2.5000000000000001E-2</v>
      </c>
      <c r="G43" s="279">
        <v>0</v>
      </c>
      <c r="H43" s="279">
        <v>25000</v>
      </c>
      <c r="I43" s="717">
        <v>2.5000000000000001E-2</v>
      </c>
      <c r="J43" s="281">
        <v>878</v>
      </c>
    </row>
    <row r="44" spans="3:10" ht="11.25" customHeight="1">
      <c r="D44" s="278" t="s">
        <v>4681</v>
      </c>
      <c r="E44" s="279">
        <v>25000</v>
      </c>
      <c r="F44" s="717">
        <v>2.5000000000000001E-2</v>
      </c>
      <c r="G44" s="279">
        <v>0</v>
      </c>
      <c r="H44" s="279">
        <v>25000</v>
      </c>
      <c r="I44" s="717">
        <v>2.5000000000000001E-2</v>
      </c>
      <c r="J44" s="281">
        <v>878</v>
      </c>
    </row>
    <row r="45" spans="3:10" ht="11.25" customHeight="1">
      <c r="D45" s="278" t="s">
        <v>4681</v>
      </c>
      <c r="E45" s="279">
        <v>25000</v>
      </c>
      <c r="F45" s="717">
        <v>2.5000000000000001E-2</v>
      </c>
      <c r="G45" s="279">
        <v>0</v>
      </c>
      <c r="H45" s="279">
        <v>25000</v>
      </c>
      <c r="I45" s="717">
        <v>2.5000000000000001E-2</v>
      </c>
      <c r="J45" s="281">
        <v>878</v>
      </c>
    </row>
    <row r="46" spans="3:10" ht="11.25" customHeight="1">
      <c r="D46" s="278" t="s">
        <v>4681</v>
      </c>
      <c r="E46" s="279">
        <v>25000</v>
      </c>
      <c r="F46" s="717">
        <v>2.5000000000000001E-2</v>
      </c>
      <c r="G46" s="279">
        <v>0</v>
      </c>
      <c r="H46" s="279">
        <v>25000</v>
      </c>
      <c r="I46" s="717">
        <v>2.5000000000000001E-2</v>
      </c>
      <c r="J46" s="281">
        <v>878</v>
      </c>
    </row>
    <row r="47" spans="3:10" ht="11.25" customHeight="1">
      <c r="D47" s="282" t="s">
        <v>4681</v>
      </c>
      <c r="E47" s="283">
        <v>25000</v>
      </c>
      <c r="F47" s="714">
        <v>2.5000000000000001E-2</v>
      </c>
      <c r="G47" s="283">
        <v>0</v>
      </c>
      <c r="H47" s="283">
        <v>25000</v>
      </c>
      <c r="I47" s="714">
        <v>2.5000000000000001E-2</v>
      </c>
      <c r="J47" s="285">
        <v>878</v>
      </c>
    </row>
    <row r="48" spans="3:10" ht="5.25" customHeight="1"/>
    <row r="49" spans="2:10" ht="14.25" customHeight="1">
      <c r="B49" s="266" t="s">
        <v>12</v>
      </c>
      <c r="C49" s="266" t="s">
        <v>12</v>
      </c>
      <c r="D49" s="766" t="s">
        <v>13</v>
      </c>
      <c r="E49" s="649">
        <v>350000</v>
      </c>
      <c r="F49" s="709">
        <v>0.35</v>
      </c>
      <c r="G49" s="767">
        <v>0</v>
      </c>
      <c r="H49" s="649">
        <v>350000</v>
      </c>
      <c r="I49" s="779">
        <v>0.35</v>
      </c>
      <c r="J49" s="647"/>
    </row>
    <row r="50" spans="2:10" ht="5.25" customHeight="1"/>
    <row r="51" spans="2:10" ht="11.25" customHeight="1">
      <c r="C51" s="266" t="s">
        <v>12</v>
      </c>
      <c r="D51" s="768" t="s">
        <v>615</v>
      </c>
      <c r="E51" s="286">
        <v>175000</v>
      </c>
      <c r="F51" s="710">
        <v>0.17499999999999999</v>
      </c>
      <c r="G51" s="769">
        <v>0</v>
      </c>
      <c r="H51" s="286">
        <v>175000</v>
      </c>
      <c r="I51" s="780">
        <v>0.17499999999999999</v>
      </c>
      <c r="J51" s="276"/>
    </row>
    <row r="52" spans="2:10" ht="11.25" customHeight="1">
      <c r="D52" s="266" t="s">
        <v>4568</v>
      </c>
      <c r="E52" s="945">
        <v>25000</v>
      </c>
      <c r="F52" s="946">
        <v>2.5000000000000001E-2</v>
      </c>
      <c r="G52" s="945">
        <v>0</v>
      </c>
      <c r="H52" s="945">
        <v>25000</v>
      </c>
      <c r="I52" s="946">
        <v>2.5000000000000001E-2</v>
      </c>
      <c r="J52" s="950" t="s">
        <v>34</v>
      </c>
    </row>
    <row r="53" spans="2:10" ht="11.25" customHeight="1">
      <c r="D53" s="278" t="s">
        <v>4568</v>
      </c>
      <c r="E53" s="279">
        <v>25000</v>
      </c>
      <c r="F53" s="717">
        <v>2.5000000000000001E-2</v>
      </c>
      <c r="G53" s="279">
        <v>0</v>
      </c>
      <c r="H53" s="279">
        <v>25000</v>
      </c>
      <c r="I53" s="717">
        <v>2.5000000000000001E-2</v>
      </c>
      <c r="J53" s="281" t="s">
        <v>34</v>
      </c>
    </row>
    <row r="54" spans="2:10" ht="11.25" customHeight="1">
      <c r="D54" s="278" t="s">
        <v>4568</v>
      </c>
      <c r="E54" s="279">
        <v>25000</v>
      </c>
      <c r="F54" s="717">
        <v>2.5000000000000001E-2</v>
      </c>
      <c r="G54" s="279">
        <v>0</v>
      </c>
      <c r="H54" s="279">
        <v>25000</v>
      </c>
      <c r="I54" s="717">
        <v>2.5000000000000001E-2</v>
      </c>
      <c r="J54" s="281" t="s">
        <v>34</v>
      </c>
    </row>
    <row r="55" spans="2:10" ht="11.25" customHeight="1">
      <c r="D55" s="278" t="s">
        <v>4568</v>
      </c>
      <c r="E55" s="279">
        <v>25000</v>
      </c>
      <c r="F55" s="717">
        <v>2.5000000000000001E-2</v>
      </c>
      <c r="G55" s="279">
        <v>0</v>
      </c>
      <c r="H55" s="279">
        <v>25000</v>
      </c>
      <c r="I55" s="717">
        <v>2.5000000000000001E-2</v>
      </c>
      <c r="J55" s="281" t="s">
        <v>34</v>
      </c>
    </row>
    <row r="56" spans="2:10" ht="11.25" customHeight="1">
      <c r="D56" s="278" t="s">
        <v>4568</v>
      </c>
      <c r="E56" s="279">
        <v>25000</v>
      </c>
      <c r="F56" s="717">
        <v>2.5000000000000001E-2</v>
      </c>
      <c r="G56" s="279">
        <v>0</v>
      </c>
      <c r="H56" s="279">
        <v>25000</v>
      </c>
      <c r="I56" s="717">
        <v>2.5000000000000001E-2</v>
      </c>
      <c r="J56" s="281" t="s">
        <v>34</v>
      </c>
    </row>
    <row r="57" spans="2:10" ht="11.25" customHeight="1">
      <c r="D57" s="278" t="s">
        <v>4568</v>
      </c>
      <c r="E57" s="279">
        <v>25000</v>
      </c>
      <c r="F57" s="717">
        <v>2.5000000000000001E-2</v>
      </c>
      <c r="G57" s="279">
        <v>0</v>
      </c>
      <c r="H57" s="279">
        <v>25000</v>
      </c>
      <c r="I57" s="717">
        <v>2.5000000000000001E-2</v>
      </c>
      <c r="J57" s="281" t="s">
        <v>34</v>
      </c>
    </row>
    <row r="58" spans="2:10" ht="11.25" customHeight="1">
      <c r="D58" s="282" t="s">
        <v>4568</v>
      </c>
      <c r="E58" s="283">
        <v>25000</v>
      </c>
      <c r="F58" s="714">
        <v>2.5000000000000001E-2</v>
      </c>
      <c r="G58" s="283">
        <v>0</v>
      </c>
      <c r="H58" s="283">
        <v>25000</v>
      </c>
      <c r="I58" s="714">
        <v>2.5000000000000001E-2</v>
      </c>
      <c r="J58" s="285" t="s">
        <v>34</v>
      </c>
    </row>
    <row r="59" spans="2:10" ht="5.25" customHeight="1"/>
    <row r="60" spans="2:10" ht="11.25" customHeight="1">
      <c r="C60" s="266" t="s">
        <v>12</v>
      </c>
      <c r="D60" s="768" t="s">
        <v>616</v>
      </c>
      <c r="E60" s="286">
        <v>175000</v>
      </c>
      <c r="F60" s="710">
        <v>0.17499999999999999</v>
      </c>
      <c r="G60" s="769">
        <v>0</v>
      </c>
      <c r="H60" s="286">
        <v>175000</v>
      </c>
      <c r="I60" s="780">
        <v>0.17499999999999999</v>
      </c>
      <c r="J60" s="276"/>
    </row>
    <row r="61" spans="2:10" ht="3" customHeight="1"/>
    <row r="62" spans="2:10" ht="11.25" customHeight="1">
      <c r="D62" s="985" t="s">
        <v>610</v>
      </c>
      <c r="E62" s="294">
        <v>175000</v>
      </c>
      <c r="F62" s="720">
        <v>0.17499999999999999</v>
      </c>
      <c r="G62" s="986">
        <v>0</v>
      </c>
      <c r="H62" s="294">
        <v>175000</v>
      </c>
      <c r="I62" s="987">
        <v>0.17499999999999999</v>
      </c>
      <c r="J62" s="292"/>
    </row>
    <row r="63" spans="2:10" ht="11.25" customHeight="1">
      <c r="D63" s="266" t="s">
        <v>1724</v>
      </c>
      <c r="E63" s="945">
        <v>25000</v>
      </c>
      <c r="F63" s="946">
        <v>2.5000000000000001E-2</v>
      </c>
      <c r="G63" s="945">
        <v>0</v>
      </c>
      <c r="H63" s="945">
        <v>25000</v>
      </c>
      <c r="I63" s="946">
        <v>2.5000000000000001E-2</v>
      </c>
      <c r="J63" s="950" t="s">
        <v>34</v>
      </c>
    </row>
    <row r="64" spans="2:10" ht="11.25" customHeight="1">
      <c r="D64" s="278" t="s">
        <v>1724</v>
      </c>
      <c r="E64" s="279">
        <v>25000</v>
      </c>
      <c r="F64" s="717">
        <v>2.5000000000000001E-2</v>
      </c>
      <c r="G64" s="279">
        <v>0</v>
      </c>
      <c r="H64" s="279">
        <v>25000</v>
      </c>
      <c r="I64" s="717">
        <v>2.5000000000000001E-2</v>
      </c>
      <c r="J64" s="281" t="s">
        <v>34</v>
      </c>
    </row>
    <row r="65" spans="1:10" ht="11.25" customHeight="1">
      <c r="D65" s="278" t="s">
        <v>1724</v>
      </c>
      <c r="E65" s="279">
        <v>25000</v>
      </c>
      <c r="F65" s="717">
        <v>2.5000000000000001E-2</v>
      </c>
      <c r="G65" s="279">
        <v>0</v>
      </c>
      <c r="H65" s="279">
        <v>25000</v>
      </c>
      <c r="I65" s="717">
        <v>2.5000000000000001E-2</v>
      </c>
      <c r="J65" s="281" t="s">
        <v>34</v>
      </c>
    </row>
    <row r="66" spans="1:10" ht="11.25" customHeight="1">
      <c r="D66" s="278" t="s">
        <v>1724</v>
      </c>
      <c r="E66" s="279">
        <v>25000</v>
      </c>
      <c r="F66" s="717">
        <v>2.5000000000000001E-2</v>
      </c>
      <c r="G66" s="279">
        <v>0</v>
      </c>
      <c r="H66" s="279">
        <v>25000</v>
      </c>
      <c r="I66" s="717">
        <v>2.5000000000000001E-2</v>
      </c>
      <c r="J66" s="281" t="s">
        <v>34</v>
      </c>
    </row>
    <row r="67" spans="1:10" ht="11.25" customHeight="1">
      <c r="D67" s="278" t="s">
        <v>1724</v>
      </c>
      <c r="E67" s="279">
        <v>25000</v>
      </c>
      <c r="F67" s="717">
        <v>2.5000000000000001E-2</v>
      </c>
      <c r="G67" s="279">
        <v>0</v>
      </c>
      <c r="H67" s="279">
        <v>25000</v>
      </c>
      <c r="I67" s="717">
        <v>2.5000000000000001E-2</v>
      </c>
      <c r="J67" s="281" t="s">
        <v>34</v>
      </c>
    </row>
    <row r="68" spans="1:10" ht="11.25" customHeight="1">
      <c r="D68" s="278" t="s">
        <v>1724</v>
      </c>
      <c r="E68" s="279">
        <v>25000</v>
      </c>
      <c r="F68" s="717">
        <v>2.5000000000000001E-2</v>
      </c>
      <c r="G68" s="279">
        <v>0</v>
      </c>
      <c r="H68" s="279">
        <v>25000</v>
      </c>
      <c r="I68" s="717">
        <v>2.5000000000000001E-2</v>
      </c>
      <c r="J68" s="281" t="s">
        <v>34</v>
      </c>
    </row>
    <row r="69" spans="1:10" ht="11.25" customHeight="1">
      <c r="D69" s="282" t="s">
        <v>1724</v>
      </c>
      <c r="E69" s="283">
        <v>25000</v>
      </c>
      <c r="F69" s="714">
        <v>2.5000000000000001E-2</v>
      </c>
      <c r="G69" s="283">
        <v>0</v>
      </c>
      <c r="H69" s="283">
        <v>25000</v>
      </c>
      <c r="I69" s="714">
        <v>2.5000000000000001E-2</v>
      </c>
      <c r="J69" s="285" t="s">
        <v>34</v>
      </c>
    </row>
    <row r="70" spans="1:10" ht="5.25" customHeight="1"/>
    <row r="71" spans="1:10" s="409" customFormat="1" ht="23.25" customHeight="1">
      <c r="A71" s="416"/>
      <c r="B71" s="416"/>
      <c r="C71" s="416"/>
      <c r="F71" s="411"/>
      <c r="I71" s="411"/>
      <c r="J71" s="411"/>
    </row>
    <row r="72" spans="1:10" s="407" customFormat="1" ht="12">
      <c r="D72" s="1017" t="s">
        <v>4302</v>
      </c>
      <c r="E72" s="1015" t="s">
        <v>4303</v>
      </c>
      <c r="F72" s="1016"/>
      <c r="G72" s="760" t="s">
        <v>4304</v>
      </c>
      <c r="H72" s="1015" t="s">
        <v>4305</v>
      </c>
      <c r="I72" s="1016"/>
      <c r="J72" s="1018" t="s">
        <v>33</v>
      </c>
    </row>
    <row r="73" spans="1:10" ht="2.25" customHeight="1">
      <c r="D73" s="1017"/>
      <c r="E73" s="762"/>
      <c r="F73" s="763"/>
      <c r="G73" s="764"/>
      <c r="H73" s="762"/>
      <c r="I73" s="763"/>
      <c r="J73" s="1018"/>
    </row>
    <row r="74" spans="1:10" s="407" customFormat="1" ht="12">
      <c r="D74" s="1017"/>
      <c r="E74" s="419" t="s">
        <v>10</v>
      </c>
      <c r="F74" s="761" t="s">
        <v>1347</v>
      </c>
      <c r="G74" s="765" t="s">
        <v>10</v>
      </c>
      <c r="H74" s="419" t="s">
        <v>10</v>
      </c>
      <c r="I74" s="761" t="s">
        <v>1347</v>
      </c>
      <c r="J74" s="1018"/>
    </row>
    <row r="75" spans="1:10" ht="5.25" customHeight="1"/>
    <row r="76" spans="1:10" ht="14.25" customHeight="1">
      <c r="B76" s="266" t="s">
        <v>12</v>
      </c>
      <c r="C76" s="266" t="s">
        <v>12</v>
      </c>
      <c r="D76" s="766" t="s">
        <v>14</v>
      </c>
      <c r="E76" s="649">
        <v>249999.99999999997</v>
      </c>
      <c r="F76" s="709">
        <v>0.24999999999999997</v>
      </c>
      <c r="G76" s="767">
        <v>0</v>
      </c>
      <c r="H76" s="649">
        <v>249999.99999999997</v>
      </c>
      <c r="I76" s="779">
        <v>0.24999999999999997</v>
      </c>
      <c r="J76" s="647"/>
    </row>
    <row r="77" spans="1:10" ht="5.25" customHeight="1"/>
    <row r="78" spans="1:10" ht="11.25" customHeight="1">
      <c r="C78" s="266" t="s">
        <v>12</v>
      </c>
      <c r="D78" s="768" t="s">
        <v>608</v>
      </c>
      <c r="E78" s="286">
        <v>249999.99999999997</v>
      </c>
      <c r="F78" s="710">
        <v>0.24999999999999997</v>
      </c>
      <c r="G78" s="769">
        <v>0</v>
      </c>
      <c r="H78" s="286">
        <v>249999.99999999997</v>
      </c>
      <c r="I78" s="780">
        <v>0.24999999999999997</v>
      </c>
      <c r="J78" s="276"/>
    </row>
    <row r="79" spans="1:10" ht="3" customHeight="1"/>
    <row r="80" spans="1:10" ht="11.25" customHeight="1">
      <c r="D80" s="985" t="s">
        <v>607</v>
      </c>
      <c r="E80" s="294">
        <v>249999.99999999997</v>
      </c>
      <c r="F80" s="720">
        <v>0.24999999999999997</v>
      </c>
      <c r="G80" s="986">
        <v>0</v>
      </c>
      <c r="H80" s="294">
        <v>249999.99999999997</v>
      </c>
      <c r="I80" s="987">
        <v>0.24999999999999997</v>
      </c>
      <c r="J80" s="292"/>
    </row>
    <row r="81" spans="2:10" ht="11.25" customHeight="1">
      <c r="D81" s="266" t="s">
        <v>2074</v>
      </c>
      <c r="E81" s="945">
        <v>25000</v>
      </c>
      <c r="F81" s="946">
        <v>2.5000000000000001E-2</v>
      </c>
      <c r="G81" s="945">
        <v>0</v>
      </c>
      <c r="H81" s="945">
        <v>25000</v>
      </c>
      <c r="I81" s="946">
        <v>2.5000000000000001E-2</v>
      </c>
      <c r="J81" s="950" t="s">
        <v>34</v>
      </c>
    </row>
    <row r="82" spans="2:10" ht="11.25" customHeight="1">
      <c r="D82" s="278" t="s">
        <v>2074</v>
      </c>
      <c r="E82" s="279">
        <v>25000</v>
      </c>
      <c r="F82" s="717">
        <v>2.5000000000000001E-2</v>
      </c>
      <c r="G82" s="279">
        <v>0</v>
      </c>
      <c r="H82" s="279">
        <v>25000</v>
      </c>
      <c r="I82" s="717">
        <v>2.5000000000000001E-2</v>
      </c>
      <c r="J82" s="281" t="s">
        <v>34</v>
      </c>
    </row>
    <row r="83" spans="2:10" ht="11.25" customHeight="1">
      <c r="D83" s="278" t="s">
        <v>2074</v>
      </c>
      <c r="E83" s="279">
        <v>25000</v>
      </c>
      <c r="F83" s="717">
        <v>2.5000000000000001E-2</v>
      </c>
      <c r="G83" s="279">
        <v>0</v>
      </c>
      <c r="H83" s="279">
        <v>25000</v>
      </c>
      <c r="I83" s="717">
        <v>2.5000000000000001E-2</v>
      </c>
      <c r="J83" s="281" t="s">
        <v>34</v>
      </c>
    </row>
    <row r="84" spans="2:10" ht="11.25" customHeight="1">
      <c r="D84" s="278" t="s">
        <v>2074</v>
      </c>
      <c r="E84" s="279">
        <v>25000</v>
      </c>
      <c r="F84" s="717">
        <v>2.5000000000000001E-2</v>
      </c>
      <c r="G84" s="279">
        <v>0</v>
      </c>
      <c r="H84" s="279">
        <v>25000</v>
      </c>
      <c r="I84" s="717">
        <v>2.5000000000000001E-2</v>
      </c>
      <c r="J84" s="281" t="s">
        <v>34</v>
      </c>
    </row>
    <row r="85" spans="2:10" ht="11.25" customHeight="1">
      <c r="D85" s="278" t="s">
        <v>2074</v>
      </c>
      <c r="E85" s="279">
        <v>25000</v>
      </c>
      <c r="F85" s="717">
        <v>2.5000000000000001E-2</v>
      </c>
      <c r="G85" s="279">
        <v>0</v>
      </c>
      <c r="H85" s="279">
        <v>25000</v>
      </c>
      <c r="I85" s="717">
        <v>2.5000000000000001E-2</v>
      </c>
      <c r="J85" s="281" t="s">
        <v>34</v>
      </c>
    </row>
    <row r="86" spans="2:10" ht="11.25" customHeight="1">
      <c r="D86" s="278" t="s">
        <v>2074</v>
      </c>
      <c r="E86" s="279">
        <v>25000</v>
      </c>
      <c r="F86" s="717">
        <v>2.5000000000000001E-2</v>
      </c>
      <c r="G86" s="279">
        <v>0</v>
      </c>
      <c r="H86" s="279">
        <v>25000</v>
      </c>
      <c r="I86" s="717">
        <v>2.5000000000000001E-2</v>
      </c>
      <c r="J86" s="281" t="s">
        <v>34</v>
      </c>
    </row>
    <row r="87" spans="2:10" ht="11.25" customHeight="1">
      <c r="D87" s="278" t="s">
        <v>2074</v>
      </c>
      <c r="E87" s="279">
        <v>25000</v>
      </c>
      <c r="F87" s="717">
        <v>2.5000000000000001E-2</v>
      </c>
      <c r="G87" s="279">
        <v>0</v>
      </c>
      <c r="H87" s="279">
        <v>25000</v>
      </c>
      <c r="I87" s="717">
        <v>2.5000000000000001E-2</v>
      </c>
      <c r="J87" s="281" t="s">
        <v>34</v>
      </c>
    </row>
    <row r="88" spans="2:10" ht="11.25" customHeight="1">
      <c r="D88" s="278" t="s">
        <v>2074</v>
      </c>
      <c r="E88" s="279">
        <v>25000</v>
      </c>
      <c r="F88" s="717">
        <v>2.5000000000000001E-2</v>
      </c>
      <c r="G88" s="279">
        <v>0</v>
      </c>
      <c r="H88" s="279">
        <v>25000</v>
      </c>
      <c r="I88" s="717">
        <v>2.5000000000000001E-2</v>
      </c>
      <c r="J88" s="281" t="s">
        <v>34</v>
      </c>
    </row>
    <row r="89" spans="2:10" ht="11.25" customHeight="1">
      <c r="D89" s="278" t="s">
        <v>2074</v>
      </c>
      <c r="E89" s="279">
        <v>25000</v>
      </c>
      <c r="F89" s="717">
        <v>2.5000000000000001E-2</v>
      </c>
      <c r="G89" s="279">
        <v>0</v>
      </c>
      <c r="H89" s="279">
        <v>25000</v>
      </c>
      <c r="I89" s="717">
        <v>2.5000000000000001E-2</v>
      </c>
      <c r="J89" s="281" t="s">
        <v>34</v>
      </c>
    </row>
    <row r="90" spans="2:10" ht="11.25" customHeight="1">
      <c r="D90" s="282" t="s">
        <v>2074</v>
      </c>
      <c r="E90" s="283">
        <v>25000</v>
      </c>
      <c r="F90" s="714">
        <v>2.5000000000000001E-2</v>
      </c>
      <c r="G90" s="283">
        <v>0</v>
      </c>
      <c r="H90" s="283">
        <v>25000</v>
      </c>
      <c r="I90" s="714">
        <v>2.5000000000000001E-2</v>
      </c>
      <c r="J90" s="285" t="s">
        <v>34</v>
      </c>
    </row>
    <row r="91" spans="2:10" ht="7.5" customHeight="1"/>
    <row r="92" spans="2:10" ht="11.25" customHeight="1">
      <c r="B92" s="266" t="s">
        <v>1343</v>
      </c>
      <c r="C92" s="266" t="s">
        <v>1343</v>
      </c>
      <c r="D92" s="770" t="s">
        <v>1426</v>
      </c>
      <c r="E92" s="296">
        <v>1325000</v>
      </c>
      <c r="F92" s="721">
        <v>1.325</v>
      </c>
      <c r="G92" s="771">
        <v>0</v>
      </c>
      <c r="H92" s="296">
        <v>1325000</v>
      </c>
      <c r="I92" s="781">
        <v>1.325</v>
      </c>
      <c r="J92" s="297"/>
    </row>
  </sheetData>
  <mergeCells count="9">
    <mergeCell ref="E72:F72"/>
    <mergeCell ref="H72:I72"/>
    <mergeCell ref="D72:D74"/>
    <mergeCell ref="J72:J74"/>
    <mergeCell ref="E2:F2"/>
    <mergeCell ref="D4:D6"/>
    <mergeCell ref="E4:F4"/>
    <mergeCell ref="H4:I4"/>
    <mergeCell ref="J4:J6"/>
  </mergeCells>
  <printOptions horizontalCentered="1"/>
  <pageMargins left="0.25" right="0.25" top="0.5" bottom="0.5" header="0" footer="0"/>
  <pageSetup paperSize="9" pageOrder="overThenDown" orientation="portrait" r:id="rId1"/>
  <headerFooter>
    <oddHeader>&amp;R&amp;G</oddHeader>
    <oddFooter>&amp;L&amp;10 21/03/2023</oddFooter>
  </headerFooter>
  <rowBreaks count="1" manualBreakCount="1">
    <brk id="69"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PrintPDF_rebalanceamento">
                <anchor moveWithCells="1" sizeWithCells="1">
                  <from>
                    <xdr:col>6</xdr:col>
                    <xdr:colOff>352425</xdr:colOff>
                    <xdr:row>0</xdr:row>
                    <xdr:rowOff>371475</xdr:rowOff>
                  </from>
                  <to>
                    <xdr:col>8</xdr:col>
                    <xdr:colOff>200025</xdr:colOff>
                    <xdr:row>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N88"/>
  <sheetViews>
    <sheetView showGridLines="0" zoomScale="85" zoomScaleNormal="85" workbookViewId="0">
      <pane ySplit="8" topLeftCell="A9" activePane="bottomLeft" state="frozen"/>
      <selection pane="bottomLeft" activeCell="F32" sqref="F32"/>
    </sheetView>
  </sheetViews>
  <sheetFormatPr defaultColWidth="10.69921875" defaultRowHeight="27"/>
  <cols>
    <col min="1" max="1" width="1.19921875" style="400" customWidth="1"/>
    <col min="2" max="4" width="2.09765625" style="396" hidden="1" customWidth="1"/>
    <col min="5" max="5" width="33.69921875" style="397" customWidth="1"/>
    <col min="6" max="6" width="14.796875" style="398" customWidth="1"/>
    <col min="7" max="7" width="6.69921875" style="398" customWidth="1"/>
    <col min="8" max="8" width="6.3984375" style="398" customWidth="1"/>
    <col min="9" max="9" width="8.09765625" style="399" customWidth="1"/>
    <col min="10" max="10" width="9.5" style="400" customWidth="1"/>
    <col min="11" max="11" width="8.09765625" style="400" customWidth="1"/>
    <col min="12" max="12" width="1" style="400" customWidth="1"/>
    <col min="13" max="13" width="14" style="401" customWidth="1"/>
    <col min="14" max="14" width="6.796875" style="400" customWidth="1"/>
    <col min="15" max="15" width="8.5" style="401" customWidth="1"/>
    <col min="16" max="16" width="1" style="400" customWidth="1"/>
    <col min="17" max="17" width="6.296875" style="402" customWidth="1"/>
    <col min="18" max="18" width="7.3984375" style="400" customWidth="1"/>
    <col min="19" max="19" width="6.296875" style="402" customWidth="1"/>
    <col min="20" max="20" width="7.59765625" style="400" customWidth="1"/>
    <col min="21" max="21" width="6.296875" style="402" customWidth="1"/>
    <col min="22" max="22" width="7.59765625" style="400" customWidth="1"/>
    <col min="23" max="23" width="6.296875" style="402" customWidth="1"/>
    <col min="24" max="24" width="9.09765625" style="400" customWidth="1"/>
    <col min="25" max="25" width="9.296875" style="402" customWidth="1"/>
    <col min="26" max="26" width="5.5" style="400" customWidth="1"/>
    <col min="27" max="27" width="1" style="400" customWidth="1"/>
    <col min="28" max="28" width="9.19921875" style="400" customWidth="1"/>
    <col min="29" max="29" width="10" style="400" customWidth="1"/>
    <col min="30" max="30" width="9.59765625" style="400" customWidth="1"/>
    <col min="31" max="31" width="23.296875" style="400" customWidth="1"/>
    <col min="32" max="36" width="8.8984375" style="400" customWidth="1"/>
    <col min="37" max="16384" width="10.69921875" style="400"/>
  </cols>
  <sheetData>
    <row r="1" spans="2:40" s="313" customFormat="1" ht="18.95" customHeight="1" thickBot="1">
      <c r="B1" s="311"/>
      <c r="C1" s="311"/>
      <c r="D1" s="311"/>
      <c r="E1" s="686"/>
      <c r="F1" s="312"/>
      <c r="Y1" s="314"/>
      <c r="AD1" s="1011" t="str">
        <f>IF(OR(AND(ROUND(N86,2)&lt;&gt;1,N10+N40+N56&lt;&gt;0), AND(ROUND(O86,2)&lt;&gt;1,O10+O40+O56&lt;&gt;0)), "Atenção! O portfólio não totaliza 100%", "")</f>
        <v/>
      </c>
      <c r="AE1" s="1011"/>
      <c r="AF1" s="724"/>
      <c r="AG1" s="722"/>
      <c r="AH1" s="99"/>
      <c r="AM1" s="99"/>
    </row>
    <row r="2" spans="2:40" s="99" customFormat="1" ht="18.95" customHeight="1" thickBot="1">
      <c r="B2" s="315"/>
      <c r="C2" s="315"/>
      <c r="D2" s="315"/>
      <c r="E2" s="1020" t="s">
        <v>1425</v>
      </c>
      <c r="F2" s="316"/>
      <c r="J2" s="313"/>
      <c r="K2" s="317" t="s">
        <v>1423</v>
      </c>
      <c r="L2" s="1023" t="s">
        <v>1368</v>
      </c>
      <c r="M2" s="1023"/>
      <c r="N2" s="313"/>
      <c r="X2" s="318" t="s">
        <v>1411</v>
      </c>
      <c r="Y2" s="272">
        <v>43831</v>
      </c>
      <c r="AD2" s="1011" t="str" cm="1">
        <f t="array" aca="1" ref="AD2" ca="1">IF(SUM(IF($K:$K="Não", 1, 0))&gt;0, "Atenção! Há fundos fechados na carteira", "")</f>
        <v/>
      </c>
      <c r="AE2" s="1011"/>
      <c r="AF2" s="724"/>
      <c r="AG2" s="722"/>
      <c r="AI2" s="313"/>
      <c r="AJ2" s="313"/>
      <c r="AK2" s="313"/>
      <c r="AL2" s="313"/>
    </row>
    <row r="3" spans="2:40" s="99" customFormat="1" ht="18.95" customHeight="1" thickBot="1">
      <c r="B3" s="315"/>
      <c r="C3" s="315"/>
      <c r="D3" s="315"/>
      <c r="E3" s="1020"/>
      <c r="F3" s="316"/>
      <c r="G3" s="316"/>
      <c r="H3" s="319"/>
      <c r="J3" s="313"/>
      <c r="K3" s="651" t="s">
        <v>640</v>
      </c>
      <c r="L3" s="320"/>
      <c r="M3" s="271">
        <v>5000000</v>
      </c>
      <c r="O3" s="321"/>
      <c r="T3" s="322" t="s">
        <v>1424</v>
      </c>
      <c r="U3" s="1009" t="s">
        <v>620</v>
      </c>
      <c r="V3" s="1010"/>
      <c r="X3" s="526" t="s">
        <v>1412</v>
      </c>
      <c r="Y3" s="527">
        <f ca="1">EOMONTH(TODAY(),-1)</f>
        <v>45016</v>
      </c>
      <c r="AD3" s="1022" t="str" cm="1">
        <f t="array" aca="1" ref="AD3" ca="1">IF(COUNT(IF(IF(IF(LEN($J$12:$J$86)&gt;1, $J$12:$J$86,0)&gt;$Y$2, 1,0) - (IF(IF($J$12:$J$86&gt;$Y$2, $AB$12:$AB$86,0)&lt;&gt;0, 1,0) + IF(IF($J$12:$J$86&gt;$Y$2, $AC$12:$AC$86,0)&lt;&gt;0, 1,0) + IF(IF($J$12:$J$86&gt;$Y$2, $AD$12:$AD$86,0)&lt;&gt;0, 1,0))&gt;0, 1))+
COUNT(IF(IF(IF(LEN($F$12:$F$86)&gt;12, $Q$12:$Q$86)=0, 1,0) - (IF(IF(LEN($F$12:$F$86)&gt;1, $AB$12:$AB$86,0)&lt;&gt;0, 1,0) + IF(IF(LEN($F$12:$F$86)&gt;1, $AC$12:$AC$86,0)&lt;&gt;0, 1,0) + IF(IF(LEN($F$12:$F$86)&gt;1, $AD$12:$AD$86,0)&lt;&gt;0, 1,0))&gt;0, 1))+
COUNT(IF(IF(RIGHT($F$12:$F$86,6)="B.Side", 1,0) - (IF(IF(LEN($F$12:$F$86)&gt;1, $AB$12:$AB$86,0)&lt;&gt;0, 1,0) + IF(IF(LEN($F$12:$F$86)&gt;1, $AC$12:$AC$86,0)&lt;&gt;0, 1,0) + IF(IF(LEN($F$12:$F$86)&gt;1, $AD$12:$AD$86,0)&lt;&gt;0, 1,0))&gt;0, 1))&gt;0, "Atenção! Há fundos com histórico inferior ao período de simulação ou sem cotas cadastradas. Adicione uma Proxy de Performance.", "")</f>
        <v/>
      </c>
      <c r="AE3" s="1022"/>
      <c r="AF3" s="1022"/>
      <c r="AG3" s="1022"/>
      <c r="AH3" s="1022"/>
      <c r="AI3" s="313"/>
      <c r="AJ3" s="313"/>
      <c r="AK3" s="313"/>
      <c r="AL3" s="313"/>
    </row>
    <row r="4" spans="2:40" s="99" customFormat="1" ht="18.75" customHeight="1" thickBot="1">
      <c r="B4" s="315"/>
      <c r="C4" s="315"/>
      <c r="D4" s="315"/>
      <c r="E4" s="1020"/>
      <c r="I4" s="623"/>
      <c r="J4" s="313"/>
      <c r="M4" s="323"/>
      <c r="N4" s="323"/>
      <c r="O4" s="323"/>
      <c r="Q4" s="324"/>
      <c r="S4" s="325"/>
      <c r="U4" s="325"/>
      <c r="X4" s="528" t="s">
        <v>2443</v>
      </c>
      <c r="Y4" s="273" t="s">
        <v>64</v>
      </c>
      <c r="AD4" s="1022"/>
      <c r="AE4" s="1022"/>
      <c r="AF4" s="1022"/>
      <c r="AG4" s="1022"/>
      <c r="AH4" s="1022"/>
      <c r="AI4" s="313"/>
      <c r="AJ4" s="313"/>
      <c r="AK4" s="313"/>
      <c r="AL4" s="313"/>
      <c r="AM4" s="331"/>
    </row>
    <row r="5" spans="2:40" s="331" customFormat="1" ht="5.25" customHeight="1">
      <c r="B5" s="329"/>
      <c r="C5" s="329"/>
      <c r="D5" s="329"/>
      <c r="AD5" s="723"/>
      <c r="AE5" s="723"/>
      <c r="AF5" s="723"/>
      <c r="AG5" s="723"/>
      <c r="AH5" s="723"/>
      <c r="AI5" s="99"/>
      <c r="AJ5" s="99"/>
      <c r="AK5" s="99"/>
      <c r="AL5" s="99"/>
      <c r="AM5" s="328"/>
    </row>
    <row r="6" spans="2:40" s="328" customFormat="1" ht="24" customHeight="1">
      <c r="B6" s="326"/>
      <c r="C6" s="326"/>
      <c r="D6" s="326"/>
      <c r="E6" s="327"/>
      <c r="F6" s="1004" t="s">
        <v>1367</v>
      </c>
      <c r="G6" s="1005"/>
      <c r="H6" s="1005"/>
      <c r="I6" s="1005"/>
      <c r="J6" s="1005"/>
      <c r="K6" s="327"/>
      <c r="M6" s="1004" t="s">
        <v>1349</v>
      </c>
      <c r="N6" s="1005"/>
      <c r="O6" s="1005"/>
      <c r="Q6" s="1021" t="s">
        <v>1350</v>
      </c>
      <c r="R6" s="1005"/>
      <c r="S6" s="1005"/>
      <c r="T6" s="1005"/>
      <c r="U6" s="1005"/>
      <c r="V6" s="1005"/>
      <c r="W6" s="1005"/>
      <c r="X6" s="1005"/>
      <c r="Y6" s="1005"/>
      <c r="Z6" s="1005"/>
      <c r="AB6" s="1004" t="s">
        <v>1351</v>
      </c>
      <c r="AC6" s="1005"/>
      <c r="AD6" s="1005"/>
      <c r="AE6" s="331"/>
      <c r="AF6" s="331"/>
      <c r="AG6" s="331"/>
      <c r="AH6" s="331"/>
      <c r="AI6" s="331"/>
      <c r="AJ6" s="331"/>
      <c r="AK6" s="331"/>
      <c r="AL6" s="331"/>
      <c r="AM6" s="331"/>
      <c r="AN6" s="331"/>
    </row>
    <row r="7" spans="2:40" s="331" customFormat="1" ht="5.25" customHeight="1">
      <c r="B7" s="329"/>
      <c r="C7" s="329"/>
      <c r="D7" s="329"/>
      <c r="E7" s="330"/>
      <c r="M7" s="332"/>
      <c r="N7" s="333"/>
      <c r="O7" s="332"/>
      <c r="Q7" s="334"/>
      <c r="S7" s="334"/>
      <c r="U7" s="334"/>
      <c r="W7" s="334"/>
      <c r="Y7" s="334"/>
      <c r="AE7" s="688"/>
      <c r="AF7" s="688"/>
      <c r="AG7" s="688"/>
      <c r="AH7" s="338"/>
      <c r="AI7" s="338"/>
      <c r="AJ7" s="338"/>
      <c r="AK7" s="338"/>
      <c r="AL7" s="338"/>
      <c r="AM7" s="338"/>
      <c r="AN7" s="338"/>
    </row>
    <row r="8" spans="2:40" s="338" customFormat="1" ht="31.5">
      <c r="B8" s="335"/>
      <c r="C8" s="335"/>
      <c r="D8" s="335"/>
      <c r="E8" s="336" t="s">
        <v>715</v>
      </c>
      <c r="F8" s="337" t="s">
        <v>31</v>
      </c>
      <c r="G8" s="337" t="s">
        <v>33</v>
      </c>
      <c r="H8" s="337" t="s">
        <v>8</v>
      </c>
      <c r="I8" s="337" t="s">
        <v>1408</v>
      </c>
      <c r="J8" s="337" t="s">
        <v>706</v>
      </c>
      <c r="K8" s="487" t="s">
        <v>1438</v>
      </c>
      <c r="M8" s="337" t="s">
        <v>10</v>
      </c>
      <c r="N8" s="339" t="s">
        <v>1347</v>
      </c>
      <c r="O8" s="339" t="s">
        <v>1348</v>
      </c>
      <c r="Q8" s="337" t="s">
        <v>708</v>
      </c>
      <c r="R8" s="339" t="s">
        <v>709</v>
      </c>
      <c r="S8" s="337" t="s">
        <v>710</v>
      </c>
      <c r="T8" s="339" t="s">
        <v>711</v>
      </c>
      <c r="U8" s="337" t="s">
        <v>712</v>
      </c>
      <c r="V8" s="339" t="s">
        <v>1329</v>
      </c>
      <c r="W8" s="337" t="s">
        <v>1330</v>
      </c>
      <c r="X8" s="339" t="s">
        <v>713</v>
      </c>
      <c r="Y8" s="337" t="s">
        <v>714</v>
      </c>
      <c r="Z8" s="339" t="s">
        <v>605</v>
      </c>
      <c r="AB8" s="337" t="s">
        <v>654</v>
      </c>
      <c r="AC8" s="339" t="s">
        <v>1352</v>
      </c>
      <c r="AD8" s="339" t="s">
        <v>1353</v>
      </c>
      <c r="AE8" s="331"/>
      <c r="AF8" s="331"/>
      <c r="AG8" s="331"/>
      <c r="AH8" s="331"/>
      <c r="AI8" s="331"/>
      <c r="AJ8" s="331"/>
      <c r="AK8" s="331"/>
      <c r="AL8" s="331"/>
      <c r="AM8" s="331"/>
      <c r="AN8" s="331"/>
    </row>
    <row r="9" spans="2:40" s="331" customFormat="1" ht="5.25" customHeight="1">
      <c r="B9" s="329"/>
      <c r="C9" s="329"/>
      <c r="D9" s="329"/>
      <c r="E9" s="340"/>
      <c r="F9" s="341"/>
      <c r="G9" s="341"/>
      <c r="H9" s="341"/>
      <c r="I9" s="342"/>
      <c r="J9" s="342"/>
      <c r="K9" s="342"/>
      <c r="M9" s="342"/>
      <c r="Q9" s="342"/>
      <c r="S9" s="342"/>
      <c r="U9" s="342"/>
      <c r="W9" s="342"/>
      <c r="Y9" s="342"/>
      <c r="AB9" s="342"/>
      <c r="AE9" s="347"/>
      <c r="AF9" s="347"/>
      <c r="AG9" s="347"/>
      <c r="AH9" s="347"/>
      <c r="AI9" s="347"/>
      <c r="AJ9" s="347"/>
      <c r="AK9" s="347"/>
      <c r="AL9" s="347"/>
      <c r="AM9" s="347"/>
      <c r="AN9" s="347"/>
    </row>
    <row r="10" spans="2:40" s="347" customFormat="1" ht="14.25" customHeight="1">
      <c r="B10" s="343"/>
      <c r="C10" s="343"/>
      <c r="D10" s="343" t="s">
        <v>1394</v>
      </c>
      <c r="E10" s="344" t="s">
        <v>11</v>
      </c>
      <c r="F10" s="345"/>
      <c r="G10" s="345"/>
      <c r="H10" s="345"/>
      <c r="I10" s="346"/>
      <c r="J10" s="346"/>
      <c r="K10" s="346"/>
      <c r="M10" s="348">
        <f>IFERROR(IF(M12+M15+M26+M37=0, 0,M12+M15+M26+M37),"")</f>
        <v>0</v>
      </c>
      <c r="N10" s="349">
        <f>N12+N15+N26+N37</f>
        <v>0</v>
      </c>
      <c r="O10" s="350">
        <f>O12+O15+O26+O37</f>
        <v>0</v>
      </c>
      <c r="Q10" s="346"/>
      <c r="R10" s="350"/>
      <c r="S10" s="346"/>
      <c r="T10" s="350"/>
      <c r="U10" s="346"/>
      <c r="V10" s="350"/>
      <c r="W10" s="346"/>
      <c r="X10" s="350"/>
      <c r="Y10" s="346"/>
      <c r="Z10" s="350"/>
      <c r="AB10" s="346"/>
      <c r="AC10" s="350"/>
      <c r="AD10" s="350"/>
      <c r="AE10" s="331"/>
      <c r="AF10" s="331"/>
      <c r="AG10" s="331"/>
      <c r="AH10" s="331"/>
      <c r="AI10" s="331"/>
      <c r="AJ10" s="331"/>
      <c r="AK10" s="331"/>
      <c r="AL10" s="331"/>
      <c r="AM10" s="331"/>
      <c r="AN10" s="331"/>
    </row>
    <row r="11" spans="2:40" s="331" customFormat="1" ht="5.25" customHeight="1">
      <c r="B11" s="329"/>
      <c r="C11" s="329"/>
      <c r="D11" s="329"/>
      <c r="E11" s="340"/>
      <c r="F11" s="341"/>
      <c r="G11" s="341"/>
      <c r="H11" s="341"/>
      <c r="I11" s="342"/>
      <c r="J11" s="342"/>
      <c r="K11" s="342"/>
      <c r="M11" s="351"/>
      <c r="Q11" s="342"/>
      <c r="S11" s="342"/>
      <c r="U11" s="342"/>
      <c r="W11" s="342"/>
      <c r="Y11" s="342"/>
      <c r="AB11" s="342"/>
      <c r="AE11" s="347"/>
      <c r="AF11" s="347"/>
      <c r="AG11" s="347"/>
      <c r="AH11" s="347"/>
      <c r="AI11" s="347"/>
      <c r="AJ11" s="347"/>
      <c r="AK11" s="347"/>
      <c r="AL11" s="347"/>
      <c r="AM11" s="347"/>
      <c r="AN11" s="347"/>
    </row>
    <row r="12" spans="2:40" s="347" customFormat="1" ht="14.25" customHeight="1">
      <c r="B12" s="343"/>
      <c r="C12" s="343" t="s">
        <v>12</v>
      </c>
      <c r="D12" s="343" t="s">
        <v>12</v>
      </c>
      <c r="E12" s="352" t="s">
        <v>620</v>
      </c>
      <c r="F12" s="353"/>
      <c r="G12" s="353"/>
      <c r="H12" s="353"/>
      <c r="I12" s="354"/>
      <c r="J12" s="354"/>
      <c r="K12" s="354"/>
      <c r="M12" s="355">
        <f>IFERROR(IF(N12=0, 0, N12*$M$3),0)</f>
        <v>0</v>
      </c>
      <c r="N12" s="489"/>
      <c r="O12" s="356">
        <f>IF(N12=0,0,ROUND(SUM(O13:O14)*N12,5))</f>
        <v>0</v>
      </c>
      <c r="Q12" s="354"/>
      <c r="R12" s="356"/>
      <c r="S12" s="354"/>
      <c r="T12" s="356"/>
      <c r="U12" s="354"/>
      <c r="V12" s="356"/>
      <c r="W12" s="354"/>
      <c r="X12" s="356"/>
      <c r="Y12" s="354"/>
      <c r="Z12" s="356"/>
      <c r="AB12" s="354"/>
      <c r="AC12" s="356"/>
      <c r="AD12" s="356"/>
      <c r="AE12" s="363"/>
      <c r="AF12" s="363"/>
      <c r="AG12" s="363"/>
      <c r="AH12" s="363"/>
      <c r="AI12" s="363"/>
      <c r="AJ12" s="363"/>
      <c r="AK12" s="363"/>
      <c r="AL12" s="363"/>
      <c r="AM12" s="363"/>
      <c r="AN12" s="363"/>
    </row>
    <row r="13" spans="2:40" s="363" customFormat="1" ht="14.25" customHeight="1">
      <c r="B13" s="357"/>
      <c r="C13" s="357"/>
      <c r="D13" s="357"/>
      <c r="E13" s="268"/>
      <c r="F13" s="358" t="str">
        <f ca="1">IF($E13="", "", IFERROR(INDEX(OFFSET('Fund Guide'!$B$5,1,MATCH(F$8,OFFSET('Fund Guide'!$B$5,,,,COUNTA('Fund Guide'!6:6)),0)-1,COUNTA('Fund Guide'!$B:$B)-COUNTA('Fund Guide'!$B$2:$B$5)),MATCH($E13,OFFSET('Fund Guide'!$B$5,1,,COUNTA('Fund Guide'!$B:$B)-COUNTA('Fund Guide'!$B$2:$B$5)),0)),"-"))</f>
        <v/>
      </c>
      <c r="G13" s="359" t="str">
        <f ca="1">IF($E13="", "", IFERROR(INDEX(OFFSET('Fund Guide'!$B$5,1,MATCH(G$8,OFFSET('Fund Guide'!$B$5,,,,COUNTA('Fund Guide'!$5:$5)),0)-1,COUNTA('Fund Guide'!$B:$B)-COUNTA('Fund Guide'!$B$2:$B$5)),MATCH($E13,OFFSET('Fund Guide'!$B$5,1,,COUNTA('Fund Guide'!$B:$B)-COUNTA('Fund Guide'!$B$2:$B$5)),0)),
IFERROR(IF(OR(LEFT($E13,3)="NTN",LEFT($E13,3)="LFT"),DATE(_xlfn.NUMBERVALUE(RIGHT(LEFT($E13,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360"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
      </c>
      <c r="I13" s="361"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
      </c>
      <c r="J13" s="362" t="str" cm="1">
        <f t="array" aca="1" ref="J13" ca="1">IF($E13="", "", IFERROR(INDEX(OFFSET('Fund Guide'!$B$5,1,MATCH(J$8,OFFSET('Fund Guide'!$B$5,,,,COUNTA('Fund Guide'!$5:$5)),0)-1,COUNTA('Fund Guide'!$B:$B)-COUNTA('Fund Guide'!$B$2:$B$5)),MATCH($E13,OFFSET('Fund Guide'!$B$5,1,,COUNTA('Fund Guide'!$B:$B)-COUNTA('Fund Guide'!$B$2:$B$5)),0)),
IFERROR(INDEX(OFFSET('RF &amp; RV Guide'!$X$10,1, , 100),MATCH(IF(FIND("(", $E13)&gt;0, LEFT($E13, FIND("(", $E13)-1),), IFERROR(IF(FIND("(", OFFSET('RF &amp; RV Guide'!$E$10,1,,200))&gt;0, LEFT(OFFSET('RF &amp; RV Guide'!$E$10,1,,200), FIND("(", $E13)-1),),"-"),0)),
IFERROR(INDEX(OFFSET('RF &amp; RV Guide'!$X$10,1, , 100),MATCH($E13, OFFSET('RF &amp; RV Guide'!$E$10,1,,200),0)),"-"))))</f>
        <v/>
      </c>
      <c r="K13" s="362"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
      </c>
      <c r="M13" s="364" t="str">
        <f t="shared" ref="M13" si="0">IFERROR(IF(N13=0, "", N13*$M$3),0)</f>
        <v/>
      </c>
      <c r="N13" s="198"/>
      <c r="O13" s="365" t="str">
        <f t="shared" ref="O13" si="1">IFERROR(IF(N13=0, "", N13/N$12),0)</f>
        <v/>
      </c>
      <c r="Q13" s="687" t="str">
        <f ca="1">IF($E13="", "", IFERROR(INDEX(OFFSET('Fund Guide'!$B$5,1,MATCH(Q$8,OFFSET('Fund Guide'!$B$5,,,,COUNTA('Fund Guide'!6:6)),0)-1,COUNTA('Fund Guide'!$B:$B)-COUNTA('Fund Guide'!$B$2:$B$5)),MATCH($E13,OFFSET('Fund Guide'!$B$5,1,,COUNTA('Fund Guide'!$B:$B)-COUNTA('Fund Guide'!$B$2:$B$5)),0)),0))</f>
        <v/>
      </c>
      <c r="R13" s="683" t="str">
        <f ca="1">IF($E13="", "", IFERROR(INDEX(OFFSET('Fund Guide'!$B$5,1,MATCH(R$8,OFFSET('Fund Guide'!$B$5,,,,COUNTA('Fund Guide'!6:6)),0)-1,COUNTA('Fund Guide'!$B:$B)-COUNTA('Fund Guide'!$B$2:$B$5)),MATCH($E13,OFFSET('Fund Guide'!$B$5,1,,COUNTA('Fund Guide'!$B:$B)-COUNTA('Fund Guide'!$B$2:$B$5)),0)),0))</f>
        <v/>
      </c>
      <c r="S13" s="687" t="str">
        <f ca="1">IF($E13="", "", IFERROR(INDEX(OFFSET('Fund Guide'!$B$5,1,MATCH(S$8,OFFSET('Fund Guide'!$B$5,,,,COUNTA('Fund Guide'!6:6)),0)-1,COUNTA('Fund Guide'!$B:$B)-COUNTA('Fund Guide'!$B$2:$B$5)),MATCH($E13,OFFSET('Fund Guide'!$B$5,1,,COUNTA('Fund Guide'!$B:$B)-COUNTA('Fund Guide'!$B$2:$B$5)),0)),0))</f>
        <v/>
      </c>
      <c r="T13" s="683" t="str">
        <f ca="1">IF($E13="", "", IFERROR(INDEX(OFFSET('Fund Guide'!$B$5,1,MATCH(T$8,OFFSET('Fund Guide'!$B$5,,,,COUNTA('Fund Guide'!6:6)),0)-1,COUNTA('Fund Guide'!$B:$B)-COUNTA('Fund Guide'!$B$2:$B$5)),MATCH($E13,OFFSET('Fund Guide'!$B$5,1,,COUNTA('Fund Guide'!$B:$B)-COUNTA('Fund Guide'!$B$2:$B$5)),0)),0))</f>
        <v/>
      </c>
      <c r="U13" s="687" t="str">
        <f ca="1">IF($E13="", "", IFERROR(INDEX(OFFSET('Fund Guide'!$B$5,1,MATCH(U$8,OFFSET('Fund Guide'!$B$5,,,,COUNTA('Fund Guide'!6:6)),0)-1,COUNTA('Fund Guide'!$B:$B)-COUNTA('Fund Guide'!$B$2:$B$5)),MATCH($E13,OFFSET('Fund Guide'!$B$5,1,,COUNTA('Fund Guide'!$B:$B)-COUNTA('Fund Guide'!$B$2:$B$5)),0)),0))</f>
        <v/>
      </c>
      <c r="V13" s="683" t="str">
        <f ca="1">IF($E13="", "", IFERROR(INDEX(OFFSET('Fund Guide'!$B$5,1,MATCH(V$8,OFFSET('Fund Guide'!$B$5,,,,COUNTA('Fund Guide'!6:6)),0)-1,COUNTA('Fund Guide'!$B:$B)-COUNTA('Fund Guide'!$B$2:$B$5)),MATCH($E13,OFFSET('Fund Guide'!$B$5,1,,COUNTA('Fund Guide'!$B:$B)-COUNTA('Fund Guide'!$B$2:$B$5)),0)),0))</f>
        <v/>
      </c>
      <c r="W13" s="687" t="str">
        <f ca="1">IF($E13="", "", IFERROR(INDEX(OFFSET('Fund Guide'!$B$5,1,MATCH(W$8,OFFSET('Fund Guide'!$B$5,,,,COUNTA('Fund Guide'!6:6)),0)-1,COUNTA('Fund Guide'!$B:$B)-COUNTA('Fund Guide'!$B$2:$B$5)),MATCH($E13,OFFSET('Fund Guide'!$B$5,1,,COUNTA('Fund Guide'!$B:$B)-COUNTA('Fund Guide'!$B$2:$B$5)),0)),0))</f>
        <v/>
      </c>
      <c r="X13" s="683" t="str">
        <f ca="1">IF($E13="", "", IFERROR(INDEX(OFFSET('Fund Guide'!$B$5,1,MATCH(X$8,OFFSET('Fund Guide'!$B$5,,,,COUNTA('Fund Guide'!6:6)),0)-1,COUNTA('Fund Guide'!$B:$B)-COUNTA('Fund Guide'!$B$2:$B$5)),MATCH($E13,OFFSET('Fund Guide'!$B$5,1,,COUNTA('Fund Guide'!$B:$B)-COUNTA('Fund Guide'!$B$2:$B$5)),0)),0))</f>
        <v/>
      </c>
      <c r="Y13" s="684" t="str">
        <f ca="1">IF($E13="", "", IFERROR(INDEX(OFFSET('Fund Guide'!$B$5,1,MATCH(Y$8,OFFSET('Fund Guide'!$B$5,,,,COUNTA('Fund Guide'!6:6)),0)-1,COUNTA('Fund Guide'!$B:$B)-COUNTA('Fund Guide'!$B$2:$B$5)),MATCH($E13,OFFSET('Fund Guide'!$B$5,1,,COUNTA('Fund Guide'!$B:$B)-COUNTA('Fund Guide'!$B$2:$B$5)),0)),0))</f>
        <v/>
      </c>
      <c r="Z13" s="685" t="str">
        <f ca="1">IF($E13="", "", IFERROR(INDEX(OFFSET('Fund Guide'!$B$5,1,MATCH(Z$8,OFFSET('Fund Guide'!$B$5,,,,COUNTA('Fund Guide'!6:6)),0)-1,COUNTA('Fund Guide'!$B:$B)-COUNTA('Fund Guide'!$B$2:$B$5)),MATCH($E13,OFFSET('Fund Guide'!$B$5,1,,COUNTA('Fund Guide'!$B:$B)-COUNTA('Fund Guide'!$B$2:$B$5)),0)),0))</f>
        <v/>
      </c>
      <c r="AB13" s="199"/>
      <c r="AC13" s="199"/>
      <c r="AD13" s="198"/>
      <c r="AF13" s="729"/>
      <c r="AG13" s="730"/>
      <c r="AH13" s="731"/>
      <c r="AI13" s="728" t="b">
        <f t="shared" ref="AI13" ca="1" si="2">OR(AND($J13&gt;$Y$2, $J13&lt;&gt;"-", $J13&lt;&gt;"", $AB13="", $AC13="", $AD13=""),AND($F13&lt;&gt;"-", $Q13=0, $AB13="", $AC13="", $AD13=""), AND(RIGHT($E13,6)="B.Side", $Q13=0, $AB13="", $AC13="", $AD13=""))</f>
        <v>0</v>
      </c>
    </row>
    <row r="14" spans="2:40" s="331" customFormat="1" ht="5.25" customHeight="1">
      <c r="B14" s="329"/>
      <c r="C14" s="329"/>
      <c r="D14" s="329"/>
      <c r="E14" s="366"/>
      <c r="F14" s="367"/>
      <c r="G14" s="341"/>
      <c r="H14" s="341"/>
      <c r="I14" s="342"/>
      <c r="J14" s="342"/>
      <c r="K14" s="342"/>
      <c r="M14" s="351"/>
      <c r="Q14" s="342"/>
      <c r="S14" s="342"/>
      <c r="U14" s="342"/>
      <c r="W14" s="342"/>
      <c r="Y14" s="342"/>
      <c r="AB14" s="342"/>
      <c r="AE14" s="347"/>
      <c r="AF14" s="729"/>
      <c r="AG14" s="730"/>
      <c r="AH14" s="731"/>
      <c r="AI14" s="347"/>
      <c r="AJ14" s="347"/>
      <c r="AK14" s="347"/>
      <c r="AL14" s="347"/>
      <c r="AM14" s="347"/>
      <c r="AN14" s="347"/>
    </row>
    <row r="15" spans="2:40" s="347" customFormat="1" ht="14.25" customHeight="1">
      <c r="B15" s="343"/>
      <c r="C15" s="343" t="s">
        <v>1394</v>
      </c>
      <c r="D15" s="343" t="s">
        <v>12</v>
      </c>
      <c r="E15" s="352" t="s">
        <v>621</v>
      </c>
      <c r="F15" s="353"/>
      <c r="G15" s="353"/>
      <c r="H15" s="353"/>
      <c r="I15" s="354"/>
      <c r="J15" s="354"/>
      <c r="K15" s="354"/>
      <c r="M15" s="355">
        <f>IFERROR(IF(N15=0, 0, N15*$M$3),0)</f>
        <v>0</v>
      </c>
      <c r="N15" s="202">
        <f>N17+N20+N23</f>
        <v>0</v>
      </c>
      <c r="O15" s="356">
        <f>ROUND(O17+O20+O23,5)</f>
        <v>0</v>
      </c>
      <c r="Q15" s="354"/>
      <c r="R15" s="356"/>
      <c r="S15" s="354"/>
      <c r="T15" s="356"/>
      <c r="U15" s="354"/>
      <c r="V15" s="356"/>
      <c r="W15" s="354"/>
      <c r="X15" s="356"/>
      <c r="Y15" s="354"/>
      <c r="Z15" s="356"/>
      <c r="AB15" s="354"/>
      <c r="AC15" s="356"/>
      <c r="AD15" s="356"/>
      <c r="AE15" s="372"/>
      <c r="AF15" s="729"/>
      <c r="AG15" s="730"/>
      <c r="AH15" s="731"/>
      <c r="AI15" s="372"/>
      <c r="AJ15" s="372"/>
      <c r="AK15" s="372"/>
      <c r="AL15" s="372"/>
      <c r="AM15" s="372"/>
      <c r="AN15" s="372"/>
    </row>
    <row r="16" spans="2:40" s="372" customFormat="1" ht="3" customHeight="1">
      <c r="B16" s="368"/>
      <c r="C16" s="368"/>
      <c r="D16" s="368"/>
      <c r="E16" s="369"/>
      <c r="F16" s="370"/>
      <c r="G16" s="370"/>
      <c r="H16" s="370"/>
      <c r="I16" s="371"/>
      <c r="J16" s="371"/>
      <c r="K16" s="371"/>
      <c r="M16" s="373"/>
      <c r="N16" s="374"/>
      <c r="Q16" s="371"/>
      <c r="S16" s="371"/>
      <c r="U16" s="371"/>
      <c r="W16" s="371"/>
      <c r="Y16" s="371"/>
      <c r="AB16" s="371"/>
      <c r="AE16" s="347"/>
      <c r="AF16" s="729"/>
      <c r="AG16" s="730"/>
      <c r="AH16" s="731"/>
      <c r="AI16" s="347"/>
      <c r="AJ16" s="347"/>
      <c r="AK16" s="347"/>
      <c r="AL16" s="347"/>
      <c r="AM16" s="347"/>
      <c r="AN16" s="347"/>
    </row>
    <row r="17" spans="2:40" s="347" customFormat="1" ht="14.25" customHeight="1">
      <c r="B17" s="343"/>
      <c r="C17" s="343"/>
      <c r="D17" s="343" t="s">
        <v>12</v>
      </c>
      <c r="E17" s="375" t="s">
        <v>2747</v>
      </c>
      <c r="F17" s="376"/>
      <c r="G17" s="376"/>
      <c r="H17" s="376"/>
      <c r="I17" s="377"/>
      <c r="J17" s="377"/>
      <c r="K17" s="377"/>
      <c r="M17" s="378">
        <f>IFERROR(IF(N17=0, 0, N17*$M$3),0)</f>
        <v>0</v>
      </c>
      <c r="N17" s="490"/>
      <c r="O17" s="379">
        <f>IF(N17=0, 0, SUM(O18:O19)*N17)</f>
        <v>0</v>
      </c>
      <c r="Q17" s="377"/>
      <c r="R17" s="379"/>
      <c r="S17" s="377"/>
      <c r="T17" s="379"/>
      <c r="U17" s="377"/>
      <c r="V17" s="379"/>
      <c r="W17" s="377"/>
      <c r="X17" s="379"/>
      <c r="Y17" s="377"/>
      <c r="Z17" s="379"/>
      <c r="AB17" s="377"/>
      <c r="AC17" s="379"/>
      <c r="AD17" s="379"/>
      <c r="AE17" s="403"/>
      <c r="AF17" s="729"/>
      <c r="AG17" s="730"/>
      <c r="AH17" s="731"/>
      <c r="AI17" s="363"/>
      <c r="AJ17" s="363"/>
      <c r="AK17" s="363"/>
      <c r="AL17" s="363"/>
      <c r="AM17" s="363"/>
      <c r="AN17" s="363"/>
    </row>
    <row r="18" spans="2:40" s="363" customFormat="1" ht="14.25" customHeight="1">
      <c r="B18" s="357"/>
      <c r="C18" s="357"/>
      <c r="D18" s="357"/>
      <c r="E18" s="268"/>
      <c r="F18" s="358" t="str">
        <f ca="1">IF($E18="", "", IFERROR(INDEX(OFFSET('Fund Guide'!$B$5,1,MATCH(F$8,OFFSET('Fund Guide'!$B$5,,,,COUNTA('Fund Guide'!11:11)),0)-1,COUNTA('Fund Guide'!$B:$B)-COUNTA('Fund Guide'!$B$2:$B$5)),MATCH($E18,OFFSET('Fund Guide'!$B$5,1,,COUNTA('Fund Guide'!$B:$B)-COUNTA('Fund Guide'!$B$2:$B$5)),0)),"-"))</f>
        <v/>
      </c>
      <c r="G18" s="359" t="str">
        <f ca="1">IF($E18="", "", IFERROR(INDEX(OFFSET('Fund Guide'!$B$5,1,MATCH(G$8,OFFSET('Fund Guide'!$B$5,,,,COUNTA('Fund Guide'!$5:$5)),0)-1,COUNTA('Fund Guide'!$B:$B)-COUNTA('Fund Guide'!$B$2:$B$5)),MATCH($E18,OFFSET('Fund Guide'!$B$5,1,,COUNTA('Fund Guide'!$B:$B)-COUNTA('Fund Guide'!$B$2:$B$5)),0)),
IFERROR(IF(OR(LEFT($E18,3)="NTN",LEFT($E18,3)="LFT"),DATE(_xlfn.NUMBERVALUE(RIGHT(LEFT($E18,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360" t="str">
        <f ca="1">IF($E18="", "", IFERROR(INDEX(OFFSET('Fund Guide'!$B$5,1,MATCH(H$8,OFFSET('Fund Guide'!$B$5,,,,COUNTA('Fund Guide'!#REF!)),0)-1,COUNTA('Fund Guide'!$B:$B)-COUNTA('Fund Guide'!$B$2:$B$5)),MATCH($E18,OFFSET('Fund Guide'!$B$5,1,,COUNTA('Fund Guide'!$B:$B)-COUNTA('Fund Guide'!$B$2:$B$5)),0)),IFERROR(OFFSET('RF &amp; RV Guide'!$E$8,2+MATCH($E18, OFFSET('RF &amp; RV Guide'!$E$8,3,,200), 0),-1+MATCH(H$8, OFFSET('RF &amp; RV Guide'!$E$8,,,,COUNTA('RF &amp; RV Guide'!$8:$8)-COUNTA('RF &amp; RV Guide'!$A$8:$E$8)),0)),"BRL")))</f>
        <v/>
      </c>
      <c r="I18" s="361"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
      </c>
      <c r="J18" s="362" t="str" cm="1">
        <f t="array" aca="1" ref="J18" ca="1">IF($E18="", "", IFERROR(INDEX(OFFSET('Fund Guide'!$B$5,1,MATCH(J$8,OFFSET('Fund Guide'!$B$5,,,,COUNTA('Fund Guide'!$5:$5)),0)-1,COUNTA('Fund Guide'!$B:$B)-COUNTA('Fund Guide'!$B$2:$B$5)),MATCH($E18,OFFSET('Fund Guide'!$B$5,1,,COUNTA('Fund Guide'!$B:$B)-COUNTA('Fund Guide'!$B$2:$B$5)),0)),
IFERROR(INDEX(OFFSET('RF &amp; RV Guide'!$X$10,1, , 100),MATCH(IF(FIND("(", $E18)&gt;0, LEFT($E18, FIND("(", $E18)-1),), IFERROR(IF(FIND("(", OFFSET('RF &amp; RV Guide'!$E$10,1,,200))&gt;0, LEFT(OFFSET('RF &amp; RV Guide'!$E$10,1,,200), FIND("(", $E18)-1),),"-"),0)),
IFERROR(INDEX(OFFSET('RF &amp; RV Guide'!$X$10,1, , 100),MATCH($E18, OFFSET('RF &amp; RV Guide'!$E$10,1,,200),0)),"-"))))</f>
        <v/>
      </c>
      <c r="K18" s="362"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M18" s="364" t="str">
        <f>IFERROR(IF(N18=0, "", N18*$M$3),0)</f>
        <v/>
      </c>
      <c r="N18" s="198"/>
      <c r="O18" s="380" t="str">
        <f>IFERROR(IF(N18=0, "", N18/N$17),0)</f>
        <v/>
      </c>
      <c r="Q18" s="687" t="str">
        <f ca="1">IF($E18="", "", IFERROR(INDEX(OFFSET('Fund Guide'!$B$5,1,MATCH(Q$8,OFFSET('Fund Guide'!$B$5,,,,COUNTA('Fund Guide'!11:11)),0)-1,COUNTA('Fund Guide'!$B:$B)-COUNTA('Fund Guide'!$B$2:$B$5)),MATCH($E18,OFFSET('Fund Guide'!$B$5,1,,COUNTA('Fund Guide'!$B:$B)-COUNTA('Fund Guide'!$B$2:$B$5)),0)),0))</f>
        <v/>
      </c>
      <c r="R18" s="683" t="str">
        <f ca="1">IF($E18="", "", IFERROR(INDEX(OFFSET('Fund Guide'!$B$5,1,MATCH(R$8,OFFSET('Fund Guide'!$B$5,,,,COUNTA('Fund Guide'!11:11)),0)-1,COUNTA('Fund Guide'!$B:$B)-COUNTA('Fund Guide'!$B$2:$B$5)),MATCH($E18,OFFSET('Fund Guide'!$B$5,1,,COUNTA('Fund Guide'!$B:$B)-COUNTA('Fund Guide'!$B$2:$B$5)),0)),0))</f>
        <v/>
      </c>
      <c r="S18" s="687" t="str">
        <f ca="1">IF($E18="", "", IFERROR(INDEX(OFFSET('Fund Guide'!$B$5,1,MATCH(S$8,OFFSET('Fund Guide'!$B$5,,,,COUNTA('Fund Guide'!11:11)),0)-1,COUNTA('Fund Guide'!$B:$B)-COUNTA('Fund Guide'!$B$2:$B$5)),MATCH($E18,OFFSET('Fund Guide'!$B$5,1,,COUNTA('Fund Guide'!$B:$B)-COUNTA('Fund Guide'!$B$2:$B$5)),0)),0))</f>
        <v/>
      </c>
      <c r="T18" s="683" t="str">
        <f ca="1">IF($E18="", "", IFERROR(INDEX(OFFSET('Fund Guide'!$B$5,1,MATCH(T$8,OFFSET('Fund Guide'!$B$5,,,,COUNTA('Fund Guide'!11:11)),0)-1,COUNTA('Fund Guide'!$B:$B)-COUNTA('Fund Guide'!$B$2:$B$5)),MATCH($E18,OFFSET('Fund Guide'!$B$5,1,,COUNTA('Fund Guide'!$B:$B)-COUNTA('Fund Guide'!$B$2:$B$5)),0)),0))</f>
        <v/>
      </c>
      <c r="U18" s="687" t="str">
        <f ca="1">IF($E18="", "", IFERROR(INDEX(OFFSET('Fund Guide'!$B$5,1,MATCH(U$8,OFFSET('Fund Guide'!$B$5,,,,COUNTA('Fund Guide'!11:11)),0)-1,COUNTA('Fund Guide'!$B:$B)-COUNTA('Fund Guide'!$B$2:$B$5)),MATCH($E18,OFFSET('Fund Guide'!$B$5,1,,COUNTA('Fund Guide'!$B:$B)-COUNTA('Fund Guide'!$B$2:$B$5)),0)),0))</f>
        <v/>
      </c>
      <c r="V18" s="683" t="str">
        <f ca="1">IF($E18="", "", IFERROR(INDEX(OFFSET('Fund Guide'!$B$5,1,MATCH(V$8,OFFSET('Fund Guide'!$B$5,,,,COUNTA('Fund Guide'!11:11)),0)-1,COUNTA('Fund Guide'!$B:$B)-COUNTA('Fund Guide'!$B$2:$B$5)),MATCH($E18,OFFSET('Fund Guide'!$B$5,1,,COUNTA('Fund Guide'!$B:$B)-COUNTA('Fund Guide'!$B$2:$B$5)),0)),0))</f>
        <v/>
      </c>
      <c r="W18" s="687" t="str">
        <f ca="1">IF($E18="", "", IFERROR(INDEX(OFFSET('Fund Guide'!$B$5,1,MATCH(W$8,OFFSET('Fund Guide'!$B$5,,,,COUNTA('Fund Guide'!11:11)),0)-1,COUNTA('Fund Guide'!$B:$B)-COUNTA('Fund Guide'!$B$2:$B$5)),MATCH($E18,OFFSET('Fund Guide'!$B$5,1,,COUNTA('Fund Guide'!$B:$B)-COUNTA('Fund Guide'!$B$2:$B$5)),0)),0))</f>
        <v/>
      </c>
      <c r="X18" s="683" t="str">
        <f ca="1">IF($E18="", "", IFERROR(INDEX(OFFSET('Fund Guide'!$B$5,1,MATCH(X$8,OFFSET('Fund Guide'!$B$5,,,,COUNTA('Fund Guide'!11:11)),0)-1,COUNTA('Fund Guide'!$B:$B)-COUNTA('Fund Guide'!$B$2:$B$5)),MATCH($E18,OFFSET('Fund Guide'!$B$5,1,,COUNTA('Fund Guide'!$B:$B)-COUNTA('Fund Guide'!$B$2:$B$5)),0)),0))</f>
        <v/>
      </c>
      <c r="Y18" s="684" t="str">
        <f ca="1">IF($E18="", "", IFERROR(INDEX(OFFSET('Fund Guide'!$B$5,1,MATCH(Y$8,OFFSET('Fund Guide'!$B$5,,,,COUNTA('Fund Guide'!11:11)),0)-1,COUNTA('Fund Guide'!$B:$B)-COUNTA('Fund Guide'!$B$2:$B$5)),MATCH($E18,OFFSET('Fund Guide'!$B$5,1,,COUNTA('Fund Guide'!$B:$B)-COUNTA('Fund Guide'!$B$2:$B$5)),0)),0))</f>
        <v/>
      </c>
      <c r="Z18" s="685" t="str">
        <f ca="1">IF($E18="", "", IFERROR(INDEX(OFFSET('Fund Guide'!$B$5,1,MATCH(Z$8,OFFSET('Fund Guide'!$B$5,,,,COUNTA('Fund Guide'!11:11)),0)-1,COUNTA('Fund Guide'!$B:$B)-COUNTA('Fund Guide'!$B$2:$B$5)),MATCH($E18,OFFSET('Fund Guide'!$B$5,1,,COUNTA('Fund Guide'!$B:$B)-COUNTA('Fund Guide'!$B$2:$B$5)),0)),0))</f>
        <v/>
      </c>
      <c r="AB18" s="199"/>
      <c r="AC18" s="199"/>
      <c r="AD18" s="198"/>
      <c r="AE18" s="372"/>
      <c r="AF18" s="729"/>
      <c r="AG18" s="730"/>
      <c r="AH18" s="731"/>
      <c r="AI18" s="728" t="b">
        <f t="shared" ref="AI18" ca="1" si="3">OR(AND($J18&gt;$Y$2, $J18&lt;&gt;"-", $J18&lt;&gt;"", $AB18="", $AC18="", $AD18=""),AND($F18&lt;&gt;"-", $Q18=0, $AB18="", $AC18="", $AD18=""), AND(RIGHT($E18,6)="B.Side", $Q18=0, $AB18="", $AC18="", $AD18=""))</f>
        <v>0</v>
      </c>
      <c r="AJ18" s="372"/>
      <c r="AK18" s="372"/>
      <c r="AL18" s="372"/>
      <c r="AM18" s="372"/>
      <c r="AN18" s="372"/>
    </row>
    <row r="19" spans="2:40" s="372" customFormat="1" ht="4.5" customHeight="1">
      <c r="B19" s="368"/>
      <c r="C19" s="368"/>
      <c r="D19" s="368"/>
      <c r="E19" s="369"/>
      <c r="F19" s="381"/>
      <c r="G19" s="370"/>
      <c r="H19" s="370"/>
      <c r="I19" s="371"/>
      <c r="J19" s="371"/>
      <c r="K19" s="371"/>
      <c r="M19" s="373"/>
      <c r="Q19" s="371"/>
      <c r="S19" s="371"/>
      <c r="U19" s="371"/>
      <c r="W19" s="371"/>
      <c r="Y19" s="371"/>
      <c r="AB19" s="371"/>
      <c r="AE19" s="347"/>
      <c r="AF19" s="729"/>
      <c r="AG19" s="730"/>
      <c r="AH19" s="731"/>
      <c r="AI19" s="347"/>
      <c r="AJ19" s="347"/>
      <c r="AK19" s="347"/>
      <c r="AL19" s="347"/>
      <c r="AM19" s="347"/>
      <c r="AN19" s="347"/>
    </row>
    <row r="20" spans="2:40" s="347" customFormat="1" ht="14.25" customHeight="1">
      <c r="B20" s="343"/>
      <c r="C20" s="343"/>
      <c r="D20" s="343" t="s">
        <v>12</v>
      </c>
      <c r="E20" s="375" t="s">
        <v>2748</v>
      </c>
      <c r="F20" s="376"/>
      <c r="G20" s="376"/>
      <c r="H20" s="376"/>
      <c r="I20" s="377"/>
      <c r="J20" s="377"/>
      <c r="K20" s="377"/>
      <c r="M20" s="378">
        <f>IFERROR(IF(N20=0, 0, N20*$M$3),0)</f>
        <v>0</v>
      </c>
      <c r="N20" s="490"/>
      <c r="O20" s="379">
        <f>IF(N20=0, 0, SUM(O21:O22)*N20)</f>
        <v>0</v>
      </c>
      <c r="Q20" s="377"/>
      <c r="R20" s="379"/>
      <c r="S20" s="377"/>
      <c r="T20" s="379"/>
      <c r="U20" s="377"/>
      <c r="V20" s="379"/>
      <c r="W20" s="377"/>
      <c r="X20" s="379"/>
      <c r="Y20" s="377"/>
      <c r="Z20" s="379"/>
      <c r="AB20" s="377"/>
      <c r="AC20" s="379"/>
      <c r="AD20" s="379"/>
      <c r="AE20" s="363"/>
      <c r="AF20" s="729"/>
      <c r="AG20" s="730"/>
      <c r="AH20" s="731"/>
      <c r="AI20" s="382"/>
      <c r="AJ20" s="363"/>
      <c r="AK20" s="363"/>
      <c r="AL20" s="363"/>
      <c r="AM20" s="363"/>
      <c r="AN20" s="363"/>
    </row>
    <row r="21" spans="2:40" s="363" customFormat="1" ht="15" customHeight="1">
      <c r="B21" s="357"/>
      <c r="C21" s="357"/>
      <c r="D21" s="357"/>
      <c r="E21" s="268"/>
      <c r="F21" s="358" t="str">
        <f ca="1">IF($E21="", "", IFERROR(INDEX(OFFSET('Fund Guide'!$B$5,1,MATCH(F$8,OFFSET('Fund Guide'!$B$5,,,,COUNTA('Fund Guide'!14:14)),0)-1,COUNTA('Fund Guide'!$B:$B)-COUNTA('Fund Guide'!$B$2:$B$5)),MATCH($E21,OFFSET('Fund Guide'!$B$5,1,,COUNTA('Fund Guide'!$B:$B)-COUNTA('Fund Guide'!$B$2:$B$5)),0)),"-"))</f>
        <v/>
      </c>
      <c r="G21" s="359" t="str">
        <f ca="1">IF($E21="", "", IFERROR(INDEX(OFFSET('Fund Guide'!$B$5,1,MATCH(G$8,OFFSET('Fund Guide'!$B$5,,,,COUNTA('Fund Guide'!$5:$5)),0)-1,COUNTA('Fund Guide'!$B:$B)-COUNTA('Fund Guide'!$B$2:$B$5)),MATCH($E21,OFFSET('Fund Guide'!$B$5,1,,COUNTA('Fund Guide'!$B:$B)-COUNTA('Fund Guide'!$B$2:$B$5)),0)),
IFERROR(IF(OR(LEFT($E21,3)="NTN",LEFT($E21,3)="LFT"),DATE(_xlfn.NUMBERVALUE(RIGHT(LEFT($E21,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360" t="str">
        <f ca="1">IF($E21="", "", IFERROR(INDEX(OFFSET('Fund Guide'!$B$5,1,MATCH(H$8,OFFSET('Fund Guide'!$B$5,,,,COUNTA('Fund Guide'!#REF!)),0)-1,COUNTA('Fund Guide'!$B:$B)-COUNTA('Fund Guide'!$B$2:$B$5)),MATCH($E21,OFFSET('Fund Guide'!$B$5,1,,COUNTA('Fund Guide'!$B:$B)-COUNTA('Fund Guide'!$B$2:$B$5)),0)),IFERROR(OFFSET('RF &amp; RV Guide'!$E$8,2+MATCH($E21, OFFSET('RF &amp; RV Guide'!$E$8,3,,200), 0),-1+MATCH(H$8, OFFSET('RF &amp; RV Guide'!$E$8,,,,COUNTA('RF &amp; RV Guide'!$8:$8)-COUNTA('RF &amp; RV Guide'!$A$8:$E$8)),0)),"BRL")))</f>
        <v/>
      </c>
      <c r="I21" s="361"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Guide'!$E$8,3,,200), 0),-1+MATCH(I$8, OFFSET('RF &amp; RV Guide'!$E$8,,,,COUNTA('RF &amp; RV Guide'!$8:$8)-COUNTA('RF &amp; RV Guide'!$A$8:$E$8)),0)),IFERROR(IF(FIND("tulo",$E21), 0.25%), "-"))))</f>
        <v/>
      </c>
      <c r="J21" s="362" t="str" cm="1">
        <f t="array" aca="1" ref="J21" ca="1">IF($E21="", "", IFERROR(INDEX(OFFSET('Fund Guide'!$B$5,1,MATCH(J$8,OFFSET('Fund Guide'!$B$5,,,,COUNTA('Fund Guide'!$5:$5)),0)-1,COUNTA('Fund Guide'!$B:$B)-COUNTA('Fund Guide'!$B$2:$B$5)),MATCH($E21,OFFSET('Fund Guide'!$B$5,1,,COUNTA('Fund Guide'!$B:$B)-COUNTA('Fund Guide'!$B$2:$B$5)),0)),
IFERROR(INDEX(OFFSET('RF &amp; RV Guide'!$X$10,1, , 100),MATCH(IF(FIND("(", $E21)&gt;0, LEFT($E21, FIND("(", $E21)-1),), IFERROR(IF(FIND("(", OFFSET('RF &amp; RV Guide'!$E$10,1,,200))&gt;0, LEFT(OFFSET('RF &amp; RV Guide'!$E$10,1,,200), FIND("(", $E21)-1),),"-"),0)),
IFERROR(INDEX(OFFSET('RF &amp; RV Guide'!$X$10,1, , 100),MATCH($E21, OFFSET('RF &amp; RV Guide'!$E$10,1,,200),0)),"-"))))</f>
        <v/>
      </c>
      <c r="K21" s="362"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
      </c>
      <c r="M21" s="364" t="str">
        <f>IFERROR(IF(N21=0, "", N21*$M$3),0)</f>
        <v/>
      </c>
      <c r="N21" s="198"/>
      <c r="O21" s="380" t="str">
        <f>IFERROR(IF(N21=0, "", N21/N$20),0)</f>
        <v/>
      </c>
      <c r="Q21" s="687" t="str">
        <f ca="1">IF($E21="", "", IFERROR(INDEX(OFFSET('Fund Guide'!$B$5,1,MATCH(Q$8,OFFSET('Fund Guide'!$B$5,,,,COUNTA('Fund Guide'!14:14)),0)-1,COUNTA('Fund Guide'!$B:$B)-COUNTA('Fund Guide'!$B$2:$B$5)),MATCH($E21,OFFSET('Fund Guide'!$B$5,1,,COUNTA('Fund Guide'!$B:$B)-COUNTA('Fund Guide'!$B$2:$B$5)),0)),0))</f>
        <v/>
      </c>
      <c r="R21" s="683" t="str">
        <f ca="1">IF($E21="", "", IFERROR(INDEX(OFFSET('Fund Guide'!$B$5,1,MATCH(R$8,OFFSET('Fund Guide'!$B$5,,,,COUNTA('Fund Guide'!14:14)),0)-1,COUNTA('Fund Guide'!$B:$B)-COUNTA('Fund Guide'!$B$2:$B$5)),MATCH($E21,OFFSET('Fund Guide'!$B$5,1,,COUNTA('Fund Guide'!$B:$B)-COUNTA('Fund Guide'!$B$2:$B$5)),0)),0))</f>
        <v/>
      </c>
      <c r="S21" s="687" t="str">
        <f ca="1">IF($E21="", "", IFERROR(INDEX(OFFSET('Fund Guide'!$B$5,1,MATCH(S$8,OFFSET('Fund Guide'!$B$5,,,,COUNTA('Fund Guide'!14:14)),0)-1,COUNTA('Fund Guide'!$B:$B)-COUNTA('Fund Guide'!$B$2:$B$5)),MATCH($E21,OFFSET('Fund Guide'!$B$5,1,,COUNTA('Fund Guide'!$B:$B)-COUNTA('Fund Guide'!$B$2:$B$5)),0)),0))</f>
        <v/>
      </c>
      <c r="T21" s="683" t="str">
        <f ca="1">IF($E21="", "", IFERROR(INDEX(OFFSET('Fund Guide'!$B$5,1,MATCH(T$8,OFFSET('Fund Guide'!$B$5,,,,COUNTA('Fund Guide'!14:14)),0)-1,COUNTA('Fund Guide'!$B:$B)-COUNTA('Fund Guide'!$B$2:$B$5)),MATCH($E21,OFFSET('Fund Guide'!$B$5,1,,COUNTA('Fund Guide'!$B:$B)-COUNTA('Fund Guide'!$B$2:$B$5)),0)),0))</f>
        <v/>
      </c>
      <c r="U21" s="687" t="str">
        <f ca="1">IF($E21="", "", IFERROR(INDEX(OFFSET('Fund Guide'!$B$5,1,MATCH(U$8,OFFSET('Fund Guide'!$B$5,,,,COUNTA('Fund Guide'!14:14)),0)-1,COUNTA('Fund Guide'!$B:$B)-COUNTA('Fund Guide'!$B$2:$B$5)),MATCH($E21,OFFSET('Fund Guide'!$B$5,1,,COUNTA('Fund Guide'!$B:$B)-COUNTA('Fund Guide'!$B$2:$B$5)),0)),0))</f>
        <v/>
      </c>
      <c r="V21" s="683" t="str">
        <f ca="1">IF($E21="", "", IFERROR(INDEX(OFFSET('Fund Guide'!$B$5,1,MATCH(V$8,OFFSET('Fund Guide'!$B$5,,,,COUNTA('Fund Guide'!14:14)),0)-1,COUNTA('Fund Guide'!$B:$B)-COUNTA('Fund Guide'!$B$2:$B$5)),MATCH($E21,OFFSET('Fund Guide'!$B$5,1,,COUNTA('Fund Guide'!$B:$B)-COUNTA('Fund Guide'!$B$2:$B$5)),0)),0))</f>
        <v/>
      </c>
      <c r="W21" s="687" t="str">
        <f ca="1">IF($E21="", "", IFERROR(INDEX(OFFSET('Fund Guide'!$B$5,1,MATCH(W$8,OFFSET('Fund Guide'!$B$5,,,,COUNTA('Fund Guide'!14:14)),0)-1,COUNTA('Fund Guide'!$B:$B)-COUNTA('Fund Guide'!$B$2:$B$5)),MATCH($E21,OFFSET('Fund Guide'!$B$5,1,,COUNTA('Fund Guide'!$B:$B)-COUNTA('Fund Guide'!$B$2:$B$5)),0)),0))</f>
        <v/>
      </c>
      <c r="X21" s="683" t="str">
        <f ca="1">IF($E21="", "", IFERROR(INDEX(OFFSET('Fund Guide'!$B$5,1,MATCH(X$8,OFFSET('Fund Guide'!$B$5,,,,COUNTA('Fund Guide'!14:14)),0)-1,COUNTA('Fund Guide'!$B:$B)-COUNTA('Fund Guide'!$B$2:$B$5)),MATCH($E21,OFFSET('Fund Guide'!$B$5,1,,COUNTA('Fund Guide'!$B:$B)-COUNTA('Fund Guide'!$B$2:$B$5)),0)),0))</f>
        <v/>
      </c>
      <c r="Y21" s="684" t="str">
        <f ca="1">IF($E21="", "", IFERROR(INDEX(OFFSET('Fund Guide'!$B$5,1,MATCH(Y$8,OFFSET('Fund Guide'!$B$5,,,,COUNTA('Fund Guide'!14:14)),0)-1,COUNTA('Fund Guide'!$B:$B)-COUNTA('Fund Guide'!$B$2:$B$5)),MATCH($E21,OFFSET('Fund Guide'!$B$5,1,,COUNTA('Fund Guide'!$B:$B)-COUNTA('Fund Guide'!$B$2:$B$5)),0)),0))</f>
        <v/>
      </c>
      <c r="Z21" s="685" t="str">
        <f ca="1">IF($E21="", "", IFERROR(INDEX(OFFSET('Fund Guide'!$B$5,1,MATCH(Z$8,OFFSET('Fund Guide'!$B$5,,,,COUNTA('Fund Guide'!14:14)),0)-1,COUNTA('Fund Guide'!$B:$B)-COUNTA('Fund Guide'!$B$2:$B$5)),MATCH($E21,OFFSET('Fund Guide'!$B$5,1,,COUNTA('Fund Guide'!$B:$B)-COUNTA('Fund Guide'!$B$2:$B$5)),0)),0))</f>
        <v/>
      </c>
      <c r="AB21" s="199"/>
      <c r="AC21" s="199"/>
      <c r="AD21" s="198"/>
      <c r="AF21" s="729"/>
      <c r="AG21" s="730"/>
      <c r="AH21" s="731"/>
      <c r="AI21" s="728" t="b">
        <f t="shared" ref="AI21" ca="1" si="4">OR(AND($J21&gt;$Y$2, $J21&lt;&gt;"-", $J21&lt;&gt;"", $AB21="", $AC21="", $AD21=""),AND($F21&lt;&gt;"-", $Q21=0, $AB21="", $AC21="", $AD21=""), AND(RIGHT($E21,6)="B.Side", $Q21=0, $AB21="", $AC21="", $AD21=""))</f>
        <v>0</v>
      </c>
    </row>
    <row r="22" spans="2:40" s="372" customFormat="1" ht="4.5" customHeight="1">
      <c r="B22" s="368"/>
      <c r="C22" s="368"/>
      <c r="D22" s="368"/>
      <c r="E22" s="369"/>
      <c r="F22" s="381"/>
      <c r="G22" s="370"/>
      <c r="H22" s="370"/>
      <c r="I22" s="371"/>
      <c r="J22" s="371"/>
      <c r="K22" s="371"/>
      <c r="M22" s="373"/>
      <c r="Q22" s="371"/>
      <c r="S22" s="371"/>
      <c r="U22" s="371"/>
      <c r="W22" s="371"/>
      <c r="Y22" s="371"/>
      <c r="AB22" s="371"/>
      <c r="AE22" s="347"/>
      <c r="AF22" s="729"/>
      <c r="AG22" s="730"/>
      <c r="AH22" s="731"/>
      <c r="AI22" s="347"/>
      <c r="AJ22" s="347"/>
      <c r="AK22" s="347"/>
      <c r="AL22" s="347"/>
      <c r="AM22" s="347"/>
      <c r="AN22" s="347"/>
    </row>
    <row r="23" spans="2:40" s="347" customFormat="1" ht="14.25" customHeight="1">
      <c r="B23" s="343"/>
      <c r="C23" s="343"/>
      <c r="D23" s="343" t="s">
        <v>12</v>
      </c>
      <c r="E23" s="375" t="s">
        <v>1369</v>
      </c>
      <c r="F23" s="376"/>
      <c r="G23" s="376"/>
      <c r="H23" s="376"/>
      <c r="I23" s="377"/>
      <c r="J23" s="377"/>
      <c r="K23" s="377"/>
      <c r="M23" s="378">
        <f>IFERROR(IF(N23=0, 0, N23*$M$3),0)</f>
        <v>0</v>
      </c>
      <c r="N23" s="490"/>
      <c r="O23" s="379">
        <f>IF(N23=0, 0, SUM(O24:O25)*N23)</f>
        <v>0</v>
      </c>
      <c r="Q23" s="377"/>
      <c r="R23" s="379"/>
      <c r="S23" s="377"/>
      <c r="T23" s="379"/>
      <c r="U23" s="377"/>
      <c r="V23" s="379"/>
      <c r="W23" s="377"/>
      <c r="X23" s="379"/>
      <c r="Y23" s="377"/>
      <c r="Z23" s="379"/>
      <c r="AB23" s="377"/>
      <c r="AC23" s="379"/>
      <c r="AD23" s="379"/>
      <c r="AE23" s="363"/>
      <c r="AF23" s="729"/>
      <c r="AG23" s="730"/>
      <c r="AH23" s="731"/>
      <c r="AI23" s="382"/>
      <c r="AJ23" s="363"/>
      <c r="AK23" s="363"/>
      <c r="AL23" s="363"/>
      <c r="AM23" s="363"/>
      <c r="AN23" s="363"/>
    </row>
    <row r="24" spans="2:40" s="363" customFormat="1" ht="15" customHeight="1">
      <c r="B24" s="357"/>
      <c r="C24" s="357"/>
      <c r="D24" s="357"/>
      <c r="E24" s="268"/>
      <c r="F24" s="358" t="str">
        <f ca="1">IF($E24="", "", IFERROR(INDEX(OFFSET('Fund Guide'!$B$5,1,MATCH(F$8,OFFSET('Fund Guide'!$B$5,,,,COUNTA('Fund Guide'!17:17)),0)-1,COUNTA('Fund Guide'!$B:$B)-COUNTA('Fund Guide'!$B$2:$B$5)),MATCH($E24,OFFSET('Fund Guide'!$B$5,1,,COUNTA('Fund Guide'!$B:$B)-COUNTA('Fund Guide'!$B$2:$B$5)),0)),"-"))</f>
        <v/>
      </c>
      <c r="G24" s="359" t="str">
        <f ca="1">IF($E24="", "", IFERROR(INDEX(OFFSET('Fund Guide'!$B$5,1,MATCH(G$8,OFFSET('Fund Guide'!$B$5,,,,COUNTA('Fund Guide'!$5:$5)),0)-1,COUNTA('Fund Guide'!$B:$B)-COUNTA('Fund Guide'!$B$2:$B$5)),MATCH($E24,OFFSET('Fund Guide'!$B$5,1,,COUNTA('Fund Guide'!$B:$B)-COUNTA('Fund Guide'!$B$2:$B$5)),0)),
IFERROR(IF(OR(LEFT($E24,3)="NTN",LEFT($E24,3)="LFT"),DATE(_xlfn.NUMBERVALUE(RIGHT(LEFT($E24,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360" t="str">
        <f ca="1">IF($E24="", "", IFERROR(INDEX(OFFSET('Fund Guide'!$B$5,1,MATCH(H$8,OFFSET('Fund Guide'!$B$5,,,,COUNTA('Fund Guide'!#REF!)),0)-1,COUNTA('Fund Guide'!$B:$B)-COUNTA('Fund Guide'!$B$2:$B$5)),MATCH($E24,OFFSET('Fund Guide'!$B$5,1,,COUNTA('Fund Guide'!$B:$B)-COUNTA('Fund Guide'!$B$2:$B$5)),0)),IFERROR(OFFSET('RF &amp; RV Guide'!$E$8,2+MATCH($E24, OFFSET('RF &amp; RV Guide'!$E$8,3,,200), 0),-1+MATCH(H$8, OFFSET('RF &amp; RV Guide'!$E$8,,,,COUNTA('RF &amp; RV Guide'!$8:$8)-COUNTA('RF &amp; RV Guide'!$A$8:$E$8)),0)),"BRL")))</f>
        <v/>
      </c>
      <c r="I24" s="361"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Guide'!$E$8,3,,200), 0),-1+MATCH(I$8, OFFSET('RF &amp; RV Guide'!$E$8,,,,COUNTA('RF &amp; RV Guide'!$8:$8)-COUNTA('RF &amp; RV Guide'!$A$8:$E$8)),0)),IFERROR(IF(FIND("tulo",$E24), 0.25%), "-"))))</f>
        <v/>
      </c>
      <c r="J24" s="362" t="str" cm="1">
        <f t="array" aca="1" ref="J24" ca="1">IF($E24="", "", IFERROR(INDEX(OFFSET('Fund Guide'!$B$5,1,MATCH(J$8,OFFSET('Fund Guide'!$B$5,,,,COUNTA('Fund Guide'!$5:$5)),0)-1,COUNTA('Fund Guide'!$B:$B)-COUNTA('Fund Guide'!$B$2:$B$5)),MATCH($E24,OFFSET('Fund Guide'!$B$5,1,,COUNTA('Fund Guide'!$B:$B)-COUNTA('Fund Guide'!$B$2:$B$5)),0)),
IFERROR(INDEX(OFFSET('RF &amp; RV Guide'!$X$10,1, , 100),MATCH(IF(FIND("(", $E24)&gt;0, LEFT($E24, FIND("(", $E24)-1),), IFERROR(IF(FIND("(", OFFSET('RF &amp; RV Guide'!$E$10,1,,200))&gt;0, LEFT(OFFSET('RF &amp; RV Guide'!$E$10,1,,200), FIND("(", $E24)-1),),"-"),0)),
IFERROR(INDEX(OFFSET('RF &amp; RV Guide'!$X$10,1, , 100),MATCH($E24, OFFSET('RF &amp; RV Guide'!$E$10,1,,200),0)),"-"))))</f>
        <v/>
      </c>
      <c r="K24" s="362"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
      </c>
      <c r="M24" s="364" t="str">
        <f>IFERROR(IF(N24=0, "", N24*$M$3),0)</f>
        <v/>
      </c>
      <c r="N24" s="198"/>
      <c r="O24" s="380" t="str">
        <f>IFERROR(IF(N24=0, "", N24/N$23),0)</f>
        <v/>
      </c>
      <c r="Q24" s="687" t="str">
        <f ca="1">IF($E24="", "", IFERROR(INDEX(OFFSET('Fund Guide'!$B$5,1,MATCH(Q$8,OFFSET('Fund Guide'!$B$5,,,,COUNTA('Fund Guide'!17:17)),0)-1,COUNTA('Fund Guide'!$B:$B)-COUNTA('Fund Guide'!$B$2:$B$5)),MATCH($E24,OFFSET('Fund Guide'!$B$5,1,,COUNTA('Fund Guide'!$B:$B)-COUNTA('Fund Guide'!$B$2:$B$5)),0)),0))</f>
        <v/>
      </c>
      <c r="R24" s="683" t="str">
        <f ca="1">IF($E24="", "", IFERROR(INDEX(OFFSET('Fund Guide'!$B$5,1,MATCH(R$8,OFFSET('Fund Guide'!$B$5,,,,COUNTA('Fund Guide'!17:17)),0)-1,COUNTA('Fund Guide'!$B:$B)-COUNTA('Fund Guide'!$B$2:$B$5)),MATCH($E24,OFFSET('Fund Guide'!$B$5,1,,COUNTA('Fund Guide'!$B:$B)-COUNTA('Fund Guide'!$B$2:$B$5)),0)),0))</f>
        <v/>
      </c>
      <c r="S24" s="687" t="str">
        <f ca="1">IF($E24="", "", IFERROR(INDEX(OFFSET('Fund Guide'!$B$5,1,MATCH(S$8,OFFSET('Fund Guide'!$B$5,,,,COUNTA('Fund Guide'!17:17)),0)-1,COUNTA('Fund Guide'!$B:$B)-COUNTA('Fund Guide'!$B$2:$B$5)),MATCH($E24,OFFSET('Fund Guide'!$B$5,1,,COUNTA('Fund Guide'!$B:$B)-COUNTA('Fund Guide'!$B$2:$B$5)),0)),0))</f>
        <v/>
      </c>
      <c r="T24" s="683" t="str">
        <f ca="1">IF($E24="", "", IFERROR(INDEX(OFFSET('Fund Guide'!$B$5,1,MATCH(T$8,OFFSET('Fund Guide'!$B$5,,,,COUNTA('Fund Guide'!17:17)),0)-1,COUNTA('Fund Guide'!$B:$B)-COUNTA('Fund Guide'!$B$2:$B$5)),MATCH($E24,OFFSET('Fund Guide'!$B$5,1,,COUNTA('Fund Guide'!$B:$B)-COUNTA('Fund Guide'!$B$2:$B$5)),0)),0))</f>
        <v/>
      </c>
      <c r="U24" s="687" t="str">
        <f ca="1">IF($E24="", "", IFERROR(INDEX(OFFSET('Fund Guide'!$B$5,1,MATCH(U$8,OFFSET('Fund Guide'!$B$5,,,,COUNTA('Fund Guide'!17:17)),0)-1,COUNTA('Fund Guide'!$B:$B)-COUNTA('Fund Guide'!$B$2:$B$5)),MATCH($E24,OFFSET('Fund Guide'!$B$5,1,,COUNTA('Fund Guide'!$B:$B)-COUNTA('Fund Guide'!$B$2:$B$5)),0)),0))</f>
        <v/>
      </c>
      <c r="V24" s="683" t="str">
        <f ca="1">IF($E24="", "", IFERROR(INDEX(OFFSET('Fund Guide'!$B$5,1,MATCH(V$8,OFFSET('Fund Guide'!$B$5,,,,COUNTA('Fund Guide'!17:17)),0)-1,COUNTA('Fund Guide'!$B:$B)-COUNTA('Fund Guide'!$B$2:$B$5)),MATCH($E24,OFFSET('Fund Guide'!$B$5,1,,COUNTA('Fund Guide'!$B:$B)-COUNTA('Fund Guide'!$B$2:$B$5)),0)),0))</f>
        <v/>
      </c>
      <c r="W24" s="687" t="str">
        <f ca="1">IF($E24="", "", IFERROR(INDEX(OFFSET('Fund Guide'!$B$5,1,MATCH(W$8,OFFSET('Fund Guide'!$B$5,,,,COUNTA('Fund Guide'!17:17)),0)-1,COUNTA('Fund Guide'!$B:$B)-COUNTA('Fund Guide'!$B$2:$B$5)),MATCH($E24,OFFSET('Fund Guide'!$B$5,1,,COUNTA('Fund Guide'!$B:$B)-COUNTA('Fund Guide'!$B$2:$B$5)),0)),0))</f>
        <v/>
      </c>
      <c r="X24" s="683" t="str">
        <f ca="1">IF($E24="", "", IFERROR(INDEX(OFFSET('Fund Guide'!$B$5,1,MATCH(X$8,OFFSET('Fund Guide'!$B$5,,,,COUNTA('Fund Guide'!17:17)),0)-1,COUNTA('Fund Guide'!$B:$B)-COUNTA('Fund Guide'!$B$2:$B$5)),MATCH($E24,OFFSET('Fund Guide'!$B$5,1,,COUNTA('Fund Guide'!$B:$B)-COUNTA('Fund Guide'!$B$2:$B$5)),0)),0))</f>
        <v/>
      </c>
      <c r="Y24" s="684" t="str">
        <f ca="1">IF($E24="", "", IFERROR(INDEX(OFFSET('Fund Guide'!$B$5,1,MATCH(Y$8,OFFSET('Fund Guide'!$B$5,,,,COUNTA('Fund Guide'!17:17)),0)-1,COUNTA('Fund Guide'!$B:$B)-COUNTA('Fund Guide'!$B$2:$B$5)),MATCH($E24,OFFSET('Fund Guide'!$B$5,1,,COUNTA('Fund Guide'!$B:$B)-COUNTA('Fund Guide'!$B$2:$B$5)),0)),0))</f>
        <v/>
      </c>
      <c r="Z24" s="685" t="str">
        <f ca="1">IF($E24="", "", IFERROR(INDEX(OFFSET('Fund Guide'!$B$5,1,MATCH(Z$8,OFFSET('Fund Guide'!$B$5,,,,COUNTA('Fund Guide'!17:17)),0)-1,COUNTA('Fund Guide'!$B:$B)-COUNTA('Fund Guide'!$B$2:$B$5)),MATCH($E24,OFFSET('Fund Guide'!$B$5,1,,COUNTA('Fund Guide'!$B:$B)-COUNTA('Fund Guide'!$B$2:$B$5)),0)),0))</f>
        <v/>
      </c>
      <c r="AB24" s="199"/>
      <c r="AC24" s="199"/>
      <c r="AD24" s="198"/>
      <c r="AE24" s="372"/>
      <c r="AF24" s="729"/>
      <c r="AG24" s="730"/>
      <c r="AH24" s="731"/>
      <c r="AI24" s="728" t="b">
        <f t="shared" ref="AI24" ca="1" si="5">OR(AND($J24&gt;$Y$2, $J24&lt;&gt;"-", $J24&lt;&gt;"", $AB24="", $AC24="", $AD24=""),AND($F24&lt;&gt;"-", $Q24=0, $AB24="", $AC24="", $AD24=""), AND(RIGHT($E24,6)="B.Side", $Q24=0, $AB24="", $AC24="", $AD24=""))</f>
        <v>0</v>
      </c>
      <c r="AJ24" s="372"/>
      <c r="AK24" s="372"/>
      <c r="AL24" s="372"/>
      <c r="AM24" s="372"/>
      <c r="AN24" s="372"/>
    </row>
    <row r="25" spans="2:40" s="372" customFormat="1" ht="5.25" customHeight="1">
      <c r="B25" s="368"/>
      <c r="C25" s="368"/>
      <c r="D25" s="368"/>
      <c r="E25" s="369"/>
      <c r="F25" s="381"/>
      <c r="G25" s="370"/>
      <c r="H25" s="370"/>
      <c r="I25" s="371"/>
      <c r="J25" s="371"/>
      <c r="K25" s="371"/>
      <c r="M25" s="373"/>
      <c r="Q25" s="371"/>
      <c r="S25" s="371"/>
      <c r="U25" s="371"/>
      <c r="W25" s="371"/>
      <c r="Y25" s="371"/>
      <c r="AB25" s="371"/>
      <c r="AE25" s="347"/>
      <c r="AF25" s="729"/>
      <c r="AG25" s="730"/>
      <c r="AH25" s="731"/>
      <c r="AI25" s="347"/>
      <c r="AJ25" s="347"/>
      <c r="AK25" s="347"/>
      <c r="AL25" s="347"/>
      <c r="AM25" s="347"/>
      <c r="AN25" s="347"/>
    </row>
    <row r="26" spans="2:40" s="347" customFormat="1" ht="14.25" customHeight="1">
      <c r="B26" s="343"/>
      <c r="C26" s="343" t="s">
        <v>1394</v>
      </c>
      <c r="D26" s="343" t="s">
        <v>12</v>
      </c>
      <c r="E26" s="352" t="s">
        <v>661</v>
      </c>
      <c r="F26" s="353"/>
      <c r="G26" s="353"/>
      <c r="H26" s="353"/>
      <c r="I26" s="354"/>
      <c r="J26" s="354"/>
      <c r="K26" s="354"/>
      <c r="M26" s="355">
        <f>IFERROR(IF(N26=0, 0, N26*$M$3),0)</f>
        <v>0</v>
      </c>
      <c r="N26" s="202">
        <f>N28+N31+N34</f>
        <v>0</v>
      </c>
      <c r="O26" s="356">
        <f>ROUND(O28+O31+O34,5)</f>
        <v>0</v>
      </c>
      <c r="Q26" s="354"/>
      <c r="R26" s="356"/>
      <c r="S26" s="354"/>
      <c r="T26" s="356"/>
      <c r="U26" s="354"/>
      <c r="V26" s="356"/>
      <c r="W26" s="354"/>
      <c r="X26" s="356"/>
      <c r="Y26" s="354"/>
      <c r="Z26" s="356"/>
      <c r="AB26" s="354"/>
      <c r="AC26" s="356"/>
      <c r="AD26" s="356"/>
      <c r="AE26" s="372"/>
      <c r="AF26" s="729"/>
      <c r="AG26" s="730"/>
      <c r="AH26" s="731"/>
      <c r="AI26" s="372"/>
      <c r="AJ26" s="372"/>
      <c r="AK26" s="372"/>
      <c r="AL26" s="372"/>
      <c r="AM26" s="372"/>
      <c r="AN26" s="372"/>
    </row>
    <row r="27" spans="2:40" s="372" customFormat="1" ht="3" customHeight="1">
      <c r="B27" s="368"/>
      <c r="C27" s="368"/>
      <c r="D27" s="368"/>
      <c r="E27" s="369"/>
      <c r="F27" s="370"/>
      <c r="G27" s="370"/>
      <c r="H27" s="370"/>
      <c r="I27" s="371"/>
      <c r="J27" s="371"/>
      <c r="K27" s="371"/>
      <c r="M27" s="373"/>
      <c r="N27" s="374"/>
      <c r="Q27" s="371"/>
      <c r="S27" s="371"/>
      <c r="U27" s="371"/>
      <c r="W27" s="371"/>
      <c r="Y27" s="371"/>
      <c r="AB27" s="371"/>
      <c r="AE27" s="347"/>
      <c r="AF27" s="729"/>
      <c r="AG27" s="730"/>
      <c r="AH27" s="731"/>
      <c r="AI27" s="347"/>
      <c r="AJ27" s="347"/>
      <c r="AK27" s="347"/>
      <c r="AL27" s="347"/>
      <c r="AM27" s="347"/>
      <c r="AN27" s="347"/>
    </row>
    <row r="28" spans="2:40" s="347" customFormat="1" ht="14.25" customHeight="1">
      <c r="B28" s="343"/>
      <c r="C28" s="343"/>
      <c r="D28" s="343" t="s">
        <v>12</v>
      </c>
      <c r="E28" s="375" t="s">
        <v>1372</v>
      </c>
      <c r="F28" s="376"/>
      <c r="G28" s="376"/>
      <c r="H28" s="376"/>
      <c r="I28" s="377"/>
      <c r="J28" s="377"/>
      <c r="K28" s="377"/>
      <c r="M28" s="378">
        <f>IFERROR(IF(N28=0, 0, N28*$M$3),0)</f>
        <v>0</v>
      </c>
      <c r="N28" s="490"/>
      <c r="O28" s="379">
        <f>IF(N28=0, 0, SUM(O29:O30)*N28)</f>
        <v>0</v>
      </c>
      <c r="Q28" s="377"/>
      <c r="R28" s="379"/>
      <c r="S28" s="377"/>
      <c r="T28" s="379"/>
      <c r="U28" s="377"/>
      <c r="V28" s="379"/>
      <c r="W28" s="377"/>
      <c r="X28" s="379"/>
      <c r="Y28" s="377"/>
      <c r="Z28" s="379"/>
      <c r="AB28" s="377"/>
      <c r="AC28" s="379"/>
      <c r="AD28" s="379"/>
      <c r="AE28" s="363"/>
      <c r="AF28" s="729"/>
      <c r="AG28" s="730"/>
      <c r="AH28" s="731"/>
      <c r="AI28" s="382"/>
      <c r="AJ28" s="363"/>
      <c r="AK28" s="363"/>
      <c r="AL28" s="363"/>
      <c r="AM28" s="363"/>
      <c r="AN28" s="363"/>
    </row>
    <row r="29" spans="2:40" s="363" customFormat="1" ht="14.25" customHeight="1">
      <c r="B29" s="357"/>
      <c r="C29" s="357"/>
      <c r="D29" s="357"/>
      <c r="E29" s="268"/>
      <c r="F29" s="358" t="str">
        <f ca="1">IF($E29="", "", IFERROR(INDEX(OFFSET('Fund Guide'!$B$5,1,MATCH(F$8,OFFSET('Fund Guide'!$B$5,,,,COUNTA('Fund Guide'!22:22)),0)-1,COUNTA('Fund Guide'!$B:$B)-COUNTA('Fund Guide'!$B$2:$B$5)),MATCH($E29,OFFSET('Fund Guide'!$B$5,1,,COUNTA('Fund Guide'!$B:$B)-COUNTA('Fund Guide'!$B$2:$B$5)),0)),"-"))</f>
        <v/>
      </c>
      <c r="G29" s="359" t="str">
        <f ca="1">IF($E29="", "", IFERROR(INDEX(OFFSET('Fund Guide'!$B$5,1,MATCH(G$8,OFFSET('Fund Guide'!$B$5,,,,COUNTA('Fund Guide'!$5:$5)),0)-1,COUNTA('Fund Guide'!$B:$B)-COUNTA('Fund Guide'!$B$2:$B$5)),MATCH($E29,OFFSET('Fund Guide'!$B$5,1,,COUNTA('Fund Guide'!$B:$B)-COUNTA('Fund Guide'!$B$2:$B$5)),0)),
IFERROR(IF(OR(LEFT($E29,3)="NTN",LEFT($E29,3)="LFT"),DATE(_xlfn.NUMBERVALUE(RIGHT(LEFT($E29,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360" t="str">
        <f ca="1">IF($E29="", "", IFERROR(INDEX(OFFSET('Fund Guide'!$B$5,1,MATCH(H$8,OFFSET('Fund Guide'!$B$5,,,,COUNTA('Fund Guide'!#REF!)),0)-1,COUNTA('Fund Guide'!$B:$B)-COUNTA('Fund Guide'!$B$2:$B$5)),MATCH($E29,OFFSET('Fund Guide'!$B$5,1,,COUNTA('Fund Guide'!$B:$B)-COUNTA('Fund Guide'!$B$2:$B$5)),0)),IFERROR(OFFSET('RF &amp; RV Guide'!$E$8,2+MATCH($E29, OFFSET('RF &amp; RV Guide'!$E$8,3,,200), 0),-1+MATCH(H$8, OFFSET('RF &amp; RV Guide'!$E$8,,,,COUNTA('RF &amp; RV Guide'!$8:$8)-COUNTA('RF &amp; RV Guide'!$A$8:$E$8)),0)),"BRL")))</f>
        <v/>
      </c>
      <c r="I29" s="361"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Guide'!$E$8,3,,200), 0),-1+MATCH(I$8, OFFSET('RF &amp; RV Guide'!$E$8,,,,COUNTA('RF &amp; RV Guide'!$8:$8)-COUNTA('RF &amp; RV Guide'!$A$8:$E$8)),0)),IFERROR(IF(FIND("tulo",$E29), 0.25%), "-"))))</f>
        <v/>
      </c>
      <c r="J29" s="362" t="str" cm="1">
        <f t="array" aca="1" ref="J29" ca="1">IF($E29="", "", IFERROR(INDEX(OFFSET('Fund Guide'!$B$5,1,MATCH(J$8,OFFSET('Fund Guide'!$B$5,,,,COUNTA('Fund Guide'!$5:$5)),0)-1,COUNTA('Fund Guide'!$B:$B)-COUNTA('Fund Guide'!$B$2:$B$5)),MATCH($E29,OFFSET('Fund Guide'!$B$5,1,,COUNTA('Fund Guide'!$B:$B)-COUNTA('Fund Guide'!$B$2:$B$5)),0)),
IFERROR(INDEX(OFFSET('RF &amp; RV Guide'!$X$10,1, , 100),MATCH(IF(FIND("(", $E29)&gt;0, LEFT($E29, FIND("(", $E29)-1),), IFERROR(IF(FIND("(", OFFSET('RF &amp; RV Guide'!$E$10,1,,200))&gt;0, LEFT(OFFSET('RF &amp; RV Guide'!$E$10,1,,200), FIND("(", $E29)-1),),"-"),0)),
IFERROR(INDEX(OFFSET('RF &amp; RV Guide'!$X$10,1, , 100),MATCH($E29, OFFSET('RF &amp; RV Guide'!$E$10,1,,200),0)),"-"))))</f>
        <v/>
      </c>
      <c r="K29" s="362"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M29" s="364" t="str">
        <f>IFERROR(IF(N29=0, "", N29*$M$3),0)</f>
        <v/>
      </c>
      <c r="N29" s="198"/>
      <c r="O29" s="380" t="str">
        <f>IFERROR(IF(N29=0, "", N29/N$28),0)</f>
        <v/>
      </c>
      <c r="Q29" s="687" t="str">
        <f ca="1">IF($E29="", "", IFERROR(INDEX(OFFSET('Fund Guide'!$B$5,1,MATCH(Q$8,OFFSET('Fund Guide'!$B$5,,,,COUNTA('Fund Guide'!22:22)),0)-1,COUNTA('Fund Guide'!$B:$B)-COUNTA('Fund Guide'!$B$2:$B$5)),MATCH($E29,OFFSET('Fund Guide'!$B$5,1,,COUNTA('Fund Guide'!$B:$B)-COUNTA('Fund Guide'!$B$2:$B$5)),0)),0))</f>
        <v/>
      </c>
      <c r="R29" s="683" t="str">
        <f ca="1">IF($E29="", "", IFERROR(INDEX(OFFSET('Fund Guide'!$B$5,1,MATCH(R$8,OFFSET('Fund Guide'!$B$5,,,,COUNTA('Fund Guide'!22:22)),0)-1,COUNTA('Fund Guide'!$B:$B)-COUNTA('Fund Guide'!$B$2:$B$5)),MATCH($E29,OFFSET('Fund Guide'!$B$5,1,,COUNTA('Fund Guide'!$B:$B)-COUNTA('Fund Guide'!$B$2:$B$5)),0)),0))</f>
        <v/>
      </c>
      <c r="S29" s="687" t="str">
        <f ca="1">IF($E29="", "", IFERROR(INDEX(OFFSET('Fund Guide'!$B$5,1,MATCH(S$8,OFFSET('Fund Guide'!$B$5,,,,COUNTA('Fund Guide'!22:22)),0)-1,COUNTA('Fund Guide'!$B:$B)-COUNTA('Fund Guide'!$B$2:$B$5)),MATCH($E29,OFFSET('Fund Guide'!$B$5,1,,COUNTA('Fund Guide'!$B:$B)-COUNTA('Fund Guide'!$B$2:$B$5)),0)),0))</f>
        <v/>
      </c>
      <c r="T29" s="683" t="str">
        <f ca="1">IF($E29="", "", IFERROR(INDEX(OFFSET('Fund Guide'!$B$5,1,MATCH(T$8,OFFSET('Fund Guide'!$B$5,,,,COUNTA('Fund Guide'!22:22)),0)-1,COUNTA('Fund Guide'!$B:$B)-COUNTA('Fund Guide'!$B$2:$B$5)),MATCH($E29,OFFSET('Fund Guide'!$B$5,1,,COUNTA('Fund Guide'!$B:$B)-COUNTA('Fund Guide'!$B$2:$B$5)),0)),0))</f>
        <v/>
      </c>
      <c r="U29" s="687" t="str">
        <f ca="1">IF($E29="", "", IFERROR(INDEX(OFFSET('Fund Guide'!$B$5,1,MATCH(U$8,OFFSET('Fund Guide'!$B$5,,,,COUNTA('Fund Guide'!22:22)),0)-1,COUNTA('Fund Guide'!$B:$B)-COUNTA('Fund Guide'!$B$2:$B$5)),MATCH($E29,OFFSET('Fund Guide'!$B$5,1,,COUNTA('Fund Guide'!$B:$B)-COUNTA('Fund Guide'!$B$2:$B$5)),0)),0))</f>
        <v/>
      </c>
      <c r="V29" s="683" t="str">
        <f ca="1">IF($E29="", "", IFERROR(INDEX(OFFSET('Fund Guide'!$B$5,1,MATCH(V$8,OFFSET('Fund Guide'!$B$5,,,,COUNTA('Fund Guide'!22:22)),0)-1,COUNTA('Fund Guide'!$B:$B)-COUNTA('Fund Guide'!$B$2:$B$5)),MATCH($E29,OFFSET('Fund Guide'!$B$5,1,,COUNTA('Fund Guide'!$B:$B)-COUNTA('Fund Guide'!$B$2:$B$5)),0)),0))</f>
        <v/>
      </c>
      <c r="W29" s="687" t="str">
        <f ca="1">IF($E29="", "", IFERROR(INDEX(OFFSET('Fund Guide'!$B$5,1,MATCH(W$8,OFFSET('Fund Guide'!$B$5,,,,COUNTA('Fund Guide'!22:22)),0)-1,COUNTA('Fund Guide'!$B:$B)-COUNTA('Fund Guide'!$B$2:$B$5)),MATCH($E29,OFFSET('Fund Guide'!$B$5,1,,COUNTA('Fund Guide'!$B:$B)-COUNTA('Fund Guide'!$B$2:$B$5)),0)),0))</f>
        <v/>
      </c>
      <c r="X29" s="683" t="str">
        <f ca="1">IF($E29="", "", IFERROR(INDEX(OFFSET('Fund Guide'!$B$5,1,MATCH(X$8,OFFSET('Fund Guide'!$B$5,,,,COUNTA('Fund Guide'!22:22)),0)-1,COUNTA('Fund Guide'!$B:$B)-COUNTA('Fund Guide'!$B$2:$B$5)),MATCH($E29,OFFSET('Fund Guide'!$B$5,1,,COUNTA('Fund Guide'!$B:$B)-COUNTA('Fund Guide'!$B$2:$B$5)),0)),0))</f>
        <v/>
      </c>
      <c r="Y29" s="684" t="str">
        <f ca="1">IF($E29="", "", IFERROR(INDEX(OFFSET('Fund Guide'!$B$5,1,MATCH(Y$8,OFFSET('Fund Guide'!$B$5,,,,COUNTA('Fund Guide'!22:22)),0)-1,COUNTA('Fund Guide'!$B:$B)-COUNTA('Fund Guide'!$B$2:$B$5)),MATCH($E29,OFFSET('Fund Guide'!$B$5,1,,COUNTA('Fund Guide'!$B:$B)-COUNTA('Fund Guide'!$B$2:$B$5)),0)),0))</f>
        <v/>
      </c>
      <c r="Z29" s="685" t="str">
        <f ca="1">IF($E29="", "", IFERROR(INDEX(OFFSET('Fund Guide'!$B$5,1,MATCH(Z$8,OFFSET('Fund Guide'!$B$5,,,,COUNTA('Fund Guide'!22:22)),0)-1,COUNTA('Fund Guide'!$B:$B)-COUNTA('Fund Guide'!$B$2:$B$5)),MATCH($E29,OFFSET('Fund Guide'!$B$5,1,,COUNTA('Fund Guide'!$B:$B)-COUNTA('Fund Guide'!$B$2:$B$5)),0)),0))</f>
        <v/>
      </c>
      <c r="AB29" s="199"/>
      <c r="AC29" s="199"/>
      <c r="AD29" s="198"/>
      <c r="AF29" s="729"/>
      <c r="AG29" s="730"/>
      <c r="AH29" s="731"/>
      <c r="AI29" s="728" t="b">
        <f t="shared" ref="AI29" ca="1" si="6">OR(AND($J29&gt;$Y$2, $J29&lt;&gt;"-", $J29&lt;&gt;"", $AB29="", $AC29="", $AD29=""),AND($F29&lt;&gt;"-", $Q29=0, $AB29="", $AC29="", $AD29=""), AND(RIGHT($E29,6)="B.Side", $Q29=0, $AB29="", $AC29="", $AD29=""))</f>
        <v>0</v>
      </c>
    </row>
    <row r="30" spans="2:40" s="331" customFormat="1" ht="4.5" customHeight="1">
      <c r="B30" s="329"/>
      <c r="C30" s="329"/>
      <c r="D30" s="329"/>
      <c r="E30" s="340"/>
      <c r="F30" s="367"/>
      <c r="G30" s="341"/>
      <c r="H30" s="341"/>
      <c r="I30" s="342"/>
      <c r="J30" s="342"/>
      <c r="K30" s="342"/>
      <c r="M30" s="351"/>
      <c r="Q30" s="342"/>
      <c r="S30" s="342"/>
      <c r="U30" s="342"/>
      <c r="W30" s="342"/>
      <c r="Y30" s="342"/>
      <c r="AB30" s="342"/>
      <c r="AE30" s="347"/>
      <c r="AF30" s="729"/>
      <c r="AG30" s="730"/>
      <c r="AH30" s="731"/>
      <c r="AI30" s="347"/>
      <c r="AJ30" s="347"/>
      <c r="AK30" s="347"/>
      <c r="AL30" s="347"/>
      <c r="AM30" s="347"/>
      <c r="AN30" s="347"/>
    </row>
    <row r="31" spans="2:40" s="347" customFormat="1" ht="14.25" customHeight="1">
      <c r="B31" s="343"/>
      <c r="C31" s="343"/>
      <c r="D31" s="343" t="s">
        <v>12</v>
      </c>
      <c r="E31" s="375" t="s">
        <v>2746</v>
      </c>
      <c r="F31" s="376"/>
      <c r="G31" s="376"/>
      <c r="H31" s="376"/>
      <c r="I31" s="377"/>
      <c r="J31" s="377"/>
      <c r="K31" s="377"/>
      <c r="M31" s="378">
        <f>IFERROR(IF(N31=0, 0, N31*$M$3),0)</f>
        <v>0</v>
      </c>
      <c r="N31" s="490"/>
      <c r="O31" s="379">
        <f>IF(N31=0, 0, SUM(O32:O33)*N31)</f>
        <v>0</v>
      </c>
      <c r="Q31" s="377"/>
      <c r="R31" s="379"/>
      <c r="S31" s="377"/>
      <c r="T31" s="379"/>
      <c r="U31" s="377"/>
      <c r="V31" s="379"/>
      <c r="W31" s="377"/>
      <c r="X31" s="379"/>
      <c r="Y31" s="377"/>
      <c r="Z31" s="379"/>
      <c r="AB31" s="377"/>
      <c r="AC31" s="379"/>
      <c r="AD31" s="379"/>
      <c r="AE31" s="363"/>
      <c r="AF31" s="729"/>
      <c r="AG31" s="730"/>
      <c r="AH31" s="731"/>
      <c r="AI31" s="363"/>
      <c r="AJ31" s="363"/>
      <c r="AK31" s="363"/>
      <c r="AL31" s="363"/>
      <c r="AM31" s="363"/>
      <c r="AN31" s="363"/>
    </row>
    <row r="32" spans="2:40" s="363" customFormat="1" ht="14.25" customHeight="1">
      <c r="B32" s="357"/>
      <c r="C32" s="357"/>
      <c r="D32" s="357"/>
      <c r="E32" s="268"/>
      <c r="F32" s="358" t="str">
        <f ca="1">IF($E32="", "", IFERROR(INDEX(OFFSET('Fund Guide'!$B$5,1,MATCH(F$8,OFFSET('Fund Guide'!$B$5,,,,COUNTA('Fund Guide'!25:25)),0)-1,COUNTA('Fund Guide'!$B:$B)-COUNTA('Fund Guide'!$B$2:$B$5)),MATCH($E32,OFFSET('Fund Guide'!$B$5,1,,COUNTA('Fund Guide'!$B:$B)-COUNTA('Fund Guide'!$B$2:$B$5)),0)),"-"))</f>
        <v/>
      </c>
      <c r="G32" s="359" t="str">
        <f ca="1">IF($E32="", "", IFERROR(INDEX(OFFSET('Fund Guide'!$B$5,1,MATCH(G$8,OFFSET('Fund Guide'!$B$5,,,,COUNTA('Fund Guide'!$5:$5)),0)-1,COUNTA('Fund Guide'!$B:$B)-COUNTA('Fund Guide'!$B$2:$B$5)),MATCH($E32,OFFSET('Fund Guide'!$B$5,1,,COUNTA('Fund Guide'!$B:$B)-COUNTA('Fund Guide'!$B$2:$B$5)),0)),
IFERROR(IF(OR(LEFT($E32,3)="NTN",LEFT($E32,3)="LFT"),DATE(_xlfn.NUMBERVALUE(RIGHT(LEFT($E32,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360" t="str">
        <f ca="1">IF($E32="", "", IFERROR(INDEX(OFFSET('Fund Guide'!$B$5,1,MATCH(H$8,OFFSET('Fund Guide'!$B$5,,,,COUNTA('Fund Guide'!#REF!)),0)-1,COUNTA('Fund Guide'!$B:$B)-COUNTA('Fund Guide'!$B$2:$B$5)),MATCH($E32,OFFSET('Fund Guide'!$B$5,1,,COUNTA('Fund Guide'!$B:$B)-COUNTA('Fund Guide'!$B$2:$B$5)),0)),IFERROR(OFFSET('RF &amp; RV Guide'!$E$8,2+MATCH($E32, OFFSET('RF &amp; RV Guide'!$E$8,3,,200), 0),-1+MATCH(H$8, OFFSET('RF &amp; RV Guide'!$E$8,,,,COUNTA('RF &amp; RV Guide'!$8:$8)-COUNTA('RF &amp; RV Guide'!$A$8:$E$8)),0)),"BRL")))</f>
        <v/>
      </c>
      <c r="I32" s="361"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Guide'!$E$8,3,,200), 0),-1+MATCH(I$8, OFFSET('RF &amp; RV Guide'!$E$8,,,,COUNTA('RF &amp; RV Guide'!$8:$8)-COUNTA('RF &amp; RV Guide'!$A$8:$E$8)),0)),IFERROR(IF(FIND("tulo",$E32), 0.25%), "-"))))</f>
        <v/>
      </c>
      <c r="J32" s="362" t="str" cm="1">
        <f t="array" aca="1" ref="J32" ca="1">IF($E32="", "", IFERROR(INDEX(OFFSET('Fund Guide'!$B$5,1,MATCH(J$8,OFFSET('Fund Guide'!$B$5,,,,COUNTA('Fund Guide'!$5:$5)),0)-1,COUNTA('Fund Guide'!$B:$B)-COUNTA('Fund Guide'!$B$2:$B$5)),MATCH($E32,OFFSET('Fund Guide'!$B$5,1,,COUNTA('Fund Guide'!$B:$B)-COUNTA('Fund Guide'!$B$2:$B$5)),0)),
IFERROR(INDEX(OFFSET('RF &amp; RV Guide'!$X$10,1, , 100),MATCH(IF(FIND("(", $E32)&gt;0, LEFT($E32, FIND("(", $E32)-1),), IFERROR(IF(FIND("(", OFFSET('RF &amp; RV Guide'!$E$10,1,,200))&gt;0, LEFT(OFFSET('RF &amp; RV Guide'!$E$10,1,,200), FIND("(", $E32)-1),),"-"),0)),
IFERROR(INDEX(OFFSET('RF &amp; RV Guide'!$X$10,1, , 100),MATCH($E32, OFFSET('RF &amp; RV Guide'!$E$10,1,,200),0)),"-"))))</f>
        <v/>
      </c>
      <c r="K32" s="362"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
      </c>
      <c r="M32" s="364" t="str">
        <f>IFERROR(IF(N32=0, "", N32*$M$3),0)</f>
        <v/>
      </c>
      <c r="N32" s="198"/>
      <c r="O32" s="380" t="str">
        <f>IFERROR(IF(N32=0, "", N32/N$31),0)</f>
        <v/>
      </c>
      <c r="Q32" s="687" t="str">
        <f ca="1">IF($E32="", "", IFERROR(INDEX(OFFSET('Fund Guide'!$B$5,1,MATCH(Q$8,OFFSET('Fund Guide'!$B$5,,,,COUNTA('Fund Guide'!27:27)),0)-1,COUNTA('Fund Guide'!$B:$B)-COUNTA('Fund Guide'!$B$2:$B$5)),MATCH($E32,OFFSET('Fund Guide'!$B$5,1,,COUNTA('Fund Guide'!$B:$B)-COUNTA('Fund Guide'!$B$2:$B$5)),0)),0))</f>
        <v/>
      </c>
      <c r="R32" s="683" t="str">
        <f ca="1">IF($E32="", "", IFERROR(INDEX(OFFSET('Fund Guide'!$B$5,1,MATCH(R$8,OFFSET('Fund Guide'!$B$5,,,,COUNTA('Fund Guide'!27:27)),0)-1,COUNTA('Fund Guide'!$B:$B)-COUNTA('Fund Guide'!$B$2:$B$5)),MATCH($E32,OFFSET('Fund Guide'!$B$5,1,,COUNTA('Fund Guide'!$B:$B)-COUNTA('Fund Guide'!$B$2:$B$5)),0)),0))</f>
        <v/>
      </c>
      <c r="S32" s="687" t="str">
        <f ca="1">IF($E32="", "", IFERROR(INDEX(OFFSET('Fund Guide'!$B$5,1,MATCH(S$8,OFFSET('Fund Guide'!$B$5,,,,COUNTA('Fund Guide'!27:27)),0)-1,COUNTA('Fund Guide'!$B:$B)-COUNTA('Fund Guide'!$B$2:$B$5)),MATCH($E32,OFFSET('Fund Guide'!$B$5,1,,COUNTA('Fund Guide'!$B:$B)-COUNTA('Fund Guide'!$B$2:$B$5)),0)),0))</f>
        <v/>
      </c>
      <c r="T32" s="683" t="str">
        <f ca="1">IF($E32="", "", IFERROR(INDEX(OFFSET('Fund Guide'!$B$5,1,MATCH(T$8,OFFSET('Fund Guide'!$B$5,,,,COUNTA('Fund Guide'!27:27)),0)-1,COUNTA('Fund Guide'!$B:$B)-COUNTA('Fund Guide'!$B$2:$B$5)),MATCH($E32,OFFSET('Fund Guide'!$B$5,1,,COUNTA('Fund Guide'!$B:$B)-COUNTA('Fund Guide'!$B$2:$B$5)),0)),0))</f>
        <v/>
      </c>
      <c r="U32" s="687" t="str">
        <f ca="1">IF($E32="", "", IFERROR(INDEX(OFFSET('Fund Guide'!$B$5,1,MATCH(U$8,OFFSET('Fund Guide'!$B$5,,,,COUNTA('Fund Guide'!27:27)),0)-1,COUNTA('Fund Guide'!$B:$B)-COUNTA('Fund Guide'!$B$2:$B$5)),MATCH($E32,OFFSET('Fund Guide'!$B$5,1,,COUNTA('Fund Guide'!$B:$B)-COUNTA('Fund Guide'!$B$2:$B$5)),0)),0))</f>
        <v/>
      </c>
      <c r="V32" s="683" t="str">
        <f ca="1">IF($E32="", "", IFERROR(INDEX(OFFSET('Fund Guide'!$B$5,1,MATCH(V$8,OFFSET('Fund Guide'!$B$5,,,,COUNTA('Fund Guide'!27:27)),0)-1,COUNTA('Fund Guide'!$B:$B)-COUNTA('Fund Guide'!$B$2:$B$5)),MATCH($E32,OFFSET('Fund Guide'!$B$5,1,,COUNTA('Fund Guide'!$B:$B)-COUNTA('Fund Guide'!$B$2:$B$5)),0)),0))</f>
        <v/>
      </c>
      <c r="W32" s="687" t="str">
        <f ca="1">IF($E32="", "", IFERROR(INDEX(OFFSET('Fund Guide'!$B$5,1,MATCH(W$8,OFFSET('Fund Guide'!$B$5,,,,COUNTA('Fund Guide'!27:27)),0)-1,COUNTA('Fund Guide'!$B:$B)-COUNTA('Fund Guide'!$B$2:$B$5)),MATCH($E32,OFFSET('Fund Guide'!$B$5,1,,COUNTA('Fund Guide'!$B:$B)-COUNTA('Fund Guide'!$B$2:$B$5)),0)),0))</f>
        <v/>
      </c>
      <c r="X32" s="683" t="str">
        <f ca="1">IF($E32="", "", IFERROR(INDEX(OFFSET('Fund Guide'!$B$5,1,MATCH(X$8,OFFSET('Fund Guide'!$B$5,,,,COUNTA('Fund Guide'!27:27)),0)-1,COUNTA('Fund Guide'!$B:$B)-COUNTA('Fund Guide'!$B$2:$B$5)),MATCH($E32,OFFSET('Fund Guide'!$B$5,1,,COUNTA('Fund Guide'!$B:$B)-COUNTA('Fund Guide'!$B$2:$B$5)),0)),0))</f>
        <v/>
      </c>
      <c r="Y32" s="684" t="str">
        <f ca="1">IF($E32="", "", IFERROR(INDEX(OFFSET('Fund Guide'!$B$5,1,MATCH(Y$8,OFFSET('Fund Guide'!$B$5,,,,COUNTA('Fund Guide'!27:27)),0)-1,COUNTA('Fund Guide'!$B:$B)-COUNTA('Fund Guide'!$B$2:$B$5)),MATCH($E32,OFFSET('Fund Guide'!$B$5,1,,COUNTA('Fund Guide'!$B:$B)-COUNTA('Fund Guide'!$B$2:$B$5)),0)),0))</f>
        <v/>
      </c>
      <c r="Z32" s="685" t="str">
        <f ca="1">IF($E32="", "", IFERROR(INDEX(OFFSET('Fund Guide'!$B$5,1,MATCH(Z$8,OFFSET('Fund Guide'!$B$5,,,,COUNTA('Fund Guide'!27:27)),0)-1,COUNTA('Fund Guide'!$B:$B)-COUNTA('Fund Guide'!$B$2:$B$5)),MATCH($E32,OFFSET('Fund Guide'!$B$5,1,,COUNTA('Fund Guide'!$B:$B)-COUNTA('Fund Guide'!$B$2:$B$5)),0)),0))</f>
        <v/>
      </c>
      <c r="AB32" s="199"/>
      <c r="AC32" s="199"/>
      <c r="AD32" s="198"/>
      <c r="AE32" s="331"/>
      <c r="AF32" s="729"/>
      <c r="AG32" s="730"/>
      <c r="AH32" s="731"/>
      <c r="AI32" s="728" t="b">
        <f t="shared" ref="AI32" ca="1" si="7">OR(AND($J32&gt;$Y$2, $J32&lt;&gt;"-", $J32&lt;&gt;"", $AB32="", $AC32="", $AD32=""),AND($F32&lt;&gt;"-", $Q32=0, $AB32="", $AC32="", $AD32=""), AND(RIGHT($E32,6)="B.Side", $Q32=0, $AB32="", $AC32="", $AD32=""))</f>
        <v>0</v>
      </c>
      <c r="AJ32" s="331"/>
      <c r="AK32" s="331"/>
      <c r="AL32" s="331"/>
      <c r="AM32" s="331"/>
      <c r="AN32" s="331"/>
    </row>
    <row r="33" spans="2:40" s="331" customFormat="1" ht="4.5" customHeight="1">
      <c r="B33" s="329"/>
      <c r="C33" s="329"/>
      <c r="D33" s="329"/>
      <c r="E33" s="340"/>
      <c r="F33" s="367"/>
      <c r="G33" s="341"/>
      <c r="H33" s="341"/>
      <c r="I33" s="342"/>
      <c r="J33" s="342"/>
      <c r="K33" s="342"/>
      <c r="M33" s="351"/>
      <c r="Q33" s="342"/>
      <c r="S33" s="342"/>
      <c r="U33" s="342"/>
      <c r="W33" s="342"/>
      <c r="Y33" s="342"/>
      <c r="AB33" s="342"/>
      <c r="AE33" s="347"/>
      <c r="AF33" s="729"/>
      <c r="AG33" s="730"/>
      <c r="AH33" s="731"/>
      <c r="AI33" s="347"/>
      <c r="AJ33" s="347"/>
      <c r="AK33" s="347"/>
      <c r="AL33" s="347"/>
      <c r="AM33" s="347"/>
      <c r="AN33" s="347"/>
    </row>
    <row r="34" spans="2:40" s="347" customFormat="1" ht="14.25" customHeight="1">
      <c r="B34" s="343"/>
      <c r="C34" s="343"/>
      <c r="D34" s="343" t="s">
        <v>12</v>
      </c>
      <c r="E34" s="375" t="s">
        <v>1370</v>
      </c>
      <c r="F34" s="376"/>
      <c r="G34" s="376"/>
      <c r="H34" s="376"/>
      <c r="I34" s="377"/>
      <c r="J34" s="377"/>
      <c r="K34" s="377"/>
      <c r="M34" s="378">
        <f>IFERROR(IF(N34=0, 0, N34*$M$3),0)</f>
        <v>0</v>
      </c>
      <c r="N34" s="490"/>
      <c r="O34" s="379">
        <f>IF(N34=0, 0, SUM(O35:O36)*N34)</f>
        <v>0</v>
      </c>
      <c r="Q34" s="377"/>
      <c r="R34" s="379"/>
      <c r="S34" s="377"/>
      <c r="T34" s="379"/>
      <c r="U34" s="377"/>
      <c r="V34" s="379"/>
      <c r="W34" s="377"/>
      <c r="X34" s="379"/>
      <c r="Y34" s="377"/>
      <c r="Z34" s="379"/>
      <c r="AB34" s="377"/>
      <c r="AC34" s="379"/>
      <c r="AD34" s="379"/>
      <c r="AE34" s="363"/>
      <c r="AF34" s="729"/>
      <c r="AG34" s="730"/>
      <c r="AH34" s="731"/>
      <c r="AI34" s="363"/>
      <c r="AJ34" s="363"/>
      <c r="AK34" s="363"/>
      <c r="AL34" s="363"/>
      <c r="AM34" s="363"/>
      <c r="AN34" s="363"/>
    </row>
    <row r="35" spans="2:40" s="363" customFormat="1" ht="14.25" customHeight="1">
      <c r="B35" s="357"/>
      <c r="C35" s="357"/>
      <c r="D35" s="357"/>
      <c r="E35" s="268"/>
      <c r="F35" s="358" t="str">
        <f ca="1">IF($E35="", "", IFERROR(INDEX(OFFSET('Fund Guide'!$B$5,1,MATCH(F$8,OFFSET('Fund Guide'!$B$5,,,,COUNTA('Fund Guide'!28:28)),0)-1,COUNTA('Fund Guide'!$B:$B)-COUNTA('Fund Guide'!$B$2:$B$5)),MATCH($E35,OFFSET('Fund Guide'!$B$5,1,,COUNTA('Fund Guide'!$B:$B)-COUNTA('Fund Guide'!$B$2:$B$5)),0)),"-"))</f>
        <v/>
      </c>
      <c r="G35" s="359" t="str">
        <f ca="1">IF($E35="", "", IFERROR(INDEX(OFFSET('Fund Guide'!$B$5,1,MATCH(G$8,OFFSET('Fund Guide'!$B$5,,,,COUNTA('Fund Guide'!$5:$5)),0)-1,COUNTA('Fund Guide'!$B:$B)-COUNTA('Fund Guide'!$B$2:$B$5)),MATCH($E35,OFFSET('Fund Guide'!$B$5,1,,COUNTA('Fund Guide'!$B:$B)-COUNTA('Fund Guide'!$B$2:$B$5)),0)),
IFERROR(IF(OR(LEFT($E35,3)="NTN",LEFT($E35,3)="LFT"),DATE(_xlfn.NUMBERVALUE(RIGHT(LEFT($E35,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360" t="str">
        <f ca="1">IF($E35="", "", IFERROR(INDEX(OFFSET('Fund Guide'!$B$5,1,MATCH(H$8,OFFSET('Fund Guide'!$B$5,,,,COUNTA('Fund Guide'!#REF!)),0)-1,COUNTA('Fund Guide'!$B:$B)-COUNTA('Fund Guide'!$B$2:$B$5)),MATCH($E35,OFFSET('Fund Guide'!$B$5,1,,COUNTA('Fund Guide'!$B:$B)-COUNTA('Fund Guide'!$B$2:$B$5)),0)),IFERROR(OFFSET('RF &amp; RV Guide'!$E$8,2+MATCH($E35, OFFSET('RF &amp; RV Guide'!$E$8,3,,200), 0),-1+MATCH(H$8, OFFSET('RF &amp; RV Guide'!$E$8,,,,COUNTA('RF &amp; RV Guide'!$8:$8)-COUNTA('RF &amp; RV Guide'!$A$8:$E$8)),0)),"BRL")))</f>
        <v/>
      </c>
      <c r="I35" s="361"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Guide'!$E$8,3,,200), 0),-1+MATCH(I$8, OFFSET('RF &amp; RV Guide'!$E$8,,,,COUNTA('RF &amp; RV Guide'!$8:$8)-COUNTA('RF &amp; RV Guide'!$A$8:$E$8)),0)),IFERROR(IF(FIND("tulo",$E35), 0.25%), "-"))))</f>
        <v/>
      </c>
      <c r="J35" s="362" t="str" cm="1">
        <f t="array" aca="1" ref="J35" ca="1">IF($E35="", "", IFERROR(INDEX(OFFSET('Fund Guide'!$B$5,1,MATCH(J$8,OFFSET('Fund Guide'!$B$5,,,,COUNTA('Fund Guide'!$5:$5)),0)-1,COUNTA('Fund Guide'!$B:$B)-COUNTA('Fund Guide'!$B$2:$B$5)),MATCH($E35,OFFSET('Fund Guide'!$B$5,1,,COUNTA('Fund Guide'!$B:$B)-COUNTA('Fund Guide'!$B$2:$B$5)),0)),
IFERROR(INDEX(OFFSET('RF &amp; RV Guide'!$X$10,1, , 100),MATCH(IF(FIND("(", $E35)&gt;0, LEFT($E35, FIND("(", $E35)-1),), IFERROR(IF(FIND("(", OFFSET('RF &amp; RV Guide'!$E$10,1,,200))&gt;0, LEFT(OFFSET('RF &amp; RV Guide'!$E$10,1,,200), FIND("(", $E35)-1),),"-"),0)),
IFERROR(INDEX(OFFSET('RF &amp; RV Guide'!$X$10,1, , 100),MATCH($E35, OFFSET('RF &amp; RV Guide'!$E$10,1,,200),0)),"-"))))</f>
        <v/>
      </c>
      <c r="K35" s="362"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
      </c>
      <c r="M35" s="364" t="str">
        <f>IF(OR($M$3=0, N35=0), "", N35*$M$3)</f>
        <v/>
      </c>
      <c r="N35" s="198"/>
      <c r="O35" s="380" t="str">
        <f>IFERROR(IF(N35=0, "", N35/N$34),0)</f>
        <v/>
      </c>
      <c r="Q35" s="687" t="str">
        <f ca="1">IF($E35="", "", IFERROR(INDEX(OFFSET('Fund Guide'!$B$5,1,MATCH(Q$8,OFFSET('Fund Guide'!$B$5,,,,COUNTA('Fund Guide'!28:28)),0)-1,COUNTA('Fund Guide'!$B:$B)-COUNTA('Fund Guide'!$B$2:$B$5)),MATCH($E35,OFFSET('Fund Guide'!$B$5,1,,COUNTA('Fund Guide'!$B:$B)-COUNTA('Fund Guide'!$B$2:$B$5)),0)),0))</f>
        <v/>
      </c>
      <c r="R35" s="683" t="str">
        <f ca="1">IF($E35="", "", IFERROR(INDEX(OFFSET('Fund Guide'!$B$5,1,MATCH(R$8,OFFSET('Fund Guide'!$B$5,,,,COUNTA('Fund Guide'!28:28)),0)-1,COUNTA('Fund Guide'!$B:$B)-COUNTA('Fund Guide'!$B$2:$B$5)),MATCH($E35,OFFSET('Fund Guide'!$B$5,1,,COUNTA('Fund Guide'!$B:$B)-COUNTA('Fund Guide'!$B$2:$B$5)),0)),0))</f>
        <v/>
      </c>
      <c r="S35" s="687" t="str">
        <f ca="1">IF($E35="", "", IFERROR(INDEX(OFFSET('Fund Guide'!$B$5,1,MATCH(S$8,OFFSET('Fund Guide'!$B$5,,,,COUNTA('Fund Guide'!28:28)),0)-1,COUNTA('Fund Guide'!$B:$B)-COUNTA('Fund Guide'!$B$2:$B$5)),MATCH($E35,OFFSET('Fund Guide'!$B$5,1,,COUNTA('Fund Guide'!$B:$B)-COUNTA('Fund Guide'!$B$2:$B$5)),0)),0))</f>
        <v/>
      </c>
      <c r="T35" s="683" t="str">
        <f ca="1">IF($E35="", "", IFERROR(INDEX(OFFSET('Fund Guide'!$B$5,1,MATCH(T$8,OFFSET('Fund Guide'!$B$5,,,,COUNTA('Fund Guide'!28:28)),0)-1,COUNTA('Fund Guide'!$B:$B)-COUNTA('Fund Guide'!$B$2:$B$5)),MATCH($E35,OFFSET('Fund Guide'!$B$5,1,,COUNTA('Fund Guide'!$B:$B)-COUNTA('Fund Guide'!$B$2:$B$5)),0)),0))</f>
        <v/>
      </c>
      <c r="U35" s="687" t="str">
        <f ca="1">IF($E35="", "", IFERROR(INDEX(OFFSET('Fund Guide'!$B$5,1,MATCH(U$8,OFFSET('Fund Guide'!$B$5,,,,COUNTA('Fund Guide'!28:28)),0)-1,COUNTA('Fund Guide'!$B:$B)-COUNTA('Fund Guide'!$B$2:$B$5)),MATCH($E35,OFFSET('Fund Guide'!$B$5,1,,COUNTA('Fund Guide'!$B:$B)-COUNTA('Fund Guide'!$B$2:$B$5)),0)),0))</f>
        <v/>
      </c>
      <c r="V35" s="683" t="str">
        <f ca="1">IF($E35="", "", IFERROR(INDEX(OFFSET('Fund Guide'!$B$5,1,MATCH(V$8,OFFSET('Fund Guide'!$B$5,,,,COUNTA('Fund Guide'!28:28)),0)-1,COUNTA('Fund Guide'!$B:$B)-COUNTA('Fund Guide'!$B$2:$B$5)),MATCH($E35,OFFSET('Fund Guide'!$B$5,1,,COUNTA('Fund Guide'!$B:$B)-COUNTA('Fund Guide'!$B$2:$B$5)),0)),0))</f>
        <v/>
      </c>
      <c r="W35" s="687" t="str">
        <f ca="1">IF($E35="", "", IFERROR(INDEX(OFFSET('Fund Guide'!$B$5,1,MATCH(W$8,OFFSET('Fund Guide'!$B$5,,,,COUNTA('Fund Guide'!28:28)),0)-1,COUNTA('Fund Guide'!$B:$B)-COUNTA('Fund Guide'!$B$2:$B$5)),MATCH($E35,OFFSET('Fund Guide'!$B$5,1,,COUNTA('Fund Guide'!$B:$B)-COUNTA('Fund Guide'!$B$2:$B$5)),0)),0))</f>
        <v/>
      </c>
      <c r="X35" s="683" t="str">
        <f ca="1">IF($E35="", "", IFERROR(INDEX(OFFSET('Fund Guide'!$B$5,1,MATCH(X$8,OFFSET('Fund Guide'!$B$5,,,,COUNTA('Fund Guide'!28:28)),0)-1,COUNTA('Fund Guide'!$B:$B)-COUNTA('Fund Guide'!$B$2:$B$5)),MATCH($E35,OFFSET('Fund Guide'!$B$5,1,,COUNTA('Fund Guide'!$B:$B)-COUNTA('Fund Guide'!$B$2:$B$5)),0)),0))</f>
        <v/>
      </c>
      <c r="Y35" s="684" t="str">
        <f ca="1">IF($E35="", "", IFERROR(INDEX(OFFSET('Fund Guide'!$B$5,1,MATCH(Y$8,OFFSET('Fund Guide'!$B$5,,,,COUNTA('Fund Guide'!28:28)),0)-1,COUNTA('Fund Guide'!$B:$B)-COUNTA('Fund Guide'!$B$2:$B$5)),MATCH($E35,OFFSET('Fund Guide'!$B$5,1,,COUNTA('Fund Guide'!$B:$B)-COUNTA('Fund Guide'!$B$2:$B$5)),0)),0))</f>
        <v/>
      </c>
      <c r="Z35" s="685" t="str">
        <f ca="1">IF($E35="", "", IFERROR(INDEX(OFFSET('Fund Guide'!$B$5,1,MATCH(Z$8,OFFSET('Fund Guide'!$B$5,,,,COUNTA('Fund Guide'!28:28)),0)-1,COUNTA('Fund Guide'!$B:$B)-COUNTA('Fund Guide'!$B$2:$B$5)),MATCH($E35,OFFSET('Fund Guide'!$B$5,1,,COUNTA('Fund Guide'!$B:$B)-COUNTA('Fund Guide'!$B$2:$B$5)),0)),0))</f>
        <v/>
      </c>
      <c r="AB35" s="199"/>
      <c r="AC35" s="199"/>
      <c r="AD35" s="198"/>
      <c r="AE35" s="331"/>
      <c r="AF35" s="729"/>
      <c r="AG35" s="730"/>
      <c r="AH35" s="731"/>
      <c r="AI35" s="728" t="b">
        <f t="shared" ref="AI35" ca="1" si="8">OR(AND($J35&gt;$Y$2, $J35&lt;&gt;"-", $J35&lt;&gt;"", $AB35="", $AC35="", $AD35=""),AND($F35&lt;&gt;"-", $Q35=0, $AB35="", $AC35="", $AD35=""), AND(RIGHT($E35,6)="B.Side", $Q35=0, $AB35="", $AC35="", $AD35=""))</f>
        <v>0</v>
      </c>
      <c r="AJ35" s="331"/>
      <c r="AK35" s="331"/>
      <c r="AL35" s="331"/>
      <c r="AM35" s="331"/>
      <c r="AN35" s="331"/>
    </row>
    <row r="36" spans="2:40" s="331" customFormat="1" ht="5.25" customHeight="1">
      <c r="B36" s="329"/>
      <c r="C36" s="329"/>
      <c r="D36" s="329"/>
      <c r="E36" s="340"/>
      <c r="F36" s="341"/>
      <c r="G36" s="341"/>
      <c r="H36" s="341"/>
      <c r="I36" s="342"/>
      <c r="J36" s="342"/>
      <c r="K36" s="342"/>
      <c r="M36" s="351"/>
      <c r="Q36" s="342"/>
      <c r="S36" s="342"/>
      <c r="U36" s="342"/>
      <c r="W36" s="342"/>
      <c r="Y36" s="342"/>
      <c r="AB36" s="342"/>
      <c r="AE36" s="347"/>
      <c r="AF36" s="729"/>
      <c r="AG36" s="730"/>
      <c r="AH36" s="731"/>
      <c r="AI36" s="347"/>
      <c r="AJ36" s="347"/>
      <c r="AK36" s="347"/>
      <c r="AL36" s="347"/>
      <c r="AM36" s="347"/>
      <c r="AN36" s="347"/>
    </row>
    <row r="37" spans="2:40" s="347" customFormat="1" ht="14.25" customHeight="1">
      <c r="B37" s="343"/>
      <c r="C37" s="343" t="s">
        <v>12</v>
      </c>
      <c r="D37" s="343" t="s">
        <v>12</v>
      </c>
      <c r="E37" s="352" t="s">
        <v>628</v>
      </c>
      <c r="F37" s="353"/>
      <c r="G37" s="353"/>
      <c r="H37" s="353"/>
      <c r="I37" s="354"/>
      <c r="J37" s="354"/>
      <c r="K37" s="354"/>
      <c r="M37" s="355">
        <f>IFERROR(IF(N37=0, 0, N37*$M$3),0)</f>
        <v>0</v>
      </c>
      <c r="N37" s="489"/>
      <c r="O37" s="356">
        <f>IF(N37=0,0,ROUND(SUM(O38:O39)*N37,5))</f>
        <v>0</v>
      </c>
      <c r="Q37" s="354"/>
      <c r="R37" s="356"/>
      <c r="S37" s="354"/>
      <c r="T37" s="356"/>
      <c r="U37" s="354"/>
      <c r="V37" s="356"/>
      <c r="W37" s="354"/>
      <c r="X37" s="356"/>
      <c r="Y37" s="354"/>
      <c r="Z37" s="356"/>
      <c r="AB37" s="354"/>
      <c r="AC37" s="356"/>
      <c r="AD37" s="356"/>
      <c r="AE37" s="363"/>
      <c r="AF37" s="729"/>
      <c r="AG37" s="730"/>
      <c r="AH37" s="731"/>
      <c r="AI37" s="363"/>
      <c r="AJ37" s="363"/>
      <c r="AK37" s="363"/>
      <c r="AL37" s="363"/>
      <c r="AM37" s="363"/>
      <c r="AN37" s="363"/>
    </row>
    <row r="38" spans="2:40" s="363" customFormat="1" ht="14.25" customHeight="1">
      <c r="B38" s="357"/>
      <c r="C38" s="357"/>
      <c r="D38" s="357"/>
      <c r="E38" s="268"/>
      <c r="F38" s="358" t="str">
        <f ca="1">IF($E38="", "", IFERROR(INDEX(OFFSET('Fund Guide'!$B$5,1,MATCH(F$8,OFFSET('Fund Guide'!$B$5,,,,COUNTA('Fund Guide'!31:31)),0)-1,COUNTA('Fund Guide'!$B:$B)-COUNTA('Fund Guide'!$B$2:$B$5)),MATCH($E38,OFFSET('Fund Guide'!$B$5,1,,COUNTA('Fund Guide'!$B:$B)-COUNTA('Fund Guide'!$B$2:$B$5)),0)),"-"))</f>
        <v/>
      </c>
      <c r="G38" s="359" t="str">
        <f ca="1">IF($E38="", "", IFERROR(INDEX(OFFSET('Fund Guide'!$B$5,1,MATCH(G$8,OFFSET('Fund Guide'!$B$5,,,,COUNTA('Fund Guide'!$5:$5)),0)-1,COUNTA('Fund Guide'!$B:$B)-COUNTA('Fund Guide'!$B$2:$B$5)),MATCH($E38,OFFSET('Fund Guide'!$B$5,1,,COUNTA('Fund Guide'!$B:$B)-COUNTA('Fund Guide'!$B$2:$B$5)),0)),
IFERROR(IF(OR(LEFT($E38,3)="NTN",LEFT($E38,3)="LFT"),DATE(_xlfn.NUMBERVALUE(RIGHT(LEFT($E38,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360" t="str">
        <f ca="1">IF($E38="", "", IFERROR(INDEX(OFFSET('Fund Guide'!$B$5,1,MATCH(H$8,OFFSET('Fund Guide'!$B$5,,,,COUNTA('Fund Guide'!#REF!)),0)-1,COUNTA('Fund Guide'!$B:$B)-COUNTA('Fund Guide'!$B$2:$B$5)),MATCH($E38,OFFSET('Fund Guide'!$B$5,1,,COUNTA('Fund Guide'!$B:$B)-COUNTA('Fund Guide'!$B$2:$B$5)),0)),IFERROR(OFFSET('RF &amp; RV Guide'!$E$8,2+MATCH($E38, OFFSET('RF &amp; RV Guide'!$E$8,3,,200), 0),-1+MATCH(H$8, OFFSET('RF &amp; RV Guide'!$E$8,,,,COUNTA('RF &amp; RV Guide'!$8:$8)-COUNTA('RF &amp; RV Guide'!$A$8:$E$8)),0)),"BRL")))</f>
        <v/>
      </c>
      <c r="I38" s="361" t="str">
        <f ca="1">IF($E38="", "", IFERROR(INDEX(OFFSET('Fund Guide'!$B$5,1,MATCH("Repasse Taxa Adm. Gestor",OFFSET('Fund Guide'!$B$5,,,,COUNTA('Fund Guide'!$5:$5)),0)-1,COUNTA('Fund Guide'!$B:$B)-COUNTA('Fund Guide'!$B$2:$B$5)),MATCH($E38,OFFSET('Fund Guide'!$B$5,1,,COUNTA('Fund Guide'!$B:$B)-COUNTA('Fund Guide'!$B$2:$B$5)),0)),
IFERROR(OFFSET('RF &amp; RV Guide'!$E$8,2+MATCH($E38, OFFSET('RF &amp; RV Guide'!$E$8,3,,200), 0),-1+MATCH(I$8, OFFSET('RF &amp; RV Guide'!$E$8,,,,COUNTA('RF &amp; RV Guide'!$8:$8)-COUNTA('RF &amp; RV Guide'!$A$8:$E$8)),0)),IFERROR(IF(FIND("tulo",$E38), 0.25%), "-"))))</f>
        <v/>
      </c>
      <c r="J38" s="362" t="str" cm="1">
        <f t="array" aca="1" ref="J38" ca="1">IF($E38="", "", IFERROR(INDEX(OFFSET('Fund Guide'!$B$5,1,MATCH(J$8,OFFSET('Fund Guide'!$B$5,,,,COUNTA('Fund Guide'!$5:$5)),0)-1,COUNTA('Fund Guide'!$B:$B)-COUNTA('Fund Guide'!$B$2:$B$5)),MATCH($E38,OFFSET('Fund Guide'!$B$5,1,,COUNTA('Fund Guide'!$B:$B)-COUNTA('Fund Guide'!$B$2:$B$5)),0)),
IFERROR(INDEX(OFFSET('RF &amp; RV Guide'!$X$10,1, , 100),MATCH(IF(FIND("(", $E38)&gt;0, LEFT($E38, FIND("(", $E38)-1),), IFERROR(IF(FIND("(", OFFSET('RF &amp; RV Guide'!$E$10,1,,200))&gt;0, LEFT(OFFSET('RF &amp; RV Guide'!$E$10,1,,200), FIND("(", $E38)-1),),"-"),0)),
IFERROR(INDEX(OFFSET('RF &amp; RV Guide'!$X$10,1, , 100),MATCH($E38, OFFSET('RF &amp; RV Guide'!$E$10,1,,200),0)),"-"))))</f>
        <v/>
      </c>
      <c r="K38" s="362" t="str">
        <f ca="1">IF($E38="", "", IFERROR(INDEX(OFFSET('Fund Guide'!$B$5,1,MATCH(K$8,OFFSET('Fund Guide'!$B$5,,,,COUNTA('Fund Guide'!$5:$5)),0)-1,COUNTA('Fund Guide'!$B:$B)-COUNTA('Fund Guide'!$B$2:$B$5)),MATCH($E38,OFFSET('Fund Guide'!$B$5,1,,COUNTA('Fund Guide'!$B:$B)-COUNTA('Fund Guide'!$B$2:$B$5)),0)),
IFERROR(OFFSET('RF &amp; RV Guide'!$E$8,2+MATCH($E38, OFFSET('RF &amp; RV Guide'!$E$8,3,,COUNTA('RF &amp; RV Guide'!$E:$E)-COUNTA('RF &amp; RV Guide'!$E$1:$E$8)), 0),-1+MATCH("Captação", OFFSET('RF &amp; RV Guide'!$E$8,,,,COUNTA('RF &amp; RV Guide'!$8:$8)-COUNTA('RF &amp; RV Guide'!$A$8:$E$8)),0)), "-")))</f>
        <v/>
      </c>
      <c r="M38" s="364" t="str">
        <f>IFERROR(IF(N38=0, "", N38*$M$3),0)</f>
        <v/>
      </c>
      <c r="N38" s="198"/>
      <c r="O38" s="365" t="str">
        <f>IFERROR(IF(N38=0, "", N38/N37),0)</f>
        <v/>
      </c>
      <c r="Q38" s="687" t="str">
        <f ca="1">IF($E38="", "", IFERROR(INDEX(OFFSET('Fund Guide'!$B$5,1,MATCH(Q$8,OFFSET('Fund Guide'!$B$5,,,,COUNTA('Fund Guide'!31:31)),0)-1,COUNTA('Fund Guide'!$B:$B)-COUNTA('Fund Guide'!$B$2:$B$5)),MATCH($E38,OFFSET('Fund Guide'!$B$5,1,,COUNTA('Fund Guide'!$B:$B)-COUNTA('Fund Guide'!$B$2:$B$5)),0)),0))</f>
        <v/>
      </c>
      <c r="R38" s="683" t="str">
        <f ca="1">IF($E38="", "", IFERROR(INDEX(OFFSET('Fund Guide'!$B$5,1,MATCH(R$8,OFFSET('Fund Guide'!$B$5,,,,COUNTA('Fund Guide'!31:31)),0)-1,COUNTA('Fund Guide'!$B:$B)-COUNTA('Fund Guide'!$B$2:$B$5)),MATCH($E38,OFFSET('Fund Guide'!$B$5,1,,COUNTA('Fund Guide'!$B:$B)-COUNTA('Fund Guide'!$B$2:$B$5)),0)),0))</f>
        <v/>
      </c>
      <c r="S38" s="687" t="str">
        <f ca="1">IF($E38="", "", IFERROR(INDEX(OFFSET('Fund Guide'!$B$5,1,MATCH(S$8,OFFSET('Fund Guide'!$B$5,,,,COUNTA('Fund Guide'!31:31)),0)-1,COUNTA('Fund Guide'!$B:$B)-COUNTA('Fund Guide'!$B$2:$B$5)),MATCH($E38,OFFSET('Fund Guide'!$B$5,1,,COUNTA('Fund Guide'!$B:$B)-COUNTA('Fund Guide'!$B$2:$B$5)),0)),0))</f>
        <v/>
      </c>
      <c r="T38" s="683" t="str">
        <f ca="1">IF($E38="", "", IFERROR(INDEX(OFFSET('Fund Guide'!$B$5,1,MATCH(T$8,OFFSET('Fund Guide'!$B$5,,,,COUNTA('Fund Guide'!31:31)),0)-1,COUNTA('Fund Guide'!$B:$B)-COUNTA('Fund Guide'!$B$2:$B$5)),MATCH($E38,OFFSET('Fund Guide'!$B$5,1,,COUNTA('Fund Guide'!$B:$B)-COUNTA('Fund Guide'!$B$2:$B$5)),0)),0))</f>
        <v/>
      </c>
      <c r="U38" s="687" t="str">
        <f ca="1">IF($E38="", "", IFERROR(INDEX(OFFSET('Fund Guide'!$B$5,1,MATCH(U$8,OFFSET('Fund Guide'!$B$5,,,,COUNTA('Fund Guide'!31:31)),0)-1,COUNTA('Fund Guide'!$B:$B)-COUNTA('Fund Guide'!$B$2:$B$5)),MATCH($E38,OFFSET('Fund Guide'!$B$5,1,,COUNTA('Fund Guide'!$B:$B)-COUNTA('Fund Guide'!$B$2:$B$5)),0)),0))</f>
        <v/>
      </c>
      <c r="V38" s="683" t="str">
        <f ca="1">IF($E38="", "", IFERROR(INDEX(OFFSET('Fund Guide'!$B$5,1,MATCH(V$8,OFFSET('Fund Guide'!$B$5,,,,COUNTA('Fund Guide'!31:31)),0)-1,COUNTA('Fund Guide'!$B:$B)-COUNTA('Fund Guide'!$B$2:$B$5)),MATCH($E38,OFFSET('Fund Guide'!$B$5,1,,COUNTA('Fund Guide'!$B:$B)-COUNTA('Fund Guide'!$B$2:$B$5)),0)),0))</f>
        <v/>
      </c>
      <c r="W38" s="687" t="str">
        <f ca="1">IF($E38="", "", IFERROR(INDEX(OFFSET('Fund Guide'!$B$5,1,MATCH(W$8,OFFSET('Fund Guide'!$B$5,,,,COUNTA('Fund Guide'!31:31)),0)-1,COUNTA('Fund Guide'!$B:$B)-COUNTA('Fund Guide'!$B$2:$B$5)),MATCH($E38,OFFSET('Fund Guide'!$B$5,1,,COUNTA('Fund Guide'!$B:$B)-COUNTA('Fund Guide'!$B$2:$B$5)),0)),0))</f>
        <v/>
      </c>
      <c r="X38" s="683" t="str">
        <f ca="1">IF($E38="", "", IFERROR(INDEX(OFFSET('Fund Guide'!$B$5,1,MATCH(X$8,OFFSET('Fund Guide'!$B$5,,,,COUNTA('Fund Guide'!31:31)),0)-1,COUNTA('Fund Guide'!$B:$B)-COUNTA('Fund Guide'!$B$2:$B$5)),MATCH($E38,OFFSET('Fund Guide'!$B$5,1,,COUNTA('Fund Guide'!$B:$B)-COUNTA('Fund Guide'!$B$2:$B$5)),0)),0))</f>
        <v/>
      </c>
      <c r="Y38" s="684" t="str">
        <f ca="1">IF($E38="", "", IFERROR(INDEX(OFFSET('Fund Guide'!$B$5,1,MATCH(Y$8,OFFSET('Fund Guide'!$B$5,,,,COUNTA('Fund Guide'!31:31)),0)-1,COUNTA('Fund Guide'!$B:$B)-COUNTA('Fund Guide'!$B$2:$B$5)),MATCH($E38,OFFSET('Fund Guide'!$B$5,1,,COUNTA('Fund Guide'!$B:$B)-COUNTA('Fund Guide'!$B$2:$B$5)),0)),0))</f>
        <v/>
      </c>
      <c r="Z38" s="685" t="str">
        <f ca="1">IF($E38="", "", IFERROR(INDEX(OFFSET('Fund Guide'!$B$5,1,MATCH(Z$8,OFFSET('Fund Guide'!$B$5,,,,COUNTA('Fund Guide'!31:31)),0)-1,COUNTA('Fund Guide'!$B:$B)-COUNTA('Fund Guide'!$B$2:$B$5)),MATCH($E38,OFFSET('Fund Guide'!$B$5,1,,COUNTA('Fund Guide'!$B:$B)-COUNTA('Fund Guide'!$B$2:$B$5)),0)),0))</f>
        <v/>
      </c>
      <c r="AB38" s="199"/>
      <c r="AC38" s="199"/>
      <c r="AD38" s="198"/>
      <c r="AE38" s="331"/>
      <c r="AF38" s="729"/>
      <c r="AG38" s="730"/>
      <c r="AH38" s="731"/>
      <c r="AI38" s="728" t="b">
        <f t="shared" ref="AI38" ca="1" si="9">OR(AND($J38&gt;$Y$2, $J38&lt;&gt;"-", $J38&lt;&gt;"", $AB38="", $AC38="", $AD38=""),AND($F38&lt;&gt;"-", $Q38=0, $AB38="", $AC38="", $AD38=""), AND(RIGHT($E38,6)="B.Side", $Q38=0, $AB38="", $AC38="", $AD38=""))</f>
        <v>0</v>
      </c>
      <c r="AJ38" s="331"/>
      <c r="AK38" s="331"/>
      <c r="AL38" s="331"/>
      <c r="AM38" s="331"/>
      <c r="AN38" s="331"/>
    </row>
    <row r="39" spans="2:40" s="331" customFormat="1" ht="7.5" customHeight="1">
      <c r="B39" s="329"/>
      <c r="C39" s="329"/>
      <c r="D39" s="329"/>
      <c r="E39" s="340"/>
      <c r="F39" s="367"/>
      <c r="G39" s="341"/>
      <c r="H39" s="341"/>
      <c r="I39" s="342"/>
      <c r="J39" s="342"/>
      <c r="K39" s="342"/>
      <c r="M39" s="351"/>
      <c r="N39" s="383"/>
      <c r="Q39" s="342"/>
      <c r="S39" s="342"/>
      <c r="U39" s="342"/>
      <c r="W39" s="342"/>
      <c r="Y39" s="342"/>
      <c r="AB39" s="342"/>
      <c r="AE39" s="347"/>
      <c r="AF39" s="729"/>
      <c r="AG39" s="730"/>
      <c r="AH39" s="731"/>
      <c r="AI39" s="347"/>
      <c r="AJ39" s="347"/>
      <c r="AK39" s="347"/>
      <c r="AL39" s="347"/>
      <c r="AM39" s="347"/>
      <c r="AN39" s="347"/>
    </row>
    <row r="40" spans="2:40" s="347" customFormat="1" ht="14.25" customHeight="1">
      <c r="B40" s="343"/>
      <c r="C40" s="343"/>
      <c r="D40" s="343" t="s">
        <v>1394</v>
      </c>
      <c r="E40" s="344" t="s">
        <v>13</v>
      </c>
      <c r="F40" s="345"/>
      <c r="G40" s="345"/>
      <c r="H40" s="345"/>
      <c r="I40" s="346"/>
      <c r="J40" s="346"/>
      <c r="K40" s="346"/>
      <c r="M40" s="348">
        <f>IFERROR(IF(M42+M45=0, 0,M42+M45),"")</f>
        <v>0</v>
      </c>
      <c r="N40" s="349">
        <f>N42+N45</f>
        <v>0</v>
      </c>
      <c r="O40" s="350">
        <f>O42+O45</f>
        <v>0</v>
      </c>
      <c r="Q40" s="346"/>
      <c r="R40" s="350"/>
      <c r="S40" s="346"/>
      <c r="T40" s="350"/>
      <c r="U40" s="346"/>
      <c r="V40" s="350"/>
      <c r="W40" s="346"/>
      <c r="X40" s="350"/>
      <c r="Y40" s="346"/>
      <c r="Z40" s="350"/>
      <c r="AB40" s="346"/>
      <c r="AC40" s="350"/>
      <c r="AD40" s="350"/>
      <c r="AE40" s="331"/>
      <c r="AF40" s="729"/>
      <c r="AG40" s="730"/>
      <c r="AH40" s="731"/>
      <c r="AI40" s="331"/>
      <c r="AJ40" s="331"/>
      <c r="AK40" s="331"/>
      <c r="AL40" s="331"/>
      <c r="AM40" s="331"/>
      <c r="AN40" s="331"/>
    </row>
    <row r="41" spans="2:40" s="331" customFormat="1" ht="4.5" customHeight="1">
      <c r="B41" s="329"/>
      <c r="C41" s="329"/>
      <c r="D41" s="329"/>
      <c r="E41" s="340"/>
      <c r="F41" s="341"/>
      <c r="G41" s="341"/>
      <c r="H41" s="341"/>
      <c r="I41" s="342"/>
      <c r="J41" s="342"/>
      <c r="K41" s="342"/>
      <c r="M41" s="351"/>
      <c r="Q41" s="342"/>
      <c r="S41" s="342"/>
      <c r="U41" s="342"/>
      <c r="W41" s="342"/>
      <c r="Y41" s="342"/>
      <c r="AB41" s="342"/>
      <c r="AE41" s="347"/>
      <c r="AF41" s="729"/>
      <c r="AG41" s="730"/>
      <c r="AH41" s="731"/>
      <c r="AI41" s="347"/>
      <c r="AJ41" s="347"/>
      <c r="AK41" s="347"/>
      <c r="AL41" s="347"/>
      <c r="AM41" s="347"/>
      <c r="AN41" s="347"/>
    </row>
    <row r="42" spans="2:40" s="347" customFormat="1" ht="14.25" customHeight="1">
      <c r="B42" s="343"/>
      <c r="C42" s="343" t="s">
        <v>12</v>
      </c>
      <c r="D42" s="343" t="s">
        <v>12</v>
      </c>
      <c r="E42" s="352" t="s">
        <v>615</v>
      </c>
      <c r="F42" s="353"/>
      <c r="G42" s="353"/>
      <c r="H42" s="353"/>
      <c r="I42" s="354"/>
      <c r="J42" s="354"/>
      <c r="K42" s="354"/>
      <c r="M42" s="355">
        <f>IFERROR(IF(N42=0, 0, N42*$M$3),0)</f>
        <v>0</v>
      </c>
      <c r="N42" s="489"/>
      <c r="O42" s="356">
        <f>IF(N42=0, 0, ROUND(SUM(O43:O44)*N42,5))</f>
        <v>0</v>
      </c>
      <c r="Q42" s="354"/>
      <c r="R42" s="356"/>
      <c r="S42" s="354"/>
      <c r="T42" s="356"/>
      <c r="U42" s="354"/>
      <c r="V42" s="356"/>
      <c r="W42" s="354"/>
      <c r="X42" s="356"/>
      <c r="Y42" s="354"/>
      <c r="Z42" s="356"/>
      <c r="AB42" s="354"/>
      <c r="AC42" s="356"/>
      <c r="AD42" s="356"/>
      <c r="AE42" s="363"/>
      <c r="AF42" s="729"/>
      <c r="AG42" s="730"/>
      <c r="AH42" s="731"/>
      <c r="AI42" s="363"/>
      <c r="AJ42" s="363"/>
      <c r="AK42" s="363"/>
      <c r="AL42" s="363"/>
      <c r="AM42" s="363"/>
      <c r="AN42" s="363"/>
    </row>
    <row r="43" spans="2:40" s="363" customFormat="1" ht="14.25" customHeight="1">
      <c r="B43" s="357"/>
      <c r="C43" s="357"/>
      <c r="D43" s="357"/>
      <c r="E43" s="268"/>
      <c r="F43" s="358" t="str">
        <f ca="1">IF($E43="", "", IFERROR(INDEX(OFFSET('Fund Guide'!$B$5,1,MATCH(F$8,OFFSET('Fund Guide'!$B$5,,,,COUNTA('Fund Guide'!36:36)),0)-1,COUNTA('Fund Guide'!$B:$B)-COUNTA('Fund Guide'!$B$2:$B$5)),MATCH($E43,OFFSET('Fund Guide'!$B$5,1,,COUNTA('Fund Guide'!$B:$B)-COUNTA('Fund Guide'!$B$2:$B$5)),0)),"-"))</f>
        <v/>
      </c>
      <c r="G43" s="359" t="str">
        <f ca="1">IF($E43="", "", IFERROR(INDEX(OFFSET('Fund Guide'!$B$5,1,MATCH(G$8,OFFSET('Fund Guide'!$B$5,,,,COUNTA('Fund Guide'!$5:$5)),0)-1,COUNTA('Fund Guide'!$B:$B)-COUNTA('Fund Guide'!$B$2:$B$5)),MATCH($E43,OFFSET('Fund Guide'!$B$5,1,,COUNTA('Fund Guide'!$B:$B)-COUNTA('Fund Guide'!$B$2:$B$5)),0)),
IFERROR(IF(OR(LEFT($E43,3)="NTN",LEFT($E43,3)="LFT"),DATE(_xlfn.NUMBERVALUE(RIGHT(LEFT($E43,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360" t="str">
        <f ca="1">IF($E43="", "", IFERROR(INDEX(OFFSET('Fund Guide'!$B$5,1,MATCH(H$8,OFFSET('Fund Guide'!$B$5,,,,COUNTA('Fund Guide'!#REF!)),0)-1,COUNTA('Fund Guide'!$B:$B)-COUNTA('Fund Guide'!$B$2:$B$5)),MATCH($E43,OFFSET('Fund Guide'!$B$5,1,,COUNTA('Fund Guide'!$B:$B)-COUNTA('Fund Guide'!$B$2:$B$5)),0)),IFERROR(OFFSET('RF &amp; RV Guide'!$E$8,2+MATCH($E43, OFFSET('RF &amp; RV Guide'!$E$8,3,,200), 0),-1+MATCH(H$8, OFFSET('RF &amp; RV Guide'!$E$8,,,,COUNTA('RF &amp; RV Guide'!$8:$8)-COUNTA('RF &amp; RV Guide'!$A$8:$E$8)),0)),"BRL")))</f>
        <v/>
      </c>
      <c r="I43" s="361" t="str">
        <f ca="1">IF($E43="", "", IFERROR(INDEX(OFFSET('Fund Guide'!$B$5,1,MATCH("Repasse Taxa Adm. Gestor",OFFSET('Fund Guide'!$B$5,,,,COUNTA('Fund Guide'!$5:$5)),0)-1,COUNTA('Fund Guide'!$B:$B)-COUNTA('Fund Guide'!$B$2:$B$5)),MATCH($E43,OFFSET('Fund Guide'!$B$5,1,,COUNTA('Fund Guide'!$B:$B)-COUNTA('Fund Guide'!$B$2:$B$5)),0)),
IFERROR(OFFSET('RF &amp; RV Guide'!$E$8,2+MATCH($E43, OFFSET('RF &amp; RV Guide'!$E$8,3,,200), 0),-1+MATCH(I$8, OFFSET('RF &amp; RV Guide'!$E$8,,,,COUNTA('RF &amp; RV Guide'!$8:$8)-COUNTA('RF &amp; RV Guide'!$A$8:$E$8)),0)),IFERROR(IF(FIND("tulo",$E43), 0.25%), "-"))))</f>
        <v/>
      </c>
      <c r="J43" s="362" t="str" cm="1">
        <f t="array" aca="1" ref="J43" ca="1">IF($E43="", "", IFERROR(INDEX(OFFSET('Fund Guide'!$B$5,1,MATCH(J$8,OFFSET('Fund Guide'!$B$5,,,,COUNTA('Fund Guide'!$5:$5)),0)-1,COUNTA('Fund Guide'!$B:$B)-COUNTA('Fund Guide'!$B$2:$B$5)),MATCH($E43,OFFSET('Fund Guide'!$B$5,1,,COUNTA('Fund Guide'!$B:$B)-COUNTA('Fund Guide'!$B$2:$B$5)),0)),
IFERROR(INDEX(OFFSET('RF &amp; RV Guide'!$X$10,1, , 100),MATCH(IF(FIND("(", $E43)&gt;0, LEFT($E43, FIND("(", $E43)-1),), IFERROR(IF(FIND("(", OFFSET('RF &amp; RV Guide'!$E$10,1,,200))&gt;0, LEFT(OFFSET('RF &amp; RV Guide'!$E$10,1,,200), FIND("(", $E43)-1),),"-"),0)),
IFERROR(INDEX(OFFSET('RF &amp; RV Guide'!$X$10,1, , 100),MATCH($E43, OFFSET('RF &amp; RV Guide'!$E$10,1,,200),0)),"-"))))</f>
        <v/>
      </c>
      <c r="K43" s="362" t="str">
        <f ca="1">IF($E43="", "", IFERROR(INDEX(OFFSET('Fund Guide'!$B$5,1,MATCH(K$8,OFFSET('Fund Guide'!$B$5,,,,COUNTA('Fund Guide'!$5:$5)),0)-1,COUNTA('Fund Guide'!$B:$B)-COUNTA('Fund Guide'!$B$2:$B$5)),MATCH($E43,OFFSET('Fund Guide'!$B$5,1,,COUNTA('Fund Guide'!$B:$B)-COUNTA('Fund Guide'!$B$2:$B$5)),0)),
IFERROR(OFFSET('RF &amp; RV Guide'!$E$8,2+MATCH($E43, OFFSET('RF &amp; RV Guide'!$E$8,3,,COUNTA('RF &amp; RV Guide'!$E:$E)-COUNTA('RF &amp; RV Guide'!$E$1:$E$8)), 0),-1+MATCH("Captação", OFFSET('RF &amp; RV Guide'!$E$8,,,,COUNTA('RF &amp; RV Guide'!$8:$8)-COUNTA('RF &amp; RV Guide'!$A$8:$E$8)),0)), "-")))</f>
        <v/>
      </c>
      <c r="M43" s="364" t="str">
        <f t="shared" ref="M43" si="10">IFERROR(IF(N43=0, "", N43*$M$3),0)</f>
        <v/>
      </c>
      <c r="N43" s="198"/>
      <c r="O43" s="380" t="str">
        <f t="shared" ref="O43" si="11">IFERROR(IF(N43=0, "", N43/N$42),0)</f>
        <v/>
      </c>
      <c r="Q43" s="687" t="str">
        <f ca="1">IF($E43="", "", IFERROR(INDEX(OFFSET('Fund Guide'!$B$5,1,MATCH(Q$8,OFFSET('Fund Guide'!$B$5,,,,COUNTA('Fund Guide'!36:36)),0)-1,COUNTA('Fund Guide'!$B:$B)-COUNTA('Fund Guide'!$B$2:$B$5)),MATCH($E43,OFFSET('Fund Guide'!$B$5,1,,COUNTA('Fund Guide'!$B:$B)-COUNTA('Fund Guide'!$B$2:$B$5)),0)),0))</f>
        <v/>
      </c>
      <c r="R43" s="683" t="str">
        <f ca="1">IF($E43="", "", IFERROR(INDEX(OFFSET('Fund Guide'!$B$5,1,MATCH(R$8,OFFSET('Fund Guide'!$B$5,,,,COUNTA('Fund Guide'!36:36)),0)-1,COUNTA('Fund Guide'!$B:$B)-COUNTA('Fund Guide'!$B$2:$B$5)),MATCH($E43,OFFSET('Fund Guide'!$B$5,1,,COUNTA('Fund Guide'!$B:$B)-COUNTA('Fund Guide'!$B$2:$B$5)),0)),0))</f>
        <v/>
      </c>
      <c r="S43" s="687" t="str">
        <f ca="1">IF($E43="", "", IFERROR(INDEX(OFFSET('Fund Guide'!$B$5,1,MATCH(S$8,OFFSET('Fund Guide'!$B$5,,,,COUNTA('Fund Guide'!36:36)),0)-1,COUNTA('Fund Guide'!$B:$B)-COUNTA('Fund Guide'!$B$2:$B$5)),MATCH($E43,OFFSET('Fund Guide'!$B$5,1,,COUNTA('Fund Guide'!$B:$B)-COUNTA('Fund Guide'!$B$2:$B$5)),0)),0))</f>
        <v/>
      </c>
      <c r="T43" s="683" t="str">
        <f ca="1">IF($E43="", "", IFERROR(INDEX(OFFSET('Fund Guide'!$B$5,1,MATCH(T$8,OFFSET('Fund Guide'!$B$5,,,,COUNTA('Fund Guide'!36:36)),0)-1,COUNTA('Fund Guide'!$B:$B)-COUNTA('Fund Guide'!$B$2:$B$5)),MATCH($E43,OFFSET('Fund Guide'!$B$5,1,,COUNTA('Fund Guide'!$B:$B)-COUNTA('Fund Guide'!$B$2:$B$5)),0)),0))</f>
        <v/>
      </c>
      <c r="U43" s="687" t="str">
        <f ca="1">IF($E43="", "", IFERROR(INDEX(OFFSET('Fund Guide'!$B$5,1,MATCH(U$8,OFFSET('Fund Guide'!$B$5,,,,COUNTA('Fund Guide'!36:36)),0)-1,COUNTA('Fund Guide'!$B:$B)-COUNTA('Fund Guide'!$B$2:$B$5)),MATCH($E43,OFFSET('Fund Guide'!$B$5,1,,COUNTA('Fund Guide'!$B:$B)-COUNTA('Fund Guide'!$B$2:$B$5)),0)),0))</f>
        <v/>
      </c>
      <c r="V43" s="683" t="str">
        <f ca="1">IF($E43="", "", IFERROR(INDEX(OFFSET('Fund Guide'!$B$5,1,MATCH(V$8,OFFSET('Fund Guide'!$B$5,,,,COUNTA('Fund Guide'!36:36)),0)-1,COUNTA('Fund Guide'!$B:$B)-COUNTA('Fund Guide'!$B$2:$B$5)),MATCH($E43,OFFSET('Fund Guide'!$B$5,1,,COUNTA('Fund Guide'!$B:$B)-COUNTA('Fund Guide'!$B$2:$B$5)),0)),0))</f>
        <v/>
      </c>
      <c r="W43" s="687" t="str">
        <f ca="1">IF($E43="", "", IFERROR(INDEX(OFFSET('Fund Guide'!$B$5,1,MATCH(W$8,OFFSET('Fund Guide'!$B$5,,,,COUNTA('Fund Guide'!36:36)),0)-1,COUNTA('Fund Guide'!$B:$B)-COUNTA('Fund Guide'!$B$2:$B$5)),MATCH($E43,OFFSET('Fund Guide'!$B$5,1,,COUNTA('Fund Guide'!$B:$B)-COUNTA('Fund Guide'!$B$2:$B$5)),0)),0))</f>
        <v/>
      </c>
      <c r="X43" s="683" t="str">
        <f ca="1">IF($E43="", "", IFERROR(INDEX(OFFSET('Fund Guide'!$B$5,1,MATCH(X$8,OFFSET('Fund Guide'!$B$5,,,,COUNTA('Fund Guide'!36:36)),0)-1,COUNTA('Fund Guide'!$B:$B)-COUNTA('Fund Guide'!$B$2:$B$5)),MATCH($E43,OFFSET('Fund Guide'!$B$5,1,,COUNTA('Fund Guide'!$B:$B)-COUNTA('Fund Guide'!$B$2:$B$5)),0)),0))</f>
        <v/>
      </c>
      <c r="Y43" s="684" t="str">
        <f ca="1">IF($E43="", "", IFERROR(INDEX(OFFSET('Fund Guide'!$B$5,1,MATCH(Y$8,OFFSET('Fund Guide'!$B$5,,,,COUNTA('Fund Guide'!36:36)),0)-1,COUNTA('Fund Guide'!$B:$B)-COUNTA('Fund Guide'!$B$2:$B$5)),MATCH($E43,OFFSET('Fund Guide'!$B$5,1,,COUNTA('Fund Guide'!$B:$B)-COUNTA('Fund Guide'!$B$2:$B$5)),0)),0))</f>
        <v/>
      </c>
      <c r="Z43" s="685" t="str">
        <f ca="1">IF($E43="", "", IFERROR(INDEX(OFFSET('Fund Guide'!$B$5,1,MATCH(Z$8,OFFSET('Fund Guide'!$B$5,,,,COUNTA('Fund Guide'!36:36)),0)-1,COUNTA('Fund Guide'!$B:$B)-COUNTA('Fund Guide'!$B$2:$B$5)),MATCH($E43,OFFSET('Fund Guide'!$B$5,1,,COUNTA('Fund Guide'!$B:$B)-COUNTA('Fund Guide'!$B$2:$B$5)),0)),0))</f>
        <v/>
      </c>
      <c r="AB43" s="199"/>
      <c r="AC43" s="199"/>
      <c r="AD43" s="198"/>
      <c r="AE43" s="331"/>
      <c r="AF43" s="729"/>
      <c r="AG43" s="730"/>
      <c r="AH43" s="731"/>
      <c r="AI43" s="728" t="b">
        <f t="shared" ref="AI43" ca="1" si="12">OR(AND($J43&gt;$Y$2, $J43&lt;&gt;"-", $J43&lt;&gt;"", $AB43="", $AC43="", $AD43=""),AND($F43&lt;&gt;"-", $Q43=0, $AB43="", $AC43="", $AD43=""), AND(RIGHT($E43,6)="B.Side", $Q43=0, $AB43="", $AC43="", $AD43=""))</f>
        <v>0</v>
      </c>
      <c r="AJ43" s="331"/>
      <c r="AK43" s="331"/>
      <c r="AL43" s="331"/>
      <c r="AM43" s="331"/>
      <c r="AN43" s="331"/>
    </row>
    <row r="44" spans="2:40" s="331" customFormat="1" ht="5.25" customHeight="1">
      <c r="B44" s="329"/>
      <c r="C44" s="329"/>
      <c r="D44" s="329"/>
      <c r="E44" s="340"/>
      <c r="F44" s="367"/>
      <c r="G44" s="341"/>
      <c r="H44" s="341"/>
      <c r="I44" s="342"/>
      <c r="J44" s="342"/>
      <c r="K44" s="342"/>
      <c r="M44" s="351"/>
      <c r="Q44" s="342"/>
      <c r="S44" s="342"/>
      <c r="U44" s="342"/>
      <c r="W44" s="342"/>
      <c r="Y44" s="342"/>
      <c r="AB44" s="342"/>
      <c r="AE44" s="347"/>
      <c r="AF44" s="729"/>
      <c r="AG44" s="730"/>
      <c r="AH44" s="731"/>
      <c r="AI44" s="347"/>
      <c r="AJ44" s="347"/>
      <c r="AK44" s="347"/>
      <c r="AL44" s="347"/>
      <c r="AM44" s="347"/>
      <c r="AN44" s="347"/>
    </row>
    <row r="45" spans="2:40" s="347" customFormat="1" ht="14.25" customHeight="1">
      <c r="B45" s="343"/>
      <c r="C45" s="343" t="s">
        <v>1394</v>
      </c>
      <c r="D45" s="343" t="s">
        <v>12</v>
      </c>
      <c r="E45" s="352" t="s">
        <v>616</v>
      </c>
      <c r="F45" s="353"/>
      <c r="G45" s="353"/>
      <c r="H45" s="353"/>
      <c r="I45" s="354"/>
      <c r="J45" s="354"/>
      <c r="K45" s="354"/>
      <c r="M45" s="355">
        <f>IFERROR(IF(N45=0, 0, N45*$M$3),0)</f>
        <v>0</v>
      </c>
      <c r="N45" s="202">
        <f>N47+N50+N53</f>
        <v>0</v>
      </c>
      <c r="O45" s="356">
        <f>ROUND(O47+O50+O53,5)</f>
        <v>0</v>
      </c>
      <c r="Q45" s="354"/>
      <c r="R45" s="356"/>
      <c r="S45" s="354"/>
      <c r="T45" s="356"/>
      <c r="U45" s="354"/>
      <c r="V45" s="356"/>
      <c r="W45" s="354"/>
      <c r="X45" s="356"/>
      <c r="Y45" s="354"/>
      <c r="Z45" s="356"/>
      <c r="AB45" s="354"/>
      <c r="AC45" s="356"/>
      <c r="AD45" s="356"/>
      <c r="AE45" s="331"/>
      <c r="AF45" s="729"/>
      <c r="AG45" s="730"/>
      <c r="AH45" s="731"/>
      <c r="AI45" s="331"/>
      <c r="AJ45" s="331"/>
      <c r="AK45" s="331"/>
      <c r="AL45" s="331"/>
      <c r="AM45" s="331"/>
      <c r="AN45" s="331"/>
    </row>
    <row r="46" spans="2:40" s="331" customFormat="1" ht="3" customHeight="1">
      <c r="B46" s="329"/>
      <c r="C46" s="329"/>
      <c r="D46" s="329"/>
      <c r="E46" s="340"/>
      <c r="F46" s="341"/>
      <c r="G46" s="341"/>
      <c r="H46" s="341"/>
      <c r="I46" s="342"/>
      <c r="J46" s="342"/>
      <c r="K46" s="342"/>
      <c r="M46" s="351"/>
      <c r="N46" s="383"/>
      <c r="Q46" s="342"/>
      <c r="S46" s="342"/>
      <c r="U46" s="342"/>
      <c r="W46" s="342"/>
      <c r="Y46" s="342"/>
      <c r="AB46" s="342"/>
      <c r="AE46" s="347"/>
      <c r="AF46" s="729"/>
      <c r="AG46" s="730"/>
      <c r="AH46" s="731"/>
      <c r="AI46" s="347"/>
      <c r="AJ46" s="347"/>
      <c r="AK46" s="347"/>
      <c r="AL46" s="347"/>
      <c r="AM46" s="347"/>
      <c r="AN46" s="347"/>
    </row>
    <row r="47" spans="2:40" s="347" customFormat="1" ht="14.25" customHeight="1">
      <c r="B47" s="343"/>
      <c r="C47" s="343"/>
      <c r="D47" s="343" t="s">
        <v>12</v>
      </c>
      <c r="E47" s="375" t="s">
        <v>610</v>
      </c>
      <c r="F47" s="384"/>
      <c r="G47" s="384"/>
      <c r="H47" s="384"/>
      <c r="I47" s="385"/>
      <c r="J47" s="385"/>
      <c r="K47" s="385"/>
      <c r="M47" s="378">
        <f>IFERROR(IF(N47=0, 0, N47*$M$3),0)</f>
        <v>0</v>
      </c>
      <c r="N47" s="490"/>
      <c r="O47" s="379">
        <f>IF(N47=0, 0, SUM(O48:O49)*N47)</f>
        <v>0</v>
      </c>
      <c r="Q47" s="385"/>
      <c r="R47" s="386"/>
      <c r="S47" s="385"/>
      <c r="T47" s="386"/>
      <c r="U47" s="385"/>
      <c r="V47" s="386"/>
      <c r="W47" s="385"/>
      <c r="X47" s="386"/>
      <c r="Y47" s="385"/>
      <c r="Z47" s="386"/>
      <c r="AB47" s="385"/>
      <c r="AC47" s="386"/>
      <c r="AD47" s="386"/>
      <c r="AE47" s="363"/>
      <c r="AF47" s="729"/>
      <c r="AG47" s="730"/>
      <c r="AH47" s="731"/>
      <c r="AI47" s="363"/>
      <c r="AJ47" s="363"/>
      <c r="AK47" s="363"/>
      <c r="AL47" s="363"/>
      <c r="AM47" s="363"/>
      <c r="AN47" s="363"/>
    </row>
    <row r="48" spans="2:40" s="363" customFormat="1" ht="14.25" customHeight="1">
      <c r="B48" s="357"/>
      <c r="C48" s="357"/>
      <c r="D48" s="357"/>
      <c r="E48" s="268"/>
      <c r="F48" s="358" t="str">
        <f ca="1">IF($E48="", "", IFERROR(INDEX(OFFSET('Fund Guide'!$B$5,1,MATCH(F$8,OFFSET('Fund Guide'!$B$5,,,,COUNTA('Fund Guide'!41:41)),0)-1,COUNTA('Fund Guide'!$B:$B)-COUNTA('Fund Guide'!$B$2:$B$5)),MATCH($E48,OFFSET('Fund Guide'!$B$5,1,,COUNTA('Fund Guide'!$B:$B)-COUNTA('Fund Guide'!$B$2:$B$5)),0)),"-"))</f>
        <v/>
      </c>
      <c r="G48" s="359" t="str">
        <f ca="1">IF($E48="", "", IFERROR(INDEX(OFFSET('Fund Guide'!$B$5,1,MATCH(G$8,OFFSET('Fund Guide'!$B$5,,,,COUNTA('Fund Guide'!$5:$5)),0)-1,COUNTA('Fund Guide'!$B:$B)-COUNTA('Fund Guide'!$B$2:$B$5)),MATCH($E48,OFFSET('Fund Guide'!$B$5,1,,COUNTA('Fund Guide'!$B:$B)-COUNTA('Fund Guide'!$B$2:$B$5)),0)),
IFERROR(IF(OR(LEFT($E48,3)="NTN",LEFT($E48,3)="LFT"),DATE(_xlfn.NUMBERVALUE(RIGHT(LEFT($E48,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360" t="str">
        <f ca="1">IF($E48="", "", IFERROR(INDEX(OFFSET('Fund Guide'!$B$5,1,MATCH(H$8,OFFSET('Fund Guide'!$B$5,,,,COUNTA('Fund Guide'!#REF!)),0)-1,COUNTA('Fund Guide'!$B:$B)-COUNTA('Fund Guide'!$B$2:$B$5)),MATCH($E48,OFFSET('Fund Guide'!$B$5,1,,COUNTA('Fund Guide'!$B:$B)-COUNTA('Fund Guide'!$B$2:$B$5)),0)),IFERROR(OFFSET('RF &amp; RV Guide'!$E$8,2+MATCH($E48, OFFSET('RF &amp; RV Guide'!$E$8,3,,200), 0),-1+MATCH(H$8, OFFSET('RF &amp; RV Guide'!$E$8,,,,COUNTA('RF &amp; RV Guide'!$8:$8)-COUNTA('RF &amp; RV Guide'!$A$8:$E$8)),0)),"BRL")))</f>
        <v/>
      </c>
      <c r="I48" s="361"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Guide'!$E$8,3,,200), 0),-1+MATCH(I$8, OFFSET('RF &amp; RV Guide'!$E$8,,,,COUNTA('RF &amp; RV Guide'!$8:$8)-COUNTA('RF &amp; RV Guide'!$A$8:$E$8)),0)),IFERROR(IF(FIND("tulo",$E48), 0.25%), "-"))))</f>
        <v/>
      </c>
      <c r="J48" s="362" t="str" cm="1">
        <f t="array" aca="1" ref="J48" ca="1">IF($E48="", "", IFERROR(INDEX(OFFSET('Fund Guide'!$B$5,1,MATCH(J$8,OFFSET('Fund Guide'!$B$5,,,,COUNTA('Fund Guide'!$5:$5)),0)-1,COUNTA('Fund Guide'!$B:$B)-COUNTA('Fund Guide'!$B$2:$B$5)),MATCH($E48,OFFSET('Fund Guide'!$B$5,1,,COUNTA('Fund Guide'!$B:$B)-COUNTA('Fund Guide'!$B$2:$B$5)),0)),
IFERROR(INDEX(OFFSET('RF &amp; RV Guide'!$X$10,1, , 100),MATCH(IF(FIND("(", $E48)&gt;0, LEFT($E48, FIND("(", $E48)-1),), IFERROR(IF(FIND("(", OFFSET('RF &amp; RV Guide'!$E$10,1,,200))&gt;0, LEFT(OFFSET('RF &amp; RV Guide'!$E$10,1,,200), FIND("(", $E48)-1),),"-"),0)),
IFERROR(INDEX(OFFSET('RF &amp; RV Guide'!$X$10,1, , 100),MATCH($E48, OFFSET('RF &amp; RV Guide'!$E$10,1,,200),0)),"-"))))</f>
        <v/>
      </c>
      <c r="K48" s="362" t="str">
        <f ca="1">IF($E48="", "", IFERROR(INDEX(OFFSET('Fund Guide'!$B$5,1,MATCH(K$8,OFFSET('Fund Guide'!$B$5,,,,COUNTA('Fund Guide'!$5:$5)),0)-1,COUNTA('Fund Guide'!$B:$B)-COUNTA('Fund Guide'!$B$2:$B$5)),MATCH($E48,OFFSET('Fund Guide'!$B$5,1,,COUNTA('Fund Guide'!$B:$B)-COUNTA('Fund Guide'!$B$2:$B$5)),0)),
IFERROR(OFFSET('RF &amp; RV Guide'!$E$8,2+MATCH($E48, OFFSET('RF &amp; RV Guide'!$E$8,3,,COUNTA('RF &amp; RV Guide'!$E:$E)-COUNTA('RF &amp; RV Guide'!$E$1:$E$8)), 0),-1+MATCH("Captação", OFFSET('RF &amp; RV Guide'!$E$8,,,,COUNTA('RF &amp; RV Guide'!$8:$8)-COUNTA('RF &amp; RV Guide'!$A$8:$E$8)),0)), "-")))</f>
        <v/>
      </c>
      <c r="M48" s="364" t="str">
        <f>IFERROR(IF(N48=0, "", N48*$M$3),0)</f>
        <v/>
      </c>
      <c r="N48" s="198"/>
      <c r="O48" s="380" t="str">
        <f>IFERROR(IF(N48=0, "", N48/N$47),0)</f>
        <v/>
      </c>
      <c r="Q48" s="687" t="str">
        <f ca="1">IF($E48="", "", IFERROR(INDEX(OFFSET('Fund Guide'!$B$5,1,MATCH(Q$8,OFFSET('Fund Guide'!$B$5,,,,COUNTA('Fund Guide'!41:41)),0)-1,COUNTA('Fund Guide'!$B:$B)-COUNTA('Fund Guide'!$B$2:$B$5)),MATCH($E48,OFFSET('Fund Guide'!$B$5,1,,COUNTA('Fund Guide'!$B:$B)-COUNTA('Fund Guide'!$B$2:$B$5)),0)),0))</f>
        <v/>
      </c>
      <c r="R48" s="683" t="str">
        <f ca="1">IF($E48="", "", IFERROR(INDEX(OFFSET('Fund Guide'!$B$5,1,MATCH(R$8,OFFSET('Fund Guide'!$B$5,,,,COUNTA('Fund Guide'!41:41)),0)-1,COUNTA('Fund Guide'!$B:$B)-COUNTA('Fund Guide'!$B$2:$B$5)),MATCH($E48,OFFSET('Fund Guide'!$B$5,1,,COUNTA('Fund Guide'!$B:$B)-COUNTA('Fund Guide'!$B$2:$B$5)),0)),0))</f>
        <v/>
      </c>
      <c r="S48" s="687" t="str">
        <f ca="1">IF($E48="", "", IFERROR(INDEX(OFFSET('Fund Guide'!$B$5,1,MATCH(S$8,OFFSET('Fund Guide'!$B$5,,,,COUNTA('Fund Guide'!41:41)),0)-1,COUNTA('Fund Guide'!$B:$B)-COUNTA('Fund Guide'!$B$2:$B$5)),MATCH($E48,OFFSET('Fund Guide'!$B$5,1,,COUNTA('Fund Guide'!$B:$B)-COUNTA('Fund Guide'!$B$2:$B$5)),0)),0))</f>
        <v/>
      </c>
      <c r="T48" s="683" t="str">
        <f ca="1">IF($E48="", "", IFERROR(INDEX(OFFSET('Fund Guide'!$B$5,1,MATCH(T$8,OFFSET('Fund Guide'!$B$5,,,,COUNTA('Fund Guide'!41:41)),0)-1,COUNTA('Fund Guide'!$B:$B)-COUNTA('Fund Guide'!$B$2:$B$5)),MATCH($E48,OFFSET('Fund Guide'!$B$5,1,,COUNTA('Fund Guide'!$B:$B)-COUNTA('Fund Guide'!$B$2:$B$5)),0)),0))</f>
        <v/>
      </c>
      <c r="U48" s="687" t="str">
        <f ca="1">IF($E48="", "", IFERROR(INDEX(OFFSET('Fund Guide'!$B$5,1,MATCH(U$8,OFFSET('Fund Guide'!$B$5,,,,COUNTA('Fund Guide'!41:41)),0)-1,COUNTA('Fund Guide'!$B:$B)-COUNTA('Fund Guide'!$B$2:$B$5)),MATCH($E48,OFFSET('Fund Guide'!$B$5,1,,COUNTA('Fund Guide'!$B:$B)-COUNTA('Fund Guide'!$B$2:$B$5)),0)),0))</f>
        <v/>
      </c>
      <c r="V48" s="683" t="str">
        <f ca="1">IF($E48="", "", IFERROR(INDEX(OFFSET('Fund Guide'!$B$5,1,MATCH(V$8,OFFSET('Fund Guide'!$B$5,,,,COUNTA('Fund Guide'!41:41)),0)-1,COUNTA('Fund Guide'!$B:$B)-COUNTA('Fund Guide'!$B$2:$B$5)),MATCH($E48,OFFSET('Fund Guide'!$B$5,1,,COUNTA('Fund Guide'!$B:$B)-COUNTA('Fund Guide'!$B$2:$B$5)),0)),0))</f>
        <v/>
      </c>
      <c r="W48" s="687" t="str">
        <f ca="1">IF($E48="", "", IFERROR(INDEX(OFFSET('Fund Guide'!$B$5,1,MATCH(W$8,OFFSET('Fund Guide'!$B$5,,,,COUNTA('Fund Guide'!41:41)),0)-1,COUNTA('Fund Guide'!$B:$B)-COUNTA('Fund Guide'!$B$2:$B$5)),MATCH($E48,OFFSET('Fund Guide'!$B$5,1,,COUNTA('Fund Guide'!$B:$B)-COUNTA('Fund Guide'!$B$2:$B$5)),0)),0))</f>
        <v/>
      </c>
      <c r="X48" s="683" t="str">
        <f ca="1">IF($E48="", "", IFERROR(INDEX(OFFSET('Fund Guide'!$B$5,1,MATCH(X$8,OFFSET('Fund Guide'!$B$5,,,,COUNTA('Fund Guide'!41:41)),0)-1,COUNTA('Fund Guide'!$B:$B)-COUNTA('Fund Guide'!$B$2:$B$5)),MATCH($E48,OFFSET('Fund Guide'!$B$5,1,,COUNTA('Fund Guide'!$B:$B)-COUNTA('Fund Guide'!$B$2:$B$5)),0)),0))</f>
        <v/>
      </c>
      <c r="Y48" s="684" t="str">
        <f ca="1">IF($E48="", "", IFERROR(INDEX(OFFSET('Fund Guide'!$B$5,1,MATCH(Y$8,OFFSET('Fund Guide'!$B$5,,,,COUNTA('Fund Guide'!41:41)),0)-1,COUNTA('Fund Guide'!$B:$B)-COUNTA('Fund Guide'!$B$2:$B$5)),MATCH($E48,OFFSET('Fund Guide'!$B$5,1,,COUNTA('Fund Guide'!$B:$B)-COUNTA('Fund Guide'!$B$2:$B$5)),0)),0))</f>
        <v/>
      </c>
      <c r="Z48" s="685" t="str">
        <f ca="1">IF($E48="", "", IFERROR(INDEX(OFFSET('Fund Guide'!$B$5,1,MATCH(Z$8,OFFSET('Fund Guide'!$B$5,,,,COUNTA('Fund Guide'!41:41)),0)-1,COUNTA('Fund Guide'!$B:$B)-COUNTA('Fund Guide'!$B$2:$B$5)),MATCH($E48,OFFSET('Fund Guide'!$B$5,1,,COUNTA('Fund Guide'!$B:$B)-COUNTA('Fund Guide'!$B$2:$B$5)),0)),0))</f>
        <v/>
      </c>
      <c r="AB48" s="199"/>
      <c r="AC48" s="199"/>
      <c r="AD48" s="198"/>
      <c r="AE48" s="331"/>
      <c r="AF48" s="729"/>
      <c r="AG48" s="730"/>
      <c r="AH48" s="731"/>
      <c r="AI48" s="728" t="b">
        <f t="shared" ref="AI48" ca="1" si="13">OR(AND($J48&gt;$Y$2, $J48&lt;&gt;"-", $J48&lt;&gt;"", $AB48="", $AC48="", $AD48=""),AND($F48&lt;&gt;"-", $Q48=0, $AB48="", $AC48="", $AD48=""), AND(RIGHT($E48,6)="B.Side", $Q48=0, $AB48="", $AC48="", $AD48=""))</f>
        <v>0</v>
      </c>
      <c r="AJ48" s="331"/>
      <c r="AK48" s="331"/>
      <c r="AL48" s="331"/>
      <c r="AM48" s="331"/>
      <c r="AN48" s="331"/>
    </row>
    <row r="49" spans="2:40" s="331" customFormat="1" ht="4.5" customHeight="1">
      <c r="B49" s="329"/>
      <c r="C49" s="329"/>
      <c r="D49" s="329"/>
      <c r="E49" s="340"/>
      <c r="F49" s="367"/>
      <c r="G49" s="341"/>
      <c r="H49" s="341"/>
      <c r="I49" s="342"/>
      <c r="J49" s="342"/>
      <c r="K49" s="342"/>
      <c r="M49" s="351"/>
      <c r="Q49" s="342"/>
      <c r="S49" s="342"/>
      <c r="U49" s="342"/>
      <c r="W49" s="342"/>
      <c r="Y49" s="342"/>
      <c r="AB49" s="342"/>
      <c r="AE49" s="347"/>
      <c r="AF49" s="729"/>
      <c r="AG49" s="730"/>
      <c r="AH49" s="731"/>
      <c r="AI49" s="347"/>
      <c r="AJ49" s="347"/>
      <c r="AK49" s="347"/>
      <c r="AL49" s="347"/>
      <c r="AM49" s="347"/>
      <c r="AN49" s="347"/>
    </row>
    <row r="50" spans="2:40" s="347" customFormat="1" ht="14.25" customHeight="1">
      <c r="B50" s="343"/>
      <c r="C50" s="343"/>
      <c r="D50" s="343" t="s">
        <v>12</v>
      </c>
      <c r="E50" s="375" t="s">
        <v>617</v>
      </c>
      <c r="F50" s="384"/>
      <c r="G50" s="384"/>
      <c r="H50" s="384"/>
      <c r="I50" s="385"/>
      <c r="J50" s="385"/>
      <c r="K50" s="385"/>
      <c r="M50" s="378">
        <f>IFERROR(IF(N50=0, 0, N50*$M$3),0)</f>
        <v>0</v>
      </c>
      <c r="N50" s="490"/>
      <c r="O50" s="379">
        <f>IF(N50=0, 0, SUM(O51:O52)*N50)</f>
        <v>0</v>
      </c>
      <c r="Q50" s="385"/>
      <c r="R50" s="386"/>
      <c r="S50" s="385"/>
      <c r="T50" s="386"/>
      <c r="U50" s="385"/>
      <c r="V50" s="386"/>
      <c r="W50" s="385"/>
      <c r="X50" s="386"/>
      <c r="Y50" s="385"/>
      <c r="Z50" s="386"/>
      <c r="AB50" s="385"/>
      <c r="AC50" s="386"/>
      <c r="AD50" s="386"/>
      <c r="AE50" s="363"/>
      <c r="AF50" s="729"/>
      <c r="AG50" s="730"/>
      <c r="AH50" s="731"/>
      <c r="AI50" s="363"/>
      <c r="AJ50" s="363"/>
      <c r="AK50" s="363"/>
      <c r="AL50" s="363"/>
      <c r="AM50" s="363"/>
      <c r="AN50" s="363"/>
    </row>
    <row r="51" spans="2:40" s="363" customFormat="1" ht="14.25" customHeight="1">
      <c r="B51" s="357"/>
      <c r="C51" s="357"/>
      <c r="D51" s="357"/>
      <c r="E51" s="268"/>
      <c r="F51" s="358" t="str">
        <f ca="1">IF($E51="", "", IFERROR(INDEX(OFFSET('Fund Guide'!$B$5,1,MATCH(F$8,OFFSET('Fund Guide'!$B$5,,,,COUNTA('Fund Guide'!44:44)),0)-1,COUNTA('Fund Guide'!$B:$B)-COUNTA('Fund Guide'!$B$2:$B$5)),MATCH($E51,OFFSET('Fund Guide'!$B$5,1,,COUNTA('Fund Guide'!$B:$B)-COUNTA('Fund Guide'!$B$2:$B$5)),0)),"-"))</f>
        <v/>
      </c>
      <c r="G51" s="359" t="str">
        <f ca="1">IF($E51="", "", IFERROR(INDEX(OFFSET('Fund Guide'!$B$5,1,MATCH(G$8,OFFSET('Fund Guide'!$B$5,,,,COUNTA('Fund Guide'!$5:$5)),0)-1,COUNTA('Fund Guide'!$B:$B)-COUNTA('Fund Guide'!$B$2:$B$5)),MATCH($E51,OFFSET('Fund Guide'!$B$5,1,,COUNTA('Fund Guide'!$B:$B)-COUNTA('Fund Guide'!$B$2:$B$5)),0)),
IFERROR(IF(OR(LEFT($E51,3)="NTN",LEFT($E51,3)="LFT"),DATE(_xlfn.NUMBERVALUE(RIGHT(LEFT($E51,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360" t="str">
        <f ca="1">IF($E51="", "", IFERROR(INDEX(OFFSET('Fund Guide'!$B$5,1,MATCH(H$8,OFFSET('Fund Guide'!$B$5,,,,COUNTA('Fund Guide'!#REF!)),0)-1,COUNTA('Fund Guide'!$B:$B)-COUNTA('Fund Guide'!$B$2:$B$5)),MATCH($E51,OFFSET('Fund Guide'!$B$5,1,,COUNTA('Fund Guide'!$B:$B)-COUNTA('Fund Guide'!$B$2:$B$5)),0)),IFERROR(OFFSET('RF &amp; RV Guide'!$E$8,2+MATCH($E51, OFFSET('RF &amp; RV Guide'!$E$8,3,,200), 0),-1+MATCH(H$8, OFFSET('RF &amp; RV Guide'!$E$8,,,,COUNTA('RF &amp; RV Guide'!$8:$8)-COUNTA('RF &amp; RV Guide'!$A$8:$E$8)),0)),"BRL")))</f>
        <v/>
      </c>
      <c r="I51" s="361" t="str">
        <f ca="1">IF($E51="", "", IFERROR(INDEX(OFFSET('Fund Guide'!$B$5,1,MATCH("Repasse Taxa Adm. Gestor",OFFSET('Fund Guide'!$B$5,,,,COUNTA('Fund Guide'!$5:$5)),0)-1,COUNTA('Fund Guide'!$B:$B)-COUNTA('Fund Guide'!$B$2:$B$5)),MATCH($E51,OFFSET('Fund Guide'!$B$5,1,,COUNTA('Fund Guide'!$B:$B)-COUNTA('Fund Guide'!$B$2:$B$5)),0)),
IFERROR(OFFSET('RF &amp; RV Guide'!$E$8,2+MATCH($E51, OFFSET('RF &amp; RV Guide'!$E$8,3,,200), 0),-1+MATCH(I$8, OFFSET('RF &amp; RV Guide'!$E$8,,,,COUNTA('RF &amp; RV Guide'!$8:$8)-COUNTA('RF &amp; RV Guide'!$A$8:$E$8)),0)),IFERROR(IF(FIND("tulo",$E51), 0.25%), "-"))))</f>
        <v/>
      </c>
      <c r="J51" s="362" t="str" cm="1">
        <f t="array" aca="1" ref="J51" ca="1">IF($E51="", "", IFERROR(INDEX(OFFSET('Fund Guide'!$B$5,1,MATCH(J$8,OFFSET('Fund Guide'!$B$5,,,,COUNTA('Fund Guide'!$5:$5)),0)-1,COUNTA('Fund Guide'!$B:$B)-COUNTA('Fund Guide'!$B$2:$B$5)),MATCH($E51,OFFSET('Fund Guide'!$B$5,1,,COUNTA('Fund Guide'!$B:$B)-COUNTA('Fund Guide'!$B$2:$B$5)),0)),
IFERROR(INDEX(OFFSET('RF &amp; RV Guide'!$X$10,1, , 100),MATCH(IF(FIND("(", $E51)&gt;0, LEFT($E51, FIND("(", $E51)-1),), IFERROR(IF(FIND("(", OFFSET('RF &amp; RV Guide'!$E$10,1,,200))&gt;0, LEFT(OFFSET('RF &amp; RV Guide'!$E$10,1,,200), FIND("(", $E51)-1),),"-"),0)),
IFERROR(INDEX(OFFSET('RF &amp; RV Guide'!$X$10,1, , 100),MATCH($E51, OFFSET('RF &amp; RV Guide'!$E$10,1,,200),0)),"-"))))</f>
        <v/>
      </c>
      <c r="K51" s="362" t="str">
        <f ca="1">IF($E51="", "", IFERROR(INDEX(OFFSET('Fund Guide'!$B$5,1,MATCH(K$8,OFFSET('Fund Guide'!$B$5,,,,COUNTA('Fund Guide'!$5:$5)),0)-1,COUNTA('Fund Guide'!$B:$B)-COUNTA('Fund Guide'!$B$2:$B$5)),MATCH($E51,OFFSET('Fund Guide'!$B$5,1,,COUNTA('Fund Guide'!$B:$B)-COUNTA('Fund Guide'!$B$2:$B$5)),0)),
IFERROR(OFFSET('RF &amp; RV Guide'!$E$8,2+MATCH($E51, OFFSET('RF &amp; RV Guide'!$E$8,3,,COUNTA('RF &amp; RV Guide'!$E:$E)-COUNTA('RF &amp; RV Guide'!$E$1:$E$8)), 0),-1+MATCH("Captação", OFFSET('RF &amp; RV Guide'!$E$8,,,,COUNTA('RF &amp; RV Guide'!$8:$8)-COUNTA('RF &amp; RV Guide'!$A$8:$E$8)),0)), "-")))</f>
        <v/>
      </c>
      <c r="M51" s="364" t="str">
        <f>IFERROR(IF(N51=0, "", N51*$M$3),0)</f>
        <v/>
      </c>
      <c r="N51" s="198"/>
      <c r="O51" s="380" t="str">
        <f>IFERROR(IF(N51=0, "", N51/N$50),0)</f>
        <v/>
      </c>
      <c r="Q51" s="687" t="str">
        <f ca="1">IF($E51="", "", IFERROR(INDEX(OFFSET('Fund Guide'!$B$5,1,MATCH(Q$8,OFFSET('Fund Guide'!$B$5,,,,COUNTA('Fund Guide'!44:44)),0)-1,COUNTA('Fund Guide'!$B:$B)-COUNTA('Fund Guide'!$B$2:$B$5)),MATCH($E51,OFFSET('Fund Guide'!$B$5,1,,COUNTA('Fund Guide'!$B:$B)-COUNTA('Fund Guide'!$B$2:$B$5)),0)),0))</f>
        <v/>
      </c>
      <c r="R51" s="683" t="str">
        <f ca="1">IF($E51="", "", IFERROR(INDEX(OFFSET('Fund Guide'!$B$5,1,MATCH(R$8,OFFSET('Fund Guide'!$B$5,,,,COUNTA('Fund Guide'!44:44)),0)-1,COUNTA('Fund Guide'!$B:$B)-COUNTA('Fund Guide'!$B$2:$B$5)),MATCH($E51,OFFSET('Fund Guide'!$B$5,1,,COUNTA('Fund Guide'!$B:$B)-COUNTA('Fund Guide'!$B$2:$B$5)),0)),0))</f>
        <v/>
      </c>
      <c r="S51" s="687" t="str">
        <f ca="1">IF($E51="", "", IFERROR(INDEX(OFFSET('Fund Guide'!$B$5,1,MATCH(S$8,OFFSET('Fund Guide'!$B$5,,,,COUNTA('Fund Guide'!44:44)),0)-1,COUNTA('Fund Guide'!$B:$B)-COUNTA('Fund Guide'!$B$2:$B$5)),MATCH($E51,OFFSET('Fund Guide'!$B$5,1,,COUNTA('Fund Guide'!$B:$B)-COUNTA('Fund Guide'!$B$2:$B$5)),0)),0))</f>
        <v/>
      </c>
      <c r="T51" s="683" t="str">
        <f ca="1">IF($E51="", "", IFERROR(INDEX(OFFSET('Fund Guide'!$B$5,1,MATCH(T$8,OFFSET('Fund Guide'!$B$5,,,,COUNTA('Fund Guide'!44:44)),0)-1,COUNTA('Fund Guide'!$B:$B)-COUNTA('Fund Guide'!$B$2:$B$5)),MATCH($E51,OFFSET('Fund Guide'!$B$5,1,,COUNTA('Fund Guide'!$B:$B)-COUNTA('Fund Guide'!$B$2:$B$5)),0)),0))</f>
        <v/>
      </c>
      <c r="U51" s="687" t="str">
        <f ca="1">IF($E51="", "", IFERROR(INDEX(OFFSET('Fund Guide'!$B$5,1,MATCH(U$8,OFFSET('Fund Guide'!$B$5,,,,COUNTA('Fund Guide'!44:44)),0)-1,COUNTA('Fund Guide'!$B:$B)-COUNTA('Fund Guide'!$B$2:$B$5)),MATCH($E51,OFFSET('Fund Guide'!$B$5,1,,COUNTA('Fund Guide'!$B:$B)-COUNTA('Fund Guide'!$B$2:$B$5)),0)),0))</f>
        <v/>
      </c>
      <c r="V51" s="683" t="str">
        <f ca="1">IF($E51="", "", IFERROR(INDEX(OFFSET('Fund Guide'!$B$5,1,MATCH(V$8,OFFSET('Fund Guide'!$B$5,,,,COUNTA('Fund Guide'!44:44)),0)-1,COUNTA('Fund Guide'!$B:$B)-COUNTA('Fund Guide'!$B$2:$B$5)),MATCH($E51,OFFSET('Fund Guide'!$B$5,1,,COUNTA('Fund Guide'!$B:$B)-COUNTA('Fund Guide'!$B$2:$B$5)),0)),0))</f>
        <v/>
      </c>
      <c r="W51" s="687" t="str">
        <f ca="1">IF($E51="", "", IFERROR(INDEX(OFFSET('Fund Guide'!$B$5,1,MATCH(W$8,OFFSET('Fund Guide'!$B$5,,,,COUNTA('Fund Guide'!44:44)),0)-1,COUNTA('Fund Guide'!$B:$B)-COUNTA('Fund Guide'!$B$2:$B$5)),MATCH($E51,OFFSET('Fund Guide'!$B$5,1,,COUNTA('Fund Guide'!$B:$B)-COUNTA('Fund Guide'!$B$2:$B$5)),0)),0))</f>
        <v/>
      </c>
      <c r="X51" s="683" t="str">
        <f ca="1">IF($E51="", "", IFERROR(INDEX(OFFSET('Fund Guide'!$B$5,1,MATCH(X$8,OFFSET('Fund Guide'!$B$5,,,,COUNTA('Fund Guide'!44:44)),0)-1,COUNTA('Fund Guide'!$B:$B)-COUNTA('Fund Guide'!$B$2:$B$5)),MATCH($E51,OFFSET('Fund Guide'!$B$5,1,,COUNTA('Fund Guide'!$B:$B)-COUNTA('Fund Guide'!$B$2:$B$5)),0)),0))</f>
        <v/>
      </c>
      <c r="Y51" s="684" t="str">
        <f ca="1">IF($E51="", "", IFERROR(INDEX(OFFSET('Fund Guide'!$B$5,1,MATCH(Y$8,OFFSET('Fund Guide'!$B$5,,,,COUNTA('Fund Guide'!44:44)),0)-1,COUNTA('Fund Guide'!$B:$B)-COUNTA('Fund Guide'!$B$2:$B$5)),MATCH($E51,OFFSET('Fund Guide'!$B$5,1,,COUNTA('Fund Guide'!$B:$B)-COUNTA('Fund Guide'!$B$2:$B$5)),0)),0))</f>
        <v/>
      </c>
      <c r="Z51" s="685" t="str">
        <f ca="1">IF($E51="", "", IFERROR(INDEX(OFFSET('Fund Guide'!$B$5,1,MATCH(Z$8,OFFSET('Fund Guide'!$B$5,,,,COUNTA('Fund Guide'!44:44)),0)-1,COUNTA('Fund Guide'!$B:$B)-COUNTA('Fund Guide'!$B$2:$B$5)),MATCH($E51,OFFSET('Fund Guide'!$B$5,1,,COUNTA('Fund Guide'!$B:$B)-COUNTA('Fund Guide'!$B$2:$B$5)),0)),0))</f>
        <v/>
      </c>
      <c r="AB51" s="199"/>
      <c r="AC51" s="199"/>
      <c r="AD51" s="198"/>
      <c r="AE51" s="331"/>
      <c r="AF51" s="729"/>
      <c r="AG51" s="730"/>
      <c r="AH51" s="731"/>
      <c r="AI51" s="728" t="b">
        <f t="shared" ref="AI51" ca="1" si="14">OR(AND($J51&gt;$Y$2, $J51&lt;&gt;"-", $J51&lt;&gt;"", $AB51="", $AC51="", $AD51=""),AND($F51&lt;&gt;"-", $Q51=0, $AB51="", $AC51="", $AD51=""), AND(RIGHT($E51,6)="B.Side", $Q51=0, $AB51="", $AC51="", $AD51=""))</f>
        <v>0</v>
      </c>
      <c r="AJ51" s="331"/>
      <c r="AK51" s="331"/>
      <c r="AL51" s="331"/>
      <c r="AM51" s="331"/>
      <c r="AN51" s="331"/>
    </row>
    <row r="52" spans="2:40" s="331" customFormat="1" ht="4.5" customHeight="1">
      <c r="B52" s="329"/>
      <c r="C52" s="329"/>
      <c r="D52" s="329"/>
      <c r="E52" s="340"/>
      <c r="F52" s="367"/>
      <c r="G52" s="341"/>
      <c r="H52" s="341"/>
      <c r="I52" s="342"/>
      <c r="J52" s="342"/>
      <c r="K52" s="342"/>
      <c r="M52" s="351"/>
      <c r="Q52" s="342"/>
      <c r="S52" s="342"/>
      <c r="U52" s="342"/>
      <c r="W52" s="342"/>
      <c r="Y52" s="342"/>
      <c r="AB52" s="342"/>
      <c r="AE52" s="347"/>
      <c r="AF52" s="729"/>
      <c r="AG52" s="730"/>
      <c r="AH52" s="731"/>
      <c r="AI52" s="347"/>
      <c r="AJ52" s="347"/>
      <c r="AK52" s="347"/>
      <c r="AL52" s="347"/>
      <c r="AM52" s="347"/>
      <c r="AN52" s="347"/>
    </row>
    <row r="53" spans="2:40" s="347" customFormat="1" ht="14.25" customHeight="1">
      <c r="B53" s="343"/>
      <c r="C53" s="343"/>
      <c r="D53" s="343" t="s">
        <v>12</v>
      </c>
      <c r="E53" s="375" t="s">
        <v>619</v>
      </c>
      <c r="F53" s="384"/>
      <c r="G53" s="384"/>
      <c r="H53" s="384"/>
      <c r="I53" s="385"/>
      <c r="J53" s="385"/>
      <c r="K53" s="385"/>
      <c r="M53" s="378">
        <f>IFERROR(IF(N53=0, 0, N53*$M$3),0)</f>
        <v>0</v>
      </c>
      <c r="N53" s="490"/>
      <c r="O53" s="379">
        <f>IF(N53=0, 0, SUM(O54:O54)*N53)</f>
        <v>0</v>
      </c>
      <c r="Q53" s="385"/>
      <c r="R53" s="386"/>
      <c r="S53" s="385"/>
      <c r="T53" s="386"/>
      <c r="U53" s="385"/>
      <c r="V53" s="386"/>
      <c r="W53" s="385"/>
      <c r="X53" s="386"/>
      <c r="Y53" s="385"/>
      <c r="Z53" s="386"/>
      <c r="AB53" s="385"/>
      <c r="AC53" s="386"/>
      <c r="AD53" s="386"/>
      <c r="AE53" s="363"/>
      <c r="AF53" s="729"/>
      <c r="AG53" s="730"/>
      <c r="AH53" s="731"/>
      <c r="AI53" s="363"/>
      <c r="AJ53" s="363"/>
      <c r="AK53" s="363"/>
      <c r="AL53" s="363"/>
      <c r="AM53" s="363"/>
      <c r="AN53" s="363"/>
    </row>
    <row r="54" spans="2:40" s="363" customFormat="1" ht="14.25" customHeight="1">
      <c r="B54" s="357"/>
      <c r="C54" s="357"/>
      <c r="D54" s="357"/>
      <c r="E54" s="268"/>
      <c r="F54" s="358" t="str">
        <f ca="1">IF($E54="", "", IFERROR(INDEX(OFFSET('Fund Guide'!$B$5,1,MATCH(F$8,OFFSET('Fund Guide'!$B$5,,,,COUNTA('Fund Guide'!47:47)),0)-1,COUNTA('Fund Guide'!$B:$B)-COUNTA('Fund Guide'!$B$2:$B$5)),MATCH($E54,OFFSET('Fund Guide'!$B$5,1,,COUNTA('Fund Guide'!$B:$B)-COUNTA('Fund Guide'!$B$2:$B$5)),0)),"-"))</f>
        <v/>
      </c>
      <c r="G54" s="359" t="str">
        <f ca="1">IF($E54="", "", IFERROR(INDEX(OFFSET('Fund Guide'!$B$5,1,MATCH(G$8,OFFSET('Fund Guide'!$B$5,,,,COUNTA('Fund Guide'!$5:$5)),0)-1,COUNTA('Fund Guide'!$B:$B)-COUNTA('Fund Guide'!$B$2:$B$5)),MATCH($E54,OFFSET('Fund Guide'!$B$5,1,,COUNTA('Fund Guide'!$B:$B)-COUNTA('Fund Guide'!$B$2:$B$5)),0)),
IFERROR(IF(OR(LEFT($E54,3)="NTN",LEFT($E54,3)="LFT"),DATE(_xlfn.NUMBERVALUE(RIGHT(LEFT($E54,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360" t="str">
        <f ca="1">IF($E54="", "", IFERROR(INDEX(OFFSET('Fund Guide'!$B$5,1,MATCH(H$8,OFFSET('Fund Guide'!$B$5,,,,COUNTA('Fund Guide'!#REF!)),0)-1,COUNTA('Fund Guide'!$B:$B)-COUNTA('Fund Guide'!$B$2:$B$5)),MATCH($E54,OFFSET('Fund Guide'!$B$5,1,,COUNTA('Fund Guide'!$B:$B)-COUNTA('Fund Guide'!$B$2:$B$5)),0)),IFERROR(OFFSET('RF &amp; RV Guide'!$E$8,2+MATCH($E54, OFFSET('RF &amp; RV Guide'!$E$8,3,,200), 0),-1+MATCH(H$8, OFFSET('RF &amp; RV Guide'!$E$8,,,,COUNTA('RF &amp; RV Guide'!$8:$8)-COUNTA('RF &amp; RV Guide'!$A$8:$E$8)),0)),"BRL")))</f>
        <v/>
      </c>
      <c r="I54" s="361"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Guide'!$E$8,3,,200), 0),-1+MATCH(I$8, OFFSET('RF &amp; RV Guide'!$E$8,,,,COUNTA('RF &amp; RV Guide'!$8:$8)-COUNTA('RF &amp; RV Guide'!$A$8:$E$8)),0)),IFERROR(IF(FIND("tulo",$E54), 0.25%), "-"))))</f>
        <v/>
      </c>
      <c r="J54" s="362" t="str" cm="1">
        <f t="array" aca="1" ref="J54" ca="1">IF($E54="", "", IFERROR(INDEX(OFFSET('Fund Guide'!$B$5,1,MATCH(J$8,OFFSET('Fund Guide'!$B$5,,,,COUNTA('Fund Guide'!$5:$5)),0)-1,COUNTA('Fund Guide'!$B:$B)-COUNTA('Fund Guide'!$B$2:$B$5)),MATCH($E54,OFFSET('Fund Guide'!$B$5,1,,COUNTA('Fund Guide'!$B:$B)-COUNTA('Fund Guide'!$B$2:$B$5)),0)),
IFERROR(INDEX(OFFSET('RF &amp; RV Guide'!$X$10,1, , 100),MATCH(IF(FIND("(", $E54)&gt;0, LEFT($E54, FIND("(", $E54)-1),), IFERROR(IF(FIND("(", OFFSET('RF &amp; RV Guide'!$E$10,1,,200))&gt;0, LEFT(OFFSET('RF &amp; RV Guide'!$E$10,1,,200), FIND("(", $E54)-1),),"-"),0)),
IFERROR(INDEX(OFFSET('RF &amp; RV Guide'!$X$10,1, , 100),MATCH($E54, OFFSET('RF &amp; RV Guide'!$E$10,1,,200),0)),"-"))))</f>
        <v/>
      </c>
      <c r="K54" s="362"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
      </c>
      <c r="M54" s="364" t="str">
        <f>IFERROR(IF(N54=0, "", N54*$M$3),0)</f>
        <v/>
      </c>
      <c r="N54" s="198"/>
      <c r="O54" s="380" t="str">
        <f>IFERROR(IF(N54=0, "", N54/N$53),0)</f>
        <v/>
      </c>
      <c r="Q54" s="687" t="str">
        <f ca="1">IF($E54="", "", IFERROR(INDEX(OFFSET('Fund Guide'!$B$5,1,MATCH(Q$8,OFFSET('Fund Guide'!$B$5,,,,COUNTA('Fund Guide'!47:47)),0)-1,COUNTA('Fund Guide'!$B:$B)-COUNTA('Fund Guide'!$B$2:$B$5)),MATCH($E54,OFFSET('Fund Guide'!$B$5,1,,COUNTA('Fund Guide'!$B:$B)-COUNTA('Fund Guide'!$B$2:$B$5)),0)),0))</f>
        <v/>
      </c>
      <c r="R54" s="683" t="str">
        <f ca="1">IF($E54="", "", IFERROR(INDEX(OFFSET('Fund Guide'!$B$5,1,MATCH(R$8,OFFSET('Fund Guide'!$B$5,,,,COUNTA('Fund Guide'!47:47)),0)-1,COUNTA('Fund Guide'!$B:$B)-COUNTA('Fund Guide'!$B$2:$B$5)),MATCH($E54,OFFSET('Fund Guide'!$B$5,1,,COUNTA('Fund Guide'!$B:$B)-COUNTA('Fund Guide'!$B$2:$B$5)),0)),0))</f>
        <v/>
      </c>
      <c r="S54" s="687" t="str">
        <f ca="1">IF($E54="", "", IFERROR(INDEX(OFFSET('Fund Guide'!$B$5,1,MATCH(S$8,OFFSET('Fund Guide'!$B$5,,,,COUNTA('Fund Guide'!47:47)),0)-1,COUNTA('Fund Guide'!$B:$B)-COUNTA('Fund Guide'!$B$2:$B$5)),MATCH($E54,OFFSET('Fund Guide'!$B$5,1,,COUNTA('Fund Guide'!$B:$B)-COUNTA('Fund Guide'!$B$2:$B$5)),0)),0))</f>
        <v/>
      </c>
      <c r="T54" s="683" t="str">
        <f ca="1">IF($E54="", "", IFERROR(INDEX(OFFSET('Fund Guide'!$B$5,1,MATCH(T$8,OFFSET('Fund Guide'!$B$5,,,,COUNTA('Fund Guide'!47:47)),0)-1,COUNTA('Fund Guide'!$B:$B)-COUNTA('Fund Guide'!$B$2:$B$5)),MATCH($E54,OFFSET('Fund Guide'!$B$5,1,,COUNTA('Fund Guide'!$B:$B)-COUNTA('Fund Guide'!$B$2:$B$5)),0)),0))</f>
        <v/>
      </c>
      <c r="U54" s="687" t="str">
        <f ca="1">IF($E54="", "", IFERROR(INDEX(OFFSET('Fund Guide'!$B$5,1,MATCH(U$8,OFFSET('Fund Guide'!$B$5,,,,COUNTA('Fund Guide'!47:47)),0)-1,COUNTA('Fund Guide'!$B:$B)-COUNTA('Fund Guide'!$B$2:$B$5)),MATCH($E54,OFFSET('Fund Guide'!$B$5,1,,COUNTA('Fund Guide'!$B:$B)-COUNTA('Fund Guide'!$B$2:$B$5)),0)),0))</f>
        <v/>
      </c>
      <c r="V54" s="683" t="str">
        <f ca="1">IF($E54="", "", IFERROR(INDEX(OFFSET('Fund Guide'!$B$5,1,MATCH(V$8,OFFSET('Fund Guide'!$B$5,,,,COUNTA('Fund Guide'!47:47)),0)-1,COUNTA('Fund Guide'!$B:$B)-COUNTA('Fund Guide'!$B$2:$B$5)),MATCH($E54,OFFSET('Fund Guide'!$B$5,1,,COUNTA('Fund Guide'!$B:$B)-COUNTA('Fund Guide'!$B$2:$B$5)),0)),0))</f>
        <v/>
      </c>
      <c r="W54" s="687" t="str">
        <f ca="1">IF($E54="", "", IFERROR(INDEX(OFFSET('Fund Guide'!$B$5,1,MATCH(W$8,OFFSET('Fund Guide'!$B$5,,,,COUNTA('Fund Guide'!47:47)),0)-1,COUNTA('Fund Guide'!$B:$B)-COUNTA('Fund Guide'!$B$2:$B$5)),MATCH($E54,OFFSET('Fund Guide'!$B$5,1,,COUNTA('Fund Guide'!$B:$B)-COUNTA('Fund Guide'!$B$2:$B$5)),0)),0))</f>
        <v/>
      </c>
      <c r="X54" s="683" t="str">
        <f ca="1">IF($E54="", "", IFERROR(INDEX(OFFSET('Fund Guide'!$B$5,1,MATCH(X$8,OFFSET('Fund Guide'!$B$5,,,,COUNTA('Fund Guide'!47:47)),0)-1,COUNTA('Fund Guide'!$B:$B)-COUNTA('Fund Guide'!$B$2:$B$5)),MATCH($E54,OFFSET('Fund Guide'!$B$5,1,,COUNTA('Fund Guide'!$B:$B)-COUNTA('Fund Guide'!$B$2:$B$5)),0)),0))</f>
        <v/>
      </c>
      <c r="Y54" s="684" t="str">
        <f ca="1">IF($E54="", "", IFERROR(INDEX(OFFSET('Fund Guide'!$B$5,1,MATCH(Y$8,OFFSET('Fund Guide'!$B$5,,,,COUNTA('Fund Guide'!47:47)),0)-1,COUNTA('Fund Guide'!$B:$B)-COUNTA('Fund Guide'!$B$2:$B$5)),MATCH($E54,OFFSET('Fund Guide'!$B$5,1,,COUNTA('Fund Guide'!$B:$B)-COUNTA('Fund Guide'!$B$2:$B$5)),0)),0))</f>
        <v/>
      </c>
      <c r="Z54" s="685" t="str">
        <f ca="1">IF($E54="", "", IFERROR(INDEX(OFFSET('Fund Guide'!$B$5,1,MATCH(Z$8,OFFSET('Fund Guide'!$B$5,,,,COUNTA('Fund Guide'!47:47)),0)-1,COUNTA('Fund Guide'!$B:$B)-COUNTA('Fund Guide'!$B$2:$B$5)),MATCH($E54,OFFSET('Fund Guide'!$B$5,1,,COUNTA('Fund Guide'!$B:$B)-COUNTA('Fund Guide'!$B$2:$B$5)),0)),0))</f>
        <v/>
      </c>
      <c r="AB54" s="199"/>
      <c r="AC54" s="199"/>
      <c r="AD54" s="198"/>
      <c r="AE54" s="331"/>
      <c r="AF54" s="729"/>
      <c r="AG54" s="730"/>
      <c r="AH54" s="731"/>
      <c r="AI54" s="728" t="b">
        <f t="shared" ref="AI54" ca="1" si="15">OR(AND($J54&gt;$Y$2, $J54&lt;&gt;"-", $J54&lt;&gt;"", $AB54="", $AC54="", $AD54=""),AND($F54&lt;&gt;"-", $Q54=0, $AB54="", $AC54="", $AD54=""), AND(RIGHT($E54,6)="B.Side", $Q54=0, $AB54="", $AC54="", $AD54=""))</f>
        <v>0</v>
      </c>
      <c r="AJ54" s="331"/>
      <c r="AK54" s="331"/>
      <c r="AL54" s="331"/>
      <c r="AM54" s="331"/>
      <c r="AN54" s="331"/>
    </row>
    <row r="55" spans="2:40" s="331" customFormat="1" ht="7.5" customHeight="1">
      <c r="B55" s="329"/>
      <c r="C55" s="329"/>
      <c r="D55" s="329"/>
      <c r="E55" s="340"/>
      <c r="F55" s="367"/>
      <c r="G55" s="341"/>
      <c r="H55" s="341"/>
      <c r="I55" s="342"/>
      <c r="J55" s="342"/>
      <c r="K55" s="342"/>
      <c r="M55" s="351"/>
      <c r="N55" s="383"/>
      <c r="Q55" s="342"/>
      <c r="S55" s="342"/>
      <c r="U55" s="342"/>
      <c r="W55" s="342"/>
      <c r="Y55" s="342"/>
      <c r="AB55" s="342"/>
      <c r="AE55" s="347"/>
      <c r="AF55" s="729"/>
      <c r="AG55" s="730"/>
      <c r="AH55" s="731"/>
      <c r="AI55" s="347"/>
      <c r="AJ55" s="347"/>
      <c r="AK55" s="347"/>
      <c r="AL55" s="347"/>
      <c r="AM55" s="347"/>
      <c r="AN55" s="347"/>
    </row>
    <row r="56" spans="2:40" s="347" customFormat="1" ht="14.25" customHeight="1">
      <c r="B56" s="343"/>
      <c r="C56" s="343"/>
      <c r="D56" s="343" t="s">
        <v>1394</v>
      </c>
      <c r="E56" s="344" t="s">
        <v>14</v>
      </c>
      <c r="F56" s="345"/>
      <c r="G56" s="345"/>
      <c r="H56" s="345"/>
      <c r="I56" s="346"/>
      <c r="J56" s="346"/>
      <c r="K56" s="346"/>
      <c r="M56" s="348">
        <f>IF(M58+M69=0, 0,M58+M69)</f>
        <v>0</v>
      </c>
      <c r="N56" s="349">
        <f>N58+N69</f>
        <v>0</v>
      </c>
      <c r="O56" s="350">
        <f>O58+O69</f>
        <v>0</v>
      </c>
      <c r="Q56" s="346"/>
      <c r="R56" s="350"/>
      <c r="S56" s="346"/>
      <c r="T56" s="350"/>
      <c r="U56" s="346"/>
      <c r="V56" s="350"/>
      <c r="W56" s="346"/>
      <c r="X56" s="350"/>
      <c r="Y56" s="346"/>
      <c r="Z56" s="350"/>
      <c r="AB56" s="346"/>
      <c r="AC56" s="350"/>
      <c r="AD56" s="350"/>
      <c r="AE56" s="331"/>
      <c r="AF56" s="729"/>
      <c r="AG56" s="730"/>
      <c r="AH56" s="731"/>
      <c r="AI56" s="331"/>
      <c r="AJ56" s="331"/>
      <c r="AK56" s="331"/>
      <c r="AL56" s="331"/>
      <c r="AM56" s="331"/>
      <c r="AN56" s="331"/>
    </row>
    <row r="57" spans="2:40" s="331" customFormat="1" ht="4.5" customHeight="1">
      <c r="B57" s="329"/>
      <c r="C57" s="329"/>
      <c r="D57" s="329"/>
      <c r="E57" s="340"/>
      <c r="F57" s="341"/>
      <c r="G57" s="341"/>
      <c r="H57" s="341"/>
      <c r="I57" s="342"/>
      <c r="J57" s="342"/>
      <c r="K57" s="342"/>
      <c r="M57" s="351"/>
      <c r="Q57" s="342"/>
      <c r="S57" s="342"/>
      <c r="U57" s="342"/>
      <c r="W57" s="342"/>
      <c r="Y57" s="342"/>
      <c r="AB57" s="342"/>
      <c r="AE57" s="347"/>
      <c r="AF57" s="729"/>
      <c r="AG57" s="730"/>
      <c r="AH57" s="731"/>
      <c r="AI57" s="347"/>
      <c r="AJ57" s="347"/>
      <c r="AK57" s="347"/>
      <c r="AL57" s="347"/>
      <c r="AM57" s="347"/>
      <c r="AN57" s="347"/>
    </row>
    <row r="58" spans="2:40" s="347" customFormat="1" ht="14.25" customHeight="1">
      <c r="B58" s="343"/>
      <c r="C58" s="343" t="s">
        <v>1394</v>
      </c>
      <c r="D58" s="343" t="s">
        <v>12</v>
      </c>
      <c r="E58" s="352" t="s">
        <v>608</v>
      </c>
      <c r="F58" s="353"/>
      <c r="G58" s="353"/>
      <c r="H58" s="353"/>
      <c r="I58" s="354"/>
      <c r="J58" s="354"/>
      <c r="K58" s="354"/>
      <c r="M58" s="355">
        <f>IFERROR(IF(N58=0, 0, N58*$M$3),0)</f>
        <v>0</v>
      </c>
      <c r="N58" s="202">
        <f>N60+N63+N66</f>
        <v>0</v>
      </c>
      <c r="O58" s="356">
        <f>ROUND(O60+O63+O66,5)</f>
        <v>0</v>
      </c>
      <c r="Q58" s="354"/>
      <c r="R58" s="356"/>
      <c r="S58" s="354"/>
      <c r="T58" s="356"/>
      <c r="U58" s="354"/>
      <c r="V58" s="356"/>
      <c r="W58" s="354"/>
      <c r="X58" s="356"/>
      <c r="Y58" s="354"/>
      <c r="Z58" s="356"/>
      <c r="AB58" s="354"/>
      <c r="AC58" s="356"/>
      <c r="AD58" s="356"/>
      <c r="AE58" s="331"/>
      <c r="AF58" s="729"/>
      <c r="AG58" s="730"/>
      <c r="AH58" s="731"/>
      <c r="AI58" s="331"/>
      <c r="AJ58" s="331"/>
      <c r="AK58" s="331"/>
      <c r="AL58" s="331"/>
      <c r="AM58" s="331"/>
      <c r="AN58" s="331"/>
    </row>
    <row r="59" spans="2:40" s="331" customFormat="1" ht="3" customHeight="1">
      <c r="B59" s="329"/>
      <c r="C59" s="329"/>
      <c r="D59" s="329"/>
      <c r="E59" s="340"/>
      <c r="F59" s="341"/>
      <c r="G59" s="341"/>
      <c r="H59" s="341"/>
      <c r="I59" s="342"/>
      <c r="J59" s="342"/>
      <c r="K59" s="342"/>
      <c r="M59" s="351"/>
      <c r="N59" s="383"/>
      <c r="Q59" s="342"/>
      <c r="S59" s="342"/>
      <c r="U59" s="342"/>
      <c r="W59" s="342"/>
      <c r="Y59" s="342"/>
      <c r="AB59" s="342"/>
      <c r="AE59" s="347"/>
      <c r="AF59" s="729"/>
      <c r="AG59" s="730"/>
      <c r="AH59" s="731"/>
      <c r="AI59" s="347"/>
      <c r="AJ59" s="347"/>
      <c r="AK59" s="347"/>
      <c r="AL59" s="347"/>
      <c r="AM59" s="347"/>
      <c r="AN59" s="347"/>
    </row>
    <row r="60" spans="2:40" s="347" customFormat="1" ht="14.25" customHeight="1">
      <c r="B60" s="343"/>
      <c r="C60" s="343"/>
      <c r="D60" s="343" t="s">
        <v>12</v>
      </c>
      <c r="E60" s="375" t="s">
        <v>607</v>
      </c>
      <c r="F60" s="384"/>
      <c r="G60" s="384"/>
      <c r="H60" s="384"/>
      <c r="I60" s="385"/>
      <c r="J60" s="385"/>
      <c r="K60" s="385"/>
      <c r="M60" s="378">
        <f>IFERROR(IF(N60=0, 0, N60*$M$3),0)</f>
        <v>0</v>
      </c>
      <c r="N60" s="490"/>
      <c r="O60" s="379">
        <f>IF(N60=0, 0, SUM(O61:O62)*N60)</f>
        <v>0</v>
      </c>
      <c r="Q60" s="385"/>
      <c r="R60" s="386"/>
      <c r="S60" s="385"/>
      <c r="T60" s="386"/>
      <c r="U60" s="385"/>
      <c r="V60" s="386"/>
      <c r="W60" s="385"/>
      <c r="X60" s="386"/>
      <c r="Y60" s="385"/>
      <c r="Z60" s="386"/>
      <c r="AB60" s="385"/>
      <c r="AC60" s="386"/>
      <c r="AD60" s="386"/>
      <c r="AE60" s="363"/>
      <c r="AF60" s="729"/>
      <c r="AG60" s="730"/>
      <c r="AH60" s="731"/>
      <c r="AI60" s="363"/>
      <c r="AJ60" s="363"/>
      <c r="AK60" s="363"/>
      <c r="AL60" s="363"/>
      <c r="AM60" s="363"/>
      <c r="AN60" s="363"/>
    </row>
    <row r="61" spans="2:40" s="363" customFormat="1" ht="14.25" customHeight="1">
      <c r="B61" s="357"/>
      <c r="C61" s="357"/>
      <c r="D61" s="357"/>
      <c r="E61" s="268"/>
      <c r="F61" s="358" t="str">
        <f ca="1">IF($E61="", "", IFERROR(INDEX(OFFSET('Fund Guide'!$B$5,1,MATCH(F$8,OFFSET('Fund Guide'!$B$5,,,,COUNTA('Fund Guide'!54:54)),0)-1,COUNTA('Fund Guide'!$B:$B)-COUNTA('Fund Guide'!$B$2:$B$5)),MATCH($E61,OFFSET('Fund Guide'!$B$5,1,,COUNTA('Fund Guide'!$B:$B)-COUNTA('Fund Guide'!$B$2:$B$5)),0)),"-"))</f>
        <v/>
      </c>
      <c r="G61" s="359" t="str">
        <f ca="1">IF($E61="", "", IFERROR(INDEX(OFFSET('Fund Guide'!$B$5,1,MATCH(G$8,OFFSET('Fund Guide'!$B$5,,,,COUNTA('Fund Guide'!$5:$5)),0)-1,COUNTA('Fund Guide'!$B:$B)-COUNTA('Fund Guide'!$B$2:$B$5)),MATCH($E61,OFFSET('Fund Guide'!$B$5,1,,COUNTA('Fund Guide'!$B:$B)-COUNTA('Fund Guide'!$B$2:$B$5)),0)),
IFERROR(IF(OR(LEFT($E61,3)="NTN",LEFT($E61,3)="LFT"),DATE(_xlfn.NUMBERVALUE(RIGHT(LEFT($E61,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360" t="str">
        <f ca="1">IF($E61="", "", IFERROR(INDEX(OFFSET('Fund Guide'!$B$5,1,MATCH(H$8,OFFSET('Fund Guide'!$B$5,,,,COUNTA('Fund Guide'!#REF!)),0)-1,COUNTA('Fund Guide'!$B:$B)-COUNTA('Fund Guide'!$B$2:$B$5)),MATCH($E61,OFFSET('Fund Guide'!$B$5,1,,COUNTA('Fund Guide'!$B:$B)-COUNTA('Fund Guide'!$B$2:$B$5)),0)),IFERROR(OFFSET('RF &amp; RV Guide'!$E$8,2+MATCH($E61, OFFSET('RF &amp; RV Guide'!$E$8,3,,200), 0),-1+MATCH(H$8, OFFSET('RF &amp; RV Guide'!$E$8,,,,COUNTA('RF &amp; RV Guide'!$8:$8)-COUNTA('RF &amp; RV Guide'!$A$8:$E$8)),0)),"BRL")))</f>
        <v/>
      </c>
      <c r="I61" s="361" t="str">
        <f ca="1">IF($E61="", "", IFERROR(INDEX(OFFSET('Fund Guide'!$B$5,1,MATCH("Repasse Taxa Adm. Gestor",OFFSET('Fund Guide'!$B$5,,,,COUNTA('Fund Guide'!$5:$5)),0)-1,COUNTA('Fund Guide'!$B:$B)-COUNTA('Fund Guide'!$B$2:$B$5)),MATCH($E61,OFFSET('Fund Guide'!$B$5,1,,COUNTA('Fund Guide'!$B:$B)-COUNTA('Fund Guide'!$B$2:$B$5)),0)),
IFERROR(OFFSET('RF &amp; RV Guide'!$E$8,2+MATCH($E61, OFFSET('RF &amp; RV Guide'!$E$8,3,,200), 0),-1+MATCH(I$8, OFFSET('RF &amp; RV Guide'!$E$8,,,,COUNTA('RF &amp; RV Guide'!$8:$8)-COUNTA('RF &amp; RV Guide'!$A$8:$E$8)),0)),IFERROR(IF(FIND("tulo",$E61), 0.25%), "-"))))</f>
        <v/>
      </c>
      <c r="J61" s="362" t="str" cm="1">
        <f t="array" aca="1" ref="J61" ca="1">IF($E61="", "", IFERROR(INDEX(OFFSET('Fund Guide'!$B$5,1,MATCH(J$8,OFFSET('Fund Guide'!$B$5,,,,COUNTA('Fund Guide'!$5:$5)),0)-1,COUNTA('Fund Guide'!$B:$B)-COUNTA('Fund Guide'!$B$2:$B$5)),MATCH($E61,OFFSET('Fund Guide'!$B$5,1,,COUNTA('Fund Guide'!$B:$B)-COUNTA('Fund Guide'!$B$2:$B$5)),0)),
IFERROR(INDEX(OFFSET('RF &amp; RV Guide'!$X$10,1, , 100),MATCH(IF(FIND("(", $E61)&gt;0, LEFT($E61, FIND("(", $E61)-1),), IFERROR(IF(FIND("(", OFFSET('RF &amp; RV Guide'!$E$10,1,,200))&gt;0, LEFT(OFFSET('RF &amp; RV Guide'!$E$10,1,,200), FIND("(", $E61)-1),),"-"),0)),
IFERROR(INDEX(OFFSET('RF &amp; RV Guide'!$X$10,1, , 100),MATCH($E61, OFFSET('RF &amp; RV Guide'!$E$10,1,,200),0)),"-"))))</f>
        <v/>
      </c>
      <c r="K61" s="362" t="str">
        <f ca="1">IF($E61="", "", IFERROR(INDEX(OFFSET('Fund Guide'!$B$5,1,MATCH(K$8,OFFSET('Fund Guide'!$B$5,,,,COUNTA('Fund Guide'!$5:$5)),0)-1,COUNTA('Fund Guide'!$B:$B)-COUNTA('Fund Guide'!$B$2:$B$5)),MATCH($E61,OFFSET('Fund Guide'!$B$5,1,,COUNTA('Fund Guide'!$B:$B)-COUNTA('Fund Guide'!$B$2:$B$5)),0)),
IFERROR(OFFSET('RF &amp; RV Guide'!$E$8,2+MATCH($E61, OFFSET('RF &amp; RV Guide'!$E$8,3,,COUNTA('RF &amp; RV Guide'!$E:$E)-COUNTA('RF &amp; RV Guide'!$E$1:$E$8)), 0),-1+MATCH("Captação", OFFSET('RF &amp; RV Guide'!$E$8,,,,COUNTA('RF &amp; RV Guide'!$8:$8)-COUNTA('RF &amp; RV Guide'!$A$8:$E$8)),0)), "-")))</f>
        <v/>
      </c>
      <c r="M61" s="364" t="str">
        <f>IFERROR(IF(N61=0, "", N61*$M$3),0)</f>
        <v/>
      </c>
      <c r="N61" s="198"/>
      <c r="O61" s="380" t="str">
        <f>IFERROR(IF(N61=0, "", N61/N$60),0)</f>
        <v/>
      </c>
      <c r="Q61" s="687" t="str">
        <f ca="1">IF($E61="", "", IFERROR(INDEX(OFFSET('Fund Guide'!$B$5,1,MATCH(Q$8,OFFSET('Fund Guide'!$B$5,,,,COUNTA('Fund Guide'!54:54)),0)-1,COUNTA('Fund Guide'!$B:$B)-COUNTA('Fund Guide'!$B$2:$B$5)),MATCH($E61,OFFSET('Fund Guide'!$B$5,1,,COUNTA('Fund Guide'!$B:$B)-COUNTA('Fund Guide'!$B$2:$B$5)),0)),0))</f>
        <v/>
      </c>
      <c r="R61" s="683" t="str">
        <f ca="1">IF($E61="", "", IFERROR(INDEX(OFFSET('Fund Guide'!$B$5,1,MATCH(R$8,OFFSET('Fund Guide'!$B$5,,,,COUNTA('Fund Guide'!54:54)),0)-1,COUNTA('Fund Guide'!$B:$B)-COUNTA('Fund Guide'!$B$2:$B$5)),MATCH($E61,OFFSET('Fund Guide'!$B$5,1,,COUNTA('Fund Guide'!$B:$B)-COUNTA('Fund Guide'!$B$2:$B$5)),0)),0))</f>
        <v/>
      </c>
      <c r="S61" s="687" t="str">
        <f ca="1">IF($E61="", "", IFERROR(INDEX(OFFSET('Fund Guide'!$B$5,1,MATCH(S$8,OFFSET('Fund Guide'!$B$5,,,,COUNTA('Fund Guide'!54:54)),0)-1,COUNTA('Fund Guide'!$B:$B)-COUNTA('Fund Guide'!$B$2:$B$5)),MATCH($E61,OFFSET('Fund Guide'!$B$5,1,,COUNTA('Fund Guide'!$B:$B)-COUNTA('Fund Guide'!$B$2:$B$5)),0)),0))</f>
        <v/>
      </c>
      <c r="T61" s="683" t="str">
        <f ca="1">IF($E61="", "", IFERROR(INDEX(OFFSET('Fund Guide'!$B$5,1,MATCH(T$8,OFFSET('Fund Guide'!$B$5,,,,COUNTA('Fund Guide'!54:54)),0)-1,COUNTA('Fund Guide'!$B:$B)-COUNTA('Fund Guide'!$B$2:$B$5)),MATCH($E61,OFFSET('Fund Guide'!$B$5,1,,COUNTA('Fund Guide'!$B:$B)-COUNTA('Fund Guide'!$B$2:$B$5)),0)),0))</f>
        <v/>
      </c>
      <c r="U61" s="687" t="str">
        <f ca="1">IF($E61="", "", IFERROR(INDEX(OFFSET('Fund Guide'!$B$5,1,MATCH(U$8,OFFSET('Fund Guide'!$B$5,,,,COUNTA('Fund Guide'!54:54)),0)-1,COUNTA('Fund Guide'!$B:$B)-COUNTA('Fund Guide'!$B$2:$B$5)),MATCH($E61,OFFSET('Fund Guide'!$B$5,1,,COUNTA('Fund Guide'!$B:$B)-COUNTA('Fund Guide'!$B$2:$B$5)),0)),0))</f>
        <v/>
      </c>
      <c r="V61" s="683" t="str">
        <f ca="1">IF($E61="", "", IFERROR(INDEX(OFFSET('Fund Guide'!$B$5,1,MATCH(V$8,OFFSET('Fund Guide'!$B$5,,,,COUNTA('Fund Guide'!54:54)),0)-1,COUNTA('Fund Guide'!$B:$B)-COUNTA('Fund Guide'!$B$2:$B$5)),MATCH($E61,OFFSET('Fund Guide'!$B$5,1,,COUNTA('Fund Guide'!$B:$B)-COUNTA('Fund Guide'!$B$2:$B$5)),0)),0))</f>
        <v/>
      </c>
      <c r="W61" s="687" t="str">
        <f ca="1">IF($E61="", "", IFERROR(INDEX(OFFSET('Fund Guide'!$B$5,1,MATCH(W$8,OFFSET('Fund Guide'!$B$5,,,,COUNTA('Fund Guide'!54:54)),0)-1,COUNTA('Fund Guide'!$B:$B)-COUNTA('Fund Guide'!$B$2:$B$5)),MATCH($E61,OFFSET('Fund Guide'!$B$5,1,,COUNTA('Fund Guide'!$B:$B)-COUNTA('Fund Guide'!$B$2:$B$5)),0)),0))</f>
        <v/>
      </c>
      <c r="X61" s="683" t="str">
        <f ca="1">IF($E61="", "", IFERROR(INDEX(OFFSET('Fund Guide'!$B$5,1,MATCH(X$8,OFFSET('Fund Guide'!$B$5,,,,COUNTA('Fund Guide'!54:54)),0)-1,COUNTA('Fund Guide'!$B:$B)-COUNTA('Fund Guide'!$B$2:$B$5)),MATCH($E61,OFFSET('Fund Guide'!$B$5,1,,COUNTA('Fund Guide'!$B:$B)-COUNTA('Fund Guide'!$B$2:$B$5)),0)),0))</f>
        <v/>
      </c>
      <c r="Y61" s="684" t="str">
        <f ca="1">IF($E61="", "", IFERROR(INDEX(OFFSET('Fund Guide'!$B$5,1,MATCH(Y$8,OFFSET('Fund Guide'!$B$5,,,,COUNTA('Fund Guide'!54:54)),0)-1,COUNTA('Fund Guide'!$B:$B)-COUNTA('Fund Guide'!$B$2:$B$5)),MATCH($E61,OFFSET('Fund Guide'!$B$5,1,,COUNTA('Fund Guide'!$B:$B)-COUNTA('Fund Guide'!$B$2:$B$5)),0)),0))</f>
        <v/>
      </c>
      <c r="Z61" s="685" t="str">
        <f ca="1">IF($E61="", "", IFERROR(INDEX(OFFSET('Fund Guide'!$B$5,1,MATCH(Z$8,OFFSET('Fund Guide'!$B$5,,,,COUNTA('Fund Guide'!54:54)),0)-1,COUNTA('Fund Guide'!$B:$B)-COUNTA('Fund Guide'!$B$2:$B$5)),MATCH($E61,OFFSET('Fund Guide'!$B$5,1,,COUNTA('Fund Guide'!$B:$B)-COUNTA('Fund Guide'!$B$2:$B$5)),0)),0))</f>
        <v/>
      </c>
      <c r="AB61" s="199"/>
      <c r="AC61" s="199"/>
      <c r="AD61" s="198"/>
      <c r="AE61" s="331"/>
      <c r="AF61" s="729"/>
      <c r="AG61" s="730"/>
      <c r="AH61" s="731"/>
      <c r="AI61" s="728" t="b">
        <f t="shared" ref="AI61:AI62" ca="1" si="16">OR(AND($J61&gt;$Y$2, $J61&lt;&gt;"-", $J61&lt;&gt;"", $AB61="", $AC61="", $AD61=""),AND($F61&lt;&gt;"-", $Q61=0, $AB61="", $AC61="", $AD61=""), AND(RIGHT($E61,6)="B.Side", $Q61=0, $AB61="", $AC61="", $AD61=""))</f>
        <v>0</v>
      </c>
      <c r="AJ61" s="331"/>
      <c r="AK61" s="331"/>
      <c r="AL61" s="331"/>
      <c r="AM61" s="331"/>
      <c r="AN61" s="331"/>
    </row>
    <row r="62" spans="2:40" s="331" customFormat="1" ht="4.5" customHeight="1">
      <c r="B62" s="329"/>
      <c r="C62" s="329"/>
      <c r="D62" s="329"/>
      <c r="E62" s="340"/>
      <c r="F62" s="367"/>
      <c r="G62" s="341"/>
      <c r="H62" s="341"/>
      <c r="I62" s="342"/>
      <c r="J62" s="342"/>
      <c r="K62" s="342"/>
      <c r="M62" s="351"/>
      <c r="Q62" s="342"/>
      <c r="S62" s="342"/>
      <c r="U62" s="342"/>
      <c r="W62" s="342"/>
      <c r="Y62" s="342"/>
      <c r="AB62" s="342"/>
      <c r="AE62" s="347"/>
      <c r="AF62" s="729"/>
      <c r="AG62" s="730"/>
      <c r="AH62" s="731"/>
      <c r="AI62" s="728" t="b">
        <f t="shared" si="16"/>
        <v>1</v>
      </c>
      <c r="AJ62" s="347"/>
      <c r="AK62" s="347"/>
      <c r="AL62" s="347"/>
      <c r="AM62" s="347"/>
      <c r="AN62" s="347"/>
    </row>
    <row r="63" spans="2:40" s="347" customFormat="1" ht="14.25" customHeight="1">
      <c r="B63" s="343"/>
      <c r="C63" s="343"/>
      <c r="D63" s="343" t="s">
        <v>12</v>
      </c>
      <c r="E63" s="375" t="s">
        <v>614</v>
      </c>
      <c r="F63" s="384"/>
      <c r="G63" s="384"/>
      <c r="H63" s="384"/>
      <c r="I63" s="385"/>
      <c r="J63" s="385"/>
      <c r="K63" s="385"/>
      <c r="M63" s="378">
        <f>IFERROR(IF(N63=0, 0, N63*$M$3),0)</f>
        <v>0</v>
      </c>
      <c r="N63" s="490"/>
      <c r="O63" s="379">
        <f>IF(N63=0, 0, SUM(O64:O65)*N63)</f>
        <v>0</v>
      </c>
      <c r="Q63" s="385"/>
      <c r="R63" s="386"/>
      <c r="S63" s="385"/>
      <c r="T63" s="386"/>
      <c r="U63" s="385"/>
      <c r="V63" s="386"/>
      <c r="W63" s="385"/>
      <c r="X63" s="386"/>
      <c r="Y63" s="385"/>
      <c r="Z63" s="386"/>
      <c r="AB63" s="385"/>
      <c r="AC63" s="386"/>
      <c r="AD63" s="386"/>
      <c r="AE63" s="363"/>
      <c r="AF63" s="729"/>
      <c r="AG63" s="730"/>
      <c r="AH63" s="731"/>
      <c r="AI63" s="363"/>
      <c r="AJ63" s="363"/>
      <c r="AK63" s="363"/>
      <c r="AL63" s="363"/>
      <c r="AM63" s="363"/>
      <c r="AN63" s="363"/>
    </row>
    <row r="64" spans="2:40" s="363" customFormat="1" ht="14.25" customHeight="1">
      <c r="B64" s="357"/>
      <c r="C64" s="357"/>
      <c r="D64" s="357"/>
      <c r="E64" s="268"/>
      <c r="F64" s="358" t="str">
        <f ca="1">IF($E64="", "", IFERROR(INDEX(OFFSET('Fund Guide'!$B$5,1,MATCH(F$8,OFFSET('Fund Guide'!$B$5,,,,COUNTA('Fund Guide'!57:57)),0)-1,COUNTA('Fund Guide'!$B:$B)-COUNTA('Fund Guide'!$B$2:$B$5)),MATCH($E64,OFFSET('Fund Guide'!$B$5,1,,COUNTA('Fund Guide'!$B:$B)-COUNTA('Fund Guide'!$B$2:$B$5)),0)),"-"))</f>
        <v/>
      </c>
      <c r="G64" s="359" t="str">
        <f ca="1">IF($E64="", "", IFERROR(INDEX(OFFSET('Fund Guide'!$B$5,1,MATCH(G$8,OFFSET('Fund Guide'!$B$5,,,,COUNTA('Fund Guide'!$5:$5)),0)-1,COUNTA('Fund Guide'!$B:$B)-COUNTA('Fund Guide'!$B$2:$B$5)),MATCH($E64,OFFSET('Fund Guide'!$B$5,1,,COUNTA('Fund Guide'!$B:$B)-COUNTA('Fund Guide'!$B$2:$B$5)),0)),
IFERROR(IF(OR(LEFT($E64,3)="NTN",LEFT($E64,3)="LFT"),DATE(_xlfn.NUMBERVALUE(RIGHT(LEFT($E64,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360" t="str">
        <f ca="1">IF($E64="", "", IFERROR(INDEX(OFFSET('Fund Guide'!$B$5,1,MATCH(H$8,OFFSET('Fund Guide'!$B$5,,,,COUNTA('Fund Guide'!#REF!)),0)-1,COUNTA('Fund Guide'!$B:$B)-COUNTA('Fund Guide'!$B$2:$B$5)),MATCH($E64,OFFSET('Fund Guide'!$B$5,1,,COUNTA('Fund Guide'!$B:$B)-COUNTA('Fund Guide'!$B$2:$B$5)),0)),IFERROR(OFFSET('RF &amp; RV Guide'!$E$8,2+MATCH($E64, OFFSET('RF &amp; RV Guide'!$E$8,3,,200), 0),-1+MATCH(H$8, OFFSET('RF &amp; RV Guide'!$E$8,,,,COUNTA('RF &amp; RV Guide'!$8:$8)-COUNTA('RF &amp; RV Guide'!$A$8:$E$8)),0)),"BRL")))</f>
        <v/>
      </c>
      <c r="I64" s="361"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Guide'!$E$8,3,,200), 0),-1+MATCH(I$8, OFFSET('RF &amp; RV Guide'!$E$8,,,,COUNTA('RF &amp; RV Guide'!$8:$8)-COUNTA('RF &amp; RV Guide'!$A$8:$E$8)),0)),IFERROR(IF(FIND("tulo",$E64), 0.25%), "-"))))</f>
        <v/>
      </c>
      <c r="J64" s="362" t="str" cm="1">
        <f t="array" aca="1" ref="J64" ca="1">IF($E64="", "", IFERROR(INDEX(OFFSET('Fund Guide'!$B$5,1,MATCH(J$8,OFFSET('Fund Guide'!$B$5,,,,COUNTA('Fund Guide'!$5:$5)),0)-1,COUNTA('Fund Guide'!$B:$B)-COUNTA('Fund Guide'!$B$2:$B$5)),MATCH($E64,OFFSET('Fund Guide'!$B$5,1,,COUNTA('Fund Guide'!$B:$B)-COUNTA('Fund Guide'!$B$2:$B$5)),0)),
IFERROR(INDEX(OFFSET('RF &amp; RV Guide'!$X$10,1, , 100),MATCH(IF(FIND("(", $E64)&gt;0, LEFT($E64, FIND("(", $E64)-1),), IFERROR(IF(FIND("(", OFFSET('RF &amp; RV Guide'!$E$10,1,,200))&gt;0, LEFT(OFFSET('RF &amp; RV Guide'!$E$10,1,,200), FIND("(", $E64)-1),),"-"),0)),
IFERROR(INDEX(OFFSET('RF &amp; RV Guide'!$X$10,1, , 100),MATCH($E64, OFFSET('RF &amp; RV Guide'!$E$10,1,,200),0)),"-"))))</f>
        <v/>
      </c>
      <c r="K64" s="362"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
      </c>
      <c r="M64" s="364" t="str">
        <f>IFERROR(IF(N64=0, "", N64*$M$3),0)</f>
        <v/>
      </c>
      <c r="N64" s="198"/>
      <c r="O64" s="380" t="str">
        <f>IFERROR(IF(N64=0, "", N64/N$63),0)</f>
        <v/>
      </c>
      <c r="Q64" s="687" t="str">
        <f ca="1">IF($E64="", "", IFERROR(INDEX(OFFSET('Fund Guide'!$B$5,1,MATCH(Q$8,OFFSET('Fund Guide'!$B$5,,,,COUNTA('Fund Guide'!57:57)),0)-1,COUNTA('Fund Guide'!$B:$B)-COUNTA('Fund Guide'!$B$2:$B$5)),MATCH($E64,OFFSET('Fund Guide'!$B$5,1,,COUNTA('Fund Guide'!$B:$B)-COUNTA('Fund Guide'!$B$2:$B$5)),0)),0))</f>
        <v/>
      </c>
      <c r="R64" s="683" t="str">
        <f ca="1">IF($E64="", "", IFERROR(INDEX(OFFSET('Fund Guide'!$B$5,1,MATCH(R$8,OFFSET('Fund Guide'!$B$5,,,,COUNTA('Fund Guide'!57:57)),0)-1,COUNTA('Fund Guide'!$B:$B)-COUNTA('Fund Guide'!$B$2:$B$5)),MATCH($E64,OFFSET('Fund Guide'!$B$5,1,,COUNTA('Fund Guide'!$B:$B)-COUNTA('Fund Guide'!$B$2:$B$5)),0)),0))</f>
        <v/>
      </c>
      <c r="S64" s="687" t="str">
        <f ca="1">IF($E64="", "", IFERROR(INDEX(OFFSET('Fund Guide'!$B$5,1,MATCH(S$8,OFFSET('Fund Guide'!$B$5,,,,COUNTA('Fund Guide'!57:57)),0)-1,COUNTA('Fund Guide'!$B:$B)-COUNTA('Fund Guide'!$B$2:$B$5)),MATCH($E64,OFFSET('Fund Guide'!$B$5,1,,COUNTA('Fund Guide'!$B:$B)-COUNTA('Fund Guide'!$B$2:$B$5)),0)),0))</f>
        <v/>
      </c>
      <c r="T64" s="683" t="str">
        <f ca="1">IF($E64="", "", IFERROR(INDEX(OFFSET('Fund Guide'!$B$5,1,MATCH(T$8,OFFSET('Fund Guide'!$B$5,,,,COUNTA('Fund Guide'!57:57)),0)-1,COUNTA('Fund Guide'!$B:$B)-COUNTA('Fund Guide'!$B$2:$B$5)),MATCH($E64,OFFSET('Fund Guide'!$B$5,1,,COUNTA('Fund Guide'!$B:$B)-COUNTA('Fund Guide'!$B$2:$B$5)),0)),0))</f>
        <v/>
      </c>
      <c r="U64" s="687" t="str">
        <f ca="1">IF($E64="", "", IFERROR(INDEX(OFFSET('Fund Guide'!$B$5,1,MATCH(U$8,OFFSET('Fund Guide'!$B$5,,,,COUNTA('Fund Guide'!57:57)),0)-1,COUNTA('Fund Guide'!$B:$B)-COUNTA('Fund Guide'!$B$2:$B$5)),MATCH($E64,OFFSET('Fund Guide'!$B$5,1,,COUNTA('Fund Guide'!$B:$B)-COUNTA('Fund Guide'!$B$2:$B$5)),0)),0))</f>
        <v/>
      </c>
      <c r="V64" s="683" t="str">
        <f ca="1">IF($E64="", "", IFERROR(INDEX(OFFSET('Fund Guide'!$B$5,1,MATCH(V$8,OFFSET('Fund Guide'!$B$5,,,,COUNTA('Fund Guide'!57:57)),0)-1,COUNTA('Fund Guide'!$B:$B)-COUNTA('Fund Guide'!$B$2:$B$5)),MATCH($E64,OFFSET('Fund Guide'!$B$5,1,,COUNTA('Fund Guide'!$B:$B)-COUNTA('Fund Guide'!$B$2:$B$5)),0)),0))</f>
        <v/>
      </c>
      <c r="W64" s="687" t="str">
        <f ca="1">IF($E64="", "", IFERROR(INDEX(OFFSET('Fund Guide'!$B$5,1,MATCH(W$8,OFFSET('Fund Guide'!$B$5,,,,COUNTA('Fund Guide'!57:57)),0)-1,COUNTA('Fund Guide'!$B:$B)-COUNTA('Fund Guide'!$B$2:$B$5)),MATCH($E64,OFFSET('Fund Guide'!$B$5,1,,COUNTA('Fund Guide'!$B:$B)-COUNTA('Fund Guide'!$B$2:$B$5)),0)),0))</f>
        <v/>
      </c>
      <c r="X64" s="683" t="str">
        <f ca="1">IF($E64="", "", IFERROR(INDEX(OFFSET('Fund Guide'!$B$5,1,MATCH(X$8,OFFSET('Fund Guide'!$B$5,,,,COUNTA('Fund Guide'!57:57)),0)-1,COUNTA('Fund Guide'!$B:$B)-COUNTA('Fund Guide'!$B$2:$B$5)),MATCH($E64,OFFSET('Fund Guide'!$B$5,1,,COUNTA('Fund Guide'!$B:$B)-COUNTA('Fund Guide'!$B$2:$B$5)),0)),0))</f>
        <v/>
      </c>
      <c r="Y64" s="684" t="str">
        <f ca="1">IF($E64="", "", IFERROR(INDEX(OFFSET('Fund Guide'!$B$5,1,MATCH(Y$8,OFFSET('Fund Guide'!$B$5,,,,COUNTA('Fund Guide'!57:57)),0)-1,COUNTA('Fund Guide'!$B:$B)-COUNTA('Fund Guide'!$B$2:$B$5)),MATCH($E64,OFFSET('Fund Guide'!$B$5,1,,COUNTA('Fund Guide'!$B:$B)-COUNTA('Fund Guide'!$B$2:$B$5)),0)),0))</f>
        <v/>
      </c>
      <c r="Z64" s="685" t="str">
        <f ca="1">IF($E64="", "", IFERROR(INDEX(OFFSET('Fund Guide'!$B$5,1,MATCH(Z$8,OFFSET('Fund Guide'!$B$5,,,,COUNTA('Fund Guide'!57:57)),0)-1,COUNTA('Fund Guide'!$B:$B)-COUNTA('Fund Guide'!$B$2:$B$5)),MATCH($E64,OFFSET('Fund Guide'!$B$5,1,,COUNTA('Fund Guide'!$B:$B)-COUNTA('Fund Guide'!$B$2:$B$5)),0)),0))</f>
        <v/>
      </c>
      <c r="AB64" s="199"/>
      <c r="AC64" s="199"/>
      <c r="AD64" s="198"/>
      <c r="AE64" s="331"/>
      <c r="AF64" s="729"/>
      <c r="AG64" s="730"/>
      <c r="AH64" s="731"/>
      <c r="AI64" s="728" t="b">
        <f t="shared" ref="AI64" ca="1" si="17">OR(AND($J64&gt;$Y$2, $J64&lt;&gt;"-", $J64&lt;&gt;"", $AB64="", $AC64="", $AD64=""),AND($F64&lt;&gt;"-", $Q64=0, $AB64="", $AC64="", $AD64=""), AND(RIGHT($E64,6)="B.Side", $Q64=0, $AB64="", $AC64="", $AD64=""))</f>
        <v>0</v>
      </c>
      <c r="AJ64" s="331"/>
      <c r="AK64" s="331"/>
      <c r="AL64" s="331"/>
      <c r="AM64" s="331"/>
      <c r="AN64" s="331"/>
    </row>
    <row r="65" spans="2:40" s="331" customFormat="1" ht="4.5" customHeight="1">
      <c r="B65" s="329"/>
      <c r="C65" s="329"/>
      <c r="D65" s="329"/>
      <c r="E65" s="340"/>
      <c r="F65" s="367"/>
      <c r="G65" s="341"/>
      <c r="H65" s="341"/>
      <c r="I65" s="342"/>
      <c r="J65" s="342"/>
      <c r="K65" s="342"/>
      <c r="M65" s="351"/>
      <c r="Q65" s="342"/>
      <c r="S65" s="342"/>
      <c r="U65" s="342"/>
      <c r="W65" s="342"/>
      <c r="Y65" s="342"/>
      <c r="AB65" s="342"/>
      <c r="AE65" s="347"/>
      <c r="AF65" s="729"/>
      <c r="AG65" s="730"/>
      <c r="AH65" s="731"/>
      <c r="AI65" s="347"/>
      <c r="AJ65" s="347"/>
      <c r="AK65" s="347"/>
      <c r="AL65" s="347"/>
      <c r="AM65" s="347"/>
      <c r="AN65" s="347"/>
    </row>
    <row r="66" spans="2:40" s="347" customFormat="1" ht="14.25" customHeight="1">
      <c r="B66" s="343"/>
      <c r="C66" s="343"/>
      <c r="D66" s="343" t="s">
        <v>12</v>
      </c>
      <c r="E66" s="375" t="s">
        <v>15</v>
      </c>
      <c r="F66" s="384"/>
      <c r="G66" s="384"/>
      <c r="H66" s="384"/>
      <c r="I66" s="385"/>
      <c r="J66" s="385"/>
      <c r="K66" s="385"/>
      <c r="M66" s="378">
        <f>IFERROR(IF(N66=0, 0, N66*$M$3),0)</f>
        <v>0</v>
      </c>
      <c r="N66" s="490"/>
      <c r="O66" s="379">
        <f>IF(N66=0, 0, SUM(O67:O68)*N66)</f>
        <v>0</v>
      </c>
      <c r="Q66" s="385"/>
      <c r="R66" s="386"/>
      <c r="S66" s="385"/>
      <c r="T66" s="386"/>
      <c r="U66" s="385"/>
      <c r="V66" s="386"/>
      <c r="W66" s="385"/>
      <c r="X66" s="386"/>
      <c r="Y66" s="385"/>
      <c r="Z66" s="386"/>
      <c r="AB66" s="385"/>
      <c r="AC66" s="386"/>
      <c r="AD66" s="386"/>
      <c r="AE66" s="363"/>
      <c r="AF66" s="729"/>
      <c r="AG66" s="730"/>
      <c r="AH66" s="731"/>
      <c r="AI66" s="363"/>
      <c r="AJ66" s="363"/>
      <c r="AK66" s="363"/>
      <c r="AL66" s="363"/>
      <c r="AM66" s="363"/>
      <c r="AN66" s="363"/>
    </row>
    <row r="67" spans="2:40" s="363" customFormat="1" ht="14.25" customHeight="1">
      <c r="B67" s="357"/>
      <c r="C67" s="357"/>
      <c r="D67" s="357"/>
      <c r="E67" s="268"/>
      <c r="F67" s="358" t="str">
        <f ca="1">IF($E67="", "", IFERROR(INDEX(OFFSET('Fund Guide'!$B$5,1,MATCH(F$8,OFFSET('Fund Guide'!$B$5,,,,COUNTA('Fund Guide'!60:60)),0)-1,COUNTA('Fund Guide'!$B:$B)-COUNTA('Fund Guide'!$B$2:$B$5)),MATCH($E67,OFFSET('Fund Guide'!$B$5,1,,COUNTA('Fund Guide'!$B:$B)-COUNTA('Fund Guide'!$B$2:$B$5)),0)),"-"))</f>
        <v/>
      </c>
      <c r="G67" s="359" t="str">
        <f ca="1">IF($E67="", "", IFERROR(INDEX(OFFSET('Fund Guide'!$B$5,1,MATCH(G$8,OFFSET('Fund Guide'!$B$5,,,,COUNTA('Fund Guide'!$5:$5)),0)-1,COUNTA('Fund Guide'!$B:$B)-COUNTA('Fund Guide'!$B$2:$B$5)),MATCH($E67,OFFSET('Fund Guide'!$B$5,1,,COUNTA('Fund Guide'!$B:$B)-COUNTA('Fund Guide'!$B$2:$B$5)),0)),
IFERROR(IF(OR(LEFT($E67,3)="NTN",LEFT($E67,3)="LFT"),DATE(_xlfn.NUMBERVALUE(RIGHT(LEFT($E67,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360" t="str">
        <f ca="1">IF($E67="", "", IFERROR(INDEX(OFFSET('Fund Guide'!$B$5,1,MATCH(H$8,OFFSET('Fund Guide'!$B$5,,,,COUNTA('Fund Guide'!#REF!)),0)-1,COUNTA('Fund Guide'!$B:$B)-COUNTA('Fund Guide'!$B$2:$B$5)),MATCH($E67,OFFSET('Fund Guide'!$B$5,1,,COUNTA('Fund Guide'!$B:$B)-COUNTA('Fund Guide'!$B$2:$B$5)),0)),IFERROR(OFFSET('RF &amp; RV Guide'!$E$8,2+MATCH($E67, OFFSET('RF &amp; RV Guide'!$E$8,3,,200), 0),-1+MATCH(H$8, OFFSET('RF &amp; RV Guide'!$E$8,,,,COUNTA('RF &amp; RV Guide'!$8:$8)-COUNTA('RF &amp; RV Guide'!$A$8:$E$8)),0)),"BRL")))</f>
        <v/>
      </c>
      <c r="I67" s="361" t="str">
        <f ca="1">IF($E67="", "", IFERROR(INDEX(OFFSET('Fund Guide'!$B$5,1,MATCH("Repasse Taxa Adm. Gestor",OFFSET('Fund Guide'!$B$5,,,,COUNTA('Fund Guide'!$5:$5)),0)-1,COUNTA('Fund Guide'!$B:$B)-COUNTA('Fund Guide'!$B$2:$B$5)),MATCH($E67,OFFSET('Fund Guide'!$B$5,1,,COUNTA('Fund Guide'!$B:$B)-COUNTA('Fund Guide'!$B$2:$B$5)),0)),
IFERROR(OFFSET('RF &amp; RV Guide'!$E$8,2+MATCH($E67, OFFSET('RF &amp; RV Guide'!$E$8,3,,200), 0),-1+MATCH(I$8, OFFSET('RF &amp; RV Guide'!$E$8,,,,COUNTA('RF &amp; RV Guide'!$8:$8)-COUNTA('RF &amp; RV Guide'!$A$8:$E$8)),0)),IFERROR(IF(FIND("tulo",$E67), 0.25%), "-"))))</f>
        <v/>
      </c>
      <c r="J67" s="362" t="str" cm="1">
        <f t="array" aca="1" ref="J67" ca="1">IF($E67="", "", IFERROR(INDEX(OFFSET('Fund Guide'!$B$5,1,MATCH(J$8,OFFSET('Fund Guide'!$B$5,,,,COUNTA('Fund Guide'!$5:$5)),0)-1,COUNTA('Fund Guide'!$B:$B)-COUNTA('Fund Guide'!$B$2:$B$5)),MATCH($E67,OFFSET('Fund Guide'!$B$5,1,,COUNTA('Fund Guide'!$B:$B)-COUNTA('Fund Guide'!$B$2:$B$5)),0)),
IFERROR(INDEX(OFFSET('RF &amp; RV Guide'!$X$10,1, , 100),MATCH(IF(FIND("(", $E67)&gt;0, LEFT($E67, FIND("(", $E67)-1),), IFERROR(IF(FIND("(", OFFSET('RF &amp; RV Guide'!$E$10,1,,200))&gt;0, LEFT(OFFSET('RF &amp; RV Guide'!$E$10,1,,200), FIND("(", $E67)-1),),"-"),0)),
IFERROR(INDEX(OFFSET('RF &amp; RV Guide'!$X$10,1, , 100),MATCH($E67, OFFSET('RF &amp; RV Guide'!$E$10,1,,200),0)),"-"))))</f>
        <v/>
      </c>
      <c r="K67" s="362" t="str">
        <f ca="1">IF($E67="", "", IFERROR(INDEX(OFFSET('Fund Guide'!$B$5,1,MATCH(K$8,OFFSET('Fund Guide'!$B$5,,,,COUNTA('Fund Guide'!$5:$5)),0)-1,COUNTA('Fund Guide'!$B:$B)-COUNTA('Fund Guide'!$B$2:$B$5)),MATCH($E67,OFFSET('Fund Guide'!$B$5,1,,COUNTA('Fund Guide'!$B:$B)-COUNTA('Fund Guide'!$B$2:$B$5)),0)),
IFERROR(OFFSET('RF &amp; RV Guide'!$E$8,2+MATCH($E67, OFFSET('RF &amp; RV Guide'!$E$8,3,,COUNTA('RF &amp; RV Guide'!$E:$E)-COUNTA('RF &amp; RV Guide'!$E$1:$E$8)), 0),-1+MATCH("Captação", OFFSET('RF &amp; RV Guide'!$E$8,,,,COUNTA('RF &amp; RV Guide'!$8:$8)-COUNTA('RF &amp; RV Guide'!$A$8:$E$8)),0)), "-")))</f>
        <v/>
      </c>
      <c r="M67" s="364" t="str">
        <f>IFERROR(IF(N67=0, "", N67*$M$3),0)</f>
        <v/>
      </c>
      <c r="N67" s="198"/>
      <c r="O67" s="380" t="str">
        <f>IFERROR(IF(N67=0, "", N67/N$66),0)</f>
        <v/>
      </c>
      <c r="Q67" s="687" t="str">
        <f ca="1">IF($E67="", "", IFERROR(INDEX(OFFSET('Fund Guide'!$B$5,1,MATCH(Q$8,OFFSET('Fund Guide'!$B$5,,,,COUNTA('Fund Guide'!60:60)),0)-1,COUNTA('Fund Guide'!$B:$B)-COUNTA('Fund Guide'!$B$2:$B$5)),MATCH($E67,OFFSET('Fund Guide'!$B$5,1,,COUNTA('Fund Guide'!$B:$B)-COUNTA('Fund Guide'!$B$2:$B$5)),0)),0))</f>
        <v/>
      </c>
      <c r="R67" s="683" t="str">
        <f ca="1">IF($E67="", "", IFERROR(INDEX(OFFSET('Fund Guide'!$B$5,1,MATCH(R$8,OFFSET('Fund Guide'!$B$5,,,,COUNTA('Fund Guide'!60:60)),0)-1,COUNTA('Fund Guide'!$B:$B)-COUNTA('Fund Guide'!$B$2:$B$5)),MATCH($E67,OFFSET('Fund Guide'!$B$5,1,,COUNTA('Fund Guide'!$B:$B)-COUNTA('Fund Guide'!$B$2:$B$5)),0)),0))</f>
        <v/>
      </c>
      <c r="S67" s="687" t="str">
        <f ca="1">IF($E67="", "", IFERROR(INDEX(OFFSET('Fund Guide'!$B$5,1,MATCH(S$8,OFFSET('Fund Guide'!$B$5,,,,COUNTA('Fund Guide'!60:60)),0)-1,COUNTA('Fund Guide'!$B:$B)-COUNTA('Fund Guide'!$B$2:$B$5)),MATCH($E67,OFFSET('Fund Guide'!$B$5,1,,COUNTA('Fund Guide'!$B:$B)-COUNTA('Fund Guide'!$B$2:$B$5)),0)),0))</f>
        <v/>
      </c>
      <c r="T67" s="683" t="str">
        <f ca="1">IF($E67="", "", IFERROR(INDEX(OFFSET('Fund Guide'!$B$5,1,MATCH(T$8,OFFSET('Fund Guide'!$B$5,,,,COUNTA('Fund Guide'!60:60)),0)-1,COUNTA('Fund Guide'!$B:$B)-COUNTA('Fund Guide'!$B$2:$B$5)),MATCH($E67,OFFSET('Fund Guide'!$B$5,1,,COUNTA('Fund Guide'!$B:$B)-COUNTA('Fund Guide'!$B$2:$B$5)),0)),0))</f>
        <v/>
      </c>
      <c r="U67" s="687" t="str">
        <f ca="1">IF($E67="", "", IFERROR(INDEX(OFFSET('Fund Guide'!$B$5,1,MATCH(U$8,OFFSET('Fund Guide'!$B$5,,,,COUNTA('Fund Guide'!60:60)),0)-1,COUNTA('Fund Guide'!$B:$B)-COUNTA('Fund Guide'!$B$2:$B$5)),MATCH($E67,OFFSET('Fund Guide'!$B$5,1,,COUNTA('Fund Guide'!$B:$B)-COUNTA('Fund Guide'!$B$2:$B$5)),0)),0))</f>
        <v/>
      </c>
      <c r="V67" s="683" t="str">
        <f ca="1">IF($E67="", "", IFERROR(INDEX(OFFSET('Fund Guide'!$B$5,1,MATCH(V$8,OFFSET('Fund Guide'!$B$5,,,,COUNTA('Fund Guide'!60:60)),0)-1,COUNTA('Fund Guide'!$B:$B)-COUNTA('Fund Guide'!$B$2:$B$5)),MATCH($E67,OFFSET('Fund Guide'!$B$5,1,,COUNTA('Fund Guide'!$B:$B)-COUNTA('Fund Guide'!$B$2:$B$5)),0)),0))</f>
        <v/>
      </c>
      <c r="W67" s="687" t="str">
        <f ca="1">IF($E67="", "", IFERROR(INDEX(OFFSET('Fund Guide'!$B$5,1,MATCH(W$8,OFFSET('Fund Guide'!$B$5,,,,COUNTA('Fund Guide'!60:60)),0)-1,COUNTA('Fund Guide'!$B:$B)-COUNTA('Fund Guide'!$B$2:$B$5)),MATCH($E67,OFFSET('Fund Guide'!$B$5,1,,COUNTA('Fund Guide'!$B:$B)-COUNTA('Fund Guide'!$B$2:$B$5)),0)),0))</f>
        <v/>
      </c>
      <c r="X67" s="683" t="str">
        <f ca="1">IF($E67="", "", IFERROR(INDEX(OFFSET('Fund Guide'!$B$5,1,MATCH(X$8,OFFSET('Fund Guide'!$B$5,,,,COUNTA('Fund Guide'!60:60)),0)-1,COUNTA('Fund Guide'!$B:$B)-COUNTA('Fund Guide'!$B$2:$B$5)),MATCH($E67,OFFSET('Fund Guide'!$B$5,1,,COUNTA('Fund Guide'!$B:$B)-COUNTA('Fund Guide'!$B$2:$B$5)),0)),0))</f>
        <v/>
      </c>
      <c r="Y67" s="684" t="str">
        <f ca="1">IF($E67="", "", IFERROR(INDEX(OFFSET('Fund Guide'!$B$5,1,MATCH(Y$8,OFFSET('Fund Guide'!$B$5,,,,COUNTA('Fund Guide'!60:60)),0)-1,COUNTA('Fund Guide'!$B:$B)-COUNTA('Fund Guide'!$B$2:$B$5)),MATCH($E67,OFFSET('Fund Guide'!$B$5,1,,COUNTA('Fund Guide'!$B:$B)-COUNTA('Fund Guide'!$B$2:$B$5)),0)),0))</f>
        <v/>
      </c>
      <c r="Z67" s="685" t="str">
        <f ca="1">IF($E67="", "", IFERROR(INDEX(OFFSET('Fund Guide'!$B$5,1,MATCH(Z$8,OFFSET('Fund Guide'!$B$5,,,,COUNTA('Fund Guide'!60:60)),0)-1,COUNTA('Fund Guide'!$B:$B)-COUNTA('Fund Guide'!$B$2:$B$5)),MATCH($E67,OFFSET('Fund Guide'!$B$5,1,,COUNTA('Fund Guide'!$B:$B)-COUNTA('Fund Guide'!$B$2:$B$5)),0)),0))</f>
        <v/>
      </c>
      <c r="AB67" s="199"/>
      <c r="AC67" s="199"/>
      <c r="AD67" s="198"/>
      <c r="AE67" s="331"/>
      <c r="AF67" s="729"/>
      <c r="AG67" s="730"/>
      <c r="AH67" s="731"/>
      <c r="AI67" s="728" t="b">
        <f t="shared" ref="AI67" ca="1" si="18">OR(AND($J67&gt;$Y$2, $J67&lt;&gt;"-", $J67&lt;&gt;"", $AB67="", $AC67="", $AD67=""),AND($F67&lt;&gt;"-", $Q67=0, $AB67="", $AC67="", $AD67=""), AND(RIGHT($E67,6)="B.Side", $Q67=0, $AB67="", $AC67="", $AD67=""))</f>
        <v>0</v>
      </c>
      <c r="AJ67" s="331"/>
      <c r="AK67" s="331"/>
      <c r="AL67" s="331"/>
      <c r="AM67" s="331"/>
      <c r="AN67" s="331"/>
    </row>
    <row r="68" spans="2:40" s="331" customFormat="1" ht="5.25" customHeight="1">
      <c r="B68" s="329"/>
      <c r="C68" s="329"/>
      <c r="D68" s="329"/>
      <c r="E68" s="340"/>
      <c r="F68" s="367"/>
      <c r="G68" s="341"/>
      <c r="H68" s="341"/>
      <c r="I68" s="342"/>
      <c r="J68" s="342"/>
      <c r="K68" s="342"/>
      <c r="M68" s="351"/>
      <c r="Q68" s="342"/>
      <c r="S68" s="342"/>
      <c r="U68" s="342"/>
      <c r="W68" s="342"/>
      <c r="Y68" s="342"/>
      <c r="AB68" s="342"/>
      <c r="AE68" s="347"/>
      <c r="AF68" s="729"/>
      <c r="AG68" s="730"/>
      <c r="AH68" s="731"/>
      <c r="AI68" s="347"/>
      <c r="AJ68" s="347"/>
      <c r="AK68" s="347"/>
      <c r="AL68" s="347"/>
      <c r="AM68" s="347"/>
      <c r="AN68" s="347"/>
    </row>
    <row r="69" spans="2:40" s="347" customFormat="1" ht="14.25" customHeight="1">
      <c r="B69" s="343"/>
      <c r="C69" s="343" t="s">
        <v>1394</v>
      </c>
      <c r="D69" s="343" t="s">
        <v>12</v>
      </c>
      <c r="E69" s="352" t="s">
        <v>628</v>
      </c>
      <c r="F69" s="353"/>
      <c r="G69" s="353"/>
      <c r="H69" s="353"/>
      <c r="I69" s="354"/>
      <c r="J69" s="354"/>
      <c r="K69" s="354"/>
      <c r="M69" s="355">
        <f>IFERROR(IF(N69=0, 0, N69*$M$3),0)</f>
        <v>0</v>
      </c>
      <c r="N69" s="202">
        <f>N71+N74+N77+N80+N83</f>
        <v>0</v>
      </c>
      <c r="O69" s="356">
        <f>ROUND(O71+O74+O77+O80+O83,5)</f>
        <v>0</v>
      </c>
      <c r="Q69" s="354"/>
      <c r="R69" s="356"/>
      <c r="S69" s="354"/>
      <c r="T69" s="356"/>
      <c r="U69" s="354"/>
      <c r="V69" s="356"/>
      <c r="W69" s="354"/>
      <c r="X69" s="356"/>
      <c r="Y69" s="354"/>
      <c r="Z69" s="356"/>
      <c r="AB69" s="354"/>
      <c r="AC69" s="356"/>
      <c r="AD69" s="356"/>
      <c r="AE69" s="331"/>
      <c r="AF69" s="729"/>
      <c r="AG69" s="730"/>
      <c r="AH69" s="731"/>
      <c r="AI69" s="331"/>
      <c r="AJ69" s="331"/>
      <c r="AK69" s="331"/>
      <c r="AL69" s="331"/>
      <c r="AM69" s="331"/>
      <c r="AN69" s="331"/>
    </row>
    <row r="70" spans="2:40" s="331" customFormat="1" ht="3" customHeight="1">
      <c r="B70" s="329"/>
      <c r="C70" s="329"/>
      <c r="D70" s="329"/>
      <c r="E70" s="340"/>
      <c r="F70" s="341"/>
      <c r="G70" s="341"/>
      <c r="H70" s="341"/>
      <c r="I70" s="342"/>
      <c r="J70" s="342"/>
      <c r="K70" s="342"/>
      <c r="M70" s="351"/>
      <c r="N70" s="383"/>
      <c r="Q70" s="342"/>
      <c r="S70" s="342"/>
      <c r="U70" s="342"/>
      <c r="W70" s="342"/>
      <c r="Y70" s="342"/>
      <c r="AB70" s="342"/>
      <c r="AE70" s="347"/>
      <c r="AF70" s="729"/>
      <c r="AG70" s="730"/>
      <c r="AH70" s="731"/>
      <c r="AI70" s="347"/>
      <c r="AJ70" s="347"/>
      <c r="AK70" s="347"/>
      <c r="AL70" s="347"/>
      <c r="AM70" s="347"/>
      <c r="AN70" s="347"/>
    </row>
    <row r="71" spans="2:40" s="347" customFormat="1" ht="14.25" customHeight="1">
      <c r="B71" s="343"/>
      <c r="C71" s="343"/>
      <c r="D71" s="343" t="s">
        <v>12</v>
      </c>
      <c r="E71" s="375" t="s">
        <v>609</v>
      </c>
      <c r="F71" s="376"/>
      <c r="G71" s="376"/>
      <c r="H71" s="376"/>
      <c r="I71" s="377"/>
      <c r="J71" s="377"/>
      <c r="K71" s="377"/>
      <c r="M71" s="378">
        <f>IFERROR(IF(N71=0, 0, N71*$M$3),0)</f>
        <v>0</v>
      </c>
      <c r="N71" s="490"/>
      <c r="O71" s="379">
        <f>IF(N71=0, 0, SUM(O72:O73)*N71)</f>
        <v>0</v>
      </c>
      <c r="Q71" s="377"/>
      <c r="R71" s="379"/>
      <c r="S71" s="377"/>
      <c r="T71" s="379"/>
      <c r="U71" s="377"/>
      <c r="V71" s="379"/>
      <c r="W71" s="377"/>
      <c r="X71" s="379"/>
      <c r="Y71" s="377"/>
      <c r="Z71" s="379"/>
      <c r="AB71" s="377"/>
      <c r="AC71" s="379"/>
      <c r="AD71" s="379"/>
      <c r="AE71" s="363"/>
      <c r="AF71" s="729"/>
      <c r="AG71" s="730"/>
      <c r="AH71" s="731"/>
      <c r="AI71" s="363"/>
      <c r="AJ71" s="363"/>
      <c r="AK71" s="363"/>
      <c r="AL71" s="363"/>
      <c r="AM71" s="363"/>
      <c r="AN71" s="363"/>
    </row>
    <row r="72" spans="2:40" s="363" customFormat="1" ht="14.25" customHeight="1">
      <c r="B72" s="357"/>
      <c r="C72" s="357"/>
      <c r="D72" s="357"/>
      <c r="E72" s="268"/>
      <c r="F72" s="358" t="str">
        <f ca="1">IF($E72="", "", IFERROR(INDEX(OFFSET('Fund Guide'!$B$5,1,MATCH(F$8,OFFSET('Fund Guide'!$B$5,,,,COUNTA('Fund Guide'!65:65)),0)-1,COUNTA('Fund Guide'!$B:$B)-COUNTA('Fund Guide'!$B$2:$B$5)),MATCH($E72,OFFSET('Fund Guide'!$B$5,1,,COUNTA('Fund Guide'!$B:$B)-COUNTA('Fund Guide'!$B$2:$B$5)),0)),"-"))</f>
        <v/>
      </c>
      <c r="G72" s="359" t="str">
        <f ca="1">IF($E72="", "", IFERROR(INDEX(OFFSET('Fund Guide'!$B$5,1,MATCH(G$8,OFFSET('Fund Guide'!$B$5,,,,COUNTA('Fund Guide'!$5:$5)),0)-1,COUNTA('Fund Guide'!$B:$B)-COUNTA('Fund Guide'!$B$2:$B$5)),MATCH($E72,OFFSET('Fund Guide'!$B$5,1,,COUNTA('Fund Guide'!$B:$B)-COUNTA('Fund Guide'!$B$2:$B$5)),0)),
IFERROR(IF(OR(LEFT($E72,3)="NTN",LEFT($E72,3)="LFT"),DATE(_xlfn.NUMBERVALUE(RIGHT(LEFT($E72,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360" t="str">
        <f ca="1">IF($E72="", "", IFERROR(INDEX(OFFSET('Fund Guide'!$B$5,1,MATCH(H$8,OFFSET('Fund Guide'!$B$5,,,,COUNTA('Fund Guide'!#REF!)),0)-1,COUNTA('Fund Guide'!$B:$B)-COUNTA('Fund Guide'!$B$2:$B$5)),MATCH($E72,OFFSET('Fund Guide'!$B$5,1,,COUNTA('Fund Guide'!$B:$B)-COUNTA('Fund Guide'!$B$2:$B$5)),0)),IFERROR(OFFSET('RF &amp; RV Guide'!$E$8,2+MATCH($E72, OFFSET('RF &amp; RV Guide'!$E$8,3,,200), 0),-1+MATCH(H$8, OFFSET('RF &amp; RV Guide'!$E$8,,,,COUNTA('RF &amp; RV Guide'!$8:$8)-COUNTA('RF &amp; RV Guide'!$A$8:$E$8)),0)),"BRL")))</f>
        <v/>
      </c>
      <c r="I72" s="361"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Guide'!$E$8,3,,200), 0),-1+MATCH(I$8, OFFSET('RF &amp; RV Guide'!$E$8,,,,COUNTA('RF &amp; RV Guide'!$8:$8)-COUNTA('RF &amp; RV Guide'!$A$8:$E$8)),0)),IFERROR(IF(FIND("tulo",$E72), 0.25%), "-"))))</f>
        <v/>
      </c>
      <c r="J72" s="362" t="str" cm="1">
        <f t="array" aca="1" ref="J72" ca="1">IF($E72="", "", IFERROR(INDEX(OFFSET('Fund Guide'!$B$5,1,MATCH(J$8,OFFSET('Fund Guide'!$B$5,,,,COUNTA('Fund Guide'!$5:$5)),0)-1,COUNTA('Fund Guide'!$B:$B)-COUNTA('Fund Guide'!$B$2:$B$5)),MATCH($E72,OFFSET('Fund Guide'!$B$5,1,,COUNTA('Fund Guide'!$B:$B)-COUNTA('Fund Guide'!$B$2:$B$5)),0)),
IFERROR(INDEX(OFFSET('RF &amp; RV Guide'!$X$10,1, , 100),MATCH(IF(FIND("(", $E72)&gt;0, LEFT($E72, FIND("(", $E72)-1),), IFERROR(IF(FIND("(", OFFSET('RF &amp; RV Guide'!$E$10,1,,200))&gt;0, LEFT(OFFSET('RF &amp; RV Guide'!$E$10,1,,200), FIND("(", $E72)-1),),"-"),0)),
IFERROR(INDEX(OFFSET('RF &amp; RV Guide'!$X$10,1, , 100),MATCH($E72, OFFSET('RF &amp; RV Guide'!$E$10,1,,200),0)),"-"))))</f>
        <v/>
      </c>
      <c r="K72" s="362"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M72" s="364" t="str">
        <f>IFERROR(IF(N72=0, "", N72*$M$3),0)</f>
        <v/>
      </c>
      <c r="N72" s="198"/>
      <c r="O72" s="380" t="str">
        <f>IFERROR(IF(N72=0, "", N72/N$71),0)</f>
        <v/>
      </c>
      <c r="Q72" s="687" t="str">
        <f ca="1">IF($E72="", "", IFERROR(INDEX(OFFSET('Fund Guide'!$B$5,1,MATCH(Q$8,OFFSET('Fund Guide'!$B$5,,,,COUNTA('Fund Guide'!65:65)),0)-1,COUNTA('Fund Guide'!$B:$B)-COUNTA('Fund Guide'!$B$2:$B$5)),MATCH($E72,OFFSET('Fund Guide'!$B$5,1,,COUNTA('Fund Guide'!$B:$B)-COUNTA('Fund Guide'!$B$2:$B$5)),0)),0))</f>
        <v/>
      </c>
      <c r="R72" s="683" t="str">
        <f ca="1">IF($E72="", "", IFERROR(INDEX(OFFSET('Fund Guide'!$B$5,1,MATCH(R$8,OFFSET('Fund Guide'!$B$5,,,,COUNTA('Fund Guide'!65:65)),0)-1,COUNTA('Fund Guide'!$B:$B)-COUNTA('Fund Guide'!$B$2:$B$5)),MATCH($E72,OFFSET('Fund Guide'!$B$5,1,,COUNTA('Fund Guide'!$B:$B)-COUNTA('Fund Guide'!$B$2:$B$5)),0)),0))</f>
        <v/>
      </c>
      <c r="S72" s="687" t="str">
        <f ca="1">IF($E72="", "", IFERROR(INDEX(OFFSET('Fund Guide'!$B$5,1,MATCH(S$8,OFFSET('Fund Guide'!$B$5,,,,COUNTA('Fund Guide'!65:65)),0)-1,COUNTA('Fund Guide'!$B:$B)-COUNTA('Fund Guide'!$B$2:$B$5)),MATCH($E72,OFFSET('Fund Guide'!$B$5,1,,COUNTA('Fund Guide'!$B:$B)-COUNTA('Fund Guide'!$B$2:$B$5)),0)),0))</f>
        <v/>
      </c>
      <c r="T72" s="683" t="str">
        <f ca="1">IF($E72="", "", IFERROR(INDEX(OFFSET('Fund Guide'!$B$5,1,MATCH(T$8,OFFSET('Fund Guide'!$B$5,,,,COUNTA('Fund Guide'!65:65)),0)-1,COUNTA('Fund Guide'!$B:$B)-COUNTA('Fund Guide'!$B$2:$B$5)),MATCH($E72,OFFSET('Fund Guide'!$B$5,1,,COUNTA('Fund Guide'!$B:$B)-COUNTA('Fund Guide'!$B$2:$B$5)),0)),0))</f>
        <v/>
      </c>
      <c r="U72" s="687" t="str">
        <f ca="1">IF($E72="", "", IFERROR(INDEX(OFFSET('Fund Guide'!$B$5,1,MATCH(U$8,OFFSET('Fund Guide'!$B$5,,,,COUNTA('Fund Guide'!65:65)),0)-1,COUNTA('Fund Guide'!$B:$B)-COUNTA('Fund Guide'!$B$2:$B$5)),MATCH($E72,OFFSET('Fund Guide'!$B$5,1,,COUNTA('Fund Guide'!$B:$B)-COUNTA('Fund Guide'!$B$2:$B$5)),0)),0))</f>
        <v/>
      </c>
      <c r="V72" s="683" t="str">
        <f ca="1">IF($E72="", "", IFERROR(INDEX(OFFSET('Fund Guide'!$B$5,1,MATCH(V$8,OFFSET('Fund Guide'!$B$5,,,,COUNTA('Fund Guide'!65:65)),0)-1,COUNTA('Fund Guide'!$B:$B)-COUNTA('Fund Guide'!$B$2:$B$5)),MATCH($E72,OFFSET('Fund Guide'!$B$5,1,,COUNTA('Fund Guide'!$B:$B)-COUNTA('Fund Guide'!$B$2:$B$5)),0)),0))</f>
        <v/>
      </c>
      <c r="W72" s="687" t="str">
        <f ca="1">IF($E72="", "", IFERROR(INDEX(OFFSET('Fund Guide'!$B$5,1,MATCH(W$8,OFFSET('Fund Guide'!$B$5,,,,COUNTA('Fund Guide'!65:65)),0)-1,COUNTA('Fund Guide'!$B:$B)-COUNTA('Fund Guide'!$B$2:$B$5)),MATCH($E72,OFFSET('Fund Guide'!$B$5,1,,COUNTA('Fund Guide'!$B:$B)-COUNTA('Fund Guide'!$B$2:$B$5)),0)),0))</f>
        <v/>
      </c>
      <c r="X72" s="683" t="str">
        <f ca="1">IF($E72="", "", IFERROR(INDEX(OFFSET('Fund Guide'!$B$5,1,MATCH(X$8,OFFSET('Fund Guide'!$B$5,,,,COUNTA('Fund Guide'!65:65)),0)-1,COUNTA('Fund Guide'!$B:$B)-COUNTA('Fund Guide'!$B$2:$B$5)),MATCH($E72,OFFSET('Fund Guide'!$B$5,1,,COUNTA('Fund Guide'!$B:$B)-COUNTA('Fund Guide'!$B$2:$B$5)),0)),0))</f>
        <v/>
      </c>
      <c r="Y72" s="684" t="str">
        <f ca="1">IF($E72="", "", IFERROR(INDEX(OFFSET('Fund Guide'!$B$5,1,MATCH(Y$8,OFFSET('Fund Guide'!$B$5,,,,COUNTA('Fund Guide'!65:65)),0)-1,COUNTA('Fund Guide'!$B:$B)-COUNTA('Fund Guide'!$B$2:$B$5)),MATCH($E72,OFFSET('Fund Guide'!$B$5,1,,COUNTA('Fund Guide'!$B:$B)-COUNTA('Fund Guide'!$B$2:$B$5)),0)),0))</f>
        <v/>
      </c>
      <c r="Z72" s="685" t="str">
        <f ca="1">IF($E72="", "", IFERROR(INDEX(OFFSET('Fund Guide'!$B$5,1,MATCH(Z$8,OFFSET('Fund Guide'!$B$5,,,,COUNTA('Fund Guide'!65:65)),0)-1,COUNTA('Fund Guide'!$B:$B)-COUNTA('Fund Guide'!$B$2:$B$5)),MATCH($E72,OFFSET('Fund Guide'!$B$5,1,,COUNTA('Fund Guide'!$B:$B)-COUNTA('Fund Guide'!$B$2:$B$5)),0)),0))</f>
        <v/>
      </c>
      <c r="AB72" s="199"/>
      <c r="AC72" s="199"/>
      <c r="AD72" s="198"/>
      <c r="AE72" s="331"/>
      <c r="AF72" s="729"/>
      <c r="AG72" s="730"/>
      <c r="AH72" s="731"/>
      <c r="AI72" s="728" t="b">
        <f t="shared" ref="AI72" ca="1" si="19">OR(AND($J72&gt;$Y$2, $J72&lt;&gt;"-", $J72&lt;&gt;"", $AB72="", $AC72="", $AD72=""),AND($F72&lt;&gt;"-", $Q72=0, $AB72="", $AC72="", $AD72=""), AND(RIGHT($E72,6)="B.Side", $Q72=0, $AB72="", $AC72="", $AD72=""))</f>
        <v>0</v>
      </c>
      <c r="AJ72" s="331"/>
      <c r="AK72" s="331"/>
      <c r="AL72" s="331"/>
      <c r="AM72" s="331"/>
      <c r="AN72" s="331"/>
    </row>
    <row r="73" spans="2:40" s="331" customFormat="1" ht="4.5" customHeight="1">
      <c r="B73" s="329"/>
      <c r="C73" s="329"/>
      <c r="D73" s="329"/>
      <c r="E73" s="340"/>
      <c r="F73" s="367"/>
      <c r="G73" s="341"/>
      <c r="H73" s="341"/>
      <c r="I73" s="342"/>
      <c r="J73" s="342"/>
      <c r="K73" s="342"/>
      <c r="M73" s="351"/>
      <c r="Q73" s="342"/>
      <c r="S73" s="342"/>
      <c r="U73" s="342"/>
      <c r="W73" s="342"/>
      <c r="Y73" s="342"/>
      <c r="AB73" s="342"/>
      <c r="AE73" s="347"/>
      <c r="AF73" s="729"/>
      <c r="AG73" s="730"/>
      <c r="AH73" s="731"/>
      <c r="AI73" s="347"/>
      <c r="AJ73" s="347"/>
      <c r="AK73" s="347"/>
      <c r="AL73" s="347"/>
      <c r="AM73" s="347"/>
      <c r="AN73" s="347"/>
    </row>
    <row r="74" spans="2:40" s="347" customFormat="1" ht="14.25" customHeight="1">
      <c r="B74" s="343"/>
      <c r="C74" s="343"/>
      <c r="D74" s="343" t="s">
        <v>12</v>
      </c>
      <c r="E74" s="375" t="s">
        <v>612</v>
      </c>
      <c r="F74" s="376"/>
      <c r="G74" s="376"/>
      <c r="H74" s="376"/>
      <c r="I74" s="377"/>
      <c r="J74" s="377"/>
      <c r="K74" s="377"/>
      <c r="M74" s="378">
        <f>IFERROR(IF(N74=0, 0, N74*$M$3),0)</f>
        <v>0</v>
      </c>
      <c r="N74" s="490"/>
      <c r="O74" s="379">
        <f>IF(N74=0, 0, SUM(O75:O76)*N74)</f>
        <v>0</v>
      </c>
      <c r="Q74" s="377"/>
      <c r="R74" s="379"/>
      <c r="S74" s="377"/>
      <c r="T74" s="379"/>
      <c r="U74" s="377"/>
      <c r="V74" s="379"/>
      <c r="W74" s="377"/>
      <c r="X74" s="379"/>
      <c r="Y74" s="377"/>
      <c r="Z74" s="379"/>
      <c r="AB74" s="377"/>
      <c r="AC74" s="379"/>
      <c r="AD74" s="379"/>
      <c r="AE74" s="363"/>
      <c r="AF74" s="729"/>
      <c r="AG74" s="730"/>
      <c r="AH74" s="731"/>
      <c r="AI74" s="363"/>
      <c r="AJ74" s="363"/>
      <c r="AK74" s="363"/>
      <c r="AL74" s="363"/>
      <c r="AM74" s="363"/>
      <c r="AN74" s="363"/>
    </row>
    <row r="75" spans="2:40" s="363" customFormat="1" ht="14.25" customHeight="1">
      <c r="B75" s="357"/>
      <c r="C75" s="357"/>
      <c r="D75" s="357"/>
      <c r="E75" s="268"/>
      <c r="F75" s="358" t="str">
        <f ca="1">IF($E75="", "", IFERROR(INDEX(OFFSET('Fund Guide'!$B$5,1,MATCH(F$8,OFFSET('Fund Guide'!$B$5,,,,COUNTA('Fund Guide'!68:68)),0)-1,COUNTA('Fund Guide'!$B:$B)-COUNTA('Fund Guide'!$B$2:$B$5)),MATCH($E75,OFFSET('Fund Guide'!$B$5,1,,COUNTA('Fund Guide'!$B:$B)-COUNTA('Fund Guide'!$B$2:$B$5)),0)),"-"))</f>
        <v/>
      </c>
      <c r="G75" s="359" t="str">
        <f ca="1">IF($E75="", "", IFERROR(INDEX(OFFSET('Fund Guide'!$B$5,1,MATCH(G$8,OFFSET('Fund Guide'!$B$5,,,,COUNTA('Fund Guide'!$5:$5)),0)-1,COUNTA('Fund Guide'!$B:$B)-COUNTA('Fund Guide'!$B$2:$B$5)),MATCH($E75,OFFSET('Fund Guide'!$B$5,1,,COUNTA('Fund Guide'!$B:$B)-COUNTA('Fund Guide'!$B$2:$B$5)),0)),
IFERROR(IF(OR(LEFT($E75,3)="NTN",LEFT($E75,3)="LFT"),DATE(_xlfn.NUMBERVALUE(RIGHT(LEFT($E75,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360" t="str">
        <f ca="1">IF($E75="", "", IFERROR(INDEX(OFFSET('Fund Guide'!$B$5,1,MATCH(H$8,OFFSET('Fund Guide'!$B$5,,,,COUNTA('Fund Guide'!#REF!)),0)-1,COUNTA('Fund Guide'!$B:$B)-COUNTA('Fund Guide'!$B$2:$B$5)),MATCH($E75,OFFSET('Fund Guide'!$B$5,1,,COUNTA('Fund Guide'!$B:$B)-COUNTA('Fund Guide'!$B$2:$B$5)),0)),IFERROR(OFFSET('RF &amp; RV Guide'!$E$8,2+MATCH($E75, OFFSET('RF &amp; RV Guide'!$E$8,3,,200), 0),-1+MATCH(H$8, OFFSET('RF &amp; RV Guide'!$E$8,,,,COUNTA('RF &amp; RV Guide'!$8:$8)-COUNTA('RF &amp; RV Guide'!$A$8:$E$8)),0)),"BRL")))</f>
        <v/>
      </c>
      <c r="I75" s="361"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Guide'!$E$8,3,,200), 0),-1+MATCH(I$8, OFFSET('RF &amp; RV Guide'!$E$8,,,,COUNTA('RF &amp; RV Guide'!$8:$8)-COUNTA('RF &amp; RV Guide'!$A$8:$E$8)),0)),IFERROR(IF(FIND("tulo",$E75), 0.25%), "-"))))</f>
        <v/>
      </c>
      <c r="J75" s="362" t="str" cm="1">
        <f t="array" aca="1" ref="J75" ca="1">IF($E75="", "", IFERROR(INDEX(OFFSET('Fund Guide'!$B$5,1,MATCH(J$8,OFFSET('Fund Guide'!$B$5,,,,COUNTA('Fund Guide'!$5:$5)),0)-1,COUNTA('Fund Guide'!$B:$B)-COUNTA('Fund Guide'!$B$2:$B$5)),MATCH($E75,OFFSET('Fund Guide'!$B$5,1,,COUNTA('Fund Guide'!$B:$B)-COUNTA('Fund Guide'!$B$2:$B$5)),0)),
IFERROR(INDEX(OFFSET('RF &amp; RV Guide'!$X$10,1, , 100),MATCH(IF(FIND("(", $E75)&gt;0, LEFT($E75, FIND("(", $E75)-1),), IFERROR(IF(FIND("(", OFFSET('RF &amp; RV Guide'!$E$10,1,,200))&gt;0, LEFT(OFFSET('RF &amp; RV Guide'!$E$10,1,,200), FIND("(", $E75)-1),),"-"),0)),
IFERROR(INDEX(OFFSET('RF &amp; RV Guide'!$X$10,1, , 100),MATCH($E75, OFFSET('RF &amp; RV Guide'!$E$10,1,,200),0)),"-"))))</f>
        <v/>
      </c>
      <c r="K75" s="362"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M75" s="364" t="str">
        <f>IFERROR(IF(N75=0, "", N75*$M$3),0)</f>
        <v/>
      </c>
      <c r="N75" s="198"/>
      <c r="O75" s="380" t="str">
        <f>IFERROR(IF(N75=0, "", N75/N$74),0)</f>
        <v/>
      </c>
      <c r="Q75" s="687" t="str">
        <f ca="1">IF($E75="", "", IFERROR(INDEX(OFFSET('Fund Guide'!$B$5,1,MATCH(Q$8,OFFSET('Fund Guide'!$B$5,,,,COUNTA('Fund Guide'!68:68)),0)-1,COUNTA('Fund Guide'!$B:$B)-COUNTA('Fund Guide'!$B$2:$B$5)),MATCH($E75,OFFSET('Fund Guide'!$B$5,1,,COUNTA('Fund Guide'!$B:$B)-COUNTA('Fund Guide'!$B$2:$B$5)),0)),0))</f>
        <v/>
      </c>
      <c r="R75" s="683" t="str">
        <f ca="1">IF($E75="", "", IFERROR(INDEX(OFFSET('Fund Guide'!$B$5,1,MATCH(R$8,OFFSET('Fund Guide'!$B$5,,,,COUNTA('Fund Guide'!68:68)),0)-1,COUNTA('Fund Guide'!$B:$B)-COUNTA('Fund Guide'!$B$2:$B$5)),MATCH($E75,OFFSET('Fund Guide'!$B$5,1,,COUNTA('Fund Guide'!$B:$B)-COUNTA('Fund Guide'!$B$2:$B$5)),0)),0))</f>
        <v/>
      </c>
      <c r="S75" s="687" t="str">
        <f ca="1">IF($E75="", "", IFERROR(INDEX(OFFSET('Fund Guide'!$B$5,1,MATCH(S$8,OFFSET('Fund Guide'!$B$5,,,,COUNTA('Fund Guide'!68:68)),0)-1,COUNTA('Fund Guide'!$B:$B)-COUNTA('Fund Guide'!$B$2:$B$5)),MATCH($E75,OFFSET('Fund Guide'!$B$5,1,,COUNTA('Fund Guide'!$B:$B)-COUNTA('Fund Guide'!$B$2:$B$5)),0)),0))</f>
        <v/>
      </c>
      <c r="T75" s="683" t="str">
        <f ca="1">IF($E75="", "", IFERROR(INDEX(OFFSET('Fund Guide'!$B$5,1,MATCH(T$8,OFFSET('Fund Guide'!$B$5,,,,COUNTA('Fund Guide'!68:68)),0)-1,COUNTA('Fund Guide'!$B:$B)-COUNTA('Fund Guide'!$B$2:$B$5)),MATCH($E75,OFFSET('Fund Guide'!$B$5,1,,COUNTA('Fund Guide'!$B:$B)-COUNTA('Fund Guide'!$B$2:$B$5)),0)),0))</f>
        <v/>
      </c>
      <c r="U75" s="687" t="str">
        <f ca="1">IF($E75="", "", IFERROR(INDEX(OFFSET('Fund Guide'!$B$5,1,MATCH(U$8,OFFSET('Fund Guide'!$B$5,,,,COUNTA('Fund Guide'!68:68)),0)-1,COUNTA('Fund Guide'!$B:$B)-COUNTA('Fund Guide'!$B$2:$B$5)),MATCH($E75,OFFSET('Fund Guide'!$B$5,1,,COUNTA('Fund Guide'!$B:$B)-COUNTA('Fund Guide'!$B$2:$B$5)),0)),0))</f>
        <v/>
      </c>
      <c r="V75" s="683" t="str">
        <f ca="1">IF($E75="", "", IFERROR(INDEX(OFFSET('Fund Guide'!$B$5,1,MATCH(V$8,OFFSET('Fund Guide'!$B$5,,,,COUNTA('Fund Guide'!68:68)),0)-1,COUNTA('Fund Guide'!$B:$B)-COUNTA('Fund Guide'!$B$2:$B$5)),MATCH($E75,OFFSET('Fund Guide'!$B$5,1,,COUNTA('Fund Guide'!$B:$B)-COUNTA('Fund Guide'!$B$2:$B$5)),0)),0))</f>
        <v/>
      </c>
      <c r="W75" s="687" t="str">
        <f ca="1">IF($E75="", "", IFERROR(INDEX(OFFSET('Fund Guide'!$B$5,1,MATCH(W$8,OFFSET('Fund Guide'!$B$5,,,,COUNTA('Fund Guide'!68:68)),0)-1,COUNTA('Fund Guide'!$B:$B)-COUNTA('Fund Guide'!$B$2:$B$5)),MATCH($E75,OFFSET('Fund Guide'!$B$5,1,,COUNTA('Fund Guide'!$B:$B)-COUNTA('Fund Guide'!$B$2:$B$5)),0)),0))</f>
        <v/>
      </c>
      <c r="X75" s="683" t="str">
        <f ca="1">IF($E75="", "", IFERROR(INDEX(OFFSET('Fund Guide'!$B$5,1,MATCH(X$8,OFFSET('Fund Guide'!$B$5,,,,COUNTA('Fund Guide'!68:68)),0)-1,COUNTA('Fund Guide'!$B:$B)-COUNTA('Fund Guide'!$B$2:$B$5)),MATCH($E75,OFFSET('Fund Guide'!$B$5,1,,COUNTA('Fund Guide'!$B:$B)-COUNTA('Fund Guide'!$B$2:$B$5)),0)),0))</f>
        <v/>
      </c>
      <c r="Y75" s="684" t="str">
        <f ca="1">IF($E75="", "", IFERROR(INDEX(OFFSET('Fund Guide'!$B$5,1,MATCH(Y$8,OFFSET('Fund Guide'!$B$5,,,,COUNTA('Fund Guide'!68:68)),0)-1,COUNTA('Fund Guide'!$B:$B)-COUNTA('Fund Guide'!$B$2:$B$5)),MATCH($E75,OFFSET('Fund Guide'!$B$5,1,,COUNTA('Fund Guide'!$B:$B)-COUNTA('Fund Guide'!$B$2:$B$5)),0)),0))</f>
        <v/>
      </c>
      <c r="Z75" s="685" t="str">
        <f ca="1">IF($E75="", "", IFERROR(INDEX(OFFSET('Fund Guide'!$B$5,1,MATCH(Z$8,OFFSET('Fund Guide'!$B$5,,,,COUNTA('Fund Guide'!68:68)),0)-1,COUNTA('Fund Guide'!$B:$B)-COUNTA('Fund Guide'!$B$2:$B$5)),MATCH($E75,OFFSET('Fund Guide'!$B$5,1,,COUNTA('Fund Guide'!$B:$B)-COUNTA('Fund Guide'!$B$2:$B$5)),0)),0))</f>
        <v/>
      </c>
      <c r="AB75" s="199"/>
      <c r="AC75" s="199"/>
      <c r="AD75" s="198"/>
      <c r="AE75" s="331"/>
      <c r="AF75" s="729"/>
      <c r="AG75" s="730"/>
      <c r="AH75" s="731"/>
      <c r="AI75" s="728" t="b">
        <f t="shared" ref="AI75" ca="1" si="20">OR(AND($J75&gt;$Y$2, $J75&lt;&gt;"-", $J75&lt;&gt;"", $AB75="", $AC75="", $AD75=""),AND($F75&lt;&gt;"-", $Q75=0, $AB75="", $AC75="", $AD75=""), AND(RIGHT($E75,6)="B.Side", $Q75=0, $AB75="", $AC75="", $AD75=""))</f>
        <v>0</v>
      </c>
      <c r="AJ75" s="331"/>
      <c r="AK75" s="331"/>
      <c r="AL75" s="331"/>
      <c r="AM75" s="331"/>
      <c r="AN75" s="331"/>
    </row>
    <row r="76" spans="2:40" s="331" customFormat="1" ht="4.5" customHeight="1">
      <c r="B76" s="329"/>
      <c r="C76" s="329"/>
      <c r="D76" s="329"/>
      <c r="E76" s="340"/>
      <c r="F76" s="367"/>
      <c r="G76" s="341"/>
      <c r="H76" s="341"/>
      <c r="I76" s="342"/>
      <c r="J76" s="342"/>
      <c r="K76" s="342"/>
      <c r="M76" s="351"/>
      <c r="Q76" s="342"/>
      <c r="S76" s="342"/>
      <c r="U76" s="342"/>
      <c r="W76" s="342"/>
      <c r="Y76" s="342"/>
      <c r="AB76" s="342"/>
      <c r="AE76" s="347"/>
      <c r="AF76" s="729"/>
      <c r="AG76" s="730"/>
      <c r="AH76" s="731"/>
      <c r="AI76" s="347"/>
      <c r="AJ76" s="347"/>
      <c r="AK76" s="347"/>
      <c r="AL76" s="347"/>
      <c r="AM76" s="347"/>
      <c r="AN76" s="347"/>
    </row>
    <row r="77" spans="2:40" s="347" customFormat="1" ht="14.25" customHeight="1">
      <c r="B77" s="343"/>
      <c r="C77" s="343"/>
      <c r="D77" s="343" t="s">
        <v>12</v>
      </c>
      <c r="E77" s="375" t="s">
        <v>613</v>
      </c>
      <c r="F77" s="376"/>
      <c r="G77" s="376"/>
      <c r="H77" s="376"/>
      <c r="I77" s="377"/>
      <c r="J77" s="377"/>
      <c r="K77" s="377"/>
      <c r="M77" s="378">
        <f>IFERROR(IF(N77=0, 0, N77*$M$3),0)</f>
        <v>0</v>
      </c>
      <c r="N77" s="490"/>
      <c r="O77" s="379">
        <f>IF(N77=0, 0, SUM(O78:O79)*N77)</f>
        <v>0</v>
      </c>
      <c r="Q77" s="377"/>
      <c r="R77" s="379"/>
      <c r="S77" s="377"/>
      <c r="T77" s="379"/>
      <c r="U77" s="377"/>
      <c r="V77" s="379"/>
      <c r="W77" s="377"/>
      <c r="X77" s="379"/>
      <c r="Y77" s="377"/>
      <c r="Z77" s="379"/>
      <c r="AB77" s="377"/>
      <c r="AC77" s="379"/>
      <c r="AD77" s="379"/>
      <c r="AE77" s="363"/>
      <c r="AF77" s="729"/>
      <c r="AG77" s="730"/>
      <c r="AH77" s="731"/>
      <c r="AI77" s="363"/>
      <c r="AJ77" s="363"/>
      <c r="AK77" s="363"/>
      <c r="AL77" s="363"/>
      <c r="AM77" s="363"/>
      <c r="AN77" s="363"/>
    </row>
    <row r="78" spans="2:40" s="363" customFormat="1" ht="14.25" customHeight="1">
      <c r="B78" s="357"/>
      <c r="C78" s="357"/>
      <c r="D78" s="357"/>
      <c r="E78" s="268"/>
      <c r="F78" s="358" t="str">
        <f ca="1">IF($E78="", "", IFERROR(INDEX(OFFSET('Fund Guide'!$B$5,1,MATCH(F$8,OFFSET('Fund Guide'!$B$5,,,,COUNTA('Fund Guide'!71:71)),0)-1,COUNTA('Fund Guide'!$B:$B)-COUNTA('Fund Guide'!$B$2:$B$5)),MATCH($E78,OFFSET('Fund Guide'!$B$5,1,,COUNTA('Fund Guide'!$B:$B)-COUNTA('Fund Guide'!$B$2:$B$5)),0)),"-"))</f>
        <v/>
      </c>
      <c r="G78" s="359" t="str">
        <f ca="1">IF($E78="", "", IFERROR(INDEX(OFFSET('Fund Guide'!$B$5,1,MATCH(G$8,OFFSET('Fund Guide'!$B$5,,,,COUNTA('Fund Guide'!$5:$5)),0)-1,COUNTA('Fund Guide'!$B:$B)-COUNTA('Fund Guide'!$B$2:$B$5)),MATCH($E78,OFFSET('Fund Guide'!$B$5,1,,COUNTA('Fund Guide'!$B:$B)-COUNTA('Fund Guide'!$B$2:$B$5)),0)),
IFERROR(IF(OR(LEFT($E78,3)="NTN",LEFT($E78,3)="LFT"),DATE(_xlfn.NUMBERVALUE(RIGHT(LEFT($E78,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360" t="str">
        <f ca="1">IF($E78="", "", IFERROR(INDEX(OFFSET('Fund Guide'!$B$5,1,MATCH(H$8,OFFSET('Fund Guide'!$B$5,,,,COUNTA('Fund Guide'!#REF!)),0)-1,COUNTA('Fund Guide'!$B:$B)-COUNTA('Fund Guide'!$B$2:$B$5)),MATCH($E78,OFFSET('Fund Guide'!$B$5,1,,COUNTA('Fund Guide'!$B:$B)-COUNTA('Fund Guide'!$B$2:$B$5)),0)),IFERROR(OFFSET('RF &amp; RV Guide'!$E$8,2+MATCH($E78, OFFSET('RF &amp; RV Guide'!$E$8,3,,200), 0),-1+MATCH(H$8, OFFSET('RF &amp; RV Guide'!$E$8,,,,COUNTA('RF &amp; RV Guide'!$8:$8)-COUNTA('RF &amp; RV Guide'!$A$8:$E$8)),0)),"BRL")))</f>
        <v/>
      </c>
      <c r="I78" s="361" t="str">
        <f ca="1">IF($E78="", "", IFERROR(INDEX(OFFSET('Fund Guide'!$B$5,1,MATCH("Repasse Taxa Adm. Gestor",OFFSET('Fund Guide'!$B$5,,,,COUNTA('Fund Guide'!$5:$5)),0)-1,COUNTA('Fund Guide'!$B:$B)-COUNTA('Fund Guide'!$B$2:$B$5)),MATCH($E78,OFFSET('Fund Guide'!$B$5,1,,COUNTA('Fund Guide'!$B:$B)-COUNTA('Fund Guide'!$B$2:$B$5)),0)),
IFERROR(OFFSET('RF &amp; RV Guide'!$E$8,2+MATCH($E78, OFFSET('RF &amp; RV Guide'!$E$8,3,,200), 0),-1+MATCH(I$8, OFFSET('RF &amp; RV Guide'!$E$8,,,,COUNTA('RF &amp; RV Guide'!$8:$8)-COUNTA('RF &amp; RV Guide'!$A$8:$E$8)),0)),IFERROR(IF(FIND("tulo",$E78), 0.25%), "-"))))</f>
        <v/>
      </c>
      <c r="J78" s="362" t="str" cm="1">
        <f t="array" aca="1" ref="J78" ca="1">IF($E78="", "", IFERROR(INDEX(OFFSET('Fund Guide'!$B$5,1,MATCH(J$8,OFFSET('Fund Guide'!$B$5,,,,COUNTA('Fund Guide'!$5:$5)),0)-1,COUNTA('Fund Guide'!$B:$B)-COUNTA('Fund Guide'!$B$2:$B$5)),MATCH($E78,OFFSET('Fund Guide'!$B$5,1,,COUNTA('Fund Guide'!$B:$B)-COUNTA('Fund Guide'!$B$2:$B$5)),0)),
IFERROR(INDEX(OFFSET('RF &amp; RV Guide'!$X$10,1, , 100),MATCH(IF(FIND("(", $E78)&gt;0, LEFT($E78, FIND("(", $E78)-1),), IFERROR(IF(FIND("(", OFFSET('RF &amp; RV Guide'!$E$10,1,,200))&gt;0, LEFT(OFFSET('RF &amp; RV Guide'!$E$10,1,,200), FIND("(", $E78)-1),),"-"),0)),
IFERROR(INDEX(OFFSET('RF &amp; RV Guide'!$X$10,1, , 100),MATCH($E78, OFFSET('RF &amp; RV Guide'!$E$10,1,,200),0)),"-"))))</f>
        <v/>
      </c>
      <c r="K78" s="362" t="str">
        <f ca="1">IF($E78="", "", IFERROR(INDEX(OFFSET('Fund Guide'!$B$5,1,MATCH(K$8,OFFSET('Fund Guide'!$B$5,,,,COUNTA('Fund Guide'!$5:$5)),0)-1,COUNTA('Fund Guide'!$B:$B)-COUNTA('Fund Guide'!$B$2:$B$5)),MATCH($E78,OFFSET('Fund Guide'!$B$5,1,,COUNTA('Fund Guide'!$B:$B)-COUNTA('Fund Guide'!$B$2:$B$5)),0)),
IFERROR(OFFSET('RF &amp; RV Guide'!$E$8,2+MATCH($E78, OFFSET('RF &amp; RV Guide'!$E$8,3,,COUNTA('RF &amp; RV Guide'!$E:$E)-COUNTA('RF &amp; RV Guide'!$E$1:$E$8)), 0),-1+MATCH("Captação", OFFSET('RF &amp; RV Guide'!$E$8,,,,COUNTA('RF &amp; RV Guide'!$8:$8)-COUNTA('RF &amp; RV Guide'!$A$8:$E$8)),0)), "-")))</f>
        <v/>
      </c>
      <c r="M78" s="364" t="str">
        <f>IFERROR(IF(N78=0, "", N78*$M$3),0)</f>
        <v/>
      </c>
      <c r="N78" s="198"/>
      <c r="O78" s="380" t="str">
        <f>IFERROR(IF(N78=0, "", N78/N$77),0)</f>
        <v/>
      </c>
      <c r="Q78" s="687" t="str">
        <f ca="1">IF($E78="", "", IFERROR(INDEX(OFFSET('Fund Guide'!$B$5,1,MATCH(Q$8,OFFSET('Fund Guide'!$B$5,,,,COUNTA('Fund Guide'!71:71)),0)-1,COUNTA('Fund Guide'!$B:$B)-COUNTA('Fund Guide'!$B$2:$B$5)),MATCH($E78,OFFSET('Fund Guide'!$B$5,1,,COUNTA('Fund Guide'!$B:$B)-COUNTA('Fund Guide'!$B$2:$B$5)),0)),0))</f>
        <v/>
      </c>
      <c r="R78" s="683" t="str">
        <f ca="1">IF($E78="", "", IFERROR(INDEX(OFFSET('Fund Guide'!$B$5,1,MATCH(R$8,OFFSET('Fund Guide'!$B$5,,,,COUNTA('Fund Guide'!71:71)),0)-1,COUNTA('Fund Guide'!$B:$B)-COUNTA('Fund Guide'!$B$2:$B$5)),MATCH($E78,OFFSET('Fund Guide'!$B$5,1,,COUNTA('Fund Guide'!$B:$B)-COUNTA('Fund Guide'!$B$2:$B$5)),0)),0))</f>
        <v/>
      </c>
      <c r="S78" s="687" t="str">
        <f ca="1">IF($E78="", "", IFERROR(INDEX(OFFSET('Fund Guide'!$B$5,1,MATCH(S$8,OFFSET('Fund Guide'!$B$5,,,,COUNTA('Fund Guide'!71:71)),0)-1,COUNTA('Fund Guide'!$B:$B)-COUNTA('Fund Guide'!$B$2:$B$5)),MATCH($E78,OFFSET('Fund Guide'!$B$5,1,,COUNTA('Fund Guide'!$B:$B)-COUNTA('Fund Guide'!$B$2:$B$5)),0)),0))</f>
        <v/>
      </c>
      <c r="T78" s="683" t="str">
        <f ca="1">IF($E78="", "", IFERROR(INDEX(OFFSET('Fund Guide'!$B$5,1,MATCH(T$8,OFFSET('Fund Guide'!$B$5,,,,COUNTA('Fund Guide'!71:71)),0)-1,COUNTA('Fund Guide'!$B:$B)-COUNTA('Fund Guide'!$B$2:$B$5)),MATCH($E78,OFFSET('Fund Guide'!$B$5,1,,COUNTA('Fund Guide'!$B:$B)-COUNTA('Fund Guide'!$B$2:$B$5)),0)),0))</f>
        <v/>
      </c>
      <c r="U78" s="687" t="str">
        <f ca="1">IF($E78="", "", IFERROR(INDEX(OFFSET('Fund Guide'!$B$5,1,MATCH(U$8,OFFSET('Fund Guide'!$B$5,,,,COUNTA('Fund Guide'!71:71)),0)-1,COUNTA('Fund Guide'!$B:$B)-COUNTA('Fund Guide'!$B$2:$B$5)),MATCH($E78,OFFSET('Fund Guide'!$B$5,1,,COUNTA('Fund Guide'!$B:$B)-COUNTA('Fund Guide'!$B$2:$B$5)),0)),0))</f>
        <v/>
      </c>
      <c r="V78" s="683" t="str">
        <f ca="1">IF($E78="", "", IFERROR(INDEX(OFFSET('Fund Guide'!$B$5,1,MATCH(V$8,OFFSET('Fund Guide'!$B$5,,,,COUNTA('Fund Guide'!71:71)),0)-1,COUNTA('Fund Guide'!$B:$B)-COUNTA('Fund Guide'!$B$2:$B$5)),MATCH($E78,OFFSET('Fund Guide'!$B$5,1,,COUNTA('Fund Guide'!$B:$B)-COUNTA('Fund Guide'!$B$2:$B$5)),0)),0))</f>
        <v/>
      </c>
      <c r="W78" s="687" t="str">
        <f ca="1">IF($E78="", "", IFERROR(INDEX(OFFSET('Fund Guide'!$B$5,1,MATCH(W$8,OFFSET('Fund Guide'!$B$5,,,,COUNTA('Fund Guide'!71:71)),0)-1,COUNTA('Fund Guide'!$B:$B)-COUNTA('Fund Guide'!$B$2:$B$5)),MATCH($E78,OFFSET('Fund Guide'!$B$5,1,,COUNTA('Fund Guide'!$B:$B)-COUNTA('Fund Guide'!$B$2:$B$5)),0)),0))</f>
        <v/>
      </c>
      <c r="X78" s="683" t="str">
        <f ca="1">IF($E78="", "", IFERROR(INDEX(OFFSET('Fund Guide'!$B$5,1,MATCH(X$8,OFFSET('Fund Guide'!$B$5,,,,COUNTA('Fund Guide'!71:71)),0)-1,COUNTA('Fund Guide'!$B:$B)-COUNTA('Fund Guide'!$B$2:$B$5)),MATCH($E78,OFFSET('Fund Guide'!$B$5,1,,COUNTA('Fund Guide'!$B:$B)-COUNTA('Fund Guide'!$B$2:$B$5)),0)),0))</f>
        <v/>
      </c>
      <c r="Y78" s="684" t="str">
        <f ca="1">IF($E78="", "", IFERROR(INDEX(OFFSET('Fund Guide'!$B$5,1,MATCH(Y$8,OFFSET('Fund Guide'!$B$5,,,,COUNTA('Fund Guide'!71:71)),0)-1,COUNTA('Fund Guide'!$B:$B)-COUNTA('Fund Guide'!$B$2:$B$5)),MATCH($E78,OFFSET('Fund Guide'!$B$5,1,,COUNTA('Fund Guide'!$B:$B)-COUNTA('Fund Guide'!$B$2:$B$5)),0)),0))</f>
        <v/>
      </c>
      <c r="Z78" s="685" t="str">
        <f ca="1">IF($E78="", "", IFERROR(INDEX(OFFSET('Fund Guide'!$B$5,1,MATCH(Z$8,OFFSET('Fund Guide'!$B$5,,,,COUNTA('Fund Guide'!71:71)),0)-1,COUNTA('Fund Guide'!$B:$B)-COUNTA('Fund Guide'!$B$2:$B$5)),MATCH($E78,OFFSET('Fund Guide'!$B$5,1,,COUNTA('Fund Guide'!$B:$B)-COUNTA('Fund Guide'!$B$2:$B$5)),0)),0))</f>
        <v/>
      </c>
      <c r="AB78" s="199"/>
      <c r="AC78" s="199"/>
      <c r="AD78" s="198"/>
      <c r="AE78" s="331"/>
      <c r="AF78" s="729"/>
      <c r="AG78" s="730"/>
      <c r="AH78" s="731"/>
      <c r="AI78" s="728" t="b">
        <f t="shared" ref="AI78" ca="1" si="21">OR(AND($J78&gt;$Y$2, $J78&lt;&gt;"-", $J78&lt;&gt;"", $AB78="", $AC78="", $AD78=""),AND($F78&lt;&gt;"-", $Q78=0, $AB78="", $AC78="", $AD78=""), AND(RIGHT($E78,6)="B.Side", $Q78=0, $AB78="", $AC78="", $AD78=""))</f>
        <v>0</v>
      </c>
      <c r="AJ78" s="331"/>
      <c r="AK78" s="331"/>
      <c r="AL78" s="331"/>
      <c r="AM78" s="331"/>
      <c r="AN78" s="331"/>
    </row>
    <row r="79" spans="2:40" s="331" customFormat="1" ht="4.5" customHeight="1">
      <c r="B79" s="329"/>
      <c r="C79" s="329"/>
      <c r="D79" s="329"/>
      <c r="E79" s="340"/>
      <c r="F79" s="367"/>
      <c r="G79" s="341"/>
      <c r="H79" s="341"/>
      <c r="I79" s="342"/>
      <c r="J79" s="342"/>
      <c r="K79" s="342"/>
      <c r="M79" s="351"/>
      <c r="Q79" s="342"/>
      <c r="S79" s="342"/>
      <c r="U79" s="342"/>
      <c r="W79" s="342"/>
      <c r="Y79" s="342"/>
      <c r="AB79" s="342"/>
      <c r="AE79" s="347"/>
      <c r="AF79" s="729"/>
      <c r="AG79" s="730"/>
      <c r="AH79" s="731"/>
      <c r="AI79" s="347"/>
      <c r="AJ79" s="347"/>
      <c r="AK79" s="347"/>
      <c r="AL79" s="347"/>
      <c r="AM79" s="347"/>
      <c r="AN79" s="347"/>
    </row>
    <row r="80" spans="2:40" s="347" customFormat="1" ht="14.25" customHeight="1">
      <c r="B80" s="343"/>
      <c r="C80" s="343"/>
      <c r="D80" s="343" t="s">
        <v>12</v>
      </c>
      <c r="E80" s="375" t="s">
        <v>611</v>
      </c>
      <c r="F80" s="376"/>
      <c r="G80" s="376"/>
      <c r="H80" s="376"/>
      <c r="I80" s="377"/>
      <c r="J80" s="377"/>
      <c r="K80" s="377"/>
      <c r="M80" s="378">
        <f>IFERROR(IF(N80=0, 0, N80*$M$3),0)</f>
        <v>0</v>
      </c>
      <c r="N80" s="490"/>
      <c r="O80" s="379">
        <f>IF(N80=0, 0, SUM(O81:O82)*N80)</f>
        <v>0</v>
      </c>
      <c r="Q80" s="377"/>
      <c r="R80" s="379"/>
      <c r="S80" s="377"/>
      <c r="T80" s="379"/>
      <c r="U80" s="377"/>
      <c r="V80" s="379"/>
      <c r="W80" s="377"/>
      <c r="X80" s="379"/>
      <c r="Y80" s="377"/>
      <c r="Z80" s="379"/>
      <c r="AB80" s="377"/>
      <c r="AC80" s="379"/>
      <c r="AD80" s="379"/>
      <c r="AE80" s="363"/>
      <c r="AF80" s="729"/>
      <c r="AG80" s="730"/>
      <c r="AH80" s="731"/>
      <c r="AI80" s="363"/>
      <c r="AJ80" s="363"/>
      <c r="AK80" s="363"/>
      <c r="AL80" s="363"/>
      <c r="AM80" s="363"/>
      <c r="AN80" s="363"/>
    </row>
    <row r="81" spans="2:40" s="363" customFormat="1" ht="14.25" customHeight="1">
      <c r="B81" s="357"/>
      <c r="C81" s="357"/>
      <c r="D81" s="357"/>
      <c r="E81" s="268"/>
      <c r="F81" s="358" t="str">
        <f ca="1">IF($E81="", "", IFERROR(INDEX(OFFSET('Fund Guide'!$B$5,1,MATCH(F$8,OFFSET('Fund Guide'!$B$5,,,,COUNTA('Fund Guide'!74:74)),0)-1,COUNTA('Fund Guide'!$B:$B)-COUNTA('Fund Guide'!$B$2:$B$5)),MATCH($E81,OFFSET('Fund Guide'!$B$5,1,,COUNTA('Fund Guide'!$B:$B)-COUNTA('Fund Guide'!$B$2:$B$5)),0)),"-"))</f>
        <v/>
      </c>
      <c r="G81" s="359" t="str">
        <f ca="1">IF($E81="", "", IFERROR(INDEX(OFFSET('Fund Guide'!$B$5,1,MATCH(G$8,OFFSET('Fund Guide'!$B$5,,,,COUNTA('Fund Guide'!$5:$5)),0)-1,COUNTA('Fund Guide'!$B:$B)-COUNTA('Fund Guide'!$B$2:$B$5)),MATCH($E81,OFFSET('Fund Guide'!$B$5,1,,COUNTA('Fund Guide'!$B:$B)-COUNTA('Fund Guide'!$B$2:$B$5)),0)),
IFERROR(IF(OR(LEFT($E81,3)="NTN",LEFT($E81,3)="LFT"),DATE(_xlfn.NUMBERVALUE(RIGHT(LEFT($E81,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360" t="str">
        <f ca="1">IF($E81="", "", IFERROR(INDEX(OFFSET('Fund Guide'!$B$5,1,MATCH(H$8,OFFSET('Fund Guide'!$B$5,,,,COUNTA('Fund Guide'!#REF!)),0)-1,COUNTA('Fund Guide'!$B:$B)-COUNTA('Fund Guide'!$B$2:$B$5)),MATCH($E81,OFFSET('Fund Guide'!$B$5,1,,COUNTA('Fund Guide'!$B:$B)-COUNTA('Fund Guide'!$B$2:$B$5)),0)),IFERROR(OFFSET('RF &amp; RV Guide'!$E$8,2+MATCH($E81, OFFSET('RF &amp; RV Guide'!$E$8,3,,200), 0),-1+MATCH(H$8, OFFSET('RF &amp; RV Guide'!$E$8,,,,COUNTA('RF &amp; RV Guide'!$8:$8)-COUNTA('RF &amp; RV Guide'!$A$8:$E$8)),0)),"BRL")))</f>
        <v/>
      </c>
      <c r="I81" s="361"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Guide'!$E$8,3,,200), 0),-1+MATCH(I$8, OFFSET('RF &amp; RV Guide'!$E$8,,,,COUNTA('RF &amp; RV Guide'!$8:$8)-COUNTA('RF &amp; RV Guide'!$A$8:$E$8)),0)),IFERROR(IF(FIND("tulo",$E81), 0.25%), "-"))))</f>
        <v/>
      </c>
      <c r="J81" s="362" t="str" cm="1">
        <f t="array" aca="1" ref="J81" ca="1">IF($E81="", "", IFERROR(INDEX(OFFSET('Fund Guide'!$B$5,1,MATCH(J$8,OFFSET('Fund Guide'!$B$5,,,,COUNTA('Fund Guide'!$5:$5)),0)-1,COUNTA('Fund Guide'!$B:$B)-COUNTA('Fund Guide'!$B$2:$B$5)),MATCH($E81,OFFSET('Fund Guide'!$B$5,1,,COUNTA('Fund Guide'!$B:$B)-COUNTA('Fund Guide'!$B$2:$B$5)),0)),
IFERROR(INDEX(OFFSET('RF &amp; RV Guide'!$X$10,1, , 100),MATCH(IF(FIND("(", $E81)&gt;0, LEFT($E81, FIND("(", $E81)-1),), IFERROR(IF(FIND("(", OFFSET('RF &amp; RV Guide'!$E$10,1,,200))&gt;0, LEFT(OFFSET('RF &amp; RV Guide'!$E$10,1,,200), FIND("(", $E81)-1),),"-"),0)),
IFERROR(INDEX(OFFSET('RF &amp; RV Guide'!$X$10,1, , 100),MATCH($E81, OFFSET('RF &amp; RV Guide'!$E$10,1,,200),0)),"-"))))</f>
        <v/>
      </c>
      <c r="K81" s="362"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M81" s="364" t="str">
        <f>IFERROR(IF(N81=0, "", N81*$M$3),0)</f>
        <v/>
      </c>
      <c r="N81" s="198"/>
      <c r="O81" s="380" t="str">
        <f>IFERROR(IF(N81=0, "", N81/N$80),0)</f>
        <v/>
      </c>
      <c r="Q81" s="687" t="str">
        <f ca="1">IF($E81="", "", IFERROR(INDEX(OFFSET('Fund Guide'!$B$5,1,MATCH(Q$8,OFFSET('Fund Guide'!$B$5,,,,COUNTA('Fund Guide'!74:74)),0)-1,COUNTA('Fund Guide'!$B:$B)-COUNTA('Fund Guide'!$B$2:$B$5)),MATCH($E81,OFFSET('Fund Guide'!$B$5,1,,COUNTA('Fund Guide'!$B:$B)-COUNTA('Fund Guide'!$B$2:$B$5)),0)),0))</f>
        <v/>
      </c>
      <c r="R81" s="683" t="str">
        <f ca="1">IF($E81="", "", IFERROR(INDEX(OFFSET('Fund Guide'!$B$5,1,MATCH(R$8,OFFSET('Fund Guide'!$B$5,,,,COUNTA('Fund Guide'!74:74)),0)-1,COUNTA('Fund Guide'!$B:$B)-COUNTA('Fund Guide'!$B$2:$B$5)),MATCH($E81,OFFSET('Fund Guide'!$B$5,1,,COUNTA('Fund Guide'!$B:$B)-COUNTA('Fund Guide'!$B$2:$B$5)),0)),0))</f>
        <v/>
      </c>
      <c r="S81" s="687" t="str">
        <f ca="1">IF($E81="", "", IFERROR(INDEX(OFFSET('Fund Guide'!$B$5,1,MATCH(S$8,OFFSET('Fund Guide'!$B$5,,,,COUNTA('Fund Guide'!74:74)),0)-1,COUNTA('Fund Guide'!$B:$B)-COUNTA('Fund Guide'!$B$2:$B$5)),MATCH($E81,OFFSET('Fund Guide'!$B$5,1,,COUNTA('Fund Guide'!$B:$B)-COUNTA('Fund Guide'!$B$2:$B$5)),0)),0))</f>
        <v/>
      </c>
      <c r="T81" s="683" t="str">
        <f ca="1">IF($E81="", "", IFERROR(INDEX(OFFSET('Fund Guide'!$B$5,1,MATCH(T$8,OFFSET('Fund Guide'!$B$5,,,,COUNTA('Fund Guide'!74:74)),0)-1,COUNTA('Fund Guide'!$B:$B)-COUNTA('Fund Guide'!$B$2:$B$5)),MATCH($E81,OFFSET('Fund Guide'!$B$5,1,,COUNTA('Fund Guide'!$B:$B)-COUNTA('Fund Guide'!$B$2:$B$5)),0)),0))</f>
        <v/>
      </c>
      <c r="U81" s="687" t="str">
        <f ca="1">IF($E81="", "", IFERROR(INDEX(OFFSET('Fund Guide'!$B$5,1,MATCH(U$8,OFFSET('Fund Guide'!$B$5,,,,COUNTA('Fund Guide'!74:74)),0)-1,COUNTA('Fund Guide'!$B:$B)-COUNTA('Fund Guide'!$B$2:$B$5)),MATCH($E81,OFFSET('Fund Guide'!$B$5,1,,COUNTA('Fund Guide'!$B:$B)-COUNTA('Fund Guide'!$B$2:$B$5)),0)),0))</f>
        <v/>
      </c>
      <c r="V81" s="683" t="str">
        <f ca="1">IF($E81="", "", IFERROR(INDEX(OFFSET('Fund Guide'!$B$5,1,MATCH(V$8,OFFSET('Fund Guide'!$B$5,,,,COUNTA('Fund Guide'!74:74)),0)-1,COUNTA('Fund Guide'!$B:$B)-COUNTA('Fund Guide'!$B$2:$B$5)),MATCH($E81,OFFSET('Fund Guide'!$B$5,1,,COUNTA('Fund Guide'!$B:$B)-COUNTA('Fund Guide'!$B$2:$B$5)),0)),0))</f>
        <v/>
      </c>
      <c r="W81" s="687" t="str">
        <f ca="1">IF($E81="", "", IFERROR(INDEX(OFFSET('Fund Guide'!$B$5,1,MATCH(W$8,OFFSET('Fund Guide'!$B$5,,,,COUNTA('Fund Guide'!74:74)),0)-1,COUNTA('Fund Guide'!$B:$B)-COUNTA('Fund Guide'!$B$2:$B$5)),MATCH($E81,OFFSET('Fund Guide'!$B$5,1,,COUNTA('Fund Guide'!$B:$B)-COUNTA('Fund Guide'!$B$2:$B$5)),0)),0))</f>
        <v/>
      </c>
      <c r="X81" s="683" t="str">
        <f ca="1">IF($E81="", "", IFERROR(INDEX(OFFSET('Fund Guide'!$B$5,1,MATCH(X$8,OFFSET('Fund Guide'!$B$5,,,,COUNTA('Fund Guide'!74:74)),0)-1,COUNTA('Fund Guide'!$B:$B)-COUNTA('Fund Guide'!$B$2:$B$5)),MATCH($E81,OFFSET('Fund Guide'!$B$5,1,,COUNTA('Fund Guide'!$B:$B)-COUNTA('Fund Guide'!$B$2:$B$5)),0)),0))</f>
        <v/>
      </c>
      <c r="Y81" s="684" t="str">
        <f ca="1">IF($E81="", "", IFERROR(INDEX(OFFSET('Fund Guide'!$B$5,1,MATCH(Y$8,OFFSET('Fund Guide'!$B$5,,,,COUNTA('Fund Guide'!74:74)),0)-1,COUNTA('Fund Guide'!$B:$B)-COUNTA('Fund Guide'!$B$2:$B$5)),MATCH($E81,OFFSET('Fund Guide'!$B$5,1,,COUNTA('Fund Guide'!$B:$B)-COUNTA('Fund Guide'!$B$2:$B$5)),0)),0))</f>
        <v/>
      </c>
      <c r="Z81" s="685" t="str">
        <f ca="1">IF($E81="", "", IFERROR(INDEX(OFFSET('Fund Guide'!$B$5,1,MATCH(Z$8,OFFSET('Fund Guide'!$B$5,,,,COUNTA('Fund Guide'!74:74)),0)-1,COUNTA('Fund Guide'!$B:$B)-COUNTA('Fund Guide'!$B$2:$B$5)),MATCH($E81,OFFSET('Fund Guide'!$B$5,1,,COUNTA('Fund Guide'!$B:$B)-COUNTA('Fund Guide'!$B$2:$B$5)),0)),0))</f>
        <v/>
      </c>
      <c r="AB81" s="199"/>
      <c r="AC81" s="199"/>
      <c r="AD81" s="198"/>
      <c r="AE81" s="331"/>
      <c r="AF81" s="729"/>
      <c r="AG81" s="730"/>
      <c r="AH81" s="731"/>
      <c r="AI81" s="728" t="b">
        <f t="shared" ref="AI81" ca="1" si="22">OR(AND($J81&gt;$Y$2, $J81&lt;&gt;"-", $J81&lt;&gt;"", $AB81="", $AC81="", $AD81=""),AND($F81&lt;&gt;"-", $Q81=0, $AB81="", $AC81="", $AD81=""), AND(RIGHT($E81,6)="B.Side", $Q81=0, $AB81="", $AC81="", $AD81=""))</f>
        <v>0</v>
      </c>
      <c r="AJ81" s="331"/>
      <c r="AK81" s="331"/>
      <c r="AL81" s="331"/>
      <c r="AM81" s="331"/>
      <c r="AN81" s="331"/>
    </row>
    <row r="82" spans="2:40" s="331" customFormat="1" ht="4.5" customHeight="1">
      <c r="B82" s="329"/>
      <c r="C82" s="329"/>
      <c r="D82" s="329"/>
      <c r="E82" s="340"/>
      <c r="F82" s="367"/>
      <c r="G82" s="341"/>
      <c r="H82" s="341"/>
      <c r="I82" s="342"/>
      <c r="J82" s="342"/>
      <c r="K82" s="342"/>
      <c r="M82" s="351"/>
      <c r="Q82" s="342"/>
      <c r="S82" s="342"/>
      <c r="U82" s="342"/>
      <c r="W82" s="342"/>
      <c r="Y82" s="342"/>
      <c r="AB82" s="342"/>
      <c r="AE82" s="347"/>
      <c r="AF82" s="729"/>
      <c r="AG82" s="730"/>
      <c r="AH82" s="731"/>
      <c r="AI82" s="347"/>
      <c r="AJ82" s="347"/>
      <c r="AK82" s="347"/>
      <c r="AL82" s="347"/>
      <c r="AM82" s="347"/>
      <c r="AN82" s="347"/>
    </row>
    <row r="83" spans="2:40" s="347" customFormat="1" ht="14.25" customHeight="1">
      <c r="B83" s="343"/>
      <c r="C83" s="343"/>
      <c r="D83" s="343" t="s">
        <v>12</v>
      </c>
      <c r="E83" s="375" t="s">
        <v>696</v>
      </c>
      <c r="F83" s="376"/>
      <c r="G83" s="376"/>
      <c r="H83" s="376"/>
      <c r="I83" s="377"/>
      <c r="J83" s="377"/>
      <c r="K83" s="377"/>
      <c r="M83" s="378">
        <f>IFERROR(IF(N83=0, 0, N83*$M$3),0)</f>
        <v>0</v>
      </c>
      <c r="N83" s="490"/>
      <c r="O83" s="379">
        <f>IF(N83=0, 0, SUM(O84:O85)*N83)</f>
        <v>0</v>
      </c>
      <c r="Q83" s="377"/>
      <c r="R83" s="379"/>
      <c r="S83" s="377"/>
      <c r="T83" s="379"/>
      <c r="U83" s="377"/>
      <c r="V83" s="379"/>
      <c r="W83" s="377"/>
      <c r="X83" s="379"/>
      <c r="Y83" s="377"/>
      <c r="Z83" s="379"/>
      <c r="AB83" s="377"/>
      <c r="AC83" s="379"/>
      <c r="AD83" s="379"/>
      <c r="AE83" s="363"/>
      <c r="AF83" s="729"/>
      <c r="AG83" s="730"/>
      <c r="AH83" s="731"/>
      <c r="AI83" s="363"/>
      <c r="AJ83" s="363"/>
      <c r="AK83" s="363"/>
      <c r="AL83" s="363"/>
      <c r="AM83" s="363"/>
      <c r="AN83" s="363"/>
    </row>
    <row r="84" spans="2:40" s="363" customFormat="1" ht="14.25" customHeight="1">
      <c r="B84" s="357"/>
      <c r="C84" s="357"/>
      <c r="D84" s="357"/>
      <c r="E84" s="268"/>
      <c r="F84" s="358" t="str">
        <f ca="1">IF($E84="", "", IFERROR(INDEX(OFFSET('Fund Guide'!$B$5,1,MATCH(F$8,OFFSET('Fund Guide'!$B$5,,,,COUNTA('Fund Guide'!77:77)),0)-1,COUNTA('Fund Guide'!$B:$B)-COUNTA('Fund Guide'!$B$2:$B$5)),MATCH($E84,OFFSET('Fund Guide'!$B$5,1,,COUNTA('Fund Guide'!$B:$B)-COUNTA('Fund Guide'!$B$2:$B$5)),0)),"-"))</f>
        <v/>
      </c>
      <c r="G84" s="359" t="str">
        <f ca="1">IF($E84="", "", IFERROR(INDEX(OFFSET('Fund Guide'!$B$5,1,MATCH(G$8,OFFSET('Fund Guide'!$B$5,,,,COUNTA('Fund Guide'!$5:$5)),0)-1,COUNTA('Fund Guide'!$B:$B)-COUNTA('Fund Guide'!$B$2:$B$5)),MATCH($E84,OFFSET('Fund Guide'!$B$5,1,,COUNTA('Fund Guide'!$B:$B)-COUNTA('Fund Guide'!$B$2:$B$5)),0)),
IFERROR(IF(OR(LEFT($E84,3)="NTN",LEFT($E84,3)="LFT"),DATE(_xlfn.NUMBERVALUE(RIGHT(LEFT($E84,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360" t="str">
        <f ca="1">IF($E84="", "", IFERROR(INDEX(OFFSET('Fund Guide'!$B$5,1,MATCH(H$8,OFFSET('Fund Guide'!$B$5,,,,COUNTA('Fund Guide'!#REF!)),0)-1,COUNTA('Fund Guide'!$B:$B)-COUNTA('Fund Guide'!$B$2:$B$5)),MATCH($E84,OFFSET('Fund Guide'!$B$5,1,,COUNTA('Fund Guide'!$B:$B)-COUNTA('Fund Guide'!$B$2:$B$5)),0)),IFERROR(OFFSET('RF &amp; RV Guide'!$E$8,2+MATCH($E84, OFFSET('RF &amp; RV Guide'!$E$8,3,,200), 0),-1+MATCH(H$8, OFFSET('RF &amp; RV Guide'!$E$8,,,,COUNTA('RF &amp; RV Guide'!$8:$8)-COUNTA('RF &amp; RV Guide'!$A$8:$E$8)),0)),"BRL")))</f>
        <v/>
      </c>
      <c r="I84" s="361" t="str">
        <f ca="1">IF($E84="", "", IFERROR(INDEX(OFFSET('Fund Guide'!$B$5,1,MATCH("Repasse Taxa Adm. Gestor",OFFSET('Fund Guide'!$B$5,,,,COUNTA('Fund Guide'!$5:$5)),0)-1,COUNTA('Fund Guide'!$B:$B)-COUNTA('Fund Guide'!$B$2:$B$5)),MATCH($E84,OFFSET('Fund Guide'!$B$5,1,,COUNTA('Fund Guide'!$B:$B)-COUNTA('Fund Guide'!$B$2:$B$5)),0)),
IFERROR(OFFSET('RF &amp; RV Guide'!$E$8,2+MATCH($E84, OFFSET('RF &amp; RV Guide'!$E$8,3,,200), 0),-1+MATCH(I$8, OFFSET('RF &amp; RV Guide'!$E$8,,,,COUNTA('RF &amp; RV Guide'!$8:$8)-COUNTA('RF &amp; RV Guide'!$A$8:$E$8)),0)),IFERROR(IF(FIND("tulo",$E84), 0.25%), "-"))))</f>
        <v/>
      </c>
      <c r="J84" s="362" t="str" cm="1">
        <f t="array" aca="1" ref="J84" ca="1">IF($E84="", "", IFERROR(INDEX(OFFSET('Fund Guide'!$B$5,1,MATCH(J$8,OFFSET('Fund Guide'!$B$5,,,,COUNTA('Fund Guide'!$5:$5)),0)-1,COUNTA('Fund Guide'!$B:$B)-COUNTA('Fund Guide'!$B$2:$B$5)),MATCH($E84,OFFSET('Fund Guide'!$B$5,1,,COUNTA('Fund Guide'!$B:$B)-COUNTA('Fund Guide'!$B$2:$B$5)),0)),
IFERROR(INDEX(OFFSET('RF &amp; RV Guide'!$X$10,1, , 100),MATCH(IF(FIND("(", $E84)&gt;0, LEFT($E84, FIND("(", $E84)-1),), IFERROR(IF(FIND("(", OFFSET('RF &amp; RV Guide'!$E$10,1,,200))&gt;0, LEFT(OFFSET('RF &amp; RV Guide'!$E$10,1,,200), FIND("(", $E84)-1),),"-"),0)),
IFERROR(INDEX(OFFSET('RF &amp; RV Guide'!$X$10,1, , 100),MATCH($E84, OFFSET('RF &amp; RV Guide'!$E$10,1,,200),0)),"-"))))</f>
        <v/>
      </c>
      <c r="K84" s="362"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
      </c>
      <c r="M84" s="364" t="str">
        <f>IFERROR(IF(N84=0, "", N84*$M$3),0)</f>
        <v/>
      </c>
      <c r="N84" s="198"/>
      <c r="O84" s="380" t="str">
        <f>IFERROR(IF(N84=0, "", N84/N$83),0)</f>
        <v/>
      </c>
      <c r="Q84" s="687" t="str">
        <f ca="1">IF($E84="", "", IFERROR(INDEX(OFFSET('Fund Guide'!$B$5,1,MATCH(Q$8,OFFSET('Fund Guide'!$B$5,,,,COUNTA('Fund Guide'!77:77)),0)-1,COUNTA('Fund Guide'!$B:$B)-COUNTA('Fund Guide'!$B$2:$B$5)),MATCH($E84,OFFSET('Fund Guide'!$B$5,1,,COUNTA('Fund Guide'!$B:$B)-COUNTA('Fund Guide'!$B$2:$B$5)),0)),0))</f>
        <v/>
      </c>
      <c r="R84" s="683" t="str">
        <f ca="1">IF($E84="", "", IFERROR(INDEX(OFFSET('Fund Guide'!$B$5,1,MATCH(R$8,OFFSET('Fund Guide'!$B$5,,,,COUNTA('Fund Guide'!77:77)),0)-1,COUNTA('Fund Guide'!$B:$B)-COUNTA('Fund Guide'!$B$2:$B$5)),MATCH($E84,OFFSET('Fund Guide'!$B$5,1,,COUNTA('Fund Guide'!$B:$B)-COUNTA('Fund Guide'!$B$2:$B$5)),0)),0))</f>
        <v/>
      </c>
      <c r="S84" s="687" t="str">
        <f ca="1">IF($E84="", "", IFERROR(INDEX(OFFSET('Fund Guide'!$B$5,1,MATCH(S$8,OFFSET('Fund Guide'!$B$5,,,,COUNTA('Fund Guide'!77:77)),0)-1,COUNTA('Fund Guide'!$B:$B)-COUNTA('Fund Guide'!$B$2:$B$5)),MATCH($E84,OFFSET('Fund Guide'!$B$5,1,,COUNTA('Fund Guide'!$B:$B)-COUNTA('Fund Guide'!$B$2:$B$5)),0)),0))</f>
        <v/>
      </c>
      <c r="T84" s="683" t="str">
        <f ca="1">IF($E84="", "", IFERROR(INDEX(OFFSET('Fund Guide'!$B$5,1,MATCH(T$8,OFFSET('Fund Guide'!$B$5,,,,COUNTA('Fund Guide'!77:77)),0)-1,COUNTA('Fund Guide'!$B:$B)-COUNTA('Fund Guide'!$B$2:$B$5)),MATCH($E84,OFFSET('Fund Guide'!$B$5,1,,COUNTA('Fund Guide'!$B:$B)-COUNTA('Fund Guide'!$B$2:$B$5)),0)),0))</f>
        <v/>
      </c>
      <c r="U84" s="687" t="str">
        <f ca="1">IF($E84="", "", IFERROR(INDEX(OFFSET('Fund Guide'!$B$5,1,MATCH(U$8,OFFSET('Fund Guide'!$B$5,,,,COUNTA('Fund Guide'!77:77)),0)-1,COUNTA('Fund Guide'!$B:$B)-COUNTA('Fund Guide'!$B$2:$B$5)),MATCH($E84,OFFSET('Fund Guide'!$B$5,1,,COUNTA('Fund Guide'!$B:$B)-COUNTA('Fund Guide'!$B$2:$B$5)),0)),0))</f>
        <v/>
      </c>
      <c r="V84" s="683" t="str">
        <f ca="1">IF($E84="", "", IFERROR(INDEX(OFFSET('Fund Guide'!$B$5,1,MATCH(V$8,OFFSET('Fund Guide'!$B$5,,,,COUNTA('Fund Guide'!77:77)),0)-1,COUNTA('Fund Guide'!$B:$B)-COUNTA('Fund Guide'!$B$2:$B$5)),MATCH($E84,OFFSET('Fund Guide'!$B$5,1,,COUNTA('Fund Guide'!$B:$B)-COUNTA('Fund Guide'!$B$2:$B$5)),0)),0))</f>
        <v/>
      </c>
      <c r="W84" s="687" t="str">
        <f ca="1">IF($E84="", "", IFERROR(INDEX(OFFSET('Fund Guide'!$B$5,1,MATCH(W$8,OFFSET('Fund Guide'!$B$5,,,,COUNTA('Fund Guide'!77:77)),0)-1,COUNTA('Fund Guide'!$B:$B)-COUNTA('Fund Guide'!$B$2:$B$5)),MATCH($E84,OFFSET('Fund Guide'!$B$5,1,,COUNTA('Fund Guide'!$B:$B)-COUNTA('Fund Guide'!$B$2:$B$5)),0)),0))</f>
        <v/>
      </c>
      <c r="X84" s="683" t="str">
        <f ca="1">IF($E84="", "", IFERROR(INDEX(OFFSET('Fund Guide'!$B$5,1,MATCH(X$8,OFFSET('Fund Guide'!$B$5,,,,COUNTA('Fund Guide'!77:77)),0)-1,COUNTA('Fund Guide'!$B:$B)-COUNTA('Fund Guide'!$B$2:$B$5)),MATCH($E84,OFFSET('Fund Guide'!$B$5,1,,COUNTA('Fund Guide'!$B:$B)-COUNTA('Fund Guide'!$B$2:$B$5)),0)),0))</f>
        <v/>
      </c>
      <c r="Y84" s="684" t="str">
        <f ca="1">IF($E84="", "", IFERROR(INDEX(OFFSET('Fund Guide'!$B$5,1,MATCH(Y$8,OFFSET('Fund Guide'!$B$5,,,,COUNTA('Fund Guide'!77:77)),0)-1,COUNTA('Fund Guide'!$B:$B)-COUNTA('Fund Guide'!$B$2:$B$5)),MATCH($E84,OFFSET('Fund Guide'!$B$5,1,,COUNTA('Fund Guide'!$B:$B)-COUNTA('Fund Guide'!$B$2:$B$5)),0)),0))</f>
        <v/>
      </c>
      <c r="Z84" s="685" t="str">
        <f ca="1">IF($E84="", "", IFERROR(INDEX(OFFSET('Fund Guide'!$B$5,1,MATCH(Z$8,OFFSET('Fund Guide'!$B$5,,,,COUNTA('Fund Guide'!77:77)),0)-1,COUNTA('Fund Guide'!$B:$B)-COUNTA('Fund Guide'!$B$2:$B$5)),MATCH($E84,OFFSET('Fund Guide'!$B$5,1,,COUNTA('Fund Guide'!$B:$B)-COUNTA('Fund Guide'!$B$2:$B$5)),0)),0))</f>
        <v/>
      </c>
      <c r="AB84" s="199"/>
      <c r="AC84" s="199"/>
      <c r="AD84" s="198"/>
      <c r="AE84" s="331"/>
      <c r="AF84" s="729"/>
      <c r="AG84" s="730"/>
      <c r="AH84" s="731"/>
      <c r="AI84" s="728" t="b">
        <f t="shared" ref="AI84" ca="1" si="23">OR(AND($J84&gt;$Y$2, $J84&lt;&gt;"-", $J84&lt;&gt;"", $AB84="", $AC84="", $AD84=""),AND($F84&lt;&gt;"-", $Q84=0, $AB84="", $AC84="", $AD84=""), AND(RIGHT($E84,6)="B.Side", $Q84=0, $AB84="", $AC84="", $AD84=""))</f>
        <v>0</v>
      </c>
      <c r="AJ84" s="331"/>
      <c r="AK84" s="331"/>
      <c r="AL84" s="331"/>
      <c r="AM84" s="331"/>
      <c r="AN84" s="331"/>
    </row>
    <row r="85" spans="2:40" s="331" customFormat="1" ht="4.5" customHeight="1">
      <c r="B85" s="329"/>
      <c r="C85" s="329"/>
      <c r="D85" s="329"/>
      <c r="F85" s="387"/>
      <c r="O85" s="331" t="str">
        <f>IFERROR(IF(N85=0, "", N85/N$83),0)</f>
        <v/>
      </c>
      <c r="AE85" s="347"/>
      <c r="AF85" s="347"/>
      <c r="AG85" s="347"/>
      <c r="AH85" s="347"/>
      <c r="AI85" s="347"/>
      <c r="AJ85" s="347"/>
      <c r="AK85" s="347"/>
      <c r="AL85" s="347"/>
      <c r="AM85" s="347"/>
      <c r="AN85" s="347"/>
    </row>
    <row r="86" spans="2:40" s="347" customFormat="1" ht="18" customHeight="1">
      <c r="B86" s="343" t="s">
        <v>1343</v>
      </c>
      <c r="C86" s="343" t="s">
        <v>1343</v>
      </c>
      <c r="D86" s="343" t="s">
        <v>1343</v>
      </c>
      <c r="E86" s="388" t="s">
        <v>1407</v>
      </c>
      <c r="F86" s="732" t="s">
        <v>12</v>
      </c>
      <c r="G86" s="350"/>
      <c r="H86" s="349">
        <f ca="1">SUMIF($H$13:$H$85,"="&amp;"USD", $N$13:$N$85)</f>
        <v>0</v>
      </c>
      <c r="I86" s="349">
        <f ca="1">SUMPRODUCT($I$13:$I$85,$N$13:$N$85)</f>
        <v>0</v>
      </c>
      <c r="J86" s="350"/>
      <c r="K86" s="350"/>
      <c r="M86" s="389">
        <f>M56+M40+M10</f>
        <v>0</v>
      </c>
      <c r="N86" s="350">
        <f>N56+N40+N10</f>
        <v>0</v>
      </c>
      <c r="O86" s="350">
        <f>O56+O40+O10</f>
        <v>0</v>
      </c>
      <c r="Q86" s="350"/>
      <c r="R86" s="350"/>
      <c r="S86" s="350"/>
      <c r="T86" s="350"/>
      <c r="U86" s="350"/>
      <c r="V86" s="350"/>
      <c r="W86" s="350"/>
      <c r="X86" s="350"/>
      <c r="Y86" s="350"/>
      <c r="Z86" s="350"/>
      <c r="AB86" s="350"/>
      <c r="AC86" s="350"/>
      <c r="AD86" s="350"/>
      <c r="AE86" s="61"/>
      <c r="AF86" s="61"/>
      <c r="AG86" s="61"/>
      <c r="AH86" s="61"/>
      <c r="AI86" s="61"/>
      <c r="AJ86" s="61"/>
      <c r="AK86" s="61"/>
      <c r="AL86" s="61"/>
      <c r="AM86" s="61"/>
      <c r="AN86" s="61"/>
    </row>
    <row r="87" spans="2:40" s="61" customFormat="1" ht="18.75" customHeight="1">
      <c r="B87" s="390"/>
      <c r="C87" s="390"/>
      <c r="D87" s="391"/>
      <c r="F87" s="392"/>
      <c r="G87" s="392"/>
      <c r="M87" s="392"/>
      <c r="N87" s="393"/>
      <c r="O87" s="392"/>
      <c r="Q87" s="392"/>
      <c r="S87" s="392"/>
      <c r="U87" s="392"/>
      <c r="W87" s="392"/>
      <c r="Y87" s="392"/>
      <c r="AE87" s="331"/>
      <c r="AF87" s="331"/>
      <c r="AG87" s="331"/>
      <c r="AH87" s="331"/>
      <c r="AI87" s="331"/>
      <c r="AJ87" s="331"/>
      <c r="AK87" s="331"/>
      <c r="AL87" s="331"/>
      <c r="AM87" s="331"/>
      <c r="AN87" s="331"/>
    </row>
    <row r="88" spans="2:40" s="331" customFormat="1">
      <c r="B88" s="329"/>
      <c r="C88" s="329"/>
      <c r="D88" s="329"/>
      <c r="E88" s="340"/>
      <c r="F88" s="341"/>
      <c r="G88" s="341"/>
      <c r="H88" s="341"/>
      <c r="I88" s="342"/>
      <c r="M88" s="394"/>
      <c r="N88" s="395"/>
      <c r="O88" s="394"/>
      <c r="Q88" s="394"/>
      <c r="S88" s="394"/>
      <c r="U88" s="394"/>
      <c r="W88" s="394"/>
      <c r="Y88" s="394"/>
      <c r="AE88" s="400"/>
      <c r="AF88" s="400"/>
      <c r="AG88" s="400"/>
      <c r="AH88" s="400"/>
      <c r="AI88" s="400"/>
      <c r="AJ88" s="400"/>
      <c r="AK88" s="400"/>
      <c r="AL88" s="400"/>
      <c r="AM88" s="400"/>
      <c r="AN88" s="400"/>
    </row>
  </sheetData>
  <mergeCells count="10">
    <mergeCell ref="E2:E4"/>
    <mergeCell ref="AB6:AD6"/>
    <mergeCell ref="M6:O6"/>
    <mergeCell ref="Q6:Z6"/>
    <mergeCell ref="AD1:AE1"/>
    <mergeCell ref="AD2:AE2"/>
    <mergeCell ref="AD3:AH4"/>
    <mergeCell ref="L2:M2"/>
    <mergeCell ref="F6:J6"/>
    <mergeCell ref="U3:V3"/>
  </mergeCells>
  <conditionalFormatting sqref="O10 O42 O56 O69 O40 O58 O45 O26 O15 O12 O17 O20 O23 O31 O34 O47 O50 O53 O60 O63 O66 O71 O74 O77 O80 O83">
    <cfRule type="expression" dxfId="1182" priority="538">
      <formula>ROUND(O10,4)&lt;&gt;ROUND(N10,4)</formula>
    </cfRule>
  </conditionalFormatting>
  <conditionalFormatting sqref="AA15:AD15 AA26:AD26 AA42:AD42 AA45:AD45 AA58:AD58 AA69:AD69 AA74:AD74 AA77:AD77 AA80:AD80 AA20:AD20 AA23:AD23 AA12:AD12 F74:L74 F77:L77 F80:L80 F20:L20 F23:L23 F12:M12 F15:M15 F26:M26 F42:M42 F45:M45 F58:M58 F69:M69">
    <cfRule type="expression" dxfId="1181" priority="177">
      <formula>F12&lt;&gt;#REF!</formula>
    </cfRule>
  </conditionalFormatting>
  <conditionalFormatting sqref="Q15:Z15 Q26:Z26 Q42:Z42 Q45:Z45 Q58:Z58 Q69:Z69 Q74:Z74 Q77:Z77 Q80:Z80 Q20:Z20 Q23:Z23 Q12:Z12">
    <cfRule type="expression" dxfId="1180" priority="175">
      <formula>Q12&lt;&gt;P12</formula>
    </cfRule>
  </conditionalFormatting>
  <conditionalFormatting sqref="O12">
    <cfRule type="expression" dxfId="1179" priority="149">
      <formula>O12&lt;&gt;N12</formula>
    </cfRule>
  </conditionalFormatting>
  <conditionalFormatting sqref="N21">
    <cfRule type="expression" dxfId="1178" priority="137">
      <formula>AND(N21&lt;&gt;"",#REF!="",OR(COLUMN(N21)=COLUMN(#REF!),COLUMN(N21)=COLUMN(#REF!)))</formula>
    </cfRule>
  </conditionalFormatting>
  <conditionalFormatting sqref="N43">
    <cfRule type="expression" dxfId="1177" priority="127">
      <formula>AND(N43&lt;&gt;"",#REF!="",OR(COLUMN(N43)=COLUMN(#REF!),COLUMN(N43)=COLUMN(#REF!)))</formula>
    </cfRule>
  </conditionalFormatting>
  <conditionalFormatting sqref="P15 P26 P42 P45 P58 P69 P74 P77 P80 P20 P23 P12">
    <cfRule type="expression" dxfId="1176" priority="96">
      <formula>P12&lt;&gt;#REF!</formula>
    </cfRule>
  </conditionalFormatting>
  <conditionalFormatting sqref="N24">
    <cfRule type="expression" dxfId="1175" priority="94">
      <formula>AND(N24&lt;&gt;"",#REF!="",OR(COLUMN(N24)=COLUMN(#REF!),COLUMN(N24)=COLUMN(#REF!)))</formula>
    </cfRule>
  </conditionalFormatting>
  <conditionalFormatting sqref="N32">
    <cfRule type="expression" dxfId="1174" priority="88">
      <formula>AND(N32&lt;&gt;"",#REF!="",OR(COLUMN(N32)=COLUMN(#REF!),COLUMN(N32)=COLUMN(#REF!)))</formula>
    </cfRule>
  </conditionalFormatting>
  <conditionalFormatting sqref="N51">
    <cfRule type="expression" dxfId="1173" priority="82">
      <formula>AND(N51&lt;&gt;"",#REF!="",OR(COLUMN(N51)=COLUMN(#REF!),COLUMN(N51)=COLUMN(#REF!)))</formula>
    </cfRule>
  </conditionalFormatting>
  <conditionalFormatting sqref="N54">
    <cfRule type="expression" dxfId="1172" priority="80">
      <formula>AND(N54&lt;&gt;"",#REF!="",OR(COLUMN(N54)=COLUMN(#REF!),COLUMN(N54)=COLUMN(#REF!)))</formula>
    </cfRule>
  </conditionalFormatting>
  <conditionalFormatting sqref="N64 E43 E13">
    <cfRule type="expression" dxfId="1171" priority="74">
      <formula>AND(E13&lt;&gt;"",#REF!="",OR(COLUMN(E13)=COLUMN(#REF!),COLUMN(E13)=COLUMN(#REF!)))</formula>
    </cfRule>
  </conditionalFormatting>
  <conditionalFormatting sqref="N67 N75 E75">
    <cfRule type="expression" dxfId="1170" priority="72">
      <formula>AND(E67&lt;&gt;"",#REF!="",OR(COLUMN(E67)=COLUMN(#REF!),COLUMN(E67)=COLUMN(#REF!)))</formula>
    </cfRule>
  </conditionalFormatting>
  <conditionalFormatting sqref="N78">
    <cfRule type="expression" dxfId="1169" priority="66">
      <formula>AND(N78&lt;&gt;"",#REF!="",OR(COLUMN(N78)=COLUMN(#REF!),COLUMN(N78)=COLUMN(#REF!)))</formula>
    </cfRule>
  </conditionalFormatting>
  <conditionalFormatting sqref="N81 N84">
    <cfRule type="expression" dxfId="1168" priority="64">
      <formula>AND(N81&lt;&gt;"",#REF!="",OR(COLUMN(N81)=COLUMN(#REF!),COLUMN(N81)=COLUMN(#REF!)))</formula>
    </cfRule>
  </conditionalFormatting>
  <conditionalFormatting sqref="AA17:AD17 F17:L17">
    <cfRule type="expression" dxfId="1167" priority="62">
      <formula>F17&lt;&gt;#REF!</formula>
    </cfRule>
  </conditionalFormatting>
  <conditionalFormatting sqref="Q17:Z17">
    <cfRule type="expression" dxfId="1166" priority="61">
      <formula>Q17&lt;&gt;P17</formula>
    </cfRule>
  </conditionalFormatting>
  <conditionalFormatting sqref="P17">
    <cfRule type="expression" dxfId="1165" priority="59">
      <formula>P17&lt;&gt;#REF!</formula>
    </cfRule>
  </conditionalFormatting>
  <conditionalFormatting sqref="N48">
    <cfRule type="expression" dxfId="1164" priority="57">
      <formula>AND(N48&lt;&gt;"",#REF!="",OR(COLUMN(N48)=COLUMN(#REF!),COLUMN(N48)=COLUMN(#REF!)))</formula>
    </cfRule>
  </conditionalFormatting>
  <conditionalFormatting sqref="N61">
    <cfRule type="expression" dxfId="1163" priority="55">
      <formula>AND(N61&lt;&gt;"",#REF!="",OR(COLUMN(N61)=COLUMN(#REF!),COLUMN(N61)=COLUMN(#REF!)))</formula>
    </cfRule>
  </conditionalFormatting>
  <conditionalFormatting sqref="AA71:AD71 F71:L71">
    <cfRule type="expression" dxfId="1162" priority="53">
      <formula>F71&lt;&gt;#REF!</formula>
    </cfRule>
  </conditionalFormatting>
  <conditionalFormatting sqref="Q71:Z71">
    <cfRule type="expression" dxfId="1161" priority="52">
      <formula>Q71&lt;&gt;P71</formula>
    </cfRule>
  </conditionalFormatting>
  <conditionalFormatting sqref="P71">
    <cfRule type="expression" dxfId="1160" priority="51">
      <formula>P71&lt;&gt;#REF!</formula>
    </cfRule>
  </conditionalFormatting>
  <conditionalFormatting sqref="N72">
    <cfRule type="expression" dxfId="1159" priority="50">
      <formula>AND(N72&lt;&gt;"",#REF!="",OR(COLUMN(N72)=COLUMN(#REF!),COLUMN(N72)=COLUMN(#REF!)))</formula>
    </cfRule>
  </conditionalFormatting>
  <conditionalFormatting sqref="N29">
    <cfRule type="expression" dxfId="1158" priority="48">
      <formula>AND(N29&lt;&gt;"",#REF!="",OR(COLUMN(N29)=COLUMN(#REF!),COLUMN(N29)=COLUMN(#REF!)))</formula>
    </cfRule>
  </conditionalFormatting>
  <conditionalFormatting sqref="E21 N13">
    <cfRule type="expression" dxfId="1157" priority="44">
      <formula>AND(E13&lt;&gt;"",#REF!="",OR(COLUMN(E13)=COLUMN(#REF!),COLUMN(E13)=COLUMN(#REF!)))</formula>
    </cfRule>
  </conditionalFormatting>
  <conditionalFormatting sqref="E24">
    <cfRule type="expression" dxfId="1156" priority="43">
      <formula>AND(E24&lt;&gt;"",#REF!="",OR(COLUMN(E24)=COLUMN(#REF!),COLUMN(E24)=COLUMN(#REF!)))</formula>
    </cfRule>
  </conditionalFormatting>
  <conditionalFormatting sqref="E29">
    <cfRule type="expression" dxfId="1155" priority="42">
      <formula>AND(E29&lt;&gt;"",#REF!="",OR(COLUMN(E29)=COLUMN(#REF!),COLUMN(E29)=COLUMN(#REF!)))</formula>
    </cfRule>
  </conditionalFormatting>
  <conditionalFormatting sqref="E32">
    <cfRule type="expression" dxfId="1154" priority="41">
      <formula>AND(E32&lt;&gt;"",#REF!="",OR(COLUMN(E32)=COLUMN(#REF!),COLUMN(E32)=COLUMN(#REF!)))</formula>
    </cfRule>
  </conditionalFormatting>
  <conditionalFormatting sqref="E35">
    <cfRule type="expression" dxfId="1153" priority="40">
      <formula>AND(E35&lt;&gt;"",#REF!="",OR(COLUMN(E35)=COLUMN(#REF!),COLUMN(E35)=COLUMN(#REF!)))</formula>
    </cfRule>
  </conditionalFormatting>
  <conditionalFormatting sqref="E48">
    <cfRule type="expression" dxfId="1152" priority="38">
      <formula>AND(E48&lt;&gt;"",#REF!="",OR(COLUMN(E48)=COLUMN(#REF!),COLUMN(E48)=COLUMN(#REF!)))</formula>
    </cfRule>
  </conditionalFormatting>
  <conditionalFormatting sqref="E51">
    <cfRule type="expression" dxfId="1151" priority="37">
      <formula>AND(E51&lt;&gt;"",#REF!="",OR(COLUMN(E51)=COLUMN(#REF!),COLUMN(E51)=COLUMN(#REF!)))</formula>
    </cfRule>
  </conditionalFormatting>
  <conditionalFormatting sqref="E54">
    <cfRule type="expression" dxfId="1150" priority="36">
      <formula>AND(E54&lt;&gt;"",#REF!="",OR(COLUMN(E54)=COLUMN(#REF!),COLUMN(E54)=COLUMN(#REF!)))</formula>
    </cfRule>
  </conditionalFormatting>
  <conditionalFormatting sqref="E61">
    <cfRule type="expression" dxfId="1149" priority="34">
      <formula>AND(E61&lt;&gt;"",#REF!="",OR(COLUMN(E61)=COLUMN(#REF!),COLUMN(E61)=COLUMN(#REF!)))</formula>
    </cfRule>
  </conditionalFormatting>
  <conditionalFormatting sqref="E64">
    <cfRule type="expression" dxfId="1148" priority="33">
      <formula>AND(E64&lt;&gt;"",#REF!="",OR(COLUMN(E64)=COLUMN(#REF!),COLUMN(E64)=COLUMN(#REF!)))</formula>
    </cfRule>
  </conditionalFormatting>
  <conditionalFormatting sqref="E72">
    <cfRule type="expression" dxfId="1147" priority="30">
      <formula>AND(E72&lt;&gt;"",#REF!="",OR(COLUMN(E72)=COLUMN(#REF!),COLUMN(E72)=COLUMN(#REF!)))</formula>
    </cfRule>
  </conditionalFormatting>
  <conditionalFormatting sqref="E67">
    <cfRule type="expression" dxfId="1146" priority="29">
      <formula>AND(E67&lt;&gt;"",#REF!="",OR(COLUMN(E67)=COLUMN(#REF!),COLUMN(E67)=COLUMN(#REF!)))</formula>
    </cfRule>
  </conditionalFormatting>
  <conditionalFormatting sqref="E78">
    <cfRule type="expression" dxfId="1145" priority="27">
      <formula>AND(E78&lt;&gt;"",#REF!="",OR(COLUMN(E78)=COLUMN(#REF!),COLUMN(E78)=COLUMN(#REF!)))</formula>
    </cfRule>
  </conditionalFormatting>
  <conditionalFormatting sqref="E81 E84">
    <cfRule type="expression" dxfId="1144" priority="26">
      <formula>AND(E81&lt;&gt;"",#REF!="",OR(COLUMN(E81)=COLUMN(#REF!),COLUMN(E81)=COLUMN(#REF!)))</formula>
    </cfRule>
  </conditionalFormatting>
  <conditionalFormatting sqref="AA83:AD83 F83:L83">
    <cfRule type="expression" dxfId="1143" priority="25">
      <formula>F83&lt;&gt;#REF!</formula>
    </cfRule>
  </conditionalFormatting>
  <conditionalFormatting sqref="Q83:Z83">
    <cfRule type="expression" dxfId="1142" priority="24">
      <formula>Q83&lt;&gt;P83</formula>
    </cfRule>
  </conditionalFormatting>
  <conditionalFormatting sqref="P83">
    <cfRule type="expression" dxfId="1141" priority="23">
      <formula>P83&lt;&gt;#REF!</formula>
    </cfRule>
  </conditionalFormatting>
  <conditionalFormatting sqref="N18">
    <cfRule type="expression" dxfId="1140" priority="22">
      <formula>AND(N18&lt;&gt;"",#REF!="",OR(COLUMN(N18)=COLUMN(#REF!),COLUMN(N18)=COLUMN(#REF!)))</formula>
    </cfRule>
  </conditionalFormatting>
  <conditionalFormatting sqref="E18">
    <cfRule type="expression" dxfId="1139" priority="21">
      <formula>AND(E18&lt;&gt;"",#REF!="",OR(COLUMN(E18)=COLUMN(#REF!),COLUMN(E18)=COLUMN(#REF!)))</formula>
    </cfRule>
  </conditionalFormatting>
  <conditionalFormatting sqref="M86:O86">
    <cfRule type="expression" dxfId="1138" priority="5130">
      <formula>AND(ronud($O$86,3)&lt;&gt;1,$O$86&lt;&gt;0)</formula>
    </cfRule>
  </conditionalFormatting>
  <conditionalFormatting sqref="AD2:AF2">
    <cfRule type="expression" dxfId="1137" priority="17">
      <formula>$AD$2&lt;&gt;""</formula>
    </cfRule>
  </conditionalFormatting>
  <conditionalFormatting sqref="AD1:AF1">
    <cfRule type="expression" dxfId="1136" priority="15">
      <formula>$AD$1&lt;&gt;""</formula>
    </cfRule>
  </conditionalFormatting>
  <conditionalFormatting sqref="AD3:AH4">
    <cfRule type="expression" dxfId="1135" priority="13">
      <formula>$AD$3&lt;&gt;""</formula>
    </cfRule>
  </conditionalFormatting>
  <conditionalFormatting sqref="K18 K24 K54 K67 K78 K81 K84 K72 K38 K51 K48 K75 K13 K21 K29 K32 K35 K43 K61 K64">
    <cfRule type="expression" dxfId="1134" priority="10">
      <formula>$K13="Não"</formula>
    </cfRule>
  </conditionalFormatting>
  <conditionalFormatting sqref="O37">
    <cfRule type="expression" dxfId="1133" priority="8">
      <formula>ROUND(O37,4)&lt;&gt;ROUND(N37,4)</formula>
    </cfRule>
  </conditionalFormatting>
  <conditionalFormatting sqref="AA37:AD37 F37:M37">
    <cfRule type="expression" dxfId="1132" priority="7">
      <formula>F37&lt;&gt;#REF!</formula>
    </cfRule>
  </conditionalFormatting>
  <conditionalFormatting sqref="Q37:Z37">
    <cfRule type="expression" dxfId="1131" priority="6">
      <formula>Q37&lt;&gt;P37</formula>
    </cfRule>
  </conditionalFormatting>
  <conditionalFormatting sqref="O37">
    <cfRule type="expression" dxfId="1130" priority="5">
      <formula>O37&lt;&gt;N37</formula>
    </cfRule>
  </conditionalFormatting>
  <conditionalFormatting sqref="P37">
    <cfRule type="expression" dxfId="1129" priority="4">
      <formula>P37&lt;&gt;#REF!</formula>
    </cfRule>
  </conditionalFormatting>
  <conditionalFormatting sqref="E38">
    <cfRule type="expression" dxfId="1128" priority="3">
      <formula>AND(E38&lt;&gt;"",#REF!="",OR(COLUMN(E38)=COLUMN(#REF!),COLUMN(E38)=COLUMN(#REF!)))</formula>
    </cfRule>
  </conditionalFormatting>
  <conditionalFormatting sqref="N38">
    <cfRule type="expression" dxfId="1127" priority="2">
      <formula>AND(N38&lt;&gt;"",#REF!="",OR(COLUMN(N38)=COLUMN(#REF!),COLUMN(N38)=COLUMN(#REF!)))</formula>
    </cfRule>
  </conditionalFormatting>
  <conditionalFormatting sqref="AB18:AD18 AB13:AD13 AB24:AD24 AB21:AD21 AB29:AD29 AB32:AD32 AB38:AD38 AB35:AD35 AB54:AD54 AB51:AD51 AB48:AD48 AB43:AD43 AB61:AD61 AB67:AD67 AB72:AD72 AB78:AD78 AB81:AD81 AB84:AD84 AB75:AD75 AB64:AD64">
    <cfRule type="expression" dxfId="1126" priority="10942">
      <formula>OR(AND($J13&gt;$Y$2, $J13&lt;&gt;"-", $J13&lt;&gt;"", $AB13="", $AC13="", $AD13=""),AND($F13&lt;&gt;"-", LEFT($F13,2)&lt;&gt;"BR", $Q13=0, $AB13="", $AC13="", $AD13=""), AND(LEFT($E13,8)="Carteira",  $Q13=0, $AB13="", $AC13="", $AD13=""))</formula>
    </cfRule>
  </conditionalFormatting>
  <conditionalFormatting sqref="N35">
    <cfRule type="expression" dxfId="1125" priority="1">
      <formula>AND(N35&lt;&gt;"",#REF!="",OR(COLUMN(N35)=COLUMN(#REF!),COLUMN(N35)=COLUMN(#REF!)))</formula>
    </cfRule>
  </conditionalFormatting>
  <dataValidations count="26">
    <dataValidation type="list" allowBlank="1" showInputMessage="1" showErrorMessage="1" sqref="AB86" xr:uid="{591F4A6E-F0F5-CE4F-8774-469027323E33}">
      <formula1>"CDI,Ibovespa,IHFA,IPCA,IMAB,IMAB 5,Taxa Pré"</formula1>
    </dataValidation>
    <dataValidation type="list" allowBlank="1" showInputMessage="1" showErrorMessage="1" sqref="U3:V3" xr:uid="{7CBA655E-38C4-460C-A24B-F49D10D9216C}">
      <formula1>strategies</formula1>
    </dataValidation>
    <dataValidation type="list" allowBlank="1" showInputMessage="1" sqref="E24" xr:uid="{726CD9A6-5082-4CAE-9D4D-730B3703249B}">
      <formula1>Inflação_Longa</formula1>
    </dataValidation>
    <dataValidation type="list" allowBlank="1" showInputMessage="1" sqref="E29" xr:uid="{BCC55D01-30D1-4204-A8A7-FBEDE6D35EC2}">
      <formula1>Pré_Curta</formula1>
    </dataValidation>
    <dataValidation type="list" allowBlank="1" showInputMessage="1" sqref="E32" xr:uid="{E3981BFE-E6B4-4526-8B36-9E3B44B899FA}">
      <formula1>Pré_Média</formula1>
    </dataValidation>
    <dataValidation type="list" allowBlank="1" showInputMessage="1" sqref="E35" xr:uid="{7B1D3750-A3C9-4E39-A099-DAD9F2C0777A}">
      <formula1>Pré_Longa</formula1>
    </dataValidation>
    <dataValidation type="list" allowBlank="1" showInputMessage="1" sqref="E48" xr:uid="{C448090B-A503-4943-A7EF-CA609E894FA2}">
      <formula1>Quant</formula1>
    </dataValidation>
    <dataValidation type="list" allowBlank="1" showInputMessage="1" sqref="E51" xr:uid="{D322C699-4AD3-4505-B0B7-B8951197EDFE}">
      <formula1>Long_Short</formula1>
    </dataValidation>
    <dataValidation type="list" allowBlank="1" showInputMessage="1" sqref="E54" xr:uid="{2D023342-CB02-411C-867E-6E7E67365CF6}">
      <formula1>Multiestratégia</formula1>
    </dataValidation>
    <dataValidation type="list" allowBlank="1" showInputMessage="1" sqref="E61" xr:uid="{70C16731-EE89-4D0A-BB5F-D30FEDD1817C}">
      <formula1>Long_Only</formula1>
    </dataValidation>
    <dataValidation type="list" allowBlank="1" showInputMessage="1" sqref="E64" xr:uid="{6F1A2E25-BBAA-4EAB-B7B8-53A01DB660CD}">
      <formula1>Long_Bias</formula1>
    </dataValidation>
    <dataValidation type="list" allowBlank="1" showInputMessage="1" sqref="E67" xr:uid="{46BC8C5C-35FB-4C2C-B476-E311ED6473D5}">
      <formula1>Alternativos</formula1>
    </dataValidation>
    <dataValidation type="list" allowBlank="1" showInputMessage="1" sqref="E72" xr:uid="{ECB9FC07-EF12-4D26-9B42-0AABE066163E}">
      <formula1>EUA</formula1>
    </dataValidation>
    <dataValidation type="list" allowBlank="1" showInputMessage="1" sqref="E78" xr:uid="{547DB14C-9EF8-4A3B-A713-B5884276156E}">
      <formula1>Europa</formula1>
    </dataValidation>
    <dataValidation type="list" allowBlank="1" showInputMessage="1" sqref="E81" xr:uid="{20883D3A-05D8-4AD8-BDC3-51E626DA41D0}">
      <formula1>Global</formula1>
    </dataValidation>
    <dataValidation type="list" allowBlank="1" showInputMessage="1" sqref="E18"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Y4" xr:uid="{399D7CF6-0549-4469-8122-711AE1CB70DB}">
      <formula1>"CDI,IMA-B,Ibovespa"</formula1>
    </dataValidation>
    <dataValidation type="list" allowBlank="1" showInputMessage="1" sqref="E13" xr:uid="{40E30E5E-686D-47E4-B297-78DE338090C5}">
      <formula1>Pós_fixado</formula1>
    </dataValidation>
    <dataValidation type="list" allowBlank="1" showInputMessage="1" sqref="E43" xr:uid="{600DE8EA-2357-4E10-A744-6AF2163956F2}">
      <formula1>Macro</formula1>
    </dataValidation>
    <dataValidation type="decimal" allowBlank="1" showInputMessage="1" showErrorMessage="1" sqref="AC84:AD84 AC18:AD18 AC72:AD72 AC24:AD24 AC38:AD38 AC35:AD35 AC29:AD29 AC61:AD61 AC51:AD51 AC54:AD54 AC43:AD43 AC21:AD21 AC75:AD75 AC67:AD67 AC48:AD48 AC64:AD64 AC78:AD78 AC81:AD81 AC32:AD32 AC13:AD13" xr:uid="{9AF57C60-836B-4830-A64C-D340DF3BDB98}">
      <formula1>-10</formula1>
      <formula2>30</formula2>
    </dataValidation>
    <dataValidation type="list" allowBlank="1" showInputMessage="1" sqref="E38" xr:uid="{24A38606-369C-41F4-935D-98EAF1EDDE26}">
      <formula1>Internacional</formula1>
    </dataValidation>
    <dataValidation type="list" allowBlank="1" showInputMessage="1" showErrorMessage="1" sqref="AB84 AB18 AB61 AB24 AB48 AB35 AB32 AB38 AB21 AB75 AB51 AB54 AB43 AB29 AB67 AB72 AB64 AB78 AB81 AB13" xr:uid="{36AB1848-80FF-4CE0-B30F-97BB5CE77193}">
      <formula1>"CDI,Ibovespa,IFIX,IHFA,IMA-B,IMAB-5,IPCA,MSCI China,MSCI World,NASDAQ,Ouro,PTAX,SELIC,SP500"</formula1>
    </dataValidation>
    <dataValidation type="list" allowBlank="1" showInputMessage="1" sqref="E84" xr:uid="{B6D9C901-7078-4CBA-B070-B9D6DFC16C72}">
      <formula1>EM</formula1>
    </dataValidation>
    <dataValidation type="list" allowBlank="1" showInputMessage="1" sqref="E21" xr:uid="{BC67E66F-2BB0-4E98-99FA-4C9ADE5569F8}">
      <formula1>Inflação_Média</formula1>
    </dataValidation>
    <dataValidation type="list" allowBlank="1" showInputMessage="1" sqref="E75" xr:uid="{A182A324-B4B5-4A52-8020-4FDAF4A537F0}">
      <formula1>China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17</xdr:col>
                    <xdr:colOff>200025</xdr:colOff>
                    <xdr:row>1</xdr:row>
                    <xdr:rowOff>209550</xdr:rowOff>
                  </from>
                  <to>
                    <xdr:col>19</xdr:col>
                    <xdr:colOff>314325</xdr:colOff>
                    <xdr:row>3</xdr:row>
                    <xdr:rowOff>19050</xdr:rowOff>
                  </to>
                </anchor>
              </controlPr>
            </control>
          </mc:Choice>
        </mc:AlternateContent>
        <mc:AlternateContent xmlns:mc="http://schemas.openxmlformats.org/markup-compatibility/2006">
          <mc:Choice Requires="x14">
            <control shapeId="9228" r:id="rId5"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6"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7" name="Button 17">
              <controlPr defaultSize="0" print="0" autoFill="0" autoPict="0" macro="[0]!resumir_carteira">
                <anchor moveWithCells="1" sizeWithCells="1">
                  <from>
                    <xdr:col>25</xdr:col>
                    <xdr:colOff>180975</xdr:colOff>
                    <xdr:row>1</xdr:row>
                    <xdr:rowOff>152400</xdr:rowOff>
                  </from>
                  <to>
                    <xdr:col>28</xdr:col>
                    <xdr:colOff>152400</xdr:colOff>
                    <xdr:row>2</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T101"/>
  <sheetViews>
    <sheetView showGridLines="0" showRuler="0" view="pageLayout" zoomScaleNormal="80" workbookViewId="0">
      <selection activeCell="S2" sqref="S2"/>
    </sheetView>
  </sheetViews>
  <sheetFormatPr defaultColWidth="10.69921875" defaultRowHeight="11.25"/>
  <cols>
    <col min="1" max="1" width="1.19921875" style="266" customWidth="1"/>
    <col min="2" max="2" width="1.796875" style="266" hidden="1" customWidth="1"/>
    <col min="3" max="3" width="1.3984375" style="266" hidden="1" customWidth="1"/>
    <col min="4" max="4" width="28.09765625" style="266" customWidth="1"/>
    <col min="5" max="5" width="0.59765625" style="266" customWidth="1"/>
    <col min="6" max="6" width="10.59765625" style="266" customWidth="1"/>
    <col min="7" max="7" width="5.59765625" style="269" customWidth="1"/>
    <col min="8" max="8" width="0.59765625" style="266" customWidth="1"/>
    <col min="9" max="9" width="5.19921875" style="269" customWidth="1"/>
    <col min="10" max="10" width="5.8984375" style="269" customWidth="1"/>
    <col min="11" max="11" width="5.19921875" style="269" customWidth="1"/>
    <col min="12" max="12" width="6.59765625" style="269" customWidth="1"/>
    <col min="13" max="13" width="5.19921875" style="269" customWidth="1"/>
    <col min="14" max="14" width="6.59765625" style="269" customWidth="1"/>
    <col min="15" max="15" width="5.19921875" style="269" customWidth="1"/>
    <col min="16" max="16" width="6.59765625" style="269" customWidth="1"/>
    <col min="17" max="17" width="7.09765625" style="269" customWidth="1"/>
    <col min="18" max="18" width="5.09765625" style="269" customWidth="1"/>
    <col min="19" max="19" width="0.59765625" style="269" customWidth="1"/>
    <col min="20" max="20" width="5.5" style="269" customWidth="1"/>
    <col min="21" max="21" width="14.796875" style="266" customWidth="1"/>
    <col min="22" max="16384" width="10.69921875" style="266"/>
  </cols>
  <sheetData>
    <row r="1" spans="1:20" s="409" customFormat="1" ht="33.75" customHeight="1">
      <c r="A1" s="407"/>
      <c r="B1" s="407"/>
      <c r="C1" s="407"/>
      <c r="D1" s="408" t="s">
        <v>1425</v>
      </c>
      <c r="E1" s="951"/>
      <c r="G1" s="410"/>
      <c r="H1" s="951"/>
      <c r="I1" s="410"/>
      <c r="J1" s="411"/>
      <c r="L1" s="411"/>
      <c r="M1" s="411"/>
      <c r="N1" s="411"/>
      <c r="O1" s="411"/>
      <c r="P1" s="411"/>
      <c r="Q1" s="412"/>
      <c r="S1" s="410"/>
      <c r="T1" s="411"/>
    </row>
    <row r="2" spans="1:20" s="414" customFormat="1" ht="16.5" customHeight="1">
      <c r="A2" s="407"/>
      <c r="B2" s="407"/>
      <c r="C2" s="407"/>
      <c r="D2" s="274" t="s">
        <v>2675</v>
      </c>
      <c r="E2" s="952"/>
      <c r="F2" s="1019">
        <v>5000000</v>
      </c>
      <c r="G2" s="1019"/>
      <c r="H2" s="951"/>
      <c r="J2" s="413"/>
      <c r="L2" s="415"/>
      <c r="M2" s="415"/>
      <c r="N2" s="415"/>
      <c r="O2" s="415"/>
      <c r="P2" s="415"/>
      <c r="Q2" s="412"/>
      <c r="R2" s="415"/>
      <c r="S2" s="415"/>
      <c r="T2" s="650" t="str">
        <f>'Criação de Portfólio'!K3</f>
        <v>Perfil 3</v>
      </c>
    </row>
    <row r="3" spans="1:20" s="409" customFormat="1" ht="12" customHeight="1">
      <c r="A3" s="416"/>
      <c r="B3" s="416"/>
      <c r="C3" s="416"/>
      <c r="G3" s="411"/>
      <c r="H3" s="956"/>
      <c r="I3" s="417"/>
      <c r="J3" s="411"/>
      <c r="K3" s="411"/>
      <c r="L3" s="411"/>
      <c r="M3" s="411"/>
      <c r="N3" s="411"/>
      <c r="O3" s="411"/>
      <c r="P3" s="411"/>
      <c r="Q3" s="412"/>
      <c r="R3" s="411"/>
      <c r="S3" s="411"/>
      <c r="T3" s="411"/>
    </row>
    <row r="4" spans="1:20" s="407" customFormat="1" ht="27" customHeight="1">
      <c r="D4" s="418" t="s">
        <v>715</v>
      </c>
      <c r="F4" s="418" t="s">
        <v>10</v>
      </c>
      <c r="G4" s="418" t="s">
        <v>1347</v>
      </c>
      <c r="I4" s="418" t="s">
        <v>708</v>
      </c>
      <c r="J4" s="418" t="s">
        <v>709</v>
      </c>
      <c r="K4" s="419" t="s">
        <v>710</v>
      </c>
      <c r="L4" s="418" t="s">
        <v>711</v>
      </c>
      <c r="M4" s="419" t="s">
        <v>712</v>
      </c>
      <c r="N4" s="418" t="s">
        <v>1329</v>
      </c>
      <c r="O4" s="419" t="s">
        <v>1330</v>
      </c>
      <c r="P4" s="418" t="s">
        <v>713</v>
      </c>
      <c r="Q4" s="419" t="s">
        <v>714</v>
      </c>
      <c r="R4" s="418" t="s">
        <v>605</v>
      </c>
      <c r="T4" s="418" t="s">
        <v>33</v>
      </c>
    </row>
    <row r="5" spans="1:20" ht="5.25" customHeight="1"/>
    <row r="6" spans="1:20" ht="14.25" customHeight="1">
      <c r="B6" s="266" t="s">
        <v>12</v>
      </c>
      <c r="C6" s="266" t="s">
        <v>12</v>
      </c>
      <c r="D6" s="646" t="s">
        <v>11</v>
      </c>
      <c r="E6" s="953"/>
      <c r="F6" s="649">
        <v>3625000.0000000009</v>
      </c>
      <c r="G6" s="709">
        <v>0.7250000000000002</v>
      </c>
      <c r="H6" s="953"/>
      <c r="I6" s="647"/>
      <c r="J6" s="648"/>
      <c r="K6" s="647"/>
      <c r="L6" s="648"/>
      <c r="M6" s="647"/>
      <c r="N6" s="648"/>
      <c r="O6" s="647"/>
      <c r="P6" s="648"/>
      <c r="Q6" s="647"/>
      <c r="R6" s="647"/>
      <c r="S6" s="961"/>
      <c r="T6" s="647"/>
    </row>
    <row r="7" spans="1:20" ht="5.25" customHeight="1"/>
    <row r="8" spans="1:20" ht="11.25" customHeight="1">
      <c r="C8" s="266" t="s">
        <v>12</v>
      </c>
      <c r="D8" s="275" t="s">
        <v>620</v>
      </c>
      <c r="E8" s="954"/>
      <c r="F8" s="286">
        <v>2825000.0000000009</v>
      </c>
      <c r="G8" s="710">
        <v>0.56500000000000017</v>
      </c>
      <c r="H8" s="954"/>
      <c r="I8" s="276"/>
      <c r="J8" s="277"/>
      <c r="K8" s="276"/>
      <c r="L8" s="277"/>
      <c r="M8" s="276"/>
      <c r="N8" s="277"/>
      <c r="O8" s="276"/>
      <c r="P8" s="277"/>
      <c r="Q8" s="276"/>
      <c r="R8" s="276"/>
      <c r="S8" s="962"/>
      <c r="T8" s="276"/>
    </row>
    <row r="9" spans="1:20" ht="11.25" customHeight="1">
      <c r="D9" s="266" t="s">
        <v>1362</v>
      </c>
      <c r="F9" s="945">
        <v>325000</v>
      </c>
      <c r="G9" s="946">
        <v>6.5000000000000002E-2</v>
      </c>
      <c r="H9" s="957"/>
      <c r="I9" s="946">
        <v>0</v>
      </c>
      <c r="J9" s="947">
        <v>0</v>
      </c>
      <c r="K9" s="946">
        <v>0</v>
      </c>
      <c r="L9" s="947">
        <v>0</v>
      </c>
      <c r="M9" s="946">
        <v>0</v>
      </c>
      <c r="N9" s="947">
        <v>0</v>
      </c>
      <c r="O9" s="946">
        <v>0</v>
      </c>
      <c r="P9" s="947">
        <v>0</v>
      </c>
      <c r="Q9" s="948">
        <v>0</v>
      </c>
      <c r="R9" s="949">
        <v>0</v>
      </c>
      <c r="T9" s="950">
        <v>0</v>
      </c>
    </row>
    <row r="10" spans="1:20" ht="11.25" customHeight="1">
      <c r="D10" s="278" t="s">
        <v>4721</v>
      </c>
      <c r="E10" s="278"/>
      <c r="F10" s="279">
        <v>237500</v>
      </c>
      <c r="G10" s="717">
        <v>4.7500000000000001E-2</v>
      </c>
      <c r="H10" s="958"/>
      <c r="I10" s="717">
        <v>0</v>
      </c>
      <c r="J10" s="718">
        <v>0</v>
      </c>
      <c r="K10" s="717">
        <v>0</v>
      </c>
      <c r="L10" s="718">
        <v>0</v>
      </c>
      <c r="M10" s="717">
        <v>0</v>
      </c>
      <c r="N10" s="718">
        <v>0</v>
      </c>
      <c r="O10" s="717">
        <v>0</v>
      </c>
      <c r="P10" s="718">
        <v>0</v>
      </c>
      <c r="Q10" s="719">
        <v>0</v>
      </c>
      <c r="R10" s="280">
        <v>0</v>
      </c>
      <c r="S10" s="963"/>
      <c r="T10" s="281">
        <v>365</v>
      </c>
    </row>
    <row r="11" spans="1:20" ht="11.25" customHeight="1">
      <c r="D11" s="278" t="s">
        <v>4722</v>
      </c>
      <c r="E11" s="278"/>
      <c r="F11" s="279">
        <v>237500</v>
      </c>
      <c r="G11" s="717">
        <v>4.7500000000000001E-2</v>
      </c>
      <c r="H11" s="958"/>
      <c r="I11" s="717">
        <v>0</v>
      </c>
      <c r="J11" s="718">
        <v>0</v>
      </c>
      <c r="K11" s="717">
        <v>0</v>
      </c>
      <c r="L11" s="718">
        <v>0</v>
      </c>
      <c r="M11" s="717">
        <v>0</v>
      </c>
      <c r="N11" s="718">
        <v>0</v>
      </c>
      <c r="O11" s="717">
        <v>0</v>
      </c>
      <c r="P11" s="718">
        <v>0</v>
      </c>
      <c r="Q11" s="719">
        <v>0</v>
      </c>
      <c r="R11" s="280">
        <v>0</v>
      </c>
      <c r="S11" s="963"/>
      <c r="T11" s="281">
        <v>730</v>
      </c>
    </row>
    <row r="12" spans="1:20" ht="11.25" customHeight="1">
      <c r="D12" s="278" t="s">
        <v>4723</v>
      </c>
      <c r="E12" s="278"/>
      <c r="F12" s="279">
        <v>237500</v>
      </c>
      <c r="G12" s="717">
        <v>4.7500000000000001E-2</v>
      </c>
      <c r="H12" s="958"/>
      <c r="I12" s="717">
        <v>0</v>
      </c>
      <c r="J12" s="718">
        <v>0</v>
      </c>
      <c r="K12" s="717">
        <v>0</v>
      </c>
      <c r="L12" s="718">
        <v>0</v>
      </c>
      <c r="M12" s="717">
        <v>0</v>
      </c>
      <c r="N12" s="718">
        <v>0</v>
      </c>
      <c r="O12" s="717">
        <v>0</v>
      </c>
      <c r="P12" s="718">
        <v>0</v>
      </c>
      <c r="Q12" s="719">
        <v>0</v>
      </c>
      <c r="R12" s="280">
        <v>0</v>
      </c>
      <c r="S12" s="963"/>
      <c r="T12" s="281">
        <v>730</v>
      </c>
    </row>
    <row r="13" spans="1:20" ht="11.25" customHeight="1">
      <c r="D13" s="278" t="s">
        <v>4724</v>
      </c>
      <c r="E13" s="278"/>
      <c r="F13" s="279">
        <v>237500</v>
      </c>
      <c r="G13" s="717">
        <v>4.7500000000000001E-2</v>
      </c>
      <c r="H13" s="958"/>
      <c r="I13" s="717">
        <v>0</v>
      </c>
      <c r="J13" s="718">
        <v>0</v>
      </c>
      <c r="K13" s="717">
        <v>0</v>
      </c>
      <c r="L13" s="718">
        <v>0</v>
      </c>
      <c r="M13" s="717">
        <v>0</v>
      </c>
      <c r="N13" s="718">
        <v>0</v>
      </c>
      <c r="O13" s="717">
        <v>0</v>
      </c>
      <c r="P13" s="718">
        <v>0</v>
      </c>
      <c r="Q13" s="719">
        <v>0</v>
      </c>
      <c r="R13" s="280">
        <v>0</v>
      </c>
      <c r="S13" s="963"/>
      <c r="T13" s="281">
        <v>1095</v>
      </c>
    </row>
    <row r="14" spans="1:20" ht="11.25" customHeight="1">
      <c r="D14" s="278" t="s">
        <v>4386</v>
      </c>
      <c r="E14" s="278"/>
      <c r="F14" s="279">
        <v>450000</v>
      </c>
      <c r="G14" s="717">
        <v>0.09</v>
      </c>
      <c r="H14" s="958"/>
      <c r="I14" s="717">
        <v>2.0671156751377318E-2</v>
      </c>
      <c r="J14" s="718">
        <v>1.033641563898394</v>
      </c>
      <c r="K14" s="717">
        <v>0.13483779765072024</v>
      </c>
      <c r="L14" s="718">
        <v>1.0457089305669309</v>
      </c>
      <c r="M14" s="717">
        <v>0.20581046421173821</v>
      </c>
      <c r="N14" s="718">
        <v>1.0658908662904072</v>
      </c>
      <c r="O14" s="717">
        <v>0.20845120672731832</v>
      </c>
      <c r="P14" s="718">
        <v>0.94121494252035398</v>
      </c>
      <c r="Q14" s="719">
        <v>8.9493726359862432E-4</v>
      </c>
      <c r="R14" s="280">
        <v>6.5858115911187154</v>
      </c>
      <c r="S14" s="963"/>
      <c r="T14" s="281">
        <v>0</v>
      </c>
    </row>
    <row r="15" spans="1:20" ht="11.25" customHeight="1">
      <c r="D15" s="278" t="s">
        <v>2706</v>
      </c>
      <c r="E15" s="278"/>
      <c r="F15" s="279">
        <v>175000.00000000003</v>
      </c>
      <c r="G15" s="717">
        <v>3.5000000000000003E-2</v>
      </c>
      <c r="H15" s="958"/>
      <c r="I15" s="717">
        <v>2.451964343888946E-3</v>
      </c>
      <c r="J15" s="718">
        <v>0.12260814861614358</v>
      </c>
      <c r="K15" s="717">
        <v>0.13546834780292238</v>
      </c>
      <c r="L15" s="718">
        <v>1.050599042514889</v>
      </c>
      <c r="M15" s="717">
        <v>0.25273990572719662</v>
      </c>
      <c r="N15" s="718">
        <v>1.3089380955118262</v>
      </c>
      <c r="O15" s="717">
        <v>0.30217042260583127</v>
      </c>
      <c r="P15" s="718">
        <v>1.3643831638563784</v>
      </c>
      <c r="Q15" s="719">
        <v>7.9293197395870554E-3</v>
      </c>
      <c r="R15" s="280">
        <v>0.82282447554243954</v>
      </c>
      <c r="S15" s="963"/>
      <c r="T15" s="281">
        <v>61</v>
      </c>
    </row>
    <row r="16" spans="1:20" ht="11.25" customHeight="1">
      <c r="D16" s="278" t="s">
        <v>2725</v>
      </c>
      <c r="E16" s="278"/>
      <c r="F16" s="279">
        <v>175000.00000000003</v>
      </c>
      <c r="G16" s="717">
        <v>3.5000000000000003E-2</v>
      </c>
      <c r="H16" s="958"/>
      <c r="I16" s="717">
        <v>6.6310827897377855E-3</v>
      </c>
      <c r="J16" s="718">
        <v>0.33158099798491436</v>
      </c>
      <c r="K16" s="717">
        <v>0.13125642938784443</v>
      </c>
      <c r="L16" s="718">
        <v>1.0179343091967472</v>
      </c>
      <c r="M16" s="717">
        <v>0.22494079394770439</v>
      </c>
      <c r="N16" s="718">
        <v>1.1649667019763517</v>
      </c>
      <c r="O16" s="717">
        <v>0.23792418719202035</v>
      </c>
      <c r="P16" s="718">
        <v>1.0742936137811836</v>
      </c>
      <c r="Q16" s="719">
        <v>4.6342479112844066E-3</v>
      </c>
      <c r="R16" s="280">
        <v>0.4990065238903354</v>
      </c>
      <c r="S16" s="963"/>
      <c r="T16" s="281">
        <v>76</v>
      </c>
    </row>
    <row r="17" spans="1:20" ht="11.25" customHeight="1">
      <c r="D17" s="278" t="s">
        <v>2601</v>
      </c>
      <c r="E17" s="278"/>
      <c r="F17" s="279">
        <v>125000</v>
      </c>
      <c r="G17" s="717">
        <v>2.5000000000000001E-2</v>
      </c>
      <c r="H17" s="958"/>
      <c r="I17" s="717">
        <v>-5.7894530317753601E-3</v>
      </c>
      <c r="J17" s="718">
        <v>-0.28949610115466107</v>
      </c>
      <c r="K17" s="717">
        <v>0.11678005108621514</v>
      </c>
      <c r="L17" s="718">
        <v>0.90566550670938895</v>
      </c>
      <c r="M17" s="717">
        <v>0.21382862923176793</v>
      </c>
      <c r="N17" s="718">
        <v>1.1074168834051943</v>
      </c>
      <c r="O17" s="717">
        <v>0.25772861138485603</v>
      </c>
      <c r="P17" s="718">
        <v>1.1637160751377755</v>
      </c>
      <c r="Q17" s="719">
        <v>1.2585570694878461E-2</v>
      </c>
      <c r="R17" s="280">
        <v>-0.96649239478056714</v>
      </c>
      <c r="S17" s="963"/>
      <c r="T17" s="281">
        <v>31</v>
      </c>
    </row>
    <row r="18" spans="1:20" ht="11.25" customHeight="1">
      <c r="D18" s="278" t="s">
        <v>2723</v>
      </c>
      <c r="E18" s="278"/>
      <c r="F18" s="279">
        <v>175000.00000000003</v>
      </c>
      <c r="G18" s="717">
        <v>3.5000000000000003E-2</v>
      </c>
      <c r="H18" s="958"/>
      <c r="I18" s="717">
        <v>2.4589572333538312E-2</v>
      </c>
      <c r="J18" s="718">
        <v>1.2295782141334546</v>
      </c>
      <c r="K18" s="717">
        <v>0.1625691855476683</v>
      </c>
      <c r="L18" s="718">
        <v>1.2607744425087111</v>
      </c>
      <c r="M18" s="717">
        <v>0.26713901890896397</v>
      </c>
      <c r="N18" s="718">
        <v>1.3835109957864093</v>
      </c>
      <c r="O18" s="717">
        <v>0.32673366978676643</v>
      </c>
      <c r="P18" s="718">
        <v>1.4752930292703994</v>
      </c>
      <c r="Q18" s="719">
        <v>8.2716098024639855E-4</v>
      </c>
      <c r="R18" s="280">
        <v>40.651429291144147</v>
      </c>
      <c r="S18" s="963"/>
      <c r="T18" s="281">
        <v>61</v>
      </c>
    </row>
    <row r="19" spans="1:20" ht="11.25" customHeight="1">
      <c r="D19" s="278" t="s">
        <v>2716</v>
      </c>
      <c r="E19" s="278"/>
      <c r="F19" s="279">
        <v>150000</v>
      </c>
      <c r="G19" s="717">
        <v>3.0000000000000002E-2</v>
      </c>
      <c r="H19" s="958"/>
      <c r="I19" s="717">
        <v>2.483552041171655E-2</v>
      </c>
      <c r="J19" s="718">
        <v>1.2418766142289897</v>
      </c>
      <c r="K19" s="717">
        <v>0.16717985131631363</v>
      </c>
      <c r="L19" s="718">
        <v>1.2965315851952217</v>
      </c>
      <c r="M19" s="717">
        <v>0.27442462573654569</v>
      </c>
      <c r="N19" s="718">
        <v>1.4212430994607543</v>
      </c>
      <c r="O19" s="717">
        <v>0.33169366486769714</v>
      </c>
      <c r="P19" s="718">
        <v>1.4976887810546831</v>
      </c>
      <c r="Q19" s="719">
        <v>8.1410674491948015E-4</v>
      </c>
      <c r="R19" s="280">
        <v>46.966742516433804</v>
      </c>
      <c r="S19" s="963"/>
      <c r="T19" s="281">
        <v>91</v>
      </c>
    </row>
    <row r="20" spans="1:20" ht="11.25" customHeight="1">
      <c r="D20" s="278" t="s">
        <v>2072</v>
      </c>
      <c r="E20" s="278"/>
      <c r="F20" s="279">
        <v>175000.00000000003</v>
      </c>
      <c r="G20" s="717">
        <v>3.5000000000000003E-2</v>
      </c>
      <c r="H20" s="958"/>
      <c r="I20" s="717">
        <v>2.4205551061643904E-2</v>
      </c>
      <c r="J20" s="718">
        <v>1.210375595101274</v>
      </c>
      <c r="K20" s="717">
        <v>0.16221149808917446</v>
      </c>
      <c r="L20" s="718">
        <v>1.2580004653582706</v>
      </c>
      <c r="M20" s="717">
        <v>0.27302355558583891</v>
      </c>
      <c r="N20" s="718">
        <v>1.4139869675512802</v>
      </c>
      <c r="O20" s="717">
        <v>0</v>
      </c>
      <c r="P20" s="718">
        <v>0</v>
      </c>
      <c r="Q20" s="719">
        <v>1.9859386588395415E-3</v>
      </c>
      <c r="R20" s="280">
        <v>16.751569085132569</v>
      </c>
      <c r="S20" s="963"/>
      <c r="T20" s="281">
        <v>91</v>
      </c>
    </row>
    <row r="21" spans="1:20" ht="11.25" customHeight="1">
      <c r="D21" s="282" t="s">
        <v>2082</v>
      </c>
      <c r="E21" s="282"/>
      <c r="F21" s="283">
        <v>125000</v>
      </c>
      <c r="G21" s="714">
        <v>2.5000000000000001E-2</v>
      </c>
      <c r="H21" s="959"/>
      <c r="I21" s="714">
        <v>2.1350350816435659E-2</v>
      </c>
      <c r="J21" s="715">
        <v>1.0676040181548854</v>
      </c>
      <c r="K21" s="714">
        <v>0.12410627569105714</v>
      </c>
      <c r="L21" s="715">
        <v>0.96248265019661461</v>
      </c>
      <c r="M21" s="714">
        <v>0.2524889658041447</v>
      </c>
      <c r="N21" s="715">
        <v>1.3076384795132272</v>
      </c>
      <c r="O21" s="714">
        <v>0.31418651789187613</v>
      </c>
      <c r="P21" s="715">
        <v>1.4186391627135519</v>
      </c>
      <c r="Q21" s="716">
        <v>1.5361707947187515E-2</v>
      </c>
      <c r="R21" s="284">
        <v>-0.31491509748542651</v>
      </c>
      <c r="S21" s="964"/>
      <c r="T21" s="285">
        <v>271</v>
      </c>
    </row>
    <row r="22" spans="1:20" ht="5.25" customHeight="1"/>
    <row r="23" spans="1:20" ht="11.25" customHeight="1">
      <c r="C23" s="266" t="s">
        <v>12</v>
      </c>
      <c r="D23" s="275" t="s">
        <v>621</v>
      </c>
      <c r="E23" s="954"/>
      <c r="F23" s="286">
        <v>550000.00000000012</v>
      </c>
      <c r="G23" s="710">
        <v>0.11000000000000001</v>
      </c>
      <c r="H23" s="954"/>
      <c r="I23" s="276"/>
      <c r="J23" s="277"/>
      <c r="K23" s="276"/>
      <c r="L23" s="277"/>
      <c r="M23" s="276"/>
      <c r="N23" s="277"/>
      <c r="O23" s="276"/>
      <c r="P23" s="277"/>
      <c r="Q23" s="276"/>
      <c r="R23" s="276"/>
      <c r="S23" s="962"/>
      <c r="T23" s="276"/>
    </row>
    <row r="24" spans="1:20" ht="3" customHeight="1"/>
    <row r="25" spans="1:20" ht="11.25" customHeight="1">
      <c r="D25" s="291" t="s">
        <v>2748</v>
      </c>
      <c r="E25" s="954"/>
      <c r="F25" s="294">
        <v>550000.00000000012</v>
      </c>
      <c r="G25" s="720">
        <v>0.11000000000000001</v>
      </c>
      <c r="H25" s="954"/>
      <c r="I25" s="292"/>
      <c r="J25" s="293"/>
      <c r="K25" s="292"/>
      <c r="L25" s="293"/>
      <c r="M25" s="292"/>
      <c r="N25" s="293"/>
      <c r="O25" s="292"/>
      <c r="P25" s="293"/>
      <c r="Q25" s="292"/>
      <c r="R25" s="292"/>
      <c r="S25" s="962"/>
      <c r="T25" s="292"/>
    </row>
    <row r="26" spans="1:20" ht="11.25" customHeight="1">
      <c r="D26" s="266" t="s">
        <v>2086</v>
      </c>
      <c r="F26" s="945">
        <v>110000.00000000001</v>
      </c>
      <c r="G26" s="946">
        <v>2.2000000000000002E-2</v>
      </c>
      <c r="H26" s="957"/>
      <c r="I26" s="946">
        <v>2.8574910717820146E-3</v>
      </c>
      <c r="J26" s="947">
        <v>0.1428861275538274</v>
      </c>
      <c r="K26" s="946">
        <v>8.4930845238177177E-2</v>
      </c>
      <c r="L26" s="947">
        <v>0.65866503972586488</v>
      </c>
      <c r="M26" s="946">
        <v>0.18044270096062687</v>
      </c>
      <c r="N26" s="947">
        <v>0.93451140873396843</v>
      </c>
      <c r="O26" s="946">
        <v>0.26066102007175185</v>
      </c>
      <c r="P26" s="947">
        <v>1.1769567126808016</v>
      </c>
      <c r="Q26" s="948">
        <v>3.9835866658353314E-2</v>
      </c>
      <c r="R26" s="949">
        <v>-1.1048602151945885</v>
      </c>
      <c r="T26" s="950">
        <v>31</v>
      </c>
    </row>
    <row r="27" spans="1:20" ht="11.25" customHeight="1">
      <c r="D27" s="278" t="s">
        <v>2083</v>
      </c>
      <c r="E27" s="278"/>
      <c r="F27" s="279">
        <v>110000.00000000001</v>
      </c>
      <c r="G27" s="717">
        <v>2.2000000000000002E-2</v>
      </c>
      <c r="H27" s="958"/>
      <c r="I27" s="717">
        <v>4.0688396495034418E-3</v>
      </c>
      <c r="J27" s="718">
        <v>0.2034584628789245</v>
      </c>
      <c r="K27" s="717">
        <v>6.5044141743471728E-2</v>
      </c>
      <c r="L27" s="718">
        <v>0.50443748776140274</v>
      </c>
      <c r="M27" s="717">
        <v>0.15660516226945487</v>
      </c>
      <c r="N27" s="718">
        <v>0.81105697281362377</v>
      </c>
      <c r="O27" s="717">
        <v>0.2572405494329888</v>
      </c>
      <c r="P27" s="718">
        <v>1.1615123402245302</v>
      </c>
      <c r="Q27" s="719">
        <v>3.6904124271183079E-2</v>
      </c>
      <c r="R27" s="280">
        <v>-1.7315074931398207</v>
      </c>
      <c r="S27" s="963"/>
      <c r="T27" s="281">
        <v>31</v>
      </c>
    </row>
    <row r="28" spans="1:20" ht="11.25" customHeight="1">
      <c r="D28" s="278" t="s">
        <v>4316</v>
      </c>
      <c r="E28" s="278"/>
      <c r="F28" s="279">
        <v>110000.00000000001</v>
      </c>
      <c r="G28" s="717">
        <v>2.2000000000000002E-2</v>
      </c>
      <c r="H28" s="958"/>
      <c r="I28" s="717">
        <v>0</v>
      </c>
      <c r="J28" s="718">
        <v>0</v>
      </c>
      <c r="K28" s="717">
        <v>0</v>
      </c>
      <c r="L28" s="718">
        <v>0</v>
      </c>
      <c r="M28" s="717">
        <v>0</v>
      </c>
      <c r="N28" s="718">
        <v>0</v>
      </c>
      <c r="O28" s="717">
        <v>0</v>
      </c>
      <c r="P28" s="718">
        <v>0</v>
      </c>
      <c r="Q28" s="719">
        <v>0</v>
      </c>
      <c r="R28" s="280">
        <v>0</v>
      </c>
      <c r="S28" s="963"/>
      <c r="T28" s="281">
        <v>1460</v>
      </c>
    </row>
    <row r="29" spans="1:20" ht="11.25" customHeight="1">
      <c r="D29" s="278" t="s">
        <v>4716</v>
      </c>
      <c r="E29" s="278"/>
      <c r="F29" s="279">
        <v>110000.00000000001</v>
      </c>
      <c r="G29" s="717">
        <v>2.2000000000000002E-2</v>
      </c>
      <c r="H29" s="958"/>
      <c r="I29" s="717">
        <v>0</v>
      </c>
      <c r="J29" s="718">
        <v>0</v>
      </c>
      <c r="K29" s="717">
        <v>0</v>
      </c>
      <c r="L29" s="718">
        <v>0</v>
      </c>
      <c r="M29" s="717">
        <v>0</v>
      </c>
      <c r="N29" s="718">
        <v>0</v>
      </c>
      <c r="O29" s="717">
        <v>0</v>
      </c>
      <c r="P29" s="718">
        <v>0</v>
      </c>
      <c r="Q29" s="719">
        <v>0</v>
      </c>
      <c r="R29" s="280">
        <v>0</v>
      </c>
      <c r="S29" s="963"/>
      <c r="T29" s="281">
        <v>1825</v>
      </c>
    </row>
    <row r="30" spans="1:20" ht="11.25" customHeight="1">
      <c r="D30" s="282" t="s">
        <v>4717</v>
      </c>
      <c r="E30" s="282"/>
      <c r="F30" s="283">
        <v>110000.00000000001</v>
      </c>
      <c r="G30" s="714">
        <v>2.2000000000000002E-2</v>
      </c>
      <c r="H30" s="959"/>
      <c r="I30" s="714">
        <v>0</v>
      </c>
      <c r="J30" s="715">
        <v>0</v>
      </c>
      <c r="K30" s="714">
        <v>0</v>
      </c>
      <c r="L30" s="715">
        <v>0</v>
      </c>
      <c r="M30" s="714">
        <v>0</v>
      </c>
      <c r="N30" s="715">
        <v>0</v>
      </c>
      <c r="O30" s="714">
        <v>0</v>
      </c>
      <c r="P30" s="715">
        <v>0</v>
      </c>
      <c r="Q30" s="716">
        <v>0</v>
      </c>
      <c r="R30" s="284">
        <v>0</v>
      </c>
      <c r="S30" s="964"/>
      <c r="T30" s="285">
        <v>2190</v>
      </c>
    </row>
    <row r="31" spans="1:20" ht="5.25" customHeight="1"/>
    <row r="32" spans="1:20" s="409" customFormat="1" ht="18.75" customHeight="1">
      <c r="A32" s="416"/>
      <c r="B32" s="416"/>
      <c r="C32" s="416"/>
      <c r="G32" s="411"/>
      <c r="H32" s="956"/>
      <c r="I32" s="417"/>
      <c r="J32" s="411"/>
      <c r="K32" s="411"/>
      <c r="L32" s="411"/>
      <c r="M32" s="411"/>
      <c r="N32" s="411"/>
      <c r="O32" s="411"/>
      <c r="P32" s="411"/>
      <c r="Q32" s="412"/>
      <c r="R32" s="411"/>
      <c r="S32" s="411"/>
      <c r="T32" s="411"/>
    </row>
    <row r="33" spans="3:20" s="407" customFormat="1" ht="27" customHeight="1">
      <c r="D33" s="418" t="s">
        <v>715</v>
      </c>
      <c r="F33" s="418" t="s">
        <v>10</v>
      </c>
      <c r="G33" s="418" t="s">
        <v>1347</v>
      </c>
      <c r="I33" s="418" t="s">
        <v>708</v>
      </c>
      <c r="J33" s="418" t="s">
        <v>709</v>
      </c>
      <c r="K33" s="419" t="s">
        <v>710</v>
      </c>
      <c r="L33" s="418" t="s">
        <v>711</v>
      </c>
      <c r="M33" s="419" t="s">
        <v>712</v>
      </c>
      <c r="N33" s="418" t="s">
        <v>1329</v>
      </c>
      <c r="O33" s="419" t="s">
        <v>1330</v>
      </c>
      <c r="P33" s="418" t="s">
        <v>713</v>
      </c>
      <c r="Q33" s="419" t="s">
        <v>714</v>
      </c>
      <c r="R33" s="418" t="s">
        <v>605</v>
      </c>
      <c r="T33" s="418" t="s">
        <v>33</v>
      </c>
    </row>
    <row r="34" spans="3:20" ht="5.25" customHeight="1"/>
    <row r="35" spans="3:20" ht="11.25" customHeight="1">
      <c r="C35" s="266" t="s">
        <v>12</v>
      </c>
      <c r="D35" s="275" t="s">
        <v>661</v>
      </c>
      <c r="E35" s="954"/>
      <c r="F35" s="286">
        <v>175000.00000000003</v>
      </c>
      <c r="G35" s="710">
        <v>3.5000000000000003E-2</v>
      </c>
      <c r="H35" s="954"/>
      <c r="I35" s="276"/>
      <c r="J35" s="277"/>
      <c r="K35" s="276"/>
      <c r="L35" s="277"/>
      <c r="M35" s="276"/>
      <c r="N35" s="277"/>
      <c r="O35" s="276"/>
      <c r="P35" s="277"/>
      <c r="Q35" s="276"/>
      <c r="R35" s="276"/>
      <c r="S35" s="962"/>
      <c r="T35" s="276"/>
    </row>
    <row r="36" spans="3:20" ht="3" customHeight="1"/>
    <row r="37" spans="3:20" ht="11.25" customHeight="1">
      <c r="D37" s="291" t="s">
        <v>1372</v>
      </c>
      <c r="E37" s="954"/>
      <c r="F37" s="294">
        <v>175000.00000000003</v>
      </c>
      <c r="G37" s="720">
        <v>3.5000000000000003E-2</v>
      </c>
      <c r="H37" s="954"/>
      <c r="I37" s="292"/>
      <c r="J37" s="293"/>
      <c r="K37" s="292"/>
      <c r="L37" s="293"/>
      <c r="M37" s="292"/>
      <c r="N37" s="293"/>
      <c r="O37" s="292"/>
      <c r="P37" s="293"/>
      <c r="Q37" s="292"/>
      <c r="R37" s="292"/>
      <c r="S37" s="962"/>
      <c r="T37" s="292"/>
    </row>
    <row r="38" spans="3:20" ht="11.25" customHeight="1">
      <c r="D38" s="266" t="s">
        <v>4718</v>
      </c>
      <c r="F38" s="945">
        <v>52500</v>
      </c>
      <c r="G38" s="946">
        <v>1.0500000000000001E-2</v>
      </c>
      <c r="H38" s="957"/>
      <c r="I38" s="946">
        <v>0</v>
      </c>
      <c r="J38" s="947">
        <v>0</v>
      </c>
      <c r="K38" s="946">
        <v>0</v>
      </c>
      <c r="L38" s="947">
        <v>0</v>
      </c>
      <c r="M38" s="946">
        <v>0</v>
      </c>
      <c r="N38" s="947">
        <v>0</v>
      </c>
      <c r="O38" s="946">
        <v>0</v>
      </c>
      <c r="P38" s="947">
        <v>0</v>
      </c>
      <c r="Q38" s="948">
        <v>0</v>
      </c>
      <c r="R38" s="949">
        <v>0</v>
      </c>
      <c r="T38" s="950">
        <v>365</v>
      </c>
    </row>
    <row r="39" spans="3:20" ht="11.25" customHeight="1">
      <c r="D39" s="278" t="s">
        <v>4719</v>
      </c>
      <c r="E39" s="278"/>
      <c r="F39" s="279">
        <v>61250</v>
      </c>
      <c r="G39" s="717">
        <v>1.225E-2</v>
      </c>
      <c r="H39" s="958"/>
      <c r="I39" s="717">
        <v>0</v>
      </c>
      <c r="J39" s="718">
        <v>0</v>
      </c>
      <c r="K39" s="717">
        <v>0</v>
      </c>
      <c r="L39" s="718">
        <v>0</v>
      </c>
      <c r="M39" s="717">
        <v>0</v>
      </c>
      <c r="N39" s="718">
        <v>0</v>
      </c>
      <c r="O39" s="717">
        <v>0</v>
      </c>
      <c r="P39" s="718">
        <v>0</v>
      </c>
      <c r="Q39" s="719">
        <v>0</v>
      </c>
      <c r="R39" s="280">
        <v>0</v>
      </c>
      <c r="S39" s="963"/>
      <c r="T39" s="281">
        <v>730</v>
      </c>
    </row>
    <row r="40" spans="3:20" ht="11.25" customHeight="1">
      <c r="D40" s="278" t="s">
        <v>4720</v>
      </c>
      <c r="E40" s="278"/>
      <c r="F40" s="279">
        <v>61250</v>
      </c>
      <c r="G40" s="717">
        <v>1.225E-2</v>
      </c>
      <c r="H40" s="958"/>
      <c r="I40" s="717">
        <v>0</v>
      </c>
      <c r="J40" s="718">
        <v>0</v>
      </c>
      <c r="K40" s="717">
        <v>0</v>
      </c>
      <c r="L40" s="718">
        <v>0</v>
      </c>
      <c r="M40" s="717">
        <v>0</v>
      </c>
      <c r="N40" s="718">
        <v>0</v>
      </c>
      <c r="O40" s="717">
        <v>0</v>
      </c>
      <c r="P40" s="718">
        <v>0</v>
      </c>
      <c r="Q40" s="719">
        <v>0</v>
      </c>
      <c r="R40" s="280">
        <v>0</v>
      </c>
      <c r="S40" s="963"/>
      <c r="T40" s="281">
        <v>1095</v>
      </c>
    </row>
    <row r="41" spans="3:20" ht="11.25" customHeight="1">
      <c r="D41" s="278" t="s">
        <v>4719</v>
      </c>
      <c r="E41" s="278"/>
      <c r="F41" s="279">
        <v>50000</v>
      </c>
      <c r="G41" s="717">
        <v>0.01</v>
      </c>
      <c r="H41" s="958"/>
      <c r="I41" s="717">
        <v>0</v>
      </c>
      <c r="J41" s="718">
        <v>0</v>
      </c>
      <c r="K41" s="717">
        <v>0</v>
      </c>
      <c r="L41" s="718">
        <v>0</v>
      </c>
      <c r="M41" s="717">
        <v>0</v>
      </c>
      <c r="N41" s="718">
        <v>0</v>
      </c>
      <c r="O41" s="717">
        <v>0</v>
      </c>
      <c r="P41" s="718">
        <v>0</v>
      </c>
      <c r="Q41" s="719">
        <v>0</v>
      </c>
      <c r="R41" s="280">
        <v>0</v>
      </c>
      <c r="S41" s="963"/>
      <c r="T41" s="281">
        <v>730</v>
      </c>
    </row>
    <row r="42" spans="3:20" ht="11.25" customHeight="1">
      <c r="D42" s="278" t="s">
        <v>4719</v>
      </c>
      <c r="E42" s="278"/>
      <c r="F42" s="279">
        <v>50000</v>
      </c>
      <c r="G42" s="717">
        <v>0.01</v>
      </c>
      <c r="H42" s="958"/>
      <c r="I42" s="717">
        <v>0</v>
      </c>
      <c r="J42" s="718">
        <v>0</v>
      </c>
      <c r="K42" s="717">
        <v>0</v>
      </c>
      <c r="L42" s="718">
        <v>0</v>
      </c>
      <c r="M42" s="717">
        <v>0</v>
      </c>
      <c r="N42" s="718">
        <v>0</v>
      </c>
      <c r="O42" s="717">
        <v>0</v>
      </c>
      <c r="P42" s="718">
        <v>0</v>
      </c>
      <c r="Q42" s="719">
        <v>0</v>
      </c>
      <c r="R42" s="280">
        <v>0</v>
      </c>
      <c r="S42" s="963"/>
      <c r="T42" s="281">
        <v>730</v>
      </c>
    </row>
    <row r="43" spans="3:20" ht="11.25" customHeight="1">
      <c r="D43" s="278" t="s">
        <v>4719</v>
      </c>
      <c r="E43" s="278"/>
      <c r="F43" s="279">
        <v>50000</v>
      </c>
      <c r="G43" s="717">
        <v>0.01</v>
      </c>
      <c r="H43" s="958"/>
      <c r="I43" s="717">
        <v>0</v>
      </c>
      <c r="J43" s="718">
        <v>0</v>
      </c>
      <c r="K43" s="717">
        <v>0</v>
      </c>
      <c r="L43" s="718">
        <v>0</v>
      </c>
      <c r="M43" s="717">
        <v>0</v>
      </c>
      <c r="N43" s="718">
        <v>0</v>
      </c>
      <c r="O43" s="717">
        <v>0</v>
      </c>
      <c r="P43" s="718">
        <v>0</v>
      </c>
      <c r="Q43" s="719">
        <v>0</v>
      </c>
      <c r="R43" s="280">
        <v>0</v>
      </c>
      <c r="S43" s="963"/>
      <c r="T43" s="281">
        <v>730</v>
      </c>
    </row>
    <row r="44" spans="3:20" ht="11.25" customHeight="1">
      <c r="D44" s="278" t="s">
        <v>4719</v>
      </c>
      <c r="E44" s="278"/>
      <c r="F44" s="279">
        <v>50000</v>
      </c>
      <c r="G44" s="717">
        <v>0.01</v>
      </c>
      <c r="H44" s="958"/>
      <c r="I44" s="717">
        <v>0</v>
      </c>
      <c r="J44" s="718">
        <v>0</v>
      </c>
      <c r="K44" s="717">
        <v>0</v>
      </c>
      <c r="L44" s="718">
        <v>0</v>
      </c>
      <c r="M44" s="717">
        <v>0</v>
      </c>
      <c r="N44" s="718">
        <v>0</v>
      </c>
      <c r="O44" s="717">
        <v>0</v>
      </c>
      <c r="P44" s="718">
        <v>0</v>
      </c>
      <c r="Q44" s="719">
        <v>0</v>
      </c>
      <c r="R44" s="280">
        <v>0</v>
      </c>
      <c r="S44" s="963"/>
      <c r="T44" s="281">
        <v>730</v>
      </c>
    </row>
    <row r="45" spans="3:20" ht="11.25" customHeight="1">
      <c r="D45" s="278" t="s">
        <v>4719</v>
      </c>
      <c r="E45" s="278"/>
      <c r="F45" s="279">
        <v>50000</v>
      </c>
      <c r="G45" s="717">
        <v>0.01</v>
      </c>
      <c r="H45" s="958"/>
      <c r="I45" s="717">
        <v>0</v>
      </c>
      <c r="J45" s="718">
        <v>0</v>
      </c>
      <c r="K45" s="717">
        <v>0</v>
      </c>
      <c r="L45" s="718">
        <v>0</v>
      </c>
      <c r="M45" s="717">
        <v>0</v>
      </c>
      <c r="N45" s="718">
        <v>0</v>
      </c>
      <c r="O45" s="717">
        <v>0</v>
      </c>
      <c r="P45" s="718">
        <v>0</v>
      </c>
      <c r="Q45" s="719">
        <v>0</v>
      </c>
      <c r="R45" s="280">
        <v>0</v>
      </c>
      <c r="S45" s="963"/>
      <c r="T45" s="281">
        <v>730</v>
      </c>
    </row>
    <row r="46" spans="3:20" ht="11.25" customHeight="1">
      <c r="D46" s="278" t="s">
        <v>4719</v>
      </c>
      <c r="E46" s="278"/>
      <c r="F46" s="279">
        <v>50000</v>
      </c>
      <c r="G46" s="717">
        <v>0.01</v>
      </c>
      <c r="H46" s="958"/>
      <c r="I46" s="717">
        <v>0</v>
      </c>
      <c r="J46" s="718">
        <v>0</v>
      </c>
      <c r="K46" s="717">
        <v>0</v>
      </c>
      <c r="L46" s="718">
        <v>0</v>
      </c>
      <c r="M46" s="717">
        <v>0</v>
      </c>
      <c r="N46" s="718">
        <v>0</v>
      </c>
      <c r="O46" s="717">
        <v>0</v>
      </c>
      <c r="P46" s="718">
        <v>0</v>
      </c>
      <c r="Q46" s="719">
        <v>0</v>
      </c>
      <c r="R46" s="280">
        <v>0</v>
      </c>
      <c r="S46" s="963"/>
      <c r="T46" s="281">
        <v>730</v>
      </c>
    </row>
    <row r="47" spans="3:20" ht="11.25" customHeight="1">
      <c r="D47" s="278" t="s">
        <v>4690</v>
      </c>
      <c r="E47" s="278"/>
      <c r="F47" s="279">
        <v>50000</v>
      </c>
      <c r="G47" s="717">
        <v>0.01</v>
      </c>
      <c r="H47" s="958"/>
      <c r="I47" s="717">
        <v>0</v>
      </c>
      <c r="J47" s="718">
        <v>0</v>
      </c>
      <c r="K47" s="717">
        <v>0</v>
      </c>
      <c r="L47" s="718">
        <v>0</v>
      </c>
      <c r="M47" s="717">
        <v>0</v>
      </c>
      <c r="N47" s="718">
        <v>0</v>
      </c>
      <c r="O47" s="717">
        <v>0</v>
      </c>
      <c r="P47" s="718">
        <v>0</v>
      </c>
      <c r="Q47" s="719">
        <v>0</v>
      </c>
      <c r="R47" s="280">
        <v>0</v>
      </c>
      <c r="S47" s="963"/>
      <c r="T47" s="281">
        <v>2190</v>
      </c>
    </row>
    <row r="48" spans="3:20" ht="11.25" customHeight="1">
      <c r="D48" s="278" t="s">
        <v>4690</v>
      </c>
      <c r="E48" s="278"/>
      <c r="F48" s="279">
        <v>50000</v>
      </c>
      <c r="G48" s="717">
        <v>0.01</v>
      </c>
      <c r="H48" s="958"/>
      <c r="I48" s="717">
        <v>0</v>
      </c>
      <c r="J48" s="718">
        <v>0</v>
      </c>
      <c r="K48" s="717">
        <v>0</v>
      </c>
      <c r="L48" s="718">
        <v>0</v>
      </c>
      <c r="M48" s="717">
        <v>0</v>
      </c>
      <c r="N48" s="718">
        <v>0</v>
      </c>
      <c r="O48" s="717">
        <v>0</v>
      </c>
      <c r="P48" s="718">
        <v>0</v>
      </c>
      <c r="Q48" s="719">
        <v>0</v>
      </c>
      <c r="R48" s="280">
        <v>0</v>
      </c>
      <c r="S48" s="963"/>
      <c r="T48" s="281">
        <v>2190</v>
      </c>
    </row>
    <row r="49" spans="2:20" ht="11.25" customHeight="1">
      <c r="D49" s="278" t="s">
        <v>4690</v>
      </c>
      <c r="E49" s="278"/>
      <c r="F49" s="279">
        <v>50000</v>
      </c>
      <c r="G49" s="717">
        <v>0.01</v>
      </c>
      <c r="H49" s="958"/>
      <c r="I49" s="717">
        <v>0</v>
      </c>
      <c r="J49" s="718">
        <v>0</v>
      </c>
      <c r="K49" s="717">
        <v>0</v>
      </c>
      <c r="L49" s="718">
        <v>0</v>
      </c>
      <c r="M49" s="717">
        <v>0</v>
      </c>
      <c r="N49" s="718">
        <v>0</v>
      </c>
      <c r="O49" s="717">
        <v>0</v>
      </c>
      <c r="P49" s="718">
        <v>0</v>
      </c>
      <c r="Q49" s="719">
        <v>0</v>
      </c>
      <c r="R49" s="280">
        <v>0</v>
      </c>
      <c r="S49" s="963"/>
      <c r="T49" s="281">
        <v>2190</v>
      </c>
    </row>
    <row r="50" spans="2:20" ht="11.25" customHeight="1">
      <c r="D50" s="278" t="s">
        <v>4690</v>
      </c>
      <c r="E50" s="278"/>
      <c r="F50" s="279">
        <v>50000</v>
      </c>
      <c r="G50" s="717">
        <v>0.01</v>
      </c>
      <c r="H50" s="958"/>
      <c r="I50" s="717">
        <v>0</v>
      </c>
      <c r="J50" s="718">
        <v>0</v>
      </c>
      <c r="K50" s="717">
        <v>0</v>
      </c>
      <c r="L50" s="718">
        <v>0</v>
      </c>
      <c r="M50" s="717">
        <v>0</v>
      </c>
      <c r="N50" s="718">
        <v>0</v>
      </c>
      <c r="O50" s="717">
        <v>0</v>
      </c>
      <c r="P50" s="718">
        <v>0</v>
      </c>
      <c r="Q50" s="719">
        <v>0</v>
      </c>
      <c r="R50" s="280">
        <v>0</v>
      </c>
      <c r="S50" s="963"/>
      <c r="T50" s="281">
        <v>2190</v>
      </c>
    </row>
    <row r="51" spans="2:20" ht="11.25" customHeight="1">
      <c r="D51" s="282" t="s">
        <v>4690</v>
      </c>
      <c r="E51" s="282"/>
      <c r="F51" s="283">
        <v>50000</v>
      </c>
      <c r="G51" s="714">
        <v>0.01</v>
      </c>
      <c r="H51" s="959"/>
      <c r="I51" s="714">
        <v>0</v>
      </c>
      <c r="J51" s="715">
        <v>0</v>
      </c>
      <c r="K51" s="714">
        <v>0</v>
      </c>
      <c r="L51" s="715">
        <v>0</v>
      </c>
      <c r="M51" s="714">
        <v>0</v>
      </c>
      <c r="N51" s="715">
        <v>0</v>
      </c>
      <c r="O51" s="714">
        <v>0</v>
      </c>
      <c r="P51" s="715">
        <v>0</v>
      </c>
      <c r="Q51" s="716">
        <v>0</v>
      </c>
      <c r="R51" s="284">
        <v>0</v>
      </c>
      <c r="S51" s="964"/>
      <c r="T51" s="285">
        <v>2190</v>
      </c>
    </row>
    <row r="52" spans="2:20" ht="5.25" customHeight="1"/>
    <row r="53" spans="2:20" ht="11.25" customHeight="1">
      <c r="C53" s="266" t="s">
        <v>12</v>
      </c>
      <c r="D53" s="275" t="s">
        <v>628</v>
      </c>
      <c r="E53" s="954"/>
      <c r="F53" s="286">
        <v>75000</v>
      </c>
      <c r="G53" s="710">
        <v>1.4999999999999999E-2</v>
      </c>
      <c r="H53" s="954"/>
      <c r="I53" s="276"/>
      <c r="J53" s="277"/>
      <c r="K53" s="276"/>
      <c r="L53" s="277"/>
      <c r="M53" s="276"/>
      <c r="N53" s="277"/>
      <c r="O53" s="276"/>
      <c r="P53" s="277"/>
      <c r="Q53" s="276"/>
      <c r="R53" s="276"/>
      <c r="S53" s="962"/>
      <c r="T53" s="276"/>
    </row>
    <row r="54" spans="2:20" ht="11.25" customHeight="1">
      <c r="D54" s="287" t="s">
        <v>2720</v>
      </c>
      <c r="E54" s="287"/>
      <c r="F54" s="288">
        <v>75000</v>
      </c>
      <c r="G54" s="711">
        <v>1.4999999999999999E-2</v>
      </c>
      <c r="H54" s="960"/>
      <c r="I54" s="711">
        <v>1.6451820790420735E-2</v>
      </c>
      <c r="J54" s="712">
        <v>0.82265767587745386</v>
      </c>
      <c r="K54" s="711">
        <v>3.0454420175625385E-2</v>
      </c>
      <c r="L54" s="712">
        <v>0.23618347160625758</v>
      </c>
      <c r="M54" s="711">
        <v>7.1582969593118495E-2</v>
      </c>
      <c r="N54" s="712">
        <v>0.37072766811677632</v>
      </c>
      <c r="O54" s="711">
        <v>0.14101212699064192</v>
      </c>
      <c r="P54" s="712">
        <v>0.63670881586110806</v>
      </c>
      <c r="Q54" s="713">
        <v>6.9860766759472795E-2</v>
      </c>
      <c r="R54" s="289">
        <v>-1.4097968550825883</v>
      </c>
      <c r="S54" s="965"/>
      <c r="T54" s="290">
        <v>6</v>
      </c>
    </row>
    <row r="55" spans="2:20" ht="5.25" customHeight="1"/>
    <row r="56" spans="2:20" ht="14.25" customHeight="1">
      <c r="B56" s="266" t="s">
        <v>12</v>
      </c>
      <c r="C56" s="266" t="s">
        <v>12</v>
      </c>
      <c r="D56" s="646" t="s">
        <v>13</v>
      </c>
      <c r="E56" s="953"/>
      <c r="F56" s="649">
        <v>1000000.0000000001</v>
      </c>
      <c r="G56" s="709">
        <v>0.2</v>
      </c>
      <c r="H56" s="953"/>
      <c r="I56" s="647"/>
      <c r="J56" s="648"/>
      <c r="K56" s="647"/>
      <c r="L56" s="648"/>
      <c r="M56" s="647"/>
      <c r="N56" s="648"/>
      <c r="O56" s="647"/>
      <c r="P56" s="648"/>
      <c r="Q56" s="647"/>
      <c r="R56" s="647"/>
      <c r="S56" s="961"/>
      <c r="T56" s="647"/>
    </row>
    <row r="57" spans="2:20" ht="5.25" customHeight="1"/>
    <row r="58" spans="2:20" ht="11.25" customHeight="1">
      <c r="C58" s="266" t="s">
        <v>12</v>
      </c>
      <c r="D58" s="275" t="s">
        <v>615</v>
      </c>
      <c r="E58" s="954"/>
      <c r="F58" s="286">
        <v>850000.00000000012</v>
      </c>
      <c r="G58" s="710">
        <v>0.17</v>
      </c>
      <c r="H58" s="954"/>
      <c r="I58" s="276"/>
      <c r="J58" s="277"/>
      <c r="K58" s="276"/>
      <c r="L58" s="277"/>
      <c r="M58" s="276"/>
      <c r="N58" s="277"/>
      <c r="O58" s="276"/>
      <c r="P58" s="277"/>
      <c r="Q58" s="276"/>
      <c r="R58" s="276"/>
      <c r="S58" s="962"/>
      <c r="T58" s="276"/>
    </row>
    <row r="59" spans="2:20" ht="11.25" customHeight="1">
      <c r="D59" s="266" t="s">
        <v>1720</v>
      </c>
      <c r="F59" s="945">
        <v>212500.00000000003</v>
      </c>
      <c r="G59" s="946">
        <v>4.2500000000000003E-2</v>
      </c>
      <c r="H59" s="957"/>
      <c r="I59" s="946">
        <v>5.7795740939399209E-3</v>
      </c>
      <c r="J59" s="947">
        <v>0.28900211424929845</v>
      </c>
      <c r="K59" s="946">
        <v>0.17608815716939219</v>
      </c>
      <c r="L59" s="947">
        <v>1.3656182593258426</v>
      </c>
      <c r="M59" s="946">
        <v>0.39809694711376542</v>
      </c>
      <c r="N59" s="947">
        <v>2.0617411337749498</v>
      </c>
      <c r="O59" s="946">
        <v>0.6520930547594681</v>
      </c>
      <c r="P59" s="947">
        <v>2.9443807819075549</v>
      </c>
      <c r="Q59" s="948">
        <v>4.8796642688519555E-2</v>
      </c>
      <c r="R59" s="949">
        <v>0.96613711774264177</v>
      </c>
      <c r="T59" s="950">
        <v>31</v>
      </c>
    </row>
    <row r="60" spans="2:20" ht="11.25" customHeight="1">
      <c r="D60" s="278" t="s">
        <v>2708</v>
      </c>
      <c r="E60" s="278"/>
      <c r="F60" s="279">
        <v>212500.00000000003</v>
      </c>
      <c r="G60" s="717">
        <v>4.2500000000000003E-2</v>
      </c>
      <c r="H60" s="958"/>
      <c r="I60" s="717">
        <v>2.232923411945742E-2</v>
      </c>
      <c r="J60" s="718">
        <v>1.1165521481690424</v>
      </c>
      <c r="K60" s="717">
        <v>0.180583743347005</v>
      </c>
      <c r="L60" s="718">
        <v>1.40048292410063</v>
      </c>
      <c r="M60" s="717">
        <v>0.32789497529870837</v>
      </c>
      <c r="N60" s="718">
        <v>1.6981656428987275</v>
      </c>
      <c r="O60" s="717">
        <v>0.48234648164362248</v>
      </c>
      <c r="P60" s="718">
        <v>2.1779279819136677</v>
      </c>
      <c r="Q60" s="719">
        <v>7.8453091987259013E-2</v>
      </c>
      <c r="R60" s="280">
        <v>0.65822560452560741</v>
      </c>
      <c r="S60" s="963"/>
      <c r="T60" s="281">
        <v>61</v>
      </c>
    </row>
    <row r="61" spans="2:20" ht="11.25" customHeight="1">
      <c r="D61" s="278" t="s">
        <v>2073</v>
      </c>
      <c r="E61" s="278"/>
      <c r="F61" s="279">
        <v>212500.00000000003</v>
      </c>
      <c r="G61" s="717">
        <v>4.2500000000000003E-2</v>
      </c>
      <c r="H61" s="958"/>
      <c r="I61" s="717">
        <v>-4.5566462456680945E-3</v>
      </c>
      <c r="J61" s="718">
        <v>-0.22785076849607327</v>
      </c>
      <c r="K61" s="717">
        <v>0.14287065991521297</v>
      </c>
      <c r="L61" s="718">
        <v>1.108006268215187</v>
      </c>
      <c r="M61" s="717">
        <v>0.28438213573764126</v>
      </c>
      <c r="N61" s="718">
        <v>1.4728129698354884</v>
      </c>
      <c r="O61" s="717">
        <v>0.38907211805200492</v>
      </c>
      <c r="P61" s="718">
        <v>1.756768391883808</v>
      </c>
      <c r="Q61" s="719">
        <v>3.0219029266551765E-2</v>
      </c>
      <c r="R61" s="280">
        <v>0.46086028593379019</v>
      </c>
      <c r="S61" s="963"/>
      <c r="T61" s="281">
        <v>31</v>
      </c>
    </row>
    <row r="62" spans="2:20" ht="11.25" customHeight="1">
      <c r="D62" s="282" t="s">
        <v>1718</v>
      </c>
      <c r="E62" s="282"/>
      <c r="F62" s="283">
        <v>212500.00000000003</v>
      </c>
      <c r="G62" s="714">
        <v>4.2500000000000003E-2</v>
      </c>
      <c r="H62" s="959"/>
      <c r="I62" s="714">
        <v>2.2503307187067501E-2</v>
      </c>
      <c r="J62" s="715">
        <v>1.1252565066140572</v>
      </c>
      <c r="K62" s="714">
        <v>0.21215789336499391</v>
      </c>
      <c r="L62" s="715">
        <v>1.6453502478342779</v>
      </c>
      <c r="M62" s="714">
        <v>0.35793057733767819</v>
      </c>
      <c r="N62" s="715">
        <v>1.8537198028851445</v>
      </c>
      <c r="O62" s="714">
        <v>0</v>
      </c>
      <c r="P62" s="715">
        <v>0</v>
      </c>
      <c r="Q62" s="716">
        <v>3.8645832143997486E-2</v>
      </c>
      <c r="R62" s="284">
        <v>2.1532460113200189</v>
      </c>
      <c r="S62" s="964"/>
      <c r="T62" s="285">
        <v>31</v>
      </c>
    </row>
    <row r="63" spans="2:20" ht="5.25" customHeight="1"/>
    <row r="64" spans="2:20" ht="11.25" customHeight="1">
      <c r="C64" s="266" t="s">
        <v>12</v>
      </c>
      <c r="D64" s="275" t="s">
        <v>616</v>
      </c>
      <c r="E64" s="954"/>
      <c r="F64" s="286">
        <v>150000</v>
      </c>
      <c r="G64" s="710">
        <v>0.03</v>
      </c>
      <c r="H64" s="954"/>
      <c r="I64" s="276"/>
      <c r="J64" s="277"/>
      <c r="K64" s="276"/>
      <c r="L64" s="277"/>
      <c r="M64" s="276"/>
      <c r="N64" s="277"/>
      <c r="O64" s="276"/>
      <c r="P64" s="277"/>
      <c r="Q64" s="276"/>
      <c r="R64" s="276"/>
      <c r="S64" s="962"/>
      <c r="T64" s="276"/>
    </row>
    <row r="65" spans="1:20" ht="3" customHeight="1"/>
    <row r="66" spans="1:20" ht="11.25" customHeight="1">
      <c r="D66" s="291" t="s">
        <v>610</v>
      </c>
      <c r="E66" s="954"/>
      <c r="F66" s="294">
        <v>50000</v>
      </c>
      <c r="G66" s="720">
        <v>0.01</v>
      </c>
      <c r="H66" s="954"/>
      <c r="I66" s="292"/>
      <c r="J66" s="293"/>
      <c r="K66" s="292"/>
      <c r="L66" s="293"/>
      <c r="M66" s="292"/>
      <c r="N66" s="293"/>
      <c r="O66" s="292"/>
      <c r="P66" s="293"/>
      <c r="Q66" s="292"/>
      <c r="R66" s="292"/>
      <c r="S66" s="962"/>
      <c r="T66" s="292"/>
    </row>
    <row r="67" spans="1:20" ht="11.25" customHeight="1">
      <c r="D67" s="287" t="s">
        <v>1717</v>
      </c>
      <c r="E67" s="287"/>
      <c r="F67" s="288">
        <v>50000</v>
      </c>
      <c r="G67" s="711">
        <v>0.01</v>
      </c>
      <c r="H67" s="960"/>
      <c r="I67" s="711">
        <v>3.0128441737167E-2</v>
      </c>
      <c r="J67" s="712">
        <v>1.506544118918355</v>
      </c>
      <c r="K67" s="711">
        <v>0.10365215511677994</v>
      </c>
      <c r="L67" s="712">
        <v>0.80385460283840993</v>
      </c>
      <c r="M67" s="711">
        <v>0.32492074756695466</v>
      </c>
      <c r="N67" s="712">
        <v>1.6827621395555621</v>
      </c>
      <c r="O67" s="711">
        <v>0</v>
      </c>
      <c r="P67" s="712">
        <v>0</v>
      </c>
      <c r="Q67" s="713">
        <v>8.2979032822175613E-2</v>
      </c>
      <c r="R67" s="289">
        <v>-0.30479692845069351</v>
      </c>
      <c r="S67" s="965"/>
      <c r="T67" s="290">
        <v>18</v>
      </c>
    </row>
    <row r="68" spans="1:20" ht="4.5" customHeight="1"/>
    <row r="69" spans="1:20" ht="11.25" customHeight="1">
      <c r="D69" s="291" t="s">
        <v>617</v>
      </c>
      <c r="E69" s="954"/>
      <c r="F69" s="294">
        <v>50000</v>
      </c>
      <c r="G69" s="720">
        <v>0.01</v>
      </c>
      <c r="H69" s="954"/>
      <c r="I69" s="292"/>
      <c r="J69" s="293"/>
      <c r="K69" s="292"/>
      <c r="L69" s="293"/>
      <c r="M69" s="292"/>
      <c r="N69" s="293"/>
      <c r="O69" s="292"/>
      <c r="P69" s="293"/>
      <c r="Q69" s="292"/>
      <c r="R69" s="292"/>
      <c r="S69" s="962"/>
      <c r="T69" s="292"/>
    </row>
    <row r="70" spans="1:20" ht="11.25" customHeight="1">
      <c r="D70" s="287" t="s">
        <v>2085</v>
      </c>
      <c r="E70" s="287"/>
      <c r="F70" s="288">
        <v>50000</v>
      </c>
      <c r="G70" s="711">
        <v>0.01</v>
      </c>
      <c r="H70" s="960"/>
      <c r="I70" s="711">
        <v>1.4227225742384109E-2</v>
      </c>
      <c r="J70" s="712">
        <v>0.71141891298916071</v>
      </c>
      <c r="K70" s="711">
        <v>0.15999245559616715</v>
      </c>
      <c r="L70" s="712">
        <v>1.2407911027561305</v>
      </c>
      <c r="M70" s="711">
        <v>0.23492320829518087</v>
      </c>
      <c r="N70" s="712">
        <v>1.2166655517761116</v>
      </c>
      <c r="O70" s="711">
        <v>0.30361884073575185</v>
      </c>
      <c r="P70" s="712">
        <v>1.3709231729467646</v>
      </c>
      <c r="Q70" s="713">
        <v>4.4947462097997742E-2</v>
      </c>
      <c r="R70" s="289">
        <v>0.69077417723128587</v>
      </c>
      <c r="S70" s="965"/>
      <c r="T70" s="290">
        <v>15</v>
      </c>
    </row>
    <row r="71" spans="1:20" ht="4.5" customHeight="1"/>
    <row r="72" spans="1:20" ht="11.25" customHeight="1">
      <c r="D72" s="291" t="s">
        <v>619</v>
      </c>
      <c r="E72" s="954"/>
      <c r="F72" s="294">
        <v>50000</v>
      </c>
      <c r="G72" s="720">
        <v>0.01</v>
      </c>
      <c r="H72" s="954"/>
      <c r="I72" s="292"/>
      <c r="J72" s="293"/>
      <c r="K72" s="292"/>
      <c r="L72" s="293"/>
      <c r="M72" s="292"/>
      <c r="N72" s="293"/>
      <c r="O72" s="292"/>
      <c r="P72" s="293"/>
      <c r="Q72" s="292"/>
      <c r="R72" s="292"/>
      <c r="S72" s="962"/>
      <c r="T72" s="292"/>
    </row>
    <row r="73" spans="1:20" ht="11.25" customHeight="1">
      <c r="D73" s="287" t="s">
        <v>4287</v>
      </c>
      <c r="E73" s="287"/>
      <c r="F73" s="288">
        <v>50000</v>
      </c>
      <c r="G73" s="711">
        <v>0.01</v>
      </c>
      <c r="H73" s="960"/>
      <c r="I73" s="711">
        <v>0</v>
      </c>
      <c r="J73" s="712">
        <v>0</v>
      </c>
      <c r="K73" s="711">
        <v>0</v>
      </c>
      <c r="L73" s="712">
        <v>0</v>
      </c>
      <c r="M73" s="711">
        <v>0</v>
      </c>
      <c r="N73" s="712">
        <v>0</v>
      </c>
      <c r="O73" s="711">
        <v>0</v>
      </c>
      <c r="P73" s="712">
        <v>0</v>
      </c>
      <c r="Q73" s="713">
        <v>0</v>
      </c>
      <c r="R73" s="289">
        <v>0</v>
      </c>
      <c r="S73" s="965"/>
      <c r="T73" s="290">
        <v>504</v>
      </c>
    </row>
    <row r="74" spans="1:20" ht="5.25" customHeight="1"/>
    <row r="75" spans="1:20" s="409" customFormat="1" ht="18.75" customHeight="1">
      <c r="A75" s="416"/>
      <c r="B75" s="416"/>
      <c r="C75" s="416"/>
      <c r="G75" s="411"/>
      <c r="H75" s="956"/>
      <c r="I75" s="417"/>
      <c r="J75" s="411"/>
      <c r="K75" s="411"/>
      <c r="L75" s="411"/>
      <c r="M75" s="411"/>
      <c r="N75" s="411"/>
      <c r="O75" s="411"/>
      <c r="P75" s="411"/>
      <c r="Q75" s="412"/>
      <c r="R75" s="411"/>
      <c r="S75" s="411"/>
      <c r="T75" s="411"/>
    </row>
    <row r="76" spans="1:20" s="407" customFormat="1" ht="27" customHeight="1">
      <c r="D76" s="418" t="s">
        <v>715</v>
      </c>
      <c r="F76" s="418" t="s">
        <v>10</v>
      </c>
      <c r="G76" s="418" t="s">
        <v>1347</v>
      </c>
      <c r="I76" s="418" t="s">
        <v>708</v>
      </c>
      <c r="J76" s="418" t="s">
        <v>709</v>
      </c>
      <c r="K76" s="419" t="s">
        <v>710</v>
      </c>
      <c r="L76" s="418" t="s">
        <v>711</v>
      </c>
      <c r="M76" s="419" t="s">
        <v>712</v>
      </c>
      <c r="N76" s="418" t="s">
        <v>1329</v>
      </c>
      <c r="O76" s="419" t="s">
        <v>1330</v>
      </c>
      <c r="P76" s="418" t="s">
        <v>713</v>
      </c>
      <c r="Q76" s="419" t="s">
        <v>714</v>
      </c>
      <c r="R76" s="418" t="s">
        <v>605</v>
      </c>
      <c r="T76" s="418" t="s">
        <v>33</v>
      </c>
    </row>
    <row r="77" spans="1:20" ht="5.25" customHeight="1"/>
    <row r="78" spans="1:20" ht="14.25" customHeight="1">
      <c r="B78" s="266" t="s">
        <v>12</v>
      </c>
      <c r="C78" s="266" t="s">
        <v>12</v>
      </c>
      <c r="D78" s="646" t="s">
        <v>14</v>
      </c>
      <c r="E78" s="953"/>
      <c r="F78" s="649">
        <v>375000</v>
      </c>
      <c r="G78" s="709">
        <v>7.4999999999999997E-2</v>
      </c>
      <c r="H78" s="953"/>
      <c r="I78" s="647"/>
      <c r="J78" s="648"/>
      <c r="K78" s="647"/>
      <c r="L78" s="648"/>
      <c r="M78" s="647"/>
      <c r="N78" s="648"/>
      <c r="O78" s="647"/>
      <c r="P78" s="648"/>
      <c r="Q78" s="647"/>
      <c r="R78" s="647"/>
      <c r="S78" s="961"/>
      <c r="T78" s="647"/>
    </row>
    <row r="79" spans="1:20" ht="5.25" customHeight="1"/>
    <row r="80" spans="1:20" ht="11.25" customHeight="1">
      <c r="C80" s="266" t="s">
        <v>12</v>
      </c>
      <c r="D80" s="275" t="s">
        <v>608</v>
      </c>
      <c r="E80" s="954"/>
      <c r="F80" s="286">
        <v>275000</v>
      </c>
      <c r="G80" s="710">
        <v>5.5E-2</v>
      </c>
      <c r="H80" s="954"/>
      <c r="I80" s="276"/>
      <c r="J80" s="277"/>
      <c r="K80" s="276"/>
      <c r="L80" s="277"/>
      <c r="M80" s="276"/>
      <c r="N80" s="277"/>
      <c r="O80" s="276"/>
      <c r="P80" s="277"/>
      <c r="Q80" s="276"/>
      <c r="R80" s="276"/>
      <c r="S80" s="962"/>
      <c r="T80" s="276"/>
    </row>
    <row r="81" spans="3:20" ht="3" customHeight="1"/>
    <row r="82" spans="3:20" ht="11.25" customHeight="1">
      <c r="D82" s="291" t="s">
        <v>607</v>
      </c>
      <c r="E82" s="954"/>
      <c r="F82" s="294">
        <v>75000</v>
      </c>
      <c r="G82" s="720">
        <v>1.4999999999999999E-2</v>
      </c>
      <c r="H82" s="954"/>
      <c r="I82" s="292"/>
      <c r="J82" s="293"/>
      <c r="K82" s="292"/>
      <c r="L82" s="293"/>
      <c r="M82" s="292"/>
      <c r="N82" s="293"/>
      <c r="O82" s="292"/>
      <c r="P82" s="293"/>
      <c r="Q82" s="292"/>
      <c r="R82" s="292"/>
      <c r="S82" s="962"/>
      <c r="T82" s="292"/>
    </row>
    <row r="83" spans="3:20" ht="11.25" customHeight="1">
      <c r="D83" s="266" t="s">
        <v>4387</v>
      </c>
      <c r="F83" s="945">
        <v>24999.999999999993</v>
      </c>
      <c r="G83" s="946">
        <v>4.9999999999999984E-3</v>
      </c>
      <c r="H83" s="957"/>
      <c r="I83" s="946">
        <v>0</v>
      </c>
      <c r="J83" s="947">
        <v>0</v>
      </c>
      <c r="K83" s="946">
        <v>0</v>
      </c>
      <c r="L83" s="947">
        <v>0</v>
      </c>
      <c r="M83" s="946">
        <v>0</v>
      </c>
      <c r="N83" s="947">
        <v>0</v>
      </c>
      <c r="O83" s="946">
        <v>0</v>
      </c>
      <c r="P83" s="947">
        <v>0</v>
      </c>
      <c r="Q83" s="948">
        <v>0</v>
      </c>
      <c r="R83" s="949">
        <v>0</v>
      </c>
      <c r="T83" s="950">
        <v>2</v>
      </c>
    </row>
    <row r="84" spans="3:20" ht="11.25" customHeight="1">
      <c r="D84" s="282" t="s">
        <v>2106</v>
      </c>
      <c r="E84" s="282"/>
      <c r="F84" s="283">
        <v>50000</v>
      </c>
      <c r="G84" s="714">
        <v>0.01</v>
      </c>
      <c r="H84" s="959"/>
      <c r="I84" s="714">
        <v>-2.6209254154943351E-2</v>
      </c>
      <c r="J84" s="715">
        <v>-1.3105688655532575</v>
      </c>
      <c r="K84" s="714">
        <v>-5.410565108461407E-2</v>
      </c>
      <c r="L84" s="715">
        <v>-0.41960610095308148</v>
      </c>
      <c r="M84" s="714">
        <v>-4.9780049010324734E-2</v>
      </c>
      <c r="N84" s="715">
        <v>-0.25781050427545621</v>
      </c>
      <c r="O84" s="714">
        <v>0.26466732790772163</v>
      </c>
      <c r="P84" s="715">
        <v>1.1950463023682523</v>
      </c>
      <c r="Q84" s="716">
        <v>0.21356600809795592</v>
      </c>
      <c r="R84" s="284">
        <v>-0.85710999686543476</v>
      </c>
      <c r="S84" s="964"/>
      <c r="T84" s="285">
        <v>17</v>
      </c>
    </row>
    <row r="85" spans="3:20" ht="4.5" customHeight="1"/>
    <row r="86" spans="3:20" ht="11.25" customHeight="1">
      <c r="D86" s="291" t="s">
        <v>614</v>
      </c>
      <c r="E86" s="954"/>
      <c r="F86" s="294">
        <v>200000</v>
      </c>
      <c r="G86" s="720">
        <v>0.04</v>
      </c>
      <c r="H86" s="954"/>
      <c r="I86" s="292"/>
      <c r="J86" s="293"/>
      <c r="K86" s="292"/>
      <c r="L86" s="293"/>
      <c r="M86" s="292"/>
      <c r="N86" s="293"/>
      <c r="O86" s="292"/>
      <c r="P86" s="293"/>
      <c r="Q86" s="292"/>
      <c r="R86" s="292"/>
      <c r="S86" s="962"/>
      <c r="T86" s="292"/>
    </row>
    <row r="87" spans="3:20" ht="11.25" customHeight="1">
      <c r="D87" s="266" t="s">
        <v>2105</v>
      </c>
      <c r="F87" s="945">
        <v>100000</v>
      </c>
      <c r="G87" s="946">
        <v>0.02</v>
      </c>
      <c r="H87" s="957"/>
      <c r="I87" s="946">
        <v>-5.1987175660859197E-3</v>
      </c>
      <c r="J87" s="947">
        <v>-0.25995693515879609</v>
      </c>
      <c r="K87" s="946">
        <v>0.16114079164815909</v>
      </c>
      <c r="L87" s="947">
        <v>1.2496968049092503</v>
      </c>
      <c r="M87" s="946">
        <v>0.10111537415727412</v>
      </c>
      <c r="N87" s="947">
        <v>0.52367577211668592</v>
      </c>
      <c r="O87" s="946">
        <v>0.32990953698811842</v>
      </c>
      <c r="P87" s="947">
        <v>1.489632949447897</v>
      </c>
      <c r="Q87" s="948">
        <v>0.18787019449253148</v>
      </c>
      <c r="R87" s="949">
        <v>0.17137834071199984</v>
      </c>
      <c r="T87" s="950">
        <v>61</v>
      </c>
    </row>
    <row r="88" spans="3:20" ht="11.25" customHeight="1">
      <c r="D88" s="282" t="s">
        <v>1722</v>
      </c>
      <c r="E88" s="282"/>
      <c r="F88" s="283">
        <v>100000</v>
      </c>
      <c r="G88" s="714">
        <v>0.02</v>
      </c>
      <c r="H88" s="959"/>
      <c r="I88" s="714">
        <v>-1.420579947578049E-3</v>
      </c>
      <c r="J88" s="715">
        <v>-7.1034751287415779E-2</v>
      </c>
      <c r="K88" s="714">
        <v>0.22458003083821465</v>
      </c>
      <c r="L88" s="715">
        <v>1.7416877757292812</v>
      </c>
      <c r="M88" s="714">
        <v>0.23286256157268315</v>
      </c>
      <c r="N88" s="715">
        <v>1.2059934776977892</v>
      </c>
      <c r="O88" s="714">
        <v>0</v>
      </c>
      <c r="P88" s="715">
        <v>0</v>
      </c>
      <c r="Q88" s="716">
        <v>0.1720803587381261</v>
      </c>
      <c r="R88" s="284">
        <v>0.55576430740109317</v>
      </c>
      <c r="S88" s="964"/>
      <c r="T88" s="285">
        <v>32</v>
      </c>
    </row>
    <row r="89" spans="3:20" ht="5.25" customHeight="1"/>
    <row r="90" spans="3:20" ht="11.25" customHeight="1">
      <c r="C90" s="266" t="s">
        <v>12</v>
      </c>
      <c r="D90" s="275" t="s">
        <v>628</v>
      </c>
      <c r="E90" s="954"/>
      <c r="F90" s="286">
        <v>100000</v>
      </c>
      <c r="G90" s="710">
        <v>0.02</v>
      </c>
      <c r="H90" s="954"/>
      <c r="I90" s="276"/>
      <c r="J90" s="277"/>
      <c r="K90" s="276"/>
      <c r="L90" s="277"/>
      <c r="M90" s="276"/>
      <c r="N90" s="277"/>
      <c r="O90" s="276"/>
      <c r="P90" s="277"/>
      <c r="Q90" s="276"/>
      <c r="R90" s="276"/>
      <c r="S90" s="962"/>
      <c r="T90" s="276"/>
    </row>
    <row r="91" spans="3:20" ht="3" customHeight="1"/>
    <row r="92" spans="3:20" ht="11.25" customHeight="1">
      <c r="D92" s="291" t="s">
        <v>609</v>
      </c>
      <c r="E92" s="954"/>
      <c r="F92" s="294">
        <v>50000</v>
      </c>
      <c r="G92" s="720">
        <v>0.01</v>
      </c>
      <c r="H92" s="954"/>
      <c r="I92" s="292"/>
      <c r="J92" s="293"/>
      <c r="K92" s="292"/>
      <c r="L92" s="293"/>
      <c r="M92" s="292"/>
      <c r="N92" s="293"/>
      <c r="O92" s="292"/>
      <c r="P92" s="293"/>
      <c r="Q92" s="292"/>
      <c r="R92" s="292"/>
      <c r="S92" s="962"/>
      <c r="T92" s="292"/>
    </row>
    <row r="93" spans="3:20" ht="11.25" customHeight="1">
      <c r="D93" s="287" t="s">
        <v>464</v>
      </c>
      <c r="E93" s="287"/>
      <c r="F93" s="288">
        <v>50000</v>
      </c>
      <c r="G93" s="711">
        <v>0.01</v>
      </c>
      <c r="H93" s="960"/>
      <c r="I93" s="711">
        <v>0</v>
      </c>
      <c r="J93" s="712">
        <v>0</v>
      </c>
      <c r="K93" s="711">
        <v>0</v>
      </c>
      <c r="L93" s="712">
        <v>0</v>
      </c>
      <c r="M93" s="711">
        <v>0</v>
      </c>
      <c r="N93" s="712">
        <v>0</v>
      </c>
      <c r="O93" s="711">
        <v>0</v>
      </c>
      <c r="P93" s="712">
        <v>0</v>
      </c>
      <c r="Q93" s="713">
        <v>0</v>
      </c>
      <c r="R93" s="289">
        <v>0</v>
      </c>
      <c r="S93" s="965"/>
      <c r="T93" s="290" t="s">
        <v>34</v>
      </c>
    </row>
    <row r="94" spans="3:20" ht="4.5" customHeight="1"/>
    <row r="95" spans="3:20" ht="11.25" customHeight="1">
      <c r="D95" s="291" t="s">
        <v>612</v>
      </c>
      <c r="E95" s="954"/>
      <c r="F95" s="294">
        <v>25000</v>
      </c>
      <c r="G95" s="720">
        <v>5.0000000000000001E-3</v>
      </c>
      <c r="H95" s="954"/>
      <c r="I95" s="292"/>
      <c r="J95" s="293"/>
      <c r="K95" s="292"/>
      <c r="L95" s="293"/>
      <c r="M95" s="292"/>
      <c r="N95" s="293"/>
      <c r="O95" s="292"/>
      <c r="P95" s="293"/>
      <c r="Q95" s="292"/>
      <c r="R95" s="292"/>
      <c r="S95" s="962"/>
      <c r="T95" s="292"/>
    </row>
    <row r="96" spans="3:20" ht="11.25" customHeight="1">
      <c r="D96" s="287" t="s">
        <v>2087</v>
      </c>
      <c r="E96" s="287"/>
      <c r="F96" s="288">
        <v>25000</v>
      </c>
      <c r="G96" s="711">
        <v>5.0000000000000001E-3</v>
      </c>
      <c r="H96" s="960"/>
      <c r="I96" s="711">
        <v>1.2067749060122868E-3</v>
      </c>
      <c r="J96" s="712">
        <v>6.0343633214467562E-2</v>
      </c>
      <c r="K96" s="711">
        <v>-0.13412813707813498</v>
      </c>
      <c r="L96" s="712">
        <v>-1.0402052927787646</v>
      </c>
      <c r="M96" s="711">
        <v>0</v>
      </c>
      <c r="N96" s="712">
        <v>0</v>
      </c>
      <c r="O96" s="711">
        <v>0</v>
      </c>
      <c r="P96" s="712">
        <v>0</v>
      </c>
      <c r="Q96" s="713">
        <v>0.31020187896316098</v>
      </c>
      <c r="R96" s="289">
        <v>-0.84806722449339289</v>
      </c>
      <c r="S96" s="965"/>
      <c r="T96" s="290">
        <v>5</v>
      </c>
    </row>
    <row r="97" spans="2:20" ht="4.5" customHeight="1"/>
    <row r="98" spans="2:20" ht="11.25" customHeight="1">
      <c r="D98" s="291" t="s">
        <v>696</v>
      </c>
      <c r="E98" s="954"/>
      <c r="F98" s="294">
        <v>25000</v>
      </c>
      <c r="G98" s="720">
        <v>5.0000000000000001E-3</v>
      </c>
      <c r="H98" s="954"/>
      <c r="I98" s="292"/>
      <c r="J98" s="293"/>
      <c r="K98" s="292"/>
      <c r="L98" s="293"/>
      <c r="M98" s="292"/>
      <c r="N98" s="293"/>
      <c r="O98" s="292"/>
      <c r="P98" s="293"/>
      <c r="Q98" s="292"/>
      <c r="R98" s="292"/>
      <c r="S98" s="962"/>
      <c r="T98" s="292"/>
    </row>
    <row r="99" spans="2:20" ht="11.25" customHeight="1">
      <c r="D99" s="287" t="s">
        <v>2721</v>
      </c>
      <c r="E99" s="287"/>
      <c r="F99" s="288">
        <v>25000</v>
      </c>
      <c r="G99" s="711">
        <v>5.0000000000000001E-3</v>
      </c>
      <c r="H99" s="960"/>
      <c r="I99" s="711">
        <v>1.2462345122398855E-2</v>
      </c>
      <c r="J99" s="712">
        <v>0.62316773352800281</v>
      </c>
      <c r="K99" s="711">
        <v>-0.16289022140216336</v>
      </c>
      <c r="L99" s="712">
        <v>-1.2632641751054068</v>
      </c>
      <c r="M99" s="711">
        <v>-0.12301006259354041</v>
      </c>
      <c r="N99" s="712">
        <v>-0.63706820098988903</v>
      </c>
      <c r="O99" s="711">
        <v>0.37607338922508426</v>
      </c>
      <c r="P99" s="712">
        <v>1.6980755303851827</v>
      </c>
      <c r="Q99" s="713">
        <v>0.25879279733675858</v>
      </c>
      <c r="R99" s="289">
        <v>-1.1276748574621167</v>
      </c>
      <c r="S99" s="965"/>
      <c r="T99" s="290">
        <v>5</v>
      </c>
    </row>
    <row r="100" spans="2:20" ht="7.5" customHeight="1"/>
    <row r="101" spans="2:20" ht="11.25" customHeight="1">
      <c r="B101" s="266" t="s">
        <v>1343</v>
      </c>
      <c r="C101" s="266" t="s">
        <v>1343</v>
      </c>
      <c r="D101" s="295" t="s">
        <v>1426</v>
      </c>
      <c r="E101" s="955"/>
      <c r="F101" s="296">
        <v>5000000.0000000009</v>
      </c>
      <c r="G101" s="721">
        <v>1.0000000000000002</v>
      </c>
      <c r="H101" s="955"/>
      <c r="I101" s="297"/>
      <c r="J101" s="298"/>
      <c r="K101" s="297"/>
      <c r="L101" s="298"/>
      <c r="M101" s="297"/>
      <c r="N101" s="298"/>
      <c r="O101" s="297"/>
      <c r="P101" s="298"/>
      <c r="Q101" s="297"/>
      <c r="R101" s="297"/>
      <c r="S101" s="966"/>
      <c r="T101" s="297"/>
    </row>
  </sheetData>
  <mergeCells count="1">
    <mergeCell ref="F2:G2"/>
  </mergeCells>
  <printOptions horizontalCentered="1"/>
  <pageMargins left="0.25" right="0.25" top="0.5" bottom="0.5" header="0" footer="0"/>
  <pageSetup paperSize="9" pageOrder="overThenDown" orientation="landscape" r:id="rId1"/>
  <headerFooter>
    <oddHeader>&amp;R&amp;G</oddHeader>
    <oddFooter>&amp;L&amp;10 14/03/2023</oddFooter>
  </headerFooter>
  <rowBreaks count="2" manualBreakCount="2">
    <brk id="30" max="16383" man="1"/>
    <brk id="73"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7" r:id="rId5" name="Button 3">
              <controlPr defaultSize="0" print="0" autoFill="0" autoPict="0" macro="[0]!PrintPDF_portfolio">
                <anchor moveWithCells="1" sizeWithCells="1">
                  <from>
                    <xdr:col>5</xdr:col>
                    <xdr:colOff>847725</xdr:colOff>
                    <xdr:row>0</xdr:row>
                    <xdr:rowOff>28575</xdr:rowOff>
                  </from>
                  <to>
                    <xdr:col>9</xdr:col>
                    <xdr:colOff>419100</xdr:colOff>
                    <xdr:row>0</xdr:row>
                    <xdr:rowOff>314325</xdr:rowOff>
                  </to>
                </anchor>
              </controlPr>
            </control>
          </mc:Choice>
        </mc:AlternateContent>
        <mc:AlternateContent xmlns:mc="http://schemas.openxmlformats.org/markup-compatibility/2006">
          <mc:Choice Requires="x14">
            <control shapeId="11268" r:id="rId6" name="Button 4">
              <controlPr defaultSize="0" print="0" autoFill="0" autoPict="0" macro="[0]!PrintPDF_simulation">
                <anchor moveWithCells="1" sizeWithCells="1">
                  <from>
                    <xdr:col>10</xdr:col>
                    <xdr:colOff>104775</xdr:colOff>
                    <xdr:row>0</xdr:row>
                    <xdr:rowOff>9525</xdr:rowOff>
                  </from>
                  <to>
                    <xdr:col>13</xdr:col>
                    <xdr:colOff>19050</xdr:colOff>
                    <xdr:row>0</xdr:row>
                    <xdr:rowOff>409575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tint="0.79998168889431442"/>
  </sheetPr>
  <dimension ref="A1:Y151"/>
  <sheetViews>
    <sheetView showGridLines="0" showRowColHeaders="0" showRuler="0" view="pageLayout" topLeftCell="A128" zoomScale="90" zoomScaleNormal="80" zoomScalePageLayoutView="90" workbookViewId="0">
      <selection activeCell="U21" sqref="U21"/>
    </sheetView>
  </sheetViews>
  <sheetFormatPr defaultColWidth="10.69921875" defaultRowHeight="11.25"/>
  <cols>
    <col min="1" max="1" width="2.19921875" style="269" customWidth="1"/>
    <col min="2" max="2" width="0.296875" style="266" customWidth="1"/>
    <col min="3" max="3" width="17.19921875" style="266" customWidth="1"/>
    <col min="4" max="6" width="4.19921875" style="266" customWidth="1"/>
    <col min="7" max="22" width="4.19921875" style="269" customWidth="1"/>
    <col min="23" max="23" width="4.09765625" style="269" customWidth="1"/>
    <col min="24" max="24" width="4.19921875" style="269" customWidth="1"/>
    <col min="25" max="25" width="5.5" style="266" customWidth="1"/>
    <col min="26" max="16384" width="10.69921875" style="266"/>
  </cols>
  <sheetData>
    <row r="1" spans="1:25" s="409" customFormat="1" ht="20.25" customHeight="1">
      <c r="B1" s="536" t="s">
        <v>2558</v>
      </c>
      <c r="G1" s="410"/>
      <c r="H1" s="410"/>
      <c r="I1" s="410"/>
      <c r="J1" s="410"/>
      <c r="K1" s="411"/>
      <c r="L1" s="411"/>
      <c r="O1" s="411"/>
      <c r="P1" s="411"/>
      <c r="Q1" s="411"/>
      <c r="R1" s="411"/>
      <c r="S1" s="411"/>
      <c r="T1" s="411"/>
      <c r="U1" s="411"/>
      <c r="V1" s="411"/>
      <c r="W1" s="411"/>
      <c r="X1" s="412"/>
    </row>
    <row r="2" spans="1:25" s="409" customFormat="1" ht="3.75" customHeight="1">
      <c r="B2" s="411"/>
      <c r="G2" s="411"/>
      <c r="H2" s="411"/>
      <c r="I2" s="417"/>
      <c r="J2" s="417"/>
      <c r="K2" s="411"/>
      <c r="L2" s="411"/>
      <c r="M2" s="411"/>
      <c r="N2" s="411"/>
      <c r="O2" s="411"/>
      <c r="P2" s="411"/>
      <c r="Q2" s="411"/>
      <c r="R2" s="411"/>
      <c r="S2" s="411"/>
      <c r="T2" s="411"/>
      <c r="U2" s="411"/>
      <c r="V2" s="411"/>
      <c r="W2" s="411"/>
      <c r="X2" s="412"/>
    </row>
    <row r="3" spans="1:25" s="414" customFormat="1" ht="16.5" customHeight="1">
      <c r="B3" s="274" t="str">
        <f>'Portfólio Final'!D2</f>
        <v>Nome Cliente</v>
      </c>
      <c r="E3" s="599"/>
      <c r="F3" s="599"/>
      <c r="G3" s="599"/>
      <c r="H3" s="599"/>
      <c r="I3" s="599"/>
      <c r="J3" s="530"/>
      <c r="O3" s="415"/>
      <c r="P3" s="415"/>
      <c r="Q3" s="415"/>
      <c r="R3" s="415"/>
      <c r="S3" s="415"/>
      <c r="T3" s="415"/>
      <c r="U3" s="415"/>
      <c r="V3" s="415"/>
      <c r="W3" s="415"/>
      <c r="X3" s="412"/>
    </row>
    <row r="4" spans="1:25" ht="12" customHeight="1">
      <c r="B4" s="269"/>
    </row>
    <row r="5" spans="1:25" s="643" customFormat="1" ht="22.5" customHeight="1" thickBot="1">
      <c r="A5" s="639"/>
      <c r="B5" s="638" t="s">
        <v>2454</v>
      </c>
      <c r="C5" s="640"/>
      <c r="D5" s="640"/>
      <c r="E5" s="640"/>
      <c r="F5" s="640"/>
      <c r="G5" s="641"/>
      <c r="H5" s="641"/>
      <c r="I5" s="641"/>
      <c r="J5" s="641"/>
      <c r="K5" s="641"/>
      <c r="L5" s="641"/>
      <c r="M5" s="641"/>
      <c r="N5" s="641"/>
      <c r="O5" s="641"/>
      <c r="P5" s="641"/>
      <c r="Q5" s="641"/>
      <c r="R5" s="641"/>
      <c r="S5" s="641"/>
      <c r="T5" s="641"/>
      <c r="U5" s="641"/>
      <c r="V5" s="641"/>
      <c r="W5" s="642"/>
      <c r="X5" s="642"/>
      <c r="Y5" s="642" t="str">
        <f ca="1">TEXT(AccReturns!$B$3, "dd/mm/yyyy")&amp;" - "&amp;TEXT(OFFSET(AccReturns!$B$2,COUNTA(AccReturns!$B:$B),), "dd/mm/yyyy")</f>
        <v>02/01/2020 - 31/01/2023</v>
      </c>
    </row>
    <row r="7" spans="1:25" s="539" customFormat="1" ht="15.75">
      <c r="C7" s="1024" t="s">
        <v>2551</v>
      </c>
      <c r="D7" s="1024"/>
      <c r="E7" s="1024"/>
      <c r="F7" s="1024" t="s">
        <v>2444</v>
      </c>
      <c r="G7" s="1024"/>
      <c r="H7" s="1024"/>
      <c r="I7" s="1024"/>
      <c r="J7" s="1024"/>
      <c r="K7" s="1024"/>
      <c r="L7" s="1024" t="s">
        <v>2552</v>
      </c>
      <c r="M7" s="1024"/>
      <c r="N7" s="1024"/>
      <c r="O7" s="1024"/>
      <c r="P7" s="1024"/>
      <c r="Q7" s="1024"/>
      <c r="R7" s="590"/>
      <c r="S7" s="1024" t="s">
        <v>2557</v>
      </c>
      <c r="T7" s="1024"/>
      <c r="U7" s="1024"/>
      <c r="V7" s="1024"/>
      <c r="W7" s="1024"/>
      <c r="X7" s="538"/>
    </row>
    <row r="8" spans="1:25" ht="4.5" customHeight="1">
      <c r="C8" s="197"/>
      <c r="D8" s="197"/>
      <c r="E8" s="197"/>
      <c r="F8" s="197"/>
      <c r="G8" s="245"/>
      <c r="H8" s="245"/>
      <c r="I8" s="245"/>
      <c r="J8" s="245"/>
      <c r="K8" s="245"/>
      <c r="L8" s="245"/>
      <c r="M8" s="245"/>
      <c r="N8" s="245"/>
      <c r="O8" s="245"/>
      <c r="P8" s="245"/>
      <c r="Q8" s="245"/>
      <c r="R8" s="245"/>
      <c r="S8" s="245"/>
      <c r="T8" s="245"/>
      <c r="U8" s="245"/>
      <c r="V8" s="245"/>
    </row>
    <row r="9" spans="1:25" ht="15.75">
      <c r="C9" s="197"/>
      <c r="D9" s="197"/>
      <c r="E9" s="197"/>
      <c r="F9" s="197"/>
      <c r="G9" s="245"/>
      <c r="H9" s="245"/>
      <c r="I9" s="245"/>
      <c r="J9" s="245"/>
      <c r="K9" s="245"/>
      <c r="L9" s="245"/>
      <c r="M9" s="245"/>
      <c r="N9" s="245"/>
      <c r="O9" s="245"/>
      <c r="P9" s="245"/>
      <c r="Q9" s="245"/>
      <c r="R9" s="245"/>
      <c r="S9" s="245"/>
      <c r="T9" s="245"/>
      <c r="U9" s="245"/>
      <c r="V9" s="245"/>
    </row>
    <row r="20" spans="1:25" s="643" customFormat="1" ht="22.5" customHeight="1" thickBot="1">
      <c r="A20" s="639"/>
      <c r="B20" s="638" t="s">
        <v>2556</v>
      </c>
      <c r="C20" s="640"/>
      <c r="D20" s="640"/>
      <c r="E20" s="640"/>
      <c r="F20" s="640"/>
      <c r="G20" s="641"/>
      <c r="H20" s="641"/>
      <c r="I20" s="641"/>
      <c r="J20" s="641"/>
      <c r="K20" s="641"/>
      <c r="L20" s="641"/>
      <c r="M20" s="641"/>
      <c r="N20" s="641"/>
      <c r="O20" s="641"/>
      <c r="P20" s="641"/>
      <c r="Q20" s="641"/>
      <c r="R20" s="641"/>
      <c r="S20" s="641"/>
      <c r="T20" s="641"/>
      <c r="U20" s="641"/>
      <c r="V20" s="641"/>
      <c r="W20" s="642"/>
      <c r="X20" s="642"/>
      <c r="Y20" s="642"/>
    </row>
    <row r="23" spans="1:25" ht="15.75">
      <c r="B23" s="569" t="s">
        <v>2553</v>
      </c>
      <c r="M23" s="569" t="s">
        <v>2554</v>
      </c>
    </row>
    <row r="26" spans="1:25" ht="15" customHeight="1" thickBot="1">
      <c r="B26" s="593"/>
      <c r="C26" s="596" t="str" cm="1">
        <f t="array" aca="1" ref="C26:C28" ca="1">allocation_class2</f>
        <v>Renda Fixa (RF) - 47.50%</v>
      </c>
      <c r="D26" s="618"/>
    </row>
    <row r="27" spans="1:25" ht="15" customHeight="1" thickBot="1">
      <c r="B27" s="594"/>
      <c r="C27" s="596" t="str">
        <f ca="1"/>
        <v>Multimercado (MM) - 33.50%</v>
      </c>
      <c r="D27" s="619"/>
    </row>
    <row r="28" spans="1:25" ht="15" customHeight="1">
      <c r="B28" s="595"/>
      <c r="C28" s="596" t="str">
        <f ca="1"/>
        <v>Renda Variável (RV) - 19.00%</v>
      </c>
      <c r="D28" s="620"/>
    </row>
    <row r="43" spans="2:25" ht="15" customHeight="1"/>
    <row r="44" spans="2:25" ht="15" customHeight="1"/>
    <row r="45" spans="2:25" ht="22.5" customHeight="1" thickBot="1">
      <c r="B45" s="537" t="s">
        <v>2456</v>
      </c>
      <c r="C45" s="644"/>
      <c r="D45" s="534"/>
      <c r="E45" s="534"/>
      <c r="F45" s="534"/>
      <c r="G45" s="535"/>
      <c r="H45" s="535"/>
      <c r="I45" s="535"/>
      <c r="J45" s="535"/>
      <c r="K45" s="535"/>
      <c r="L45" s="535"/>
      <c r="M45" s="535"/>
      <c r="N45" s="535"/>
      <c r="O45" s="535"/>
      <c r="P45" s="535"/>
      <c r="Q45" s="535"/>
      <c r="R45" s="535"/>
      <c r="S45" s="535"/>
      <c r="T45" s="535"/>
      <c r="U45" s="535"/>
      <c r="V45" s="535"/>
      <c r="W45" s="535"/>
      <c r="X45" s="535"/>
      <c r="Y45" s="547" t="str">
        <f ca="1">TEXT(AccReturns!$B$3, "dd/mm/yyyy")&amp;" - "&amp;TEXT(OFFSET(AccReturns!$B$2,COUNTA(AccReturns!$B:$B),), "dd/mm/yyyy")</f>
        <v>02/01/2020 - 31/01/2023</v>
      </c>
    </row>
    <row r="47" spans="2:25" s="539" customFormat="1" ht="15" customHeight="1">
      <c r="X47" s="540"/>
    </row>
    <row r="74" spans="1:24" s="539" customFormat="1" ht="30.75" customHeight="1">
      <c r="A74" s="540"/>
      <c r="C74" s="541"/>
      <c r="D74" s="541"/>
      <c r="E74" s="1025" t="s">
        <v>2457</v>
      </c>
      <c r="F74" s="1025"/>
      <c r="G74" s="1025" t="s">
        <v>2448</v>
      </c>
      <c r="H74" s="1025"/>
      <c r="I74" s="1025" t="s">
        <v>2458</v>
      </c>
      <c r="J74" s="1025"/>
      <c r="K74" s="1025" t="s">
        <v>2459</v>
      </c>
      <c r="L74" s="1025"/>
      <c r="M74" s="1025" t="s">
        <v>2460</v>
      </c>
      <c r="N74" s="1025"/>
      <c r="O74" s="1026" t="str">
        <f>"Saldo Inicial
"&amp;TEXT('Criação de Portfólio'!$Y$2, "dd/mm/yyyy")</f>
        <v>Saldo Inicial
01/01/2020</v>
      </c>
      <c r="P74" s="1026"/>
      <c r="Q74" s="1026"/>
      <c r="R74" s="1026"/>
      <c r="S74" s="1026" t="str">
        <f ca="1">"Saldo Final
"&amp;TEXT('Criação de Portfólio'!$Y$3, "dd/mm/yyyy")</f>
        <v>Saldo Final
31/03/2023</v>
      </c>
      <c r="T74" s="1026"/>
      <c r="U74" s="1026"/>
      <c r="V74" s="1026"/>
      <c r="W74" s="540"/>
      <c r="X74" s="540"/>
    </row>
    <row r="75" spans="1:24" s="539" customFormat="1" ht="15">
      <c r="A75" s="540"/>
      <c r="C75" s="545" t="str">
        <f>'Performance Measurement'!B12</f>
        <v>Portfólio Sugerido</v>
      </c>
      <c r="D75" s="571"/>
      <c r="E75" s="1027">
        <f>'Performance Measurement'!C12</f>
        <v>1.6101324120634253E-2</v>
      </c>
      <c r="F75" s="1027"/>
      <c r="G75" s="1027">
        <f>'Performance Measurement'!D12</f>
        <v>1.6101324120634253E-2</v>
      </c>
      <c r="H75" s="1027"/>
      <c r="I75" s="1027">
        <f>'Performance Measurement'!E12</f>
        <v>7.228949273531704E-2</v>
      </c>
      <c r="J75" s="1027"/>
      <c r="K75" s="1027">
        <f>'Performance Measurement'!F12</f>
        <v>0.13779463324127272</v>
      </c>
      <c r="L75" s="1027"/>
      <c r="M75" s="1027">
        <f>'Performance Measurement'!G12</f>
        <v>0.24592433007470293</v>
      </c>
      <c r="N75" s="1027"/>
      <c r="O75" s="1028">
        <f>'Performance Measurement'!H12</f>
        <v>5000000</v>
      </c>
      <c r="P75" s="1028"/>
      <c r="Q75" s="1028"/>
      <c r="R75" s="1028"/>
      <c r="S75" s="1028">
        <f>'Performance Measurement'!I12</f>
        <v>6856658.9088288769</v>
      </c>
      <c r="T75" s="1028"/>
      <c r="U75" s="1028"/>
      <c r="V75" s="1028"/>
      <c r="W75" s="540"/>
      <c r="X75" s="540"/>
    </row>
    <row r="76" spans="1:24" ht="3" customHeight="1">
      <c r="C76" s="543"/>
      <c r="D76" s="543"/>
      <c r="E76" s="543"/>
      <c r="F76" s="543"/>
      <c r="G76" s="544"/>
      <c r="H76" s="544"/>
      <c r="I76" s="544"/>
      <c r="J76" s="544"/>
      <c r="K76" s="544"/>
      <c r="L76" s="544"/>
      <c r="M76" s="544"/>
      <c r="N76" s="544"/>
      <c r="O76" s="544"/>
      <c r="P76" s="544"/>
      <c r="Q76" s="544"/>
      <c r="R76" s="544"/>
      <c r="S76" s="544"/>
      <c r="T76" s="544"/>
      <c r="U76" s="544"/>
      <c r="V76" s="544"/>
    </row>
    <row r="77" spans="1:24" s="539" customFormat="1" ht="15">
      <c r="A77" s="540"/>
      <c r="C77" s="546" t="str">
        <f>'Performance Measurement'!B13</f>
        <v>CDI</v>
      </c>
      <c r="D77" s="571"/>
      <c r="E77" s="1027">
        <f>'Performance Measurement'!C13</f>
        <v>1.1233155156776142E-2</v>
      </c>
      <c r="F77" s="1027"/>
      <c r="G77" s="1027">
        <f>'Performance Measurement'!D13</f>
        <v>1.1233155156776142E-2</v>
      </c>
      <c r="H77" s="1027"/>
      <c r="I77" s="1027">
        <f>'Performance Measurement'!E13</f>
        <v>6.655298978736357E-2</v>
      </c>
      <c r="J77" s="1027"/>
      <c r="K77" s="1027">
        <f>'Performance Measurement'!F13</f>
        <v>0.12770045706709698</v>
      </c>
      <c r="L77" s="1027"/>
      <c r="M77" s="1027">
        <f>'Performance Measurement'!G13</f>
        <v>0.1844382678683143</v>
      </c>
      <c r="N77" s="1027"/>
      <c r="O77" s="1028">
        <f>'Performance Measurement'!H13</f>
        <v>5000000</v>
      </c>
      <c r="P77" s="1028"/>
      <c r="Q77" s="1028"/>
      <c r="R77" s="1028"/>
      <c r="S77" s="1028">
        <f>'Performance Measurement'!I13</f>
        <v>6094611.7271537185</v>
      </c>
      <c r="T77" s="1028"/>
      <c r="U77" s="1028"/>
      <c r="V77" s="1028"/>
      <c r="W77" s="540"/>
      <c r="X77" s="540"/>
    </row>
    <row r="81" spans="2:25" ht="15">
      <c r="Q81" s="542"/>
      <c r="R81" s="542"/>
      <c r="S81" s="570"/>
      <c r="T81" s="570"/>
      <c r="U81" s="570"/>
      <c r="V81" s="570"/>
    </row>
    <row r="82" spans="2:25" ht="15">
      <c r="Q82" s="542"/>
      <c r="R82" s="542"/>
      <c r="S82" s="570"/>
      <c r="T82" s="570"/>
      <c r="U82" s="570"/>
      <c r="V82" s="570"/>
    </row>
    <row r="83" spans="2:25" ht="15">
      <c r="Q83" s="542"/>
      <c r="R83" s="542"/>
      <c r="S83" s="570"/>
      <c r="T83" s="570"/>
      <c r="U83" s="570"/>
      <c r="V83" s="570"/>
    </row>
    <row r="84" spans="2:25" ht="15">
      <c r="Q84" s="542"/>
      <c r="R84" s="542"/>
      <c r="S84" s="570"/>
      <c r="T84" s="570"/>
      <c r="U84" s="570"/>
      <c r="V84" s="570"/>
    </row>
    <row r="85" spans="2:25" ht="15">
      <c r="Q85" s="542"/>
      <c r="R85" s="542"/>
      <c r="S85" s="570"/>
      <c r="T85" s="570"/>
      <c r="U85" s="570"/>
      <c r="V85" s="570"/>
    </row>
    <row r="86" spans="2:25" ht="22.5" customHeight="1" thickBot="1">
      <c r="B86" s="537" t="s">
        <v>2461</v>
      </c>
      <c r="C86" s="644"/>
      <c r="D86" s="534"/>
      <c r="E86" s="534"/>
      <c r="F86" s="534"/>
      <c r="G86" s="535"/>
      <c r="H86" s="535"/>
      <c r="I86" s="535"/>
      <c r="J86" s="535"/>
      <c r="K86" s="535"/>
      <c r="L86" s="535"/>
      <c r="M86" s="535"/>
      <c r="N86" s="535"/>
      <c r="O86" s="535"/>
      <c r="P86" s="535"/>
      <c r="Q86" s="535"/>
      <c r="R86" s="535"/>
      <c r="S86" s="535"/>
      <c r="T86" s="535"/>
      <c r="U86" s="535"/>
      <c r="V86" s="535"/>
      <c r="W86" s="535"/>
      <c r="X86" s="535"/>
      <c r="Y86" s="547" t="str">
        <f ca="1">TEXT(AccReturns!$B$3, "dd/mm/yyyy")&amp;" - "&amp;TEXT(OFFSET(AccReturns!$B$2,COUNTA(AccReturns!$B:$B),), "dd/mm/yyyy")</f>
        <v>02/01/2020 - 31/01/2023</v>
      </c>
    </row>
    <row r="88" spans="2:25" ht="15.75">
      <c r="C88" s="569" t="s">
        <v>2462</v>
      </c>
    </row>
    <row r="107" spans="3:3" ht="15.75">
      <c r="C107" s="569" t="s">
        <v>2677</v>
      </c>
    </row>
    <row r="128" spans="17:22" ht="15">
      <c r="Q128" s="542"/>
      <c r="R128" s="542"/>
      <c r="S128" s="570"/>
      <c r="T128" s="570"/>
      <c r="U128" s="570"/>
      <c r="V128" s="570"/>
    </row>
    <row r="129" spans="2:25" ht="15">
      <c r="Q129" s="542"/>
      <c r="R129" s="542"/>
      <c r="S129" s="570"/>
      <c r="T129" s="570"/>
      <c r="U129" s="570"/>
      <c r="V129" s="570"/>
    </row>
    <row r="130" spans="2:25" ht="22.5" customHeight="1" thickBot="1">
      <c r="B130" s="537" t="s">
        <v>2461</v>
      </c>
      <c r="C130" s="644"/>
      <c r="D130" s="534"/>
      <c r="E130" s="534"/>
      <c r="F130" s="534"/>
      <c r="G130" s="535"/>
      <c r="H130" s="535"/>
      <c r="I130" s="535"/>
      <c r="J130" s="535"/>
      <c r="K130" s="535"/>
      <c r="L130" s="535"/>
      <c r="M130" s="535"/>
      <c r="N130" s="535"/>
      <c r="O130" s="535"/>
      <c r="P130" s="535"/>
      <c r="Q130" s="535"/>
      <c r="R130" s="535"/>
      <c r="S130" s="535"/>
      <c r="T130" s="535"/>
      <c r="U130" s="535"/>
      <c r="V130" s="535"/>
      <c r="W130" s="535"/>
      <c r="X130" s="535"/>
      <c r="Y130" s="547" t="str">
        <f ca="1">TEXT(AccReturns!$B$3, "dd/mm/yyyy")&amp;" - "&amp;TEXT(OFFSET(AccReturns!$B$2,COUNTA(AccReturns!$B:$B),), "dd/mm/yyyy")</f>
        <v>02/01/2020 - 31/01/2023</v>
      </c>
    </row>
    <row r="132" spans="2:25" ht="15.75">
      <c r="C132" s="569" t="s">
        <v>2678</v>
      </c>
    </row>
    <row r="151" spans="3:3" ht="15.75">
      <c r="C151" s="569"/>
    </row>
  </sheetData>
  <mergeCells count="25">
    <mergeCell ref="O75:R75"/>
    <mergeCell ref="O77:R77"/>
    <mergeCell ref="S75:V75"/>
    <mergeCell ref="S77:V77"/>
    <mergeCell ref="S74:V74"/>
    <mergeCell ref="K75:L75"/>
    <mergeCell ref="K77:L77"/>
    <mergeCell ref="M75:N75"/>
    <mergeCell ref="M77:N77"/>
    <mergeCell ref="E75:F75"/>
    <mergeCell ref="E77:F77"/>
    <mergeCell ref="G75:H75"/>
    <mergeCell ref="G77:H77"/>
    <mergeCell ref="I75:J75"/>
    <mergeCell ref="I77:J77"/>
    <mergeCell ref="S7:W7"/>
    <mergeCell ref="L7:Q7"/>
    <mergeCell ref="F7:K7"/>
    <mergeCell ref="C7:E7"/>
    <mergeCell ref="M74:N74"/>
    <mergeCell ref="K74:L74"/>
    <mergeCell ref="E74:F74"/>
    <mergeCell ref="G74:H74"/>
    <mergeCell ref="I74:J74"/>
    <mergeCell ref="O74:R74"/>
  </mergeCells>
  <printOptions horizontalCentered="1"/>
  <pageMargins left="0.25" right="0.25" top="0.75" bottom="0.5" header="0" footer="0"/>
  <pageSetup paperSize="9" pageOrder="overThenDown" orientation="landscape" r:id="rId1"/>
  <headerFooter>
    <oddHeader>&amp;R&amp;G</oddHeader>
    <oddFooter>&amp;L&amp;10 16/11/2022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tint="0.79998168889431442"/>
  </sheetPr>
  <dimension ref="A1:AB44"/>
  <sheetViews>
    <sheetView showGridLines="0" showRuler="0" view="pageLayout" zoomScale="90" zoomScaleNormal="80" zoomScalePageLayoutView="90" workbookViewId="0">
      <selection activeCell="D10" sqref="D10"/>
    </sheetView>
  </sheetViews>
  <sheetFormatPr defaultColWidth="10.69921875" defaultRowHeight="11.25"/>
  <cols>
    <col min="1" max="1" width="2.19921875" style="269" customWidth="1"/>
    <col min="2" max="2" width="2.59765625" style="639" customWidth="1"/>
    <col min="3" max="3" width="17.19921875" style="266" customWidth="1"/>
    <col min="4" max="6" width="6.296875" style="266" customWidth="1"/>
    <col min="7" max="15" width="6.296875" style="269" customWidth="1"/>
    <col min="16" max="16" width="8.796875" style="269" customWidth="1"/>
    <col min="17" max="17" width="7.19921875" style="269" customWidth="1"/>
    <col min="18" max="21" width="4.19921875" style="269" customWidth="1"/>
    <col min="22" max="22" width="4.796875" style="269" customWidth="1"/>
    <col min="23" max="23" width="4.09765625" style="269" customWidth="1"/>
    <col min="24" max="16384" width="10.69921875" style="266"/>
  </cols>
  <sheetData>
    <row r="1" spans="2:28" ht="15">
      <c r="G1" s="266"/>
      <c r="R1" s="542"/>
      <c r="S1" s="570"/>
      <c r="T1" s="570"/>
      <c r="U1" s="570"/>
      <c r="V1" s="570"/>
      <c r="X1" s="269"/>
    </row>
    <row r="2" spans="2:28" ht="15">
      <c r="G2" s="266"/>
      <c r="R2" s="542"/>
      <c r="S2" s="570"/>
      <c r="T2" s="570"/>
      <c r="U2" s="570"/>
      <c r="V2" s="570"/>
      <c r="X2" s="269"/>
    </row>
    <row r="3" spans="2:28" ht="22.5" customHeight="1" thickBot="1">
      <c r="B3" s="638" t="s">
        <v>2498</v>
      </c>
      <c r="C3" s="534"/>
      <c r="D3" s="534"/>
      <c r="E3" s="534"/>
      <c r="F3" s="534"/>
      <c r="G3" s="535"/>
      <c r="H3" s="535"/>
      <c r="I3" s="535"/>
      <c r="J3" s="535"/>
      <c r="K3" s="535"/>
      <c r="L3" s="535"/>
      <c r="M3" s="535"/>
      <c r="N3" s="535"/>
      <c r="O3" s="535"/>
      <c r="P3" s="547"/>
      <c r="Q3" s="547" t="str">
        <f ca="1">TEXT(AccReturns!$B$3, "dd/mm/yyyy")&amp;" - "&amp;TEXT(OFFSET(AccReturns!$B$2,COUNTA(AccReturns!$B:$B),), "dd/mm/yyyy")</f>
        <v>02/01/2020 - 31/01/2023</v>
      </c>
      <c r="V3" s="266"/>
    </row>
    <row r="4" spans="2:28" ht="8.25" customHeight="1"/>
    <row r="5" spans="2:28" ht="8.25" customHeight="1"/>
    <row r="6" spans="2:28" ht="15.75" thickBot="1">
      <c r="C6" s="579" t="s">
        <v>2448</v>
      </c>
      <c r="D6" s="579" t="s">
        <v>2508</v>
      </c>
      <c r="E6" s="579" t="s">
        <v>2509</v>
      </c>
      <c r="F6" s="579" t="s">
        <v>2510</v>
      </c>
      <c r="G6" s="579" t="s">
        <v>2511</v>
      </c>
      <c r="H6" s="579" t="s">
        <v>2512</v>
      </c>
      <c r="I6" s="579" t="s">
        <v>2513</v>
      </c>
      <c r="J6" s="579" t="s">
        <v>2519</v>
      </c>
      <c r="K6" s="579" t="s">
        <v>2520</v>
      </c>
      <c r="L6" s="579" t="s">
        <v>2514</v>
      </c>
      <c r="M6" s="579" t="s">
        <v>2515</v>
      </c>
      <c r="N6" s="579" t="s">
        <v>2516</v>
      </c>
      <c r="O6" s="579" t="s">
        <v>2517</v>
      </c>
      <c r="P6" s="587" t="s">
        <v>2518</v>
      </c>
    </row>
    <row r="7" spans="2:28" ht="15.75" thickTop="1">
      <c r="C7" s="588">
        <v>2020</v>
      </c>
      <c r="D7" s="589"/>
      <c r="E7" s="589"/>
      <c r="F7" s="589"/>
      <c r="G7" s="589"/>
      <c r="H7" s="589"/>
      <c r="I7" s="589"/>
      <c r="J7" s="589"/>
      <c r="K7" s="589"/>
      <c r="L7" s="589"/>
      <c r="M7" s="589"/>
      <c r="N7" s="589"/>
      <c r="O7" s="589"/>
      <c r="P7" s="589"/>
    </row>
    <row r="8" spans="2:28" ht="4.5" customHeight="1">
      <c r="C8" s="578"/>
      <c r="D8" s="578"/>
      <c r="E8" s="578"/>
      <c r="F8" s="578"/>
      <c r="G8" s="578"/>
      <c r="H8" s="578"/>
      <c r="I8" s="578"/>
      <c r="J8" s="578"/>
      <c r="K8" s="578"/>
      <c r="L8" s="578"/>
      <c r="M8" s="578"/>
      <c r="N8" s="578"/>
      <c r="O8" s="578"/>
      <c r="P8" s="578"/>
    </row>
    <row r="9" spans="2:28" ht="15">
      <c r="C9" s="545" t="str">
        <f>'Performance Measurement'!$B$19</f>
        <v>Portfólio Sugerido</v>
      </c>
      <c r="D9" s="584"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3.6858917691284798E-3</v>
      </c>
      <c r="E9" s="584"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-9.3886910897352793E-3</v>
      </c>
      <c r="F9" s="584"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-4.6451637763958553E-2</v>
      </c>
      <c r="G9" s="584"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2.9005530758515086E-2</v>
      </c>
      <c r="H9" s="584"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1.8781985623868902E-2</v>
      </c>
      <c r="I9" s="584"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2.2947964022393297E-2</v>
      </c>
      <c r="J9" s="584"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2.3516616802935042E-2</v>
      </c>
      <c r="K9" s="584"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5.5994714034555138E-3</v>
      </c>
      <c r="L9" s="584"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-9.3556408231632027E-3</v>
      </c>
      <c r="M9" s="584"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4.9608341187314942E-3</v>
      </c>
      <c r="N9" s="584"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3.0042450870950255E-2</v>
      </c>
      <c r="O9" s="584"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2.5285278411574463E-2</v>
      </c>
      <c r="P9" s="584" cm="1">
        <f t="array" aca="1" ref="P9" ca="1">IFERROR(PRODUCT(1+D9:O9)-1,"-")</f>
        <v>0.10022883031310381</v>
      </c>
    </row>
    <row r="10" spans="2:28" ht="15">
      <c r="C10" s="545" t="str">
        <f>IF('Performance Measurement'!$B$20 = "CDI", 'Performance Measurement'!$B$21, 'Performance Measurement'!$B$20)</f>
        <v>%CDI</v>
      </c>
      <c r="D10" s="585" cm="1">
        <f t="array" aca="1" ref="D10" ca="1">IFERROR(IF('Performance Measurement'!$B$20 = "CDI", INDEX(OFFSET('Performance Measurement'!$B$18,3,1,,COUNTA('Performance Measurement'!$18:$18)), MATCH(D$6, IF(LEFT(OFFSET('Performance Measurement'!$B$18,,1,,COUNTA('Performance Measurement'!$18:$18)),4)=_xlfn.VALUETOTEXT($C7),RIGHT(OFFSET('Performance Measurement'!$B$18,,1,,COUNTA('Performance Measurement'!$18:$18)),4)), 0)), INDEX(OFFSET('Performance Measurement'!$B$18,2,1,,COUNTA('Performance Measurement'!$18:$18)), MATCH(D$6, IF(LEFT(OFFSET('Performance Measurement'!$B$18,,1,,COUNTA('Performance Measurement'!$18:$18)),4)=_xlfn.VALUETOTEXT($C7),RIGHT(OFFSET('Performance Measurement'!$B$18,,1,,COUNTA('Performance Measurement'!$18:$18)),4)), 0))),0)</f>
        <v>0.97866715904012402</v>
      </c>
      <c r="E10" s="585" cm="1">
        <f t="array" aca="1" ref="E10" ca="1">IFERROR(IF('Performance Measurement'!$B$20 = "CDI", INDEX(OFFSET('Performance Measurement'!$B$18,3,1,,COUNTA('Performance Measurement'!$18:$18)), MATCH(E$6, IF(LEFT(OFFSET('Performance Measurement'!$B$18,,1,,COUNTA('Performance Measurement'!$18:$18)),4)=_xlfn.VALUETOTEXT($C7),RIGHT(OFFSET('Performance Measurement'!$B$18,,1,,COUNTA('Performance Measurement'!$18:$18)),4)), 0)), INDEX(OFFSET('Performance Measurement'!$B$18,2,1,,COUNTA('Performance Measurement'!$18:$18)), MATCH(E$6, IF(LEFT(OFFSET('Performance Measurement'!$B$18,,1,,COUNTA('Performance Measurement'!$18:$18)),4)=_xlfn.VALUETOTEXT($C7),RIGHT(OFFSET('Performance Measurement'!$B$18,,1,,COUNTA('Performance Measurement'!$18:$18)),4)), 0))),0)</f>
        <v>-3.1963956563597367</v>
      </c>
      <c r="F10" s="585" cm="1">
        <f t="array" aca="1" ref="F10" ca="1">IFERROR(IF('Performance Measurement'!$B$20 = "CDI", INDEX(OFFSET('Performance Measurement'!$B$18,3,1,,COUNTA('Performance Measurement'!$18:$18)), MATCH(F$6, IF(LEFT(OFFSET('Performance Measurement'!$B$18,,1,,COUNTA('Performance Measurement'!$18:$18)),4)=_xlfn.VALUETOTEXT($C7),RIGHT(OFFSET('Performance Measurement'!$B$18,,1,,COUNTA('Performance Measurement'!$18:$18)),4)), 0)), INDEX(OFFSET('Performance Measurement'!$B$18,2,1,,COUNTA('Performance Measurement'!$18:$18)), MATCH(F$6, IF(LEFT(OFFSET('Performance Measurement'!$B$18,,1,,COUNTA('Performance Measurement'!$18:$18)),4)=_xlfn.VALUETOTEXT($C7),RIGHT(OFFSET('Performance Measurement'!$B$18,,1,,COUNTA('Performance Measurement'!$18:$18)),4)), 0))),0)</f>
        <v>-13.728066476349504</v>
      </c>
      <c r="G10" s="585" cm="1">
        <f t="array" aca="1" ref="G10" ca="1">IFERROR(IF('Performance Measurement'!$B$20 = "CDI", INDEX(OFFSET('Performance Measurement'!$B$18,3,1,,COUNTA('Performance Measurement'!$18:$18)), MATCH(G$6, IF(LEFT(OFFSET('Performance Measurement'!$B$18,,1,,COUNTA('Performance Measurement'!$18:$18)),4)=_xlfn.VALUETOTEXT($C7),RIGHT(OFFSET('Performance Measurement'!$B$18,,1,,COUNTA('Performance Measurement'!$18:$18)),4)), 0)), INDEX(OFFSET('Performance Measurement'!$B$18,2,1,,COUNTA('Performance Measurement'!$18:$18)), MATCH(G$6, IF(LEFT(OFFSET('Performance Measurement'!$B$18,,1,,COUNTA('Performance Measurement'!$18:$18)),4)=_xlfn.VALUETOTEXT($C7),RIGHT(OFFSET('Performance Measurement'!$B$18,,1,,COUNTA('Performance Measurement'!$18:$18)),4)), 0))),0)</f>
        <v>10.180015301160875</v>
      </c>
      <c r="H10" s="585" cm="1">
        <f t="array" aca="1" ref="H10" ca="1">IFERROR(IF('Performance Measurement'!$B$20 = "CDI", INDEX(OFFSET('Performance Measurement'!$B$18,3,1,,COUNTA('Performance Measurement'!$18:$18)), MATCH(H$6, IF(LEFT(OFFSET('Performance Measurement'!$B$18,,1,,COUNTA('Performance Measurement'!$18:$18)),4)=_xlfn.VALUETOTEXT($C7),RIGHT(OFFSET('Performance Measurement'!$B$18,,1,,COUNTA('Performance Measurement'!$18:$18)),4)), 0)), INDEX(OFFSET('Performance Measurement'!$B$18,2,1,,COUNTA('Performance Measurement'!$18:$18)), MATCH(H$6, IF(LEFT(OFFSET('Performance Measurement'!$B$18,,1,,COUNTA('Performance Measurement'!$18:$18)),4)=_xlfn.VALUETOTEXT($C7),RIGHT(OFFSET('Performance Measurement'!$B$18,,1,,COUNTA('Performance Measurement'!$18:$18)),4)), 0))),0)</f>
        <v>7.964960616673749</v>
      </c>
      <c r="I10" s="585" cm="1">
        <f t="array" aca="1" ref="I10" ca="1">IFERROR(IF('Performance Measurement'!$B$20 = "CDI", INDEX(OFFSET('Performance Measurement'!$B$18,3,1,,COUNTA('Performance Measurement'!$18:$18)), MATCH(I$6, IF(LEFT(OFFSET('Performance Measurement'!$B$18,,1,,COUNTA('Performance Measurement'!$18:$18)),4)=_xlfn.VALUETOTEXT($C7),RIGHT(OFFSET('Performance Measurement'!$B$18,,1,,COUNTA('Performance Measurement'!$18:$18)),4)), 0)), INDEX(OFFSET('Performance Measurement'!$B$18,2,1,,COUNTA('Performance Measurement'!$18:$18)), MATCH(I$6, IF(LEFT(OFFSET('Performance Measurement'!$B$18,,1,,COUNTA('Performance Measurement'!$18:$18)),4)=_xlfn.VALUETOTEXT($C7),RIGHT(OFFSET('Performance Measurement'!$B$18,,1,,COUNTA('Performance Measurement'!$18:$18)),4)), 0))),0)</f>
        <v>10.807802294692719</v>
      </c>
      <c r="J10" s="585" cm="1">
        <f t="array" aca="1" ref="J10" ca="1">IFERROR(IF('Performance Measurement'!$B$20 = "CDI", INDEX(OFFSET('Performance Measurement'!$B$18,3,1,,COUNTA('Performance Measurement'!$18:$18)), MATCH(J$6, IF(LEFT(OFFSET('Performance Measurement'!$B$18,,1,,COUNTA('Performance Measurement'!$18:$18)),4)=_xlfn.VALUETOTEXT($C7),RIGHT(OFFSET('Performance Measurement'!$B$18,,1,,COUNTA('Performance Measurement'!$18:$18)),4)), 0)), INDEX(OFFSET('Performance Measurement'!$B$18,2,1,,COUNTA('Performance Measurement'!$18:$18)), MATCH(J$6, IF(LEFT(OFFSET('Performance Measurement'!$B$18,,1,,COUNTA('Performance Measurement'!$18:$18)),4)=_xlfn.VALUETOTEXT($C7),RIGHT(OFFSET('Performance Measurement'!$B$18,,1,,COUNTA('Performance Measurement'!$18:$18)),4)), 0))),0)</f>
        <v>12.100819993259554</v>
      </c>
      <c r="K10" s="585" cm="1">
        <f t="array" aca="1" ref="K10" ca="1">IFERROR(IF('Performance Measurement'!$B$20 = "CDI", INDEX(OFFSET('Performance Measurement'!$B$18,3,1,,COUNTA('Performance Measurement'!$18:$18)), MATCH(K$6, IF(LEFT(OFFSET('Performance Measurement'!$B$18,,1,,COUNTA('Performance Measurement'!$18:$18)),4)=_xlfn.VALUETOTEXT($C7),RIGHT(OFFSET('Performance Measurement'!$B$18,,1,,COUNTA('Performance Measurement'!$18:$18)),4)), 0)), INDEX(OFFSET('Performance Measurement'!$B$18,2,1,,COUNTA('Performance Measurement'!$18:$18)), MATCH(K$6, IF(LEFT(OFFSET('Performance Measurement'!$B$18,,1,,COUNTA('Performance Measurement'!$18:$18)),4)=_xlfn.VALUETOTEXT($C7),RIGHT(OFFSET('Performance Measurement'!$B$18,,1,,COUNTA('Performance Measurement'!$18:$18)),4)), 0))),0)</f>
        <v>3.5020167516736085</v>
      </c>
      <c r="L10" s="585" cm="1">
        <f t="array" aca="1" ref="L10" ca="1">IFERROR(IF('Performance Measurement'!$B$20 = "CDI", INDEX(OFFSET('Performance Measurement'!$B$18,3,1,,COUNTA('Performance Measurement'!$18:$18)), MATCH(L$6, IF(LEFT(OFFSET('Performance Measurement'!$B$18,,1,,COUNTA('Performance Measurement'!$18:$18)),4)=_xlfn.VALUETOTEXT($C7),RIGHT(OFFSET('Performance Measurement'!$B$18,,1,,COUNTA('Performance Measurement'!$18:$18)),4)), 0)), INDEX(OFFSET('Performance Measurement'!$B$18,2,1,,COUNTA('Performance Measurement'!$18:$18)), MATCH(L$6, IF(LEFT(OFFSET('Performance Measurement'!$B$18,,1,,COUNTA('Performance Measurement'!$18:$18)),4)=_xlfn.VALUETOTEXT($C7),RIGHT(OFFSET('Performance Measurement'!$B$18,,1,,COUNTA('Performance Measurement'!$18:$18)),4)), 0))),0)</f>
        <v>-5.9601069418826649</v>
      </c>
      <c r="M10" s="585" cm="1">
        <f t="array" aca="1" ref="M10" ca="1">IFERROR(IF('Performance Measurement'!$B$20 = "CDI", INDEX(OFFSET('Performance Measurement'!$B$18,3,1,,COUNTA('Performance Measurement'!$18:$18)), MATCH(M$6, IF(LEFT(OFFSET('Performance Measurement'!$B$18,,1,,COUNTA('Performance Measurement'!$18:$18)),4)=_xlfn.VALUETOTEXT($C7),RIGHT(OFFSET('Performance Measurement'!$B$18,,1,,COUNTA('Performance Measurement'!$18:$18)),4)), 0)), INDEX(OFFSET('Performance Measurement'!$B$18,2,1,,COUNTA('Performance Measurement'!$18:$18)), MATCH(M$6, IF(LEFT(OFFSET('Performance Measurement'!$B$18,,1,,COUNTA('Performance Measurement'!$18:$18)),4)=_xlfn.VALUETOTEXT($C7),RIGHT(OFFSET('Performance Measurement'!$B$18,,1,,COUNTA('Performance Measurement'!$18:$18)),4)), 0))),0)</f>
        <v>3.1603502557917911</v>
      </c>
      <c r="N10" s="585" cm="1">
        <f t="array" aca="1" ref="N10" ca="1">IFERROR(IF('Performance Measurement'!$B$20 = "CDI", INDEX(OFFSET('Performance Measurement'!$B$18,3,1,,COUNTA('Performance Measurement'!$18:$18)), MATCH(N$6, IF(LEFT(OFFSET('Performance Measurement'!$B$18,,1,,COUNTA('Performance Measurement'!$18:$18)),4)=_xlfn.VALUETOTEXT($C7),RIGHT(OFFSET('Performance Measurement'!$B$18,,1,,COUNTA('Performance Measurement'!$18:$18)),4)), 0)), INDEX(OFFSET('Performance Measurement'!$B$18,2,1,,COUNTA('Performance Measurement'!$18:$18)), MATCH(N$6, IF(LEFT(OFFSET('Performance Measurement'!$B$18,,1,,COUNTA('Performance Measurement'!$18:$18)),4)=_xlfn.VALUETOTEXT($C7),RIGHT(OFFSET('Performance Measurement'!$B$18,,1,,COUNTA('Performance Measurement'!$18:$18)),4)), 0))),0)</f>
        <v>20.096544706399488</v>
      </c>
      <c r="O10" s="585" cm="1">
        <f t="array" aca="1" ref="O10" ca="1">IFERROR(IF('Performance Measurement'!$B$20 = "CDI", INDEX(OFFSET('Performance Measurement'!$B$18,3,1,,COUNTA('Performance Measurement'!$18:$18)), MATCH(O$6, IF(LEFT(OFFSET('Performance Measurement'!$B$18,,1,,COUNTA('Performance Measurement'!$18:$18)),4)=_xlfn.VALUETOTEXT($C7),RIGHT(OFFSET('Performance Measurement'!$B$18,,1,,COUNTA('Performance Measurement'!$18:$18)),4)), 0)), INDEX(OFFSET('Performance Measurement'!$B$18,2,1,,COUNTA('Performance Measurement'!$18:$18)), MATCH(O$6, IF(LEFT(OFFSET('Performance Measurement'!$B$18,,1,,COUNTA('Performance Measurement'!$18:$18)),4)=_xlfn.VALUETOTEXT($C7),RIGHT(OFFSET('Performance Measurement'!$B$18,,1,,COUNTA('Performance Measurement'!$18:$18)),4)), 0))),0)</f>
        <v>15.375478593324639</v>
      </c>
      <c r="P10" s="586" cm="1">
        <f t="array" aca="1" ref="P10" ca="1">IFERROR(IF('Performance Measurement'!$B$20 = "CDI", P9/P11, PRODUCT(1+D10:O10)-1),"-")</f>
        <v>3.6343558246942154</v>
      </c>
    </row>
    <row r="11" spans="2:28" ht="15" hidden="1">
      <c r="C11" s="580" t="str">
        <f>'Performance Measurement'!$B$20</f>
        <v>CDI</v>
      </c>
      <c r="D11" s="581"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581"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581"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581"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581"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581"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581"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581"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581"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581"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581"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581"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583" cm="1">
        <f t="array" aca="1" ref="P11" ca="1">PRODUCT(1+D11:O11)-1</f>
        <v>2.7578155565308959E-2</v>
      </c>
    </row>
    <row r="12" spans="2:28" ht="8.25" customHeight="1">
      <c r="C12" s="582"/>
      <c r="D12" s="581"/>
      <c r="E12" s="581"/>
      <c r="F12" s="581"/>
      <c r="G12" s="581"/>
      <c r="H12" s="581"/>
      <c r="I12" s="581"/>
      <c r="J12" s="581"/>
      <c r="K12" s="581"/>
      <c r="L12" s="581"/>
      <c r="M12" s="581"/>
      <c r="N12" s="581"/>
      <c r="O12" s="581"/>
      <c r="P12" s="583"/>
    </row>
    <row r="13" spans="2:28" ht="8.25" customHeight="1">
      <c r="C13" s="558"/>
      <c r="D13" s="558"/>
      <c r="E13" s="558"/>
      <c r="F13" s="558"/>
      <c r="G13" s="558"/>
      <c r="H13" s="558"/>
      <c r="I13" s="558"/>
      <c r="J13" s="558"/>
      <c r="K13" s="558"/>
      <c r="L13" s="558"/>
      <c r="M13" s="558"/>
      <c r="N13" s="558"/>
      <c r="O13" s="558"/>
      <c r="P13" s="578"/>
    </row>
    <row r="14" spans="2:28" s="269" customFormat="1" ht="15.75" thickBot="1">
      <c r="B14" s="639"/>
      <c r="C14" s="579" t="s">
        <v>2448</v>
      </c>
      <c r="D14" s="579" t="s">
        <v>2508</v>
      </c>
      <c r="E14" s="579" t="s">
        <v>2509</v>
      </c>
      <c r="F14" s="579" t="s">
        <v>2510</v>
      </c>
      <c r="G14" s="579" t="s">
        <v>2511</v>
      </c>
      <c r="H14" s="579" t="s">
        <v>2512</v>
      </c>
      <c r="I14" s="579" t="s">
        <v>2513</v>
      </c>
      <c r="J14" s="579" t="s">
        <v>2519</v>
      </c>
      <c r="K14" s="579" t="s">
        <v>2520</v>
      </c>
      <c r="L14" s="579" t="s">
        <v>2514</v>
      </c>
      <c r="M14" s="579" t="s">
        <v>2515</v>
      </c>
      <c r="N14" s="579" t="s">
        <v>2516</v>
      </c>
      <c r="O14" s="579" t="s">
        <v>2517</v>
      </c>
      <c r="P14" s="587" t="s">
        <v>2518</v>
      </c>
      <c r="X14" s="266"/>
      <c r="Y14" s="266"/>
      <c r="Z14" s="266"/>
      <c r="AA14" s="266"/>
      <c r="AB14" s="266"/>
    </row>
    <row r="15" spans="2:28" s="269" customFormat="1" ht="15.75" thickTop="1">
      <c r="B15" s="639"/>
      <c r="C15" s="588">
        <f>C7+1</f>
        <v>2021</v>
      </c>
      <c r="D15" s="589"/>
      <c r="E15" s="589"/>
      <c r="F15" s="589"/>
      <c r="G15" s="589"/>
      <c r="H15" s="589"/>
      <c r="I15" s="589"/>
      <c r="J15" s="589"/>
      <c r="K15" s="589"/>
      <c r="L15" s="589"/>
      <c r="M15" s="589"/>
      <c r="N15" s="589"/>
      <c r="O15" s="589"/>
      <c r="P15" s="589"/>
      <c r="X15" s="266"/>
      <c r="Y15" s="266"/>
      <c r="Z15" s="266"/>
      <c r="AA15" s="266"/>
      <c r="AB15" s="266"/>
    </row>
    <row r="16" spans="2:28" s="269" customFormat="1" ht="4.5" customHeight="1">
      <c r="B16" s="639"/>
      <c r="C16" s="578"/>
      <c r="D16" s="578"/>
      <c r="E16" s="578"/>
      <c r="F16" s="578"/>
      <c r="G16" s="578"/>
      <c r="H16" s="578"/>
      <c r="I16" s="578"/>
      <c r="J16" s="578"/>
      <c r="K16" s="578"/>
      <c r="L16" s="578"/>
      <c r="M16" s="578"/>
      <c r="N16" s="578"/>
      <c r="O16" s="578"/>
      <c r="P16" s="578"/>
      <c r="X16" s="266"/>
      <c r="Y16" s="266"/>
      <c r="Z16" s="266"/>
      <c r="AA16" s="266"/>
      <c r="AB16" s="266"/>
    </row>
    <row r="17" spans="2:28" s="269" customFormat="1" ht="15">
      <c r="B17" s="639"/>
      <c r="C17" s="545" t="str">
        <f>'Performance Measurement'!$B$19</f>
        <v>Portfólio Sugerido</v>
      </c>
      <c r="D17" s="584"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3.8657186081203498E-4</v>
      </c>
      <c r="E17" s="584"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1.0463501600117775E-2</v>
      </c>
      <c r="F17" s="584"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1.0696286909379404E-2</v>
      </c>
      <c r="G17" s="584"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1.2700287434033397E-2</v>
      </c>
      <c r="H17" s="584"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1.3806209408325998E-2</v>
      </c>
      <c r="I17" s="584"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1.0966685333072101E-2</v>
      </c>
      <c r="J17" s="584"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-1.7074547421405128E-3</v>
      </c>
      <c r="K17" s="584"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2.8079239873604056E-3</v>
      </c>
      <c r="L17" s="584"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4.2973291776207123E-3</v>
      </c>
      <c r="M17" s="584"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-5.9120990919954153E-3</v>
      </c>
      <c r="N17" s="584"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1.9481660302647086E-3</v>
      </c>
      <c r="O17" s="584"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1.4623515646349894E-2</v>
      </c>
      <c r="P17" s="584" cm="1">
        <f t="array" aca="1" ref="P17" ca="1">IFERROR(PRODUCT(1+D17:O17)-1,"-")</f>
        <v>7.7444078360236146E-2</v>
      </c>
      <c r="X17" s="266"/>
      <c r="Y17" s="266"/>
      <c r="Z17" s="266"/>
      <c r="AA17" s="266"/>
      <c r="AB17" s="266"/>
    </row>
    <row r="18" spans="2:28" s="269" customFormat="1" ht="15">
      <c r="B18" s="639"/>
      <c r="C18" s="545" t="str">
        <f>IF('Performance Measurement'!$B$20 = "CDI", 'Performance Measurement'!$B$21, 'Performance Measurement'!$B$20)</f>
        <v>%CDI</v>
      </c>
      <c r="D18" s="585" cm="1">
        <f t="array" aca="1" ref="D18" ca="1">IFERROR(IF('Performance Measurement'!$B$20 = "CDI", INDEX(OFFSET('Performance Measurement'!$B$18,3,1,,COUNTA('Performance Measurement'!$18:$18)), MATCH(D$6, IF(LEFT(OFFSET('Performance Measurement'!$B$18,,1,,COUNTA('Performance Measurement'!$18:$18)),4)=_xlfn.VALUETOTEXT($C15),RIGHT(OFFSET('Performance Measurement'!$B$18,,1,,COUNTA('Performance Measurement'!$18:$18)),4)), 0)), INDEX(OFFSET('Performance Measurement'!$B$18,2,1,,COUNTA('Performance Measurement'!$18:$18)), MATCH(D$6, IF(LEFT(OFFSET('Performance Measurement'!$B$18,,1,,COUNTA('Performance Measurement'!$18:$18)),4)=_xlfn.VALUETOTEXT($C15),RIGHT(OFFSET('Performance Measurement'!$B$18,,1,,COUNTA('Performance Measurement'!$18:$18)),4)), 0))),0)</f>
        <v>0.25859270658097855</v>
      </c>
      <c r="E18" s="585" cm="1">
        <f t="array" aca="1" ref="E18" ca="1">IFERROR(IF('Performance Measurement'!$B$20 = "CDI", INDEX(OFFSET('Performance Measurement'!$B$18,3,1,,COUNTA('Performance Measurement'!$18:$18)), MATCH(E$6, IF(LEFT(OFFSET('Performance Measurement'!$B$18,,1,,COUNTA('Performance Measurement'!$18:$18)),4)=_xlfn.VALUETOTEXT($C15),RIGHT(OFFSET('Performance Measurement'!$B$18,,1,,COUNTA('Performance Measurement'!$18:$18)),4)), 0)), INDEX(OFFSET('Performance Measurement'!$B$18,2,1,,COUNTA('Performance Measurement'!$18:$18)), MATCH(E$6, IF(LEFT(OFFSET('Performance Measurement'!$B$18,,1,,COUNTA('Performance Measurement'!$18:$18)),4)=_xlfn.VALUETOTEXT($C15),RIGHT(OFFSET('Performance Measurement'!$B$18,,1,,COUNTA('Performance Measurement'!$18:$18)),4)), 0))),0)</f>
        <v>7.7777327164427783</v>
      </c>
      <c r="F18" s="585" cm="1">
        <f t="array" aca="1" ref="F18" ca="1">IFERROR(IF('Performance Measurement'!$B$20 = "CDI", INDEX(OFFSET('Performance Measurement'!$B$18,3,1,,COUNTA('Performance Measurement'!$18:$18)), MATCH(F$6, IF(LEFT(OFFSET('Performance Measurement'!$B$18,,1,,COUNTA('Performance Measurement'!$18:$18)),4)=_xlfn.VALUETOTEXT($C15),RIGHT(OFFSET('Performance Measurement'!$B$18,,1,,COUNTA('Performance Measurement'!$18:$18)),4)), 0)), INDEX(OFFSET('Performance Measurement'!$B$18,2,1,,COUNTA('Performance Measurement'!$18:$18)), MATCH(F$6, IF(LEFT(OFFSET('Performance Measurement'!$B$18,,1,,COUNTA('Performance Measurement'!$18:$18)),4)=_xlfn.VALUETOTEXT($C15),RIGHT(OFFSET('Performance Measurement'!$B$18,,1,,COUNTA('Performance Measurement'!$18:$18)),4)), 0))),0)</f>
        <v>5.3192128974238893</v>
      </c>
      <c r="G18" s="585" cm="1">
        <f t="array" aca="1" ref="G18" ca="1">IFERROR(IF('Performance Measurement'!$B$20 = "CDI", INDEX(OFFSET('Performance Measurement'!$B$18,3,1,,COUNTA('Performance Measurement'!$18:$18)), MATCH(G$6, IF(LEFT(OFFSET('Performance Measurement'!$B$18,,1,,COUNTA('Performance Measurement'!$18:$18)),4)=_xlfn.VALUETOTEXT($C15),RIGHT(OFFSET('Performance Measurement'!$B$18,,1,,COUNTA('Performance Measurement'!$18:$18)),4)), 0)), INDEX(OFFSET('Performance Measurement'!$B$18,2,1,,COUNTA('Performance Measurement'!$18:$18)), MATCH(G$6, IF(LEFT(OFFSET('Performance Measurement'!$B$18,,1,,COUNTA('Performance Measurement'!$18:$18)),4)=_xlfn.VALUETOTEXT($C15),RIGHT(OFFSET('Performance Measurement'!$B$18,,1,,COUNTA('Performance Measurement'!$18:$18)),4)), 0))),0)</f>
        <v>6.1119423165523274</v>
      </c>
      <c r="H18" s="585" cm="1">
        <f t="array" aca="1" ref="H18" ca="1">IFERROR(IF('Performance Measurement'!$B$20 = "CDI", INDEX(OFFSET('Performance Measurement'!$B$18,3,1,,COUNTA('Performance Measurement'!$18:$18)), MATCH(H$6, IF(LEFT(OFFSET('Performance Measurement'!$B$18,,1,,COUNTA('Performance Measurement'!$18:$18)),4)=_xlfn.VALUETOTEXT($C15),RIGHT(OFFSET('Performance Measurement'!$B$18,,1,,COUNTA('Performance Measurement'!$18:$18)),4)), 0)), INDEX(OFFSET('Performance Measurement'!$B$18,2,1,,COUNTA('Performance Measurement'!$18:$18)), MATCH(H$6, IF(LEFT(OFFSET('Performance Measurement'!$B$18,,1,,COUNTA('Performance Measurement'!$18:$18)),4)=_xlfn.VALUETOTEXT($C15),RIGHT(OFFSET('Performance Measurement'!$B$18,,1,,COUNTA('Performance Measurement'!$18:$18)),4)), 0))),0)</f>
        <v>5.1073313801703568</v>
      </c>
      <c r="I18" s="585" cm="1">
        <f t="array" aca="1" ref="I18" ca="1">IFERROR(IF('Performance Measurement'!$B$20 = "CDI", INDEX(OFFSET('Performance Measurement'!$B$18,3,1,,COUNTA('Performance Measurement'!$18:$18)), MATCH(I$6, IF(LEFT(OFFSET('Performance Measurement'!$B$18,,1,,COUNTA('Performance Measurement'!$18:$18)),4)=_xlfn.VALUETOTEXT($C15),RIGHT(OFFSET('Performance Measurement'!$B$18,,1,,COUNTA('Performance Measurement'!$18:$18)),4)), 0)), INDEX(OFFSET('Performance Measurement'!$B$18,2,1,,COUNTA('Performance Measurement'!$18:$18)), MATCH(I$6, IF(LEFT(OFFSET('Performance Measurement'!$B$18,,1,,COUNTA('Performance Measurement'!$18:$18)),4)=_xlfn.VALUETOTEXT($C15),RIGHT(OFFSET('Performance Measurement'!$B$18,,1,,COUNTA('Performance Measurement'!$18:$18)),4)), 0))),0)</f>
        <v>3.5632130384945815</v>
      </c>
      <c r="J18" s="585" cm="1">
        <f t="array" aca="1" ref="J18" ca="1">IFERROR(IF('Performance Measurement'!$B$20 = "CDI", INDEX(OFFSET('Performance Measurement'!$B$18,3,1,,COUNTA('Performance Measurement'!$18:$18)), MATCH(J$6, IF(LEFT(OFFSET('Performance Measurement'!$B$18,,1,,COUNTA('Performance Measurement'!$18:$18)),4)=_xlfn.VALUETOTEXT($C15),RIGHT(OFFSET('Performance Measurement'!$B$18,,1,,COUNTA('Performance Measurement'!$18:$18)),4)), 0)), INDEX(OFFSET('Performance Measurement'!$B$18,2,1,,COUNTA('Performance Measurement'!$18:$18)), MATCH(J$6, IF(LEFT(OFFSET('Performance Measurement'!$B$18,,1,,COUNTA('Performance Measurement'!$18:$18)),4)=_xlfn.VALUETOTEXT($C15),RIGHT(OFFSET('Performance Measurement'!$B$18,,1,,COUNTA('Performance Measurement'!$18:$18)),4)), 0))),0)</f>
        <v>-0.48013951661475635</v>
      </c>
      <c r="K18" s="585" cm="1">
        <f t="array" aca="1" ref="K18" ca="1">IFERROR(IF('Performance Measurement'!$B$20 = "CDI", INDEX(OFFSET('Performance Measurement'!$B$18,3,1,,COUNTA('Performance Measurement'!$18:$18)), MATCH(K$6, IF(LEFT(OFFSET('Performance Measurement'!$B$18,,1,,COUNTA('Performance Measurement'!$18:$18)),4)=_xlfn.VALUETOTEXT($C15),RIGHT(OFFSET('Performance Measurement'!$B$18,,1,,COUNTA('Performance Measurement'!$18:$18)),4)), 0)), INDEX(OFFSET('Performance Measurement'!$B$18,2,1,,COUNTA('Performance Measurement'!$18:$18)), MATCH(K$6, IF(LEFT(OFFSET('Performance Measurement'!$B$18,,1,,COUNTA('Performance Measurement'!$18:$18)),4)=_xlfn.VALUETOTEXT($C15),RIGHT(OFFSET('Performance Measurement'!$B$18,,1,,COUNTA('Performance Measurement'!$18:$18)),4)), 0))),0)</f>
        <v>0.65614003116576169</v>
      </c>
      <c r="L18" s="585" cm="1">
        <f t="array" aca="1" ref="L18" ca="1">IFERROR(IF('Performance Measurement'!$B$20 = "CDI", INDEX(OFFSET('Performance Measurement'!$B$18,3,1,,COUNTA('Performance Measurement'!$18:$18)), MATCH(L$6, IF(LEFT(OFFSET('Performance Measurement'!$B$18,,1,,COUNTA('Performance Measurement'!$18:$18)),4)=_xlfn.VALUETOTEXT($C15),RIGHT(OFFSET('Performance Measurement'!$B$18,,1,,COUNTA('Performance Measurement'!$18:$18)),4)), 0)), INDEX(OFFSET('Performance Measurement'!$B$18,2,1,,COUNTA('Performance Measurement'!$18:$18)), MATCH(L$6, IF(LEFT(OFFSET('Performance Measurement'!$B$18,,1,,COUNTA('Performance Measurement'!$18:$18)),4)=_xlfn.VALUETOTEXT($C15),RIGHT(OFFSET('Performance Measurement'!$B$18,,1,,COUNTA('Performance Measurement'!$18:$18)),4)), 0))),0)</f>
        <v>0.97226561042405302</v>
      </c>
      <c r="M18" s="585" cm="1">
        <f t="array" aca="1" ref="M18" ca="1">IFERROR(IF('Performance Measurement'!$B$20 = "CDI", INDEX(OFFSET('Performance Measurement'!$B$18,3,1,,COUNTA('Performance Measurement'!$18:$18)), MATCH(M$6, IF(LEFT(OFFSET('Performance Measurement'!$B$18,,1,,COUNTA('Performance Measurement'!$18:$18)),4)=_xlfn.VALUETOTEXT($C15),RIGHT(OFFSET('Performance Measurement'!$B$18,,1,,COUNTA('Performance Measurement'!$18:$18)),4)), 0)), INDEX(OFFSET('Performance Measurement'!$B$18,2,1,,COUNTA('Performance Measurement'!$18:$18)), MATCH(M$6, IF(LEFT(OFFSET('Performance Measurement'!$B$18,,1,,COUNTA('Performance Measurement'!$18:$18)),4)=_xlfn.VALUETOTEXT($C15),RIGHT(OFFSET('Performance Measurement'!$B$18,,1,,COUNTA('Performance Measurement'!$18:$18)),4)), 0))),0)</f>
        <v>-1.2165106627702325</v>
      </c>
      <c r="N18" s="585" cm="1">
        <f t="array" aca="1" ref="N18" ca="1">IFERROR(IF('Performance Measurement'!$B$20 = "CDI", INDEX(OFFSET('Performance Measurement'!$B$18,3,1,,COUNTA('Performance Measurement'!$18:$18)), MATCH(N$6, IF(LEFT(OFFSET('Performance Measurement'!$B$18,,1,,COUNTA('Performance Measurement'!$18:$18)),4)=_xlfn.VALUETOTEXT($C15),RIGHT(OFFSET('Performance Measurement'!$B$18,,1,,COUNTA('Performance Measurement'!$18:$18)),4)), 0)), INDEX(OFFSET('Performance Measurement'!$B$18,2,1,,COUNTA('Performance Measurement'!$18:$18)), MATCH(N$6, IF(LEFT(OFFSET('Performance Measurement'!$B$18,,1,,COUNTA('Performance Measurement'!$18:$18)),4)=_xlfn.VALUETOTEXT($C15),RIGHT(OFFSET('Performance Measurement'!$B$18,,1,,COUNTA('Performance Measurement'!$18:$18)),4)), 0))),0)</f>
        <v>0.3320239418209075</v>
      </c>
      <c r="O18" s="585" cm="1">
        <f t="array" aca="1" ref="O18" ca="1">IFERROR(IF('Performance Measurement'!$B$20 = "CDI", INDEX(OFFSET('Performance Measurement'!$B$18,3,1,,COUNTA('Performance Measurement'!$18:$18)), MATCH(O$6, IF(LEFT(OFFSET('Performance Measurement'!$B$18,,1,,COUNTA('Performance Measurement'!$18:$18)),4)=_xlfn.VALUETOTEXT($C15),RIGHT(OFFSET('Performance Measurement'!$B$18,,1,,COUNTA('Performance Measurement'!$18:$18)),4)), 0)), INDEX(OFFSET('Performance Measurement'!$B$18,2,1,,COUNTA('Performance Measurement'!$18:$18)), MATCH(O$6, IF(LEFT(OFFSET('Performance Measurement'!$B$18,,1,,COUNTA('Performance Measurement'!$18:$18)),4)=_xlfn.VALUETOTEXT($C15),RIGHT(OFFSET('Performance Measurement'!$B$18,,1,,COUNTA('Performance Measurement'!$18:$18)),4)), 0))),0)</f>
        <v>1.9014073885526459</v>
      </c>
      <c r="P18" s="586" cm="1">
        <f t="array" aca="1" ref="P18" ca="1">IFERROR(IF('Performance Measurement'!$B$20 = "CDI", P17/P19, PRODUCT(1+D18:O18)-1),"-")</f>
        <v>1.7506918630446777</v>
      </c>
      <c r="X18" s="266"/>
      <c r="Y18" s="266"/>
      <c r="Z18" s="266"/>
      <c r="AA18" s="266"/>
      <c r="AB18" s="266"/>
    </row>
    <row r="19" spans="2:28" s="269" customFormat="1" ht="15" hidden="1">
      <c r="B19" s="639"/>
      <c r="C19" s="580" t="str">
        <f>'Performance Measurement'!$B$20</f>
        <v>CDI</v>
      </c>
      <c r="D19" s="581"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581"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581"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581"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581"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581"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581"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581"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581"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581"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581"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581"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583" cm="1">
        <f t="array" aca="1" ref="P19" ca="1">PRODUCT(1+D19:O19)-1</f>
        <v>4.4236270239784492E-2</v>
      </c>
      <c r="X19" s="266"/>
      <c r="Y19" s="266"/>
      <c r="Z19" s="266"/>
      <c r="AA19" s="266"/>
      <c r="AB19" s="266"/>
    </row>
    <row r="20" spans="2:28" s="269" customFormat="1" ht="8.25" customHeight="1">
      <c r="B20" s="639"/>
      <c r="C20" s="582"/>
      <c r="D20" s="581"/>
      <c r="E20" s="581"/>
      <c r="F20" s="581"/>
      <c r="G20" s="581"/>
      <c r="H20" s="581"/>
      <c r="I20" s="581"/>
      <c r="J20" s="581"/>
      <c r="K20" s="581"/>
      <c r="L20" s="581"/>
      <c r="M20" s="581"/>
      <c r="N20" s="581"/>
      <c r="O20" s="581"/>
      <c r="P20" s="583"/>
      <c r="X20" s="266"/>
      <c r="Y20" s="266"/>
      <c r="Z20" s="266"/>
      <c r="AA20" s="266"/>
      <c r="AB20" s="266"/>
    </row>
    <row r="21" spans="2:28" s="269" customFormat="1" ht="8.25" customHeight="1">
      <c r="B21" s="639"/>
      <c r="C21" s="558"/>
      <c r="D21" s="558"/>
      <c r="E21" s="558"/>
      <c r="F21" s="558"/>
      <c r="G21" s="558"/>
      <c r="H21" s="558"/>
      <c r="I21" s="558"/>
      <c r="J21" s="558"/>
      <c r="K21" s="558"/>
      <c r="L21" s="558"/>
      <c r="M21" s="558"/>
      <c r="N21" s="558"/>
      <c r="O21" s="558"/>
      <c r="P21" s="578"/>
      <c r="X21" s="266"/>
      <c r="Y21" s="266"/>
      <c r="Z21" s="266"/>
      <c r="AA21" s="266"/>
      <c r="AB21" s="266"/>
    </row>
    <row r="22" spans="2:28" s="269" customFormat="1" ht="15.75" thickBot="1">
      <c r="B22" s="639"/>
      <c r="C22" s="579" t="s">
        <v>2448</v>
      </c>
      <c r="D22" s="579" t="s">
        <v>2508</v>
      </c>
      <c r="E22" s="579" t="s">
        <v>2509</v>
      </c>
      <c r="F22" s="579" t="s">
        <v>2510</v>
      </c>
      <c r="G22" s="579" t="s">
        <v>2511</v>
      </c>
      <c r="H22" s="579" t="s">
        <v>2512</v>
      </c>
      <c r="I22" s="579" t="s">
        <v>2513</v>
      </c>
      <c r="J22" s="579" t="s">
        <v>2519</v>
      </c>
      <c r="K22" s="579" t="s">
        <v>2520</v>
      </c>
      <c r="L22" s="579" t="s">
        <v>2514</v>
      </c>
      <c r="M22" s="579" t="s">
        <v>2515</v>
      </c>
      <c r="N22" s="579" t="s">
        <v>2516</v>
      </c>
      <c r="O22" s="579" t="s">
        <v>2517</v>
      </c>
      <c r="P22" s="587" t="s">
        <v>2518</v>
      </c>
      <c r="X22" s="266"/>
      <c r="Y22" s="266"/>
      <c r="Z22" s="266"/>
      <c r="AA22" s="266"/>
      <c r="AB22" s="266"/>
    </row>
    <row r="23" spans="2:28" s="269" customFormat="1" ht="15.75" thickTop="1">
      <c r="B23" s="639"/>
      <c r="C23" s="588">
        <f>C15+1</f>
        <v>2022</v>
      </c>
      <c r="D23" s="589"/>
      <c r="E23" s="589"/>
      <c r="F23" s="589"/>
      <c r="G23" s="589"/>
      <c r="H23" s="589"/>
      <c r="I23" s="589"/>
      <c r="J23" s="589"/>
      <c r="K23" s="589"/>
      <c r="L23" s="589"/>
      <c r="M23" s="589"/>
      <c r="N23" s="589"/>
      <c r="O23" s="589"/>
      <c r="P23" s="589"/>
      <c r="X23" s="266"/>
      <c r="Y23" s="266"/>
      <c r="Z23" s="266"/>
      <c r="AA23" s="266"/>
      <c r="AB23" s="266"/>
    </row>
    <row r="24" spans="2:28" s="269" customFormat="1" ht="4.5" customHeight="1">
      <c r="B24" s="639"/>
      <c r="C24" s="578"/>
      <c r="D24" s="578"/>
      <c r="E24" s="578"/>
      <c r="F24" s="578"/>
      <c r="G24" s="578"/>
      <c r="H24" s="578"/>
      <c r="I24" s="578"/>
      <c r="J24" s="578"/>
      <c r="K24" s="578"/>
      <c r="L24" s="578"/>
      <c r="M24" s="578"/>
      <c r="N24" s="578"/>
      <c r="O24" s="578"/>
      <c r="P24" s="578"/>
      <c r="X24" s="266"/>
      <c r="Y24" s="266"/>
      <c r="Z24" s="266"/>
      <c r="AA24" s="266"/>
      <c r="AB24" s="266"/>
    </row>
    <row r="25" spans="2:28" s="269" customFormat="1" ht="15">
      <c r="B25" s="639"/>
      <c r="C25" s="545" t="str">
        <f>'Performance Measurement'!$B$19</f>
        <v>Portfólio Sugerido</v>
      </c>
      <c r="D25" s="584"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1.6718909121587355E-2</v>
      </c>
      <c r="E25" s="584"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7.6023722985274489E-3</v>
      </c>
      <c r="F25" s="584"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2.9158161739693211E-2</v>
      </c>
      <c r="G25" s="584"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4.071283378078272E-3</v>
      </c>
      <c r="H25" s="584"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1.2512718989184712E-2</v>
      </c>
      <c r="I25" s="584"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-3.1422618428238458E-3</v>
      </c>
      <c r="J25" s="584"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9.6766398211594051E-3</v>
      </c>
      <c r="K25" s="584"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2.2902757336310753E-2</v>
      </c>
      <c r="L25" s="584"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8.7242689104214399E-3</v>
      </c>
      <c r="M25" s="584"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1.6181203064025151E-2</v>
      </c>
      <c r="N25" s="584"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4.4916149991136578E-4</v>
      </c>
      <c r="O25" s="584"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6.0093852290850069E-3</v>
      </c>
      <c r="P25" s="584" cm="1">
        <f t="array" aca="1" ref="P25" ca="1">IFERROR(PRODUCT(1+D25:O25)-1,"-")</f>
        <v>0.13848618326977169</v>
      </c>
      <c r="X25" s="266"/>
      <c r="Y25" s="266"/>
      <c r="Z25" s="266"/>
      <c r="AA25" s="266"/>
      <c r="AB25" s="266"/>
    </row>
    <row r="26" spans="2:28" s="269" customFormat="1" ht="15">
      <c r="B26" s="639"/>
      <c r="C26" s="545" t="str">
        <f>IF('Performance Measurement'!$B$20 = "CDI", 'Performance Measurement'!$B$21, 'Performance Measurement'!$B$20)</f>
        <v>%CDI</v>
      </c>
      <c r="D26" s="585" cm="1">
        <f t="array" aca="1" ref="D26" ca="1">IFERROR(IF('Performance Measurement'!$B$20 = "CDI", INDEX(OFFSET('Performance Measurement'!$B$18,3,1,,COUNTA('Performance Measurement'!$18:$18)), MATCH(D$6, IF(LEFT(OFFSET('Performance Measurement'!$B$18,,1,,COUNTA('Performance Measurement'!$18:$18)),4)=_xlfn.VALUETOTEXT($C23),RIGHT(OFFSET('Performance Measurement'!$B$18,,1,,COUNTA('Performance Measurement'!$18:$18)),4)), 0)), INDEX(OFFSET('Performance Measurement'!$B$18,2,1,,COUNTA('Performance Measurement'!$18:$18)), MATCH(D$6, IF(LEFT(OFFSET('Performance Measurement'!$B$18,,1,,COUNTA('Performance Measurement'!$18:$18)),4)=_xlfn.VALUETOTEXT($C23),RIGHT(OFFSET('Performance Measurement'!$B$18,,1,,COUNTA('Performance Measurement'!$18:$18)),4)), 0))),0)</f>
        <v>2.2831443826346773</v>
      </c>
      <c r="E26" s="585" cm="1">
        <f t="array" aca="1" ref="E26" ca="1">IFERROR(IF('Performance Measurement'!$B$20 = "CDI", INDEX(OFFSET('Performance Measurement'!$B$18,3,1,,COUNTA('Performance Measurement'!$18:$18)), MATCH(E$6, IF(LEFT(OFFSET('Performance Measurement'!$B$18,,1,,COUNTA('Performance Measurement'!$18:$18)),4)=_xlfn.VALUETOTEXT($C23),RIGHT(OFFSET('Performance Measurement'!$B$18,,1,,COUNTA('Performance Measurement'!$18:$18)),4)), 0)), INDEX(OFFSET('Performance Measurement'!$B$18,2,1,,COUNTA('Performance Measurement'!$18:$18)), MATCH(E$6, IF(LEFT(OFFSET('Performance Measurement'!$B$18,,1,,COUNTA('Performance Measurement'!$18:$18)),4)=_xlfn.VALUETOTEXT($C23),RIGHT(OFFSET('Performance Measurement'!$B$18,,1,,COUNTA('Performance Measurement'!$18:$18)),4)), 0))),0)</f>
        <v>1.0068918688537789</v>
      </c>
      <c r="F26" s="585" cm="1">
        <f t="array" aca="1" ref="F26" ca="1">IFERROR(IF('Performance Measurement'!$B$20 = "CDI", INDEX(OFFSET('Performance Measurement'!$B$18,3,1,,COUNTA('Performance Measurement'!$18:$18)), MATCH(F$6, IF(LEFT(OFFSET('Performance Measurement'!$B$18,,1,,COUNTA('Performance Measurement'!$18:$18)),4)=_xlfn.VALUETOTEXT($C23),RIGHT(OFFSET('Performance Measurement'!$B$18,,1,,COUNTA('Performance Measurement'!$18:$18)),4)), 0)), INDEX(OFFSET('Performance Measurement'!$B$18,2,1,,COUNTA('Performance Measurement'!$18:$18)), MATCH(F$6, IF(LEFT(OFFSET('Performance Measurement'!$B$18,,1,,COUNTA('Performance Measurement'!$18:$18)),4)=_xlfn.VALUETOTEXT($C23),RIGHT(OFFSET('Performance Measurement'!$B$18,,1,,COUNTA('Performance Measurement'!$18:$18)),4)), 0))),0)</f>
        <v>3.1452581572014049</v>
      </c>
      <c r="G26" s="585" cm="1">
        <f t="array" aca="1" ref="G26" ca="1">IFERROR(IF('Performance Measurement'!$B$20 = "CDI", INDEX(OFFSET('Performance Measurement'!$B$18,3,1,,COUNTA('Performance Measurement'!$18:$18)), MATCH(G$6, IF(LEFT(OFFSET('Performance Measurement'!$B$18,,1,,COUNTA('Performance Measurement'!$18:$18)),4)=_xlfn.VALUETOTEXT($C23),RIGHT(OFFSET('Performance Measurement'!$B$18,,1,,COUNTA('Performance Measurement'!$18:$18)),4)), 0)), INDEX(OFFSET('Performance Measurement'!$B$18,2,1,,COUNTA('Performance Measurement'!$18:$18)), MATCH(G$6, IF(LEFT(OFFSET('Performance Measurement'!$B$18,,1,,COUNTA('Performance Measurement'!$18:$18)),4)=_xlfn.VALUETOTEXT($C23),RIGHT(OFFSET('Performance Measurement'!$B$18,,1,,COUNTA('Performance Measurement'!$18:$18)),4)), 0))),0)</f>
        <v>0.48797322130142246</v>
      </c>
      <c r="H26" s="585" cm="1">
        <f t="array" aca="1" ref="H26" ca="1">IFERROR(IF('Performance Measurement'!$B$20 = "CDI", INDEX(OFFSET('Performance Measurement'!$B$18,3,1,,COUNTA('Performance Measurement'!$18:$18)), MATCH(H$6, IF(LEFT(OFFSET('Performance Measurement'!$B$18,,1,,COUNTA('Performance Measurement'!$18:$18)),4)=_xlfn.VALUETOTEXT($C23),RIGHT(OFFSET('Performance Measurement'!$B$18,,1,,COUNTA('Performance Measurement'!$18:$18)),4)), 0)), INDEX(OFFSET('Performance Measurement'!$B$18,2,1,,COUNTA('Performance Measurement'!$18:$18)), MATCH(H$6, IF(LEFT(OFFSET('Performance Measurement'!$B$18,,1,,COUNTA('Performance Measurement'!$18:$18)),4)=_xlfn.VALUETOTEXT($C23),RIGHT(OFFSET('Performance Measurement'!$B$18,,1,,COUNTA('Performance Measurement'!$18:$18)),4)), 0))),0)</f>
        <v>1.2094289499189155</v>
      </c>
      <c r="I26" s="585" cm="1">
        <f t="array" aca="1" ref="I26" ca="1">IFERROR(IF('Performance Measurement'!$B$20 = "CDI", INDEX(OFFSET('Performance Measurement'!$B$18,3,1,,COUNTA('Performance Measurement'!$18:$18)), MATCH(I$6, IF(LEFT(OFFSET('Performance Measurement'!$B$18,,1,,COUNTA('Performance Measurement'!$18:$18)),4)=_xlfn.VALUETOTEXT($C23),RIGHT(OFFSET('Performance Measurement'!$B$18,,1,,COUNTA('Performance Measurement'!$18:$18)),4)), 0)), INDEX(OFFSET('Performance Measurement'!$B$18,2,1,,COUNTA('Performance Measurement'!$18:$18)), MATCH(I$6, IF(LEFT(OFFSET('Performance Measurement'!$B$18,,1,,COUNTA('Performance Measurement'!$18:$18)),4)=_xlfn.VALUETOTEXT($C23),RIGHT(OFFSET('Performance Measurement'!$B$18,,1,,COUNTA('Performance Measurement'!$18:$18)),4)), 0))),0)</f>
        <v>-0.30948395763383524</v>
      </c>
      <c r="J26" s="585" cm="1">
        <f t="array" aca="1" ref="J26" ca="1">IFERROR(IF('Performance Measurement'!$B$20 = "CDI", INDEX(OFFSET('Performance Measurement'!$B$18,3,1,,COUNTA('Performance Measurement'!$18:$18)), MATCH(J$6, IF(LEFT(OFFSET('Performance Measurement'!$B$18,,1,,COUNTA('Performance Measurement'!$18:$18)),4)=_xlfn.VALUETOTEXT($C23),RIGHT(OFFSET('Performance Measurement'!$B$18,,1,,COUNTA('Performance Measurement'!$18:$18)),4)), 0)), INDEX(OFFSET('Performance Measurement'!$B$18,2,1,,COUNTA('Performance Measurement'!$18:$18)), MATCH(J$6, IF(LEFT(OFFSET('Performance Measurement'!$B$18,,1,,COUNTA('Performance Measurement'!$18:$18)),4)=_xlfn.VALUETOTEXT($C23),RIGHT(OFFSET('Performance Measurement'!$B$18,,1,,COUNTA('Performance Measurement'!$18:$18)),4)), 0))),0)</f>
        <v>0.93507400776401173</v>
      </c>
      <c r="K26" s="585" cm="1">
        <f t="array" aca="1" ref="K26" ca="1">IFERROR(IF('Performance Measurement'!$B$20 = "CDI", INDEX(OFFSET('Performance Measurement'!$B$18,3,1,,COUNTA('Performance Measurement'!$18:$18)), MATCH(K$6, IF(LEFT(OFFSET('Performance Measurement'!$B$18,,1,,COUNTA('Performance Measurement'!$18:$18)),4)=_xlfn.VALUETOTEXT($C23),RIGHT(OFFSET('Performance Measurement'!$B$18,,1,,COUNTA('Performance Measurement'!$18:$18)),4)), 0)), INDEX(OFFSET('Performance Measurement'!$B$18,2,1,,COUNTA('Performance Measurement'!$18:$18)), MATCH(K$6, IF(LEFT(OFFSET('Performance Measurement'!$B$18,,1,,COUNTA('Performance Measurement'!$18:$18)),4)=_xlfn.VALUETOTEXT($C23),RIGHT(OFFSET('Performance Measurement'!$B$18,,1,,COUNTA('Performance Measurement'!$18:$18)),4)), 0))),0)</f>
        <v>1.9585660841415427</v>
      </c>
      <c r="L26" s="585" cm="1">
        <f t="array" aca="1" ref="L26" ca="1">IFERROR(IF('Performance Measurement'!$B$20 = "CDI", INDEX(OFFSET('Performance Measurement'!$B$18,3,1,,COUNTA('Performance Measurement'!$18:$18)), MATCH(L$6, IF(LEFT(OFFSET('Performance Measurement'!$B$18,,1,,COUNTA('Performance Measurement'!$18:$18)),4)=_xlfn.VALUETOTEXT($C23),RIGHT(OFFSET('Performance Measurement'!$B$18,,1,,COUNTA('Performance Measurement'!$18:$18)),4)), 0)), INDEX(OFFSET('Performance Measurement'!$B$18,2,1,,COUNTA('Performance Measurement'!$18:$18)), MATCH(L$6, IF(LEFT(OFFSET('Performance Measurement'!$B$18,,1,,COUNTA('Performance Measurement'!$18:$18)),4)=_xlfn.VALUETOTEXT($C23),RIGHT(OFFSET('Performance Measurement'!$B$18,,1,,COUNTA('Performance Measurement'!$18:$18)),4)), 0))),0)</f>
        <v>0.813843931419723</v>
      </c>
      <c r="M26" s="585" cm="1">
        <f t="array" aca="1" ref="M26" ca="1">IFERROR(IF('Performance Measurement'!$B$20 = "CDI", INDEX(OFFSET('Performance Measurement'!$B$18,3,1,,COUNTA('Performance Measurement'!$18:$18)), MATCH(M$6, IF(LEFT(OFFSET('Performance Measurement'!$B$18,,1,,COUNTA('Performance Measurement'!$18:$18)),4)=_xlfn.VALUETOTEXT($C23),RIGHT(OFFSET('Performance Measurement'!$B$18,,1,,COUNTA('Performance Measurement'!$18:$18)),4)), 0)), INDEX(OFFSET('Performance Measurement'!$B$18,2,1,,COUNTA('Performance Measurement'!$18:$18)), MATCH(M$6, IF(LEFT(OFFSET('Performance Measurement'!$B$18,,1,,COUNTA('Performance Measurement'!$18:$18)),4)=_xlfn.VALUETOTEXT($C23),RIGHT(OFFSET('Performance Measurement'!$B$18,,1,,COUNTA('Performance Measurement'!$18:$18)),4)), 0))),0)</f>
        <v>1.5853408163657259</v>
      </c>
      <c r="N26" s="585" cm="1">
        <f t="array" aca="1" ref="N26" ca="1">IFERROR(IF('Performance Measurement'!$B$20 = "CDI", INDEX(OFFSET('Performance Measurement'!$B$18,3,1,,COUNTA('Performance Measurement'!$18:$18)), MATCH(N$6, IF(LEFT(OFFSET('Performance Measurement'!$B$18,,1,,COUNTA('Performance Measurement'!$18:$18)),4)=_xlfn.VALUETOTEXT($C23),RIGHT(OFFSET('Performance Measurement'!$B$18,,1,,COUNTA('Performance Measurement'!$18:$18)),4)), 0)), INDEX(OFFSET('Performance Measurement'!$B$18,2,1,,COUNTA('Performance Measurement'!$18:$18)), MATCH(N$6, IF(LEFT(OFFSET('Performance Measurement'!$B$18,,1,,COUNTA('Performance Measurement'!$18:$18)),4)=_xlfn.VALUETOTEXT($C23),RIGHT(OFFSET('Performance Measurement'!$B$18,,1,,COUNTA('Performance Measurement'!$18:$18)),4)), 0))),0)</f>
        <v>4.6334148904399068E-2</v>
      </c>
      <c r="O26" s="585" cm="1">
        <f t="array" aca="1" ref="O26" ca="1">IFERROR(IF('Performance Measurement'!$B$20 = "CDI", INDEX(OFFSET('Performance Measurement'!$B$18,3,1,,COUNTA('Performance Measurement'!$18:$18)), MATCH(O$6, IF(LEFT(OFFSET('Performance Measurement'!$B$18,,1,,COUNTA('Performance Measurement'!$18:$18)),4)=_xlfn.VALUETOTEXT($C23),RIGHT(OFFSET('Performance Measurement'!$B$18,,1,,COUNTA('Performance Measurement'!$18:$18)),4)), 0)), INDEX(OFFSET('Performance Measurement'!$B$18,2,1,,COUNTA('Performance Measurement'!$18:$18)), MATCH(O$6, IF(LEFT(OFFSET('Performance Measurement'!$B$18,,1,,COUNTA('Performance Measurement'!$18:$18)),4)=_xlfn.VALUETOTEXT($C23),RIGHT(OFFSET('Performance Measurement'!$B$18,,1,,COUNTA('Performance Measurement'!$18:$18)),4)), 0))),0)</f>
        <v>0.53496859477276815</v>
      </c>
      <c r="P26" s="586" cm="1">
        <f t="array" aca="1" ref="P26" ca="1">IFERROR(IF('Performance Measurement'!$B$20 = "CDI", P25/P27, PRODUCT(1+D26:O26)-1),"-")</f>
        <v>1.1228031361219899</v>
      </c>
      <c r="X26" s="266"/>
      <c r="Y26" s="266"/>
      <c r="Z26" s="266"/>
      <c r="AA26" s="266"/>
      <c r="AB26" s="266"/>
    </row>
    <row r="27" spans="2:28" s="269" customFormat="1" ht="15" hidden="1">
      <c r="B27" s="639"/>
      <c r="C27" s="580" t="str">
        <f>'Performance Measurement'!$B$20</f>
        <v>CDI</v>
      </c>
      <c r="D27" s="581"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581"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581"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581"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581"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581"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581"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581"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581"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581"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1.0206766202562889E-2</v>
      </c>
      <c r="N27" s="581"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9.6939624560303805E-3</v>
      </c>
      <c r="O27" s="581"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1.1233155156776142E-2</v>
      </c>
      <c r="P27" s="583" cm="1">
        <f t="array" aca="1" ref="P27" ca="1">PRODUCT(1+D27:O27)-1</f>
        <v>0.12333968334652523</v>
      </c>
      <c r="X27" s="266"/>
      <c r="Y27" s="266"/>
      <c r="Z27" s="266"/>
      <c r="AA27" s="266"/>
      <c r="AB27" s="266"/>
    </row>
    <row r="28" spans="2:28" s="269" customFormat="1" ht="8.25" customHeight="1">
      <c r="B28" s="639"/>
      <c r="C28" s="558"/>
      <c r="D28" s="558"/>
      <c r="E28" s="558"/>
      <c r="F28" s="558"/>
      <c r="G28" s="558"/>
      <c r="H28" s="558"/>
      <c r="I28" s="558"/>
      <c r="J28" s="558"/>
      <c r="K28" s="558"/>
      <c r="L28" s="558"/>
      <c r="M28" s="558"/>
      <c r="N28" s="558"/>
      <c r="O28" s="558"/>
      <c r="P28" s="578"/>
      <c r="X28" s="266"/>
      <c r="Y28" s="266"/>
      <c r="Z28" s="266"/>
      <c r="AA28" s="266"/>
      <c r="AB28" s="266"/>
    </row>
    <row r="29" spans="2:28" s="269" customFormat="1" ht="8.25" customHeight="1">
      <c r="B29" s="639"/>
      <c r="C29" s="558"/>
      <c r="D29" s="558"/>
      <c r="E29" s="558"/>
      <c r="F29" s="558"/>
      <c r="G29" s="558"/>
      <c r="H29" s="558"/>
      <c r="I29" s="558"/>
      <c r="J29" s="558"/>
      <c r="K29" s="558"/>
      <c r="L29" s="558"/>
      <c r="M29" s="558"/>
      <c r="N29" s="558"/>
      <c r="O29" s="558"/>
      <c r="P29" s="578"/>
      <c r="X29" s="266"/>
      <c r="Y29" s="266"/>
      <c r="Z29" s="266"/>
      <c r="AA29" s="266"/>
      <c r="AB29" s="266"/>
    </row>
    <row r="30" spans="2:28" s="269" customFormat="1" ht="15.75" thickBot="1">
      <c r="B30" s="639"/>
      <c r="C30" s="579" t="s">
        <v>2448</v>
      </c>
      <c r="D30" s="579" t="s">
        <v>2508</v>
      </c>
      <c r="E30" s="579" t="s">
        <v>2509</v>
      </c>
      <c r="F30" s="579" t="s">
        <v>2510</v>
      </c>
      <c r="G30" s="579" t="s">
        <v>2511</v>
      </c>
      <c r="H30" s="579" t="s">
        <v>2512</v>
      </c>
      <c r="I30" s="579" t="s">
        <v>2513</v>
      </c>
      <c r="J30" s="579" t="s">
        <v>2519</v>
      </c>
      <c r="K30" s="579" t="s">
        <v>2520</v>
      </c>
      <c r="L30" s="579" t="s">
        <v>2514</v>
      </c>
      <c r="M30" s="579" t="s">
        <v>2515</v>
      </c>
      <c r="N30" s="579" t="s">
        <v>2516</v>
      </c>
      <c r="O30" s="579" t="s">
        <v>2517</v>
      </c>
      <c r="P30" s="587" t="s">
        <v>2518</v>
      </c>
      <c r="X30" s="266"/>
      <c r="Y30" s="266"/>
      <c r="Z30" s="266"/>
      <c r="AA30" s="266"/>
      <c r="AB30" s="266"/>
    </row>
    <row r="31" spans="2:28" s="269" customFormat="1" ht="15.75" thickTop="1">
      <c r="B31" s="639"/>
      <c r="C31" s="588">
        <f>C23+1</f>
        <v>2023</v>
      </c>
      <c r="D31" s="589"/>
      <c r="E31" s="589"/>
      <c r="F31" s="589"/>
      <c r="G31" s="589"/>
      <c r="H31" s="589"/>
      <c r="I31" s="589"/>
      <c r="J31" s="589"/>
      <c r="K31" s="589"/>
      <c r="L31" s="589"/>
      <c r="M31" s="589"/>
      <c r="N31" s="589"/>
      <c r="O31" s="589"/>
      <c r="P31" s="589"/>
      <c r="X31" s="266"/>
      <c r="Y31" s="266"/>
      <c r="Z31" s="266"/>
      <c r="AA31" s="266"/>
      <c r="AB31" s="266"/>
    </row>
    <row r="32" spans="2:28" s="269" customFormat="1" ht="4.5" customHeight="1">
      <c r="B32" s="639"/>
      <c r="C32" s="578"/>
      <c r="D32" s="578"/>
      <c r="E32" s="578"/>
      <c r="F32" s="578"/>
      <c r="G32" s="578"/>
      <c r="H32" s="578"/>
      <c r="I32" s="578"/>
      <c r="J32" s="578"/>
      <c r="K32" s="578"/>
      <c r="L32" s="578"/>
      <c r="M32" s="578"/>
      <c r="N32" s="578"/>
      <c r="O32" s="578"/>
      <c r="P32" s="578"/>
      <c r="X32" s="266"/>
      <c r="Y32" s="266"/>
      <c r="Z32" s="266"/>
      <c r="AA32" s="266"/>
      <c r="AB32" s="266"/>
    </row>
    <row r="33" spans="2:28" s="269" customFormat="1" ht="15">
      <c r="B33" s="639"/>
      <c r="C33" s="545" t="str">
        <f>'Performance Measurement'!$B$19</f>
        <v>Portfólio Sugerido</v>
      </c>
      <c r="D33" s="584" cm="1">
        <f t="array" aca="1" ref="D33" ca="1">IFERROR(INDEX(OFFSET('Performance Measurement'!$B$18,1,1,,COUNTA('Performance Measurement'!$18:$18)), MATCH(D$6, IF(LEFT(OFFSET('Performance Measurement'!$B$18,,1,,COUNTA('Performance Measurement'!$18:$18)),4)=_xlfn.VALUETOTEXT($C31),RIGHT(OFFSET('Performance Measurement'!$B$18,,1,,COUNTA('Performance Measurement'!$18:$18)),4)), 0)),0)</f>
        <v>1.6101324120634253E-2</v>
      </c>
      <c r="E33" s="584" cm="1">
        <f t="array" aca="1" ref="E33" ca="1">IFERROR(INDEX(OFFSET('Performance Measurement'!$B$18,1,1,,COUNTA('Performance Measurement'!$18:$18)), MATCH(E$6, IF(LEFT(OFFSET('Performance Measurement'!$B$18,,1,,COUNTA('Performance Measurement'!$18:$18)),4)=_xlfn.VALUETOTEXT($C31),RIGHT(OFFSET('Performance Measurement'!$B$18,,1,,COUNTA('Performance Measurement'!$18:$18)),4)), 0)),0)</f>
        <v>0</v>
      </c>
      <c r="F33" s="584" cm="1">
        <f t="array" aca="1" ref="F33" ca="1">IFERROR(INDEX(OFFSET('Performance Measurement'!$B$18,1,1,,COUNTA('Performance Measurement'!$18:$18)), MATCH(F$6, IF(LEFT(OFFSET('Performance Measurement'!$B$18,,1,,COUNTA('Performance Measurement'!$18:$18)),4)=_xlfn.VALUETOTEXT($C31),RIGHT(OFFSET('Performance Measurement'!$B$18,,1,,COUNTA('Performance Measurement'!$18:$18)),4)), 0)),0)</f>
        <v>0</v>
      </c>
      <c r="G33" s="584" cm="1">
        <f t="array" aca="1" ref="G33" ca="1">IFERROR(INDEX(OFFSET('Performance Measurement'!$B$18,1,1,,COUNTA('Performance Measurement'!$18:$18)), MATCH(G$6, IF(LEFT(OFFSET('Performance Measurement'!$B$18,,1,,COUNTA('Performance Measurement'!$18:$18)),4)=_xlfn.VALUETOTEXT($C31),RIGHT(OFFSET('Performance Measurement'!$B$18,,1,,COUNTA('Performance Measurement'!$18:$18)),4)), 0)),0)</f>
        <v>0</v>
      </c>
      <c r="H33" s="584" cm="1">
        <f t="array" aca="1" ref="H33" ca="1">IFERROR(INDEX(OFFSET('Performance Measurement'!$B$18,1,1,,COUNTA('Performance Measurement'!$18:$18)), MATCH(H$6, IF(LEFT(OFFSET('Performance Measurement'!$B$18,,1,,COUNTA('Performance Measurement'!$18:$18)),4)=_xlfn.VALUETOTEXT($C31),RIGHT(OFFSET('Performance Measurement'!$B$18,,1,,COUNTA('Performance Measurement'!$18:$18)),4)), 0)),0)</f>
        <v>0</v>
      </c>
      <c r="I33" s="584" cm="1">
        <f t="array" aca="1" ref="I33" ca="1">IFERROR(INDEX(OFFSET('Performance Measurement'!$B$18,1,1,,COUNTA('Performance Measurement'!$18:$18)), MATCH(I$6, IF(LEFT(OFFSET('Performance Measurement'!$B$18,,1,,COUNTA('Performance Measurement'!$18:$18)),4)=_xlfn.VALUETOTEXT($C31),RIGHT(OFFSET('Performance Measurement'!$B$18,,1,,COUNTA('Performance Measurement'!$18:$18)),4)), 0)),0)</f>
        <v>0</v>
      </c>
      <c r="J33" s="584" cm="1">
        <f t="array" aca="1" ref="J33" ca="1">IFERROR(INDEX(OFFSET('Performance Measurement'!$B$18,1,1,,COUNTA('Performance Measurement'!$18:$18)), MATCH(J$6, IF(LEFT(OFFSET('Performance Measurement'!$B$18,,1,,COUNTA('Performance Measurement'!$18:$18)),4)=_xlfn.VALUETOTEXT($C31),RIGHT(OFFSET('Performance Measurement'!$B$18,,1,,COUNTA('Performance Measurement'!$18:$18)),4)), 0)),0)</f>
        <v>0</v>
      </c>
      <c r="K33" s="584" cm="1">
        <f t="array" aca="1" ref="K33" ca="1">IFERROR(INDEX(OFFSET('Performance Measurement'!$B$18,1,1,,COUNTA('Performance Measurement'!$18:$18)), MATCH(K$6, IF(LEFT(OFFSET('Performance Measurement'!$B$18,,1,,COUNTA('Performance Measurement'!$18:$18)),4)=_xlfn.VALUETOTEXT($C31),RIGHT(OFFSET('Performance Measurement'!$B$18,,1,,COUNTA('Performance Measurement'!$18:$18)),4)), 0)),0)</f>
        <v>0</v>
      </c>
      <c r="L33" s="584" cm="1">
        <f t="array" aca="1" ref="L33" ca="1">IFERROR(INDEX(OFFSET('Performance Measurement'!$B$18,1,1,,COUNTA('Performance Measurement'!$18:$18)), MATCH(L$6, IF(LEFT(OFFSET('Performance Measurement'!$B$18,,1,,COUNTA('Performance Measurement'!$18:$18)),4)=_xlfn.VALUETOTEXT($C31),RIGHT(OFFSET('Performance Measurement'!$B$18,,1,,COUNTA('Performance Measurement'!$18:$18)),4)), 0)),0)</f>
        <v>0</v>
      </c>
      <c r="M33" s="584" cm="1">
        <f t="array" aca="1" ref="M33" ca="1">IFERROR(INDEX(OFFSET('Performance Measurement'!$B$18,1,1,,COUNTA('Performance Measurement'!$18:$18)), MATCH(M$6, IF(LEFT(OFFSET('Performance Measurement'!$B$18,,1,,COUNTA('Performance Measurement'!$18:$18)),4)=_xlfn.VALUETOTEXT($C31),RIGHT(OFFSET('Performance Measurement'!$B$18,,1,,COUNTA('Performance Measurement'!$18:$18)),4)), 0)),0)</f>
        <v>0</v>
      </c>
      <c r="N33" s="584" cm="1">
        <f t="array" aca="1" ref="N33" ca="1">IFERROR(INDEX(OFFSET('Performance Measurement'!$B$18,1,1,,COUNTA('Performance Measurement'!$18:$18)), MATCH(N$6, IF(LEFT(OFFSET('Performance Measurement'!$B$18,,1,,COUNTA('Performance Measurement'!$18:$18)),4)=_xlfn.VALUETOTEXT($C31),RIGHT(OFFSET('Performance Measurement'!$B$18,,1,,COUNTA('Performance Measurement'!$18:$18)),4)), 0)),0)</f>
        <v>0</v>
      </c>
      <c r="O33" s="584" cm="1">
        <f t="array" aca="1" ref="O33" ca="1">IFERROR(INDEX(OFFSET('Performance Measurement'!$B$18,1,1,,COUNTA('Performance Measurement'!$18:$18)), MATCH(O$6, IF(LEFT(OFFSET('Performance Measurement'!$B$18,,1,,COUNTA('Performance Measurement'!$18:$18)),4)=_xlfn.VALUETOTEXT($C31),RIGHT(OFFSET('Performance Measurement'!$B$18,,1,,COUNTA('Performance Measurement'!$18:$18)),4)), 0)),0)</f>
        <v>0</v>
      </c>
      <c r="P33" s="584" cm="1">
        <f t="array" aca="1" ref="P33" ca="1">IFERROR(PRODUCT(1+D33:O33)-1,"-")</f>
        <v>1.6101324120634253E-2</v>
      </c>
      <c r="X33" s="266"/>
      <c r="Y33" s="266"/>
      <c r="Z33" s="266"/>
      <c r="AA33" s="266"/>
      <c r="AB33" s="266"/>
    </row>
    <row r="34" spans="2:28" s="269" customFormat="1" ht="15">
      <c r="B34" s="639"/>
      <c r="C34" s="545" t="str">
        <f>IF('Performance Measurement'!$B$20 = "CDI", 'Performance Measurement'!$B$21, 'Performance Measurement'!$B$20)</f>
        <v>%CDI</v>
      </c>
      <c r="D34" s="585" cm="1">
        <f t="array" aca="1" ref="D34" ca="1">IFERROR(IF('Performance Measurement'!$B$20 = "CDI", INDEX(OFFSET('Performance Measurement'!$B$18,3,1,,COUNTA('Performance Measurement'!$18:$18)), MATCH(D$6, IF(LEFT(OFFSET('Performance Measurement'!$B$18,,1,,COUNTA('Performance Measurement'!$18:$18)),4)=_xlfn.VALUETOTEXT($C31),RIGHT(OFFSET('Performance Measurement'!$B$18,,1,,COUNTA('Performance Measurement'!$18:$18)),4)), 0)), INDEX(OFFSET('Performance Measurement'!$B$18,2,1,,COUNTA('Performance Measurement'!$18:$18)), MATCH(D$6, IF(LEFT(OFFSET('Performance Measurement'!$B$18,,1,,COUNTA('Performance Measurement'!$18:$18)),4)=_xlfn.VALUETOTEXT($C31),RIGHT(OFFSET('Performance Measurement'!$B$18,,1,,COUNTA('Performance Measurement'!$18:$18)),4)), 0))),0)</f>
        <v>1.4333750309610473</v>
      </c>
      <c r="E34" s="585" cm="1">
        <f t="array" aca="1" ref="E34" ca="1">IFERROR(IF('Performance Measurement'!$B$20 = "CDI", INDEX(OFFSET('Performance Measurement'!$B$18,3,1,,COUNTA('Performance Measurement'!$18:$18)), MATCH(E$6, IF(LEFT(OFFSET('Performance Measurement'!$B$18,,1,,COUNTA('Performance Measurement'!$18:$18)),4)=_xlfn.VALUETOTEXT($C31),RIGHT(OFFSET('Performance Measurement'!$B$18,,1,,COUNTA('Performance Measurement'!$18:$18)),4)), 0)), INDEX(OFFSET('Performance Measurement'!$B$18,2,1,,COUNTA('Performance Measurement'!$18:$18)), MATCH(E$6, IF(LEFT(OFFSET('Performance Measurement'!$B$18,,1,,COUNTA('Performance Measurement'!$18:$18)),4)=_xlfn.VALUETOTEXT($C31),RIGHT(OFFSET('Performance Measurement'!$B$18,,1,,COUNTA('Performance Measurement'!$18:$18)),4)), 0))),0)</f>
        <v>0</v>
      </c>
      <c r="F34" s="585" cm="1">
        <f t="array" aca="1" ref="F34" ca="1">IFERROR(IF('Performance Measurement'!$B$20 = "CDI", INDEX(OFFSET('Performance Measurement'!$B$18,3,1,,COUNTA('Performance Measurement'!$18:$18)), MATCH(F$6, IF(LEFT(OFFSET('Performance Measurement'!$B$18,,1,,COUNTA('Performance Measurement'!$18:$18)),4)=_xlfn.VALUETOTEXT($C31),RIGHT(OFFSET('Performance Measurement'!$B$18,,1,,COUNTA('Performance Measurement'!$18:$18)),4)), 0)), INDEX(OFFSET('Performance Measurement'!$B$18,2,1,,COUNTA('Performance Measurement'!$18:$18)), MATCH(F$6, IF(LEFT(OFFSET('Performance Measurement'!$B$18,,1,,COUNTA('Performance Measurement'!$18:$18)),4)=_xlfn.VALUETOTEXT($C31),RIGHT(OFFSET('Performance Measurement'!$B$18,,1,,COUNTA('Performance Measurement'!$18:$18)),4)), 0))),0)</f>
        <v>0</v>
      </c>
      <c r="G34" s="585" cm="1">
        <f t="array" aca="1" ref="G34" ca="1">IFERROR(IF('Performance Measurement'!$B$20 = "CDI", INDEX(OFFSET('Performance Measurement'!$B$18,3,1,,COUNTA('Performance Measurement'!$18:$18)), MATCH(G$6, IF(LEFT(OFFSET('Performance Measurement'!$B$18,,1,,COUNTA('Performance Measurement'!$18:$18)),4)=_xlfn.VALUETOTEXT($C31),RIGHT(OFFSET('Performance Measurement'!$B$18,,1,,COUNTA('Performance Measurement'!$18:$18)),4)), 0)), INDEX(OFFSET('Performance Measurement'!$B$18,2,1,,COUNTA('Performance Measurement'!$18:$18)), MATCH(G$6, IF(LEFT(OFFSET('Performance Measurement'!$B$18,,1,,COUNTA('Performance Measurement'!$18:$18)),4)=_xlfn.VALUETOTEXT($C31),RIGHT(OFFSET('Performance Measurement'!$B$18,,1,,COUNTA('Performance Measurement'!$18:$18)),4)), 0))),0)</f>
        <v>0</v>
      </c>
      <c r="H34" s="585" cm="1">
        <f t="array" aca="1" ref="H34" ca="1">IFERROR(IF('Performance Measurement'!$B$20 = "CDI", INDEX(OFFSET('Performance Measurement'!$B$18,3,1,,COUNTA('Performance Measurement'!$18:$18)), MATCH(H$6, IF(LEFT(OFFSET('Performance Measurement'!$B$18,,1,,COUNTA('Performance Measurement'!$18:$18)),4)=_xlfn.VALUETOTEXT($C31),RIGHT(OFFSET('Performance Measurement'!$B$18,,1,,COUNTA('Performance Measurement'!$18:$18)),4)), 0)), INDEX(OFFSET('Performance Measurement'!$B$18,2,1,,COUNTA('Performance Measurement'!$18:$18)), MATCH(H$6, IF(LEFT(OFFSET('Performance Measurement'!$B$18,,1,,COUNTA('Performance Measurement'!$18:$18)),4)=_xlfn.VALUETOTEXT($C31),RIGHT(OFFSET('Performance Measurement'!$B$18,,1,,COUNTA('Performance Measurement'!$18:$18)),4)), 0))),0)</f>
        <v>0</v>
      </c>
      <c r="I34" s="585" cm="1">
        <f t="array" aca="1" ref="I34" ca="1">IFERROR(IF('Performance Measurement'!$B$20 = "CDI", INDEX(OFFSET('Performance Measurement'!$B$18,3,1,,COUNTA('Performance Measurement'!$18:$18)), MATCH(I$6, IF(LEFT(OFFSET('Performance Measurement'!$B$18,,1,,COUNTA('Performance Measurement'!$18:$18)),4)=_xlfn.VALUETOTEXT($C31),RIGHT(OFFSET('Performance Measurement'!$B$18,,1,,COUNTA('Performance Measurement'!$18:$18)),4)), 0)), INDEX(OFFSET('Performance Measurement'!$B$18,2,1,,COUNTA('Performance Measurement'!$18:$18)), MATCH(I$6, IF(LEFT(OFFSET('Performance Measurement'!$B$18,,1,,COUNTA('Performance Measurement'!$18:$18)),4)=_xlfn.VALUETOTEXT($C31),RIGHT(OFFSET('Performance Measurement'!$B$18,,1,,COUNTA('Performance Measurement'!$18:$18)),4)), 0))),0)</f>
        <v>0</v>
      </c>
      <c r="J34" s="585" cm="1">
        <f t="array" aca="1" ref="J34" ca="1">IFERROR(IF('Performance Measurement'!$B$20 = "CDI", INDEX(OFFSET('Performance Measurement'!$B$18,3,1,,COUNTA('Performance Measurement'!$18:$18)), MATCH(J$6, IF(LEFT(OFFSET('Performance Measurement'!$B$18,,1,,COUNTA('Performance Measurement'!$18:$18)),4)=_xlfn.VALUETOTEXT($C31),RIGHT(OFFSET('Performance Measurement'!$B$18,,1,,COUNTA('Performance Measurement'!$18:$18)),4)), 0)), INDEX(OFFSET('Performance Measurement'!$B$18,2,1,,COUNTA('Performance Measurement'!$18:$18)), MATCH(J$6, IF(LEFT(OFFSET('Performance Measurement'!$B$18,,1,,COUNTA('Performance Measurement'!$18:$18)),4)=_xlfn.VALUETOTEXT($C31),RIGHT(OFFSET('Performance Measurement'!$B$18,,1,,COUNTA('Performance Measurement'!$18:$18)),4)), 0))),0)</f>
        <v>0</v>
      </c>
      <c r="K34" s="585" cm="1">
        <f t="array" aca="1" ref="K34" ca="1">IFERROR(IF('Performance Measurement'!$B$20 = "CDI", INDEX(OFFSET('Performance Measurement'!$B$18,3,1,,COUNTA('Performance Measurement'!$18:$18)), MATCH(K$6, IF(LEFT(OFFSET('Performance Measurement'!$B$18,,1,,COUNTA('Performance Measurement'!$18:$18)),4)=_xlfn.VALUETOTEXT($C31),RIGHT(OFFSET('Performance Measurement'!$B$18,,1,,COUNTA('Performance Measurement'!$18:$18)),4)), 0)), INDEX(OFFSET('Performance Measurement'!$B$18,2,1,,COUNTA('Performance Measurement'!$18:$18)), MATCH(K$6, IF(LEFT(OFFSET('Performance Measurement'!$B$18,,1,,COUNTA('Performance Measurement'!$18:$18)),4)=_xlfn.VALUETOTEXT($C31),RIGHT(OFFSET('Performance Measurement'!$B$18,,1,,COUNTA('Performance Measurement'!$18:$18)),4)), 0))),0)</f>
        <v>0</v>
      </c>
      <c r="L34" s="585" cm="1">
        <f t="array" aca="1" ref="L34" ca="1">IFERROR(IF('Performance Measurement'!$B$20 = "CDI", INDEX(OFFSET('Performance Measurement'!$B$18,3,1,,COUNTA('Performance Measurement'!$18:$18)), MATCH(L$6, IF(LEFT(OFFSET('Performance Measurement'!$B$18,,1,,COUNTA('Performance Measurement'!$18:$18)),4)=_xlfn.VALUETOTEXT($C31),RIGHT(OFFSET('Performance Measurement'!$B$18,,1,,COUNTA('Performance Measurement'!$18:$18)),4)), 0)), INDEX(OFFSET('Performance Measurement'!$B$18,2,1,,COUNTA('Performance Measurement'!$18:$18)), MATCH(L$6, IF(LEFT(OFFSET('Performance Measurement'!$B$18,,1,,COUNTA('Performance Measurement'!$18:$18)),4)=_xlfn.VALUETOTEXT($C31),RIGHT(OFFSET('Performance Measurement'!$B$18,,1,,COUNTA('Performance Measurement'!$18:$18)),4)), 0))),0)</f>
        <v>0</v>
      </c>
      <c r="M34" s="585" cm="1">
        <f t="array" aca="1" ref="M34" ca="1">IFERROR(IF('Performance Measurement'!$B$20 = "CDI", INDEX(OFFSET('Performance Measurement'!$B$18,3,1,,COUNTA('Performance Measurement'!$18:$18)), MATCH(M$6, IF(LEFT(OFFSET('Performance Measurement'!$B$18,,1,,COUNTA('Performance Measurement'!$18:$18)),4)=_xlfn.VALUETOTEXT($C31),RIGHT(OFFSET('Performance Measurement'!$B$18,,1,,COUNTA('Performance Measurement'!$18:$18)),4)), 0)), INDEX(OFFSET('Performance Measurement'!$B$18,2,1,,COUNTA('Performance Measurement'!$18:$18)), MATCH(M$6, IF(LEFT(OFFSET('Performance Measurement'!$B$18,,1,,COUNTA('Performance Measurement'!$18:$18)),4)=_xlfn.VALUETOTEXT($C31),RIGHT(OFFSET('Performance Measurement'!$B$18,,1,,COUNTA('Performance Measurement'!$18:$18)),4)), 0))),0)</f>
        <v>0</v>
      </c>
      <c r="N34" s="585" cm="1">
        <f t="array" aca="1" ref="N34" ca="1">IFERROR(IF('Performance Measurement'!$B$20 = "CDI", INDEX(OFFSET('Performance Measurement'!$B$18,3,1,,COUNTA('Performance Measurement'!$18:$18)), MATCH(N$6, IF(LEFT(OFFSET('Performance Measurement'!$B$18,,1,,COUNTA('Performance Measurement'!$18:$18)),4)=_xlfn.VALUETOTEXT($C31),RIGHT(OFFSET('Performance Measurement'!$B$18,,1,,COUNTA('Performance Measurement'!$18:$18)),4)), 0)), INDEX(OFFSET('Performance Measurement'!$B$18,2,1,,COUNTA('Performance Measurement'!$18:$18)), MATCH(N$6, IF(LEFT(OFFSET('Performance Measurement'!$B$18,,1,,COUNTA('Performance Measurement'!$18:$18)),4)=_xlfn.VALUETOTEXT($C31),RIGHT(OFFSET('Performance Measurement'!$B$18,,1,,COUNTA('Performance Measurement'!$18:$18)),4)), 0))),0)</f>
        <v>0</v>
      </c>
      <c r="O34" s="585" cm="1">
        <f t="array" aca="1" ref="O34" ca="1">IFERROR(IF('Performance Measurement'!$B$20 = "CDI", INDEX(OFFSET('Performance Measurement'!$B$18,3,1,,COUNTA('Performance Measurement'!$18:$18)), MATCH(O$6, IF(LEFT(OFFSET('Performance Measurement'!$B$18,,1,,COUNTA('Performance Measurement'!$18:$18)),4)=_xlfn.VALUETOTEXT($C31),RIGHT(OFFSET('Performance Measurement'!$B$18,,1,,COUNTA('Performance Measurement'!$18:$18)),4)), 0)), INDEX(OFFSET('Performance Measurement'!$B$18,2,1,,COUNTA('Performance Measurement'!$18:$18)), MATCH(O$6, IF(LEFT(OFFSET('Performance Measurement'!$B$18,,1,,COUNTA('Performance Measurement'!$18:$18)),4)=_xlfn.VALUETOTEXT($C31),RIGHT(OFFSET('Performance Measurement'!$B$18,,1,,COUNTA('Performance Measurement'!$18:$18)),4)), 0))),0)</f>
        <v>0</v>
      </c>
      <c r="P34" s="586" cm="1">
        <f t="array" aca="1" ref="P34" ca="1">IFERROR(IF('Performance Measurement'!$B$20 = "CDI", P33/P35, PRODUCT(1+D34:O34)-1),"-")</f>
        <v>1.4333750309610473</v>
      </c>
      <c r="X34" s="266"/>
      <c r="Y34" s="266"/>
      <c r="Z34" s="266"/>
      <c r="AA34" s="266"/>
      <c r="AB34" s="266"/>
    </row>
    <row r="35" spans="2:28" s="269" customFormat="1" ht="15" hidden="1">
      <c r="B35" s="639"/>
      <c r="C35" s="580" t="str">
        <f>'Performance Measurement'!$B$20</f>
        <v>CDI</v>
      </c>
      <c r="D35" s="581" cm="1">
        <f t="array" aca="1" ref="D35" ca="1">IFERROR(INDEX(OFFSET('Performance Measurement'!$B$18,2,1,,COUNTA('Performance Measurement'!$18:$18)), MATCH(D$6, IF(LEFT(OFFSET('Performance Measurement'!$B$18,,1,,COUNTA('Performance Measurement'!$18:$18)),4)=_xlfn.VALUETOTEXT($C31),RIGHT(OFFSET('Performance Measurement'!$B$18,,1,,COUNTA('Performance Measurement'!$18:$18)),4)), 0)),0)</f>
        <v>1.1233155156776142E-2</v>
      </c>
      <c r="E35" s="581" cm="1">
        <f t="array" aca="1" ref="E35" ca="1">IFERROR(INDEX(OFFSET('Performance Measurement'!$B$18,2,1,,COUNTA('Performance Measurement'!$18:$18)), MATCH(E$6, IF(LEFT(OFFSET('Performance Measurement'!$B$18,,1,,COUNTA('Performance Measurement'!$18:$18)),4)=_xlfn.VALUETOTEXT($C31),RIGHT(OFFSET('Performance Measurement'!$B$18,,1,,COUNTA('Performance Measurement'!$18:$18)),4)), 0)),0)</f>
        <v>0</v>
      </c>
      <c r="F35" s="581" cm="1">
        <f t="array" aca="1" ref="F35" ca="1">IFERROR(INDEX(OFFSET('Performance Measurement'!$B$18,2,1,,COUNTA('Performance Measurement'!$18:$18)), MATCH(F$6, IF(LEFT(OFFSET('Performance Measurement'!$B$18,,1,,COUNTA('Performance Measurement'!$18:$18)),4)=_xlfn.VALUETOTEXT($C31),RIGHT(OFFSET('Performance Measurement'!$B$18,,1,,COUNTA('Performance Measurement'!$18:$18)),4)), 0)),0)</f>
        <v>0</v>
      </c>
      <c r="G35" s="581" cm="1">
        <f t="array" aca="1" ref="G35" ca="1">IFERROR(INDEX(OFFSET('Performance Measurement'!$B$18,2,1,,COUNTA('Performance Measurement'!$18:$18)), MATCH(G$6, IF(LEFT(OFFSET('Performance Measurement'!$B$18,,1,,COUNTA('Performance Measurement'!$18:$18)),4)=_xlfn.VALUETOTEXT($C31),RIGHT(OFFSET('Performance Measurement'!$B$18,,1,,COUNTA('Performance Measurement'!$18:$18)),4)), 0)),0)</f>
        <v>0</v>
      </c>
      <c r="H35" s="581" cm="1">
        <f t="array" aca="1" ref="H35" ca="1">IFERROR(INDEX(OFFSET('Performance Measurement'!$B$18,2,1,,COUNTA('Performance Measurement'!$18:$18)), MATCH(H$6, IF(LEFT(OFFSET('Performance Measurement'!$B$18,,1,,COUNTA('Performance Measurement'!$18:$18)),4)=_xlfn.VALUETOTEXT($C31),RIGHT(OFFSET('Performance Measurement'!$B$18,,1,,COUNTA('Performance Measurement'!$18:$18)),4)), 0)),0)</f>
        <v>0</v>
      </c>
      <c r="I35" s="581" cm="1">
        <f t="array" aca="1" ref="I35" ca="1">IFERROR(INDEX(OFFSET('Performance Measurement'!$B$18,2,1,,COUNTA('Performance Measurement'!$18:$18)), MATCH(I$6, IF(LEFT(OFFSET('Performance Measurement'!$B$18,,1,,COUNTA('Performance Measurement'!$18:$18)),4)=_xlfn.VALUETOTEXT($C31),RIGHT(OFFSET('Performance Measurement'!$B$18,,1,,COUNTA('Performance Measurement'!$18:$18)),4)), 0)),0)</f>
        <v>0</v>
      </c>
      <c r="J35" s="581" cm="1">
        <f t="array" aca="1" ref="J35" ca="1">IFERROR(INDEX(OFFSET('Performance Measurement'!$B$18,2,1,,COUNTA('Performance Measurement'!$18:$18)), MATCH(J$6, IF(LEFT(OFFSET('Performance Measurement'!$B$18,,1,,COUNTA('Performance Measurement'!$18:$18)),4)=_xlfn.VALUETOTEXT($C31),RIGHT(OFFSET('Performance Measurement'!$B$18,,1,,COUNTA('Performance Measurement'!$18:$18)),4)), 0)),0)</f>
        <v>0</v>
      </c>
      <c r="K35" s="581" cm="1">
        <f t="array" aca="1" ref="K35" ca="1">IFERROR(INDEX(OFFSET('Performance Measurement'!$B$18,2,1,,COUNTA('Performance Measurement'!$18:$18)), MATCH(K$6, IF(LEFT(OFFSET('Performance Measurement'!$B$18,,1,,COUNTA('Performance Measurement'!$18:$18)),4)=_xlfn.VALUETOTEXT($C31),RIGHT(OFFSET('Performance Measurement'!$B$18,,1,,COUNTA('Performance Measurement'!$18:$18)),4)), 0)),0)</f>
        <v>0</v>
      </c>
      <c r="L35" s="581" cm="1">
        <f t="array" aca="1" ref="L35" ca="1">IFERROR(INDEX(OFFSET('Performance Measurement'!$B$18,2,1,,COUNTA('Performance Measurement'!$18:$18)), MATCH(L$6, IF(LEFT(OFFSET('Performance Measurement'!$B$18,,1,,COUNTA('Performance Measurement'!$18:$18)),4)=_xlfn.VALUETOTEXT($C31),RIGHT(OFFSET('Performance Measurement'!$B$18,,1,,COUNTA('Performance Measurement'!$18:$18)),4)), 0)),0)</f>
        <v>0</v>
      </c>
      <c r="M35" s="581" cm="1">
        <f t="array" aca="1" ref="M35" ca="1">IFERROR(INDEX(OFFSET('Performance Measurement'!$B$18,2,1,,COUNTA('Performance Measurement'!$18:$18)), MATCH(M$6, IF(LEFT(OFFSET('Performance Measurement'!$B$18,,1,,COUNTA('Performance Measurement'!$18:$18)),4)=_xlfn.VALUETOTEXT($C31),RIGHT(OFFSET('Performance Measurement'!$B$18,,1,,COUNTA('Performance Measurement'!$18:$18)),4)), 0)),0)</f>
        <v>0</v>
      </c>
      <c r="N35" s="581" cm="1">
        <f t="array" aca="1" ref="N35" ca="1">IFERROR(INDEX(OFFSET('Performance Measurement'!$B$18,2,1,,COUNTA('Performance Measurement'!$18:$18)), MATCH(N$6, IF(LEFT(OFFSET('Performance Measurement'!$B$18,,1,,COUNTA('Performance Measurement'!$18:$18)),4)=_xlfn.VALUETOTEXT($C31),RIGHT(OFFSET('Performance Measurement'!$B$18,,1,,COUNTA('Performance Measurement'!$18:$18)),4)), 0)),0)</f>
        <v>0</v>
      </c>
      <c r="O35" s="581" cm="1">
        <f t="array" aca="1" ref="O35" ca="1">IFERROR(INDEX(OFFSET('Performance Measurement'!$B$18,2,1,,COUNTA('Performance Measurement'!$18:$18)), MATCH(O$6, IF(LEFT(OFFSET('Performance Measurement'!$B$18,,1,,COUNTA('Performance Measurement'!$18:$18)),4)=_xlfn.VALUETOTEXT($C31),RIGHT(OFFSET('Performance Measurement'!$B$18,,1,,COUNTA('Performance Measurement'!$18:$18)),4)), 0)),0)</f>
        <v>0</v>
      </c>
      <c r="P35" s="583" cm="1">
        <f t="array" aca="1" ref="P35" ca="1">PRODUCT(1+D35:O35)-1</f>
        <v>1.1233155156776142E-2</v>
      </c>
      <c r="X35" s="266"/>
      <c r="Y35" s="266"/>
      <c r="Z35" s="266"/>
      <c r="AA35" s="266"/>
      <c r="AB35" s="266"/>
    </row>
    <row r="36" spans="2:28" s="269" customFormat="1" ht="8.25" customHeight="1">
      <c r="B36" s="639"/>
      <c r="C36" s="558"/>
      <c r="D36" s="558"/>
      <c r="E36" s="558"/>
      <c r="F36" s="558"/>
      <c r="G36" s="558"/>
      <c r="H36" s="558"/>
      <c r="I36" s="558"/>
      <c r="J36" s="558"/>
      <c r="K36" s="558"/>
      <c r="L36" s="558"/>
      <c r="M36" s="558"/>
      <c r="N36" s="558"/>
      <c r="O36" s="558"/>
      <c r="P36" s="578"/>
      <c r="X36" s="266"/>
      <c r="Y36" s="266"/>
      <c r="Z36" s="266"/>
      <c r="AA36" s="266"/>
      <c r="AB36" s="266"/>
    </row>
    <row r="37" spans="2:28" s="269" customFormat="1" ht="8.25" customHeight="1">
      <c r="B37" s="639"/>
      <c r="C37" s="558"/>
      <c r="D37" s="558"/>
      <c r="E37" s="558"/>
      <c r="F37" s="558"/>
      <c r="G37" s="558"/>
      <c r="H37" s="558"/>
      <c r="I37" s="558"/>
      <c r="J37" s="558"/>
      <c r="K37" s="558"/>
      <c r="L37" s="558"/>
      <c r="M37" s="558"/>
      <c r="N37" s="558"/>
      <c r="O37" s="558"/>
      <c r="P37" s="578"/>
      <c r="X37" s="266"/>
      <c r="Y37" s="266"/>
      <c r="Z37" s="266"/>
      <c r="AA37" s="266"/>
      <c r="AB37" s="266"/>
    </row>
    <row r="38" spans="2:28" ht="8.25" customHeight="1"/>
    <row r="39" spans="2:28" ht="22.5" customHeight="1" thickBot="1">
      <c r="B39" s="638" t="s">
        <v>2499</v>
      </c>
      <c r="C39" s="534"/>
      <c r="D39" s="534"/>
      <c r="E39" s="534"/>
      <c r="F39" s="534"/>
      <c r="G39" s="535"/>
      <c r="H39" s="535"/>
      <c r="I39" s="535"/>
      <c r="J39" s="535"/>
      <c r="K39" s="535"/>
      <c r="L39" s="535"/>
      <c r="M39" s="535"/>
      <c r="N39" s="535"/>
      <c r="O39" s="535"/>
      <c r="P39" s="535"/>
      <c r="Q39" s="535"/>
    </row>
    <row r="41" spans="2:28" ht="30" customHeight="1">
      <c r="B41" s="645"/>
      <c r="C41" s="541"/>
      <c r="D41" s="539"/>
      <c r="E41" s="1032" t="str">
        <f>'Performance Measurement'!C26</f>
        <v>Meses
Positivos</v>
      </c>
      <c r="F41" s="1032"/>
      <c r="G41" s="1026" t="str">
        <f>'Performance Measurement'!D26</f>
        <v>Meses
Negativos</v>
      </c>
      <c r="H41" s="1026"/>
      <c r="I41" s="1026" t="str">
        <f>'Performance Measurement'!E26</f>
        <v>Maior Retorno
Mensal</v>
      </c>
      <c r="J41" s="1026"/>
      <c r="K41" s="1032" t="str">
        <f>'Performance Measurement'!F26</f>
        <v>Menor Retorno
Mensal</v>
      </c>
      <c r="L41" s="1032"/>
      <c r="M41" s="1026" t="str">
        <f>'Performance Measurement'!G26</f>
        <v>Acima do CDI
(meses)</v>
      </c>
      <c r="N41" s="1026"/>
      <c r="O41" s="1026" t="str">
        <f>'Performance Measurement'!H26</f>
        <v>Abaixo do CDI
(meses)</v>
      </c>
      <c r="P41" s="1026"/>
      <c r="Q41" s="266"/>
    </row>
    <row r="42" spans="2:28" ht="15">
      <c r="B42" s="645"/>
      <c r="C42" s="572" t="str">
        <f>'Performance Measurement'!B27</f>
        <v>Portfólio Sugerido</v>
      </c>
      <c r="D42" s="574"/>
      <c r="E42" s="1033">
        <f>'Performance Measurement'!C27</f>
        <v>31</v>
      </c>
      <c r="F42" s="1033"/>
      <c r="G42" s="1031">
        <f>'Performance Measurement'!D27</f>
        <v>6</v>
      </c>
      <c r="H42" s="1031"/>
      <c r="I42" s="1029">
        <f>'Performance Measurement'!E27</f>
        <v>3.0042450870950255E-2</v>
      </c>
      <c r="J42" s="1029"/>
      <c r="K42" s="1030">
        <f>'Performance Measurement'!F27</f>
        <v>-4.6451637763958553E-2</v>
      </c>
      <c r="L42" s="1030"/>
      <c r="M42" s="1031">
        <f>'Performance Measurement'!G27</f>
        <v>21</v>
      </c>
      <c r="N42" s="1031"/>
      <c r="O42" s="1031">
        <f>'Performance Measurement'!H27</f>
        <v>16</v>
      </c>
      <c r="P42" s="1031"/>
      <c r="Q42" s="266"/>
    </row>
    <row r="43" spans="2:28" ht="4.5" customHeight="1">
      <c r="C43" s="576"/>
      <c r="D43" s="576"/>
      <c r="E43" s="576"/>
      <c r="F43" s="576"/>
      <c r="G43" s="576"/>
      <c r="H43" s="576"/>
      <c r="I43" s="576"/>
      <c r="J43" s="576"/>
      <c r="K43" s="576"/>
      <c r="L43" s="576"/>
      <c r="M43" s="598"/>
      <c r="N43" s="598"/>
      <c r="O43" s="598"/>
      <c r="Q43" s="266"/>
    </row>
    <row r="44" spans="2:28" ht="15">
      <c r="B44" s="645"/>
      <c r="C44" s="573" t="str">
        <f>'Performance Measurement'!B28</f>
        <v>CDI</v>
      </c>
      <c r="D44" s="575"/>
      <c r="E44" s="1031">
        <f>'Performance Measurement'!C28</f>
        <v>37</v>
      </c>
      <c r="F44" s="1031"/>
      <c r="G44" s="1031">
        <f>'Performance Measurement'!D28</f>
        <v>0</v>
      </c>
      <c r="H44" s="1031"/>
      <c r="I44" s="1029">
        <f>'Performance Measurement'!E28</f>
        <v>1.169363521698541E-2</v>
      </c>
      <c r="J44" s="1029"/>
      <c r="K44" s="1029">
        <f>'Performance Measurement'!F28</f>
        <v>1.3453151428046706E-3</v>
      </c>
      <c r="L44" s="1029"/>
      <c r="M44" s="1031">
        <f>'Performance Measurement'!G28</f>
        <v>0</v>
      </c>
      <c r="N44" s="1031"/>
      <c r="O44" s="1031">
        <f>'Performance Measurement'!H28</f>
        <v>0</v>
      </c>
      <c r="P44" s="1031"/>
      <c r="Q44" s="266"/>
    </row>
  </sheetData>
  <mergeCells count="18">
    <mergeCell ref="E41:F41"/>
    <mergeCell ref="E42:F42"/>
    <mergeCell ref="E44:F44"/>
    <mergeCell ref="O41:P41"/>
    <mergeCell ref="M41:N41"/>
    <mergeCell ref="K41:L41"/>
    <mergeCell ref="I41:J41"/>
    <mergeCell ref="G41:H41"/>
    <mergeCell ref="G42:H42"/>
    <mergeCell ref="G44:H44"/>
    <mergeCell ref="I44:J44"/>
    <mergeCell ref="M42:N42"/>
    <mergeCell ref="I42:J42"/>
    <mergeCell ref="K42:L42"/>
    <mergeCell ref="K44:L44"/>
    <mergeCell ref="M44:N44"/>
    <mergeCell ref="O42:P42"/>
    <mergeCell ref="O44:P44"/>
  </mergeCells>
  <printOptions horizontalCentered="1"/>
  <pageMargins left="0.25" right="0.25" top="0.75" bottom="0.5" header="0" footer="0"/>
  <pageSetup paperSize="9" pageOrder="overThenDown" orientation="landscape" r:id="rId1"/>
  <headerFooter>
    <oddHeader>&amp;R&amp;G</oddHeader>
    <oddFooter>&amp;L&amp;10 16/11/2022</oddFooter>
  </headerFooter>
  <legacyDrawingHF r:id="rId2"/>
  <extLst>
    <ext xmlns:x14="http://schemas.microsoft.com/office/spreadsheetml/2009/9/main" uri="{78C0D931-6437-407d-A8EE-F0AAD7539E65}">
      <x14:conditionalFormattings>
        <x14:conditionalFormatting xmlns:xm="http://schemas.microsoft.com/office/excel/2006/main">
          <x14:cfRule type="expression" priority="1" id="{B9C1BD30-2657-4D20-88B7-4501A00A382C}">
            <xm:f>'Performance Measurement'!$B$20 &lt;&gt; "CDI"</xm:f>
            <x14:dxf>
              <font>
                <b val="0"/>
                <i/>
              </font>
            </x14:dxf>
          </x14:cfRule>
          <xm:sqref>C10:P10 C18:P18 C26:P26 C34:P34</xm:sqref>
        </x14:conditionalFormatting>
        <x14:conditionalFormatting xmlns:xm="http://schemas.microsoft.com/office/excel/2006/main">
          <x14:cfRule type="expression" priority="2" id="{7FAE771B-9D82-4CAC-B773-A80D77AF4711}">
            <xm:f>'Performance Measurement'!$B$20 &lt;&gt; "CDI"</xm:f>
            <x14:dxf>
              <numFmt numFmtId="187" formatCode="0.00%;\-0.00;&quot;-&quot;"/>
            </x14:dxf>
          </x14:cfRule>
          <xm:sqref>D10:P10 D18:P18 D26:P26 D34:P34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tint="0.79998168889431442"/>
  </sheetPr>
  <dimension ref="A1:Y83"/>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8.19921875" style="269" customWidth="1"/>
    <col min="3" max="3" width="4.19921875" style="266" customWidth="1"/>
    <col min="4" max="4" width="2.09765625" style="266" customWidth="1"/>
    <col min="5" max="5" width="11.3984375" style="266" customWidth="1"/>
    <col min="6" max="9" width="4.19921875" style="266" customWidth="1"/>
    <col min="10" max="19" width="4.19921875" style="269" customWidth="1"/>
    <col min="20" max="21" width="4.296875" style="269" customWidth="1"/>
    <col min="22" max="24" width="4.19921875" style="269" customWidth="1"/>
    <col min="25" max="25" width="4.3984375" style="266" customWidth="1"/>
    <col min="26" max="16384" width="10.69921875" style="266"/>
  </cols>
  <sheetData>
    <row r="1" spans="2:25" ht="15">
      <c r="C1" s="560"/>
      <c r="D1" s="560"/>
      <c r="E1" s="559"/>
      <c r="F1" s="560"/>
      <c r="G1" s="560"/>
      <c r="H1" s="560"/>
      <c r="I1" s="560"/>
      <c r="J1" s="560"/>
      <c r="K1" s="560"/>
      <c r="L1" s="560"/>
      <c r="M1" s="560"/>
      <c r="N1" s="560"/>
      <c r="O1" s="560"/>
      <c r="P1" s="560"/>
      <c r="Q1" s="560"/>
      <c r="R1" s="560"/>
      <c r="S1" s="560"/>
      <c r="T1" s="560"/>
      <c r="U1" s="560"/>
      <c r="V1" s="560"/>
      <c r="W1" s="560"/>
      <c r="X1" s="560"/>
    </row>
    <row r="2" spans="2:25" ht="15">
      <c r="C2" s="560"/>
      <c r="D2" s="560"/>
      <c r="E2" s="559"/>
      <c r="F2" s="560"/>
      <c r="G2" s="560"/>
      <c r="H2" s="560"/>
      <c r="I2" s="560"/>
      <c r="J2" s="560"/>
      <c r="K2" s="560"/>
      <c r="L2" s="560"/>
      <c r="M2" s="560"/>
      <c r="N2" s="560"/>
      <c r="O2" s="560"/>
      <c r="P2" s="560"/>
      <c r="Q2" s="560"/>
      <c r="R2" s="560"/>
      <c r="S2" s="560"/>
      <c r="T2" s="560"/>
      <c r="U2" s="560"/>
      <c r="V2" s="560"/>
      <c r="W2" s="560"/>
      <c r="X2" s="560"/>
    </row>
    <row r="3" spans="2:25" s="269" customFormat="1" ht="22.5" customHeight="1" thickBot="1">
      <c r="B3" s="537" t="s">
        <v>622</v>
      </c>
      <c r="C3" s="534"/>
      <c r="D3" s="534"/>
      <c r="E3" s="534"/>
      <c r="F3" s="534"/>
      <c r="G3" s="534"/>
      <c r="H3" s="534"/>
      <c r="I3" s="534"/>
      <c r="J3" s="535"/>
      <c r="K3" s="535"/>
      <c r="L3" s="535"/>
      <c r="M3" s="535"/>
      <c r="N3" s="535"/>
      <c r="O3" s="535"/>
      <c r="P3" s="535"/>
      <c r="Q3" s="535"/>
      <c r="R3" s="535"/>
      <c r="S3" s="535"/>
      <c r="T3" s="535"/>
      <c r="U3" s="535"/>
      <c r="V3" s="535"/>
      <c r="W3" s="535"/>
      <c r="X3" s="535"/>
      <c r="Y3" s="547" t="str">
        <f ca="1">TEXT(AccReturns!$B$3, "dd/mm/yyyy")&amp;" - "&amp;TEXT(OFFSET(AccReturns!$B$2,COUNTA(AccReturns!$B:$B),), "dd/mm/yyyy")</f>
        <v>02/01/2020 - 31/01/2023</v>
      </c>
    </row>
    <row r="30" spans="3:21">
      <c r="J30" s="266"/>
      <c r="K30" s="266"/>
      <c r="L30" s="266"/>
      <c r="M30" s="266"/>
      <c r="N30" s="266"/>
      <c r="O30" s="266"/>
      <c r="P30" s="266"/>
      <c r="Q30" s="266"/>
      <c r="R30" s="266"/>
      <c r="S30" s="266"/>
      <c r="T30" s="266"/>
      <c r="U30" s="266"/>
    </row>
    <row r="31" spans="3:21">
      <c r="J31" s="266"/>
      <c r="K31" s="266"/>
      <c r="L31" s="266"/>
      <c r="M31" s="266"/>
      <c r="N31" s="266"/>
      <c r="O31" s="266"/>
      <c r="P31" s="266"/>
      <c r="Q31" s="266"/>
      <c r="R31" s="266"/>
      <c r="S31" s="266"/>
      <c r="T31" s="266"/>
      <c r="U31" s="266"/>
    </row>
    <row r="32" spans="3:21" s="269" customFormat="1" ht="15" customHeight="1">
      <c r="C32" s="539"/>
      <c r="D32" s="266"/>
      <c r="E32" s="541"/>
      <c r="F32" s="539"/>
      <c r="G32" s="1032" t="str">
        <f>'Performance Measurement'!C33</f>
        <v>Mes</v>
      </c>
      <c r="H32" s="1032" t="str">
        <f>'Performance Measurement'!E33</f>
        <v>6 meses</v>
      </c>
      <c r="I32" s="1032" t="str">
        <f>'Performance Measurement'!F33</f>
        <v>12 meses</v>
      </c>
      <c r="J32" s="1026" t="str">
        <f>'Performance Measurement'!D33</f>
        <v>Ano</v>
      </c>
      <c r="K32" s="1026">
        <f>'Performance Measurement'!H33</f>
        <v>0</v>
      </c>
      <c r="L32" s="1026">
        <f>'Performance Measurement'!I33</f>
        <v>0</v>
      </c>
      <c r="M32" s="1026" t="str">
        <f>'Performance Measurement'!E33</f>
        <v>6 meses</v>
      </c>
      <c r="N32" s="1026">
        <f>'Performance Measurement'!K33</f>
        <v>0</v>
      </c>
      <c r="O32" s="1026">
        <f>'Performance Measurement'!L33</f>
        <v>0</v>
      </c>
      <c r="P32" s="1032" t="str">
        <f>'Performance Measurement'!F33</f>
        <v>12 meses</v>
      </c>
      <c r="Q32" s="1032">
        <f>'Performance Measurement'!N33</f>
        <v>0</v>
      </c>
      <c r="R32" s="1032">
        <f>'Performance Measurement'!O33</f>
        <v>0</v>
      </c>
      <c r="S32" s="1032" t="str">
        <f>'Performance Measurement'!G33</f>
        <v>2 anos</v>
      </c>
      <c r="T32" s="1032">
        <f>'Performance Measurement'!Q33</f>
        <v>0</v>
      </c>
      <c r="U32" s="1032">
        <f>'Performance Measurement'!R33</f>
        <v>0</v>
      </c>
    </row>
    <row r="33" spans="1:25" s="269" customFormat="1" ht="15">
      <c r="C33" s="539"/>
      <c r="D33" s="266"/>
      <c r="E33" s="572" t="str">
        <f>'Performance Measurement'!B34</f>
        <v>Portfólio Sugerido</v>
      </c>
      <c r="F33" s="574"/>
      <c r="G33" s="1030">
        <f>'Performance Measurement'!C34</f>
        <v>2.6392967119454231E-2</v>
      </c>
      <c r="H33" s="1030">
        <f>'Performance Measurement'!E34</f>
        <v>3.1989921470949097E-2</v>
      </c>
      <c r="I33" s="1030">
        <f>'Performance Measurement'!F34</f>
        <v>3.1930497738351188E-2</v>
      </c>
      <c r="J33" s="1035">
        <f>'Performance Measurement'!D34</f>
        <v>2.6392967119454231E-2</v>
      </c>
      <c r="K33" s="1035">
        <f>'Performance Measurement'!H34</f>
        <v>0</v>
      </c>
      <c r="L33" s="1035">
        <f>'Performance Measurement'!I34</f>
        <v>0</v>
      </c>
      <c r="M33" s="1029">
        <f>'Performance Measurement'!E34</f>
        <v>3.1989921470949097E-2</v>
      </c>
      <c r="N33" s="1029">
        <f>'Performance Measurement'!K34</f>
        <v>0</v>
      </c>
      <c r="O33" s="1029">
        <f>'Performance Measurement'!L34</f>
        <v>0</v>
      </c>
      <c r="P33" s="1030">
        <f>'Performance Measurement'!F34</f>
        <v>3.1930497738351188E-2</v>
      </c>
      <c r="Q33" s="1030">
        <f>'Performance Measurement'!N34</f>
        <v>0</v>
      </c>
      <c r="R33" s="1030">
        <f>'Performance Measurement'!O34</f>
        <v>0</v>
      </c>
      <c r="S33" s="1030">
        <f>'Performance Measurement'!G34</f>
        <v>3.3912389727186104E-2</v>
      </c>
      <c r="T33" s="1030">
        <f>'Performance Measurement'!Q34</f>
        <v>0</v>
      </c>
      <c r="U33" s="1030">
        <f>'Performance Measurement'!R34</f>
        <v>0</v>
      </c>
    </row>
    <row r="34" spans="1:25" s="269" customFormat="1" ht="3" customHeight="1">
      <c r="C34" s="539"/>
      <c r="D34" s="266"/>
      <c r="E34" s="543"/>
      <c r="F34" s="543"/>
      <c r="G34" s="543"/>
      <c r="H34" s="543"/>
      <c r="I34" s="544"/>
      <c r="J34" s="544"/>
      <c r="K34" s="544"/>
      <c r="L34" s="544"/>
      <c r="M34" s="544"/>
      <c r="N34" s="544"/>
      <c r="O34" s="544"/>
      <c r="P34" s="544"/>
      <c r="Q34" s="544"/>
      <c r="R34" s="544"/>
      <c r="S34" s="544"/>
      <c r="T34" s="544"/>
      <c r="U34" s="544"/>
      <c r="W34" s="544"/>
      <c r="X34" s="544"/>
    </row>
    <row r="35" spans="1:25" s="269" customFormat="1" ht="15">
      <c r="C35" s="539"/>
      <c r="D35" s="266"/>
      <c r="E35" s="573" t="str">
        <f>'Performance Measurement'!B35</f>
        <v>CDI</v>
      </c>
      <c r="F35" s="575"/>
      <c r="G35" s="1035">
        <f>'Performance Measurement'!C35</f>
        <v>0</v>
      </c>
      <c r="H35" s="1035">
        <f>'Performance Measurement'!E36</f>
        <v>0</v>
      </c>
      <c r="I35" s="1035">
        <f>'Performance Measurement'!F36</f>
        <v>0</v>
      </c>
      <c r="J35" s="1035">
        <f>'Performance Measurement'!D35</f>
        <v>0</v>
      </c>
      <c r="K35" s="1035">
        <f>'Performance Measurement'!H36</f>
        <v>0</v>
      </c>
      <c r="L35" s="1035">
        <f>'Performance Measurement'!I36</f>
        <v>0</v>
      </c>
      <c r="M35" s="1029">
        <f>'Performance Measurement'!E35</f>
        <v>4.2202856410132806E-5</v>
      </c>
      <c r="N35" s="1029">
        <f>'Performance Measurement'!K36</f>
        <v>0</v>
      </c>
      <c r="O35" s="1029">
        <f>'Performance Measurement'!L36</f>
        <v>0</v>
      </c>
      <c r="P35" s="1029">
        <f>'Performance Measurement'!F35</f>
        <v>6.2073890571986046E-4</v>
      </c>
      <c r="Q35" s="1029">
        <f>'Performance Measurement'!N36</f>
        <v>0</v>
      </c>
      <c r="R35" s="1029">
        <f>'Performance Measurement'!O36</f>
        <v>0</v>
      </c>
      <c r="S35" s="1029">
        <f>'Performance Measurement'!G35</f>
        <v>2.5111113170097703E-3</v>
      </c>
      <c r="T35" s="1029">
        <f>'Performance Measurement'!Q36</f>
        <v>0</v>
      </c>
      <c r="U35" s="1029">
        <f>'Performance Measurement'!R36</f>
        <v>0</v>
      </c>
    </row>
    <row r="36" spans="1:25" ht="15">
      <c r="C36" s="539"/>
    </row>
    <row r="37" spans="1:25">
      <c r="J37" s="266"/>
      <c r="K37" s="266"/>
      <c r="L37" s="266"/>
      <c r="M37" s="266"/>
      <c r="N37" s="266"/>
      <c r="O37" s="266"/>
      <c r="P37" s="266"/>
      <c r="Q37" s="266"/>
      <c r="R37" s="266"/>
      <c r="S37" s="266"/>
      <c r="T37" s="266"/>
      <c r="U37" s="266"/>
    </row>
    <row r="38" spans="1:25">
      <c r="J38" s="266"/>
      <c r="K38" s="266"/>
      <c r="L38" s="266"/>
      <c r="M38" s="266"/>
      <c r="N38" s="266"/>
      <c r="O38" s="266"/>
      <c r="P38" s="266"/>
      <c r="Q38" s="266"/>
      <c r="R38" s="266"/>
      <c r="S38" s="266"/>
      <c r="T38" s="266"/>
      <c r="U38" s="266"/>
    </row>
    <row r="39" spans="1:25">
      <c r="J39" s="266"/>
      <c r="K39" s="266"/>
      <c r="L39" s="266"/>
      <c r="M39" s="266"/>
      <c r="N39" s="266"/>
      <c r="O39" s="266"/>
      <c r="P39" s="266"/>
      <c r="Q39" s="266"/>
      <c r="R39" s="266"/>
      <c r="S39" s="266"/>
      <c r="T39" s="266"/>
      <c r="U39" s="266"/>
    </row>
    <row r="40" spans="1:25">
      <c r="J40" s="266"/>
      <c r="K40" s="266"/>
      <c r="L40" s="266"/>
      <c r="M40" s="266"/>
      <c r="N40" s="266"/>
      <c r="O40" s="266"/>
      <c r="P40" s="266"/>
      <c r="Q40" s="266"/>
      <c r="R40" s="266"/>
      <c r="S40" s="266"/>
      <c r="T40" s="266"/>
      <c r="U40" s="266"/>
    </row>
    <row r="43" spans="1:25" ht="15">
      <c r="C43" s="560"/>
      <c r="D43" s="560"/>
      <c r="E43" s="559"/>
      <c r="F43" s="560"/>
      <c r="G43" s="560"/>
      <c r="H43" s="560"/>
      <c r="I43" s="560"/>
      <c r="J43" s="560"/>
      <c r="K43" s="560"/>
      <c r="L43" s="560"/>
      <c r="M43" s="560"/>
      <c r="N43" s="560"/>
      <c r="O43" s="560"/>
      <c r="P43" s="560"/>
      <c r="Q43" s="560"/>
      <c r="R43" s="560"/>
      <c r="S43" s="560"/>
      <c r="T43" s="560"/>
      <c r="U43" s="560"/>
      <c r="V43" s="560"/>
      <c r="W43" s="560"/>
      <c r="X43" s="560"/>
    </row>
    <row r="44" spans="1:25" ht="15">
      <c r="C44" s="560"/>
      <c r="D44" s="560"/>
      <c r="E44" s="559"/>
      <c r="F44" s="560"/>
      <c r="G44" s="560"/>
      <c r="H44" s="560"/>
      <c r="I44" s="560"/>
      <c r="J44" s="560"/>
      <c r="K44" s="560"/>
      <c r="L44" s="560"/>
      <c r="M44" s="560"/>
      <c r="N44" s="560"/>
      <c r="O44" s="560"/>
      <c r="P44" s="560"/>
      <c r="Q44" s="560"/>
      <c r="R44" s="560"/>
      <c r="S44" s="560"/>
      <c r="T44" s="560"/>
      <c r="U44" s="560"/>
      <c r="V44" s="560"/>
      <c r="W44" s="560"/>
      <c r="X44" s="560"/>
    </row>
    <row r="45" spans="1:25" ht="15">
      <c r="C45" s="560"/>
      <c r="D45" s="560"/>
      <c r="E45" s="559"/>
      <c r="F45" s="560"/>
      <c r="G45" s="560"/>
      <c r="H45" s="560"/>
      <c r="I45" s="560"/>
      <c r="J45" s="560"/>
      <c r="K45" s="560"/>
      <c r="L45" s="560"/>
      <c r="M45" s="560"/>
      <c r="N45" s="560"/>
      <c r="O45" s="560"/>
      <c r="P45" s="560"/>
      <c r="Q45" s="560"/>
      <c r="R45" s="560"/>
      <c r="S45" s="560"/>
      <c r="T45" s="560"/>
      <c r="U45" s="560"/>
      <c r="V45" s="560"/>
      <c r="W45" s="560"/>
      <c r="X45" s="560"/>
    </row>
    <row r="46" spans="1:25" s="269" customFormat="1" ht="22.5" customHeight="1" thickBot="1">
      <c r="A46" s="635"/>
      <c r="B46" s="537" t="s">
        <v>2507</v>
      </c>
      <c r="C46" s="534"/>
      <c r="D46" s="534"/>
      <c r="E46" s="534"/>
      <c r="F46" s="534"/>
      <c r="G46" s="534"/>
      <c r="H46" s="534"/>
      <c r="I46" s="534"/>
      <c r="J46" s="535"/>
      <c r="K46" s="535"/>
      <c r="L46" s="535"/>
      <c r="M46" s="535"/>
      <c r="N46" s="535"/>
      <c r="O46" s="535"/>
      <c r="P46" s="535"/>
      <c r="Q46" s="535"/>
      <c r="R46" s="535"/>
      <c r="S46" s="535"/>
      <c r="T46" s="535"/>
      <c r="U46" s="535"/>
      <c r="V46" s="535"/>
      <c r="W46" s="535"/>
      <c r="X46" s="535"/>
      <c r="Y46" s="547" t="str">
        <f ca="1">TEXT(AccReturns!$B$3, "dd/mm/yyyy")&amp;" - "&amp;TEXT(OFFSET(AccReturns!$B$2,COUNTA(AccReturns!$B:$B),), "dd/mm/yyyy")</f>
        <v>02/01/2020 - 31/01/2023</v>
      </c>
    </row>
    <row r="73" spans="2:24">
      <c r="B73" s="266"/>
      <c r="J73" s="266"/>
      <c r="K73" s="266"/>
      <c r="L73" s="266"/>
      <c r="M73" s="266"/>
      <c r="N73" s="266"/>
      <c r="O73" s="266"/>
      <c r="P73" s="266"/>
      <c r="Q73" s="266"/>
      <c r="R73" s="266"/>
      <c r="S73" s="266"/>
      <c r="T73" s="266"/>
      <c r="U73" s="266"/>
      <c r="V73" s="266"/>
      <c r="W73" s="266"/>
    </row>
    <row r="74" spans="2:24">
      <c r="J74" s="266"/>
      <c r="K74" s="266"/>
      <c r="L74" s="266"/>
      <c r="M74" s="266"/>
      <c r="N74" s="266"/>
      <c r="O74" s="266"/>
      <c r="P74" s="266"/>
      <c r="Q74" s="266"/>
      <c r="R74" s="266"/>
      <c r="S74" s="266"/>
      <c r="T74" s="266"/>
      <c r="U74" s="266"/>
      <c r="V74" s="266"/>
      <c r="W74" s="266"/>
    </row>
    <row r="75" spans="2:24" ht="30" customHeight="1">
      <c r="B75" s="541"/>
      <c r="C75" s="539"/>
      <c r="D75" s="539"/>
      <c r="E75" s="539"/>
      <c r="F75" s="1032" t="str">
        <f>'Performance Measurement'!C40</f>
        <v>Mes</v>
      </c>
      <c r="G75" s="1032"/>
      <c r="H75" s="1026" t="str">
        <f>'Performance Measurement'!D40</f>
        <v>Ano</v>
      </c>
      <c r="I75" s="1026"/>
      <c r="J75" s="1026" t="str">
        <f>'Performance Measurement'!E40</f>
        <v>6 meses</v>
      </c>
      <c r="K75" s="1026"/>
      <c r="L75" s="1032" t="str">
        <f>'Performance Measurement'!F40</f>
        <v>12 meses</v>
      </c>
      <c r="M75" s="1032"/>
      <c r="N75" s="1032" t="str">
        <f>'Performance Measurement'!G40</f>
        <v>2 anos</v>
      </c>
      <c r="O75" s="1032"/>
      <c r="P75" s="1032" t="str">
        <f>'Performance Measurement'!H40</f>
        <v>Drawdown Máximo</v>
      </c>
      <c r="Q75" s="1032"/>
      <c r="R75" s="1032"/>
      <c r="S75" s="1032" t="str">
        <f>'Performance Measurement'!I40</f>
        <v>Data</v>
      </c>
      <c r="T75" s="1032"/>
      <c r="U75" s="1032" t="str">
        <f>'Performance Measurement'!J40</f>
        <v>Tempo de Recuperação</v>
      </c>
      <c r="V75" s="1032"/>
      <c r="W75" s="1032"/>
      <c r="X75" s="266"/>
    </row>
    <row r="76" spans="2:24" ht="15">
      <c r="B76" s="266"/>
      <c r="C76" s="572" t="str">
        <f>'Performance Measurement'!B41</f>
        <v>Portfólio Sugerido</v>
      </c>
      <c r="D76" s="634"/>
      <c r="E76" s="634"/>
      <c r="F76" s="1030">
        <f>'Performance Measurement'!C41</f>
        <v>-2.2051759042310826E-3</v>
      </c>
      <c r="G76" s="1030"/>
      <c r="H76" s="1035">
        <f>'Performance Measurement'!D41</f>
        <v>-2.2051759042310826E-3</v>
      </c>
      <c r="I76" s="1035"/>
      <c r="J76" s="1029">
        <f>'Performance Measurement'!E41</f>
        <v>-1.1326425737321011E-2</v>
      </c>
      <c r="K76" s="1029"/>
      <c r="L76" s="1030">
        <f>'Performance Measurement'!F41</f>
        <v>-1.1326425737321011E-2</v>
      </c>
      <c r="M76" s="1030"/>
      <c r="N76" s="1030">
        <f>'Performance Measurement'!G41</f>
        <v>-1.3855372666146115E-2</v>
      </c>
      <c r="O76" s="1030"/>
      <c r="P76" s="1030">
        <f>'Performance Measurement'!H41</f>
        <v>-9.2943702770610703E-2</v>
      </c>
      <c r="Q76" s="1030"/>
      <c r="R76" s="1030"/>
      <c r="S76" s="1034" t="str">
        <f>'Performance Measurement'!I41</f>
        <v>23/03/2020</v>
      </c>
      <c r="T76" s="1034"/>
      <c r="U76" s="1036">
        <f>'Performance Measurement'!J41</f>
        <v>60</v>
      </c>
      <c r="V76" s="1036"/>
      <c r="W76" s="1036"/>
      <c r="X76" s="266"/>
    </row>
    <row r="77" spans="2:24" ht="3" customHeight="1">
      <c r="B77" s="266"/>
      <c r="C77" s="543"/>
      <c r="D77" s="543"/>
      <c r="E77" s="543"/>
      <c r="F77" s="543"/>
      <c r="G77" s="543"/>
      <c r="H77" s="544"/>
      <c r="I77" s="544"/>
      <c r="J77" s="544"/>
      <c r="K77" s="266"/>
      <c r="L77" s="544"/>
      <c r="M77" s="544"/>
      <c r="N77" s="544"/>
      <c r="O77" s="544"/>
      <c r="P77" s="544"/>
      <c r="Q77" s="266"/>
      <c r="R77" s="266"/>
      <c r="S77" s="544"/>
      <c r="T77" s="544"/>
      <c r="U77" s="544"/>
      <c r="V77" s="544"/>
      <c r="W77" s="266"/>
      <c r="X77" s="266"/>
    </row>
    <row r="78" spans="2:24" ht="15">
      <c r="B78" s="266"/>
      <c r="C78" s="573" t="str">
        <f>'Performance Measurement'!B42</f>
        <v>CDI</v>
      </c>
      <c r="D78" s="634"/>
      <c r="E78" s="634"/>
      <c r="F78" s="1035">
        <f>'Performance Measurement'!C42</f>
        <v>0</v>
      </c>
      <c r="G78" s="1035"/>
      <c r="H78" s="1035">
        <f>'Performance Measurement'!D42</f>
        <v>0</v>
      </c>
      <c r="I78" s="1035"/>
      <c r="J78" s="1029">
        <f>'Performance Measurement'!E42</f>
        <v>0</v>
      </c>
      <c r="K78" s="1029"/>
      <c r="L78" s="1029">
        <f>'Performance Measurement'!F42</f>
        <v>0</v>
      </c>
      <c r="M78" s="1029"/>
      <c r="N78" s="1029">
        <f>'Performance Measurement'!G42</f>
        <v>0</v>
      </c>
      <c r="O78" s="1029"/>
      <c r="P78" s="1029">
        <f>'Performance Measurement'!H42</f>
        <v>0</v>
      </c>
      <c r="Q78" s="1029"/>
      <c r="R78" s="1029"/>
      <c r="S78" s="1034" t="str">
        <f>'Performance Measurement'!I42</f>
        <v>-</v>
      </c>
      <c r="T78" s="1034"/>
      <c r="U78" s="1037" t="str">
        <f>'Performance Measurement'!J42</f>
        <v>-</v>
      </c>
      <c r="V78" s="1037"/>
      <c r="W78" s="1037"/>
      <c r="X78" s="266"/>
    </row>
    <row r="80" spans="2:24">
      <c r="B80" s="266"/>
      <c r="J80" s="266"/>
      <c r="K80" s="266"/>
      <c r="L80" s="266"/>
      <c r="M80" s="266"/>
      <c r="N80" s="266"/>
      <c r="O80" s="266"/>
      <c r="P80" s="266"/>
      <c r="Q80" s="266"/>
      <c r="R80" s="266"/>
      <c r="S80" s="266"/>
      <c r="T80" s="266"/>
      <c r="U80" s="266"/>
      <c r="V80" s="266"/>
      <c r="W80" s="266"/>
    </row>
    <row r="81" spans="2:23">
      <c r="B81" s="266"/>
      <c r="J81" s="266"/>
      <c r="K81" s="266"/>
      <c r="L81" s="266"/>
      <c r="M81" s="266"/>
      <c r="N81" s="266"/>
      <c r="O81" s="266"/>
      <c r="P81" s="266"/>
      <c r="Q81" s="266"/>
      <c r="R81" s="266"/>
      <c r="S81" s="266"/>
      <c r="T81" s="266"/>
      <c r="U81" s="266"/>
      <c r="V81" s="266"/>
      <c r="W81" s="266"/>
    </row>
    <row r="82" spans="2:23">
      <c r="B82" s="266"/>
      <c r="J82" s="266"/>
      <c r="K82" s="266"/>
      <c r="L82" s="266"/>
      <c r="M82" s="266"/>
      <c r="N82" s="266"/>
      <c r="O82" s="266"/>
      <c r="P82" s="266"/>
      <c r="Q82" s="266"/>
      <c r="R82" s="266"/>
      <c r="S82" s="266"/>
      <c r="T82" s="266"/>
      <c r="U82" s="266"/>
      <c r="V82" s="266"/>
      <c r="W82" s="266"/>
    </row>
    <row r="83" spans="2:23">
      <c r="J83" s="266"/>
      <c r="K83" s="266"/>
      <c r="L83" s="266"/>
      <c r="M83" s="266"/>
      <c r="N83" s="266"/>
      <c r="O83" s="266"/>
      <c r="P83" s="266"/>
      <c r="Q83" s="266"/>
      <c r="R83" s="266"/>
      <c r="S83" s="266"/>
      <c r="T83" s="266"/>
      <c r="U83" s="266"/>
      <c r="V83" s="266"/>
      <c r="W83" s="266"/>
    </row>
  </sheetData>
  <mergeCells count="39">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S78:T78"/>
    <mergeCell ref="F78:G78"/>
    <mergeCell ref="H78:I78"/>
    <mergeCell ref="J78:K78"/>
    <mergeCell ref="L78:M78"/>
    <mergeCell ref="N78:O78"/>
    <mergeCell ref="P78:R78"/>
  </mergeCells>
  <conditionalFormatting sqref="E43:E45 E1:E2">
    <cfRule type="expression" dxfId="1122" priority="20">
      <formula>E1=""</formula>
    </cfRule>
  </conditionalFormatting>
  <conditionalFormatting sqref="F43:X45 F1:X2 C1:D2 C43:D45">
    <cfRule type="expression" dxfId="1121" priority="7070">
      <formula>C1=""</formula>
    </cfRule>
    <cfRule type="expression" dxfId="1120" priority="7071">
      <formula>AND(C1="-", $E1&lt;&gt;"", C$5&lt;&gt;"")</formula>
    </cfRule>
    <cfRule type="expression" dxfId="1119"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16/11/2022</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tint="0.79998168889431442"/>
  </sheetPr>
  <dimension ref="A1:AD34"/>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21.796875" style="266" customWidth="1"/>
    <col min="3" max="5" width="3.5" style="266" customWidth="1"/>
    <col min="6" max="23" width="3.5" style="269" customWidth="1"/>
    <col min="24" max="27" width="3.5" style="266" customWidth="1"/>
    <col min="28" max="30" width="3.5" style="266" hidden="1" customWidth="1"/>
    <col min="31" max="16384" width="10.69921875" style="266"/>
  </cols>
  <sheetData>
    <row r="1" spans="2:30" ht="12.75">
      <c r="B1" s="652"/>
      <c r="C1" s="652"/>
      <c r="D1" s="652"/>
      <c r="E1" s="652"/>
      <c r="F1" s="652"/>
      <c r="G1" s="652"/>
      <c r="H1" s="652"/>
      <c r="I1" s="565"/>
      <c r="J1" s="565"/>
      <c r="K1" s="565"/>
      <c r="L1" s="565"/>
      <c r="M1" s="565"/>
      <c r="N1" s="565"/>
      <c r="O1" s="565"/>
      <c r="P1" s="565"/>
      <c r="Q1" s="565"/>
      <c r="R1" s="565"/>
      <c r="S1" s="565"/>
      <c r="T1" s="565"/>
      <c r="U1" s="565"/>
      <c r="V1" s="524"/>
      <c r="W1" s="524"/>
      <c r="X1" s="524"/>
    </row>
    <row r="2" spans="2:30" ht="12.75">
      <c r="B2" s="565"/>
      <c r="C2" s="565"/>
      <c r="D2" s="565"/>
      <c r="E2" s="565"/>
      <c r="F2" s="565"/>
      <c r="G2" s="565"/>
      <c r="H2" s="565"/>
      <c r="I2" s="565"/>
      <c r="J2" s="565"/>
      <c r="K2" s="565"/>
      <c r="L2" s="565"/>
      <c r="M2" s="565"/>
      <c r="N2" s="565"/>
      <c r="O2" s="565"/>
      <c r="P2" s="565"/>
      <c r="Q2" s="565"/>
      <c r="R2" s="565"/>
      <c r="S2" s="565"/>
      <c r="T2" s="565"/>
      <c r="U2" s="565"/>
      <c r="V2" s="524"/>
      <c r="W2" s="524"/>
      <c r="X2" s="524"/>
    </row>
    <row r="3" spans="2:30" ht="22.5" customHeight="1" thickBot="1">
      <c r="B3" s="537" t="s">
        <v>2578</v>
      </c>
      <c r="C3" s="534"/>
      <c r="D3" s="534"/>
      <c r="E3" s="534"/>
      <c r="F3" s="535"/>
      <c r="G3" s="535"/>
      <c r="H3" s="535"/>
      <c r="I3" s="535"/>
      <c r="J3" s="535"/>
      <c r="K3" s="535"/>
      <c r="L3" s="535"/>
      <c r="M3" s="535"/>
      <c r="N3" s="535"/>
      <c r="O3" s="535"/>
      <c r="P3" s="535"/>
      <c r="Q3" s="535"/>
      <c r="R3" s="535"/>
      <c r="S3" s="535"/>
      <c r="T3" s="535"/>
      <c r="U3" s="535"/>
      <c r="V3" s="535"/>
      <c r="W3" s="535"/>
      <c r="X3" s="535"/>
      <c r="Y3" s="535"/>
      <c r="Z3" s="535"/>
      <c r="AA3" s="547" t="str">
        <f ca="1">TEXT(AccReturns!$B$3, "dd/mm/yyyy")&amp;" - "&amp;TEXT(OFFSET(AccReturns!$B$2,COUNTA(AccReturns!$B:$B),), "dd/mm/yyyy")</f>
        <v>02/01/2020 - 31/01/2023</v>
      </c>
    </row>
    <row r="5" spans="2:30" ht="15.75">
      <c r="D5" s="590"/>
    </row>
    <row r="6" spans="2:30" s="269" customFormat="1" ht="19.5" customHeight="1" thickBot="1">
      <c r="B6" s="690"/>
      <c r="C6" s="622" t="s">
        <v>2473</v>
      </c>
      <c r="D6" s="622" t="s">
        <v>2474</v>
      </c>
      <c r="E6" s="622" t="s">
        <v>2475</v>
      </c>
      <c r="F6" s="622" t="s">
        <v>2476</v>
      </c>
      <c r="G6" s="622" t="s">
        <v>2477</v>
      </c>
      <c r="H6" s="622" t="s">
        <v>2478</v>
      </c>
      <c r="I6" s="622" t="s">
        <v>2479</v>
      </c>
      <c r="J6" s="622" t="s">
        <v>2480</v>
      </c>
      <c r="K6" s="622" t="s">
        <v>2481</v>
      </c>
      <c r="L6" s="622" t="s">
        <v>2482</v>
      </c>
      <c r="M6" s="622" t="s">
        <v>2483</v>
      </c>
      <c r="N6" s="622" t="s">
        <v>2484</v>
      </c>
      <c r="O6" s="622" t="s">
        <v>2485</v>
      </c>
      <c r="P6" s="622" t="s">
        <v>2486</v>
      </c>
      <c r="Q6" s="622" t="s">
        <v>2487</v>
      </c>
      <c r="R6" s="622" t="s">
        <v>2488</v>
      </c>
      <c r="S6" s="622" t="s">
        <v>2489</v>
      </c>
      <c r="T6" s="622" t="s">
        <v>2490</v>
      </c>
      <c r="U6" s="622" t="s">
        <v>2491</v>
      </c>
      <c r="V6" s="691" t="s">
        <v>4328</v>
      </c>
      <c r="W6" s="691" t="s">
        <v>4329</v>
      </c>
      <c r="X6" s="691" t="s">
        <v>4330</v>
      </c>
      <c r="Y6" s="691" t="s">
        <v>4331</v>
      </c>
      <c r="Z6" s="691" t="s">
        <v>4332</v>
      </c>
      <c r="AA6" s="691" t="s">
        <v>4333</v>
      </c>
      <c r="AB6" s="691" t="s">
        <v>4334</v>
      </c>
      <c r="AC6" s="691" t="s">
        <v>4335</v>
      </c>
      <c r="AD6" s="691" t="s">
        <v>4336</v>
      </c>
    </row>
    <row r="7" spans="2:30" ht="15" customHeight="1" thickTop="1">
      <c r="B7" s="563" t="s">
        <v>2472</v>
      </c>
      <c r="C7" s="621">
        <v>1</v>
      </c>
      <c r="D7" s="621" t="s">
        <v>34</v>
      </c>
      <c r="E7" s="621" t="s">
        <v>34</v>
      </c>
      <c r="F7" s="621" t="s">
        <v>34</v>
      </c>
      <c r="G7" s="621" t="s">
        <v>34</v>
      </c>
      <c r="H7" s="621" t="s">
        <v>34</v>
      </c>
      <c r="I7" s="621" t="s">
        <v>34</v>
      </c>
      <c r="J7" s="621" t="s">
        <v>34</v>
      </c>
      <c r="K7" s="621" t="s">
        <v>34</v>
      </c>
      <c r="L7" s="621" t="s">
        <v>34</v>
      </c>
      <c r="M7" s="621" t="s">
        <v>34</v>
      </c>
      <c r="N7" s="621" t="s">
        <v>34</v>
      </c>
      <c r="O7" s="621" t="s">
        <v>34</v>
      </c>
      <c r="P7" s="621" t="s">
        <v>34</v>
      </c>
      <c r="Q7" s="621" t="s">
        <v>34</v>
      </c>
      <c r="R7" s="621" t="s">
        <v>34</v>
      </c>
      <c r="S7" s="621" t="s">
        <v>34</v>
      </c>
      <c r="T7" s="621" t="s">
        <v>34</v>
      </c>
      <c r="U7" s="621" t="s">
        <v>34</v>
      </c>
      <c r="V7" s="692" t="s">
        <v>34</v>
      </c>
      <c r="W7" s="692" t="s">
        <v>34</v>
      </c>
      <c r="X7" s="692" t="s">
        <v>34</v>
      </c>
      <c r="Y7" s="692" t="s">
        <v>34</v>
      </c>
      <c r="Z7" s="692" t="s">
        <v>34</v>
      </c>
      <c r="AA7" s="692" t="s">
        <v>34</v>
      </c>
      <c r="AB7" s="692" t="s">
        <v>34</v>
      </c>
      <c r="AC7" s="692" t="s">
        <v>34</v>
      </c>
      <c r="AD7" s="692" t="s">
        <v>34</v>
      </c>
    </row>
    <row r="8" spans="2:30" ht="15" customHeight="1">
      <c r="B8" s="564" t="s">
        <v>2679</v>
      </c>
      <c r="C8" s="562">
        <v>0.33889812142367609</v>
      </c>
      <c r="D8" s="562">
        <v>1</v>
      </c>
      <c r="E8" s="562" t="s">
        <v>34</v>
      </c>
      <c r="F8" s="562" t="s">
        <v>34</v>
      </c>
      <c r="G8" s="562" t="s">
        <v>34</v>
      </c>
      <c r="H8" s="562" t="s">
        <v>34</v>
      </c>
      <c r="I8" s="562" t="s">
        <v>34</v>
      </c>
      <c r="J8" s="562" t="s">
        <v>34</v>
      </c>
      <c r="K8" s="562" t="s">
        <v>34</v>
      </c>
      <c r="L8" s="562" t="s">
        <v>34</v>
      </c>
      <c r="M8" s="562" t="s">
        <v>34</v>
      </c>
      <c r="N8" s="562" t="s">
        <v>34</v>
      </c>
      <c r="O8" s="562" t="s">
        <v>34</v>
      </c>
      <c r="P8" s="562" t="s">
        <v>34</v>
      </c>
      <c r="Q8" s="562" t="s">
        <v>34</v>
      </c>
      <c r="R8" s="562" t="s">
        <v>34</v>
      </c>
      <c r="S8" s="562" t="s">
        <v>34</v>
      </c>
      <c r="T8" s="562" t="s">
        <v>34</v>
      </c>
      <c r="U8" s="562" t="s">
        <v>34</v>
      </c>
      <c r="V8" s="562" t="s">
        <v>34</v>
      </c>
      <c r="W8" s="562" t="s">
        <v>34</v>
      </c>
      <c r="X8" s="562" t="s">
        <v>34</v>
      </c>
      <c r="Y8" s="562" t="s">
        <v>34</v>
      </c>
      <c r="Z8" s="562" t="s">
        <v>34</v>
      </c>
      <c r="AA8" s="562" t="s">
        <v>34</v>
      </c>
      <c r="AB8" s="562" t="s">
        <v>34</v>
      </c>
      <c r="AC8" s="562" t="s">
        <v>34</v>
      </c>
      <c r="AD8" s="562" t="s">
        <v>34</v>
      </c>
    </row>
    <row r="9" spans="2:30" ht="15" customHeight="1">
      <c r="B9" s="564" t="s">
        <v>4337</v>
      </c>
      <c r="C9" s="562">
        <v>0.87089639146362352</v>
      </c>
      <c r="D9" s="562">
        <v>0.31733995918696356</v>
      </c>
      <c r="E9" s="562">
        <v>1</v>
      </c>
      <c r="F9" s="562" t="s">
        <v>34</v>
      </c>
      <c r="G9" s="562" t="s">
        <v>34</v>
      </c>
      <c r="H9" s="562" t="s">
        <v>34</v>
      </c>
      <c r="I9" s="562" t="s">
        <v>34</v>
      </c>
      <c r="J9" s="562" t="s">
        <v>34</v>
      </c>
      <c r="K9" s="562" t="s">
        <v>34</v>
      </c>
      <c r="L9" s="562" t="s">
        <v>34</v>
      </c>
      <c r="M9" s="562" t="s">
        <v>34</v>
      </c>
      <c r="N9" s="562" t="s">
        <v>34</v>
      </c>
      <c r="O9" s="562" t="s">
        <v>34</v>
      </c>
      <c r="P9" s="562" t="s">
        <v>34</v>
      </c>
      <c r="Q9" s="562" t="s">
        <v>34</v>
      </c>
      <c r="R9" s="562" t="s">
        <v>34</v>
      </c>
      <c r="S9" s="562" t="s">
        <v>34</v>
      </c>
      <c r="T9" s="562" t="s">
        <v>34</v>
      </c>
      <c r="U9" s="562" t="s">
        <v>34</v>
      </c>
      <c r="V9" s="562" t="s">
        <v>34</v>
      </c>
      <c r="W9" s="562" t="s">
        <v>34</v>
      </c>
      <c r="X9" s="562" t="s">
        <v>34</v>
      </c>
      <c r="Y9" s="562" t="s">
        <v>34</v>
      </c>
      <c r="Z9" s="562" t="s">
        <v>34</v>
      </c>
      <c r="AA9" s="562" t="s">
        <v>34</v>
      </c>
      <c r="AB9" s="562" t="s">
        <v>34</v>
      </c>
      <c r="AC9" s="562" t="s">
        <v>34</v>
      </c>
      <c r="AD9" s="562" t="s">
        <v>34</v>
      </c>
    </row>
    <row r="10" spans="2:30" ht="15" customHeight="1">
      <c r="B10" s="564" t="s">
        <v>4338</v>
      </c>
      <c r="C10" s="562">
        <v>0.99999999999999989</v>
      </c>
      <c r="D10" s="562">
        <v>0.33889812142370734</v>
      </c>
      <c r="E10" s="562">
        <v>0.87089639146363029</v>
      </c>
      <c r="F10" s="562">
        <v>1</v>
      </c>
      <c r="G10" s="562" t="s">
        <v>34</v>
      </c>
      <c r="H10" s="562" t="s">
        <v>34</v>
      </c>
      <c r="I10" s="562" t="s">
        <v>34</v>
      </c>
      <c r="J10" s="562" t="s">
        <v>34</v>
      </c>
      <c r="K10" s="562" t="s">
        <v>34</v>
      </c>
      <c r="L10" s="562" t="s">
        <v>34</v>
      </c>
      <c r="M10" s="562" t="s">
        <v>34</v>
      </c>
      <c r="N10" s="562" t="s">
        <v>34</v>
      </c>
      <c r="O10" s="562" t="s">
        <v>34</v>
      </c>
      <c r="P10" s="562" t="s">
        <v>34</v>
      </c>
      <c r="Q10" s="562" t="s">
        <v>34</v>
      </c>
      <c r="R10" s="562" t="s">
        <v>34</v>
      </c>
      <c r="S10" s="562" t="s">
        <v>34</v>
      </c>
      <c r="T10" s="562" t="s">
        <v>34</v>
      </c>
      <c r="U10" s="562" t="s">
        <v>34</v>
      </c>
      <c r="V10" s="562" t="s">
        <v>34</v>
      </c>
      <c r="W10" s="562" t="s">
        <v>34</v>
      </c>
      <c r="X10" s="562" t="s">
        <v>34</v>
      </c>
      <c r="Y10" s="562" t="s">
        <v>34</v>
      </c>
      <c r="Z10" s="562" t="s">
        <v>34</v>
      </c>
      <c r="AA10" s="562" t="s">
        <v>34</v>
      </c>
      <c r="AB10" s="562" t="s">
        <v>34</v>
      </c>
      <c r="AC10" s="562" t="s">
        <v>34</v>
      </c>
      <c r="AD10" s="562" t="s">
        <v>34</v>
      </c>
    </row>
    <row r="11" spans="2:30" ht="15" customHeight="1">
      <c r="B11" s="564" t="s">
        <v>4339</v>
      </c>
      <c r="C11" s="562">
        <v>0.16753643746788338</v>
      </c>
      <c r="D11" s="562">
        <v>0.67339968422123897</v>
      </c>
      <c r="E11" s="562">
        <v>0.15354342774362834</v>
      </c>
      <c r="F11" s="562">
        <v>0.16753643746791425</v>
      </c>
      <c r="G11" s="562">
        <v>1</v>
      </c>
      <c r="H11" s="562" t="s">
        <v>34</v>
      </c>
      <c r="I11" s="562" t="s">
        <v>34</v>
      </c>
      <c r="J11" s="562" t="s">
        <v>34</v>
      </c>
      <c r="K11" s="562" t="s">
        <v>34</v>
      </c>
      <c r="L11" s="562" t="s">
        <v>34</v>
      </c>
      <c r="M11" s="562" t="s">
        <v>34</v>
      </c>
      <c r="N11" s="562" t="s">
        <v>34</v>
      </c>
      <c r="O11" s="562" t="s">
        <v>34</v>
      </c>
      <c r="P11" s="562" t="s">
        <v>34</v>
      </c>
      <c r="Q11" s="562" t="s">
        <v>34</v>
      </c>
      <c r="R11" s="562" t="s">
        <v>34</v>
      </c>
      <c r="S11" s="562" t="s">
        <v>34</v>
      </c>
      <c r="T11" s="562" t="s">
        <v>34</v>
      </c>
      <c r="U11" s="562" t="s">
        <v>34</v>
      </c>
      <c r="V11" s="562" t="s">
        <v>34</v>
      </c>
      <c r="W11" s="562" t="s">
        <v>34</v>
      </c>
      <c r="X11" s="562" t="s">
        <v>34</v>
      </c>
      <c r="Y11" s="562" t="s">
        <v>34</v>
      </c>
      <c r="Z11" s="562" t="s">
        <v>34</v>
      </c>
      <c r="AA11" s="562" t="s">
        <v>34</v>
      </c>
      <c r="AB11" s="562" t="s">
        <v>34</v>
      </c>
      <c r="AC11" s="562" t="s">
        <v>34</v>
      </c>
      <c r="AD11" s="562" t="s">
        <v>34</v>
      </c>
    </row>
    <row r="12" spans="2:30" ht="15" customHeight="1">
      <c r="B12" s="564" t="s">
        <v>4340</v>
      </c>
      <c r="C12" s="562">
        <v>0.1400726262326529</v>
      </c>
      <c r="D12" s="562">
        <v>0.52697659953565412</v>
      </c>
      <c r="E12" s="562">
        <v>0.13535989562823009</v>
      </c>
      <c r="F12" s="562">
        <v>0.14007262623268271</v>
      </c>
      <c r="G12" s="562">
        <v>0.78009754129681175</v>
      </c>
      <c r="H12" s="562">
        <v>1</v>
      </c>
      <c r="I12" s="562" t="s">
        <v>34</v>
      </c>
      <c r="J12" s="562" t="s">
        <v>34</v>
      </c>
      <c r="K12" s="562" t="s">
        <v>34</v>
      </c>
      <c r="L12" s="562" t="s">
        <v>34</v>
      </c>
      <c r="M12" s="562" t="s">
        <v>34</v>
      </c>
      <c r="N12" s="562" t="s">
        <v>34</v>
      </c>
      <c r="O12" s="562" t="s">
        <v>34</v>
      </c>
      <c r="P12" s="562" t="s">
        <v>34</v>
      </c>
      <c r="Q12" s="562" t="s">
        <v>34</v>
      </c>
      <c r="R12" s="562" t="s">
        <v>34</v>
      </c>
      <c r="S12" s="562" t="s">
        <v>34</v>
      </c>
      <c r="T12" s="562" t="s">
        <v>34</v>
      </c>
      <c r="U12" s="562" t="s">
        <v>34</v>
      </c>
      <c r="V12" s="562" t="s">
        <v>34</v>
      </c>
      <c r="W12" s="562" t="s">
        <v>34</v>
      </c>
      <c r="X12" s="562" t="s">
        <v>34</v>
      </c>
      <c r="Y12" s="562" t="s">
        <v>34</v>
      </c>
      <c r="Z12" s="562" t="s">
        <v>34</v>
      </c>
      <c r="AA12" s="562" t="s">
        <v>34</v>
      </c>
      <c r="AB12" s="562" t="s">
        <v>34</v>
      </c>
      <c r="AC12" s="562" t="s">
        <v>34</v>
      </c>
      <c r="AD12" s="562" t="s">
        <v>34</v>
      </c>
    </row>
    <row r="13" spans="2:30" ht="15" customHeight="1">
      <c r="B13" s="564" t="s">
        <v>4341</v>
      </c>
      <c r="C13" s="562">
        <v>0.96121190409852808</v>
      </c>
      <c r="D13" s="562">
        <v>0.35858381921320059</v>
      </c>
      <c r="E13" s="562">
        <v>0.8493954842298983</v>
      </c>
      <c r="F13" s="562">
        <v>0.96121190409853763</v>
      </c>
      <c r="G13" s="562">
        <v>0.18828694498304141</v>
      </c>
      <c r="H13" s="562">
        <v>0.15379467227566507</v>
      </c>
      <c r="I13" s="562">
        <v>1</v>
      </c>
      <c r="J13" s="562" t="s">
        <v>34</v>
      </c>
      <c r="K13" s="562" t="s">
        <v>34</v>
      </c>
      <c r="L13" s="562" t="s">
        <v>34</v>
      </c>
      <c r="M13" s="562" t="s">
        <v>34</v>
      </c>
      <c r="N13" s="562" t="s">
        <v>34</v>
      </c>
      <c r="O13" s="562" t="s">
        <v>34</v>
      </c>
      <c r="P13" s="562" t="s">
        <v>34</v>
      </c>
      <c r="Q13" s="562" t="s">
        <v>34</v>
      </c>
      <c r="R13" s="562" t="s">
        <v>34</v>
      </c>
      <c r="S13" s="562" t="s">
        <v>34</v>
      </c>
      <c r="T13" s="562" t="s">
        <v>34</v>
      </c>
      <c r="U13" s="562" t="s">
        <v>34</v>
      </c>
      <c r="V13" s="562" t="s">
        <v>34</v>
      </c>
      <c r="W13" s="562" t="s">
        <v>34</v>
      </c>
      <c r="X13" s="562" t="s">
        <v>34</v>
      </c>
      <c r="Y13" s="562" t="s">
        <v>34</v>
      </c>
      <c r="Z13" s="562" t="s">
        <v>34</v>
      </c>
      <c r="AA13" s="562" t="s">
        <v>34</v>
      </c>
      <c r="AB13" s="562" t="s">
        <v>34</v>
      </c>
      <c r="AC13" s="562" t="s">
        <v>34</v>
      </c>
      <c r="AD13" s="562" t="s">
        <v>34</v>
      </c>
    </row>
    <row r="14" spans="2:30" ht="15" customHeight="1">
      <c r="B14" s="564" t="s">
        <v>4342</v>
      </c>
      <c r="C14" s="562">
        <v>0.87020786477902856</v>
      </c>
      <c r="D14" s="562">
        <v>0.32575560664972358</v>
      </c>
      <c r="E14" s="562">
        <v>0.77662419316696774</v>
      </c>
      <c r="F14" s="562">
        <v>0.87020786477903678</v>
      </c>
      <c r="G14" s="562">
        <v>0.15318429457907243</v>
      </c>
      <c r="H14" s="562">
        <v>0.12251721164388808</v>
      </c>
      <c r="I14" s="562">
        <v>0.85490175625120612</v>
      </c>
      <c r="J14" s="562">
        <v>1</v>
      </c>
      <c r="K14" s="562" t="s">
        <v>34</v>
      </c>
      <c r="L14" s="562" t="s">
        <v>34</v>
      </c>
      <c r="M14" s="562" t="s">
        <v>34</v>
      </c>
      <c r="N14" s="562" t="s">
        <v>34</v>
      </c>
      <c r="O14" s="562" t="s">
        <v>34</v>
      </c>
      <c r="P14" s="562" t="s">
        <v>34</v>
      </c>
      <c r="Q14" s="562" t="s">
        <v>34</v>
      </c>
      <c r="R14" s="562" t="s">
        <v>34</v>
      </c>
      <c r="S14" s="562" t="s">
        <v>34</v>
      </c>
      <c r="T14" s="562" t="s">
        <v>34</v>
      </c>
      <c r="U14" s="562" t="s">
        <v>34</v>
      </c>
      <c r="V14" s="562" t="s">
        <v>34</v>
      </c>
      <c r="W14" s="562" t="s">
        <v>34</v>
      </c>
      <c r="X14" s="562" t="s">
        <v>34</v>
      </c>
      <c r="Y14" s="562" t="s">
        <v>34</v>
      </c>
      <c r="Z14" s="562" t="s">
        <v>34</v>
      </c>
      <c r="AA14" s="562" t="s">
        <v>34</v>
      </c>
      <c r="AB14" s="562" t="s">
        <v>34</v>
      </c>
      <c r="AC14" s="562" t="s">
        <v>34</v>
      </c>
      <c r="AD14" s="562" t="s">
        <v>34</v>
      </c>
    </row>
    <row r="15" spans="2:30" ht="15" customHeight="1">
      <c r="B15" s="564" t="s">
        <v>4343</v>
      </c>
      <c r="C15" s="562">
        <v>9.3374934402839418E-3</v>
      </c>
      <c r="D15" s="562">
        <v>9.7706676710150708E-2</v>
      </c>
      <c r="E15" s="562">
        <v>3.3952588272133564E-3</v>
      </c>
      <c r="F15" s="562">
        <v>9.3374934402894738E-3</v>
      </c>
      <c r="G15" s="562">
        <v>2.8742092166261807E-2</v>
      </c>
      <c r="H15" s="562">
        <v>-3.8639934680673255E-2</v>
      </c>
      <c r="I15" s="562">
        <v>1.2846945592343109E-2</v>
      </c>
      <c r="J15" s="562">
        <v>4.8900896254473842E-3</v>
      </c>
      <c r="K15" s="562">
        <v>1</v>
      </c>
      <c r="L15" s="562" t="s">
        <v>34</v>
      </c>
      <c r="M15" s="562" t="s">
        <v>34</v>
      </c>
      <c r="N15" s="562" t="s">
        <v>34</v>
      </c>
      <c r="O15" s="562" t="s">
        <v>34</v>
      </c>
      <c r="P15" s="562" t="s">
        <v>34</v>
      </c>
      <c r="Q15" s="562" t="s">
        <v>34</v>
      </c>
      <c r="R15" s="562" t="s">
        <v>34</v>
      </c>
      <c r="S15" s="562" t="s">
        <v>34</v>
      </c>
      <c r="T15" s="562" t="s">
        <v>34</v>
      </c>
      <c r="U15" s="562" t="s">
        <v>34</v>
      </c>
      <c r="V15" s="562" t="s">
        <v>34</v>
      </c>
      <c r="W15" s="562" t="s">
        <v>34</v>
      </c>
      <c r="X15" s="562" t="s">
        <v>34</v>
      </c>
      <c r="Y15" s="562" t="s">
        <v>34</v>
      </c>
      <c r="Z15" s="562" t="s">
        <v>34</v>
      </c>
      <c r="AA15" s="562" t="s">
        <v>34</v>
      </c>
      <c r="AB15" s="562" t="s">
        <v>34</v>
      </c>
      <c r="AC15" s="562" t="s">
        <v>34</v>
      </c>
      <c r="AD15" s="562" t="s">
        <v>34</v>
      </c>
    </row>
    <row r="16" spans="2:30" ht="15" customHeight="1">
      <c r="B16" s="564" t="s">
        <v>4344</v>
      </c>
      <c r="C16" s="562">
        <v>-1.3139015277645367E-2</v>
      </c>
      <c r="D16" s="562">
        <v>0.10492706757456391</v>
      </c>
      <c r="E16" s="562">
        <v>-2.058741190007778E-2</v>
      </c>
      <c r="F16" s="562">
        <v>-1.3139015277635556E-2</v>
      </c>
      <c r="G16" s="562">
        <v>3.2106769961590703E-2</v>
      </c>
      <c r="H16" s="562">
        <v>-6.2555721317593516E-2</v>
      </c>
      <c r="I16" s="562">
        <v>-1.1120308536762409E-2</v>
      </c>
      <c r="J16" s="562">
        <v>-3.953345442902394E-3</v>
      </c>
      <c r="K16" s="562">
        <v>0.91150088012236141</v>
      </c>
      <c r="L16" s="562">
        <v>1</v>
      </c>
      <c r="M16" s="562" t="s">
        <v>34</v>
      </c>
      <c r="N16" s="562" t="s">
        <v>34</v>
      </c>
      <c r="O16" s="562" t="s">
        <v>34</v>
      </c>
      <c r="P16" s="562" t="s">
        <v>34</v>
      </c>
      <c r="Q16" s="562" t="s">
        <v>34</v>
      </c>
      <c r="R16" s="562" t="s">
        <v>34</v>
      </c>
      <c r="S16" s="562" t="s">
        <v>34</v>
      </c>
      <c r="T16" s="562" t="s">
        <v>34</v>
      </c>
      <c r="U16" s="562" t="s">
        <v>34</v>
      </c>
      <c r="V16" s="562" t="s">
        <v>34</v>
      </c>
      <c r="W16" s="562" t="s">
        <v>34</v>
      </c>
      <c r="X16" s="562" t="s">
        <v>34</v>
      </c>
      <c r="Y16" s="562" t="s">
        <v>34</v>
      </c>
      <c r="Z16" s="562" t="s">
        <v>34</v>
      </c>
      <c r="AA16" s="562" t="s">
        <v>34</v>
      </c>
      <c r="AB16" s="562" t="s">
        <v>34</v>
      </c>
      <c r="AC16" s="562" t="s">
        <v>34</v>
      </c>
      <c r="AD16" s="562" t="s">
        <v>34</v>
      </c>
    </row>
    <row r="17" spans="2:30" ht="15" customHeight="1">
      <c r="B17" s="564" t="s">
        <v>4345</v>
      </c>
      <c r="C17" s="562">
        <v>-1.9244742042122145E-2</v>
      </c>
      <c r="D17" s="562">
        <v>-5.6130433536005858E-2</v>
      </c>
      <c r="E17" s="562">
        <v>8.0470718318842119E-3</v>
      </c>
      <c r="F17" s="562">
        <v>-1.9244742042118346E-2</v>
      </c>
      <c r="G17" s="562">
        <v>-0.10668542089505861</v>
      </c>
      <c r="H17" s="562">
        <v>-0.15807900516378789</v>
      </c>
      <c r="I17" s="562">
        <v>-1.374198491408796E-2</v>
      </c>
      <c r="J17" s="562">
        <v>-3.692061138130668E-2</v>
      </c>
      <c r="K17" s="562">
        <v>0.33771585164831208</v>
      </c>
      <c r="L17" s="562">
        <v>0.38457270349097683</v>
      </c>
      <c r="M17" s="562">
        <v>1</v>
      </c>
      <c r="N17" s="562" t="s">
        <v>34</v>
      </c>
      <c r="O17" s="562" t="s">
        <v>34</v>
      </c>
      <c r="P17" s="562" t="s">
        <v>34</v>
      </c>
      <c r="Q17" s="562" t="s">
        <v>34</v>
      </c>
      <c r="R17" s="562" t="s">
        <v>34</v>
      </c>
      <c r="S17" s="562" t="s">
        <v>34</v>
      </c>
      <c r="T17" s="562" t="s">
        <v>34</v>
      </c>
      <c r="U17" s="562" t="s">
        <v>34</v>
      </c>
      <c r="V17" s="562" t="s">
        <v>34</v>
      </c>
      <c r="W17" s="562" t="s">
        <v>34</v>
      </c>
      <c r="X17" s="562" t="s">
        <v>34</v>
      </c>
      <c r="Y17" s="562" t="s">
        <v>34</v>
      </c>
      <c r="Z17" s="562" t="s">
        <v>34</v>
      </c>
      <c r="AA17" s="562" t="s">
        <v>34</v>
      </c>
      <c r="AB17" s="562" t="s">
        <v>34</v>
      </c>
      <c r="AC17" s="562" t="s">
        <v>34</v>
      </c>
      <c r="AD17" s="562" t="s">
        <v>34</v>
      </c>
    </row>
    <row r="18" spans="2:30" ht="15" customHeight="1">
      <c r="B18" s="564" t="s">
        <v>4346</v>
      </c>
      <c r="C18" s="562">
        <v>1.4296525543594394E-2</v>
      </c>
      <c r="D18" s="562">
        <v>-0.10718021348175324</v>
      </c>
      <c r="E18" s="562">
        <v>3.3193765521678499E-2</v>
      </c>
      <c r="F18" s="562">
        <v>1.4296525543605628E-2</v>
      </c>
      <c r="G18" s="562">
        <v>-0.126685761225655</v>
      </c>
      <c r="H18" s="562">
        <v>-0.17997068491753485</v>
      </c>
      <c r="I18" s="562">
        <v>2.7787430807805293E-2</v>
      </c>
      <c r="J18" s="562">
        <v>1.9929467652141333E-2</v>
      </c>
      <c r="K18" s="562">
        <v>0.17826368313183896</v>
      </c>
      <c r="L18" s="562">
        <v>0.19599046814439486</v>
      </c>
      <c r="M18" s="562">
        <v>0.32311735296197286</v>
      </c>
      <c r="N18" s="562">
        <v>1</v>
      </c>
      <c r="O18" s="562" t="s">
        <v>34</v>
      </c>
      <c r="P18" s="562" t="s">
        <v>34</v>
      </c>
      <c r="Q18" s="562" t="s">
        <v>34</v>
      </c>
      <c r="R18" s="562" t="s">
        <v>34</v>
      </c>
      <c r="S18" s="562" t="s">
        <v>34</v>
      </c>
      <c r="T18" s="562" t="s">
        <v>34</v>
      </c>
      <c r="U18" s="562" t="s">
        <v>34</v>
      </c>
      <c r="V18" s="562" t="s">
        <v>34</v>
      </c>
      <c r="W18" s="562" t="s">
        <v>34</v>
      </c>
      <c r="X18" s="562" t="s">
        <v>34</v>
      </c>
      <c r="Y18" s="562" t="s">
        <v>34</v>
      </c>
      <c r="Z18" s="562" t="s">
        <v>34</v>
      </c>
      <c r="AA18" s="562" t="s">
        <v>34</v>
      </c>
      <c r="AB18" s="562" t="s">
        <v>34</v>
      </c>
      <c r="AC18" s="562" t="s">
        <v>34</v>
      </c>
      <c r="AD18" s="562" t="s">
        <v>34</v>
      </c>
    </row>
    <row r="19" spans="2:30" ht="15" customHeight="1">
      <c r="B19" s="564" t="s">
        <v>4347</v>
      </c>
      <c r="C19" s="562">
        <v>4.2577435577392929E-2</v>
      </c>
      <c r="D19" s="562">
        <v>-1.6710326395028929E-4</v>
      </c>
      <c r="E19" s="562">
        <v>-1.2292339378590185E-3</v>
      </c>
      <c r="F19" s="562">
        <v>4.2577435577404503E-2</v>
      </c>
      <c r="G19" s="562">
        <v>-3.7780112652750122E-2</v>
      </c>
      <c r="H19" s="562">
        <v>-5.1038715842756932E-2</v>
      </c>
      <c r="I19" s="562">
        <v>4.7224396565871206E-2</v>
      </c>
      <c r="J19" s="562">
        <v>3.4518742597986637E-2</v>
      </c>
      <c r="K19" s="562">
        <v>0.24583269061247198</v>
      </c>
      <c r="L19" s="562">
        <v>0.22573260506876014</v>
      </c>
      <c r="M19" s="562">
        <v>-9.1433791640795722E-2</v>
      </c>
      <c r="N19" s="562">
        <v>0.22020738335984813</v>
      </c>
      <c r="O19" s="562">
        <v>1</v>
      </c>
      <c r="P19" s="562" t="s">
        <v>34</v>
      </c>
      <c r="Q19" s="562" t="s">
        <v>34</v>
      </c>
      <c r="R19" s="562" t="s">
        <v>34</v>
      </c>
      <c r="S19" s="562" t="s">
        <v>34</v>
      </c>
      <c r="T19" s="562" t="s">
        <v>34</v>
      </c>
      <c r="U19" s="562" t="s">
        <v>34</v>
      </c>
      <c r="V19" s="562" t="s">
        <v>34</v>
      </c>
      <c r="W19" s="562" t="s">
        <v>34</v>
      </c>
      <c r="X19" s="562" t="s">
        <v>34</v>
      </c>
      <c r="Y19" s="562" t="s">
        <v>34</v>
      </c>
      <c r="Z19" s="562" t="s">
        <v>34</v>
      </c>
      <c r="AA19" s="562" t="s">
        <v>34</v>
      </c>
      <c r="AB19" s="562" t="s">
        <v>34</v>
      </c>
      <c r="AC19" s="562" t="s">
        <v>34</v>
      </c>
      <c r="AD19" s="562" t="s">
        <v>34</v>
      </c>
    </row>
    <row r="20" spans="2:30" ht="15" customHeight="1">
      <c r="B20" s="564" t="s">
        <v>4348</v>
      </c>
      <c r="C20" s="562">
        <v>5.5257237750534892E-2</v>
      </c>
      <c r="D20" s="562">
        <v>6.2525064372605285E-2</v>
      </c>
      <c r="E20" s="562">
        <v>4.650437438096891E-2</v>
      </c>
      <c r="F20" s="562">
        <v>5.5257237750550324E-2</v>
      </c>
      <c r="G20" s="562">
        <v>1.949730432634578E-2</v>
      </c>
      <c r="H20" s="562">
        <v>-5.4234451439982269E-2</v>
      </c>
      <c r="I20" s="562">
        <v>5.5613489279042978E-2</v>
      </c>
      <c r="J20" s="562">
        <v>8.0588764513157343E-2</v>
      </c>
      <c r="K20" s="562">
        <v>0.31365825886733967</v>
      </c>
      <c r="L20" s="562">
        <v>0.35772384388344641</v>
      </c>
      <c r="M20" s="562">
        <v>0.1432293020035626</v>
      </c>
      <c r="N20" s="562">
        <v>0.32069413009418263</v>
      </c>
      <c r="O20" s="562">
        <v>0.37333888684835048</v>
      </c>
      <c r="P20" s="562">
        <v>1</v>
      </c>
      <c r="Q20" s="562" t="s">
        <v>34</v>
      </c>
      <c r="R20" s="562" t="s">
        <v>34</v>
      </c>
      <c r="S20" s="562" t="s">
        <v>34</v>
      </c>
      <c r="T20" s="562" t="s">
        <v>34</v>
      </c>
      <c r="U20" s="562" t="s">
        <v>34</v>
      </c>
      <c r="V20" s="562" t="s">
        <v>34</v>
      </c>
      <c r="W20" s="562" t="s">
        <v>34</v>
      </c>
      <c r="X20" s="562" t="s">
        <v>34</v>
      </c>
      <c r="Y20" s="562" t="s">
        <v>34</v>
      </c>
      <c r="Z20" s="562" t="s">
        <v>34</v>
      </c>
      <c r="AA20" s="562" t="s">
        <v>34</v>
      </c>
      <c r="AB20" s="562" t="s">
        <v>34</v>
      </c>
      <c r="AC20" s="562" t="s">
        <v>34</v>
      </c>
      <c r="AD20" s="562" t="s">
        <v>34</v>
      </c>
    </row>
    <row r="21" spans="2:30" ht="15" customHeight="1">
      <c r="B21" s="564" t="s">
        <v>4349</v>
      </c>
      <c r="C21" s="562">
        <v>2.2018899344736064E-2</v>
      </c>
      <c r="D21" s="562">
        <v>1.3508672046578891E-2</v>
      </c>
      <c r="E21" s="562">
        <v>4.4527478502882835E-2</v>
      </c>
      <c r="F21" s="562">
        <v>2.2018899344749713E-2</v>
      </c>
      <c r="G21" s="562">
        <v>-4.1877006616897756E-2</v>
      </c>
      <c r="H21" s="562">
        <v>-0.11727362877391666</v>
      </c>
      <c r="I21" s="562">
        <v>4.2274843280185798E-2</v>
      </c>
      <c r="J21" s="562">
        <v>3.7574099411060331E-2</v>
      </c>
      <c r="K21" s="562">
        <v>0.52661165537855292</v>
      </c>
      <c r="L21" s="562">
        <v>0.56897235636573984</v>
      </c>
      <c r="M21" s="562">
        <v>0.45270195448916278</v>
      </c>
      <c r="N21" s="562">
        <v>0.65743902553820366</v>
      </c>
      <c r="O21" s="562">
        <v>0.34690674082960365</v>
      </c>
      <c r="P21" s="562">
        <v>0.57150644389526395</v>
      </c>
      <c r="Q21" s="562">
        <v>1</v>
      </c>
      <c r="R21" s="562" t="s">
        <v>34</v>
      </c>
      <c r="S21" s="562" t="s">
        <v>34</v>
      </c>
      <c r="T21" s="562" t="s">
        <v>34</v>
      </c>
      <c r="U21" s="562" t="s">
        <v>34</v>
      </c>
      <c r="V21" s="562" t="s">
        <v>34</v>
      </c>
      <c r="W21" s="562" t="s">
        <v>34</v>
      </c>
      <c r="X21" s="562" t="s">
        <v>34</v>
      </c>
      <c r="Y21" s="562" t="s">
        <v>34</v>
      </c>
      <c r="Z21" s="562" t="s">
        <v>34</v>
      </c>
      <c r="AA21" s="562" t="s">
        <v>34</v>
      </c>
      <c r="AB21" s="562" t="s">
        <v>34</v>
      </c>
      <c r="AC21" s="562" t="s">
        <v>34</v>
      </c>
      <c r="AD21" s="562" t="s">
        <v>34</v>
      </c>
    </row>
    <row r="22" spans="2:30" ht="15" customHeight="1">
      <c r="B22" s="564" t="s">
        <v>4350</v>
      </c>
      <c r="C22" s="562">
        <v>9.1731667436399184E-2</v>
      </c>
      <c r="D22" s="562">
        <v>4.7432011604439765E-2</v>
      </c>
      <c r="E22" s="562">
        <v>8.4604437615624181E-2</v>
      </c>
      <c r="F22" s="562">
        <v>9.1731667436414269E-2</v>
      </c>
      <c r="G22" s="562">
        <v>2.5260551186048821E-2</v>
      </c>
      <c r="H22" s="562">
        <v>-2.1298516072220722E-2</v>
      </c>
      <c r="I22" s="562">
        <v>0.10038141830544743</v>
      </c>
      <c r="J22" s="562">
        <v>0.10259203146415313</v>
      </c>
      <c r="K22" s="562">
        <v>0.22847772070428865</v>
      </c>
      <c r="L22" s="562">
        <v>0.23892914179496327</v>
      </c>
      <c r="M22" s="562">
        <v>0.12522732253320043</v>
      </c>
      <c r="N22" s="562">
        <v>0.54919957183729873</v>
      </c>
      <c r="O22" s="562">
        <v>0.2817155608340674</v>
      </c>
      <c r="P22" s="562">
        <v>0.51904544317482992</v>
      </c>
      <c r="Q22" s="562">
        <v>0.67479056363648182</v>
      </c>
      <c r="R22" s="562">
        <v>1</v>
      </c>
      <c r="S22" s="562" t="s">
        <v>34</v>
      </c>
      <c r="T22" s="562" t="s">
        <v>34</v>
      </c>
      <c r="U22" s="562" t="s">
        <v>34</v>
      </c>
      <c r="V22" s="562" t="s">
        <v>34</v>
      </c>
      <c r="W22" s="562" t="s">
        <v>34</v>
      </c>
      <c r="X22" s="562" t="s">
        <v>34</v>
      </c>
      <c r="Y22" s="562" t="s">
        <v>34</v>
      </c>
      <c r="Z22" s="562" t="s">
        <v>34</v>
      </c>
      <c r="AA22" s="562" t="s">
        <v>34</v>
      </c>
      <c r="AB22" s="562" t="s">
        <v>34</v>
      </c>
      <c r="AC22" s="562" t="s">
        <v>34</v>
      </c>
      <c r="AD22" s="562" t="s">
        <v>34</v>
      </c>
    </row>
    <row r="23" spans="2:30" ht="15" customHeight="1">
      <c r="B23" s="564" t="s">
        <v>4351</v>
      </c>
      <c r="C23" s="562">
        <v>2.38463170117044E-2</v>
      </c>
      <c r="D23" s="562">
        <v>3.8734254319953911E-3</v>
      </c>
      <c r="E23" s="562">
        <v>1.3814797830601582E-2</v>
      </c>
      <c r="F23" s="562">
        <v>2.3846317011705968E-2</v>
      </c>
      <c r="G23" s="562">
        <v>4.2190471709565136E-2</v>
      </c>
      <c r="H23" s="562">
        <v>3.7686748044543361E-2</v>
      </c>
      <c r="I23" s="562">
        <v>4.7389402482983572E-3</v>
      </c>
      <c r="J23" s="562">
        <v>-9.248207073405966E-4</v>
      </c>
      <c r="K23" s="562">
        <v>-0.14710365061139094</v>
      </c>
      <c r="L23" s="562">
        <v>-0.16416265033468791</v>
      </c>
      <c r="M23" s="562">
        <v>-0.20397472563790295</v>
      </c>
      <c r="N23" s="562">
        <v>0.11466160217096696</v>
      </c>
      <c r="O23" s="562">
        <v>0.32044480128645586</v>
      </c>
      <c r="P23" s="562">
        <v>0.1631028938385323</v>
      </c>
      <c r="Q23" s="562">
        <v>3.8555684027694999E-2</v>
      </c>
      <c r="R23" s="562">
        <v>0.1065090508787986</v>
      </c>
      <c r="S23" s="562">
        <v>1</v>
      </c>
      <c r="T23" s="562" t="s">
        <v>34</v>
      </c>
      <c r="U23" s="562" t="s">
        <v>34</v>
      </c>
      <c r="V23" s="562" t="s">
        <v>34</v>
      </c>
      <c r="W23" s="562" t="s">
        <v>34</v>
      </c>
      <c r="X23" s="562" t="s">
        <v>34</v>
      </c>
      <c r="Y23" s="562" t="s">
        <v>34</v>
      </c>
      <c r="Z23" s="562" t="s">
        <v>34</v>
      </c>
      <c r="AA23" s="562" t="s">
        <v>34</v>
      </c>
      <c r="AB23" s="562" t="s">
        <v>34</v>
      </c>
      <c r="AC23" s="562" t="s">
        <v>34</v>
      </c>
      <c r="AD23" s="562" t="s">
        <v>34</v>
      </c>
    </row>
    <row r="24" spans="2:30" ht="15" customHeight="1">
      <c r="B24" s="564" t="s">
        <v>4352</v>
      </c>
      <c r="C24" s="562">
        <v>2.2018899344736064E-2</v>
      </c>
      <c r="D24" s="562">
        <v>1.3508672046578891E-2</v>
      </c>
      <c r="E24" s="562">
        <v>4.4527478502882835E-2</v>
      </c>
      <c r="F24" s="562">
        <v>2.2018899344749713E-2</v>
      </c>
      <c r="G24" s="562">
        <v>-4.1877006616897756E-2</v>
      </c>
      <c r="H24" s="562">
        <v>-0.11727362877391666</v>
      </c>
      <c r="I24" s="562">
        <v>4.2274843280185798E-2</v>
      </c>
      <c r="J24" s="562">
        <v>3.7574099411060331E-2</v>
      </c>
      <c r="K24" s="562">
        <v>0.52661165537855292</v>
      </c>
      <c r="L24" s="562">
        <v>0.56897235636573984</v>
      </c>
      <c r="M24" s="562">
        <v>0.45270195448916278</v>
      </c>
      <c r="N24" s="562">
        <v>0.65743902553820366</v>
      </c>
      <c r="O24" s="562">
        <v>0.34690674082960365</v>
      </c>
      <c r="P24" s="562">
        <v>0.57150644389526395</v>
      </c>
      <c r="Q24" s="562">
        <v>1</v>
      </c>
      <c r="R24" s="562">
        <v>0.67479056363648204</v>
      </c>
      <c r="S24" s="562">
        <v>3.8555684027694999E-2</v>
      </c>
      <c r="T24" s="562">
        <v>1</v>
      </c>
      <c r="U24" s="562" t="s">
        <v>34</v>
      </c>
      <c r="V24" s="562" t="s">
        <v>34</v>
      </c>
      <c r="W24" s="562" t="s">
        <v>34</v>
      </c>
      <c r="X24" s="562" t="s">
        <v>34</v>
      </c>
      <c r="Y24" s="562" t="s">
        <v>34</v>
      </c>
      <c r="Z24" s="562" t="s">
        <v>34</v>
      </c>
      <c r="AA24" s="562" t="s">
        <v>34</v>
      </c>
      <c r="AB24" s="562" t="s">
        <v>34</v>
      </c>
      <c r="AC24" s="562" t="s">
        <v>34</v>
      </c>
      <c r="AD24" s="562" t="s">
        <v>34</v>
      </c>
    </row>
    <row r="25" spans="2:30" ht="15" customHeight="1">
      <c r="B25" s="564" t="s">
        <v>4353</v>
      </c>
      <c r="C25" s="562">
        <v>1.0489249054570734E-2</v>
      </c>
      <c r="D25" s="562">
        <v>-1.8827825348291659E-2</v>
      </c>
      <c r="E25" s="562">
        <v>1.193780454057531E-2</v>
      </c>
      <c r="F25" s="562">
        <v>1.0489249054580001E-2</v>
      </c>
      <c r="G25" s="562">
        <v>-1.2804741236170954E-2</v>
      </c>
      <c r="H25" s="562">
        <v>-4.5842741238439948E-2</v>
      </c>
      <c r="I25" s="562">
        <v>1.1990395835561055E-2</v>
      </c>
      <c r="J25" s="562">
        <v>4.2509692672037948E-2</v>
      </c>
      <c r="K25" s="562">
        <v>1.8415456012643178E-3</v>
      </c>
      <c r="L25" s="562">
        <v>2.4919113346054665E-3</v>
      </c>
      <c r="M25" s="562">
        <v>5.1272191012757581E-2</v>
      </c>
      <c r="N25" s="562">
        <v>0.37657714606653431</v>
      </c>
      <c r="O25" s="562">
        <v>0.24926602365704162</v>
      </c>
      <c r="P25" s="562">
        <v>0.38017966793341357</v>
      </c>
      <c r="Q25" s="562">
        <v>0.36927284558708801</v>
      </c>
      <c r="R25" s="562">
        <v>0.47410956401084664</v>
      </c>
      <c r="S25" s="562">
        <v>0.14426159361031271</v>
      </c>
      <c r="T25" s="562">
        <v>0.36927284558708801</v>
      </c>
      <c r="U25" s="562">
        <v>1</v>
      </c>
      <c r="V25" s="562" t="s">
        <v>34</v>
      </c>
      <c r="W25" s="562" t="s">
        <v>34</v>
      </c>
      <c r="X25" s="562" t="s">
        <v>34</v>
      </c>
      <c r="Y25" s="562" t="s">
        <v>34</v>
      </c>
      <c r="Z25" s="562" t="s">
        <v>34</v>
      </c>
      <c r="AA25" s="562" t="s">
        <v>34</v>
      </c>
      <c r="AB25" s="562" t="s">
        <v>34</v>
      </c>
      <c r="AC25" s="562" t="s">
        <v>34</v>
      </c>
      <c r="AD25" s="562" t="s">
        <v>34</v>
      </c>
    </row>
    <row r="26" spans="2:30" ht="15">
      <c r="B26" s="559" t="s">
        <v>4354</v>
      </c>
      <c r="C26" s="562">
        <v>4.8262463174911306E-2</v>
      </c>
      <c r="D26" s="562">
        <v>7.4380160341395968E-2</v>
      </c>
      <c r="E26" s="562">
        <v>4.3066220051270775E-2</v>
      </c>
      <c r="F26" s="562">
        <v>4.8262463174887055E-2</v>
      </c>
      <c r="G26" s="562">
        <v>7.3371037227798433E-2</v>
      </c>
      <c r="H26" s="562">
        <v>-1.4133271186317603E-2</v>
      </c>
      <c r="I26" s="562">
        <v>5.3373901077498398E-2</v>
      </c>
      <c r="J26" s="562">
        <v>5.6175326295277009E-2</v>
      </c>
      <c r="K26" s="562">
        <v>0.19512549259204423</v>
      </c>
      <c r="L26" s="562">
        <v>0.24410722412725794</v>
      </c>
      <c r="M26" s="562">
        <v>0.29858458686621003</v>
      </c>
      <c r="N26" s="562">
        <v>0.18021776460414127</v>
      </c>
      <c r="O26" s="562">
        <v>2.1932373868161516E-2</v>
      </c>
      <c r="P26" s="562">
        <v>0.17448292741587776</v>
      </c>
      <c r="Q26" s="562">
        <v>0.35600366754471829</v>
      </c>
      <c r="R26" s="562">
        <v>0.17475367452665488</v>
      </c>
      <c r="S26" s="562">
        <v>1.5462077868791098E-3</v>
      </c>
      <c r="T26" s="562">
        <v>0.35600366754471829</v>
      </c>
      <c r="U26" s="562">
        <v>3.1843618122685519E-2</v>
      </c>
      <c r="V26" s="562">
        <v>1</v>
      </c>
      <c r="W26" s="562" t="s">
        <v>34</v>
      </c>
      <c r="X26" s="562" t="s">
        <v>34</v>
      </c>
      <c r="Y26" s="562" t="s">
        <v>34</v>
      </c>
      <c r="Z26" s="562" t="s">
        <v>34</v>
      </c>
      <c r="AA26" s="562" t="s">
        <v>34</v>
      </c>
      <c r="AB26" s="562" t="s">
        <v>34</v>
      </c>
      <c r="AC26" s="562" t="s">
        <v>34</v>
      </c>
      <c r="AD26" s="562" t="s">
        <v>34</v>
      </c>
    </row>
    <row r="27" spans="2:30" ht="15">
      <c r="B27" s="559" t="s">
        <v>4355</v>
      </c>
      <c r="C27" s="562">
        <v>-1.1079573521803783E-2</v>
      </c>
      <c r="D27" s="562">
        <v>-1.4289018432350534E-2</v>
      </c>
      <c r="E27" s="562">
        <v>2.9920911167437073E-2</v>
      </c>
      <c r="F27" s="562">
        <v>-1.107957352179588E-2</v>
      </c>
      <c r="G27" s="562">
        <v>-3.607912385338756E-2</v>
      </c>
      <c r="H27" s="562">
        <v>-0.11232690351562527</v>
      </c>
      <c r="I27" s="562">
        <v>3.8728240564059289E-3</v>
      </c>
      <c r="J27" s="562">
        <v>-1.003922847980015E-2</v>
      </c>
      <c r="K27" s="562">
        <v>0.51577684280228542</v>
      </c>
      <c r="L27" s="562">
        <v>0.55678247434628625</v>
      </c>
      <c r="M27" s="562">
        <v>0.48091041113293903</v>
      </c>
      <c r="N27" s="562">
        <v>0.5277866190686975</v>
      </c>
      <c r="O27" s="562">
        <v>0.14006310858343995</v>
      </c>
      <c r="P27" s="562">
        <v>0.38001916195267643</v>
      </c>
      <c r="Q27" s="562">
        <v>0.8639309459532768</v>
      </c>
      <c r="R27" s="562">
        <v>0.45247476989575275</v>
      </c>
      <c r="S27" s="562">
        <v>-0.11869690851302532</v>
      </c>
      <c r="T27" s="562">
        <v>0.8639309459532768</v>
      </c>
      <c r="U27" s="562">
        <v>0.22445088621858209</v>
      </c>
      <c r="V27" s="562">
        <v>0.27027647428294221</v>
      </c>
      <c r="W27" s="562">
        <v>1</v>
      </c>
      <c r="X27" s="562" t="s">
        <v>34</v>
      </c>
      <c r="Y27" s="562" t="s">
        <v>34</v>
      </c>
      <c r="Z27" s="562" t="s">
        <v>34</v>
      </c>
      <c r="AA27" s="562" t="s">
        <v>34</v>
      </c>
      <c r="AB27" s="562" t="s">
        <v>34</v>
      </c>
      <c r="AC27" s="562" t="s">
        <v>34</v>
      </c>
      <c r="AD27" s="562" t="s">
        <v>34</v>
      </c>
    </row>
    <row r="28" spans="2:30" ht="15">
      <c r="B28" s="559" t="s">
        <v>4356</v>
      </c>
      <c r="C28" s="562">
        <v>-2.7447174702042956E-2</v>
      </c>
      <c r="D28" s="562">
        <v>-9.4081667217616773E-3</v>
      </c>
      <c r="E28" s="562">
        <v>1.5065432915589772E-3</v>
      </c>
      <c r="F28" s="562">
        <v>-2.7447174702039397E-2</v>
      </c>
      <c r="G28" s="562">
        <v>-9.784241924025449E-3</v>
      </c>
      <c r="H28" s="562">
        <v>-9.2047198354301071E-2</v>
      </c>
      <c r="I28" s="562">
        <v>-1.9903757879080074E-2</v>
      </c>
      <c r="J28" s="562">
        <v>-2.9011064081304973E-2</v>
      </c>
      <c r="K28" s="562">
        <v>0.51044926093368326</v>
      </c>
      <c r="L28" s="562">
        <v>0.54256799438708525</v>
      </c>
      <c r="M28" s="562">
        <v>0.49906387502701882</v>
      </c>
      <c r="N28" s="562">
        <v>0.49194509201161285</v>
      </c>
      <c r="O28" s="562">
        <v>0.14176566578201219</v>
      </c>
      <c r="P28" s="562">
        <v>0.40166841126489833</v>
      </c>
      <c r="Q28" s="562">
        <v>0.86792251160784284</v>
      </c>
      <c r="R28" s="562">
        <v>0.44406620630356047</v>
      </c>
      <c r="S28" s="562">
        <v>-5.7076501582897524E-2</v>
      </c>
      <c r="T28" s="562">
        <v>0.86792251160784284</v>
      </c>
      <c r="U28" s="562">
        <v>0.19001461291270441</v>
      </c>
      <c r="V28" s="562">
        <v>0.366967852644908</v>
      </c>
      <c r="W28" s="562">
        <v>0.93749195480926817</v>
      </c>
      <c r="X28" s="562">
        <v>1</v>
      </c>
      <c r="Y28" s="562" t="s">
        <v>34</v>
      </c>
      <c r="Z28" s="562" t="s">
        <v>34</v>
      </c>
      <c r="AA28" s="562" t="s">
        <v>34</v>
      </c>
      <c r="AB28" s="562" t="s">
        <v>34</v>
      </c>
      <c r="AC28" s="562" t="s">
        <v>34</v>
      </c>
      <c r="AD28" s="562" t="s">
        <v>34</v>
      </c>
    </row>
    <row r="29" spans="2:30" ht="15">
      <c r="B29" s="559" t="s">
        <v>4357</v>
      </c>
      <c r="C29" s="562">
        <v>-2.3630142381169367E-2</v>
      </c>
      <c r="D29" s="562">
        <v>-6.2991664237825803E-3</v>
      </c>
      <c r="E29" s="562">
        <v>1.8927319149053445E-2</v>
      </c>
      <c r="F29" s="562">
        <v>-2.3630142381160586E-2</v>
      </c>
      <c r="G29" s="562">
        <v>-2.9588980194690574E-2</v>
      </c>
      <c r="H29" s="562">
        <v>-0.10292372459446004</v>
      </c>
      <c r="I29" s="562">
        <v>-1.6815418826885618E-2</v>
      </c>
      <c r="J29" s="562">
        <v>-3.1138831000431431E-2</v>
      </c>
      <c r="K29" s="562">
        <v>0.50741729472808561</v>
      </c>
      <c r="L29" s="562">
        <v>0.54528733177476796</v>
      </c>
      <c r="M29" s="562">
        <v>0.47728715216442674</v>
      </c>
      <c r="N29" s="562">
        <v>0.52321444834337161</v>
      </c>
      <c r="O29" s="562">
        <v>0.13695304135157121</v>
      </c>
      <c r="P29" s="562">
        <v>0.39313315185686543</v>
      </c>
      <c r="Q29" s="562">
        <v>0.86516723402134621</v>
      </c>
      <c r="R29" s="562">
        <v>0.46279002490281634</v>
      </c>
      <c r="S29" s="562">
        <v>-0.10324143620921211</v>
      </c>
      <c r="T29" s="562">
        <v>0.86516723402134621</v>
      </c>
      <c r="U29" s="562">
        <v>0.23475721444320349</v>
      </c>
      <c r="V29" s="562">
        <v>0.3217714237087716</v>
      </c>
      <c r="W29" s="562">
        <v>0.97111267215483232</v>
      </c>
      <c r="X29" s="562">
        <v>0.9473952584351113</v>
      </c>
      <c r="Y29" s="562">
        <v>1</v>
      </c>
      <c r="Z29" s="562" t="s">
        <v>34</v>
      </c>
      <c r="AA29" s="562" t="s">
        <v>34</v>
      </c>
      <c r="AB29" s="562" t="s">
        <v>34</v>
      </c>
      <c r="AC29" s="562" t="s">
        <v>34</v>
      </c>
      <c r="AD29" s="562" t="s">
        <v>34</v>
      </c>
    </row>
    <row r="30" spans="2:30" ht="15">
      <c r="B30" s="559" t="s">
        <v>4358</v>
      </c>
      <c r="C30" s="562">
        <v>8.1988241310539511E-3</v>
      </c>
      <c r="D30" s="562">
        <v>2.0394482595023314E-2</v>
      </c>
      <c r="E30" s="562">
        <v>3.8961302756253695E-2</v>
      </c>
      <c r="F30" s="562">
        <v>8.1988241310567735E-3</v>
      </c>
      <c r="G30" s="562">
        <v>-5.461365389311891E-3</v>
      </c>
      <c r="H30" s="562">
        <v>-7.7866352154009416E-2</v>
      </c>
      <c r="I30" s="562">
        <v>2.5796858146489493E-2</v>
      </c>
      <c r="J30" s="562">
        <v>1.5120603376163879E-2</v>
      </c>
      <c r="K30" s="562">
        <v>0.48328502630613479</v>
      </c>
      <c r="L30" s="562">
        <v>0.50162708118349109</v>
      </c>
      <c r="M30" s="562">
        <v>0.49752919742536128</v>
      </c>
      <c r="N30" s="562">
        <v>0.47753166440697298</v>
      </c>
      <c r="O30" s="562">
        <v>0.14166821736989635</v>
      </c>
      <c r="P30" s="562">
        <v>0.34453509154771716</v>
      </c>
      <c r="Q30" s="562">
        <v>0.80202825928706611</v>
      </c>
      <c r="R30" s="562">
        <v>0.44519699144662578</v>
      </c>
      <c r="S30" s="562">
        <v>-5.3918260246923637E-2</v>
      </c>
      <c r="T30" s="562">
        <v>0.80202825928706611</v>
      </c>
      <c r="U30" s="562">
        <v>0.21278637388466348</v>
      </c>
      <c r="V30" s="562">
        <v>0.38482191709829633</v>
      </c>
      <c r="W30" s="562">
        <v>0.82632695822919955</v>
      </c>
      <c r="X30" s="562">
        <v>0.84944170654080786</v>
      </c>
      <c r="Y30" s="562">
        <v>0.84377879082134144</v>
      </c>
      <c r="Z30" s="562">
        <v>1</v>
      </c>
      <c r="AA30" s="562" t="s">
        <v>34</v>
      </c>
      <c r="AB30" s="562" t="s">
        <v>34</v>
      </c>
      <c r="AC30" s="562" t="s">
        <v>34</v>
      </c>
      <c r="AD30" s="562" t="s">
        <v>34</v>
      </c>
    </row>
    <row r="31" spans="2:30" ht="15">
      <c r="B31" s="559" t="s">
        <v>4359</v>
      </c>
      <c r="C31" s="562">
        <v>-1.4444947423850364E-2</v>
      </c>
      <c r="D31" s="562">
        <v>-1.3345151330660636E-2</v>
      </c>
      <c r="E31" s="562">
        <v>2.5980139913933113E-2</v>
      </c>
      <c r="F31" s="562">
        <v>-1.4444947423843918E-2</v>
      </c>
      <c r="G31" s="562">
        <v>-4.002370460520651E-2</v>
      </c>
      <c r="H31" s="562">
        <v>-0.11945165471974258</v>
      </c>
      <c r="I31" s="562">
        <v>9.81705305625616E-4</v>
      </c>
      <c r="J31" s="562">
        <v>2.296321364123524E-4</v>
      </c>
      <c r="K31" s="562">
        <v>0.50345781286273572</v>
      </c>
      <c r="L31" s="562">
        <v>0.54950074225654855</v>
      </c>
      <c r="M31" s="562">
        <v>0.51020896615929623</v>
      </c>
      <c r="N31" s="562">
        <v>0.54610398714278197</v>
      </c>
      <c r="O31" s="562">
        <v>0.11665321436059635</v>
      </c>
      <c r="P31" s="562">
        <v>0.36717770596999155</v>
      </c>
      <c r="Q31" s="562">
        <v>0.88147803586821927</v>
      </c>
      <c r="R31" s="562">
        <v>0.50590662180608836</v>
      </c>
      <c r="S31" s="562">
        <v>-0.11456466636326099</v>
      </c>
      <c r="T31" s="562">
        <v>0.88147803586821927</v>
      </c>
      <c r="U31" s="562">
        <v>0.19364986906575579</v>
      </c>
      <c r="V31" s="562">
        <v>0.33788222308941668</v>
      </c>
      <c r="W31" s="562">
        <v>0.93706160790858362</v>
      </c>
      <c r="X31" s="562">
        <v>0.92083556535399413</v>
      </c>
      <c r="Y31" s="562">
        <v>0.92769426328068449</v>
      </c>
      <c r="Z31" s="562">
        <v>0.83625246984599844</v>
      </c>
      <c r="AA31" s="562">
        <v>1</v>
      </c>
      <c r="AB31" s="562" t="s">
        <v>34</v>
      </c>
      <c r="AC31" s="562" t="s">
        <v>34</v>
      </c>
      <c r="AD31" s="562" t="s">
        <v>34</v>
      </c>
    </row>
    <row r="32" spans="2:30" ht="15">
      <c r="B32" s="559" t="s">
        <v>4360</v>
      </c>
      <c r="C32" s="562">
        <v>-6.3543125922759158E-3</v>
      </c>
      <c r="D32" s="562">
        <v>-1.9795728125515583E-2</v>
      </c>
      <c r="E32" s="562">
        <v>2.2599881789160482E-2</v>
      </c>
      <c r="F32" s="562">
        <v>-6.3543125922717065E-3</v>
      </c>
      <c r="G32" s="562">
        <v>-3.747210945149073E-2</v>
      </c>
      <c r="H32" s="562">
        <v>-0.11359843757285895</v>
      </c>
      <c r="I32" s="562">
        <v>3.9597086431982509E-3</v>
      </c>
      <c r="J32" s="562">
        <v>2.0624201334695192E-4</v>
      </c>
      <c r="K32" s="562">
        <v>0.47866951452388001</v>
      </c>
      <c r="L32" s="562">
        <v>0.53163443644682018</v>
      </c>
      <c r="M32" s="562">
        <v>0.45043859710981837</v>
      </c>
      <c r="N32" s="562">
        <v>0.51199586827802912</v>
      </c>
      <c r="O32" s="562">
        <v>0.17240659031699596</v>
      </c>
      <c r="P32" s="562">
        <v>0.35649858251574218</v>
      </c>
      <c r="Q32" s="562">
        <v>0.82865095104045372</v>
      </c>
      <c r="R32" s="562">
        <v>0.43346352902839597</v>
      </c>
      <c r="S32" s="562">
        <v>-0.12032435566410099</v>
      </c>
      <c r="T32" s="562">
        <v>0.82865095104045372</v>
      </c>
      <c r="U32" s="562">
        <v>0.2269924932185115</v>
      </c>
      <c r="V32" s="562">
        <v>0.33280086216650157</v>
      </c>
      <c r="W32" s="562">
        <v>0.91125291038174716</v>
      </c>
      <c r="X32" s="562">
        <v>0.87710313272118445</v>
      </c>
      <c r="Y32" s="562">
        <v>0.90358746255316091</v>
      </c>
      <c r="Z32" s="562">
        <v>0.77721761667311706</v>
      </c>
      <c r="AA32" s="562">
        <v>0.87702737231837669</v>
      </c>
      <c r="AB32" s="562">
        <v>1</v>
      </c>
      <c r="AC32" s="562" t="s">
        <v>34</v>
      </c>
      <c r="AD32" s="562" t="s">
        <v>34</v>
      </c>
    </row>
    <row r="33" spans="2:30" ht="15">
      <c r="B33" s="559" t="s">
        <v>4361</v>
      </c>
      <c r="C33" s="562">
        <v>9.0090156236269422E-3</v>
      </c>
      <c r="D33" s="562">
        <v>-2.658706943641734E-3</v>
      </c>
      <c r="E33" s="562">
        <v>4.4498174805121589E-2</v>
      </c>
      <c r="F33" s="562">
        <v>9.0090156236243765E-3</v>
      </c>
      <c r="G33" s="562">
        <v>-2.9085480598363415E-2</v>
      </c>
      <c r="H33" s="562">
        <v>-0.10184905924893183</v>
      </c>
      <c r="I33" s="562">
        <v>3.5628985394590355E-2</v>
      </c>
      <c r="J33" s="562">
        <v>1.8558499999980004E-2</v>
      </c>
      <c r="K33" s="562">
        <v>0.4874015371310359</v>
      </c>
      <c r="L33" s="562">
        <v>0.52487643599942635</v>
      </c>
      <c r="M33" s="562">
        <v>0.43909417784898069</v>
      </c>
      <c r="N33" s="562">
        <v>0.51459410492349245</v>
      </c>
      <c r="O33" s="562">
        <v>0.16446770903197247</v>
      </c>
      <c r="P33" s="562">
        <v>0.38198028587374488</v>
      </c>
      <c r="Q33" s="562">
        <v>0.8552021717154582</v>
      </c>
      <c r="R33" s="562">
        <v>0.47708729491662344</v>
      </c>
      <c r="S33" s="562">
        <v>-9.464543912499275E-2</v>
      </c>
      <c r="T33" s="562">
        <v>0.8552021717154582</v>
      </c>
      <c r="U33" s="562">
        <v>0.19610997371086927</v>
      </c>
      <c r="V33" s="562">
        <v>0.38355893563671362</v>
      </c>
      <c r="W33" s="562">
        <v>0.89511273749762177</v>
      </c>
      <c r="X33" s="562">
        <v>0.88262677228672037</v>
      </c>
      <c r="Y33" s="562">
        <v>0.89281212265507592</v>
      </c>
      <c r="Z33" s="562">
        <v>0.84524389313719894</v>
      </c>
      <c r="AA33" s="562">
        <v>0.87500897979860914</v>
      </c>
      <c r="AB33" s="562">
        <v>0.86456653732998201</v>
      </c>
      <c r="AC33" s="562">
        <v>1</v>
      </c>
      <c r="AD33" s="562" t="s">
        <v>34</v>
      </c>
    </row>
    <row r="34" spans="2:30" ht="15">
      <c r="B34" s="559" t="s">
        <v>4362</v>
      </c>
      <c r="C34" s="562">
        <v>-5.4753678357224451E-2</v>
      </c>
      <c r="D34" s="562">
        <v>-0.12191877468866133</v>
      </c>
      <c r="E34" s="562">
        <v>-6.4279994344174279E-2</v>
      </c>
      <c r="F34" s="562">
        <v>-5.4753678357235477E-2</v>
      </c>
      <c r="G34" s="562">
        <v>-5.6589921974046394E-2</v>
      </c>
      <c r="H34" s="562">
        <v>-9.7967948289331919E-2</v>
      </c>
      <c r="I34" s="562">
        <v>-6.9823137451647296E-2</v>
      </c>
      <c r="J34" s="562">
        <v>-5.9903061921595842E-2</v>
      </c>
      <c r="K34" s="562">
        <v>4.6736366714891925E-3</v>
      </c>
      <c r="L34" s="562">
        <v>7.7762977563779659E-2</v>
      </c>
      <c r="M34" s="562">
        <v>0.32850286018376157</v>
      </c>
      <c r="N34" s="562">
        <v>0.27470436860780195</v>
      </c>
      <c r="O34" s="562">
        <v>7.3334983545667642E-2</v>
      </c>
      <c r="P34" s="562">
        <v>0.11895165401239882</v>
      </c>
      <c r="Q34" s="562">
        <v>0.3228835133451059</v>
      </c>
      <c r="R34" s="562">
        <v>0.25961555210264986</v>
      </c>
      <c r="S34" s="562">
        <v>7.6229690469299269E-2</v>
      </c>
      <c r="T34" s="562">
        <v>0.3228835133451059</v>
      </c>
      <c r="U34" s="562">
        <v>0.14367004116193788</v>
      </c>
      <c r="V34" s="562">
        <v>0.16770234088506369</v>
      </c>
      <c r="W34" s="562">
        <v>0.297632545167756</v>
      </c>
      <c r="X34" s="562">
        <v>0.30348287608179364</v>
      </c>
      <c r="Y34" s="562">
        <v>0.29510879830558084</v>
      </c>
      <c r="Z34" s="562">
        <v>0.27512401197851666</v>
      </c>
      <c r="AA34" s="562">
        <v>0.32640062910921852</v>
      </c>
      <c r="AB34" s="562">
        <v>0.31470865730030029</v>
      </c>
      <c r="AC34" s="562">
        <v>0.2499410427663761</v>
      </c>
      <c r="AD34" s="562">
        <v>1</v>
      </c>
    </row>
  </sheetData>
  <conditionalFormatting sqref="B7:B34">
    <cfRule type="expression" dxfId="1118" priority="17">
      <formula>B7=""</formula>
    </cfRule>
  </conditionalFormatting>
  <conditionalFormatting sqref="C6:AD6">
    <cfRule type="expression" dxfId="1117" priority="18">
      <formula>C6=""</formula>
    </cfRule>
  </conditionalFormatting>
  <conditionalFormatting sqref="C7:AD34">
    <cfRule type="expression" dxfId="1116" priority="7935">
      <formula>C7=""</formula>
    </cfRule>
    <cfRule type="expression" dxfId="1115" priority="7936">
      <formula>AND(C7="-", $B7&lt;&gt;"", C$5&lt;&gt;"")</formula>
    </cfRule>
    <cfRule type="expression" dxfId="1114" priority="7937">
      <formula>AND(C7&lt;&gt;"",COLUMN(C7)=(ROW(C7)-(ROW($B$7)-COLUMN($C$5))))</formula>
    </cfRule>
    <cfRule type="colorScale" priority="7938">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16/11/2022</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C45"/>
  <sheetViews>
    <sheetView showGridLines="0" showRowColHeaders="0" zoomScale="80" zoomScaleNormal="80" workbookViewId="0"/>
  </sheetViews>
  <sheetFormatPr defaultColWidth="10.69921875" defaultRowHeight="18.75"/>
  <cols>
    <col min="1" max="1" width="3.296875" style="239" customWidth="1"/>
    <col min="2" max="2" width="16.3984375" style="29" customWidth="1"/>
    <col min="3" max="3" width="7.5" style="29" customWidth="1"/>
    <col min="4" max="4" width="7.796875" style="80" customWidth="1"/>
    <col min="5" max="5" width="6.59765625" style="80" customWidth="1"/>
    <col min="6" max="6" width="7.796875" style="29" customWidth="1"/>
    <col min="7" max="7" width="6.59765625" style="29" customWidth="1"/>
    <col min="8" max="8" width="7.796875" style="29" customWidth="1"/>
    <col min="9" max="9" width="7.796875" style="80" customWidth="1"/>
    <col min="10" max="10" width="6.59765625" style="80" customWidth="1"/>
    <col min="11" max="11" width="7.796875" style="80" customWidth="1"/>
    <col min="12" max="12" width="6.59765625" style="80" customWidth="1"/>
    <col min="13" max="13" width="7.796875" style="29" customWidth="1"/>
    <col min="14" max="14" width="7.796875" style="80" customWidth="1"/>
    <col min="15" max="15" width="6.59765625" style="80" customWidth="1"/>
    <col min="16" max="16" width="7.796875" style="80" customWidth="1"/>
    <col min="17" max="17" width="6.59765625" style="80" customWidth="1"/>
    <col min="18" max="18" width="7.796875" style="29" customWidth="1"/>
    <col min="19" max="19" width="7.796875" style="80" customWidth="1"/>
    <col min="20" max="20" width="6.59765625" style="80" customWidth="1"/>
    <col min="21" max="21" width="7.796875" style="80" customWidth="1"/>
    <col min="22" max="22" width="6.59765625" style="80" customWidth="1"/>
    <col min="23" max="23" width="7.796875" style="29" customWidth="1"/>
    <col min="24" max="24" width="7.796875" style="80" customWidth="1"/>
    <col min="25" max="25" width="6.59765625" style="80" customWidth="1"/>
    <col min="26" max="26" width="7.796875" style="80" customWidth="1"/>
    <col min="27" max="27" width="6.59765625" style="80" customWidth="1"/>
    <col min="28" max="28" width="7.796875" style="80" customWidth="1"/>
    <col min="29" max="29" width="18.09765625" style="29" customWidth="1"/>
    <col min="30" max="16384" width="10.69921875" style="29"/>
  </cols>
  <sheetData>
    <row r="1" spans="1:29" ht="5.0999999999999996" customHeight="1">
      <c r="A1" s="210"/>
      <c r="B1" s="2"/>
      <c r="C1" s="2"/>
      <c r="D1" s="28"/>
      <c r="E1" s="28"/>
      <c r="F1" s="2"/>
      <c r="G1" s="2"/>
      <c r="H1" s="2"/>
      <c r="I1" s="28"/>
      <c r="J1" s="28"/>
      <c r="K1" s="28"/>
      <c r="L1" s="28"/>
      <c r="M1" s="2"/>
      <c r="N1" s="28"/>
      <c r="O1" s="28"/>
      <c r="P1" s="28"/>
      <c r="Q1" s="28"/>
      <c r="R1" s="2"/>
      <c r="S1" s="28"/>
      <c r="T1" s="28"/>
      <c r="U1" s="28"/>
      <c r="V1" s="28"/>
      <c r="W1" s="2"/>
      <c r="X1" s="28"/>
      <c r="Y1" s="28"/>
      <c r="Z1" s="28"/>
      <c r="AA1" s="28"/>
      <c r="AB1" s="28"/>
      <c r="AC1" s="2"/>
    </row>
    <row r="2" spans="1:29" ht="15" customHeight="1">
      <c r="A2" s="210"/>
      <c r="B2" s="2"/>
      <c r="C2" s="2"/>
      <c r="D2" s="28"/>
      <c r="E2" s="28"/>
      <c r="F2" s="2"/>
      <c r="G2" s="2"/>
      <c r="H2" s="2"/>
      <c r="I2" s="28"/>
      <c r="J2" s="28"/>
      <c r="K2" s="28"/>
      <c r="L2" s="28"/>
      <c r="M2" s="2"/>
      <c r="N2" s="28"/>
      <c r="O2" s="28"/>
      <c r="P2" s="28"/>
      <c r="Q2" s="28"/>
      <c r="R2" s="2"/>
      <c r="S2" s="28"/>
      <c r="T2" s="28"/>
      <c r="U2" s="28"/>
      <c r="V2" s="28"/>
      <c r="W2" s="2"/>
      <c r="X2" s="28"/>
      <c r="Y2" s="28"/>
      <c r="Z2" s="28"/>
      <c r="AA2" s="28"/>
      <c r="AB2" s="28"/>
      <c r="AC2" s="2"/>
    </row>
    <row r="3" spans="1:29" ht="30.75">
      <c r="A3" s="211"/>
      <c r="B3" s="31" t="s">
        <v>638</v>
      </c>
      <c r="C3" s="31"/>
      <c r="D3" s="33"/>
      <c r="E3" s="33"/>
      <c r="F3" s="8"/>
      <c r="G3" s="8"/>
      <c r="H3" s="8"/>
      <c r="I3" s="33"/>
      <c r="J3" s="33"/>
      <c r="K3" s="33"/>
      <c r="L3" s="33"/>
      <c r="M3" s="8"/>
      <c r="N3" s="33"/>
      <c r="O3" s="33"/>
      <c r="P3" s="33"/>
      <c r="Q3" s="33"/>
      <c r="R3" s="8"/>
      <c r="S3" s="33"/>
      <c r="T3" s="33"/>
      <c r="U3" s="33"/>
      <c r="V3" s="33"/>
      <c r="W3" s="8"/>
      <c r="X3" s="33"/>
      <c r="Y3" s="33"/>
      <c r="Z3" s="33"/>
      <c r="AA3" s="33"/>
      <c r="AB3" s="33"/>
      <c r="AC3" s="8"/>
    </row>
    <row r="4" spans="1:29" ht="5.25" customHeight="1">
      <c r="A4" s="211"/>
      <c r="B4" s="8"/>
      <c r="C4" s="8"/>
      <c r="D4" s="34"/>
      <c r="E4" s="34"/>
      <c r="F4" s="35"/>
      <c r="G4" s="35"/>
      <c r="H4" s="35"/>
      <c r="I4" s="34"/>
      <c r="J4" s="34"/>
      <c r="K4" s="34"/>
      <c r="L4" s="34"/>
      <c r="M4" s="35"/>
      <c r="N4" s="34"/>
      <c r="O4" s="34"/>
      <c r="P4" s="34"/>
      <c r="Q4" s="34"/>
      <c r="R4" s="35"/>
      <c r="S4" s="34"/>
      <c r="T4" s="34"/>
      <c r="U4" s="34"/>
      <c r="V4" s="34"/>
      <c r="W4" s="35"/>
      <c r="X4" s="34"/>
      <c r="Y4" s="34"/>
      <c r="Z4" s="34"/>
      <c r="AA4" s="34"/>
      <c r="AB4" s="34"/>
      <c r="AC4" s="8"/>
    </row>
    <row r="5" spans="1:29" s="38" customFormat="1" ht="33" customHeight="1">
      <c r="A5" s="212"/>
      <c r="B5" s="1040"/>
      <c r="C5" s="1040"/>
      <c r="D5" s="1038" t="s">
        <v>639</v>
      </c>
      <c r="E5" s="1039"/>
      <c r="F5" s="1039"/>
      <c r="G5" s="1039"/>
      <c r="H5" s="1041"/>
      <c r="I5" s="1039" t="s">
        <v>643</v>
      </c>
      <c r="J5" s="1039"/>
      <c r="K5" s="1039"/>
      <c r="L5" s="1039"/>
      <c r="M5" s="1039"/>
      <c r="N5" s="1038" t="s">
        <v>640</v>
      </c>
      <c r="O5" s="1039"/>
      <c r="P5" s="1039"/>
      <c r="Q5" s="1039"/>
      <c r="R5" s="1041"/>
      <c r="S5" s="1039" t="s">
        <v>641</v>
      </c>
      <c r="T5" s="1039"/>
      <c r="U5" s="1039"/>
      <c r="V5" s="1039"/>
      <c r="W5" s="1039"/>
      <c r="X5" s="1038" t="s">
        <v>642</v>
      </c>
      <c r="Y5" s="1039"/>
      <c r="Z5" s="1039"/>
      <c r="AA5" s="1039"/>
      <c r="AB5" s="1039"/>
      <c r="AC5" s="37"/>
    </row>
    <row r="6" spans="1:29" s="38" customFormat="1" ht="5.25" customHeight="1">
      <c r="A6" s="213"/>
      <c r="B6" s="1040"/>
      <c r="C6" s="1040"/>
      <c r="D6" s="40"/>
      <c r="E6" s="42"/>
      <c r="F6" s="43"/>
      <c r="G6" s="43"/>
      <c r="H6" s="41"/>
      <c r="I6" s="42"/>
      <c r="J6" s="42"/>
      <c r="K6" s="42"/>
      <c r="L6" s="42"/>
      <c r="M6" s="43"/>
      <c r="N6" s="40"/>
      <c r="O6" s="42"/>
      <c r="P6" s="42"/>
      <c r="Q6" s="42"/>
      <c r="R6" s="41"/>
      <c r="S6" s="42"/>
      <c r="T6" s="42"/>
      <c r="U6" s="42"/>
      <c r="V6" s="42"/>
      <c r="W6" s="43"/>
      <c r="X6" s="40"/>
      <c r="Y6" s="42"/>
      <c r="Z6" s="42"/>
      <c r="AA6" s="42"/>
      <c r="AB6" s="43"/>
      <c r="AC6" s="61"/>
    </row>
    <row r="7" spans="1:29" s="220" customFormat="1" ht="19.5" customHeight="1" thickBot="1">
      <c r="A7" s="214"/>
      <c r="B7" s="1040"/>
      <c r="C7" s="1040"/>
      <c r="D7" s="215" t="s">
        <v>1401</v>
      </c>
      <c r="E7" s="216" t="s">
        <v>1402</v>
      </c>
      <c r="F7" s="217" t="s">
        <v>1339</v>
      </c>
      <c r="G7" s="217" t="s">
        <v>1403</v>
      </c>
      <c r="H7" s="218" t="s">
        <v>1404</v>
      </c>
      <c r="I7" s="215" t="s">
        <v>1401</v>
      </c>
      <c r="J7" s="216" t="s">
        <v>1402</v>
      </c>
      <c r="K7" s="217" t="s">
        <v>1339</v>
      </c>
      <c r="L7" s="217" t="s">
        <v>1403</v>
      </c>
      <c r="M7" s="218" t="s">
        <v>1404</v>
      </c>
      <c r="N7" s="215" t="s">
        <v>1401</v>
      </c>
      <c r="O7" s="216" t="s">
        <v>1402</v>
      </c>
      <c r="P7" s="217" t="s">
        <v>1339</v>
      </c>
      <c r="Q7" s="217" t="s">
        <v>1403</v>
      </c>
      <c r="R7" s="218" t="s">
        <v>1404</v>
      </c>
      <c r="S7" s="215" t="s">
        <v>1401</v>
      </c>
      <c r="T7" s="216" t="s">
        <v>1402</v>
      </c>
      <c r="U7" s="217" t="s">
        <v>1339</v>
      </c>
      <c r="V7" s="217" t="s">
        <v>1403</v>
      </c>
      <c r="W7" s="218" t="s">
        <v>1404</v>
      </c>
      <c r="X7" s="215" t="s">
        <v>1401</v>
      </c>
      <c r="Y7" s="216" t="s">
        <v>1402</v>
      </c>
      <c r="Z7" s="217" t="s">
        <v>1339</v>
      </c>
      <c r="AA7" s="217" t="s">
        <v>1403</v>
      </c>
      <c r="AB7" s="219" t="s">
        <v>1404</v>
      </c>
    </row>
    <row r="8" spans="1:29" s="48" customFormat="1" ht="20.25" thickTop="1" thickBot="1">
      <c r="A8" s="221"/>
      <c r="B8" s="47" t="s">
        <v>11</v>
      </c>
      <c r="C8" s="47"/>
      <c r="D8" s="222">
        <v>0.85</v>
      </c>
      <c r="E8" s="223">
        <v>0.92500000000000004</v>
      </c>
      <c r="F8" s="224">
        <f>F9+F10+F11+F12</f>
        <v>1</v>
      </c>
      <c r="G8" s="223">
        <v>1</v>
      </c>
      <c r="H8" s="223">
        <v>1</v>
      </c>
      <c r="I8" s="222">
        <v>0.73</v>
      </c>
      <c r="J8" s="223">
        <v>0.79</v>
      </c>
      <c r="K8" s="224">
        <f>K9+K10+K11+K12</f>
        <v>0.85</v>
      </c>
      <c r="L8" s="223">
        <v>0.91</v>
      </c>
      <c r="M8" s="223">
        <v>0.97</v>
      </c>
      <c r="N8" s="222">
        <v>0.55000000000000004</v>
      </c>
      <c r="O8" s="223">
        <v>0.625</v>
      </c>
      <c r="P8" s="224">
        <f>P9+P10+P11+P12</f>
        <v>0.7</v>
      </c>
      <c r="Q8" s="223">
        <v>0.77500000000000002</v>
      </c>
      <c r="R8" s="223">
        <v>0.85</v>
      </c>
      <c r="S8" s="222">
        <v>0.35000000000000003</v>
      </c>
      <c r="T8" s="223">
        <v>0.42499999999999999</v>
      </c>
      <c r="U8" s="224">
        <f>U9+U10+U11+U12</f>
        <v>0.5</v>
      </c>
      <c r="V8" s="223">
        <v>0.57500000000000007</v>
      </c>
      <c r="W8" s="223">
        <v>0.65</v>
      </c>
      <c r="X8" s="222">
        <v>0.15</v>
      </c>
      <c r="Y8" s="223">
        <v>0.22500000000000001</v>
      </c>
      <c r="Z8" s="224">
        <f>Z9+Z10+Z11+Z12</f>
        <v>0.3</v>
      </c>
      <c r="AA8" s="223">
        <v>0.4</v>
      </c>
      <c r="AB8" s="223">
        <v>0.5</v>
      </c>
    </row>
    <row r="9" spans="1:29" s="48" customFormat="1" ht="20.25" thickTop="1" thickBot="1">
      <c r="A9" s="225"/>
      <c r="B9" s="50" t="s">
        <v>620</v>
      </c>
      <c r="C9" s="50" t="s">
        <v>637</v>
      </c>
      <c r="D9" s="226">
        <v>0.82</v>
      </c>
      <c r="E9" s="227">
        <v>0.83499999999999996</v>
      </c>
      <c r="F9" s="228" cm="1">
        <f t="array" ref="F9">SUM(IF(IF(IF(Tbl_AssetAllocation[TipoPerfil]="ESTRUTURAL", Tbl_AssetAllocation[Perfil])=UPPER(D$5), Tbl_AssetAllocation[Ativo])=SUBSTITUTE($C9,"&amp;", ""),Tbl_AssetAllocation[Peso],0))</f>
        <v>0.85</v>
      </c>
      <c r="G9" s="227">
        <v>0.93</v>
      </c>
      <c r="H9" s="229">
        <v>0.96</v>
      </c>
      <c r="I9" s="226">
        <v>0.6</v>
      </c>
      <c r="J9" s="227">
        <v>0.65</v>
      </c>
      <c r="K9" s="228" cm="1">
        <f t="array" ref="K9">SUM(IF(IF(IF(Tbl_AssetAllocation[TipoPerfil]="ESTRUTURAL", Tbl_AssetAllocation[Perfil])=UPPER(I$5), Tbl_AssetAllocation[Ativo])=SUBSTITUTE($C9,"&amp;", ""),Tbl_AssetAllocation[Peso],0))</f>
        <v>0.7</v>
      </c>
      <c r="L9" s="227">
        <v>0.77500000000000002</v>
      </c>
      <c r="M9" s="229">
        <v>0.85</v>
      </c>
      <c r="N9" s="226">
        <v>0.45</v>
      </c>
      <c r="O9" s="227">
        <v>0.52500000000000002</v>
      </c>
      <c r="P9" s="228" cm="1">
        <f t="array" ref="P9">SUM(IF(IF(IF(Tbl_AssetAllocation[TipoPerfil]="ESTRUTURAL", Tbl_AssetAllocation[Perfil])=UPPER(N$5), Tbl_AssetAllocation[Ativo])=SUBSTITUTE($C9,"&amp;", ""),Tbl_AssetAllocation[Peso],0))</f>
        <v>0.6</v>
      </c>
      <c r="Q9" s="227">
        <v>0.67500000000000004</v>
      </c>
      <c r="R9" s="229">
        <v>0.75</v>
      </c>
      <c r="S9" s="226">
        <v>0.15</v>
      </c>
      <c r="T9" s="227">
        <v>0.22500000000000001</v>
      </c>
      <c r="U9" s="228" cm="1">
        <f t="array" ref="U9">SUM(IF(IF(IF(Tbl_AssetAllocation[TipoPerfil]="ESTRUTURAL", Tbl_AssetAllocation[Perfil])=UPPER(S$5), Tbl_AssetAllocation[Ativo])=SUBSTITUTE($C9,"&amp;", ""),Tbl_AssetAllocation[Peso],0))</f>
        <v>0.3</v>
      </c>
      <c r="V9" s="227">
        <v>0.375</v>
      </c>
      <c r="W9" s="229">
        <v>0.45</v>
      </c>
      <c r="X9" s="226">
        <v>0.08</v>
      </c>
      <c r="Y9" s="227">
        <v>0.115</v>
      </c>
      <c r="Z9" s="228" cm="1">
        <f t="array" ref="Z9">SUM(IF(IF(IF(Tbl_AssetAllocation[TipoPerfil]="ESTRUTURAL", Tbl_AssetAllocation[Perfil])=UPPER(X$5), Tbl_AssetAllocation[Ativo])=SUBSTITUTE($C9,"&amp;", ""),Tbl_AssetAllocation[Peso],0))</f>
        <v>0.15</v>
      </c>
      <c r="AA9" s="227">
        <v>0.1</v>
      </c>
      <c r="AB9" s="227">
        <v>0.17</v>
      </c>
    </row>
    <row r="10" spans="1:29" s="48" customFormat="1" ht="20.25" thickTop="1" thickBot="1">
      <c r="A10" s="225"/>
      <c r="B10" s="50" t="s">
        <v>621</v>
      </c>
      <c r="C10" s="50" t="s">
        <v>150</v>
      </c>
      <c r="D10" s="226">
        <v>0.04</v>
      </c>
      <c r="E10" s="227">
        <v>9.5000000000000001E-2</v>
      </c>
      <c r="F10" s="228" cm="1">
        <f t="array" ref="F10">SUM(IF(IF(IF(Tbl_AssetAllocation[TipoPerfil]="ESTRUTURAL", Tbl_AssetAllocation[Perfil])=UPPER(D$5), Tbl_AssetAllocation[Ativo])=SUBSTITUTE($C10,"&amp;", ""),Tbl_AssetAllocation[Peso],0))</f>
        <v>0.15</v>
      </c>
      <c r="G10" s="227">
        <v>0.16500000000000001</v>
      </c>
      <c r="H10" s="229">
        <v>0.18</v>
      </c>
      <c r="I10" s="226">
        <v>0.08</v>
      </c>
      <c r="J10" s="227">
        <v>0.115</v>
      </c>
      <c r="K10" s="228" cm="1">
        <f t="array" ref="K10">SUM(IF(IF(IF(Tbl_AssetAllocation[TipoPerfil]="ESTRUTURAL", Tbl_AssetAllocation[Perfil])=UPPER(I$5), Tbl_AssetAllocation[Ativo])=SUBSTITUTE($C10,"&amp;", ""),Tbl_AssetAllocation[Peso],0))</f>
        <v>0.15</v>
      </c>
      <c r="L10" s="227">
        <v>0.185</v>
      </c>
      <c r="M10" s="229">
        <v>0.22</v>
      </c>
      <c r="N10" s="226">
        <v>0.05</v>
      </c>
      <c r="O10" s="227">
        <v>7.4999999999999997E-2</v>
      </c>
      <c r="P10" s="228" cm="1">
        <f t="array" ref="P10">SUM(IF(IF(IF(Tbl_AssetAllocation[TipoPerfil]="ESTRUTURAL", Tbl_AssetAllocation[Perfil])=UPPER(N$5), Tbl_AssetAllocation[Ativo])=SUBSTITUTE($C10,"&amp;", ""),Tbl_AssetAllocation[Peso],0))</f>
        <v>0.1</v>
      </c>
      <c r="Q10" s="227">
        <v>0.125</v>
      </c>
      <c r="R10" s="229">
        <v>0.15</v>
      </c>
      <c r="S10" s="226">
        <v>0.1</v>
      </c>
      <c r="T10" s="227">
        <v>0.15</v>
      </c>
      <c r="U10" s="228" cm="1">
        <f t="array" ref="U10">SUM(IF(IF(IF(Tbl_AssetAllocation[TipoPerfil]="ESTRUTURAL", Tbl_AssetAllocation[Perfil])=UPPER(S$5), Tbl_AssetAllocation[Ativo])=SUBSTITUTE($C10,"&amp;", ""),Tbl_AssetAllocation[Peso],0))</f>
        <v>0.2</v>
      </c>
      <c r="V10" s="227">
        <v>0.25</v>
      </c>
      <c r="W10" s="229">
        <v>0.3</v>
      </c>
      <c r="X10" s="226">
        <v>0.08</v>
      </c>
      <c r="Y10" s="227">
        <v>0.115</v>
      </c>
      <c r="Z10" s="228" cm="1">
        <f t="array" ref="Z10">SUM(IF(IF(IF(Tbl_AssetAllocation[TipoPerfil]="ESTRUTURAL", Tbl_AssetAllocation[Perfil])=UPPER(X$5), Tbl_AssetAllocation[Ativo])=SUBSTITUTE($C10,"&amp;", ""),Tbl_AssetAllocation[Peso],0))</f>
        <v>0.15</v>
      </c>
      <c r="AA10" s="227">
        <v>0.185</v>
      </c>
      <c r="AB10" s="227">
        <v>0.22</v>
      </c>
    </row>
    <row r="11" spans="1:29" s="48" customFormat="1" ht="20.25" thickTop="1" thickBot="1">
      <c r="A11" s="225"/>
      <c r="B11" s="50" t="s">
        <v>661</v>
      </c>
      <c r="C11" s="50" t="s">
        <v>633</v>
      </c>
      <c r="D11" s="226">
        <v>0</v>
      </c>
      <c r="E11" s="227">
        <v>0</v>
      </c>
      <c r="F11" s="228" cm="1">
        <f t="array" ref="F11">SUM(IF(IF(IF(Tbl_AssetAllocation[TipoPerfil]="ESTRUTURAL", Tbl_AssetAllocation[Perfil])=UPPER(D$5), Tbl_AssetAllocation[Ativo])=SUBSTITUTE($C11,"&amp;", ""),Tbl_AssetAllocation[Peso],0))</f>
        <v>0</v>
      </c>
      <c r="G11" s="227">
        <v>0.04</v>
      </c>
      <c r="H11" s="229">
        <v>0.06</v>
      </c>
      <c r="I11" s="226">
        <v>0</v>
      </c>
      <c r="J11" s="227">
        <v>0</v>
      </c>
      <c r="K11" s="228" cm="1">
        <f t="array" ref="K11">SUM(IF(IF(IF(Tbl_AssetAllocation[TipoPerfil]="ESTRUTURAL", Tbl_AssetAllocation[Perfil])=UPPER(I$5), Tbl_AssetAllocation[Ativo])=SUBSTITUTE($C11,"&amp;", ""),Tbl_AssetAllocation[Peso],0))</f>
        <v>0</v>
      </c>
      <c r="L11" s="227">
        <v>0.05</v>
      </c>
      <c r="M11" s="229">
        <v>0.08</v>
      </c>
      <c r="N11" s="226">
        <v>0</v>
      </c>
      <c r="O11" s="227">
        <v>0</v>
      </c>
      <c r="P11" s="228" cm="1">
        <f t="array" ref="P11">SUM(IF(IF(IF(Tbl_AssetAllocation[TipoPerfil]="ESTRUTURAL", Tbl_AssetAllocation[Perfil])=UPPER(N$5), Tbl_AssetAllocation[Ativo])=SUBSTITUTE($C11,"&amp;", ""),Tbl_AssetAllocation[Peso],0))</f>
        <v>0</v>
      </c>
      <c r="Q11" s="227">
        <v>0.06</v>
      </c>
      <c r="R11" s="229">
        <v>0.1</v>
      </c>
      <c r="S11" s="226">
        <v>0</v>
      </c>
      <c r="T11" s="227">
        <v>0</v>
      </c>
      <c r="U11" s="228" cm="1">
        <f t="array" ref="U11">SUM(IF(IF(IF(Tbl_AssetAllocation[TipoPerfil]="ESTRUTURAL", Tbl_AssetAllocation[Perfil])=UPPER(S$5), Tbl_AssetAllocation[Ativo])=SUBSTITUTE($C11,"&amp;", ""),Tbl_AssetAllocation[Peso],0))</f>
        <v>0</v>
      </c>
      <c r="V11" s="227">
        <v>7.0000000000000007E-2</v>
      </c>
      <c r="W11" s="229">
        <v>0.12</v>
      </c>
      <c r="X11" s="226">
        <v>0</v>
      </c>
      <c r="Y11" s="227">
        <v>0</v>
      </c>
      <c r="Z11" s="228" cm="1">
        <f t="array" ref="Z11">SUM(IF(IF(IF(Tbl_AssetAllocation[TipoPerfil]="ESTRUTURAL", Tbl_AssetAllocation[Perfil])=UPPER(X$5), Tbl_AssetAllocation[Ativo])=SUBSTITUTE($C11,"&amp;", ""),Tbl_AssetAllocation[Peso],0))</f>
        <v>0</v>
      </c>
      <c r="AA11" s="227">
        <v>0.08</v>
      </c>
      <c r="AB11" s="227">
        <v>0.15</v>
      </c>
    </row>
    <row r="12" spans="1:29" s="48" customFormat="1" ht="20.25" thickTop="1" thickBot="1">
      <c r="A12" s="225"/>
      <c r="B12" s="50" t="s">
        <v>628</v>
      </c>
      <c r="C12" s="50" t="s">
        <v>4278</v>
      </c>
      <c r="D12" s="226">
        <v>0</v>
      </c>
      <c r="E12" s="227">
        <v>0</v>
      </c>
      <c r="F12" s="228" cm="1">
        <f t="array" ref="F12">SUM(IF(IF(IF(Tbl_AssetAllocation[TipoPerfil]="ESTRUTURAL", Tbl_AssetAllocation[Perfil])=UPPER(D$5), Tbl_AssetAllocation[Ativo])=SUBSTITUTE($C12,"&amp;", ""),Tbl_AssetAllocation[Peso],0))</f>
        <v>0</v>
      </c>
      <c r="G12" s="227">
        <v>0.04</v>
      </c>
      <c r="H12" s="229">
        <v>0.06</v>
      </c>
      <c r="I12" s="226">
        <v>0</v>
      </c>
      <c r="J12" s="227">
        <v>0</v>
      </c>
      <c r="K12" s="228" cm="1">
        <f t="array" ref="K12">SUM(IF(IF(IF(Tbl_AssetAllocation[TipoPerfil]="ESTRUTURAL", Tbl_AssetAllocation[Perfil])=UPPER(I$5), Tbl_AssetAllocation[Ativo])=SUBSTITUTE($C12,"&amp;", ""),Tbl_AssetAllocation[Peso],0))</f>
        <v>0</v>
      </c>
      <c r="L12" s="227">
        <v>0.05</v>
      </c>
      <c r="M12" s="229">
        <v>0.08</v>
      </c>
      <c r="N12" s="226">
        <v>0</v>
      </c>
      <c r="O12" s="227">
        <v>0</v>
      </c>
      <c r="P12" s="228" cm="1">
        <f t="array" ref="P12">SUM(IF(IF(IF(Tbl_AssetAllocation[TipoPerfil]="ESTRUTURAL", Tbl_AssetAllocation[Perfil])=UPPER(N$5), Tbl_AssetAllocation[Ativo])=SUBSTITUTE($C12,"&amp;", ""),Tbl_AssetAllocation[Peso],0))</f>
        <v>0</v>
      </c>
      <c r="Q12" s="227">
        <v>0.06</v>
      </c>
      <c r="R12" s="229">
        <v>0.1</v>
      </c>
      <c r="S12" s="226">
        <v>0</v>
      </c>
      <c r="T12" s="227">
        <v>0</v>
      </c>
      <c r="U12" s="228" cm="1">
        <f t="array" ref="U12">SUM(IF(IF(IF(Tbl_AssetAllocation[TipoPerfil]="ESTRUTURAL", Tbl_AssetAllocation[Perfil])=UPPER(S$5), Tbl_AssetAllocation[Ativo])=SUBSTITUTE($C12,"&amp;", ""),Tbl_AssetAllocation[Peso],0))</f>
        <v>0</v>
      </c>
      <c r="V12" s="227">
        <v>7.0000000000000007E-2</v>
      </c>
      <c r="W12" s="229">
        <v>0.12</v>
      </c>
      <c r="X12" s="226">
        <v>0</v>
      </c>
      <c r="Y12" s="227">
        <v>0</v>
      </c>
      <c r="Z12" s="228" cm="1">
        <f t="array" ref="Z12">SUM(IF(IF(IF(Tbl_AssetAllocation[TipoPerfil]="ESTRUTURAL", Tbl_AssetAllocation[Perfil])=UPPER(X$5), Tbl_AssetAllocation[Ativo])=SUBSTITUTE($C12,"&amp;", ""),Tbl_AssetAllocation[Peso],0))</f>
        <v>0</v>
      </c>
      <c r="AA12" s="227">
        <v>0.08</v>
      </c>
      <c r="AB12" s="227">
        <v>0.15</v>
      </c>
    </row>
    <row r="13" spans="1:29" s="48" customFormat="1" ht="20.25" thickTop="1" thickBot="1">
      <c r="A13" s="221"/>
      <c r="B13" s="47" t="s">
        <v>13</v>
      </c>
      <c r="C13" s="47" t="s">
        <v>630</v>
      </c>
      <c r="D13" s="222">
        <v>0</v>
      </c>
      <c r="E13" s="223">
        <v>0</v>
      </c>
      <c r="F13" s="224" cm="1">
        <f t="array" ref="F13">SUM(IF(IF(IF(Tbl_AssetAllocation[TipoPerfil]="ESTRUTURAL", Tbl_AssetAllocation[Perfil])=UPPER(D$5), Tbl_AssetAllocation[Ativo])=SUBSTITUTE($C13,"&amp;", ""),Tbl_AssetAllocation[Peso],0))</f>
        <v>0</v>
      </c>
      <c r="G13" s="223">
        <v>1.4999999999999999E-2</v>
      </c>
      <c r="H13" s="223">
        <v>0.03</v>
      </c>
      <c r="I13" s="222">
        <v>0.03</v>
      </c>
      <c r="J13" s="223">
        <v>6.5000000000000002E-2</v>
      </c>
      <c r="K13" s="224" cm="1">
        <f t="array" ref="K13">SUM(IF(IF(IF(Tbl_AssetAllocation[TipoPerfil]="ESTRUTURAL", Tbl_AssetAllocation[Perfil])=UPPER(I$5), Tbl_AssetAllocation[Ativo])=SUBSTITUTE($C13,"&amp;", ""),Tbl_AssetAllocation[Peso],0))</f>
        <v>0.1</v>
      </c>
      <c r="L13" s="223">
        <v>0.13500000000000001</v>
      </c>
      <c r="M13" s="223">
        <v>0.17</v>
      </c>
      <c r="N13" s="222">
        <v>0.1</v>
      </c>
      <c r="O13" s="223">
        <v>0.15</v>
      </c>
      <c r="P13" s="224" cm="1">
        <f t="array" ref="P13">SUM(IF(IF(IF(Tbl_AssetAllocation[TipoPerfil]="ESTRUTURAL", Tbl_AssetAllocation[Perfil])=UPPER(N$5), Tbl_AssetAllocation[Ativo])=SUBSTITUTE($C13,"&amp;", ""),Tbl_AssetAllocation[Peso],0))</f>
        <v>0.2</v>
      </c>
      <c r="Q13" s="223">
        <v>0.25</v>
      </c>
      <c r="R13" s="223">
        <v>0.3</v>
      </c>
      <c r="S13" s="222">
        <v>0.18</v>
      </c>
      <c r="T13" s="223">
        <v>0.23</v>
      </c>
      <c r="U13" s="224" cm="1">
        <f t="array" ref="U13">SUM(IF(IF(IF(Tbl_AssetAllocation[TipoPerfil]="ESTRUTURAL", Tbl_AssetAllocation[Perfil])=UPPER(S$5), Tbl_AssetAllocation[Ativo])=SUBSTITUTE($C13,"&amp;", ""),Tbl_AssetAllocation[Peso],0))</f>
        <v>0.3</v>
      </c>
      <c r="V13" s="223">
        <v>0.37</v>
      </c>
      <c r="W13" s="223">
        <v>0.42</v>
      </c>
      <c r="X13" s="222">
        <v>0.25</v>
      </c>
      <c r="Y13" s="223">
        <v>0.32500000000000001</v>
      </c>
      <c r="Z13" s="224" cm="1">
        <f t="array" ref="Z13">SUM(IF(IF(IF(Tbl_AssetAllocation[TipoPerfil]="ESTRUTURAL", Tbl_AssetAllocation[Perfil])=UPPER(X$5), Tbl_AssetAllocation[Ativo])=SUBSTITUTE($C13,"&amp;", ""),Tbl_AssetAllocation[Peso],0))</f>
        <v>0.35</v>
      </c>
      <c r="AA13" s="223">
        <v>0.375</v>
      </c>
      <c r="AB13" s="223">
        <v>0.4</v>
      </c>
    </row>
    <row r="14" spans="1:29" s="48" customFormat="1" ht="20.25" thickTop="1" thickBot="1">
      <c r="A14" s="221"/>
      <c r="B14" s="47" t="s">
        <v>14</v>
      </c>
      <c r="C14" s="47"/>
      <c r="D14" s="222">
        <v>0</v>
      </c>
      <c r="E14" s="223">
        <v>0</v>
      </c>
      <c r="F14" s="224">
        <f>F15+F16</f>
        <v>0</v>
      </c>
      <c r="G14" s="223">
        <v>1.4999999999999999E-2</v>
      </c>
      <c r="H14" s="223">
        <v>0.03</v>
      </c>
      <c r="I14" s="222">
        <v>0</v>
      </c>
      <c r="J14" s="223">
        <v>2.5000000000000001E-2</v>
      </c>
      <c r="K14" s="224">
        <f>K15+K16</f>
        <v>0.05</v>
      </c>
      <c r="L14" s="223">
        <v>7.4999999999999997E-2</v>
      </c>
      <c r="M14" s="223">
        <v>0.1</v>
      </c>
      <c r="N14" s="222">
        <v>0.03</v>
      </c>
      <c r="O14" s="223">
        <v>6.5000000000000002E-2</v>
      </c>
      <c r="P14" s="224">
        <f>P15+P16</f>
        <v>0.1</v>
      </c>
      <c r="Q14" s="223">
        <v>0.13500000000000001</v>
      </c>
      <c r="R14" s="223">
        <v>0.17</v>
      </c>
      <c r="S14" s="222">
        <v>0.1</v>
      </c>
      <c r="T14" s="223">
        <v>0.15</v>
      </c>
      <c r="U14" s="224">
        <f>U15+U16</f>
        <v>0.2</v>
      </c>
      <c r="V14" s="223">
        <v>0.25</v>
      </c>
      <c r="W14" s="223">
        <v>0.3</v>
      </c>
      <c r="X14" s="222">
        <v>0.25</v>
      </c>
      <c r="Y14" s="223">
        <v>0.28999999999999998</v>
      </c>
      <c r="Z14" s="224">
        <f>Z15+Z16</f>
        <v>0.35000000000000003</v>
      </c>
      <c r="AA14" s="223">
        <v>0.375</v>
      </c>
      <c r="AB14" s="223">
        <v>0.4</v>
      </c>
    </row>
    <row r="15" spans="1:29" s="48" customFormat="1" ht="20.25" thickTop="1" thickBot="1">
      <c r="A15" s="225"/>
      <c r="B15" s="50" t="s">
        <v>608</v>
      </c>
      <c r="C15" s="50" t="s">
        <v>60</v>
      </c>
      <c r="D15" s="226">
        <v>0</v>
      </c>
      <c r="E15" s="227">
        <v>0</v>
      </c>
      <c r="F15" s="228" cm="1">
        <f t="array" ref="F15">SUM(IF(IF(IF(Tbl_AssetAllocation[TipoPerfil]="ESTRUTURAL", Tbl_AssetAllocation[Perfil])=UPPER(D$5), Tbl_AssetAllocation[Ativo])=SUBSTITUTE($C15,"&amp;", ""),Tbl_AssetAllocation[Peso],0))</f>
        <v>0</v>
      </c>
      <c r="G15" s="227">
        <v>1.4999999999999999E-2</v>
      </c>
      <c r="H15" s="227">
        <v>0.03</v>
      </c>
      <c r="I15" s="226">
        <v>0.01</v>
      </c>
      <c r="J15" s="227">
        <v>0.02</v>
      </c>
      <c r="K15" s="228" cm="1">
        <f t="array" ref="K15">SUM(IF(IF(IF(Tbl_AssetAllocation[TipoPerfil]="ESTRUTURAL", Tbl_AssetAllocation[Perfil])=UPPER(I$5), Tbl_AssetAllocation[Ativo])=SUBSTITUTE($C15,"&amp;", ""),Tbl_AssetAllocation[Peso],0))</f>
        <v>3.5000000000000003E-2</v>
      </c>
      <c r="L15" s="227">
        <v>0.05</v>
      </c>
      <c r="M15" s="227">
        <v>6.5000000000000002E-2</v>
      </c>
      <c r="N15" s="226">
        <v>0.02</v>
      </c>
      <c r="O15" s="227">
        <v>4.4999999999999998E-2</v>
      </c>
      <c r="P15" s="228" cm="1">
        <f t="array" ref="P15">SUM(IF(IF(IF(Tbl_AssetAllocation[TipoPerfil]="ESTRUTURAL", Tbl_AssetAllocation[Perfil])=UPPER(N$5), Tbl_AssetAllocation[Ativo])=SUBSTITUTE($C15,"&amp;", ""),Tbl_AssetAllocation[Peso],0))</f>
        <v>7.0000000000000007E-2</v>
      </c>
      <c r="Q15" s="227">
        <v>9.5000000000000001E-2</v>
      </c>
      <c r="R15" s="227">
        <v>0.12</v>
      </c>
      <c r="S15" s="226">
        <v>0.09</v>
      </c>
      <c r="T15" s="227">
        <v>0.125</v>
      </c>
      <c r="U15" s="228" cm="1">
        <f t="array" ref="U15">SUM(IF(IF(IF(Tbl_AssetAllocation[TipoPerfil]="ESTRUTURAL", Tbl_AssetAllocation[Perfil])=UPPER(S$5), Tbl_AssetAllocation[Ativo])=SUBSTITUTE($C15,"&amp;", ""),Tbl_AssetAllocation[Peso],0))</f>
        <v>0.16</v>
      </c>
      <c r="V15" s="227">
        <v>0.19500000000000001</v>
      </c>
      <c r="W15" s="227">
        <v>0.23</v>
      </c>
      <c r="X15" s="226">
        <v>0.17</v>
      </c>
      <c r="Y15" s="227">
        <v>0.22</v>
      </c>
      <c r="Z15" s="228" cm="1">
        <f t="array" ref="Z15">SUM(IF(IF(IF(Tbl_AssetAllocation[TipoPerfil]="ESTRUTURAL", Tbl_AssetAllocation[Perfil])=UPPER(X$5), Tbl_AssetAllocation[Ativo])=SUBSTITUTE($C15,"&amp;", ""),Tbl_AssetAllocation[Peso],0))</f>
        <v>0.27</v>
      </c>
      <c r="AA15" s="227">
        <v>0.32</v>
      </c>
      <c r="AB15" s="227">
        <v>0.37</v>
      </c>
    </row>
    <row r="16" spans="1:29" s="48" customFormat="1" ht="20.25" thickTop="1" thickBot="1">
      <c r="A16" s="225"/>
      <c r="B16" s="50" t="s">
        <v>628</v>
      </c>
      <c r="C16" s="50" t="s">
        <v>631</v>
      </c>
      <c r="D16" s="226">
        <v>0</v>
      </c>
      <c r="E16" s="227">
        <v>0</v>
      </c>
      <c r="F16" s="228" cm="1">
        <f t="array" ref="F16">SUM(IF(IF(IF(Tbl_AssetAllocation[TipoPerfil]="ESTRUTURAL", Tbl_AssetAllocation[Perfil])=UPPER(D$5), Tbl_AssetAllocation[Ativo])=SUBSTITUTE($C16,"&amp;", ""),Tbl_AssetAllocation[Peso],0))</f>
        <v>0</v>
      </c>
      <c r="G16" s="227">
        <v>1.4999999999999999E-2</v>
      </c>
      <c r="H16" s="227">
        <v>0.03</v>
      </c>
      <c r="I16" s="226">
        <v>0</v>
      </c>
      <c r="J16" s="227">
        <v>0.01</v>
      </c>
      <c r="K16" s="228" cm="1">
        <f t="array" ref="K16">SUM(IF(IF(IF(Tbl_AssetAllocation[TipoPerfil]="ESTRUTURAL", Tbl_AssetAllocation[Perfil])=UPPER(I$5), Tbl_AssetAllocation[Ativo])=SUBSTITUTE($C16,"&amp;", ""),Tbl_AssetAllocation[Peso],0))</f>
        <v>1.4999999999999999E-2</v>
      </c>
      <c r="L16" s="227">
        <v>2.5000000000000001E-2</v>
      </c>
      <c r="M16" s="227">
        <v>3.5000000000000003E-2</v>
      </c>
      <c r="N16" s="226">
        <v>0</v>
      </c>
      <c r="O16" s="227">
        <v>0.02</v>
      </c>
      <c r="P16" s="228" cm="1">
        <f t="array" ref="P16">SUM(IF(IF(IF(Tbl_AssetAllocation[TipoPerfil]="ESTRUTURAL", Tbl_AssetAllocation[Perfil])=UPPER(N$5), Tbl_AssetAllocation[Ativo])=SUBSTITUTE($C16,"&amp;", ""),Tbl_AssetAllocation[Peso],0))</f>
        <v>0.03</v>
      </c>
      <c r="Q16" s="227">
        <v>0.04</v>
      </c>
      <c r="R16" s="227">
        <v>0.05</v>
      </c>
      <c r="S16" s="226">
        <v>1.4999999999999999E-2</v>
      </c>
      <c r="T16" s="227">
        <v>2.5000000000000001E-2</v>
      </c>
      <c r="U16" s="228" cm="1">
        <f t="array" ref="U16">SUM(IF(IF(IF(Tbl_AssetAllocation[TipoPerfil]="ESTRUTURAL", Tbl_AssetAllocation[Perfil])=UPPER(S$5), Tbl_AssetAllocation[Ativo])=SUBSTITUTE($C16,"&amp;", ""),Tbl_AssetAllocation[Peso],0))</f>
        <v>0.04</v>
      </c>
      <c r="V16" s="227">
        <v>5.5E-2</v>
      </c>
      <c r="W16" s="227">
        <v>7.0000000000000007E-2</v>
      </c>
      <c r="X16" s="226">
        <v>0.04</v>
      </c>
      <c r="Y16" s="227">
        <v>0.06</v>
      </c>
      <c r="Z16" s="228" cm="1">
        <f t="array" ref="Z16">SUM(IF(IF(IF(Tbl_AssetAllocation[TipoPerfil]="ESTRUTURAL", Tbl_AssetAllocation[Perfil])=UPPER(X$5), Tbl_AssetAllocation[Ativo])=SUBSTITUTE($C16,"&amp;", ""),Tbl_AssetAllocation[Peso],0))</f>
        <v>0.08</v>
      </c>
      <c r="AA16" s="227">
        <v>0.1</v>
      </c>
      <c r="AB16" s="227">
        <v>0.12</v>
      </c>
    </row>
    <row r="17" spans="1:29" s="48" customFormat="1" ht="5.25" customHeight="1" thickTop="1" thickBot="1">
      <c r="A17" s="225"/>
      <c r="D17" s="21"/>
      <c r="E17" s="230"/>
      <c r="F17" s="230"/>
      <c r="G17" s="230"/>
      <c r="H17" s="230"/>
      <c r="I17" s="21"/>
      <c r="J17" s="230"/>
      <c r="K17" s="230"/>
      <c r="L17" s="230"/>
      <c r="M17" s="230"/>
      <c r="N17" s="21"/>
      <c r="O17" s="230"/>
      <c r="P17" s="230"/>
      <c r="Q17" s="230"/>
      <c r="R17" s="230"/>
      <c r="S17" s="21"/>
      <c r="T17" s="230"/>
      <c r="U17" s="230"/>
      <c r="V17" s="230"/>
      <c r="W17" s="230"/>
      <c r="X17" s="21"/>
      <c r="Y17" s="230"/>
      <c r="Z17" s="230"/>
      <c r="AA17" s="230"/>
      <c r="AB17" s="230"/>
    </row>
    <row r="18" spans="1:29" s="48" customFormat="1" ht="20.25" thickTop="1" thickBot="1">
      <c r="A18" s="225"/>
      <c r="B18" s="60" t="s">
        <v>443</v>
      </c>
      <c r="C18" s="60"/>
      <c r="D18" s="231">
        <v>0</v>
      </c>
      <c r="E18" s="232"/>
      <c r="F18" s="232">
        <v>0</v>
      </c>
      <c r="G18" s="232"/>
      <c r="H18" s="232">
        <v>6.0000000000000001E-3</v>
      </c>
      <c r="I18" s="231">
        <v>0</v>
      </c>
      <c r="J18" s="232"/>
      <c r="K18" s="232">
        <v>3.5000000000000005E-3</v>
      </c>
      <c r="L18" s="232"/>
      <c r="M18" s="232">
        <v>1.3000000000000001E-2</v>
      </c>
      <c r="N18" s="231">
        <v>0</v>
      </c>
      <c r="O18" s="232"/>
      <c r="P18" s="232">
        <v>7.000000000000001E-3</v>
      </c>
      <c r="Q18" s="232"/>
      <c r="R18" s="232">
        <v>2.4E-2</v>
      </c>
      <c r="S18" s="231">
        <v>0</v>
      </c>
      <c r="T18" s="232"/>
      <c r="U18" s="232">
        <v>1.6E-2</v>
      </c>
      <c r="V18" s="232"/>
      <c r="W18" s="232">
        <v>4.6000000000000006E-2</v>
      </c>
      <c r="X18" s="231">
        <v>0</v>
      </c>
      <c r="Y18" s="232"/>
      <c r="Z18" s="232">
        <v>2.7000000000000003E-2</v>
      </c>
      <c r="AA18" s="232"/>
      <c r="AB18" s="232">
        <v>7.3999999999999996E-2</v>
      </c>
    </row>
    <row r="19" spans="1:29" s="38" customFormat="1" ht="9" customHeight="1" thickTop="1">
      <c r="A19" s="213"/>
      <c r="B19" s="61"/>
      <c r="C19" s="61"/>
      <c r="D19" s="233"/>
      <c r="E19" s="234"/>
      <c r="F19" s="235"/>
      <c r="G19" s="235"/>
      <c r="H19" s="236"/>
      <c r="I19" s="237"/>
      <c r="J19" s="237"/>
      <c r="K19" s="237"/>
      <c r="L19" s="237"/>
      <c r="M19" s="238"/>
      <c r="N19" s="66"/>
      <c r="O19" s="48"/>
      <c r="P19" s="48"/>
      <c r="Q19" s="48"/>
      <c r="R19" s="236"/>
      <c r="S19" s="48"/>
      <c r="T19" s="48"/>
      <c r="U19" s="48"/>
      <c r="V19" s="48"/>
      <c r="W19" s="238"/>
      <c r="X19" s="66"/>
      <c r="Y19" s="48"/>
      <c r="Z19" s="48"/>
      <c r="AA19" s="48"/>
      <c r="AB19" s="67"/>
      <c r="AC19" s="61"/>
    </row>
    <row r="20" spans="1:29" s="38" customFormat="1">
      <c r="A20" s="213"/>
      <c r="B20" s="61"/>
      <c r="C20" s="61"/>
      <c r="D20" s="66"/>
      <c r="E20" s="48"/>
      <c r="F20" s="48"/>
      <c r="G20" s="48"/>
      <c r="H20" s="48"/>
      <c r="I20" s="48"/>
      <c r="J20" s="48"/>
      <c r="K20" s="48"/>
      <c r="L20" s="48"/>
      <c r="M20" s="48"/>
      <c r="N20" s="66"/>
      <c r="O20" s="48"/>
      <c r="P20" s="48"/>
      <c r="Q20" s="48"/>
      <c r="R20" s="48"/>
      <c r="S20" s="48"/>
      <c r="T20" s="48"/>
      <c r="U20" s="48"/>
      <c r="V20" s="48"/>
      <c r="W20" s="48"/>
      <c r="X20" s="66"/>
      <c r="Y20" s="48"/>
      <c r="Z20" s="48"/>
      <c r="AA20" s="48"/>
      <c r="AB20" s="48"/>
      <c r="AC20" s="61"/>
    </row>
    <row r="21" spans="1:29" s="38" customFormat="1" ht="19.5" thickBot="1">
      <c r="A21" s="213"/>
      <c r="B21" s="70" t="s">
        <v>622</v>
      </c>
      <c r="C21" s="70"/>
      <c r="D21" s="1045">
        <v>1.03E-2</v>
      </c>
      <c r="E21" s="1046"/>
      <c r="F21" s="1046"/>
      <c r="G21" s="1046"/>
      <c r="H21" s="1047"/>
      <c r="I21" s="1045">
        <v>2.549673119887582E-2</v>
      </c>
      <c r="J21" s="1046"/>
      <c r="K21" s="1046"/>
      <c r="L21" s="1046"/>
      <c r="M21" s="1047"/>
      <c r="N21" s="1045">
        <v>3.8511103553590463E-2</v>
      </c>
      <c r="O21" s="1046"/>
      <c r="P21" s="1046"/>
      <c r="Q21" s="1046"/>
      <c r="R21" s="1047"/>
      <c r="S21" s="1045">
        <v>7.1044569470618588E-2</v>
      </c>
      <c r="T21" s="1046"/>
      <c r="U21" s="1046"/>
      <c r="V21" s="1046"/>
      <c r="W21" s="1047"/>
      <c r="X21" s="1045">
        <v>0.1007472074047638</v>
      </c>
      <c r="Y21" s="1046"/>
      <c r="Z21" s="1046"/>
      <c r="AA21" s="1046"/>
      <c r="AB21" s="1047"/>
      <c r="AC21" s="61"/>
    </row>
    <row r="22" spans="1:29" s="38" customFormat="1" ht="20.25" thickTop="1" thickBot="1">
      <c r="A22" s="213"/>
      <c r="B22" s="72" t="s">
        <v>625</v>
      </c>
      <c r="C22" s="72"/>
      <c r="D22" s="1042">
        <v>-1.1299999999999999E-2</v>
      </c>
      <c r="E22" s="1043"/>
      <c r="F22" s="1043"/>
      <c r="G22" s="1043"/>
      <c r="H22" s="1044"/>
      <c r="I22" s="1042">
        <v>-2.487761818750004E-2</v>
      </c>
      <c r="J22" s="1043"/>
      <c r="K22" s="1043"/>
      <c r="L22" s="1043"/>
      <c r="M22" s="1044"/>
      <c r="N22" s="1042">
        <v>-3.4410577412473803E-2</v>
      </c>
      <c r="O22" s="1043"/>
      <c r="P22" s="1043"/>
      <c r="Q22" s="1043"/>
      <c r="R22" s="1044"/>
      <c r="S22" s="1042">
        <v>-6.1567684871044873E-2</v>
      </c>
      <c r="T22" s="1043"/>
      <c r="U22" s="1043"/>
      <c r="V22" s="1043"/>
      <c r="W22" s="1044"/>
      <c r="X22" s="1042">
        <v>-8.4679197825304156E-2</v>
      </c>
      <c r="Y22" s="1043"/>
      <c r="Z22" s="1043"/>
      <c r="AA22" s="1043"/>
      <c r="AB22" s="1044"/>
      <c r="AC22" s="61"/>
    </row>
    <row r="23" spans="1:29" s="38" customFormat="1" ht="20.25" thickTop="1" thickBot="1">
      <c r="A23" s="213"/>
      <c r="B23" s="72" t="s">
        <v>627</v>
      </c>
      <c r="C23" s="72"/>
      <c r="D23" s="1042">
        <v>-2.5999999999999999E-3</v>
      </c>
      <c r="E23" s="1043"/>
      <c r="F23" s="1043"/>
      <c r="G23" s="1043"/>
      <c r="H23" s="1044"/>
      <c r="I23" s="1042">
        <v>-1.4715015366541949E-2</v>
      </c>
      <c r="J23" s="1043"/>
      <c r="K23" s="1043"/>
      <c r="L23" s="1043"/>
      <c r="M23" s="1044"/>
      <c r="N23" s="1042">
        <v>-2.5087452667099872E-2</v>
      </c>
      <c r="O23" s="1043"/>
      <c r="P23" s="1043"/>
      <c r="Q23" s="1043"/>
      <c r="R23" s="1044"/>
      <c r="S23" s="1042">
        <v>-5.0338995825054043E-2</v>
      </c>
      <c r="T23" s="1043"/>
      <c r="U23" s="1043"/>
      <c r="V23" s="1043"/>
      <c r="W23" s="1044"/>
      <c r="X23" s="1042">
        <v>-7.3337204704589043E-2</v>
      </c>
      <c r="Y23" s="1043"/>
      <c r="Z23" s="1043"/>
      <c r="AA23" s="1043"/>
      <c r="AB23" s="1044"/>
      <c r="AC23" s="61"/>
    </row>
    <row r="24" spans="1:29" s="38" customFormat="1" ht="19.5" thickTop="1">
      <c r="A24" s="213"/>
      <c r="B24" s="74" t="s">
        <v>626</v>
      </c>
      <c r="C24" s="74"/>
      <c r="D24" s="1048">
        <v>-1.8100000000000002E-2</v>
      </c>
      <c r="E24" s="1049"/>
      <c r="F24" s="1049"/>
      <c r="G24" s="1049"/>
      <c r="H24" s="1050"/>
      <c r="I24" s="1048">
        <v>-6.1782246091973893E-2</v>
      </c>
      <c r="J24" s="1049"/>
      <c r="K24" s="1049"/>
      <c r="L24" s="1049"/>
      <c r="M24" s="1050"/>
      <c r="N24" s="1048">
        <v>-9.9174515012422068E-2</v>
      </c>
      <c r="O24" s="1049"/>
      <c r="P24" s="1049"/>
      <c r="Q24" s="1049"/>
      <c r="R24" s="1050"/>
      <c r="S24" s="1048">
        <v>-0.18781977821096529</v>
      </c>
      <c r="T24" s="1049"/>
      <c r="U24" s="1049"/>
      <c r="V24" s="1049"/>
      <c r="W24" s="1050"/>
      <c r="X24" s="1048">
        <v>-0.26953467873068521</v>
      </c>
      <c r="Y24" s="1049"/>
      <c r="Z24" s="1049"/>
      <c r="AA24" s="1049"/>
      <c r="AB24" s="1050"/>
      <c r="AC24" s="61"/>
    </row>
    <row r="25" spans="1:29" ht="21" customHeight="1">
      <c r="I25" s="29"/>
      <c r="J25" s="29"/>
      <c r="K25" s="29"/>
      <c r="L25" s="29"/>
      <c r="N25" s="29"/>
      <c r="O25" s="29"/>
      <c r="P25" s="29"/>
      <c r="Q25" s="29"/>
      <c r="V25" s="29"/>
    </row>
    <row r="26" spans="1:29" ht="21" customHeight="1">
      <c r="D26" s="77"/>
      <c r="I26" s="29"/>
      <c r="J26" s="29"/>
      <c r="K26" s="29"/>
      <c r="L26" s="29"/>
      <c r="N26" s="29"/>
      <c r="O26" s="29"/>
      <c r="P26" s="29"/>
      <c r="Q26" s="29"/>
      <c r="S26" s="29"/>
      <c r="T26" s="29"/>
      <c r="U26" s="29"/>
      <c r="V26" s="29"/>
      <c r="X26" s="29"/>
      <c r="Y26" s="29"/>
      <c r="Z26" s="29"/>
    </row>
    <row r="27" spans="1:29" ht="21" customHeight="1">
      <c r="D27" s="240"/>
      <c r="E27" s="29"/>
      <c r="H27" s="79"/>
      <c r="I27" s="29"/>
      <c r="J27" s="29"/>
      <c r="K27" s="29"/>
      <c r="L27" s="29"/>
      <c r="N27" s="29"/>
      <c r="O27" s="29"/>
      <c r="P27" s="29"/>
      <c r="Q27" s="29"/>
      <c r="S27" s="29"/>
      <c r="T27" s="29"/>
      <c r="U27" s="29"/>
      <c r="V27" s="29"/>
      <c r="X27" s="29"/>
      <c r="Y27" s="29"/>
      <c r="Z27" s="29"/>
    </row>
    <row r="28" spans="1:29" ht="21" customHeight="1">
      <c r="D28" s="240"/>
      <c r="H28" s="45"/>
      <c r="I28" s="29"/>
      <c r="J28" s="29"/>
      <c r="K28" s="29"/>
      <c r="L28" s="29"/>
      <c r="N28" s="29"/>
      <c r="O28" s="29"/>
      <c r="P28" s="29"/>
      <c r="Q28" s="29"/>
      <c r="V28" s="29"/>
    </row>
    <row r="29" spans="1:29" s="80" customFormat="1" ht="21" customHeight="1">
      <c r="A29" s="239"/>
      <c r="B29" s="29"/>
      <c r="C29" s="29"/>
      <c r="F29" s="29"/>
      <c r="G29" s="29"/>
      <c r="H29" s="29"/>
      <c r="M29" s="29"/>
      <c r="R29"/>
      <c r="W29" s="29"/>
      <c r="AC29" s="29"/>
    </row>
    <row r="30" spans="1:29" s="80" customFormat="1" ht="21" customHeight="1">
      <c r="A30" s="239"/>
      <c r="B30" s="29"/>
      <c r="C30" s="29"/>
      <c r="F30" s="29"/>
      <c r="G30" s="29"/>
      <c r="H30" s="29"/>
      <c r="M30" s="29"/>
      <c r="R30" s="29"/>
      <c r="W30" s="29"/>
      <c r="AC30" s="29"/>
    </row>
    <row r="31" spans="1:29" s="80" customFormat="1" ht="21" customHeight="1">
      <c r="A31" s="239"/>
      <c r="B31" s="29"/>
      <c r="C31" s="29"/>
      <c r="F31" s="29"/>
      <c r="G31" s="29"/>
      <c r="H31" s="29"/>
      <c r="M31" s="29"/>
      <c r="R31" s="29"/>
      <c r="W31" s="29"/>
      <c r="AC31" s="29"/>
    </row>
    <row r="32" spans="1:29" s="80" customFormat="1" ht="21" customHeight="1">
      <c r="A32" s="239"/>
      <c r="B32" s="29"/>
      <c r="C32" s="29"/>
      <c r="F32" s="29"/>
      <c r="G32" s="29"/>
      <c r="H32" s="29"/>
      <c r="M32" s="29"/>
      <c r="R32" s="29"/>
      <c r="W32" s="29"/>
      <c r="AC32" s="29"/>
    </row>
    <row r="33" spans="1:29" s="80" customFormat="1" ht="21" customHeight="1">
      <c r="A33" s="239"/>
      <c r="B33" s="29"/>
      <c r="C33" s="29"/>
      <c r="F33" s="29"/>
      <c r="G33" s="29"/>
      <c r="H33" s="29"/>
      <c r="M33" s="29"/>
      <c r="R33" s="29"/>
      <c r="W33" s="29"/>
      <c r="AC33" s="29"/>
    </row>
    <row r="34" spans="1:29" s="80" customFormat="1" ht="21" customHeight="1">
      <c r="A34" s="239"/>
      <c r="B34" s="29"/>
      <c r="C34" s="29"/>
      <c r="F34" s="29"/>
      <c r="G34" s="29"/>
      <c r="H34" s="29"/>
      <c r="M34" s="29"/>
      <c r="R34" s="29"/>
      <c r="W34" s="29"/>
      <c r="AC34" s="29"/>
    </row>
    <row r="35" spans="1:29" s="80" customFormat="1" ht="21" customHeight="1">
      <c r="A35" s="239"/>
      <c r="B35" s="29"/>
      <c r="C35" s="29"/>
      <c r="F35" s="29"/>
      <c r="G35" s="29"/>
      <c r="H35" s="29"/>
      <c r="M35" s="29"/>
      <c r="R35" s="29"/>
      <c r="W35" s="29"/>
      <c r="AC35" s="29"/>
    </row>
    <row r="36" spans="1:29" s="80" customFormat="1" ht="21" customHeight="1">
      <c r="A36" s="239"/>
      <c r="B36" s="29"/>
      <c r="C36" s="29"/>
      <c r="F36" s="29"/>
      <c r="G36" s="29"/>
      <c r="H36" s="29"/>
      <c r="M36" s="29"/>
      <c r="R36" s="29"/>
      <c r="W36" s="29"/>
      <c r="AC36" s="29"/>
    </row>
    <row r="37" spans="1:29" s="80" customFormat="1" ht="21" customHeight="1">
      <c r="A37" s="239"/>
      <c r="B37" s="29"/>
      <c r="C37" s="29"/>
      <c r="F37" s="29"/>
      <c r="G37" s="29"/>
      <c r="H37" s="29"/>
      <c r="M37" s="29"/>
      <c r="R37" s="29"/>
      <c r="W37" s="29"/>
      <c r="AC37" s="29"/>
    </row>
    <row r="38" spans="1:29" s="239" customFormat="1" ht="21" customHeight="1">
      <c r="B38" s="29"/>
      <c r="C38" s="29"/>
      <c r="D38" s="80"/>
      <c r="E38" s="80"/>
      <c r="F38" s="29"/>
      <c r="G38" s="29"/>
      <c r="H38" s="29"/>
      <c r="I38" s="80"/>
      <c r="J38" s="80"/>
      <c r="K38" s="80"/>
      <c r="L38" s="80"/>
      <c r="M38" s="29"/>
      <c r="N38" s="80"/>
      <c r="O38" s="80"/>
      <c r="P38" s="80"/>
      <c r="Q38" s="80"/>
      <c r="R38" s="29"/>
      <c r="S38" s="80"/>
      <c r="T38" s="80"/>
      <c r="U38" s="80"/>
      <c r="V38" s="80"/>
      <c r="W38" s="29"/>
      <c r="X38" s="80"/>
      <c r="Y38" s="80"/>
      <c r="Z38" s="80"/>
      <c r="AA38" s="80"/>
      <c r="AB38" s="80"/>
      <c r="AC38" s="29"/>
    </row>
    <row r="39" spans="1:29" s="239" customFormat="1" ht="21" customHeight="1">
      <c r="B39" s="29"/>
      <c r="C39" s="29"/>
      <c r="D39" s="80"/>
      <c r="E39" s="80"/>
      <c r="F39" s="29"/>
      <c r="G39" s="29"/>
      <c r="H39" s="29"/>
      <c r="I39" s="80"/>
      <c r="J39" s="80"/>
      <c r="K39" s="80"/>
      <c r="L39" s="80"/>
      <c r="M39" s="29"/>
      <c r="N39" s="80"/>
      <c r="O39" s="80"/>
      <c r="P39" s="80"/>
      <c r="Q39" s="80"/>
      <c r="R39" s="29"/>
      <c r="S39" s="80"/>
      <c r="T39" s="80"/>
      <c r="U39" s="80"/>
      <c r="V39" s="80"/>
      <c r="W39" s="29"/>
      <c r="X39" s="80"/>
      <c r="Y39" s="80"/>
      <c r="Z39" s="80"/>
      <c r="AA39" s="80"/>
      <c r="AB39" s="80"/>
      <c r="AC39" s="29"/>
    </row>
    <row r="40" spans="1:29" s="239" customFormat="1" ht="21" customHeight="1">
      <c r="B40" s="29"/>
      <c r="C40" s="29"/>
      <c r="D40" s="80"/>
      <c r="E40" s="80"/>
      <c r="F40" s="29"/>
      <c r="G40" s="29"/>
      <c r="H40" s="29"/>
      <c r="I40" s="80"/>
      <c r="J40" s="80"/>
      <c r="K40" s="80"/>
      <c r="L40" s="80"/>
      <c r="M40" s="29"/>
      <c r="N40" s="80"/>
      <c r="O40" s="80"/>
      <c r="P40" s="80"/>
      <c r="Q40" s="80"/>
      <c r="R40" s="29"/>
      <c r="S40" s="80"/>
      <c r="T40" s="80"/>
      <c r="U40" s="80"/>
      <c r="V40" s="80"/>
      <c r="W40" s="29"/>
      <c r="X40" s="80"/>
      <c r="Y40" s="80"/>
      <c r="Z40" s="80"/>
      <c r="AA40" s="80"/>
      <c r="AB40" s="80"/>
      <c r="AC40" s="29"/>
    </row>
    <row r="41" spans="1:29" s="239" customFormat="1" ht="21" customHeight="1">
      <c r="B41" s="29"/>
      <c r="C41" s="29"/>
      <c r="D41" s="80"/>
      <c r="E41" s="80"/>
      <c r="F41" s="29"/>
      <c r="G41" s="29"/>
      <c r="H41" s="29"/>
      <c r="I41" s="80"/>
      <c r="J41" s="80"/>
      <c r="K41" s="80"/>
      <c r="L41" s="80"/>
      <c r="M41" s="29"/>
      <c r="N41" s="80"/>
      <c r="O41" s="80"/>
      <c r="P41" s="80"/>
      <c r="Q41" s="80"/>
      <c r="R41" s="29"/>
      <c r="S41" s="80"/>
      <c r="T41" s="80"/>
      <c r="U41" s="80"/>
      <c r="V41" s="80"/>
      <c r="W41" s="29"/>
      <c r="X41" s="80"/>
      <c r="Y41" s="80"/>
      <c r="Z41" s="80"/>
      <c r="AA41" s="80"/>
      <c r="AB41" s="80"/>
      <c r="AC41" s="29"/>
    </row>
    <row r="42" spans="1:29" s="239" customFormat="1" ht="21" customHeight="1">
      <c r="B42" s="29"/>
      <c r="C42" s="29"/>
      <c r="D42" s="80"/>
      <c r="E42" s="80"/>
      <c r="F42" s="29"/>
      <c r="G42" s="29"/>
      <c r="H42" s="29"/>
      <c r="I42" s="80"/>
      <c r="J42" s="80"/>
      <c r="K42" s="80"/>
      <c r="L42" s="80"/>
      <c r="M42" s="29"/>
      <c r="N42" s="80"/>
      <c r="O42" s="80"/>
      <c r="P42" s="80"/>
      <c r="Q42" s="80"/>
      <c r="R42" s="29"/>
      <c r="S42" s="80"/>
      <c r="T42" s="80"/>
      <c r="U42" s="80"/>
      <c r="V42" s="80"/>
      <c r="W42" s="29"/>
      <c r="X42" s="80"/>
      <c r="Y42" s="80"/>
      <c r="Z42" s="80"/>
      <c r="AA42" s="80"/>
      <c r="AB42" s="80"/>
      <c r="AC42" s="29"/>
    </row>
    <row r="43" spans="1:29" s="239" customFormat="1" ht="21" customHeight="1">
      <c r="B43" s="29"/>
      <c r="C43" s="29"/>
      <c r="D43" s="80"/>
      <c r="E43" s="80"/>
      <c r="F43" s="29"/>
      <c r="G43" s="29"/>
      <c r="H43" s="29"/>
      <c r="I43" s="80"/>
      <c r="J43" s="80"/>
      <c r="K43" s="80"/>
      <c r="L43" s="80"/>
      <c r="M43" s="29"/>
      <c r="N43" s="80"/>
      <c r="O43" s="80"/>
      <c r="P43" s="80"/>
      <c r="Q43" s="80"/>
      <c r="R43" s="29"/>
      <c r="S43" s="80"/>
      <c r="T43" s="80"/>
      <c r="U43" s="80"/>
      <c r="V43" s="80"/>
      <c r="W43" s="29"/>
      <c r="X43" s="80"/>
      <c r="Y43" s="80"/>
      <c r="Z43" s="80"/>
      <c r="AA43" s="80"/>
      <c r="AB43" s="80"/>
      <c r="AC43" s="29"/>
    </row>
    <row r="44" spans="1:29" s="239" customFormat="1" ht="21" customHeight="1">
      <c r="B44" s="29"/>
      <c r="C44" s="29"/>
      <c r="D44" s="80"/>
      <c r="E44" s="80"/>
      <c r="F44" s="29"/>
      <c r="G44" s="29"/>
      <c r="H44" s="29"/>
      <c r="I44" s="80"/>
      <c r="J44" s="80"/>
      <c r="K44" s="80"/>
      <c r="L44" s="80"/>
      <c r="M44" s="29"/>
      <c r="N44" s="80"/>
      <c r="O44" s="80"/>
      <c r="P44" s="80"/>
      <c r="Q44" s="80"/>
      <c r="R44" s="29"/>
      <c r="S44" s="80"/>
      <c r="T44" s="80"/>
      <c r="U44" s="80"/>
      <c r="V44" s="80"/>
      <c r="W44" s="29"/>
      <c r="X44" s="80"/>
      <c r="Y44" s="80"/>
      <c r="Z44" s="80"/>
      <c r="AA44" s="80"/>
      <c r="AB44" s="80"/>
      <c r="AC44" s="29"/>
    </row>
    <row r="45" spans="1:29" s="239" customFormat="1" ht="21" customHeight="1">
      <c r="B45" s="29"/>
      <c r="C45" s="29"/>
      <c r="D45" s="80"/>
      <c r="E45" s="80"/>
      <c r="F45" s="29"/>
      <c r="G45" s="29"/>
      <c r="H45" s="29"/>
      <c r="I45" s="80"/>
      <c r="J45" s="80"/>
      <c r="K45" s="80"/>
      <c r="L45" s="80"/>
      <c r="M45" s="29"/>
      <c r="N45" s="80"/>
      <c r="O45" s="80"/>
      <c r="P45" s="80"/>
      <c r="Q45" s="80"/>
      <c r="R45" s="29"/>
      <c r="S45" s="80"/>
      <c r="T45" s="80"/>
      <c r="U45" s="80"/>
      <c r="V45" s="80"/>
      <c r="W45" s="29"/>
      <c r="X45" s="80"/>
      <c r="Y45" s="80"/>
      <c r="Z45" s="80"/>
      <c r="AA45" s="80"/>
      <c r="AB45" s="80"/>
      <c r="AC45" s="29"/>
    </row>
  </sheetData>
  <mergeCells count="27">
    <mergeCell ref="D23:H23"/>
    <mergeCell ref="I23:M23"/>
    <mergeCell ref="N23:R23"/>
    <mergeCell ref="S23:W23"/>
    <mergeCell ref="X23:AB23"/>
    <mergeCell ref="D24:H24"/>
    <mergeCell ref="I24:M24"/>
    <mergeCell ref="N24:R24"/>
    <mergeCell ref="S24:W24"/>
    <mergeCell ref="X24:AB24"/>
    <mergeCell ref="D21:H21"/>
    <mergeCell ref="I21:M21"/>
    <mergeCell ref="N21:R21"/>
    <mergeCell ref="S21:W21"/>
    <mergeCell ref="X21:AB21"/>
    <mergeCell ref="D22:H22"/>
    <mergeCell ref="I22:M22"/>
    <mergeCell ref="N22:R22"/>
    <mergeCell ref="S22:W22"/>
    <mergeCell ref="X22:AB22"/>
    <mergeCell ref="X5:AB5"/>
    <mergeCell ref="B5:B7"/>
    <mergeCell ref="D5:H5"/>
    <mergeCell ref="I5:M5"/>
    <mergeCell ref="N5:R5"/>
    <mergeCell ref="S5:W5"/>
    <mergeCell ref="C5:C7"/>
  </mergeCell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2"/>
  <sheetViews>
    <sheetView showGridLines="0" showRowColHeaders="0" zoomScale="80" zoomScaleNormal="80" workbookViewId="0">
      <selection activeCell="E8" sqref="E8"/>
    </sheetView>
  </sheetViews>
  <sheetFormatPr defaultColWidth="10.69921875" defaultRowHeight="18.75"/>
  <cols>
    <col min="1" max="1" width="4.3984375" style="76" customWidth="1"/>
    <col min="2" max="2" width="18.3984375" style="29" customWidth="1"/>
    <col min="3" max="3" width="10.3984375" style="29" customWidth="1"/>
    <col min="4" max="4" width="8.69921875" style="80" customWidth="1"/>
    <col min="5" max="5" width="9.3984375" style="29" customWidth="1"/>
    <col min="6" max="6" width="8.69921875" style="80" customWidth="1"/>
    <col min="7" max="7" width="9" style="29" bestFit="1" customWidth="1"/>
    <col min="8" max="8" width="8.69921875" style="80" customWidth="1"/>
    <col min="9" max="9" width="9" style="80" bestFit="1" customWidth="1"/>
    <col min="10" max="10" width="8.69921875" style="80" customWidth="1"/>
    <col min="11" max="11" width="9" style="29" bestFit="1" customWidth="1"/>
    <col min="12" max="12" width="8.69921875" style="80" customWidth="1"/>
    <col min="13" max="13" width="9" style="80" bestFit="1" customWidth="1"/>
    <col min="14" max="18" width="9.3984375" style="29" customWidth="1"/>
    <col min="19" max="19" width="11.8984375" style="29" bestFit="1" customWidth="1"/>
    <col min="20" max="16384" width="10.69921875" style="29"/>
  </cols>
  <sheetData>
    <row r="1" spans="1:17" ht="5.0999999999999996" customHeight="1">
      <c r="A1" s="27"/>
      <c r="B1" s="2"/>
      <c r="C1" s="2"/>
      <c r="D1" s="28"/>
      <c r="E1" s="2"/>
      <c r="F1" s="28"/>
      <c r="G1" s="2"/>
      <c r="H1" s="28"/>
      <c r="I1" s="28"/>
      <c r="J1" s="28"/>
      <c r="K1" s="2"/>
      <c r="L1" s="28"/>
      <c r="M1" s="28"/>
      <c r="N1" s="2"/>
      <c r="P1" s="2"/>
    </row>
    <row r="2" spans="1:17" ht="15" customHeight="1">
      <c r="A2" s="27"/>
      <c r="B2" s="2"/>
      <c r="C2" s="2"/>
      <c r="D2" s="28"/>
      <c r="E2" s="2"/>
      <c r="F2" s="28"/>
      <c r="G2" s="2"/>
      <c r="H2" s="28"/>
      <c r="I2" s="28"/>
      <c r="J2" s="28"/>
      <c r="K2" s="2"/>
      <c r="L2" s="28"/>
      <c r="M2" s="28"/>
      <c r="N2" s="2"/>
      <c r="P2" s="2"/>
    </row>
    <row r="3" spans="1:17" ht="30.75">
      <c r="A3" s="30"/>
      <c r="B3" s="31" t="s">
        <v>638</v>
      </c>
      <c r="C3" s="32"/>
      <c r="D3" s="33"/>
      <c r="E3" s="8"/>
      <c r="F3" s="33"/>
      <c r="G3" s="8"/>
      <c r="H3" s="33"/>
      <c r="I3" s="33"/>
      <c r="J3" s="33"/>
      <c r="K3" s="8"/>
      <c r="L3" s="33"/>
      <c r="M3" s="33"/>
      <c r="N3" s="8"/>
      <c r="P3" s="8"/>
    </row>
    <row r="4" spans="1:17" ht="5.25" customHeight="1">
      <c r="A4" s="30"/>
      <c r="B4" s="8"/>
      <c r="C4" s="8"/>
      <c r="D4" s="34"/>
      <c r="E4" s="35"/>
      <c r="F4" s="34"/>
      <c r="G4" s="35"/>
      <c r="H4" s="34"/>
      <c r="I4" s="34"/>
      <c r="J4" s="34"/>
      <c r="K4" s="35"/>
      <c r="L4" s="34"/>
      <c r="M4" s="34"/>
      <c r="N4" s="8"/>
      <c r="P4" s="8"/>
    </row>
    <row r="5" spans="1:17" s="38" customFormat="1" ht="33" customHeight="1">
      <c r="A5" s="36"/>
      <c r="B5" s="1040"/>
      <c r="C5" s="1051"/>
      <c r="D5" s="1038" t="s">
        <v>639</v>
      </c>
      <c r="E5" s="1041"/>
      <c r="F5" s="1038" t="s">
        <v>643</v>
      </c>
      <c r="G5" s="1041"/>
      <c r="H5" s="1038" t="s">
        <v>640</v>
      </c>
      <c r="I5" s="1041"/>
      <c r="J5" s="1038" t="s">
        <v>641</v>
      </c>
      <c r="K5" s="1041"/>
      <c r="L5" s="1038" t="s">
        <v>642</v>
      </c>
      <c r="M5" s="1039"/>
      <c r="N5" s="37"/>
      <c r="P5" s="37"/>
    </row>
    <row r="6" spans="1:17" s="38" customFormat="1" ht="5.25" customHeight="1">
      <c r="A6" s="39"/>
      <c r="B6" s="1040"/>
      <c r="C6" s="1051"/>
      <c r="D6" s="40"/>
      <c r="E6" s="41"/>
      <c r="F6" s="42"/>
      <c r="G6" s="43"/>
      <c r="H6" s="40"/>
      <c r="I6" s="42"/>
      <c r="J6" s="42"/>
      <c r="K6" s="43"/>
      <c r="L6" s="40"/>
      <c r="M6" s="43"/>
    </row>
    <row r="7" spans="1:17" s="45" customFormat="1" ht="19.5" customHeight="1">
      <c r="A7" s="44"/>
      <c r="B7" s="1040"/>
      <c r="C7" s="1051"/>
      <c r="D7" s="1054" t="s">
        <v>623</v>
      </c>
      <c r="E7" s="706" t="s">
        <v>624</v>
      </c>
      <c r="F7" s="1054" t="s">
        <v>623</v>
      </c>
      <c r="G7" s="706" t="s">
        <v>624</v>
      </c>
      <c r="H7" s="1054" t="s">
        <v>623</v>
      </c>
      <c r="I7" s="706" t="s">
        <v>624</v>
      </c>
      <c r="J7" s="1054" t="s">
        <v>623</v>
      </c>
      <c r="K7" s="706" t="s">
        <v>624</v>
      </c>
      <c r="L7" s="1054" t="s">
        <v>623</v>
      </c>
      <c r="M7" s="707" t="s">
        <v>624</v>
      </c>
    </row>
    <row r="8" spans="1:17" s="45" customFormat="1" ht="19.5" customHeight="1" thickBot="1">
      <c r="A8" s="44"/>
      <c r="B8" s="1052"/>
      <c r="C8" s="1053"/>
      <c r="D8" s="1055"/>
      <c r="E8" s="705">
        <f>IF(DAY('AA DB'!$B$7)&gt;26, 'AA DB'!$B$7+10, 'AA DB'!$B$7)</f>
        <v>45020</v>
      </c>
      <c r="F8" s="1055"/>
      <c r="G8" s="705">
        <f>IF(DAY('AA DB'!$B$7)&gt;26, 'AA DB'!$B$7+10, 'AA DB'!$B$7)</f>
        <v>45020</v>
      </c>
      <c r="H8" s="1055"/>
      <c r="I8" s="705">
        <f>IF(DAY('AA DB'!$B$7)&gt;26, 'AA DB'!$B$7+10, 'AA DB'!$B$7)</f>
        <v>45020</v>
      </c>
      <c r="J8" s="1055"/>
      <c r="K8" s="705">
        <f>IF(DAY('AA DB'!$B$7)&gt;26, 'AA DB'!$B$7+10, 'AA DB'!$B$7)</f>
        <v>45020</v>
      </c>
      <c r="L8" s="1055"/>
      <c r="M8" s="708">
        <f>IF(DAY('AA DB'!$B$7)&gt;26, 'AA DB'!$B$7+10, 'AA DB'!$B$7)</f>
        <v>45020</v>
      </c>
    </row>
    <row r="9" spans="1:17" s="48" customFormat="1" ht="20.25" customHeight="1" thickTop="1" thickBot="1">
      <c r="A9" s="46"/>
      <c r="B9" s="47" t="s">
        <v>11</v>
      </c>
      <c r="C9" s="47"/>
      <c r="D9" s="11">
        <f ca="1">D10+D11+D15+D19</f>
        <v>1</v>
      </c>
      <c r="E9" s="24">
        <f t="shared" ref="E9:M9" si="0">E10+E11+E15+E19</f>
        <v>1</v>
      </c>
      <c r="F9" s="11">
        <f t="shared" ca="1" si="0"/>
        <v>0.85</v>
      </c>
      <c r="G9" s="24">
        <f t="shared" si="0"/>
        <v>0.87000000000000011</v>
      </c>
      <c r="H9" s="11">
        <f t="shared" ca="1" si="0"/>
        <v>0.7</v>
      </c>
      <c r="I9" s="24">
        <f t="shared" si="0"/>
        <v>0.72499999999999998</v>
      </c>
      <c r="J9" s="11">
        <f t="shared" ca="1" si="0"/>
        <v>0.5</v>
      </c>
      <c r="K9" s="24">
        <f t="shared" si="0"/>
        <v>0.53</v>
      </c>
      <c r="L9" s="11">
        <f t="shared" ca="1" si="0"/>
        <v>0.3</v>
      </c>
      <c r="M9" s="24">
        <f t="shared" si="0"/>
        <v>0.35500000000000004</v>
      </c>
    </row>
    <row r="10" spans="1:17" s="48" customFormat="1" ht="20.25" thickTop="1" thickBot="1">
      <c r="A10" s="49"/>
      <c r="B10" s="50" t="s">
        <v>620</v>
      </c>
      <c r="C10" s="51" t="s">
        <v>637</v>
      </c>
      <c r="D10" s="12">
        <f ca="1">OFFSET('Asset Allocation Estrutural'!$B$8, MATCH($C10,'Asset Allocation Estrutural'!$C$8:$C$16,0)-1, 3+MATCH(D$5, 'Asset Allocation Estrutural'!$D$5:$AB$5,0))</f>
        <v>0.85</v>
      </c>
      <c r="E10" s="25" cm="1">
        <f t="array" ref="E10">SUM(IF(IF(IF(Tbl_AssetAllocation[TipoPerfil]="TÁTICO", Tbl_AssetAllocation[Perfil])=UPPER(D$5), Tbl_AssetAllocation[Ativo])=SUBSTITUTE($C10,"&amp;", ""),Tbl_AssetAllocation[Peso],0))</f>
        <v>0.82499999999999996</v>
      </c>
      <c r="F10" s="12">
        <f ca="1">OFFSET('Asset Allocation Estrutural'!$B$8, MATCH($C10,'Asset Allocation Estrutural'!$C$8:$C$16,0)-1, 3+MATCH(F$5, 'Asset Allocation Estrutural'!$D$5:$AB$5,0))</f>
        <v>0.7</v>
      </c>
      <c r="G10" s="25" cm="1">
        <f t="array" ref="G10">SUM(IF(IF(IF(Tbl_AssetAllocation[TipoPerfil]="TÁTICO", Tbl_AssetAllocation[Perfil])=UPPER(F$5), Tbl_AssetAllocation[Ativo])=SUBSTITUTE($C10,"&amp;", ""),Tbl_AssetAllocation[Peso],0))</f>
        <v>0.67</v>
      </c>
      <c r="H10" s="12">
        <f ca="1">OFFSET('Asset Allocation Estrutural'!$B$8, MATCH($C10,'Asset Allocation Estrutural'!$C$8:$C$16,0)-1, 3+MATCH(H$5, 'Asset Allocation Estrutural'!$D$5:$AB$5,0))</f>
        <v>0.6</v>
      </c>
      <c r="I10" s="25" cm="1">
        <f t="array" ref="I10">SUM(IF(IF(IF(Tbl_AssetAllocation[TipoPerfil]="TÁTICO", Tbl_AssetAllocation[Perfil])=UPPER(H$5), Tbl_AssetAllocation[Ativo])=SUBSTITUTE($C10,"&amp;", ""),Tbl_AssetAllocation[Peso],0))</f>
        <v>0.56499999999999995</v>
      </c>
      <c r="J10" s="12">
        <f ca="1">OFFSET('Asset Allocation Estrutural'!$B$8, MATCH($C10,'Asset Allocation Estrutural'!$C$8:$C$16,0)-1, 3+MATCH(J$5, 'Asset Allocation Estrutural'!$D$5:$AB$5,0))</f>
        <v>0.3</v>
      </c>
      <c r="K10" s="25" cm="1">
        <f t="array" ref="K10">SUM(IF(IF(IF(Tbl_AssetAllocation[TipoPerfil]="TÁTICO", Tbl_AssetAllocation[Perfil])=UPPER(J$5), Tbl_AssetAllocation[Ativo])=SUBSTITUTE($C10,"&amp;", ""),Tbl_AssetAllocation[Peso],0))</f>
        <v>0.26500000000000001</v>
      </c>
      <c r="L10" s="12">
        <f ca="1">OFFSET('Asset Allocation Estrutural'!$B$8, MATCH($C10,'Asset Allocation Estrutural'!$C$8:$C$16,0)-1, 3+MATCH(L$5, 'Asset Allocation Estrutural'!$D$5:$AB$5,0))</f>
        <v>0.15</v>
      </c>
      <c r="M10" s="25" cm="1">
        <f t="array" ref="M10">SUM(IF(IF(IF(Tbl_AssetAllocation[TipoPerfil]="TÁTICO", Tbl_AssetAllocation[Perfil])=UPPER(L$5), Tbl_AssetAllocation[Ativo])=SUBSTITUTE($C10,"&amp;", ""),Tbl_AssetAllocation[Peso],0))</f>
        <v>0.13500000000000001</v>
      </c>
      <c r="O10" s="237"/>
      <c r="Q10" s="237"/>
    </row>
    <row r="11" spans="1:17" s="48" customFormat="1" ht="20.25" thickTop="1" thickBot="1">
      <c r="A11" s="49"/>
      <c r="B11" s="50" t="s">
        <v>621</v>
      </c>
      <c r="C11" s="51" t="s">
        <v>150</v>
      </c>
      <c r="D11" s="12">
        <f ca="1">OFFSET('Asset Allocation Estrutural'!$B$8, MATCH($C11,'Asset Allocation Estrutural'!$C$8:$C$16,0)-1, 3+MATCH(D$5, 'Asset Allocation Estrutural'!$D$5:$AB$5,0))</f>
        <v>0.15</v>
      </c>
      <c r="E11" s="25">
        <f>SUM(E12:E14)</f>
        <v>0.16</v>
      </c>
      <c r="F11" s="12">
        <f ca="1">OFFSET('Asset Allocation Estrutural'!$B$8, MATCH($C11,'Asset Allocation Estrutural'!$C$8:$C$16,0)-1, 3+MATCH(F$5, 'Asset Allocation Estrutural'!$D$5:$AB$5,0))</f>
        <v>0.15</v>
      </c>
      <c r="G11" s="25">
        <f>SUM(G12:G14)</f>
        <v>0.16</v>
      </c>
      <c r="H11" s="12">
        <f ca="1">OFFSET('Asset Allocation Estrutural'!$B$8, MATCH($C11,'Asset Allocation Estrutural'!$C$8:$C$16,0)-1, 3+MATCH(H$5, 'Asset Allocation Estrutural'!$D$5:$AB$5,0))</f>
        <v>0.1</v>
      </c>
      <c r="I11" s="25">
        <f>SUM(I12:I14)</f>
        <v>0.11</v>
      </c>
      <c r="J11" s="12">
        <f ca="1">OFFSET('Asset Allocation Estrutural'!$B$8, MATCH($C11,'Asset Allocation Estrutural'!$C$8:$C$16,0)-1, 3+MATCH(J$5, 'Asset Allocation Estrutural'!$D$5:$AB$5,0))</f>
        <v>0.2</v>
      </c>
      <c r="K11" s="25">
        <f>SUM(K12:K14)</f>
        <v>0.21</v>
      </c>
      <c r="L11" s="12">
        <f ca="1">OFFSET('Asset Allocation Estrutural'!$B$8, MATCH($C11,'Asset Allocation Estrutural'!$C$8:$C$16,0)-1, 3+MATCH(L$5, 'Asset Allocation Estrutural'!$D$5:$AB$5,0))</f>
        <v>0.15</v>
      </c>
      <c r="M11" s="25">
        <f>SUM(M12:M14)</f>
        <v>0.16</v>
      </c>
      <c r="O11" s="237"/>
      <c r="Q11" s="237"/>
    </row>
    <row r="12" spans="1:17" s="38" customFormat="1" ht="20.25" customHeight="1" thickTop="1" thickBot="1">
      <c r="A12" s="52"/>
      <c r="B12" s="102" t="s">
        <v>2747</v>
      </c>
      <c r="C12" s="54" t="s">
        <v>636</v>
      </c>
      <c r="D12" s="698"/>
      <c r="E12" s="26" cm="1">
        <f t="array" ref="E12">SUM(IF(IF(IF(Tbl_AssetAllocation[TipoPerfil]="TÁTICO", Tbl_AssetAllocation[Perfil])=UPPER(D$5), Tbl_AssetAllocation[Ativo])=$C12,Tbl_AssetAllocation[Peso],0))</f>
        <v>0</v>
      </c>
      <c r="F12" s="13"/>
      <c r="G12" s="26" cm="1">
        <f t="array" ref="G12">SUM(IF(IF(IF(Tbl_AssetAllocation[TipoPerfil]="TÁTICO", Tbl_AssetAllocation[Perfil])=UPPER(F$5), Tbl_AssetAllocation[Ativo])=$C12,Tbl_AssetAllocation[Peso],0))</f>
        <v>0</v>
      </c>
      <c r="H12" s="13"/>
      <c r="I12" s="26" cm="1">
        <f t="array" ref="I12">SUM(IF(IF(IF(Tbl_AssetAllocation[TipoPerfil]="TÁTICO", Tbl_AssetAllocation[Perfil])=UPPER(H$5), Tbl_AssetAllocation[Ativo])=$C12,Tbl_AssetAllocation[Peso],0))</f>
        <v>0</v>
      </c>
      <c r="J12" s="13"/>
      <c r="K12" s="26" cm="1">
        <f t="array" ref="K12">SUM(IF(IF(IF(Tbl_AssetAllocation[TipoPerfil]="TÁTICO", Tbl_AssetAllocation[Perfil])=UPPER(J$5), Tbl_AssetAllocation[Ativo])=$C12,Tbl_AssetAllocation[Peso],0))</f>
        <v>0</v>
      </c>
      <c r="L12" s="13"/>
      <c r="M12" s="26" cm="1">
        <f t="array" ref="M12">SUM(IF(IF(IF(Tbl_AssetAllocation[TipoPerfil]="TÁTICO", Tbl_AssetAllocation[Perfil])=UPPER(L$5), Tbl_AssetAllocation[Ativo])=$C12,Tbl_AssetAllocation[Peso],0))</f>
        <v>0</v>
      </c>
      <c r="O12" s="237"/>
      <c r="Q12" s="237"/>
    </row>
    <row r="13" spans="1:17" s="38" customFormat="1" ht="20.25" customHeight="1" thickBot="1">
      <c r="A13" s="52"/>
      <c r="B13" s="103" t="s">
        <v>2748</v>
      </c>
      <c r="C13" s="56" t="s">
        <v>150</v>
      </c>
      <c r="D13" s="699"/>
      <c r="E13" s="26" cm="1">
        <f t="array" ref="E13">SUM(IF(IF(IF(Tbl_AssetAllocation[TipoPerfil]="TÁTICO", Tbl_AssetAllocation[Perfil])=UPPER(D$5), Tbl_AssetAllocation[Ativo])=$C13,Tbl_AssetAllocation[Peso],0))</f>
        <v>0.16</v>
      </c>
      <c r="F13" s="14"/>
      <c r="G13" s="26" cm="1">
        <f t="array" ref="G13">SUM(IF(IF(IF(Tbl_AssetAllocation[TipoPerfil]="TÁTICO", Tbl_AssetAllocation[Perfil])=UPPER(F$5), Tbl_AssetAllocation[Ativo])=$C13,Tbl_AssetAllocation[Peso],0))</f>
        <v>0.16</v>
      </c>
      <c r="H13" s="14"/>
      <c r="I13" s="26" cm="1">
        <f t="array" ref="I13">SUM(IF(IF(IF(Tbl_AssetAllocation[TipoPerfil]="TÁTICO", Tbl_AssetAllocation[Perfil])=UPPER(H$5), Tbl_AssetAllocation[Ativo])=$C13,Tbl_AssetAllocation[Peso],0))</f>
        <v>0.11</v>
      </c>
      <c r="J13" s="14"/>
      <c r="K13" s="26" cm="1">
        <f t="array" ref="K13">SUM(IF(IF(IF(Tbl_AssetAllocation[TipoPerfil]="TÁTICO", Tbl_AssetAllocation[Perfil])=UPPER(J$5), Tbl_AssetAllocation[Ativo])=$C13,Tbl_AssetAllocation[Peso],0))</f>
        <v>0.21</v>
      </c>
      <c r="L13" s="14"/>
      <c r="M13" s="26" cm="1">
        <f t="array" ref="M13">SUM(IF(IF(IF(Tbl_AssetAllocation[TipoPerfil]="TÁTICO", Tbl_AssetAllocation[Perfil])=UPPER(L$5), Tbl_AssetAllocation[Ativo])=$C13,Tbl_AssetAllocation[Peso],0))</f>
        <v>0.16</v>
      </c>
      <c r="O13" s="308"/>
      <c r="Q13" s="308"/>
    </row>
    <row r="14" spans="1:17" s="38" customFormat="1" ht="20.25" customHeight="1" thickBot="1">
      <c r="A14" s="52"/>
      <c r="B14" s="104" t="s">
        <v>1369</v>
      </c>
      <c r="C14" s="58" t="s">
        <v>635</v>
      </c>
      <c r="D14" s="700"/>
      <c r="E14" s="26" cm="1">
        <f t="array" ref="E14">SUM(IF(IF(IF(Tbl_AssetAllocation[TipoPerfil]="TÁTICO", Tbl_AssetAllocation[Perfil])=UPPER(D$5), Tbl_AssetAllocation[Ativo])=$C14,Tbl_AssetAllocation[Peso],0))</f>
        <v>0</v>
      </c>
      <c r="F14" s="15"/>
      <c r="G14" s="26" cm="1">
        <f t="array" ref="G14">SUM(IF(IF(IF(Tbl_AssetAllocation[TipoPerfil]="TÁTICO", Tbl_AssetAllocation[Perfil])=UPPER(F$5), Tbl_AssetAllocation[Ativo])=$C14,Tbl_AssetAllocation[Peso],0))</f>
        <v>0</v>
      </c>
      <c r="H14" s="15"/>
      <c r="I14" s="26" cm="1">
        <f t="array" ref="I14">SUM(IF(IF(IF(Tbl_AssetAllocation[TipoPerfil]="TÁTICO", Tbl_AssetAllocation[Perfil])=UPPER(H$5), Tbl_AssetAllocation[Ativo])=$C14,Tbl_AssetAllocation[Peso],0))</f>
        <v>0</v>
      </c>
      <c r="J14" s="15"/>
      <c r="K14" s="26" cm="1">
        <f t="array" ref="K14">SUM(IF(IF(IF(Tbl_AssetAllocation[TipoPerfil]="TÁTICO", Tbl_AssetAllocation[Perfil])=UPPER(J$5), Tbl_AssetAllocation[Ativo])=$C14,Tbl_AssetAllocation[Peso],0))</f>
        <v>0</v>
      </c>
      <c r="L14" s="15"/>
      <c r="M14" s="26" cm="1">
        <f t="array" ref="M14">SUM(IF(IF(IF(Tbl_AssetAllocation[TipoPerfil]="TÁTICO", Tbl_AssetAllocation[Perfil])=UPPER(L$5), Tbl_AssetAllocation[Ativo])=$C14,Tbl_AssetAllocation[Peso],0))</f>
        <v>0</v>
      </c>
      <c r="O14" s="308"/>
      <c r="Q14" s="308"/>
    </row>
    <row r="15" spans="1:17" s="48" customFormat="1" ht="20.25" thickTop="1" thickBot="1">
      <c r="A15" s="49"/>
      <c r="B15" s="105" t="s">
        <v>661</v>
      </c>
      <c r="C15" s="51" t="s">
        <v>633</v>
      </c>
      <c r="D15" s="12">
        <f ca="1">OFFSET('Asset Allocation Estrutural'!$B$8, MATCH($C15,'Asset Allocation Estrutural'!$C$8:$C$16,0)-1, 3+MATCH(D$5, 'Asset Allocation Estrutural'!$D$5:$AB$5,0))</f>
        <v>0</v>
      </c>
      <c r="E15" s="25">
        <f>SUM(E16:E18)</f>
        <v>0.01</v>
      </c>
      <c r="F15" s="12">
        <f ca="1">OFFSET('Asset Allocation Estrutural'!$B$8, MATCH($C15,'Asset Allocation Estrutural'!$C$8:$C$16,0)-1, 3+MATCH(F$5, 'Asset Allocation Estrutural'!$D$5:$AB$5,0))</f>
        <v>0</v>
      </c>
      <c r="G15" s="25">
        <f>SUM(G16:G18)</f>
        <v>0.03</v>
      </c>
      <c r="H15" s="12">
        <f ca="1">OFFSET('Asset Allocation Estrutural'!$B$8, MATCH($C15,'Asset Allocation Estrutural'!$C$8:$C$16,0)-1, 3+MATCH(H$5, 'Asset Allocation Estrutural'!$D$5:$AB$5,0))</f>
        <v>0</v>
      </c>
      <c r="I15" s="25">
        <f>SUM(I16:I18)</f>
        <v>3.5000000000000003E-2</v>
      </c>
      <c r="J15" s="12">
        <f ca="1">OFFSET('Asset Allocation Estrutural'!$B$8, MATCH($C15,'Asset Allocation Estrutural'!$C$8:$C$16,0)-1, 3+MATCH(J$5, 'Asset Allocation Estrutural'!$D$5:$AB$5,0))</f>
        <v>0</v>
      </c>
      <c r="K15" s="25">
        <f>SUM(K16:K18)</f>
        <v>0.04</v>
      </c>
      <c r="L15" s="12">
        <f ca="1">OFFSET('Asset Allocation Estrutural'!$B$8, MATCH($C15,'Asset Allocation Estrutural'!$C$8:$C$16,0)-1, 3+MATCH(L$5, 'Asset Allocation Estrutural'!$D$5:$AB$5,0))</f>
        <v>0</v>
      </c>
      <c r="M15" s="25">
        <f>SUM(M16:M18)</f>
        <v>0.05</v>
      </c>
      <c r="O15" s="309"/>
      <c r="Q15" s="309"/>
    </row>
    <row r="16" spans="1:17" s="38" customFormat="1" ht="20.25" customHeight="1" thickTop="1" thickBot="1">
      <c r="A16" s="52"/>
      <c r="B16" s="102" t="s">
        <v>1372</v>
      </c>
      <c r="C16" s="54" t="s">
        <v>634</v>
      </c>
      <c r="D16" s="698"/>
      <c r="E16" s="26" cm="1">
        <f t="array" ref="E16">SUM(IF(IF(IF(Tbl_AssetAllocation[TipoPerfil]="TÁTICO", Tbl_AssetAllocation[Perfil])=UPPER(D$5), Tbl_AssetAllocation[Ativo])=$C16,Tbl_AssetAllocation[Peso],0))</f>
        <v>0.01</v>
      </c>
      <c r="F16" s="13"/>
      <c r="G16" s="26" cm="1">
        <f t="array" ref="G16">SUM(IF(IF(IF(Tbl_AssetAllocation[TipoPerfil]="TÁTICO", Tbl_AssetAllocation[Perfil])=UPPER(F$5), Tbl_AssetAllocation[Ativo])=$C16,Tbl_AssetAllocation[Peso],0))</f>
        <v>0.03</v>
      </c>
      <c r="H16" s="13"/>
      <c r="I16" s="26" cm="1">
        <f t="array" ref="I16">SUM(IF(IF(IF(Tbl_AssetAllocation[TipoPerfil]="TÁTICO", Tbl_AssetAllocation[Perfil])=UPPER(H$5), Tbl_AssetAllocation[Ativo])=$C16,Tbl_AssetAllocation[Peso],0))</f>
        <v>3.5000000000000003E-2</v>
      </c>
      <c r="J16" s="13"/>
      <c r="K16" s="26" cm="1">
        <f t="array" ref="K16">SUM(IF(IF(IF(Tbl_AssetAllocation[TipoPerfil]="TÁTICO", Tbl_AssetAllocation[Perfil])=UPPER(J$5), Tbl_AssetAllocation[Ativo])=$C16,Tbl_AssetAllocation[Peso],0))</f>
        <v>0.04</v>
      </c>
      <c r="L16" s="13"/>
      <c r="M16" s="26" cm="1">
        <f t="array" ref="M16">SUM(IF(IF(IF(Tbl_AssetAllocation[TipoPerfil]="TÁTICO", Tbl_AssetAllocation[Perfil])=UPPER(L$5), Tbl_AssetAllocation[Ativo])=$C16,Tbl_AssetAllocation[Peso],0))</f>
        <v>0.05</v>
      </c>
      <c r="O16" s="308"/>
      <c r="Q16" s="308"/>
    </row>
    <row r="17" spans="1:17" s="38" customFormat="1" ht="20.25" customHeight="1" thickBot="1">
      <c r="A17" s="52"/>
      <c r="B17" s="103" t="s">
        <v>2746</v>
      </c>
      <c r="C17" s="56" t="s">
        <v>633</v>
      </c>
      <c r="D17" s="699"/>
      <c r="E17" s="26" cm="1">
        <f t="array" ref="E17">SUM(IF(IF(IF(Tbl_AssetAllocation[TipoPerfil]="TÁTICO", Tbl_AssetAllocation[Perfil])=UPPER(D$5), Tbl_AssetAllocation[Ativo])=$C17,Tbl_AssetAllocation[Peso],0))</f>
        <v>0</v>
      </c>
      <c r="F17" s="14"/>
      <c r="G17" s="26" cm="1">
        <f t="array" ref="G17">SUM(IF(IF(IF(Tbl_AssetAllocation[TipoPerfil]="TÁTICO", Tbl_AssetAllocation[Perfil])=UPPER(F$5), Tbl_AssetAllocation[Ativo])=$C17,Tbl_AssetAllocation[Peso],0))</f>
        <v>0</v>
      </c>
      <c r="H17" s="14"/>
      <c r="I17" s="26" cm="1">
        <f t="array" ref="I17">SUM(IF(IF(IF(Tbl_AssetAllocation[TipoPerfil]="TÁTICO", Tbl_AssetAllocation[Perfil])=UPPER(H$5), Tbl_AssetAllocation[Ativo])=$C17,Tbl_AssetAllocation[Peso],0))</f>
        <v>0</v>
      </c>
      <c r="J17" s="14"/>
      <c r="K17" s="26" cm="1">
        <f t="array" ref="K17">SUM(IF(IF(IF(Tbl_AssetAllocation[TipoPerfil]="TÁTICO", Tbl_AssetAllocation[Perfil])=UPPER(J$5), Tbl_AssetAllocation[Ativo])=$C17,Tbl_AssetAllocation[Peso],0))</f>
        <v>0</v>
      </c>
      <c r="L17" s="14"/>
      <c r="M17" s="26" cm="1">
        <f t="array" ref="M17">SUM(IF(IF(IF(Tbl_AssetAllocation[TipoPerfil]="TÁTICO", Tbl_AssetAllocation[Perfil])=UPPER(L$5), Tbl_AssetAllocation[Ativo])=$C17,Tbl_AssetAllocation[Peso],0))</f>
        <v>0</v>
      </c>
      <c r="O17" s="308"/>
      <c r="Q17" s="308"/>
    </row>
    <row r="18" spans="1:17" s="38" customFormat="1" ht="20.25" customHeight="1" thickBot="1">
      <c r="A18" s="52"/>
      <c r="B18" s="104" t="s">
        <v>1370</v>
      </c>
      <c r="C18" s="58" t="s">
        <v>632</v>
      </c>
      <c r="D18" s="700"/>
      <c r="E18" s="26" cm="1">
        <f t="array" ref="E18">SUM(IF(IF(IF(Tbl_AssetAllocation[TipoPerfil]="TÁTICO", Tbl_AssetAllocation[Perfil])=UPPER(D$5), Tbl_AssetAllocation[Ativo])=$C18,Tbl_AssetAllocation[Peso],0))</f>
        <v>0</v>
      </c>
      <c r="F18" s="15"/>
      <c r="G18" s="26" cm="1">
        <f t="array" ref="G18">SUM(IF(IF(IF(Tbl_AssetAllocation[TipoPerfil]="TÁTICO", Tbl_AssetAllocation[Perfil])=UPPER(F$5), Tbl_AssetAllocation[Ativo])=$C18,Tbl_AssetAllocation[Peso],0))</f>
        <v>0</v>
      </c>
      <c r="H18" s="15"/>
      <c r="I18" s="26" cm="1">
        <f t="array" ref="I18">SUM(IF(IF(IF(Tbl_AssetAllocation[TipoPerfil]="TÁTICO", Tbl_AssetAllocation[Perfil])=UPPER(H$5), Tbl_AssetAllocation[Ativo])=$C18,Tbl_AssetAllocation[Peso],0))</f>
        <v>0</v>
      </c>
      <c r="J18" s="15"/>
      <c r="K18" s="26" cm="1">
        <f t="array" ref="K18">SUM(IF(IF(IF(Tbl_AssetAllocation[TipoPerfil]="TÁTICO", Tbl_AssetAllocation[Perfil])=UPPER(J$5), Tbl_AssetAllocation[Ativo])=$C18,Tbl_AssetAllocation[Peso],0))</f>
        <v>0</v>
      </c>
      <c r="L18" s="15"/>
      <c r="M18" s="26" cm="1">
        <f t="array" ref="M18">SUM(IF(IF(IF(Tbl_AssetAllocation[TipoPerfil]="TÁTICO", Tbl_AssetAllocation[Perfil])=UPPER(L$5), Tbl_AssetAllocation[Ativo])=$C18,Tbl_AssetAllocation[Peso],0))</f>
        <v>0</v>
      </c>
    </row>
    <row r="19" spans="1:17" s="48" customFormat="1" ht="20.25" thickTop="1" thickBot="1">
      <c r="A19" s="49"/>
      <c r="B19" s="50" t="s">
        <v>628</v>
      </c>
      <c r="C19" s="51" t="s">
        <v>4278</v>
      </c>
      <c r="D19" s="12">
        <f ca="1">OFFSET('Asset Allocation Estrutural'!$B$8, MATCH($C19,'Asset Allocation Estrutural'!$C$8:$C$16,0)-1, 3+MATCH(D$5, 'Asset Allocation Estrutural'!$D$5:$AB$5,0))</f>
        <v>0</v>
      </c>
      <c r="E19" s="25" cm="1">
        <f t="array" ref="E19">SUM(IF(IF(IF(Tbl_AssetAllocation[TipoPerfil]="TÁTICO", Tbl_AssetAllocation[Perfil])=UPPER(D$5), Tbl_AssetAllocation[Ativo])=SUBSTITUTE($C19,"&amp;", ""),Tbl_AssetAllocation[Peso],0))</f>
        <v>5.0000000000000001E-3</v>
      </c>
      <c r="F19" s="12">
        <f ca="1">OFFSET('Asset Allocation Estrutural'!$B$8, MATCH($C19,'Asset Allocation Estrutural'!$C$8:$C$16,0)-1, 3+MATCH(F$5, 'Asset Allocation Estrutural'!$D$5:$AB$5,0))</f>
        <v>0</v>
      </c>
      <c r="G19" s="25" cm="1">
        <f t="array" ref="G19">SUM(IF(IF(IF(Tbl_AssetAllocation[TipoPerfil]="TÁTICO", Tbl_AssetAllocation[Perfil])=UPPER(F$5), Tbl_AssetAllocation[Ativo])=SUBSTITUTE($C19,"&amp;", ""),Tbl_AssetAllocation[Peso],0))</f>
        <v>0.01</v>
      </c>
      <c r="H19" s="12">
        <f ca="1">OFFSET('Asset Allocation Estrutural'!$B$8, MATCH($C19,'Asset Allocation Estrutural'!$C$8:$C$16,0)-1, 3+MATCH(H$5, 'Asset Allocation Estrutural'!$D$5:$AB$5,0))</f>
        <v>0</v>
      </c>
      <c r="I19" s="25" cm="1">
        <f t="array" ref="I19">SUM(IF(IF(IF(Tbl_AssetAllocation[TipoPerfil]="TÁTICO", Tbl_AssetAllocation[Perfil])=UPPER(H$5), Tbl_AssetAllocation[Ativo])=SUBSTITUTE($C19,"&amp;", ""),Tbl_AssetAllocation[Peso],0))</f>
        <v>1.4999999999999999E-2</v>
      </c>
      <c r="J19" s="12">
        <f ca="1">OFFSET('Asset Allocation Estrutural'!$B$8, MATCH($C19,'Asset Allocation Estrutural'!$C$8:$C$16,0)-1, 3+MATCH(J$5, 'Asset Allocation Estrutural'!$D$5:$AB$5,0))</f>
        <v>0</v>
      </c>
      <c r="K19" s="25" cm="1">
        <f t="array" ref="K19">SUM(IF(IF(IF(Tbl_AssetAllocation[TipoPerfil]="TÁTICO", Tbl_AssetAllocation[Perfil])=UPPER(J$5), Tbl_AssetAllocation[Ativo])=SUBSTITUTE($C19,"&amp;", ""),Tbl_AssetAllocation[Peso],0))</f>
        <v>1.4999999999999999E-2</v>
      </c>
      <c r="L19" s="12">
        <f ca="1">OFFSET('Asset Allocation Estrutural'!$B$8, MATCH($C19,'Asset Allocation Estrutural'!$C$8:$C$16,0)-1, 3+MATCH(L$5, 'Asset Allocation Estrutural'!$D$5:$AB$5,0))</f>
        <v>0</v>
      </c>
      <c r="M19" s="25" cm="1">
        <f t="array" ref="M19">SUM(IF(IF(IF(Tbl_AssetAllocation[TipoPerfil]="TÁTICO", Tbl_AssetAllocation[Perfil])=UPPER(L$5), Tbl_AssetAllocation[Ativo])=SUBSTITUTE($C19,"&amp;", ""),Tbl_AssetAllocation[Peso],0))</f>
        <v>0.01</v>
      </c>
      <c r="O19" s="237"/>
      <c r="Q19" s="237"/>
    </row>
    <row r="20" spans="1:17" s="48" customFormat="1" ht="20.25" thickTop="1" thickBot="1">
      <c r="A20" s="46"/>
      <c r="B20" s="47" t="s">
        <v>13</v>
      </c>
      <c r="C20" s="59" t="s">
        <v>630</v>
      </c>
      <c r="D20" s="11">
        <f ca="1">OFFSET('Asset Allocation Estrutural'!$B$8, MATCH($C20,'Asset Allocation Estrutural'!$C$8:$C$16,0)-1, 3+MATCH(D$5, 'Asset Allocation Estrutural'!$D$5:$AB$5,0))</f>
        <v>0</v>
      </c>
      <c r="E20" s="24" cm="1">
        <f t="array" ref="E20">SUM(IF(IF(IF(Tbl_AssetAllocation[TipoPerfil]="TÁTICO", Tbl_AssetAllocation[Perfil])=UPPER(D$5), Tbl_AssetAllocation[Ativo])=SUBSTITUTE($C20,"&amp;", ""),Tbl_AssetAllocation[Peso],0))</f>
        <v>0</v>
      </c>
      <c r="F20" s="11">
        <f ca="1">OFFSET('Asset Allocation Estrutural'!$B$8, MATCH($C20,'Asset Allocation Estrutural'!$C$8:$C$16,0)-1, 3+MATCH(F$5, 'Asset Allocation Estrutural'!$D$5:$AB$5,0))</f>
        <v>0.1</v>
      </c>
      <c r="G20" s="24" cm="1">
        <f t="array" ref="G20">SUM(IF(IF(IF(Tbl_AssetAllocation[TipoPerfil]="TÁTICO", Tbl_AssetAllocation[Perfil])=UPPER(F$5), Tbl_AssetAllocation[Ativo])=SUBSTITUTE($C20,"&amp;", ""),Tbl_AssetAllocation[Peso],0))</f>
        <v>0.1</v>
      </c>
      <c r="H20" s="11">
        <f ca="1">OFFSET('Asset Allocation Estrutural'!$B$8, MATCH($C20,'Asset Allocation Estrutural'!$C$8:$C$16,0)-1, 3+MATCH(H$5, 'Asset Allocation Estrutural'!$D$5:$AB$5,0))</f>
        <v>0.2</v>
      </c>
      <c r="I20" s="24" cm="1">
        <f t="array" ref="I20">SUM(IF(IF(IF(Tbl_AssetAllocation[TipoPerfil]="TÁTICO", Tbl_AssetAllocation[Perfil])=UPPER(H$5), Tbl_AssetAllocation[Ativo])=SUBSTITUTE($C20,"&amp;", ""),Tbl_AssetAllocation[Peso],0))</f>
        <v>0.2</v>
      </c>
      <c r="J20" s="11">
        <f ca="1">OFFSET('Asset Allocation Estrutural'!$B$8, MATCH($C20,'Asset Allocation Estrutural'!$C$8:$C$16,0)-1, 3+MATCH(J$5, 'Asset Allocation Estrutural'!$D$5:$AB$5,0))</f>
        <v>0.3</v>
      </c>
      <c r="K20" s="24" cm="1">
        <f t="array" ref="K20">SUM(IF(IF(IF(Tbl_AssetAllocation[TipoPerfil]="TÁTICO", Tbl_AssetAllocation[Perfil])=UPPER(J$5), Tbl_AssetAllocation[Ativo])=SUBSTITUTE($C20,"&amp;", ""),Tbl_AssetAllocation[Peso],0))</f>
        <v>0.3</v>
      </c>
      <c r="L20" s="11">
        <f ca="1">OFFSET('Asset Allocation Estrutural'!$B$8, MATCH($C20,'Asset Allocation Estrutural'!$C$8:$C$16,0)-1, 3+MATCH(L$5, 'Asset Allocation Estrutural'!$D$5:$AB$5,0))</f>
        <v>0.35</v>
      </c>
      <c r="M20" s="24" cm="1">
        <f t="array" ref="M20">SUM(IF(IF(IF(Tbl_AssetAllocation[TipoPerfil]="TÁTICO", Tbl_AssetAllocation[Perfil])=UPPER(L$5), Tbl_AssetAllocation[Ativo])=SUBSTITUTE($C20,"&amp;", ""),Tbl_AssetAllocation[Peso],0))</f>
        <v>0.35</v>
      </c>
      <c r="O20" s="237"/>
      <c r="Q20" s="237"/>
    </row>
    <row r="21" spans="1:17" s="48" customFormat="1" ht="20.25" thickTop="1" thickBot="1">
      <c r="A21" s="46"/>
      <c r="B21" s="47" t="s">
        <v>14</v>
      </c>
      <c r="C21" s="59"/>
      <c r="D21" s="11">
        <f t="shared" ref="D21:L21" ca="1" si="1">D22+D23</f>
        <v>0</v>
      </c>
      <c r="E21" s="24">
        <f t="shared" si="1"/>
        <v>0</v>
      </c>
      <c r="F21" s="11">
        <f t="shared" ca="1" si="1"/>
        <v>0.05</v>
      </c>
      <c r="G21" s="24">
        <f>G22+G23</f>
        <v>0.03</v>
      </c>
      <c r="H21" s="11">
        <f t="shared" ca="1" si="1"/>
        <v>0.1</v>
      </c>
      <c r="I21" s="24">
        <f>I22+I23</f>
        <v>7.4999999999999997E-2</v>
      </c>
      <c r="J21" s="11">
        <f t="shared" ca="1" si="1"/>
        <v>0.2</v>
      </c>
      <c r="K21" s="24">
        <f>K22+K23</f>
        <v>0.17</v>
      </c>
      <c r="L21" s="11">
        <f t="shared" ca="1" si="1"/>
        <v>0.35000000000000003</v>
      </c>
      <c r="M21" s="24">
        <f>M22+M23</f>
        <v>0.29499999999999998</v>
      </c>
      <c r="O21" s="309"/>
      <c r="Q21" s="309"/>
    </row>
    <row r="22" spans="1:17" s="48" customFormat="1" ht="20.25" thickTop="1" thickBot="1">
      <c r="A22" s="49"/>
      <c r="B22" s="50" t="s">
        <v>608</v>
      </c>
      <c r="C22" s="51" t="s">
        <v>60</v>
      </c>
      <c r="D22" s="12">
        <f ca="1">OFFSET('Asset Allocation Estrutural'!$B$8, MATCH($C22,'Asset Allocation Estrutural'!$C$8:$C$16,0)-1, 3+MATCH(D$5, 'Asset Allocation Estrutural'!$D$5:$AB$5,0))</f>
        <v>0</v>
      </c>
      <c r="E22" s="25" cm="1">
        <f t="array" ref="E22">SUM(IF(IF(IF(Tbl_AssetAllocation[TipoPerfil]="TÁTICO", Tbl_AssetAllocation[Perfil])=UPPER(D$5), Tbl_AssetAllocation[Ativo])=SUBSTITUTE($C22,"&amp;", ""),Tbl_AssetAllocation[Peso],0))</f>
        <v>0</v>
      </c>
      <c r="F22" s="12">
        <f ca="1">OFFSET('Asset Allocation Estrutural'!$B$8, MATCH($C22,'Asset Allocation Estrutural'!$C$8:$C$16,0)-1, 3+MATCH(F$5, 'Asset Allocation Estrutural'!$D$5:$AB$5,0))</f>
        <v>3.5000000000000003E-2</v>
      </c>
      <c r="G22" s="25" cm="1">
        <f t="array" ref="G22">SUM(IF(IF(IF(Tbl_AssetAllocation[TipoPerfil]="TÁTICO", Tbl_AssetAllocation[Perfil])=UPPER(F$5), Tbl_AssetAllocation[Ativo])=SUBSTITUTE($C22,"&amp;", ""),Tbl_AssetAllocation[Peso],0))</f>
        <v>0.02</v>
      </c>
      <c r="H22" s="12">
        <f ca="1">OFFSET('Asset Allocation Estrutural'!$B$8, MATCH($C22,'Asset Allocation Estrutural'!$C$8:$C$16,0)-1, 3+MATCH(H$5, 'Asset Allocation Estrutural'!$D$5:$AB$5,0))</f>
        <v>7.0000000000000007E-2</v>
      </c>
      <c r="I22" s="25" cm="1">
        <f t="array" ref="I22">SUM(IF(IF(IF(Tbl_AssetAllocation[TipoPerfil]="TÁTICO", Tbl_AssetAllocation[Perfil])=UPPER(H$5), Tbl_AssetAllocation[Ativo])=SUBSTITUTE($C22,"&amp;", ""),Tbl_AssetAllocation[Peso],0))</f>
        <v>5.5E-2</v>
      </c>
      <c r="J22" s="12">
        <f ca="1">OFFSET('Asset Allocation Estrutural'!$B$8, MATCH($C22,'Asset Allocation Estrutural'!$C$8:$C$16,0)-1, 3+MATCH(J$5, 'Asset Allocation Estrutural'!$D$5:$AB$5,0))</f>
        <v>0.16</v>
      </c>
      <c r="K22" s="25" cm="1">
        <f t="array" ref="K22">SUM(IF(IF(IF(Tbl_AssetAllocation[TipoPerfil]="TÁTICO", Tbl_AssetAllocation[Perfil])=UPPER(J$5), Tbl_AssetAllocation[Ativo])=SUBSTITUTE($C22,"&amp;", ""),Tbl_AssetAllocation[Peso],0))</f>
        <v>0.14000000000000001</v>
      </c>
      <c r="L22" s="12">
        <f ca="1">OFFSET('Asset Allocation Estrutural'!$B$8, MATCH($C22,'Asset Allocation Estrutural'!$C$8:$C$16,0)-1, 3+MATCH(L$5, 'Asset Allocation Estrutural'!$D$5:$AB$5,0))</f>
        <v>0.27</v>
      </c>
      <c r="M22" s="25" cm="1">
        <f t="array" ref="M22">SUM(IF(IF(IF(Tbl_AssetAllocation[TipoPerfil]="TÁTICO", Tbl_AssetAllocation[Perfil])=UPPER(L$5), Tbl_AssetAllocation[Ativo])=SUBSTITUTE($C22,"&amp;", ""),Tbl_AssetAllocation[Peso],0))</f>
        <v>0.24</v>
      </c>
      <c r="O22" s="237"/>
      <c r="Q22" s="237"/>
    </row>
    <row r="23" spans="1:17" s="48" customFormat="1" ht="20.25" thickTop="1" thickBot="1">
      <c r="A23" s="49"/>
      <c r="B23" s="50" t="s">
        <v>628</v>
      </c>
      <c r="C23" s="51" t="s">
        <v>631</v>
      </c>
      <c r="D23" s="12">
        <f ca="1">OFFSET('Asset Allocation Estrutural'!$B$8, MATCH($C23,'Asset Allocation Estrutural'!$C$8:$C$16,0)-1, 3+MATCH(D$5, 'Asset Allocation Estrutural'!$D$5:$AB$5,0))</f>
        <v>0</v>
      </c>
      <c r="E23" s="25">
        <f>SUM(E24:E28)</f>
        <v>0</v>
      </c>
      <c r="F23" s="12">
        <f ca="1">OFFSET('Asset Allocation Estrutural'!$B$8, MATCH($C23,'Asset Allocation Estrutural'!$C$8:$C$16,0)-1, 3+MATCH(F$5, 'Asset Allocation Estrutural'!$D$5:$AB$5,0))</f>
        <v>1.4999999999999999E-2</v>
      </c>
      <c r="G23" s="25">
        <f>SUM(G24:G28)</f>
        <v>0.01</v>
      </c>
      <c r="H23" s="12">
        <f ca="1">OFFSET('Asset Allocation Estrutural'!$B$8, MATCH($C23,'Asset Allocation Estrutural'!$C$8:$C$16,0)-1, 3+MATCH(H$5, 'Asset Allocation Estrutural'!$D$5:$AB$5,0))</f>
        <v>0.03</v>
      </c>
      <c r="I23" s="25">
        <f>SUM(I24:I28)</f>
        <v>0.02</v>
      </c>
      <c r="J23" s="12">
        <f ca="1">OFFSET('Asset Allocation Estrutural'!$B$8, MATCH($C23,'Asset Allocation Estrutural'!$C$8:$C$16,0)-1, 3+MATCH(J$5, 'Asset Allocation Estrutural'!$D$5:$AB$5,0))</f>
        <v>0.04</v>
      </c>
      <c r="K23" s="25">
        <f>SUM(K24:K28)</f>
        <v>3.0000000000000002E-2</v>
      </c>
      <c r="L23" s="12">
        <f ca="1">OFFSET('Asset Allocation Estrutural'!$B$8, MATCH($C23,'Asset Allocation Estrutural'!$C$8:$C$16,0)-1, 3+MATCH(L$5, 'Asset Allocation Estrutural'!$D$5:$AB$5,0))</f>
        <v>0.08</v>
      </c>
      <c r="M23" s="25">
        <f>SUM(M24:M28)</f>
        <v>5.5000000000000007E-2</v>
      </c>
      <c r="O23" s="237"/>
      <c r="Q23" s="237"/>
    </row>
    <row r="24" spans="1:17" s="38" customFormat="1" ht="20.25" customHeight="1" thickTop="1" thickBot="1">
      <c r="A24" s="52"/>
      <c r="B24" s="53" t="s">
        <v>609</v>
      </c>
      <c r="C24" s="54" t="s">
        <v>631</v>
      </c>
      <c r="D24" s="13"/>
      <c r="E24" s="26" cm="1">
        <f t="array" ref="E24">SUM(IF(IF(IF(Tbl_AssetAllocation[TipoPerfil]="TÁTICO", Tbl_AssetAllocation[Perfil])=UPPER(D$5), Tbl_AssetAllocation[Ativo])=SUBSTITUTE($C24,"&amp;", ""),Tbl_AssetAllocation[Peso],0))</f>
        <v>0</v>
      </c>
      <c r="F24" s="13"/>
      <c r="G24" s="26" cm="1">
        <f t="array" ref="G24">SUM(IF(IF(IF(Tbl_AssetAllocation[TipoPerfil]="TÁTICO", Tbl_AssetAllocation[Perfil])=UPPER(F$5), Tbl_AssetAllocation[Ativo])=SUBSTITUTE($C24,"&amp;", ""),Tbl_AssetAllocation[Peso],0))</f>
        <v>5.0000000000000001E-3</v>
      </c>
      <c r="H24" s="13"/>
      <c r="I24" s="26" cm="1">
        <f t="array" ref="I24">SUM(IF(IF(IF(Tbl_AssetAllocation[TipoPerfil]="TÁTICO", Tbl_AssetAllocation[Perfil])=UPPER(H$5), Tbl_AssetAllocation[Ativo])=SUBSTITUTE($C24,"&amp;", ""),Tbl_AssetAllocation[Peso],0))</f>
        <v>0.01</v>
      </c>
      <c r="J24" s="13"/>
      <c r="K24" s="26" cm="1">
        <f t="array" ref="K24">SUM(IF(IF(IF(Tbl_AssetAllocation[TipoPerfil]="TÁTICO", Tbl_AssetAllocation[Perfil])=UPPER(J$5), Tbl_AssetAllocation[Ativo])=SUBSTITUTE($C24,"&amp;", ""),Tbl_AssetAllocation[Peso],0))</f>
        <v>1.4999999999999999E-2</v>
      </c>
      <c r="L24" s="13"/>
      <c r="M24" s="26" cm="1">
        <f t="array" ref="M24">SUM(IF(IF(IF(Tbl_AssetAllocation[TipoPerfil]="TÁTICO", Tbl_AssetAllocation[Perfil])=UPPER(L$5), Tbl_AssetAllocation[Ativo])=SUBSTITUTE($C24,"&amp;", ""),Tbl_AssetAllocation[Peso],0))</f>
        <v>3.5000000000000003E-2</v>
      </c>
    </row>
    <row r="25" spans="1:17" s="38" customFormat="1" ht="20.25" customHeight="1" thickBot="1">
      <c r="A25" s="52"/>
      <c r="B25" s="55" t="s">
        <v>612</v>
      </c>
      <c r="C25" s="56" t="s">
        <v>2697</v>
      </c>
      <c r="D25" s="14"/>
      <c r="E25" s="26" cm="1">
        <f t="array" ref="E25">SUM(IF(IF(IF(Tbl_AssetAllocation[TipoPerfil]="TÁTICO", Tbl_AssetAllocation[Perfil])=UPPER(D$5), Tbl_AssetAllocation[Ativo])=SUBSTITUTE($C25,"&amp;", ""),Tbl_AssetAllocation[Peso],0))</f>
        <v>0</v>
      </c>
      <c r="F25" s="14"/>
      <c r="G25" s="26" cm="1">
        <f t="array" ref="G25">SUM(IF(IF(IF(Tbl_AssetAllocation[TipoPerfil]="TÁTICO", Tbl_AssetAllocation[Perfil])=UPPER(F$5), Tbl_AssetAllocation[Ativo])=SUBSTITUTE($C25,"&amp;", ""),Tbl_AssetAllocation[Peso],0))</f>
        <v>0</v>
      </c>
      <c r="H25" s="14"/>
      <c r="I25" s="26" cm="1">
        <f t="array" ref="I25">SUM(IF(IF(IF(Tbl_AssetAllocation[TipoPerfil]="TÁTICO", Tbl_AssetAllocation[Perfil])=UPPER(H$5), Tbl_AssetAllocation[Ativo])=SUBSTITUTE($C25,"&amp;", ""),Tbl_AssetAllocation[Peso],0))</f>
        <v>5.0000000000000001E-3</v>
      </c>
      <c r="J25" s="14"/>
      <c r="K25" s="26" cm="1">
        <f t="array" ref="K25">SUM(IF(IF(IF(Tbl_AssetAllocation[TipoPerfil]="TÁTICO", Tbl_AssetAllocation[Perfil])=UPPER(J$5), Tbl_AssetAllocation[Ativo])=SUBSTITUTE($C25,"&amp;", ""),Tbl_AssetAllocation[Peso],0))</f>
        <v>0.01</v>
      </c>
      <c r="L25" s="14"/>
      <c r="M25" s="26" cm="1">
        <f t="array" ref="M25">SUM(IF(IF(IF(Tbl_AssetAllocation[TipoPerfil]="TÁTICO", Tbl_AssetAllocation[Perfil])=UPPER(L$5), Tbl_AssetAllocation[Ativo])=SUBSTITUTE($C25,"&amp;", ""),Tbl_AssetAllocation[Peso],0))</f>
        <v>0.01</v>
      </c>
    </row>
    <row r="26" spans="1:17" s="38" customFormat="1" ht="20.25" customHeight="1" thickBot="1">
      <c r="A26" s="52"/>
      <c r="B26" s="57" t="s">
        <v>613</v>
      </c>
      <c r="C26" s="58" t="s">
        <v>2698</v>
      </c>
      <c r="D26" s="15"/>
      <c r="E26" s="26" cm="1">
        <f t="array" ref="E26">SUM(IF(IF(IF(Tbl_AssetAllocation[TipoPerfil]="TÁTICO", Tbl_AssetAllocation[Perfil])=UPPER(D$5), Tbl_AssetAllocation[Ativo])=SUBSTITUTE($C26,"&amp;", ""),Tbl_AssetAllocation[Peso],0))</f>
        <v>0</v>
      </c>
      <c r="F26" s="15"/>
      <c r="G26" s="26" cm="1">
        <f t="array" ref="G26">SUM(IF(IF(IF(Tbl_AssetAllocation[TipoPerfil]="TÁTICO", Tbl_AssetAllocation[Perfil])=UPPER(F$5), Tbl_AssetAllocation[Ativo])=SUBSTITUTE($C26,"&amp;", ""),Tbl_AssetAllocation[Peso],0))</f>
        <v>0</v>
      </c>
      <c r="H26" s="15"/>
      <c r="I26" s="26" cm="1">
        <f t="array" ref="I26">SUM(IF(IF(IF(Tbl_AssetAllocation[TipoPerfil]="TÁTICO", Tbl_AssetAllocation[Perfil])=UPPER(H$5), Tbl_AssetAllocation[Ativo])=SUBSTITUTE($C26,"&amp;", ""),Tbl_AssetAllocation[Peso],0))</f>
        <v>0</v>
      </c>
      <c r="J26" s="15"/>
      <c r="K26" s="26" cm="1">
        <f t="array" ref="K26">SUM(IF(IF(IF(Tbl_AssetAllocation[TipoPerfil]="TÁTICO", Tbl_AssetAllocation[Perfil])=UPPER(J$5), Tbl_AssetAllocation[Ativo])=SUBSTITUTE($C26,"&amp;", ""),Tbl_AssetAllocation[Peso],0))</f>
        <v>0</v>
      </c>
      <c r="L26" s="15"/>
      <c r="M26" s="26" cm="1">
        <f t="array" ref="M26">SUM(IF(IF(IF(Tbl_AssetAllocation[TipoPerfil]="TÁTICO", Tbl_AssetAllocation[Perfil])=UPPER(L$5), Tbl_AssetAllocation[Ativo])=SUBSTITUTE($C26,"&amp;", ""),Tbl_AssetAllocation[Peso],0))</f>
        <v>0</v>
      </c>
    </row>
    <row r="27" spans="1:17" s="38" customFormat="1" ht="20.25" customHeight="1" thickBot="1">
      <c r="A27" s="52"/>
      <c r="B27" s="57" t="s">
        <v>611</v>
      </c>
      <c r="C27" s="58" t="s">
        <v>2699</v>
      </c>
      <c r="D27" s="16"/>
      <c r="E27" s="26" cm="1">
        <f t="array" ref="E27">SUM(IF(IF(IF(Tbl_AssetAllocation[TipoPerfil]="TÁTICO", Tbl_AssetAllocation[Perfil])=UPPER(D$5), Tbl_AssetAllocation[Ativo])=SUBSTITUTE($C27,"&amp;", ""),Tbl_AssetAllocation[Peso],0))</f>
        <v>0</v>
      </c>
      <c r="F27" s="15"/>
      <c r="G27" s="26" cm="1">
        <f t="array" ref="G27">SUM(IF(IF(IF(Tbl_AssetAllocation[TipoPerfil]="TÁTICO", Tbl_AssetAllocation[Perfil])=UPPER(F$5), Tbl_AssetAllocation[Ativo])=SUBSTITUTE($C27,"&amp;", ""),Tbl_AssetAllocation[Peso],0))</f>
        <v>0</v>
      </c>
      <c r="H27" s="15"/>
      <c r="I27" s="26" cm="1">
        <f t="array" ref="I27">SUM(IF(IF(IF(Tbl_AssetAllocation[TipoPerfil]="TÁTICO", Tbl_AssetAllocation[Perfil])=UPPER(H$5), Tbl_AssetAllocation[Ativo])=SUBSTITUTE($C27,"&amp;", ""),Tbl_AssetAllocation[Peso],0))</f>
        <v>0</v>
      </c>
      <c r="J27" s="15"/>
      <c r="K27" s="26" cm="1">
        <f t="array" ref="K27">SUM(IF(IF(IF(Tbl_AssetAllocation[TipoPerfil]="TÁTICO", Tbl_AssetAllocation[Perfil])=UPPER(J$5), Tbl_AssetAllocation[Ativo])=SUBSTITUTE($C27,"&amp;", ""),Tbl_AssetAllocation[Peso],0))</f>
        <v>0</v>
      </c>
      <c r="L27" s="15"/>
      <c r="M27" s="26" cm="1">
        <f t="array" ref="M27">SUM(IF(IF(IF(Tbl_AssetAllocation[TipoPerfil]="TÁTICO", Tbl_AssetAllocation[Perfil])=UPPER(L$5), Tbl_AssetAllocation[Ativo])=SUBSTITUTE($C27,"&amp;", ""),Tbl_AssetAllocation[Peso],0))</f>
        <v>0</v>
      </c>
    </row>
    <row r="28" spans="1:17" s="38" customFormat="1" ht="20.25" customHeight="1" thickTop="1">
      <c r="A28" s="702"/>
      <c r="B28" s="57" t="s">
        <v>696</v>
      </c>
      <c r="C28" s="58" t="s">
        <v>2700</v>
      </c>
      <c r="D28" s="15"/>
      <c r="E28" s="703" cm="1">
        <f t="array" ref="E28">SUM(IF(IF(IF(Tbl_AssetAllocation[TipoPerfil]="TÁTICO", Tbl_AssetAllocation[Perfil])=UPPER(D$5), Tbl_AssetAllocation[Ativo])=SUBSTITUTE($C28,"&amp;", ""),Tbl_AssetAllocation[Peso],0))</f>
        <v>0</v>
      </c>
      <c r="F28" s="15"/>
      <c r="G28" s="703" cm="1">
        <f t="array" ref="G28">SUM(IF(IF(IF(Tbl_AssetAllocation[TipoPerfil]="TÁTICO", Tbl_AssetAllocation[Perfil])=UPPER(F$5), Tbl_AssetAllocation[Ativo])=SUBSTITUTE($C28,"&amp;", ""),Tbl_AssetAllocation[Peso],0))</f>
        <v>5.0000000000000001E-3</v>
      </c>
      <c r="H28" s="15"/>
      <c r="I28" s="703" cm="1">
        <f t="array" ref="I28">SUM(IF(IF(IF(Tbl_AssetAllocation[TipoPerfil]="TÁTICO", Tbl_AssetAllocation[Perfil])=UPPER(H$5), Tbl_AssetAllocation[Ativo])=SUBSTITUTE($C28,"&amp;", ""),Tbl_AssetAllocation[Peso],0))</f>
        <v>5.0000000000000001E-3</v>
      </c>
      <c r="J28" s="15"/>
      <c r="K28" s="703" cm="1">
        <f t="array" ref="K28">SUM(IF(IF(IF(Tbl_AssetAllocation[TipoPerfil]="TÁTICO", Tbl_AssetAllocation[Perfil])=UPPER(J$5), Tbl_AssetAllocation[Ativo])=SUBSTITUTE($C28,"&amp;", ""),Tbl_AssetAllocation[Peso],0))</f>
        <v>5.0000000000000001E-3</v>
      </c>
      <c r="L28" s="15"/>
      <c r="M28" s="703" cm="1">
        <f t="array" ref="M28">SUM(IF(IF(IF(Tbl_AssetAllocation[TipoPerfil]="TÁTICO", Tbl_AssetAllocation[Perfil])=UPPER(L$5), Tbl_AssetAllocation[Ativo])=SUBSTITUTE($C28,"&amp;", ""),Tbl_AssetAllocation[Peso],0))</f>
        <v>0.01</v>
      </c>
      <c r="O28" s="704"/>
      <c r="Q28" s="704"/>
    </row>
    <row r="29" spans="1:17" s="48" customFormat="1" ht="20.25" customHeight="1" thickBot="1">
      <c r="A29" s="49"/>
      <c r="D29" s="21"/>
      <c r="E29" s="21"/>
      <c r="F29" s="21"/>
      <c r="G29" s="21"/>
      <c r="H29" s="21"/>
      <c r="I29" s="21"/>
      <c r="J29" s="21"/>
      <c r="K29" s="21"/>
      <c r="L29" s="21"/>
      <c r="M29" s="21"/>
      <c r="O29" s="308"/>
      <c r="Q29" s="308"/>
    </row>
    <row r="30" spans="1:17" s="48" customFormat="1" ht="20.25" thickTop="1" thickBot="1">
      <c r="A30" s="49"/>
      <c r="B30" s="60" t="s">
        <v>443</v>
      </c>
      <c r="C30" s="60"/>
      <c r="D30" s="18"/>
      <c r="E30" s="17">
        <f>MAX(CEILING(IF(20%*E22*MIN(MAX((($C$40-$C$38)/($C$40-$C$39)),0),1) &lt; 0.3%, 0, 20%*E22*MIN(MAX((($C$40-$C$38)/($C$40-$C$39)),0),1)),0.5%),E24)</f>
        <v>0</v>
      </c>
      <c r="F30" s="18"/>
      <c r="G30" s="17">
        <f>MAX(CEILING(IF(20%*G22*MIN(MAX((($C$40-$C$38)/($C$40-$C$39)),0),1) &lt; 0.3%, 0, 20%*G22*MIN(MAX((($C$40-$C$38)/($C$40-$C$39)),0),1)),0.5%),G24)</f>
        <v>5.0000000000000001E-3</v>
      </c>
      <c r="H30" s="18"/>
      <c r="I30" s="17">
        <f>MAX(CEILING(IF(20%*I22*MIN(MAX((($C$40-$C$38)/($C$40-$C$39)),0),1) &lt; 0.3%, 0, 20%*I22*MIN(MAX((($C$40-$C$38)/($C$40-$C$39)),0),1)),0.5%),I24)</f>
        <v>1.4999999999999999E-2</v>
      </c>
      <c r="J30" s="18"/>
      <c r="K30" s="17">
        <f>MAX(CEILING(IF(20%*K22*MIN(MAX((($C$40-$C$38)/($C$40-$C$39)),0),1) &lt; 0.3%, 0, 20%*K22*MIN(MAX((($C$40-$C$38)/($C$40-$C$39)),0),1)),0.5%),K24)</f>
        <v>0.03</v>
      </c>
      <c r="L30" s="18"/>
      <c r="M30" s="17">
        <f>MAX(CEILING(IF(20%*M22*MIN(MAX((($C$40-$C$38)/($C$40-$C$39)),0),1) &lt; 0.3%, 0, 20%*M22*MIN(MAX((($C$40-$C$38)/($C$40-$C$39)),0),1)),0.5%),M24)</f>
        <v>0.05</v>
      </c>
      <c r="O30" s="310"/>
      <c r="Q30" s="310"/>
    </row>
    <row r="31" spans="1:17" s="38" customFormat="1" ht="9" customHeight="1" thickTop="1">
      <c r="A31" s="39"/>
      <c r="B31" s="61"/>
      <c r="C31" s="61"/>
      <c r="D31" s="62"/>
      <c r="E31" s="63"/>
      <c r="F31" s="64"/>
      <c r="G31" s="65"/>
      <c r="H31" s="66"/>
      <c r="I31" s="48"/>
      <c r="J31" s="48"/>
      <c r="K31" s="65"/>
      <c r="L31" s="66"/>
      <c r="M31" s="67"/>
    </row>
    <row r="32" spans="1:17" s="45" customFormat="1">
      <c r="A32" s="68"/>
      <c r="B32" s="69"/>
      <c r="C32" s="69"/>
      <c r="D32" s="19" t="str">
        <f t="shared" ref="D32:M32" ca="1" si="2">IF(D9+D20+D21&lt;&gt;1,TEXT(D9+D20+D21, "##.#%"),"")</f>
        <v/>
      </c>
      <c r="E32" s="20" t="str">
        <f t="shared" si="2"/>
        <v/>
      </c>
      <c r="F32" s="20" t="str">
        <f ca="1">IF(F9+F20+F21&lt;&gt;1,TEXT(F9+F20+F21, "##.#%"),"")</f>
        <v/>
      </c>
      <c r="G32" s="20" t="str">
        <f t="shared" si="2"/>
        <v/>
      </c>
      <c r="H32" s="19" t="str">
        <f t="shared" ca="1" si="2"/>
        <v/>
      </c>
      <c r="I32" s="20" t="str">
        <f t="shared" si="2"/>
        <v/>
      </c>
      <c r="J32" s="20" t="str">
        <f t="shared" ca="1" si="2"/>
        <v/>
      </c>
      <c r="K32" s="20" t="str">
        <f t="shared" si="2"/>
        <v/>
      </c>
      <c r="L32" s="19" t="str">
        <f t="shared" ca="1" si="2"/>
        <v/>
      </c>
      <c r="M32" s="20" t="str">
        <f t="shared" si="2"/>
        <v/>
      </c>
    </row>
    <row r="33" spans="1:13" s="38" customFormat="1" ht="19.5" thickBot="1">
      <c r="A33" s="39"/>
      <c r="B33" s="70" t="s">
        <v>622</v>
      </c>
      <c r="C33" s="71"/>
      <c r="D33" s="1058">
        <v>1.03E-2</v>
      </c>
      <c r="E33" s="1059">
        <v>0</v>
      </c>
      <c r="F33" s="1058">
        <v>2.549673119887582E-2</v>
      </c>
      <c r="G33" s="1059">
        <v>0</v>
      </c>
      <c r="H33" s="1058">
        <v>3.8511103553590463E-2</v>
      </c>
      <c r="I33" s="1060">
        <v>0</v>
      </c>
      <c r="J33" s="1058">
        <v>7.1044569470618588E-2</v>
      </c>
      <c r="K33" s="1059">
        <v>0</v>
      </c>
      <c r="L33" s="1058">
        <v>0.1007472074047638</v>
      </c>
      <c r="M33" s="1059">
        <v>0</v>
      </c>
    </row>
    <row r="34" spans="1:13" s="38" customFormat="1" ht="20.25" thickTop="1" thickBot="1">
      <c r="A34" s="39"/>
      <c r="B34" s="72" t="s">
        <v>625</v>
      </c>
      <c r="C34" s="73"/>
      <c r="D34" s="1056">
        <v>-1.1299999999999999E-2</v>
      </c>
      <c r="E34" s="1061">
        <v>0</v>
      </c>
      <c r="F34" s="1056">
        <v>-2.487761818750004E-2</v>
      </c>
      <c r="G34" s="1061">
        <v>0</v>
      </c>
      <c r="H34" s="1056">
        <v>-3.4410577412473803E-2</v>
      </c>
      <c r="I34" s="1057">
        <v>0</v>
      </c>
      <c r="J34" s="1056">
        <v>-6.1567684871044873E-2</v>
      </c>
      <c r="K34" s="1061">
        <v>0</v>
      </c>
      <c r="L34" s="1056">
        <v>-8.4679197825304156E-2</v>
      </c>
      <c r="M34" s="1061">
        <v>0</v>
      </c>
    </row>
    <row r="35" spans="1:13" s="38" customFormat="1" ht="20.25" thickTop="1" thickBot="1">
      <c r="A35" s="39"/>
      <c r="B35" s="72" t="s">
        <v>627</v>
      </c>
      <c r="C35" s="73"/>
      <c r="D35" s="1056">
        <v>-2.5999999999999999E-3</v>
      </c>
      <c r="E35" s="1061">
        <v>0</v>
      </c>
      <c r="F35" s="1056">
        <v>-1.4715015366541949E-2</v>
      </c>
      <c r="G35" s="1061">
        <v>0</v>
      </c>
      <c r="H35" s="1056">
        <v>-2.5087452667099872E-2</v>
      </c>
      <c r="I35" s="1057">
        <v>0</v>
      </c>
      <c r="J35" s="1056">
        <v>-5.0338995825054043E-2</v>
      </c>
      <c r="K35" s="1061">
        <v>0</v>
      </c>
      <c r="L35" s="1056">
        <v>-7.3337204704589043E-2</v>
      </c>
      <c r="M35" s="1061">
        <v>0</v>
      </c>
    </row>
    <row r="36" spans="1:13" s="38" customFormat="1" ht="19.5" thickTop="1">
      <c r="A36" s="39"/>
      <c r="B36" s="74" t="s">
        <v>626</v>
      </c>
      <c r="C36" s="75"/>
      <c r="D36" s="1062">
        <v>-1.8100000000000002E-2</v>
      </c>
      <c r="E36" s="1063">
        <v>0</v>
      </c>
      <c r="F36" s="1062">
        <v>-6.1782246091973893E-2</v>
      </c>
      <c r="G36" s="1063">
        <v>0</v>
      </c>
      <c r="H36" s="1062">
        <v>-9.9174515012422068E-2</v>
      </c>
      <c r="I36" s="1064">
        <v>0</v>
      </c>
      <c r="J36" s="1062">
        <v>-0.18781977821096529</v>
      </c>
      <c r="K36" s="1063">
        <v>0</v>
      </c>
      <c r="L36" s="1062">
        <v>-0.26953467873068521</v>
      </c>
      <c r="M36" s="1063">
        <v>0</v>
      </c>
    </row>
    <row r="37" spans="1:13" ht="21" customHeight="1">
      <c r="C37" s="77"/>
      <c r="D37" s="78"/>
      <c r="E37" s="79"/>
      <c r="F37" s="29"/>
      <c r="H37" s="29"/>
      <c r="I37" s="29"/>
      <c r="J37" s="29"/>
      <c r="L37" s="29"/>
    </row>
    <row r="38" spans="1:13" ht="21" customHeight="1">
      <c r="B38" s="156" t="e" vm="1">
        <v>#VALUE!</v>
      </c>
      <c r="C38" s="696" cm="1">
        <f t="array" ref="C38">_FV(B38,"Fechamento anterior",TRUE)</f>
        <v>4.9180999999999999</v>
      </c>
      <c r="D38" s="81"/>
      <c r="E38" s="45"/>
      <c r="F38" s="29"/>
      <c r="H38" s="29"/>
      <c r="I38" s="29"/>
    </row>
    <row r="39" spans="1:13" ht="21" customHeight="1">
      <c r="B39" s="29" t="s">
        <v>2701</v>
      </c>
      <c r="C39" s="701">
        <v>5</v>
      </c>
      <c r="D39" s="81"/>
      <c r="F39" s="29"/>
      <c r="H39" s="29"/>
      <c r="I39" s="29"/>
      <c r="J39" s="29"/>
      <c r="L39" s="29"/>
    </row>
    <row r="40" spans="1:13" ht="21" customHeight="1">
      <c r="B40" s="29" t="s">
        <v>2702</v>
      </c>
      <c r="C40" s="701">
        <v>6</v>
      </c>
      <c r="D40" s="29"/>
      <c r="F40" s="29"/>
      <c r="H40" s="29"/>
      <c r="I40" s="29"/>
    </row>
    <row r="41" spans="1:13" ht="21" customHeight="1">
      <c r="D41" s="29"/>
    </row>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sheetData>
  <mergeCells count="31">
    <mergeCell ref="L5:M5"/>
    <mergeCell ref="J33:K33"/>
    <mergeCell ref="D5:E5"/>
    <mergeCell ref="F5:G5"/>
    <mergeCell ref="H5:I5"/>
    <mergeCell ref="J5:K5"/>
    <mergeCell ref="J7:J8"/>
    <mergeCell ref="L7:L8"/>
    <mergeCell ref="L33:M33"/>
    <mergeCell ref="J34:K34"/>
    <mergeCell ref="L34:M34"/>
    <mergeCell ref="D36:E36"/>
    <mergeCell ref="F36:G36"/>
    <mergeCell ref="H36:I36"/>
    <mergeCell ref="J36:K36"/>
    <mergeCell ref="L36:M36"/>
    <mergeCell ref="D35:E35"/>
    <mergeCell ref="F35:G35"/>
    <mergeCell ref="H35:I35"/>
    <mergeCell ref="J35:K35"/>
    <mergeCell ref="L35:M35"/>
    <mergeCell ref="D34:E34"/>
    <mergeCell ref="F34:G34"/>
    <mergeCell ref="B5:C8"/>
    <mergeCell ref="D7:D8"/>
    <mergeCell ref="F7:F8"/>
    <mergeCell ref="H7:H8"/>
    <mergeCell ref="H34:I34"/>
    <mergeCell ref="D33:E33"/>
    <mergeCell ref="F33:G33"/>
    <mergeCell ref="H33:I33"/>
  </mergeCells>
  <conditionalFormatting sqref="M20:M23">
    <cfRule type="cellIs" dxfId="1113" priority="19" operator="notBetween">
      <formula>#REF!</formula>
      <formula>#REF!</formula>
    </cfRule>
  </conditionalFormatting>
  <conditionalFormatting sqref="K20:K23">
    <cfRule type="cellIs" dxfId="1112" priority="18" operator="notBetween">
      <formula>#REF!</formula>
      <formula>#REF!</formula>
    </cfRule>
  </conditionalFormatting>
  <conditionalFormatting sqref="E30 K30 G30">
    <cfRule type="cellIs" dxfId="1111" priority="16" operator="notBetween">
      <formula>#REF!</formula>
      <formula>#REF!</formula>
    </cfRule>
  </conditionalFormatting>
  <conditionalFormatting sqref="E20:E23">
    <cfRule type="cellIs" dxfId="1110" priority="15" operator="notBetween">
      <formula>#REF!</formula>
      <formula>#REF!</formula>
    </cfRule>
  </conditionalFormatting>
  <conditionalFormatting sqref="M30">
    <cfRule type="cellIs" dxfId="1109" priority="327" operator="notBetween">
      <formula>#REF!</formula>
      <formula>#REF!</formula>
    </cfRule>
  </conditionalFormatting>
  <conditionalFormatting sqref="G20:G23">
    <cfRule type="cellIs" dxfId="1108" priority="339" operator="notBetween">
      <formula>#REF!</formula>
      <formula>#REF!</formula>
    </cfRule>
  </conditionalFormatting>
  <conditionalFormatting sqref="M9:M11">
    <cfRule type="cellIs" dxfId="1107" priority="346" operator="notBetween">
      <formula>#REF!</formula>
      <formula>#REF!</formula>
    </cfRule>
  </conditionalFormatting>
  <conditionalFormatting sqref="K9:K11">
    <cfRule type="cellIs" dxfId="1106" priority="348" operator="notBetween">
      <formula>#REF!</formula>
      <formula>#REF!</formula>
    </cfRule>
  </conditionalFormatting>
  <conditionalFormatting sqref="E9:E10">
    <cfRule type="cellIs" dxfId="1105" priority="355" operator="notBetween">
      <formula>#REF!</formula>
      <formula>#REF!</formula>
    </cfRule>
  </conditionalFormatting>
  <conditionalFormatting sqref="G9:G11">
    <cfRule type="cellIs" dxfId="1104" priority="357" operator="notBetween">
      <formula>#REF!</formula>
      <formula>#REF!</formula>
    </cfRule>
  </conditionalFormatting>
  <conditionalFormatting sqref="M15">
    <cfRule type="cellIs" dxfId="1103" priority="358" operator="notBetween">
      <formula>#REF!</formula>
      <formula>#REF!</formula>
    </cfRule>
  </conditionalFormatting>
  <conditionalFormatting sqref="K15">
    <cfRule type="cellIs" dxfId="1102" priority="359" operator="notBetween">
      <formula>#REF!</formula>
      <formula>#REF!</formula>
    </cfRule>
  </conditionalFormatting>
  <conditionalFormatting sqref="E15">
    <cfRule type="cellIs" dxfId="1101" priority="364" operator="notBetween">
      <formula>#REF!</formula>
      <formula>#REF!</formula>
    </cfRule>
  </conditionalFormatting>
  <conditionalFormatting sqref="G15">
    <cfRule type="cellIs" dxfId="1100" priority="365" operator="notBetween">
      <formula>#REF!</formula>
      <formula>#REF!</formula>
    </cfRule>
  </conditionalFormatting>
  <conditionalFormatting sqref="E11">
    <cfRule type="cellIs" dxfId="1099" priority="5" operator="notBetween">
      <formula>#REF!</formula>
      <formula>#REF!</formula>
    </cfRule>
  </conditionalFormatting>
  <conditionalFormatting sqref="M19">
    <cfRule type="cellIs" dxfId="1098" priority="2" operator="notBetween">
      <formula>#REF!</formula>
      <formula>#REF!</formula>
    </cfRule>
  </conditionalFormatting>
  <conditionalFormatting sqref="K19">
    <cfRule type="cellIs" dxfId="1097" priority="3" operator="notBetween">
      <formula>#REF!</formula>
      <formula>#REF!</formula>
    </cfRule>
  </conditionalFormatting>
  <conditionalFormatting sqref="G19">
    <cfRule type="cellIs" dxfId="1096" priority="4" operator="notBetween">
      <formula>#REF!</formula>
      <formula>#REF!</formula>
    </cfRule>
  </conditionalFormatting>
  <conditionalFormatting sqref="E19">
    <cfRule type="cellIs" dxfId="1095" priority="1" operator="notBetween">
      <formula>#REF!</formula>
      <formula>#REF!</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45"/>
  <sheetViews>
    <sheetView showGridLines="0" zoomScale="80" zoomScaleNormal="80" workbookViewId="0">
      <pane xSplit="5" ySplit="7" topLeftCell="F235" activePane="bottomRight" state="frozen"/>
      <selection pane="topRight" activeCell="F1" sqref="F1"/>
      <selection pane="bottomLeft" activeCell="A10" sqref="A10"/>
      <selection pane="bottomRight" activeCell="E257" sqref="E257"/>
    </sheetView>
  </sheetViews>
  <sheetFormatPr defaultColWidth="10.69921875" defaultRowHeight="15"/>
  <cols>
    <col min="1" max="1" width="1" style="420" customWidth="1"/>
    <col min="2" max="2" width="7.8984375" style="421" hidden="1" customWidth="1"/>
    <col min="3" max="3" width="10.69921875" style="421" hidden="1" customWidth="1"/>
    <col min="4" max="4" width="10.8984375" style="421" hidden="1" customWidth="1"/>
    <col min="5" max="5" width="32.5" style="420" customWidth="1"/>
    <col min="6" max="6" width="9" style="420" customWidth="1"/>
    <col min="7" max="7" width="5.796875" style="420" customWidth="1"/>
    <col min="8" max="8" width="7.3984375" style="420" customWidth="1"/>
    <col min="9" max="9" width="9.59765625" style="420" customWidth="1"/>
    <col min="10" max="10" width="15.09765625" style="161" customWidth="1"/>
    <col min="11" max="11" width="8.3984375" style="420" customWidth="1"/>
    <col min="12" max="12" width="5.796875" style="420" customWidth="1"/>
    <col min="13" max="13" width="6.3984375" style="420" customWidth="1"/>
    <col min="14" max="14" width="8.296875" style="420" customWidth="1"/>
    <col min="15" max="15" width="8" style="420" customWidth="1"/>
    <col min="16" max="16" width="10" style="420" customWidth="1"/>
    <col min="17" max="17" width="7.8984375" style="420" customWidth="1"/>
    <col min="18" max="18" width="13.19921875" style="420" customWidth="1"/>
    <col min="19" max="19" width="8.796875" style="420" customWidth="1"/>
    <col min="20" max="20" width="6.8984375" style="420" customWidth="1"/>
    <col min="21" max="21" width="7.8984375" style="420" customWidth="1"/>
    <col min="22" max="22" width="6.296875" style="420" customWidth="1"/>
    <col min="23" max="23" width="7.8984375" style="420" customWidth="1"/>
    <col min="24" max="24" width="6.296875" style="420" customWidth="1"/>
    <col min="25" max="25" width="8.296875" style="420" customWidth="1"/>
    <col min="26" max="26" width="6.296875" style="420" customWidth="1"/>
    <col min="27" max="27" width="7.8984375" style="420" customWidth="1"/>
    <col min="28" max="28" width="8.296875" style="420" customWidth="1"/>
    <col min="29" max="29" width="6.796875" style="420" customWidth="1"/>
    <col min="30" max="30" width="15" style="420" customWidth="1"/>
    <col min="31" max="16384" width="10.69921875" style="420"/>
  </cols>
  <sheetData>
    <row r="1" spans="1:30" ht="5.0999999999999996" customHeight="1"/>
    <row r="2" spans="1:30" customFormat="1" ht="17.25" customHeight="1" thickBot="1">
      <c r="B2" s="77"/>
      <c r="C2" s="77"/>
      <c r="D2" s="77"/>
      <c r="E2" s="1065" t="s">
        <v>1342</v>
      </c>
      <c r="J2" s="1"/>
    </row>
    <row r="3" spans="1:30" s="99" customFormat="1" ht="17.25" customHeight="1" thickBot="1">
      <c r="B3" s="422"/>
      <c r="C3" s="422"/>
      <c r="D3" s="422"/>
      <c r="E3" s="1065"/>
      <c r="F3"/>
      <c r="G3"/>
      <c r="H3"/>
      <c r="J3" s="423" t="s">
        <v>1341</v>
      </c>
      <c r="K3" s="1066" t="s">
        <v>4691</v>
      </c>
      <c r="L3" s="1067"/>
      <c r="Y3" s="424"/>
      <c r="AC3" s="425" t="s">
        <v>1419</v>
      </c>
      <c r="AD3" s="426">
        <v>44987</v>
      </c>
    </row>
    <row r="4" spans="1:30" customFormat="1" ht="5.25" customHeight="1">
      <c r="B4" s="77"/>
      <c r="C4" s="77"/>
      <c r="D4" s="77"/>
      <c r="J4" s="427"/>
    </row>
    <row r="5" spans="1:30" s="61" customFormat="1" ht="5.25" customHeight="1">
      <c r="B5" s="20"/>
      <c r="C5" s="20"/>
      <c r="D5" s="20"/>
      <c r="J5" s="68"/>
    </row>
    <row r="6" spans="1:30" s="433" customFormat="1" ht="34.5" customHeight="1">
      <c r="B6" s="434" t="s">
        <v>655</v>
      </c>
      <c r="C6" s="434" t="s">
        <v>1344</v>
      </c>
      <c r="D6" s="434" t="s">
        <v>1346</v>
      </c>
      <c r="E6" s="435" t="s">
        <v>1334</v>
      </c>
      <c r="F6" s="82" t="s">
        <v>32</v>
      </c>
      <c r="G6" s="82" t="s">
        <v>1413</v>
      </c>
      <c r="H6" s="82" t="s">
        <v>1415</v>
      </c>
      <c r="I6" s="82" t="s">
        <v>4561</v>
      </c>
      <c r="J6" s="82" t="s">
        <v>656</v>
      </c>
      <c r="K6" s="82" t="s">
        <v>657</v>
      </c>
      <c r="L6" s="82" t="s">
        <v>8</v>
      </c>
      <c r="M6" s="82" t="s">
        <v>33</v>
      </c>
      <c r="N6" s="82" t="s">
        <v>1331</v>
      </c>
      <c r="O6" s="82" t="s">
        <v>1408</v>
      </c>
      <c r="P6" s="82" t="s">
        <v>1418</v>
      </c>
      <c r="Q6" s="82" t="s">
        <v>1420</v>
      </c>
      <c r="R6" s="82" t="s">
        <v>707</v>
      </c>
      <c r="S6" s="82" t="s">
        <v>0</v>
      </c>
      <c r="T6" s="82" t="s">
        <v>708</v>
      </c>
      <c r="U6" s="82" t="s">
        <v>709</v>
      </c>
      <c r="V6" s="82" t="s">
        <v>710</v>
      </c>
      <c r="W6" s="82" t="s">
        <v>711</v>
      </c>
      <c r="X6" s="82" t="s">
        <v>712</v>
      </c>
      <c r="Y6" s="82" t="s">
        <v>1329</v>
      </c>
      <c r="Z6" s="82" t="s">
        <v>1330</v>
      </c>
      <c r="AA6" s="82" t="s">
        <v>713</v>
      </c>
      <c r="AB6" s="82" t="s">
        <v>714</v>
      </c>
      <c r="AC6" s="82" t="s">
        <v>605</v>
      </c>
      <c r="AD6" s="82" t="s">
        <v>31</v>
      </c>
    </row>
    <row r="7" spans="1:30" s="347" customFormat="1" ht="7.5" customHeight="1">
      <c r="B7" s="436"/>
      <c r="C7" s="436"/>
      <c r="D7" s="436"/>
      <c r="E7" s="437"/>
      <c r="J7" s="438"/>
      <c r="P7" s="439"/>
      <c r="Q7" s="439"/>
      <c r="R7" s="439"/>
    </row>
    <row r="8" spans="1:30" s="428" customFormat="1" ht="21.75" customHeight="1">
      <c r="B8" s="429"/>
      <c r="C8" s="429"/>
      <c r="D8" s="429"/>
      <c r="E8" s="430" t="s">
        <v>1332</v>
      </c>
      <c r="F8" s="430"/>
      <c r="G8" s="430"/>
      <c r="H8" s="430"/>
      <c r="I8" s="430"/>
      <c r="J8" s="431"/>
      <c r="K8" s="430"/>
      <c r="L8" s="430"/>
      <c r="M8" s="430"/>
      <c r="N8" s="430"/>
      <c r="O8" s="430"/>
      <c r="P8" s="430"/>
      <c r="Q8" s="430"/>
      <c r="R8" s="430"/>
      <c r="S8" s="430"/>
      <c r="T8" s="430"/>
      <c r="U8" s="430"/>
      <c r="V8" s="430"/>
      <c r="W8" s="430"/>
      <c r="X8" s="430"/>
      <c r="Y8" s="430"/>
      <c r="Z8" s="430"/>
      <c r="AA8" s="430"/>
      <c r="AB8" s="430"/>
      <c r="AC8" s="430"/>
      <c r="AD8" s="430"/>
    </row>
    <row r="9" spans="1:30" s="61" customFormat="1" ht="5.25" customHeight="1">
      <c r="B9" s="20"/>
      <c r="C9" s="20"/>
      <c r="D9" s="20"/>
      <c r="E9" s="432"/>
      <c r="J9" s="68"/>
    </row>
    <row r="10" spans="1:30" s="347" customFormat="1">
      <c r="A10" s="440"/>
      <c r="B10" s="436" t="s">
        <v>620</v>
      </c>
      <c r="C10" s="436" t="s">
        <v>34</v>
      </c>
      <c r="D10" s="436" t="str">
        <f>B10&amp;" "&amp;C10</f>
        <v>Pós-fixado -</v>
      </c>
      <c r="E10" s="441" t="s">
        <v>620</v>
      </c>
      <c r="F10" s="441"/>
      <c r="G10" s="441"/>
      <c r="H10" s="441"/>
      <c r="I10" s="441"/>
      <c r="J10" s="442"/>
      <c r="K10" s="441"/>
      <c r="L10" s="441"/>
      <c r="M10" s="441"/>
      <c r="N10" s="441"/>
      <c r="O10" s="441"/>
      <c r="P10" s="443"/>
      <c r="Q10" s="443"/>
      <c r="R10" s="443"/>
      <c r="S10" s="444"/>
      <c r="T10" s="441"/>
      <c r="U10" s="441"/>
      <c r="V10" s="441"/>
      <c r="W10" s="441"/>
      <c r="X10" s="441"/>
      <c r="Y10" s="441"/>
      <c r="Z10" s="441"/>
      <c r="AA10" s="441"/>
      <c r="AB10" s="441"/>
      <c r="AC10" s="445"/>
      <c r="AD10" s="441"/>
    </row>
    <row r="11" spans="1:30">
      <c r="E11" s="446" t="s">
        <v>4386</v>
      </c>
      <c r="F11" s="146" t="s">
        <v>715</v>
      </c>
      <c r="G11" s="146" t="s">
        <v>34</v>
      </c>
      <c r="H11" s="146" t="s">
        <v>1321</v>
      </c>
      <c r="I11" s="447" t="s">
        <v>34</v>
      </c>
      <c r="J11" s="146" t="s">
        <v>663</v>
      </c>
      <c r="K11" s="146" t="s">
        <v>608</v>
      </c>
      <c r="L11" s="146" t="s">
        <v>48</v>
      </c>
      <c r="M11" s="146">
        <v>0</v>
      </c>
      <c r="N11" s="447">
        <v>3.0000000000000001E-3</v>
      </c>
      <c r="O11" s="447">
        <v>1.0499999999999999E-3</v>
      </c>
      <c r="P11" s="448">
        <v>500</v>
      </c>
      <c r="Q11" s="448" t="s">
        <v>34</v>
      </c>
      <c r="R11" s="448">
        <v>5634111652.3600006</v>
      </c>
      <c r="S11" s="449">
        <v>43061</v>
      </c>
      <c r="T11" s="450">
        <v>2.0671156751377318E-2</v>
      </c>
      <c r="U11" s="451">
        <v>1.033641563898394</v>
      </c>
      <c r="V11" s="450">
        <v>0.13483779765072024</v>
      </c>
      <c r="W11" s="451">
        <v>1.0457089305669309</v>
      </c>
      <c r="X11" s="450">
        <v>0.20581046421173821</v>
      </c>
      <c r="Y11" s="451">
        <v>1.0658908662904072</v>
      </c>
      <c r="Z11" s="450">
        <v>0.20845120672731832</v>
      </c>
      <c r="AA11" s="451">
        <v>0.94121494252035398</v>
      </c>
      <c r="AB11" s="450">
        <v>8.9493726359862432E-4</v>
      </c>
      <c r="AC11" s="452">
        <v>6.5858115911187154</v>
      </c>
      <c r="AD11" s="147">
        <v>27717359000130</v>
      </c>
    </row>
    <row r="12" spans="1:30">
      <c r="E12" s="446" t="s">
        <v>4574</v>
      </c>
      <c r="F12" s="146" t="s">
        <v>715</v>
      </c>
      <c r="G12" s="146" t="s">
        <v>1414</v>
      </c>
      <c r="H12" s="146" t="s">
        <v>1321</v>
      </c>
      <c r="I12" s="447" t="s">
        <v>34</v>
      </c>
      <c r="J12" s="146" t="s">
        <v>672</v>
      </c>
      <c r="K12" s="146" t="s">
        <v>608</v>
      </c>
      <c r="L12" s="146" t="s">
        <v>48</v>
      </c>
      <c r="M12" s="146">
        <v>0</v>
      </c>
      <c r="N12" s="447">
        <v>3.0000000000000001E-3</v>
      </c>
      <c r="O12" s="447">
        <v>6.9999999999999999E-4</v>
      </c>
      <c r="P12" s="448">
        <v>1</v>
      </c>
      <c r="Q12" s="448" t="s">
        <v>34</v>
      </c>
      <c r="R12" s="448">
        <v>43250643860</v>
      </c>
      <c r="S12" s="449">
        <v>44498</v>
      </c>
      <c r="T12" s="450">
        <v>0.3347050566695724</v>
      </c>
      <c r="U12" s="451">
        <v>16.736608520835961</v>
      </c>
      <c r="V12" s="450">
        <v>0.22194909166373944</v>
      </c>
      <c r="W12" s="451">
        <v>1.7212840266436298</v>
      </c>
      <c r="X12" s="450" t="s">
        <v>34</v>
      </c>
      <c r="Y12" s="451" t="s">
        <v>34</v>
      </c>
      <c r="Z12" s="450" t="s">
        <v>34</v>
      </c>
      <c r="AA12" s="451" t="s">
        <v>34</v>
      </c>
      <c r="AB12" s="450">
        <v>0.70696376644228431</v>
      </c>
      <c r="AC12" s="452">
        <v>0.13155579766837161</v>
      </c>
      <c r="AD12" s="147">
        <v>26199519000134</v>
      </c>
    </row>
    <row r="13" spans="1:30">
      <c r="E13" s="446" t="s">
        <v>4575</v>
      </c>
      <c r="F13" s="146" t="s">
        <v>715</v>
      </c>
      <c r="G13" s="146" t="s">
        <v>1414</v>
      </c>
      <c r="H13" s="146" t="s">
        <v>1321</v>
      </c>
      <c r="I13" s="447" t="s">
        <v>34</v>
      </c>
      <c r="J13" s="146" t="s">
        <v>672</v>
      </c>
      <c r="K13" s="146" t="s">
        <v>608</v>
      </c>
      <c r="L13" s="146" t="s">
        <v>48</v>
      </c>
      <c r="M13" s="146">
        <v>0</v>
      </c>
      <c r="N13" s="447">
        <v>0</v>
      </c>
      <c r="O13" s="447">
        <v>0</v>
      </c>
      <c r="P13" s="448">
        <v>500</v>
      </c>
      <c r="Q13" s="448" t="s">
        <v>34</v>
      </c>
      <c r="R13" s="448">
        <v>4350848081.7799997</v>
      </c>
      <c r="S13" s="449">
        <v>43230</v>
      </c>
      <c r="T13" s="450">
        <v>2.0148736676176782E-2</v>
      </c>
      <c r="U13" s="451">
        <v>1.007518444131223</v>
      </c>
      <c r="V13" s="450">
        <v>0.12978335932931917</v>
      </c>
      <c r="W13" s="451">
        <v>1.0065101941311718</v>
      </c>
      <c r="X13" s="450">
        <v>0.19587094298353436</v>
      </c>
      <c r="Y13" s="451">
        <v>1.0144141596369374</v>
      </c>
      <c r="Z13" s="450">
        <v>0.21584304867569437</v>
      </c>
      <c r="AA13" s="451">
        <v>0.97459115656962736</v>
      </c>
      <c r="AB13" s="450">
        <v>8.1111845541716025E-4</v>
      </c>
      <c r="AC13" s="452">
        <v>1.0349288404479555</v>
      </c>
      <c r="AD13" s="147">
        <v>29562673000117</v>
      </c>
    </row>
    <row r="14" spans="1:30">
      <c r="E14" s="446" t="s">
        <v>2713</v>
      </c>
      <c r="F14" s="146" t="s">
        <v>715</v>
      </c>
      <c r="G14" s="146" t="s">
        <v>34</v>
      </c>
      <c r="H14" s="146" t="s">
        <v>1324</v>
      </c>
      <c r="I14" s="447" t="s">
        <v>34</v>
      </c>
      <c r="J14" s="146" t="s">
        <v>663</v>
      </c>
      <c r="K14" s="146" t="s">
        <v>608</v>
      </c>
      <c r="L14" s="146" t="s">
        <v>48</v>
      </c>
      <c r="M14" s="146">
        <v>1</v>
      </c>
      <c r="N14" s="447">
        <v>0</v>
      </c>
      <c r="O14" s="447">
        <v>2.0999999999999999E-3</v>
      </c>
      <c r="P14" s="448">
        <v>100</v>
      </c>
      <c r="Q14" s="448" t="s">
        <v>34</v>
      </c>
      <c r="R14" s="448">
        <v>52925322.710000001</v>
      </c>
      <c r="S14" s="449">
        <v>44546</v>
      </c>
      <c r="T14" s="450">
        <v>2.1486416018906773E-2</v>
      </c>
      <c r="U14" s="451">
        <v>1.0744078293961223</v>
      </c>
      <c r="V14" s="450">
        <v>0.16149674907750011</v>
      </c>
      <c r="W14" s="451">
        <v>1.2524573651471722</v>
      </c>
      <c r="X14" s="450" t="s">
        <v>34</v>
      </c>
      <c r="Y14" s="451" t="s">
        <v>34</v>
      </c>
      <c r="Z14" s="450" t="s">
        <v>34</v>
      </c>
      <c r="AA14" s="451" t="s">
        <v>34</v>
      </c>
      <c r="AB14" s="450">
        <v>1.3545230673698614E-2</v>
      </c>
      <c r="AC14" s="452">
        <v>2.4032694912993309</v>
      </c>
      <c r="AD14" s="147">
        <v>32892819000105</v>
      </c>
    </row>
    <row r="15" spans="1:30">
      <c r="E15" s="446" t="s">
        <v>2712</v>
      </c>
      <c r="F15" s="146" t="s">
        <v>715</v>
      </c>
      <c r="G15" s="146" t="s">
        <v>34</v>
      </c>
      <c r="H15" s="146" t="s">
        <v>1321</v>
      </c>
      <c r="I15" s="447" t="s">
        <v>34</v>
      </c>
      <c r="J15" s="146" t="s">
        <v>619</v>
      </c>
      <c r="K15" s="146" t="s">
        <v>608</v>
      </c>
      <c r="L15" s="146" t="s">
        <v>48</v>
      </c>
      <c r="M15" s="146">
        <v>1</v>
      </c>
      <c r="N15" s="447">
        <v>0</v>
      </c>
      <c r="O15" s="447">
        <v>1.6000000000000001E-3</v>
      </c>
      <c r="P15" s="448">
        <v>1000</v>
      </c>
      <c r="Q15" s="448" t="s">
        <v>34</v>
      </c>
      <c r="R15" s="448">
        <v>61989225.649999999</v>
      </c>
      <c r="S15" s="449">
        <v>44287</v>
      </c>
      <c r="T15" s="450">
        <v>1.9569819858972881E-2</v>
      </c>
      <c r="U15" s="451">
        <v>0.97857025842981804</v>
      </c>
      <c r="V15" s="450">
        <v>0.13150040565836707</v>
      </c>
      <c r="W15" s="451">
        <v>1.0198264208255119</v>
      </c>
      <c r="X15" s="450" t="s">
        <v>34</v>
      </c>
      <c r="Y15" s="451" t="s">
        <v>34</v>
      </c>
      <c r="Z15" s="450" t="s">
        <v>34</v>
      </c>
      <c r="AA15" s="451" t="s">
        <v>34</v>
      </c>
      <c r="AB15" s="450">
        <v>1.098995038559299E-2</v>
      </c>
      <c r="AC15" s="452">
        <v>0.2326212696037368</v>
      </c>
      <c r="AD15" s="147">
        <v>34687428000176</v>
      </c>
    </row>
    <row r="16" spans="1:30">
      <c r="E16" s="446" t="s">
        <v>2631</v>
      </c>
      <c r="F16" s="146" t="s">
        <v>715</v>
      </c>
      <c r="G16" s="146" t="s">
        <v>34</v>
      </c>
      <c r="H16" s="146" t="s">
        <v>1321</v>
      </c>
      <c r="I16" s="447" t="s">
        <v>34</v>
      </c>
      <c r="J16" s="146" t="s">
        <v>663</v>
      </c>
      <c r="K16" s="146" t="s">
        <v>608</v>
      </c>
      <c r="L16" s="146" t="s">
        <v>48</v>
      </c>
      <c r="M16" s="146">
        <v>2</v>
      </c>
      <c r="N16" s="447">
        <v>8.0000000000000002E-3</v>
      </c>
      <c r="O16" s="447">
        <v>1.6000000000000001E-3</v>
      </c>
      <c r="P16" s="448">
        <v>100</v>
      </c>
      <c r="Q16" s="448" t="s">
        <v>34</v>
      </c>
      <c r="R16" s="448">
        <v>317838934</v>
      </c>
      <c r="S16" s="449">
        <v>41915</v>
      </c>
      <c r="T16" s="450">
        <v>2.0120015654215395E-2</v>
      </c>
      <c r="U16" s="451">
        <v>1.0060822767016984</v>
      </c>
      <c r="V16" s="450">
        <v>0.13116337628244645</v>
      </c>
      <c r="W16" s="451">
        <v>1.0172126535109749</v>
      </c>
      <c r="X16" s="450">
        <v>0.20201431345568333</v>
      </c>
      <c r="Y16" s="451">
        <v>1.0462306297060444</v>
      </c>
      <c r="Z16" s="450">
        <v>0.23756890857030455</v>
      </c>
      <c r="AA16" s="451">
        <v>1.072689432386569</v>
      </c>
      <c r="AB16" s="450">
        <v>1.8845226477034859E-3</v>
      </c>
      <c r="AC16" s="452">
        <v>1.1777342333151499</v>
      </c>
      <c r="AD16" s="147">
        <v>17899612000160</v>
      </c>
    </row>
    <row r="17" spans="5:30">
      <c r="E17" s="446" t="s">
        <v>4579</v>
      </c>
      <c r="F17" s="146" t="s">
        <v>715</v>
      </c>
      <c r="G17" s="146" t="s">
        <v>34</v>
      </c>
      <c r="H17" s="146" t="s">
        <v>1321</v>
      </c>
      <c r="I17" s="447" t="s">
        <v>34</v>
      </c>
      <c r="J17" s="146" t="s">
        <v>663</v>
      </c>
      <c r="K17" s="146" t="s">
        <v>608</v>
      </c>
      <c r="L17" s="146" t="s">
        <v>48</v>
      </c>
      <c r="M17" s="146">
        <v>22</v>
      </c>
      <c r="N17" s="447">
        <v>6.0000000000000001E-3</v>
      </c>
      <c r="O17" s="447">
        <v>1.3999999800000001E-3</v>
      </c>
      <c r="P17" s="448">
        <v>1000000</v>
      </c>
      <c r="Q17" s="448" t="s">
        <v>34</v>
      </c>
      <c r="R17" s="448">
        <v>249851531.25999999</v>
      </c>
      <c r="S17" s="449">
        <v>44753</v>
      </c>
      <c r="T17" s="450">
        <v>-5.6917836517563769E-3</v>
      </c>
      <c r="U17" s="451">
        <v>-0.28461223655423989</v>
      </c>
      <c r="V17" s="450" t="s">
        <v>34</v>
      </c>
      <c r="W17" s="451" t="s">
        <v>34</v>
      </c>
      <c r="X17" s="450" t="s">
        <v>34</v>
      </c>
      <c r="Y17" s="451" t="s">
        <v>34</v>
      </c>
      <c r="Z17" s="450" t="s">
        <v>34</v>
      </c>
      <c r="AA17" s="451" t="s">
        <v>34</v>
      </c>
      <c r="AB17" s="450">
        <v>1.4649383541037264E-2</v>
      </c>
      <c r="AC17" s="452" t="s">
        <v>34</v>
      </c>
      <c r="AD17" s="147">
        <v>28840420000103</v>
      </c>
    </row>
    <row r="18" spans="5:30">
      <c r="E18" s="446" t="s">
        <v>2081</v>
      </c>
      <c r="F18" s="146" t="s">
        <v>715</v>
      </c>
      <c r="G18" s="146" t="s">
        <v>34</v>
      </c>
      <c r="H18" s="146" t="s">
        <v>1321</v>
      </c>
      <c r="I18" s="447" t="s">
        <v>34</v>
      </c>
      <c r="J18" s="146" t="s">
        <v>663</v>
      </c>
      <c r="K18" s="146" t="s">
        <v>608</v>
      </c>
      <c r="L18" s="146" t="s">
        <v>48</v>
      </c>
      <c r="M18" s="146">
        <v>31</v>
      </c>
      <c r="N18" s="447">
        <v>9.0000000000000011E-3</v>
      </c>
      <c r="O18" s="447">
        <v>1.4E-3</v>
      </c>
      <c r="P18" s="448">
        <v>1000</v>
      </c>
      <c r="Q18" s="448" t="s">
        <v>34</v>
      </c>
      <c r="R18" s="448">
        <v>1012613131.92</v>
      </c>
      <c r="S18" s="449">
        <v>43338</v>
      </c>
      <c r="T18" s="450">
        <v>2.9260241024913203E-3</v>
      </c>
      <c r="U18" s="451">
        <v>0.14631305667506991</v>
      </c>
      <c r="V18" s="450">
        <v>0.12736183307442994</v>
      </c>
      <c r="W18" s="451">
        <v>0.98773050717055166</v>
      </c>
      <c r="X18" s="450">
        <v>0.23312828396245555</v>
      </c>
      <c r="Y18" s="451">
        <v>1.2073696519817938</v>
      </c>
      <c r="Z18" s="450">
        <v>0.26475901784366696</v>
      </c>
      <c r="AA18" s="451">
        <v>1.1954603078285486</v>
      </c>
      <c r="AB18" s="450">
        <v>7.1215012475241441E-3</v>
      </c>
      <c r="AC18" s="452">
        <v>-0.22215489647052061</v>
      </c>
      <c r="AD18" s="147">
        <v>30910553000142</v>
      </c>
    </row>
    <row r="19" spans="5:30">
      <c r="E19" s="446" t="s">
        <v>2601</v>
      </c>
      <c r="F19" s="146" t="s">
        <v>715</v>
      </c>
      <c r="G19" s="146" t="s">
        <v>34</v>
      </c>
      <c r="H19" s="146" t="s">
        <v>1324</v>
      </c>
      <c r="I19" s="447" t="s">
        <v>34</v>
      </c>
      <c r="J19" s="146" t="s">
        <v>663</v>
      </c>
      <c r="K19" s="146" t="s">
        <v>608</v>
      </c>
      <c r="L19" s="146" t="s">
        <v>48</v>
      </c>
      <c r="M19" s="146">
        <v>31</v>
      </c>
      <c r="N19" s="447">
        <v>8.0000000000000002E-3</v>
      </c>
      <c r="O19" s="447">
        <v>1.5983333333333301E-3</v>
      </c>
      <c r="P19" s="448">
        <v>1000</v>
      </c>
      <c r="Q19" s="448" t="s">
        <v>34</v>
      </c>
      <c r="R19" s="448">
        <v>315391749</v>
      </c>
      <c r="S19" s="449">
        <v>42851</v>
      </c>
      <c r="T19" s="450">
        <v>-5.7894530317753601E-3</v>
      </c>
      <c r="U19" s="451">
        <v>-0.28949610115466107</v>
      </c>
      <c r="V19" s="450">
        <v>0.11678005108621514</v>
      </c>
      <c r="W19" s="451">
        <v>0.90566550670938895</v>
      </c>
      <c r="X19" s="450">
        <v>0.21382862923176793</v>
      </c>
      <c r="Y19" s="451">
        <v>1.1074168834051943</v>
      </c>
      <c r="Z19" s="450">
        <v>0.25772861138485603</v>
      </c>
      <c r="AA19" s="451">
        <v>1.1637160751377755</v>
      </c>
      <c r="AB19" s="450">
        <v>1.2585570694878461E-2</v>
      </c>
      <c r="AC19" s="452">
        <v>-0.96649239478056714</v>
      </c>
      <c r="AD19" s="147">
        <v>26773148000152</v>
      </c>
    </row>
    <row r="20" spans="5:30">
      <c r="E20" s="446" t="s">
        <v>2740</v>
      </c>
      <c r="F20" s="146" t="s">
        <v>715</v>
      </c>
      <c r="G20" s="146" t="s">
        <v>34</v>
      </c>
      <c r="H20" s="146" t="s">
        <v>1321</v>
      </c>
      <c r="I20" s="447" t="s">
        <v>34</v>
      </c>
      <c r="J20" s="146" t="s">
        <v>692</v>
      </c>
      <c r="K20" s="146" t="s">
        <v>608</v>
      </c>
      <c r="L20" s="146" t="s">
        <v>48</v>
      </c>
      <c r="M20" s="146">
        <v>31</v>
      </c>
      <c r="N20" s="447">
        <v>6.7999999999999996E-3</v>
      </c>
      <c r="O20" s="447">
        <v>2.5999999999999999E-3</v>
      </c>
      <c r="P20" s="448">
        <v>500</v>
      </c>
      <c r="Q20" s="448" t="s">
        <v>34</v>
      </c>
      <c r="R20" s="448">
        <v>19197750.390000001</v>
      </c>
      <c r="S20" s="449">
        <v>44862</v>
      </c>
      <c r="T20" s="450">
        <v>1.6145765836501402E-2</v>
      </c>
      <c r="U20" s="451">
        <v>0.80735368853833445</v>
      </c>
      <c r="V20" s="450" t="s">
        <v>34</v>
      </c>
      <c r="W20" s="451" t="s">
        <v>34</v>
      </c>
      <c r="X20" s="450" t="s">
        <v>34</v>
      </c>
      <c r="Y20" s="451" t="s">
        <v>34</v>
      </c>
      <c r="Z20" s="450" t="s">
        <v>34</v>
      </c>
      <c r="AA20" s="451" t="s">
        <v>34</v>
      </c>
      <c r="AB20" s="450">
        <v>9.3241473114779681E-3</v>
      </c>
      <c r="AC20" s="452" t="s">
        <v>34</v>
      </c>
      <c r="AD20" s="147">
        <v>47612737000129</v>
      </c>
    </row>
    <row r="21" spans="5:30">
      <c r="E21" s="446" t="s">
        <v>2709</v>
      </c>
      <c r="F21" s="146" t="s">
        <v>715</v>
      </c>
      <c r="G21" s="146" t="s">
        <v>34</v>
      </c>
      <c r="H21" s="146" t="s">
        <v>1321</v>
      </c>
      <c r="I21" s="447" t="s">
        <v>34</v>
      </c>
      <c r="J21" s="146" t="s">
        <v>663</v>
      </c>
      <c r="K21" s="146" t="s">
        <v>608</v>
      </c>
      <c r="L21" s="146" t="s">
        <v>48</v>
      </c>
      <c r="M21" s="146">
        <v>60</v>
      </c>
      <c r="N21" s="447">
        <v>0.01</v>
      </c>
      <c r="O21" s="447">
        <v>3.5000000000000001E-3</v>
      </c>
      <c r="P21" s="448">
        <v>5000</v>
      </c>
      <c r="Q21" s="448" t="s">
        <v>34</v>
      </c>
      <c r="R21" s="448">
        <v>91521518.5</v>
      </c>
      <c r="S21" s="449">
        <v>43646</v>
      </c>
      <c r="T21" s="450">
        <v>2.4008241250130791E-3</v>
      </c>
      <c r="U21" s="451">
        <v>0.12005093053431393</v>
      </c>
      <c r="V21" s="450">
        <v>8.8038521323582142E-2</v>
      </c>
      <c r="W21" s="451">
        <v>0.68276603137981673</v>
      </c>
      <c r="X21" s="450">
        <v>0.19670760744077942</v>
      </c>
      <c r="Y21" s="451">
        <v>1.0187472386499163</v>
      </c>
      <c r="Z21" s="450">
        <v>0.27447570811264876</v>
      </c>
      <c r="AA21" s="451">
        <v>1.2393338560636102</v>
      </c>
      <c r="AB21" s="450">
        <v>2.2572696017014438E-2</v>
      </c>
      <c r="AC21" s="452">
        <v>-1.8121622730564966</v>
      </c>
      <c r="AD21" s="147">
        <v>33599991000120</v>
      </c>
    </row>
    <row r="22" spans="5:30">
      <c r="E22" s="446" t="s">
        <v>2706</v>
      </c>
      <c r="F22" s="146" t="s">
        <v>715</v>
      </c>
      <c r="G22" s="146" t="s">
        <v>34</v>
      </c>
      <c r="H22" s="146" t="s">
        <v>1321</v>
      </c>
      <c r="I22" s="447" t="s">
        <v>34</v>
      </c>
      <c r="J22" s="146" t="s">
        <v>663</v>
      </c>
      <c r="K22" s="146" t="s">
        <v>608</v>
      </c>
      <c r="L22" s="146" t="s">
        <v>48</v>
      </c>
      <c r="M22" s="146">
        <v>61</v>
      </c>
      <c r="N22" s="447">
        <v>0</v>
      </c>
      <c r="O22" s="447">
        <v>1.8666666666666699E-3</v>
      </c>
      <c r="P22" s="448">
        <v>1000</v>
      </c>
      <c r="Q22" s="448" t="s">
        <v>34</v>
      </c>
      <c r="R22" s="448">
        <v>450680027.11000001</v>
      </c>
      <c r="S22" s="449">
        <v>43449</v>
      </c>
      <c r="T22" s="450">
        <v>2.451964343888946E-3</v>
      </c>
      <c r="U22" s="451">
        <v>0.12260814861614358</v>
      </c>
      <c r="V22" s="450">
        <v>0.13546834780292238</v>
      </c>
      <c r="W22" s="451">
        <v>1.050599042514889</v>
      </c>
      <c r="X22" s="450">
        <v>0.25273990572719662</v>
      </c>
      <c r="Y22" s="451">
        <v>1.3089380955118262</v>
      </c>
      <c r="Z22" s="450">
        <v>0.30217042260583127</v>
      </c>
      <c r="AA22" s="451">
        <v>1.3643831638563784</v>
      </c>
      <c r="AB22" s="450">
        <v>7.9293197395870554E-3</v>
      </c>
      <c r="AC22" s="452">
        <v>0.82282447554243954</v>
      </c>
      <c r="AD22" s="147">
        <v>32102131000176</v>
      </c>
    </row>
    <row r="23" spans="5:30">
      <c r="E23" s="446" t="s">
        <v>2072</v>
      </c>
      <c r="F23" s="146" t="s">
        <v>715</v>
      </c>
      <c r="G23" s="146" t="s">
        <v>34</v>
      </c>
      <c r="H23" s="146" t="s">
        <v>1321</v>
      </c>
      <c r="I23" s="447" t="s">
        <v>34</v>
      </c>
      <c r="J23" s="146" t="s">
        <v>685</v>
      </c>
      <c r="K23" s="146" t="s">
        <v>608</v>
      </c>
      <c r="L23" s="146" t="s">
        <v>48</v>
      </c>
      <c r="M23" s="146">
        <v>91</v>
      </c>
      <c r="N23" s="447">
        <v>1.95E-2</v>
      </c>
      <c r="O23" s="447">
        <v>3.33333333333333E-4</v>
      </c>
      <c r="P23" s="448">
        <v>5000</v>
      </c>
      <c r="Q23" s="448" t="s">
        <v>34</v>
      </c>
      <c r="R23" s="448">
        <v>145706129.78</v>
      </c>
      <c r="S23" s="449">
        <v>44071</v>
      </c>
      <c r="T23" s="450">
        <v>2.4205551061643904E-2</v>
      </c>
      <c r="U23" s="451">
        <v>1.210375595101274</v>
      </c>
      <c r="V23" s="450">
        <v>0.16221149808917446</v>
      </c>
      <c r="W23" s="451">
        <v>1.2580004653582706</v>
      </c>
      <c r="X23" s="450">
        <v>0.27302355558583891</v>
      </c>
      <c r="Y23" s="451">
        <v>1.4139869675512802</v>
      </c>
      <c r="Z23" s="450" t="s">
        <v>34</v>
      </c>
      <c r="AA23" s="451" t="s">
        <v>34</v>
      </c>
      <c r="AB23" s="450">
        <v>1.9859386588395415E-3</v>
      </c>
      <c r="AC23" s="452">
        <v>16.751569085132569</v>
      </c>
      <c r="AD23" s="147">
        <v>37806055000101</v>
      </c>
    </row>
    <row r="24" spans="5:30">
      <c r="E24" s="446" t="s">
        <v>2082</v>
      </c>
      <c r="F24" s="146" t="s">
        <v>715</v>
      </c>
      <c r="G24" s="146" t="s">
        <v>34</v>
      </c>
      <c r="H24" s="146" t="s">
        <v>1321</v>
      </c>
      <c r="I24" s="447" t="s">
        <v>34</v>
      </c>
      <c r="J24" s="146" t="s">
        <v>685</v>
      </c>
      <c r="K24" s="146" t="s">
        <v>608</v>
      </c>
      <c r="L24" s="146" t="s">
        <v>48</v>
      </c>
      <c r="M24" s="146">
        <v>271</v>
      </c>
      <c r="N24" s="447">
        <v>0</v>
      </c>
      <c r="O24" s="447">
        <v>6.6666666666666697E-3</v>
      </c>
      <c r="P24" s="448">
        <v>50000</v>
      </c>
      <c r="Q24" s="448" t="s">
        <v>34</v>
      </c>
      <c r="R24" s="448">
        <v>61492813.079999998</v>
      </c>
      <c r="S24" s="449">
        <v>43313</v>
      </c>
      <c r="T24" s="450">
        <v>2.1350350816435659E-2</v>
      </c>
      <c r="U24" s="451">
        <v>1.0676040181548854</v>
      </c>
      <c r="V24" s="450">
        <v>0.12410627569105714</v>
      </c>
      <c r="W24" s="451">
        <v>0.96248265019661461</v>
      </c>
      <c r="X24" s="450">
        <v>0.2524889658041447</v>
      </c>
      <c r="Y24" s="451">
        <v>1.3076384795132272</v>
      </c>
      <c r="Z24" s="450">
        <v>0.31418651789187613</v>
      </c>
      <c r="AA24" s="451">
        <v>1.4186391627135519</v>
      </c>
      <c r="AB24" s="450">
        <v>1.5361707947187515E-2</v>
      </c>
      <c r="AC24" s="452">
        <v>-0.31491509748542651</v>
      </c>
      <c r="AD24" s="147">
        <v>30877877000126</v>
      </c>
    </row>
    <row r="25" spans="5:30">
      <c r="E25" s="446" t="s">
        <v>4692</v>
      </c>
      <c r="F25" s="146" t="s">
        <v>4572</v>
      </c>
      <c r="G25" s="146" t="s">
        <v>34</v>
      </c>
      <c r="H25" s="146" t="s">
        <v>1321</v>
      </c>
      <c r="I25" s="447" t="s">
        <v>4400</v>
      </c>
      <c r="J25" s="146" t="s">
        <v>663</v>
      </c>
      <c r="K25" s="146" t="s">
        <v>608</v>
      </c>
      <c r="L25" s="146" t="s">
        <v>48</v>
      </c>
      <c r="M25" s="146">
        <v>1</v>
      </c>
      <c r="N25" s="447">
        <v>8.9999999999999993E-3</v>
      </c>
      <c r="O25" s="447">
        <v>0</v>
      </c>
      <c r="P25" s="448">
        <v>1</v>
      </c>
      <c r="Q25" s="448" t="s">
        <v>34</v>
      </c>
      <c r="R25" s="448">
        <v>188111738.11000001</v>
      </c>
      <c r="S25" s="449">
        <v>44587</v>
      </c>
      <c r="T25" s="450">
        <v>1.1017999931624001E-3</v>
      </c>
      <c r="U25" s="451">
        <v>5.5094462382214805E-2</v>
      </c>
      <c r="V25" s="450">
        <v>1.1017999931624001E-3</v>
      </c>
      <c r="W25" s="451">
        <v>8.5448005872435801E-3</v>
      </c>
      <c r="X25" s="450" t="s">
        <v>34</v>
      </c>
      <c r="Y25" s="451" t="s">
        <v>34</v>
      </c>
      <c r="Z25" s="450" t="s">
        <v>34</v>
      </c>
      <c r="AA25" s="451" t="s">
        <v>34</v>
      </c>
      <c r="AB25" s="450">
        <v>1.1265400671026297E-2</v>
      </c>
      <c r="AC25" s="452">
        <v>-11.348207949889041</v>
      </c>
      <c r="AD25" s="147">
        <v>30419083000119</v>
      </c>
    </row>
    <row r="26" spans="5:30">
      <c r="E26" s="446" t="s">
        <v>4562</v>
      </c>
      <c r="F26" s="146" t="s">
        <v>4572</v>
      </c>
      <c r="G26" s="146" t="s">
        <v>34</v>
      </c>
      <c r="H26" s="146" t="s">
        <v>1321</v>
      </c>
      <c r="I26" s="447" t="s">
        <v>4400</v>
      </c>
      <c r="J26" s="146" t="s">
        <v>663</v>
      </c>
      <c r="K26" s="146" t="s">
        <v>608</v>
      </c>
      <c r="L26" s="146" t="s">
        <v>48</v>
      </c>
      <c r="M26" s="146">
        <v>1</v>
      </c>
      <c r="N26" s="447">
        <v>8.0000000000000002E-3</v>
      </c>
      <c r="O26" s="447">
        <v>0</v>
      </c>
      <c r="P26" s="448">
        <v>1</v>
      </c>
      <c r="Q26" s="448" t="s">
        <v>34</v>
      </c>
      <c r="R26" s="448">
        <v>134877700.25</v>
      </c>
      <c r="S26" s="449">
        <v>44834</v>
      </c>
      <c r="T26" s="450">
        <v>1.8549116456954007E-3</v>
      </c>
      <c r="U26" s="451">
        <v>9.2753095407792668E-2</v>
      </c>
      <c r="V26" s="450" t="s">
        <v>34</v>
      </c>
      <c r="W26" s="451" t="s">
        <v>34</v>
      </c>
      <c r="X26" s="450" t="s">
        <v>34</v>
      </c>
      <c r="Y26" s="451" t="s">
        <v>34</v>
      </c>
      <c r="Z26" s="450" t="s">
        <v>34</v>
      </c>
      <c r="AA26" s="451" t="s">
        <v>34</v>
      </c>
      <c r="AB26" s="450">
        <v>4.6191727263211581E-3</v>
      </c>
      <c r="AC26" s="452" t="s">
        <v>34</v>
      </c>
      <c r="AD26" s="147">
        <v>45599105000147</v>
      </c>
    </row>
    <row r="27" spans="5:30">
      <c r="E27" s="446" t="s">
        <v>4693</v>
      </c>
      <c r="F27" s="146" t="s">
        <v>4572</v>
      </c>
      <c r="G27" s="146" t="s">
        <v>34</v>
      </c>
      <c r="H27" s="146" t="s">
        <v>1321</v>
      </c>
      <c r="I27" s="447" t="s">
        <v>4400</v>
      </c>
      <c r="J27" s="146" t="s">
        <v>672</v>
      </c>
      <c r="K27" s="146" t="s">
        <v>608</v>
      </c>
      <c r="L27" s="146" t="s">
        <v>48</v>
      </c>
      <c r="M27" s="146">
        <v>1</v>
      </c>
      <c r="N27" s="447">
        <v>0</v>
      </c>
      <c r="O27" s="447">
        <v>0</v>
      </c>
      <c r="P27" s="448">
        <v>500</v>
      </c>
      <c r="Q27" s="448" t="s">
        <v>34</v>
      </c>
      <c r="R27" s="448">
        <v>0</v>
      </c>
      <c r="S27" s="449">
        <v>43229</v>
      </c>
      <c r="T27" s="450" t="s">
        <v>34</v>
      </c>
      <c r="U27" s="451" t="s">
        <v>34</v>
      </c>
      <c r="V27" s="450" t="s">
        <v>34</v>
      </c>
      <c r="W27" s="451" t="s">
        <v>34</v>
      </c>
      <c r="X27" s="450" t="s">
        <v>34</v>
      </c>
      <c r="Y27" s="451" t="s">
        <v>34</v>
      </c>
      <c r="Z27" s="450" t="s">
        <v>34</v>
      </c>
      <c r="AA27" s="451" t="s">
        <v>34</v>
      </c>
      <c r="AB27" s="450" t="s">
        <v>34</v>
      </c>
      <c r="AC27" s="452" t="s">
        <v>34</v>
      </c>
      <c r="AD27" s="147">
        <v>29078039000103</v>
      </c>
    </row>
    <row r="28" spans="5:30">
      <c r="E28" s="446" t="s">
        <v>4697</v>
      </c>
      <c r="F28" s="146" t="s">
        <v>4572</v>
      </c>
      <c r="G28" s="146" t="s">
        <v>34</v>
      </c>
      <c r="H28" s="146" t="s">
        <v>1321</v>
      </c>
      <c r="I28" s="447" t="s">
        <v>4400</v>
      </c>
      <c r="J28" s="146" t="s">
        <v>663</v>
      </c>
      <c r="K28" s="146" t="s">
        <v>608</v>
      </c>
      <c r="L28" s="146" t="s">
        <v>48</v>
      </c>
      <c r="M28" s="146">
        <v>9</v>
      </c>
      <c r="N28" s="447">
        <v>2.8E-3</v>
      </c>
      <c r="O28" s="447">
        <v>0</v>
      </c>
      <c r="P28" s="448">
        <v>0</v>
      </c>
      <c r="Q28" s="448" t="s">
        <v>34</v>
      </c>
      <c r="R28" s="448">
        <v>0</v>
      </c>
      <c r="S28" s="449">
        <v>44586</v>
      </c>
      <c r="T28" s="450" t="s">
        <v>34</v>
      </c>
      <c r="U28" s="451" t="s">
        <v>34</v>
      </c>
      <c r="V28" s="450" t="s">
        <v>34</v>
      </c>
      <c r="W28" s="451" t="s">
        <v>34</v>
      </c>
      <c r="X28" s="450" t="s">
        <v>34</v>
      </c>
      <c r="Y28" s="451" t="s">
        <v>34</v>
      </c>
      <c r="Z28" s="450" t="s">
        <v>34</v>
      </c>
      <c r="AA28" s="451" t="s">
        <v>34</v>
      </c>
      <c r="AB28" s="450" t="s">
        <v>34</v>
      </c>
      <c r="AC28" s="452" t="s">
        <v>34</v>
      </c>
      <c r="AD28" s="147">
        <v>43985398000175</v>
      </c>
    </row>
    <row r="29" spans="5:30">
      <c r="E29" s="446" t="s">
        <v>4588</v>
      </c>
      <c r="F29" s="146" t="s">
        <v>1339</v>
      </c>
      <c r="G29" s="146" t="s">
        <v>1414</v>
      </c>
      <c r="H29" s="146" t="s">
        <v>1321</v>
      </c>
      <c r="I29" s="447" t="s">
        <v>34</v>
      </c>
      <c r="J29" s="146" t="s">
        <v>672</v>
      </c>
      <c r="K29" s="146" t="s">
        <v>608</v>
      </c>
      <c r="L29" s="146" t="s">
        <v>48</v>
      </c>
      <c r="M29" s="146">
        <v>0</v>
      </c>
      <c r="N29" s="447">
        <v>4.0000000000000001E-3</v>
      </c>
      <c r="O29" s="447">
        <v>6.6666666666666697E-4</v>
      </c>
      <c r="P29" s="448">
        <v>20000</v>
      </c>
      <c r="Q29" s="448" t="s">
        <v>34</v>
      </c>
      <c r="R29" s="448">
        <v>4142994770.9999995</v>
      </c>
      <c r="S29" s="449">
        <v>41700</v>
      </c>
      <c r="T29" s="450">
        <v>9.654295744603747E-3</v>
      </c>
      <c r="U29" s="451">
        <v>0.482753890931862</v>
      </c>
      <c r="V29" s="450">
        <v>0.12476676997278591</v>
      </c>
      <c r="W29" s="451">
        <v>0.96760498815396756</v>
      </c>
      <c r="X29" s="450">
        <v>0.21010402249609905</v>
      </c>
      <c r="Y29" s="451">
        <v>1.0881271727712938</v>
      </c>
      <c r="Z29" s="450">
        <v>0.23556711755083271</v>
      </c>
      <c r="AA29" s="451">
        <v>1.0636507914071736</v>
      </c>
      <c r="AB29" s="450">
        <v>4.5880140482677956E-3</v>
      </c>
      <c r="AC29" s="452">
        <v>-0.91044609498951368</v>
      </c>
      <c r="AD29" s="147">
        <v>18719154000101</v>
      </c>
    </row>
    <row r="30" spans="5:30">
      <c r="E30" s="446" t="s">
        <v>2080</v>
      </c>
      <c r="F30" s="146" t="s">
        <v>1339</v>
      </c>
      <c r="G30" s="146" t="s">
        <v>34</v>
      </c>
      <c r="H30" s="146" t="s">
        <v>1321</v>
      </c>
      <c r="I30" s="447" t="s">
        <v>34</v>
      </c>
      <c r="J30" s="146" t="s">
        <v>663</v>
      </c>
      <c r="K30" s="146" t="s">
        <v>608</v>
      </c>
      <c r="L30" s="146" t="s">
        <v>48</v>
      </c>
      <c r="M30" s="146">
        <v>1</v>
      </c>
      <c r="N30" s="447">
        <v>4.0000000000000001E-3</v>
      </c>
      <c r="O30" s="447">
        <v>1.1199999999999999E-3</v>
      </c>
      <c r="P30" s="448">
        <v>1000</v>
      </c>
      <c r="Q30" s="448" t="s">
        <v>34</v>
      </c>
      <c r="R30" s="448">
        <v>527711265.61000007</v>
      </c>
      <c r="S30" s="449">
        <v>43338</v>
      </c>
      <c r="T30" s="450">
        <v>1.2962592128415551E-2</v>
      </c>
      <c r="U30" s="451">
        <v>0.64818211002631532</v>
      </c>
      <c r="V30" s="450">
        <v>0.13142163821741271</v>
      </c>
      <c r="W30" s="451">
        <v>1.0192155548971225</v>
      </c>
      <c r="X30" s="450">
        <v>0.21890725885147422</v>
      </c>
      <c r="Y30" s="451">
        <v>1.1337190685037504</v>
      </c>
      <c r="Z30" s="450">
        <v>0.24360750665840114</v>
      </c>
      <c r="AA30" s="451">
        <v>1.0999553755376024</v>
      </c>
      <c r="AB30" s="450">
        <v>2.8133048378588088E-3</v>
      </c>
      <c r="AC30" s="452">
        <v>0.88071819920877847</v>
      </c>
      <c r="AD30" s="147">
        <v>30921203000181</v>
      </c>
    </row>
    <row r="31" spans="5:30">
      <c r="E31" s="446" t="s">
        <v>4589</v>
      </c>
      <c r="F31" s="146" t="s">
        <v>1339</v>
      </c>
      <c r="G31" s="146" t="s">
        <v>34</v>
      </c>
      <c r="H31" s="146" t="s">
        <v>1321</v>
      </c>
      <c r="I31" s="447" t="s">
        <v>34</v>
      </c>
      <c r="J31" s="146" t="s">
        <v>663</v>
      </c>
      <c r="K31" s="146" t="s">
        <v>608</v>
      </c>
      <c r="L31" s="146" t="s">
        <v>48</v>
      </c>
      <c r="M31" s="146">
        <v>1</v>
      </c>
      <c r="N31" s="447">
        <v>8.0000000000000002E-3</v>
      </c>
      <c r="O31" s="447">
        <v>9.6000000000000002E-4</v>
      </c>
      <c r="P31" s="448">
        <v>1000</v>
      </c>
      <c r="Q31" s="448" t="s">
        <v>34</v>
      </c>
      <c r="R31" s="448">
        <v>2020023364</v>
      </c>
      <c r="S31" s="449">
        <v>40777</v>
      </c>
      <c r="T31" s="450">
        <v>7.9283428326242245E-3</v>
      </c>
      <c r="U31" s="451">
        <v>0.39644925454354607</v>
      </c>
      <c r="V31" s="450">
        <v>0.12086491996825521</v>
      </c>
      <c r="W31" s="451">
        <v>0.93734493150397991</v>
      </c>
      <c r="X31" s="450">
        <v>0.20583818061201087</v>
      </c>
      <c r="Y31" s="451">
        <v>1.0660344093216629</v>
      </c>
      <c r="Z31" s="450">
        <v>0.22370890253741171</v>
      </c>
      <c r="AA31" s="451">
        <v>1.0101076657161274</v>
      </c>
      <c r="AB31" s="450">
        <v>5.5314777666695906E-3</v>
      </c>
      <c r="AC31" s="452">
        <v>-1.4605481246284322</v>
      </c>
      <c r="AD31" s="147">
        <v>13615411000133</v>
      </c>
    </row>
    <row r="32" spans="5:30">
      <c r="E32" s="446" t="s">
        <v>4590</v>
      </c>
      <c r="F32" s="146" t="s">
        <v>1339</v>
      </c>
      <c r="G32" s="146" t="s">
        <v>1414</v>
      </c>
      <c r="H32" s="146" t="s">
        <v>1324</v>
      </c>
      <c r="I32" s="447" t="s">
        <v>34</v>
      </c>
      <c r="J32" s="146" t="s">
        <v>663</v>
      </c>
      <c r="K32" s="146" t="s">
        <v>608</v>
      </c>
      <c r="L32" s="146" t="s">
        <v>48</v>
      </c>
      <c r="M32" s="146">
        <v>1</v>
      </c>
      <c r="N32" s="447">
        <v>3.4999999999999996E-3</v>
      </c>
      <c r="O32" s="447">
        <v>8.7500000000000002E-4</v>
      </c>
      <c r="P32" s="448">
        <v>20000</v>
      </c>
      <c r="Q32" s="448" t="s">
        <v>34</v>
      </c>
      <c r="R32" s="448">
        <v>667200590</v>
      </c>
      <c r="S32" s="449">
        <v>38856</v>
      </c>
      <c r="T32" s="450">
        <v>1.7475532334787491E-3</v>
      </c>
      <c r="U32" s="451">
        <v>8.738473995309011E-2</v>
      </c>
      <c r="V32" s="450">
        <v>0.11736393878098905</v>
      </c>
      <c r="W32" s="451">
        <v>0.91019373683114491</v>
      </c>
      <c r="X32" s="450">
        <v>0.19685616597125422</v>
      </c>
      <c r="Y32" s="451">
        <v>1.0195166221764007</v>
      </c>
      <c r="Z32" s="450">
        <v>0.23590679063198672</v>
      </c>
      <c r="AA32" s="451">
        <v>1.0651845094631804</v>
      </c>
      <c r="AB32" s="450">
        <v>7.9576108162631373E-3</v>
      </c>
      <c r="AC32" s="452">
        <v>-1.4552069626392219</v>
      </c>
      <c r="AD32" s="147">
        <v>7900255000150</v>
      </c>
    </row>
    <row r="33" spans="5:30">
      <c r="E33" s="446" t="s">
        <v>2076</v>
      </c>
      <c r="F33" s="146" t="s">
        <v>1339</v>
      </c>
      <c r="G33" s="146" t="s">
        <v>34</v>
      </c>
      <c r="H33" s="146" t="s">
        <v>1321</v>
      </c>
      <c r="I33" s="447" t="s">
        <v>34</v>
      </c>
      <c r="J33" s="146" t="s">
        <v>663</v>
      </c>
      <c r="K33" s="146" t="s">
        <v>608</v>
      </c>
      <c r="L33" s="146" t="s">
        <v>48</v>
      </c>
      <c r="M33" s="146">
        <v>1</v>
      </c>
      <c r="N33" s="447">
        <v>3.0000000000000001E-3</v>
      </c>
      <c r="O33" s="447">
        <v>1E-3</v>
      </c>
      <c r="P33" s="448">
        <v>1000</v>
      </c>
      <c r="Q33" s="448" t="s">
        <v>34</v>
      </c>
      <c r="R33" s="448">
        <v>3740584176</v>
      </c>
      <c r="S33" s="449">
        <v>37430</v>
      </c>
      <c r="T33" s="450">
        <v>1.4588377694555454E-2</v>
      </c>
      <c r="U33" s="451">
        <v>0.72947797340543252</v>
      </c>
      <c r="V33" s="450">
        <v>0.13506185869860454</v>
      </c>
      <c r="W33" s="451">
        <v>1.0474465934689292</v>
      </c>
      <c r="X33" s="450">
        <v>0.23408334099534889</v>
      </c>
      <c r="Y33" s="451">
        <v>1.2123158852651517</v>
      </c>
      <c r="Z33" s="450">
        <v>0.2190837240367447</v>
      </c>
      <c r="AA33" s="451">
        <v>0.98922370354100631</v>
      </c>
      <c r="AB33" s="450">
        <v>2.670786747084142E-3</v>
      </c>
      <c r="AC33" s="452">
        <v>2.2906917815492092</v>
      </c>
      <c r="AD33" s="147">
        <v>4899128000190</v>
      </c>
    </row>
    <row r="34" spans="5:30">
      <c r="E34" s="446" t="s">
        <v>2079</v>
      </c>
      <c r="F34" s="146" t="s">
        <v>1339</v>
      </c>
      <c r="G34" s="146" t="s">
        <v>34</v>
      </c>
      <c r="H34" s="146" t="s">
        <v>1321</v>
      </c>
      <c r="I34" s="447" t="s">
        <v>34</v>
      </c>
      <c r="J34" s="146" t="s">
        <v>663</v>
      </c>
      <c r="K34" s="146" t="s">
        <v>608</v>
      </c>
      <c r="L34" s="146" t="s">
        <v>48</v>
      </c>
      <c r="M34" s="146">
        <v>4</v>
      </c>
      <c r="N34" s="447">
        <v>2.5000000000000001E-2</v>
      </c>
      <c r="O34" s="447">
        <v>4.1999999999999997E-3</v>
      </c>
      <c r="P34" s="448">
        <v>1000</v>
      </c>
      <c r="Q34" s="448" t="s">
        <v>34</v>
      </c>
      <c r="R34" s="448">
        <v>194582641</v>
      </c>
      <c r="S34" s="449">
        <v>39634</v>
      </c>
      <c r="T34" s="450">
        <v>1.7650524196546558E-2</v>
      </c>
      <c r="U34" s="451">
        <v>0.88259770140484339</v>
      </c>
      <c r="V34" s="450">
        <v>0.1248388882054714</v>
      </c>
      <c r="W34" s="451">
        <v>0.96816428741048077</v>
      </c>
      <c r="X34" s="450">
        <v>0.19375864001755727</v>
      </c>
      <c r="Y34" s="451">
        <v>1.0034745582571127</v>
      </c>
      <c r="Z34" s="450">
        <v>0.22964592175498932</v>
      </c>
      <c r="AA34" s="451">
        <v>1.0369149521278795</v>
      </c>
      <c r="AB34" s="450">
        <v>3.2728501310200311E-3</v>
      </c>
      <c r="AC34" s="452">
        <v>-1.2542649608088114</v>
      </c>
      <c r="AD34" s="147">
        <v>9620860000100</v>
      </c>
    </row>
    <row r="35" spans="5:30">
      <c r="E35" s="446" t="s">
        <v>4613</v>
      </c>
      <c r="F35" s="146" t="s">
        <v>1339</v>
      </c>
      <c r="G35" s="146" t="s">
        <v>34</v>
      </c>
      <c r="H35" s="146" t="s">
        <v>1321</v>
      </c>
      <c r="I35" s="447" t="s">
        <v>34</v>
      </c>
      <c r="J35" s="146" t="s">
        <v>663</v>
      </c>
      <c r="K35" s="146" t="s">
        <v>608</v>
      </c>
      <c r="L35" s="146" t="s">
        <v>48</v>
      </c>
      <c r="M35" s="146">
        <v>30</v>
      </c>
      <c r="N35" s="447">
        <v>0</v>
      </c>
      <c r="O35" s="447">
        <v>1.33333333333333E-3</v>
      </c>
      <c r="P35" s="448">
        <v>20000</v>
      </c>
      <c r="Q35" s="448" t="s">
        <v>34</v>
      </c>
      <c r="R35" s="448">
        <v>194635843.00999999</v>
      </c>
      <c r="S35" s="449">
        <v>43800</v>
      </c>
      <c r="T35" s="450">
        <v>1.1140193509470819E-2</v>
      </c>
      <c r="U35" s="451">
        <v>0.55705479764662502</v>
      </c>
      <c r="V35" s="450">
        <v>0.132584757852237</v>
      </c>
      <c r="W35" s="451">
        <v>1.0282359083191217</v>
      </c>
      <c r="X35" s="450">
        <v>0.22802197921957856</v>
      </c>
      <c r="Y35" s="451">
        <v>1.1809241376257869</v>
      </c>
      <c r="Z35" s="450">
        <v>0.26055695973020887</v>
      </c>
      <c r="AA35" s="451">
        <v>1.1764868514124418</v>
      </c>
      <c r="AB35" s="450">
        <v>3.828294786329239E-3</v>
      </c>
      <c r="AC35" s="452">
        <v>0.95103658643269662</v>
      </c>
      <c r="AD35" s="147">
        <v>35378376000119</v>
      </c>
    </row>
    <row r="36" spans="5:30">
      <c r="E36" s="446" t="s">
        <v>4618</v>
      </c>
      <c r="F36" s="146" t="s">
        <v>1339</v>
      </c>
      <c r="G36" s="146" t="s">
        <v>34</v>
      </c>
      <c r="H36" s="146" t="s">
        <v>1321</v>
      </c>
      <c r="I36" s="447" t="s">
        <v>34</v>
      </c>
      <c r="J36" s="146" t="s">
        <v>663</v>
      </c>
      <c r="K36" s="146" t="s">
        <v>608</v>
      </c>
      <c r="L36" s="146" t="s">
        <v>48</v>
      </c>
      <c r="M36" s="146">
        <v>31</v>
      </c>
      <c r="N36" s="447">
        <v>8.0000000000000002E-3</v>
      </c>
      <c r="O36" s="447">
        <v>1.55293333333333E-3</v>
      </c>
      <c r="P36" s="448">
        <v>1000</v>
      </c>
      <c r="Q36" s="448" t="s">
        <v>34</v>
      </c>
      <c r="R36" s="448">
        <v>1607025904.03</v>
      </c>
      <c r="S36" s="449">
        <v>44045</v>
      </c>
      <c r="T36" s="450">
        <v>1.0312907369253388E-2</v>
      </c>
      <c r="U36" s="451">
        <v>0.51568713980092484</v>
      </c>
      <c r="V36" s="450">
        <v>0.13733796003400012</v>
      </c>
      <c r="W36" s="451">
        <v>1.065098465086292</v>
      </c>
      <c r="X36" s="450">
        <v>0.23221847475478508</v>
      </c>
      <c r="Y36" s="451">
        <v>1.2026577568493617</v>
      </c>
      <c r="Z36" s="450" t="s">
        <v>34</v>
      </c>
      <c r="AA36" s="451" t="s">
        <v>34</v>
      </c>
      <c r="AB36" s="450">
        <v>8.8806695880913784E-3</v>
      </c>
      <c r="AC36" s="452">
        <v>0.94520469475273017</v>
      </c>
      <c r="AD36" s="147">
        <v>37310657000165</v>
      </c>
    </row>
    <row r="37" spans="5:30">
      <c r="E37" s="446" t="s">
        <v>2722</v>
      </c>
      <c r="F37" s="146" t="s">
        <v>1339</v>
      </c>
      <c r="G37" s="146" t="s">
        <v>34</v>
      </c>
      <c r="H37" s="146" t="s">
        <v>1321</v>
      </c>
      <c r="I37" s="447" t="s">
        <v>34</v>
      </c>
      <c r="J37" s="146" t="s">
        <v>663</v>
      </c>
      <c r="K37" s="146" t="s">
        <v>608</v>
      </c>
      <c r="L37" s="146" t="s">
        <v>48</v>
      </c>
      <c r="M37" s="146">
        <v>31</v>
      </c>
      <c r="N37" s="447">
        <v>6.9999999999999993E-3</v>
      </c>
      <c r="O37" s="447">
        <v>1.4E-3</v>
      </c>
      <c r="P37" s="448">
        <v>1000</v>
      </c>
      <c r="Q37" s="448" t="s">
        <v>34</v>
      </c>
      <c r="R37" s="448">
        <v>2051680025</v>
      </c>
      <c r="S37" s="449">
        <v>40948</v>
      </c>
      <c r="T37" s="450">
        <v>-3.5025495362418502E-3</v>
      </c>
      <c r="U37" s="451">
        <v>-0.17514166351776106</v>
      </c>
      <c r="V37" s="450">
        <v>0.115382029862934</v>
      </c>
      <c r="W37" s="451">
        <v>0.89482341863187442</v>
      </c>
      <c r="X37" s="450">
        <v>0.207184499214631</v>
      </c>
      <c r="Y37" s="451">
        <v>1.073006983370052</v>
      </c>
      <c r="Z37" s="450">
        <v>0.23286141940683436</v>
      </c>
      <c r="AA37" s="451">
        <v>1.0514338147675892</v>
      </c>
      <c r="AB37" s="450">
        <v>1.069105616926992E-2</v>
      </c>
      <c r="AC37" s="452">
        <v>-1.2685257068273805</v>
      </c>
      <c r="AD37" s="147">
        <v>14188162000100</v>
      </c>
    </row>
    <row r="38" spans="5:30">
      <c r="E38" s="446" t="s">
        <v>4619</v>
      </c>
      <c r="F38" s="146" t="s">
        <v>1339</v>
      </c>
      <c r="G38" s="146" t="s">
        <v>34</v>
      </c>
      <c r="H38" s="146" t="s">
        <v>1321</v>
      </c>
      <c r="I38" s="447" t="s">
        <v>34</v>
      </c>
      <c r="J38" s="146" t="s">
        <v>685</v>
      </c>
      <c r="K38" s="146" t="s">
        <v>608</v>
      </c>
      <c r="L38" s="146" t="s">
        <v>48</v>
      </c>
      <c r="M38" s="146">
        <v>31</v>
      </c>
      <c r="N38" s="447">
        <v>5.0000000000000001E-3</v>
      </c>
      <c r="O38" s="447">
        <v>1E-3</v>
      </c>
      <c r="P38" s="448">
        <v>100</v>
      </c>
      <c r="Q38" s="448" t="s">
        <v>34</v>
      </c>
      <c r="R38" s="448">
        <v>434934836</v>
      </c>
      <c r="S38" s="449">
        <v>41654</v>
      </c>
      <c r="T38" s="450">
        <v>2.3479062555251229E-2</v>
      </c>
      <c r="U38" s="451">
        <v>1.1740482272169441</v>
      </c>
      <c r="V38" s="450">
        <v>0.16053335789990797</v>
      </c>
      <c r="W38" s="451">
        <v>1.2449859678417439</v>
      </c>
      <c r="X38" s="450">
        <v>0.26413072045338182</v>
      </c>
      <c r="Y38" s="451">
        <v>1.3679310404174652</v>
      </c>
      <c r="Z38" s="450">
        <v>0.32309665932296117</v>
      </c>
      <c r="AA38" s="451">
        <v>1.458870919519246</v>
      </c>
      <c r="AB38" s="450">
        <v>8.4912740884447897E-4</v>
      </c>
      <c r="AC38" s="452">
        <v>37.202248006700898</v>
      </c>
      <c r="AD38" s="147">
        <v>19392834000118</v>
      </c>
    </row>
    <row r="39" spans="5:30">
      <c r="E39" s="446" t="s">
        <v>2726</v>
      </c>
      <c r="F39" s="146" t="s">
        <v>1339</v>
      </c>
      <c r="G39" s="146" t="s">
        <v>34</v>
      </c>
      <c r="H39" s="146" t="s">
        <v>1321</v>
      </c>
      <c r="I39" s="447" t="s">
        <v>34</v>
      </c>
      <c r="J39" s="146" t="s">
        <v>685</v>
      </c>
      <c r="K39" s="146" t="s">
        <v>608</v>
      </c>
      <c r="L39" s="146" t="s">
        <v>48</v>
      </c>
      <c r="M39" s="146">
        <v>32</v>
      </c>
      <c r="N39" s="447">
        <v>0.01</v>
      </c>
      <c r="O39" s="447">
        <v>3.3333333333333301E-3</v>
      </c>
      <c r="P39" s="448">
        <v>1000</v>
      </c>
      <c r="Q39" s="448" t="s">
        <v>34</v>
      </c>
      <c r="R39" s="448">
        <v>126212115.40000001</v>
      </c>
      <c r="S39" s="449">
        <v>44172</v>
      </c>
      <c r="T39" s="450">
        <v>8.7390312759518807E-3</v>
      </c>
      <c r="U39" s="451">
        <v>0.43698696031754541</v>
      </c>
      <c r="V39" s="450">
        <v>0.1350147501872323</v>
      </c>
      <c r="W39" s="451">
        <v>1.0470812523560813</v>
      </c>
      <c r="X39" s="450">
        <v>0.22577258823399649</v>
      </c>
      <c r="Y39" s="451">
        <v>1.1692745584101196</v>
      </c>
      <c r="Z39" s="450" t="s">
        <v>34</v>
      </c>
      <c r="AA39" s="451" t="s">
        <v>34</v>
      </c>
      <c r="AB39" s="450">
        <v>7.6021866579196948E-3</v>
      </c>
      <c r="AC39" s="452">
        <v>0.79856507260572962</v>
      </c>
      <c r="AD39" s="147">
        <v>39958460000162</v>
      </c>
    </row>
    <row r="40" spans="5:30">
      <c r="E40" s="446" t="s">
        <v>4635</v>
      </c>
      <c r="F40" s="146" t="s">
        <v>1339</v>
      </c>
      <c r="G40" s="146" t="s">
        <v>34</v>
      </c>
      <c r="H40" s="146" t="s">
        <v>1321</v>
      </c>
      <c r="I40" s="447" t="s">
        <v>34</v>
      </c>
      <c r="J40" s="146" t="s">
        <v>663</v>
      </c>
      <c r="K40" s="146" t="s">
        <v>608</v>
      </c>
      <c r="L40" s="146" t="s">
        <v>48</v>
      </c>
      <c r="M40" s="146">
        <v>45</v>
      </c>
      <c r="N40" s="447">
        <v>7.4999999999999997E-3</v>
      </c>
      <c r="O40" s="447">
        <v>1.65E-3</v>
      </c>
      <c r="P40" s="448">
        <v>1000</v>
      </c>
      <c r="Q40" s="448" t="s">
        <v>34</v>
      </c>
      <c r="R40" s="448">
        <v>1498949616</v>
      </c>
      <c r="S40" s="449">
        <v>41951</v>
      </c>
      <c r="T40" s="450">
        <v>-5.5996725601747954E-5</v>
      </c>
      <c r="U40" s="451">
        <v>-2.8000630888894702E-3</v>
      </c>
      <c r="V40" s="450">
        <v>0.11706267056460007</v>
      </c>
      <c r="W40" s="451">
        <v>0.90785730839740553</v>
      </c>
      <c r="X40" s="450">
        <v>0.21409844661466826</v>
      </c>
      <c r="Y40" s="451">
        <v>1.1088142656282087</v>
      </c>
      <c r="Z40" s="450">
        <v>0.25612412311908939</v>
      </c>
      <c r="AA40" s="451">
        <v>1.156471366150249</v>
      </c>
      <c r="AB40" s="450">
        <v>8.2490536099368485E-3</v>
      </c>
      <c r="AC40" s="452">
        <v>-1.4403153918015621</v>
      </c>
      <c r="AD40" s="147">
        <v>20146294000171</v>
      </c>
    </row>
    <row r="41" spans="5:30">
      <c r="E41" s="446" t="s">
        <v>4636</v>
      </c>
      <c r="F41" s="146" t="s">
        <v>1339</v>
      </c>
      <c r="G41" s="146" t="s">
        <v>1414</v>
      </c>
      <c r="H41" s="146" t="s">
        <v>1321</v>
      </c>
      <c r="I41" s="447" t="s">
        <v>34</v>
      </c>
      <c r="J41" s="146" t="s">
        <v>663</v>
      </c>
      <c r="K41" s="146" t="s">
        <v>608</v>
      </c>
      <c r="L41" s="146" t="s">
        <v>48</v>
      </c>
      <c r="M41" s="146">
        <v>46</v>
      </c>
      <c r="N41" s="447">
        <v>6.0000000000000001E-3</v>
      </c>
      <c r="O41" s="447">
        <v>0</v>
      </c>
      <c r="P41" s="448">
        <v>100000</v>
      </c>
      <c r="Q41" s="448" t="s">
        <v>34</v>
      </c>
      <c r="R41" s="448">
        <v>620509167</v>
      </c>
      <c r="S41" s="449">
        <v>41994</v>
      </c>
      <c r="T41" s="450">
        <v>6.6682510737920975E-3</v>
      </c>
      <c r="U41" s="451">
        <v>0.33343956273382513</v>
      </c>
      <c r="V41" s="450">
        <v>0.13064703849599835</v>
      </c>
      <c r="W41" s="451">
        <v>1.0132082938738012</v>
      </c>
      <c r="X41" s="450">
        <v>0.22235553250637774</v>
      </c>
      <c r="Y41" s="451">
        <v>1.1515776521637635</v>
      </c>
      <c r="Z41" s="450">
        <v>0.25039782280901068</v>
      </c>
      <c r="AA41" s="451">
        <v>1.1306155339781887</v>
      </c>
      <c r="AB41" s="450">
        <v>4.2144026044125928E-3</v>
      </c>
      <c r="AC41" s="452">
        <v>0.40412110779989863</v>
      </c>
      <c r="AD41" s="147">
        <v>20824446000148</v>
      </c>
    </row>
    <row r="42" spans="5:30">
      <c r="E42" s="446" t="s">
        <v>2727</v>
      </c>
      <c r="F42" s="146" t="s">
        <v>1339</v>
      </c>
      <c r="G42" s="146" t="s">
        <v>34</v>
      </c>
      <c r="H42" s="146" t="s">
        <v>1321</v>
      </c>
      <c r="I42" s="447" t="s">
        <v>34</v>
      </c>
      <c r="J42" s="146" t="s">
        <v>663</v>
      </c>
      <c r="K42" s="146" t="s">
        <v>608</v>
      </c>
      <c r="L42" s="146" t="s">
        <v>48</v>
      </c>
      <c r="M42" s="146">
        <v>46</v>
      </c>
      <c r="N42" s="447">
        <v>0</v>
      </c>
      <c r="O42" s="447">
        <v>1.3998000000000001E-3</v>
      </c>
      <c r="P42" s="448">
        <v>1000</v>
      </c>
      <c r="Q42" s="448" t="s">
        <v>34</v>
      </c>
      <c r="R42" s="448">
        <v>493180479.47999996</v>
      </c>
      <c r="S42" s="449">
        <v>43818</v>
      </c>
      <c r="T42" s="450">
        <v>-1.1065561313657879E-3</v>
      </c>
      <c r="U42" s="451">
        <v>-5.5332288556617891E-2</v>
      </c>
      <c r="V42" s="450">
        <v>0.1196729015868272</v>
      </c>
      <c r="W42" s="451">
        <v>0.92810045934129948</v>
      </c>
      <c r="X42" s="450">
        <v>0.21178727458452484</v>
      </c>
      <c r="Y42" s="451">
        <v>1.0968447228413984</v>
      </c>
      <c r="Z42" s="450">
        <v>0.24852188438198497</v>
      </c>
      <c r="AA42" s="451">
        <v>1.1221451523167649</v>
      </c>
      <c r="AB42" s="450">
        <v>9.9310811953277622E-3</v>
      </c>
      <c r="AC42" s="452">
        <v>-0.93353459483574164</v>
      </c>
      <c r="AD42" s="147">
        <v>35343590000130</v>
      </c>
    </row>
    <row r="43" spans="5:30">
      <c r="E43" s="446" t="s">
        <v>4638</v>
      </c>
      <c r="F43" s="146" t="s">
        <v>1339</v>
      </c>
      <c r="G43" s="146" t="s">
        <v>34</v>
      </c>
      <c r="H43" s="146" t="s">
        <v>1321</v>
      </c>
      <c r="I43" s="447" t="s">
        <v>34</v>
      </c>
      <c r="J43" s="146" t="s">
        <v>692</v>
      </c>
      <c r="K43" s="146" t="s">
        <v>608</v>
      </c>
      <c r="L43" s="146" t="s">
        <v>48</v>
      </c>
      <c r="M43" s="146">
        <v>46</v>
      </c>
      <c r="N43" s="447">
        <v>0.02</v>
      </c>
      <c r="O43" s="447">
        <v>8.1809999999999999E-4</v>
      </c>
      <c r="P43" s="448">
        <v>50000</v>
      </c>
      <c r="Q43" s="448" t="s">
        <v>34</v>
      </c>
      <c r="R43" s="448">
        <v>9550546.3800000008</v>
      </c>
      <c r="S43" s="449">
        <v>43546</v>
      </c>
      <c r="T43" s="450">
        <v>-6.1207880279471327E-3</v>
      </c>
      <c r="U43" s="451">
        <v>-0.30606419300053417</v>
      </c>
      <c r="V43" s="450">
        <v>9.7053580359674596E-2</v>
      </c>
      <c r="W43" s="451">
        <v>0.75268060954616833</v>
      </c>
      <c r="X43" s="450">
        <v>0.17564208377522728</v>
      </c>
      <c r="Y43" s="451">
        <v>0.90964904796882351</v>
      </c>
      <c r="Z43" s="450">
        <v>0.22430157010395524</v>
      </c>
      <c r="AA43" s="451">
        <v>1.0127837239569784</v>
      </c>
      <c r="AB43" s="450">
        <v>1.5960037332869968E-2</v>
      </c>
      <c r="AC43" s="452">
        <v>-1.9981362463003192</v>
      </c>
      <c r="AD43" s="147">
        <v>32227355000104</v>
      </c>
    </row>
    <row r="44" spans="5:30">
      <c r="E44" s="446" t="s">
        <v>2723</v>
      </c>
      <c r="F44" s="146" t="s">
        <v>1339</v>
      </c>
      <c r="G44" s="146" t="s">
        <v>34</v>
      </c>
      <c r="H44" s="146" t="s">
        <v>1321</v>
      </c>
      <c r="I44" s="447" t="s">
        <v>34</v>
      </c>
      <c r="J44" s="146" t="s">
        <v>685</v>
      </c>
      <c r="K44" s="146" t="s">
        <v>608</v>
      </c>
      <c r="L44" s="146" t="s">
        <v>48</v>
      </c>
      <c r="M44" s="146">
        <v>61</v>
      </c>
      <c r="N44" s="447">
        <v>0.01</v>
      </c>
      <c r="O44" s="447">
        <v>3.0000000000000001E-3</v>
      </c>
      <c r="P44" s="448">
        <v>100</v>
      </c>
      <c r="Q44" s="448" t="s">
        <v>34</v>
      </c>
      <c r="R44" s="448">
        <v>276629467</v>
      </c>
      <c r="S44" s="449">
        <v>42593</v>
      </c>
      <c r="T44" s="450">
        <v>2.4589572333538312E-2</v>
      </c>
      <c r="U44" s="451">
        <v>1.2295782141334546</v>
      </c>
      <c r="V44" s="450">
        <v>0.1625691855476683</v>
      </c>
      <c r="W44" s="451">
        <v>1.2607744425087111</v>
      </c>
      <c r="X44" s="450">
        <v>0.26713901890896397</v>
      </c>
      <c r="Y44" s="451">
        <v>1.3835109957864093</v>
      </c>
      <c r="Z44" s="450">
        <v>0.32673366978676643</v>
      </c>
      <c r="AA44" s="451">
        <v>1.4752930292703994</v>
      </c>
      <c r="AB44" s="450">
        <v>8.2716098024639855E-4</v>
      </c>
      <c r="AC44" s="452">
        <v>40.651429291144147</v>
      </c>
      <c r="AD44" s="147">
        <v>23711364000185</v>
      </c>
    </row>
    <row r="45" spans="5:30">
      <c r="E45" s="446" t="s">
        <v>2725</v>
      </c>
      <c r="F45" s="146" t="s">
        <v>1339</v>
      </c>
      <c r="G45" s="146" t="s">
        <v>34</v>
      </c>
      <c r="H45" s="146" t="s">
        <v>1321</v>
      </c>
      <c r="I45" s="447" t="s">
        <v>34</v>
      </c>
      <c r="J45" s="146" t="s">
        <v>663</v>
      </c>
      <c r="K45" s="146" t="s">
        <v>608</v>
      </c>
      <c r="L45" s="146" t="s">
        <v>48</v>
      </c>
      <c r="M45" s="146">
        <v>76</v>
      </c>
      <c r="N45" s="447">
        <v>8.5000000000000006E-3</v>
      </c>
      <c r="O45" s="447">
        <v>1E-3</v>
      </c>
      <c r="P45" s="448">
        <v>100000</v>
      </c>
      <c r="Q45" s="448" t="s">
        <v>34</v>
      </c>
      <c r="R45" s="448">
        <v>593172871</v>
      </c>
      <c r="S45" s="449">
        <v>42553</v>
      </c>
      <c r="T45" s="450">
        <v>6.6310827897377855E-3</v>
      </c>
      <c r="U45" s="451">
        <v>0.33158099798491436</v>
      </c>
      <c r="V45" s="450">
        <v>0.13125642938784443</v>
      </c>
      <c r="W45" s="451">
        <v>1.0179343091967472</v>
      </c>
      <c r="X45" s="450">
        <v>0.22494079394770439</v>
      </c>
      <c r="Y45" s="451">
        <v>1.1649667019763517</v>
      </c>
      <c r="Z45" s="450">
        <v>0.23792418719202035</v>
      </c>
      <c r="AA45" s="451">
        <v>1.0742936137811836</v>
      </c>
      <c r="AB45" s="450">
        <v>4.6342479112844066E-3</v>
      </c>
      <c r="AC45" s="452">
        <v>0.4990065238903354</v>
      </c>
      <c r="AD45" s="147">
        <v>19488866000111</v>
      </c>
    </row>
    <row r="46" spans="5:30">
      <c r="E46" s="446" t="s">
        <v>4645</v>
      </c>
      <c r="F46" s="146" t="s">
        <v>1339</v>
      </c>
      <c r="G46" s="146" t="s">
        <v>34</v>
      </c>
      <c r="H46" s="146" t="s">
        <v>1321</v>
      </c>
      <c r="I46" s="447" t="s">
        <v>34</v>
      </c>
      <c r="J46" s="146" t="s">
        <v>663</v>
      </c>
      <c r="K46" s="146" t="s">
        <v>608</v>
      </c>
      <c r="L46" s="146" t="s">
        <v>48</v>
      </c>
      <c r="M46" s="146">
        <v>76</v>
      </c>
      <c r="N46" s="447">
        <v>8.5000000000000006E-3</v>
      </c>
      <c r="O46" s="447">
        <v>1.66656666666667E-3</v>
      </c>
      <c r="P46" s="448">
        <v>100000</v>
      </c>
      <c r="Q46" s="448" t="s">
        <v>34</v>
      </c>
      <c r="R46" s="448">
        <v>241535211</v>
      </c>
      <c r="S46" s="449">
        <v>42120</v>
      </c>
      <c r="T46" s="450">
        <v>7.0166236540989413E-3</v>
      </c>
      <c r="U46" s="451">
        <v>0.35085960279538053</v>
      </c>
      <c r="V46" s="450">
        <v>0.13349242124030036</v>
      </c>
      <c r="W46" s="451">
        <v>1.0352751193369785</v>
      </c>
      <c r="X46" s="450">
        <v>0.21849357584113416</v>
      </c>
      <c r="Y46" s="451">
        <v>1.1315766072642317</v>
      </c>
      <c r="Z46" s="450">
        <v>0.21497321970140204</v>
      </c>
      <c r="AA46" s="451">
        <v>0.97066363779487619</v>
      </c>
      <c r="AB46" s="450">
        <v>8.5002967970159923E-3</v>
      </c>
      <c r="AC46" s="452">
        <v>0.53510035027350511</v>
      </c>
      <c r="AD46" s="147">
        <v>21946695000179</v>
      </c>
    </row>
    <row r="47" spans="5:30">
      <c r="E47" s="446" t="s">
        <v>2716</v>
      </c>
      <c r="F47" s="146" t="s">
        <v>1339</v>
      </c>
      <c r="G47" s="146" t="s">
        <v>34</v>
      </c>
      <c r="H47" s="146" t="s">
        <v>1321</v>
      </c>
      <c r="I47" s="447" t="s">
        <v>34</v>
      </c>
      <c r="J47" s="146" t="s">
        <v>685</v>
      </c>
      <c r="K47" s="146" t="s">
        <v>608</v>
      </c>
      <c r="L47" s="146" t="s">
        <v>48</v>
      </c>
      <c r="M47" s="146">
        <v>91</v>
      </c>
      <c r="N47" s="447">
        <v>9.7000000000000003E-3</v>
      </c>
      <c r="O47" s="447">
        <v>3.2333333333333298E-3</v>
      </c>
      <c r="P47" s="448">
        <v>10000</v>
      </c>
      <c r="Q47" s="448" t="s">
        <v>34</v>
      </c>
      <c r="R47" s="448">
        <v>377240003</v>
      </c>
      <c r="S47" s="449">
        <v>42929</v>
      </c>
      <c r="T47" s="450">
        <v>2.483552041171655E-2</v>
      </c>
      <c r="U47" s="451">
        <v>1.2418766142289897</v>
      </c>
      <c r="V47" s="450">
        <v>0.16717985131631363</v>
      </c>
      <c r="W47" s="451">
        <v>1.2965315851952217</v>
      </c>
      <c r="X47" s="450">
        <v>0.27442462573654569</v>
      </c>
      <c r="Y47" s="451">
        <v>1.4212430994607543</v>
      </c>
      <c r="Z47" s="450">
        <v>0.33169366486769714</v>
      </c>
      <c r="AA47" s="451">
        <v>1.4976887810546831</v>
      </c>
      <c r="AB47" s="450">
        <v>8.1410674491948015E-4</v>
      </c>
      <c r="AC47" s="452">
        <v>46.966742516433804</v>
      </c>
      <c r="AD47" s="147">
        <v>26841302000186</v>
      </c>
    </row>
    <row r="48" spans="5:30">
      <c r="E48" s="446" t="s">
        <v>2715</v>
      </c>
      <c r="F48" s="146" t="s">
        <v>1339</v>
      </c>
      <c r="G48" s="146" t="s">
        <v>34</v>
      </c>
      <c r="H48" s="146" t="s">
        <v>1321</v>
      </c>
      <c r="I48" s="447" t="s">
        <v>34</v>
      </c>
      <c r="J48" s="146" t="s">
        <v>663</v>
      </c>
      <c r="K48" s="146" t="s">
        <v>608</v>
      </c>
      <c r="L48" s="146" t="s">
        <v>48</v>
      </c>
      <c r="M48" s="146">
        <v>121</v>
      </c>
      <c r="N48" s="447">
        <v>1.1599999999999999E-2</v>
      </c>
      <c r="O48" s="447">
        <v>2.37026666666667E-3</v>
      </c>
      <c r="P48" s="448">
        <v>5000</v>
      </c>
      <c r="Q48" s="448" t="s">
        <v>34</v>
      </c>
      <c r="R48" s="448">
        <v>213973950.91000003</v>
      </c>
      <c r="S48" s="449">
        <v>44349</v>
      </c>
      <c r="T48" s="450">
        <v>-1.6075096787255827E-3</v>
      </c>
      <c r="U48" s="451">
        <v>-8.0381994983856189E-2</v>
      </c>
      <c r="V48" s="450">
        <v>0.13346126447142792</v>
      </c>
      <c r="W48" s="451">
        <v>1.0350334889334478</v>
      </c>
      <c r="X48" s="450" t="s">
        <v>34</v>
      </c>
      <c r="Y48" s="451" t="s">
        <v>34</v>
      </c>
      <c r="Z48" s="450" t="s">
        <v>34</v>
      </c>
      <c r="AA48" s="451" t="s">
        <v>34</v>
      </c>
      <c r="AB48" s="450">
        <v>1.503491585911202E-2</v>
      </c>
      <c r="AC48" s="452">
        <v>0.30045761924911557</v>
      </c>
      <c r="AD48" s="147">
        <v>41545099000194</v>
      </c>
    </row>
    <row r="49" spans="5:30">
      <c r="E49" s="446" t="s">
        <v>519</v>
      </c>
      <c r="F49" s="146" t="s">
        <v>1339</v>
      </c>
      <c r="G49" s="146" t="s">
        <v>34</v>
      </c>
      <c r="H49" s="146" t="s">
        <v>1321</v>
      </c>
      <c r="I49" s="447" t="s">
        <v>34</v>
      </c>
      <c r="J49" s="146" t="s">
        <v>685</v>
      </c>
      <c r="K49" s="146" t="s">
        <v>608</v>
      </c>
      <c r="L49" s="146" t="s">
        <v>48</v>
      </c>
      <c r="M49" s="146">
        <v>151</v>
      </c>
      <c r="N49" s="447">
        <v>7.5000000000000002E-4</v>
      </c>
      <c r="O49" s="447">
        <v>6.4999999999999997E-3</v>
      </c>
      <c r="P49" s="448">
        <v>5000</v>
      </c>
      <c r="Q49" s="448" t="s">
        <v>34</v>
      </c>
      <c r="R49" s="448">
        <v>43666676.740000002</v>
      </c>
      <c r="S49" s="449">
        <v>44057</v>
      </c>
      <c r="T49" s="450">
        <v>2.2066011580407441E-2</v>
      </c>
      <c r="U49" s="451">
        <v>1.1033899550615476</v>
      </c>
      <c r="V49" s="450">
        <v>0.15311045920352684</v>
      </c>
      <c r="W49" s="451">
        <v>1.1874190867984453</v>
      </c>
      <c r="X49" s="450">
        <v>0.27159081265052532</v>
      </c>
      <c r="Y49" s="451">
        <v>1.4065668025254545</v>
      </c>
      <c r="Z49" s="450" t="s">
        <v>34</v>
      </c>
      <c r="AA49" s="451" t="s">
        <v>34</v>
      </c>
      <c r="AB49" s="450">
        <v>1.116816799816568E-2</v>
      </c>
      <c r="AC49" s="452">
        <v>2.1638777067740862</v>
      </c>
      <c r="AD49" s="147">
        <v>39469191000170</v>
      </c>
    </row>
    <row r="50" spans="5:30">
      <c r="E50" s="446" t="s">
        <v>2729</v>
      </c>
      <c r="F50" s="146" t="s">
        <v>1339</v>
      </c>
      <c r="G50" s="146" t="s">
        <v>34</v>
      </c>
      <c r="H50" s="146" t="s">
        <v>1321</v>
      </c>
      <c r="I50" s="447" t="s">
        <v>34</v>
      </c>
      <c r="J50" s="146" t="s">
        <v>663</v>
      </c>
      <c r="K50" s="146" t="s">
        <v>608</v>
      </c>
      <c r="L50" s="146" t="s">
        <v>48</v>
      </c>
      <c r="M50" s="146">
        <v>179</v>
      </c>
      <c r="N50" s="447">
        <v>1.1000000000000001E-2</v>
      </c>
      <c r="O50" s="447">
        <v>1.83333333333333E-3</v>
      </c>
      <c r="P50" s="448">
        <v>5000</v>
      </c>
      <c r="Q50" s="448" t="s">
        <v>34</v>
      </c>
      <c r="R50" s="448">
        <v>876647876</v>
      </c>
      <c r="S50" s="449">
        <v>41367</v>
      </c>
      <c r="T50" s="450">
        <v>-1.1840803792747656E-2</v>
      </c>
      <c r="U50" s="451">
        <v>-0.59208814955816302</v>
      </c>
      <c r="V50" s="450">
        <v>0.11012128896752382</v>
      </c>
      <c r="W50" s="451">
        <v>0.85402474176547194</v>
      </c>
      <c r="X50" s="450">
        <v>0.21671966914506924</v>
      </c>
      <c r="Y50" s="451">
        <v>1.1223895576541509</v>
      </c>
      <c r="Z50" s="450">
        <v>0.26924432296580747</v>
      </c>
      <c r="AA50" s="451">
        <v>1.2157127029525749</v>
      </c>
      <c r="AB50" s="450">
        <v>1.9341416010396833E-2</v>
      </c>
      <c r="AC50" s="452">
        <v>-0.97317696228376305</v>
      </c>
      <c r="AD50" s="147">
        <v>17012208000123</v>
      </c>
    </row>
    <row r="51" spans="5:30">
      <c r="E51" s="446" t="s">
        <v>4650</v>
      </c>
      <c r="F51" s="146" t="s">
        <v>1339</v>
      </c>
      <c r="G51" s="146" t="s">
        <v>34</v>
      </c>
      <c r="H51" s="146" t="s">
        <v>1321</v>
      </c>
      <c r="I51" s="447" t="s">
        <v>34</v>
      </c>
      <c r="J51" s="146" t="s">
        <v>685</v>
      </c>
      <c r="K51" s="146" t="s">
        <v>608</v>
      </c>
      <c r="L51" s="146" t="s">
        <v>48</v>
      </c>
      <c r="M51" s="146">
        <v>181</v>
      </c>
      <c r="N51" s="447">
        <v>1.2E-2</v>
      </c>
      <c r="O51" s="447">
        <v>4.0000000000000001E-3</v>
      </c>
      <c r="P51" s="448">
        <v>100</v>
      </c>
      <c r="Q51" s="448" t="s">
        <v>34</v>
      </c>
      <c r="R51" s="448">
        <v>154909342</v>
      </c>
      <c r="S51" s="449">
        <v>41094</v>
      </c>
      <c r="T51" s="450">
        <v>2.5958198093112506E-2</v>
      </c>
      <c r="U51" s="451">
        <v>1.2980150455857455</v>
      </c>
      <c r="V51" s="450">
        <v>0.17602080578829837</v>
      </c>
      <c r="W51" s="451">
        <v>1.365095928481503</v>
      </c>
      <c r="X51" s="450">
        <v>0.29331993972877801</v>
      </c>
      <c r="Y51" s="451">
        <v>1.5191017903545727</v>
      </c>
      <c r="Z51" s="450">
        <v>0.35444990948783373</v>
      </c>
      <c r="AA51" s="451">
        <v>1.6004395293395766</v>
      </c>
      <c r="AB51" s="450">
        <v>1.9531822955534293E-3</v>
      </c>
      <c r="AC51" s="452">
        <v>24.102663867414844</v>
      </c>
      <c r="AD51" s="147">
        <v>15585932000110</v>
      </c>
    </row>
    <row r="52" spans="5:30">
      <c r="E52" s="446" t="s">
        <v>4652</v>
      </c>
      <c r="F52" s="146" t="s">
        <v>1339</v>
      </c>
      <c r="G52" s="146" t="s">
        <v>34</v>
      </c>
      <c r="H52" s="146" t="s">
        <v>1321</v>
      </c>
      <c r="I52" s="447" t="s">
        <v>34</v>
      </c>
      <c r="J52" s="146" t="s">
        <v>685</v>
      </c>
      <c r="K52" s="146" t="s">
        <v>608</v>
      </c>
      <c r="L52" s="146" t="s">
        <v>48</v>
      </c>
      <c r="M52" s="146">
        <v>271</v>
      </c>
      <c r="N52" s="447">
        <v>0.02</v>
      </c>
      <c r="O52" s="447">
        <v>3.3333333333333301E-3</v>
      </c>
      <c r="P52" s="448">
        <v>5000</v>
      </c>
      <c r="Q52" s="448" t="s">
        <v>34</v>
      </c>
      <c r="R52" s="448">
        <v>55376909.490000002</v>
      </c>
      <c r="S52" s="449">
        <v>43684</v>
      </c>
      <c r="T52" s="450">
        <v>1.6994243389140795E-2</v>
      </c>
      <c r="U52" s="451">
        <v>0.84978100283870273</v>
      </c>
      <c r="V52" s="450">
        <v>0.14732525421367937</v>
      </c>
      <c r="W52" s="451">
        <v>1.1425530282566505</v>
      </c>
      <c r="X52" s="450">
        <v>0.25814188468495902</v>
      </c>
      <c r="Y52" s="451">
        <v>1.3369149044317465</v>
      </c>
      <c r="Z52" s="450">
        <v>0.3647578192823353</v>
      </c>
      <c r="AA52" s="451">
        <v>1.6469825975091374</v>
      </c>
      <c r="AB52" s="450">
        <v>1.7076769586739014E-2</v>
      </c>
      <c r="AC52" s="452">
        <v>1.0763947287293185</v>
      </c>
      <c r="AD52" s="147">
        <v>34096240000153</v>
      </c>
    </row>
    <row r="53" spans="5:30">
      <c r="E53" s="446" t="s">
        <v>4564</v>
      </c>
      <c r="F53" s="146" t="s">
        <v>4571</v>
      </c>
      <c r="G53" s="146" t="s">
        <v>34</v>
      </c>
      <c r="H53" s="146" t="s">
        <v>1321</v>
      </c>
      <c r="I53" s="447" t="s">
        <v>4400</v>
      </c>
      <c r="J53" s="146" t="s">
        <v>663</v>
      </c>
      <c r="K53" s="146" t="s">
        <v>608</v>
      </c>
      <c r="L53" s="146" t="s">
        <v>48</v>
      </c>
      <c r="M53" s="146">
        <v>4</v>
      </c>
      <c r="N53" s="447">
        <v>5.7499999999999999E-3</v>
      </c>
      <c r="O53" s="447">
        <v>0</v>
      </c>
      <c r="P53" s="448">
        <v>0</v>
      </c>
      <c r="Q53" s="448" t="s">
        <v>34</v>
      </c>
      <c r="R53" s="448">
        <v>0</v>
      </c>
      <c r="S53" s="449">
        <v>44914</v>
      </c>
      <c r="T53" s="450" t="s">
        <v>34</v>
      </c>
      <c r="U53" s="451" t="s">
        <v>34</v>
      </c>
      <c r="V53" s="450" t="s">
        <v>34</v>
      </c>
      <c r="W53" s="451" t="s">
        <v>34</v>
      </c>
      <c r="X53" s="450" t="s">
        <v>34</v>
      </c>
      <c r="Y53" s="451" t="s">
        <v>34</v>
      </c>
      <c r="Z53" s="450" t="s">
        <v>34</v>
      </c>
      <c r="AA53" s="451" t="s">
        <v>34</v>
      </c>
      <c r="AB53" s="450" t="s">
        <v>34</v>
      </c>
      <c r="AC53" s="452" t="s">
        <v>34</v>
      </c>
      <c r="AD53" s="147">
        <v>47564808000165</v>
      </c>
    </row>
    <row r="54" spans="5:30">
      <c r="E54" s="446" t="s">
        <v>4708</v>
      </c>
      <c r="F54" s="146" t="s">
        <v>4571</v>
      </c>
      <c r="G54" s="146" t="s">
        <v>34</v>
      </c>
      <c r="H54" s="146" t="s">
        <v>1321</v>
      </c>
      <c r="I54" s="447" t="s">
        <v>4400</v>
      </c>
      <c r="J54" s="146" t="s">
        <v>663</v>
      </c>
      <c r="K54" s="146" t="s">
        <v>608</v>
      </c>
      <c r="L54" s="146" t="s">
        <v>48</v>
      </c>
      <c r="M54" s="146">
        <v>7</v>
      </c>
      <c r="N54" s="447">
        <v>8.9999999999999993E-3</v>
      </c>
      <c r="O54" s="447">
        <v>0</v>
      </c>
      <c r="P54" s="448">
        <v>0</v>
      </c>
      <c r="Q54" s="448" t="s">
        <v>34</v>
      </c>
      <c r="R54" s="448">
        <v>0</v>
      </c>
      <c r="S54" s="449">
        <v>44683</v>
      </c>
      <c r="T54" s="450" t="s">
        <v>34</v>
      </c>
      <c r="U54" s="451" t="s">
        <v>34</v>
      </c>
      <c r="V54" s="450" t="s">
        <v>34</v>
      </c>
      <c r="W54" s="451" t="s">
        <v>34</v>
      </c>
      <c r="X54" s="450" t="s">
        <v>34</v>
      </c>
      <c r="Y54" s="451" t="s">
        <v>34</v>
      </c>
      <c r="Z54" s="450" t="s">
        <v>34</v>
      </c>
      <c r="AA54" s="451" t="s">
        <v>34</v>
      </c>
      <c r="AB54" s="450" t="s">
        <v>34</v>
      </c>
      <c r="AC54" s="452" t="s">
        <v>34</v>
      </c>
      <c r="AD54" s="147">
        <v>44025282000157</v>
      </c>
    </row>
    <row r="55" spans="5:30">
      <c r="E55" s="446" t="s">
        <v>4710</v>
      </c>
      <c r="F55" s="146" t="s">
        <v>4571</v>
      </c>
      <c r="G55" s="146" t="s">
        <v>34</v>
      </c>
      <c r="H55" s="146" t="s">
        <v>1321</v>
      </c>
      <c r="I55" s="447" t="s">
        <v>4400</v>
      </c>
      <c r="J55" s="146" t="s">
        <v>663</v>
      </c>
      <c r="K55" s="146" t="s">
        <v>608</v>
      </c>
      <c r="L55" s="146" t="s">
        <v>48</v>
      </c>
      <c r="M55" s="146">
        <v>8</v>
      </c>
      <c r="N55" s="447">
        <v>3.5000000000000001E-3</v>
      </c>
      <c r="O55" s="447">
        <v>0</v>
      </c>
      <c r="P55" s="448">
        <v>0</v>
      </c>
      <c r="Q55" s="448" t="s">
        <v>34</v>
      </c>
      <c r="R55" s="448">
        <v>0</v>
      </c>
      <c r="S55" s="449">
        <v>44915</v>
      </c>
      <c r="T55" s="450" t="s">
        <v>34</v>
      </c>
      <c r="U55" s="451" t="s">
        <v>34</v>
      </c>
      <c r="V55" s="450" t="s">
        <v>34</v>
      </c>
      <c r="W55" s="451" t="s">
        <v>34</v>
      </c>
      <c r="X55" s="450" t="s">
        <v>34</v>
      </c>
      <c r="Y55" s="451" t="s">
        <v>34</v>
      </c>
      <c r="Z55" s="450" t="s">
        <v>34</v>
      </c>
      <c r="AA55" s="451" t="s">
        <v>34</v>
      </c>
      <c r="AB55" s="450" t="s">
        <v>34</v>
      </c>
      <c r="AC55" s="452" t="s">
        <v>34</v>
      </c>
      <c r="AD55" s="147">
        <v>47564762000184</v>
      </c>
    </row>
    <row r="56" spans="5:30">
      <c r="E56" s="446" t="s">
        <v>4711</v>
      </c>
      <c r="F56" s="146" t="s">
        <v>4571</v>
      </c>
      <c r="G56" s="146" t="s">
        <v>34</v>
      </c>
      <c r="H56" s="146" t="s">
        <v>1321</v>
      </c>
      <c r="I56" s="447" t="s">
        <v>4397</v>
      </c>
      <c r="J56" s="146" t="s">
        <v>663</v>
      </c>
      <c r="K56" s="146" t="s">
        <v>608</v>
      </c>
      <c r="L56" s="146" t="s">
        <v>48</v>
      </c>
      <c r="M56" s="146">
        <v>9</v>
      </c>
      <c r="N56" s="447">
        <v>4.4999999999999997E-3</v>
      </c>
      <c r="O56" s="447">
        <v>0</v>
      </c>
      <c r="P56" s="448">
        <v>500</v>
      </c>
      <c r="Q56" s="448" t="s">
        <v>34</v>
      </c>
      <c r="R56" s="448">
        <v>0</v>
      </c>
      <c r="S56" s="449">
        <v>44866</v>
      </c>
      <c r="T56" s="450" t="s">
        <v>34</v>
      </c>
      <c r="U56" s="451" t="s">
        <v>34</v>
      </c>
      <c r="V56" s="450" t="s">
        <v>34</v>
      </c>
      <c r="W56" s="451" t="s">
        <v>34</v>
      </c>
      <c r="X56" s="450" t="s">
        <v>34</v>
      </c>
      <c r="Y56" s="451" t="s">
        <v>34</v>
      </c>
      <c r="Z56" s="450" t="s">
        <v>34</v>
      </c>
      <c r="AA56" s="451" t="s">
        <v>34</v>
      </c>
      <c r="AB56" s="450" t="s">
        <v>34</v>
      </c>
      <c r="AC56" s="452" t="s">
        <v>34</v>
      </c>
      <c r="AD56" s="147">
        <v>46502826000150</v>
      </c>
    </row>
    <row r="57" spans="5:30">
      <c r="E57" s="446" t="s">
        <v>4714</v>
      </c>
      <c r="F57" s="146" t="s">
        <v>4571</v>
      </c>
      <c r="G57" s="146" t="s">
        <v>34</v>
      </c>
      <c r="H57" s="146" t="s">
        <v>1321</v>
      </c>
      <c r="I57" s="447" t="s">
        <v>4400</v>
      </c>
      <c r="J57" s="146" t="s">
        <v>663</v>
      </c>
      <c r="K57" s="146" t="s">
        <v>608</v>
      </c>
      <c r="L57" s="146" t="s">
        <v>48</v>
      </c>
      <c r="M57" s="146">
        <v>31</v>
      </c>
      <c r="N57" s="447">
        <v>4.0000000000000001E-3</v>
      </c>
      <c r="O57" s="447">
        <v>0</v>
      </c>
      <c r="P57" s="448">
        <v>0</v>
      </c>
      <c r="Q57" s="448" t="s">
        <v>34</v>
      </c>
      <c r="R57" s="448">
        <v>0</v>
      </c>
      <c r="S57" s="449">
        <v>44785</v>
      </c>
      <c r="T57" s="450" t="s">
        <v>34</v>
      </c>
      <c r="U57" s="451" t="s">
        <v>34</v>
      </c>
      <c r="V57" s="450" t="s">
        <v>34</v>
      </c>
      <c r="W57" s="451" t="s">
        <v>34</v>
      </c>
      <c r="X57" s="450" t="s">
        <v>34</v>
      </c>
      <c r="Y57" s="451" t="s">
        <v>34</v>
      </c>
      <c r="Z57" s="450" t="s">
        <v>34</v>
      </c>
      <c r="AA57" s="451" t="s">
        <v>34</v>
      </c>
      <c r="AB57" s="450" t="s">
        <v>34</v>
      </c>
      <c r="AC57" s="452" t="s">
        <v>34</v>
      </c>
      <c r="AD57" s="147">
        <v>44672703000131</v>
      </c>
    </row>
    <row r="58" spans="5:30">
      <c r="E58" s="446" t="s">
        <v>4653</v>
      </c>
      <c r="F58" s="146" t="s">
        <v>715</v>
      </c>
      <c r="G58" s="146" t="s">
        <v>34</v>
      </c>
      <c r="H58" s="146" t="s">
        <v>1321</v>
      </c>
      <c r="I58" s="447" t="s">
        <v>34</v>
      </c>
      <c r="J58" s="146" t="s">
        <v>685</v>
      </c>
      <c r="K58" s="146" t="s">
        <v>608</v>
      </c>
      <c r="L58" s="146" t="s">
        <v>48</v>
      </c>
      <c r="M58" s="146">
        <v>91</v>
      </c>
      <c r="N58" s="447">
        <v>2.5000000000000001E-3</v>
      </c>
      <c r="O58" s="447">
        <v>7.0000000000000001E-3</v>
      </c>
      <c r="P58" s="448">
        <v>5000</v>
      </c>
      <c r="Q58" s="448" t="s">
        <v>1422</v>
      </c>
      <c r="R58" s="448">
        <v>60000000</v>
      </c>
      <c r="S58" s="449">
        <v>42184</v>
      </c>
      <c r="T58" s="450" t="s">
        <v>34</v>
      </c>
      <c r="U58" s="451" t="s">
        <v>34</v>
      </c>
      <c r="V58" s="450" t="s">
        <v>34</v>
      </c>
      <c r="W58" s="451" t="s">
        <v>34</v>
      </c>
      <c r="X58" s="450" t="s">
        <v>34</v>
      </c>
      <c r="Y58" s="451" t="s">
        <v>34</v>
      </c>
      <c r="Z58" s="450" t="s">
        <v>34</v>
      </c>
      <c r="AA58" s="451" t="s">
        <v>34</v>
      </c>
      <c r="AB58" s="450" t="s">
        <v>34</v>
      </c>
      <c r="AC58" s="452" t="s">
        <v>34</v>
      </c>
      <c r="AD58" s="147" t="s">
        <v>34</v>
      </c>
    </row>
    <row r="59" spans="5:30">
      <c r="E59" s="446" t="s">
        <v>4654</v>
      </c>
      <c r="F59" s="146" t="s">
        <v>715</v>
      </c>
      <c r="G59" s="146" t="s">
        <v>1414</v>
      </c>
      <c r="H59" s="146" t="s">
        <v>1321</v>
      </c>
      <c r="I59" s="447" t="s">
        <v>34</v>
      </c>
      <c r="J59" s="146" t="s">
        <v>1364</v>
      </c>
      <c r="K59" s="146" t="s">
        <v>608</v>
      </c>
      <c r="L59" s="146" t="s">
        <v>48</v>
      </c>
      <c r="M59" s="146">
        <v>0</v>
      </c>
      <c r="N59" s="447" t="s">
        <v>34</v>
      </c>
      <c r="O59" s="447" t="s">
        <v>34</v>
      </c>
      <c r="P59" s="448" t="s">
        <v>34</v>
      </c>
      <c r="Q59" s="448" t="s">
        <v>1421</v>
      </c>
      <c r="R59" s="448" t="s">
        <v>34</v>
      </c>
      <c r="S59" s="449" t="s">
        <v>34</v>
      </c>
      <c r="T59" s="450" t="s">
        <v>34</v>
      </c>
      <c r="U59" s="451" t="s">
        <v>34</v>
      </c>
      <c r="V59" s="450" t="s">
        <v>34</v>
      </c>
      <c r="W59" s="451" t="s">
        <v>34</v>
      </c>
      <c r="X59" s="450" t="s">
        <v>34</v>
      </c>
      <c r="Y59" s="451" t="s">
        <v>34</v>
      </c>
      <c r="Z59" s="450" t="s">
        <v>34</v>
      </c>
      <c r="AA59" s="451" t="s">
        <v>34</v>
      </c>
      <c r="AB59" s="450" t="s">
        <v>34</v>
      </c>
      <c r="AC59" s="452" t="s">
        <v>34</v>
      </c>
      <c r="AD59" s="147" t="s">
        <v>34</v>
      </c>
    </row>
    <row r="60" spans="5:30">
      <c r="E60" s="446" t="s">
        <v>1362</v>
      </c>
      <c r="F60" s="146" t="s">
        <v>715</v>
      </c>
      <c r="G60" s="146" t="s">
        <v>34</v>
      </c>
      <c r="H60" s="146" t="s">
        <v>34</v>
      </c>
      <c r="I60" s="447" t="s">
        <v>34</v>
      </c>
      <c r="J60" s="146" t="s">
        <v>663</v>
      </c>
      <c r="K60" s="146" t="s">
        <v>608</v>
      </c>
      <c r="L60" s="146" t="s">
        <v>48</v>
      </c>
      <c r="M60" s="146">
        <v>0</v>
      </c>
      <c r="N60" s="447" t="s">
        <v>34</v>
      </c>
      <c r="O60" s="447">
        <v>2.9999999999999997E-4</v>
      </c>
      <c r="P60" s="448" t="s">
        <v>34</v>
      </c>
      <c r="Q60" s="448" t="s">
        <v>1421</v>
      </c>
      <c r="R60" s="448" t="s">
        <v>34</v>
      </c>
      <c r="S60" s="449" t="s">
        <v>34</v>
      </c>
      <c r="T60" s="450" t="s">
        <v>34</v>
      </c>
      <c r="U60" s="451" t="s">
        <v>34</v>
      </c>
      <c r="V60" s="450" t="s">
        <v>34</v>
      </c>
      <c r="W60" s="451" t="s">
        <v>34</v>
      </c>
      <c r="X60" s="450" t="s">
        <v>34</v>
      </c>
      <c r="Y60" s="451" t="s">
        <v>34</v>
      </c>
      <c r="Z60" s="450" t="s">
        <v>34</v>
      </c>
      <c r="AA60" s="451" t="s">
        <v>34</v>
      </c>
      <c r="AB60" s="450" t="s">
        <v>34</v>
      </c>
      <c r="AC60" s="452" t="s">
        <v>34</v>
      </c>
      <c r="AD60" s="147" t="s">
        <v>34</v>
      </c>
    </row>
    <row r="61" spans="5:30">
      <c r="E61" s="446" t="s">
        <v>4655</v>
      </c>
      <c r="F61" s="146" t="s">
        <v>715</v>
      </c>
      <c r="G61" s="146" t="s">
        <v>34</v>
      </c>
      <c r="H61" s="146" t="s">
        <v>34</v>
      </c>
      <c r="I61" s="447" t="s">
        <v>34</v>
      </c>
      <c r="J61" s="146" t="s">
        <v>663</v>
      </c>
      <c r="K61" s="146" t="s">
        <v>608</v>
      </c>
      <c r="L61" s="146" t="s">
        <v>48</v>
      </c>
      <c r="M61" s="146">
        <v>182</v>
      </c>
      <c r="N61" s="447" t="s">
        <v>34</v>
      </c>
      <c r="O61" s="447">
        <v>2E-3</v>
      </c>
      <c r="P61" s="448" t="s">
        <v>34</v>
      </c>
      <c r="Q61" s="448" t="s">
        <v>1421</v>
      </c>
      <c r="R61" s="448" t="s">
        <v>34</v>
      </c>
      <c r="S61" s="449" t="s">
        <v>34</v>
      </c>
      <c r="T61" s="450" t="s">
        <v>34</v>
      </c>
      <c r="U61" s="451" t="s">
        <v>34</v>
      </c>
      <c r="V61" s="450" t="s">
        <v>34</v>
      </c>
      <c r="W61" s="451" t="s">
        <v>34</v>
      </c>
      <c r="X61" s="450" t="s">
        <v>34</v>
      </c>
      <c r="Y61" s="451" t="s">
        <v>34</v>
      </c>
      <c r="Z61" s="450" t="s">
        <v>34</v>
      </c>
      <c r="AA61" s="451" t="s">
        <v>34</v>
      </c>
      <c r="AB61" s="450" t="s">
        <v>34</v>
      </c>
      <c r="AC61" s="452" t="s">
        <v>34</v>
      </c>
      <c r="AD61" s="147" t="s">
        <v>34</v>
      </c>
    </row>
    <row r="62" spans="5:30">
      <c r="E62" s="446" t="s">
        <v>4656</v>
      </c>
      <c r="F62" s="146" t="s">
        <v>715</v>
      </c>
      <c r="G62" s="146" t="s">
        <v>34</v>
      </c>
      <c r="H62" s="146" t="s">
        <v>34</v>
      </c>
      <c r="I62" s="447" t="s">
        <v>34</v>
      </c>
      <c r="J62" s="146" t="s">
        <v>663</v>
      </c>
      <c r="K62" s="146" t="s">
        <v>608</v>
      </c>
      <c r="L62" s="146" t="s">
        <v>48</v>
      </c>
      <c r="M62" s="146">
        <v>365</v>
      </c>
      <c r="N62" s="447" t="s">
        <v>34</v>
      </c>
      <c r="O62" s="447">
        <v>2E-3</v>
      </c>
      <c r="P62" s="448" t="s">
        <v>34</v>
      </c>
      <c r="Q62" s="448" t="s">
        <v>1421</v>
      </c>
      <c r="R62" s="448" t="s">
        <v>34</v>
      </c>
      <c r="S62" s="449" t="s">
        <v>34</v>
      </c>
      <c r="T62" s="450" t="s">
        <v>34</v>
      </c>
      <c r="U62" s="451" t="s">
        <v>34</v>
      </c>
      <c r="V62" s="450" t="s">
        <v>34</v>
      </c>
      <c r="W62" s="451" t="s">
        <v>34</v>
      </c>
      <c r="X62" s="450" t="s">
        <v>34</v>
      </c>
      <c r="Y62" s="451" t="s">
        <v>34</v>
      </c>
      <c r="Z62" s="450" t="s">
        <v>34</v>
      </c>
      <c r="AA62" s="451" t="s">
        <v>34</v>
      </c>
      <c r="AB62" s="450" t="s">
        <v>34</v>
      </c>
      <c r="AC62" s="452" t="s">
        <v>34</v>
      </c>
      <c r="AD62" s="147" t="s">
        <v>34</v>
      </c>
    </row>
    <row r="63" spans="5:30">
      <c r="E63" s="446" t="s">
        <v>4657</v>
      </c>
      <c r="F63" s="146" t="s">
        <v>715</v>
      </c>
      <c r="G63" s="146" t="s">
        <v>34</v>
      </c>
      <c r="H63" s="146" t="s">
        <v>34</v>
      </c>
      <c r="I63" s="447" t="s">
        <v>34</v>
      </c>
      <c r="J63" s="146" t="s">
        <v>663</v>
      </c>
      <c r="K63" s="146" t="s">
        <v>608</v>
      </c>
      <c r="L63" s="146" t="s">
        <v>48</v>
      </c>
      <c r="M63" s="146">
        <v>730</v>
      </c>
      <c r="N63" s="447" t="s">
        <v>34</v>
      </c>
      <c r="O63" s="447">
        <v>2E-3</v>
      </c>
      <c r="P63" s="448" t="s">
        <v>34</v>
      </c>
      <c r="Q63" s="448" t="s">
        <v>1421</v>
      </c>
      <c r="R63" s="448" t="s">
        <v>34</v>
      </c>
      <c r="S63" s="449" t="s">
        <v>34</v>
      </c>
      <c r="T63" s="450" t="s">
        <v>34</v>
      </c>
      <c r="U63" s="451" t="s">
        <v>34</v>
      </c>
      <c r="V63" s="450" t="s">
        <v>34</v>
      </c>
      <c r="W63" s="451" t="s">
        <v>34</v>
      </c>
      <c r="X63" s="450" t="s">
        <v>34</v>
      </c>
      <c r="Y63" s="451" t="s">
        <v>34</v>
      </c>
      <c r="Z63" s="450" t="s">
        <v>34</v>
      </c>
      <c r="AA63" s="451" t="s">
        <v>34</v>
      </c>
      <c r="AB63" s="450" t="s">
        <v>34</v>
      </c>
      <c r="AC63" s="452" t="s">
        <v>34</v>
      </c>
      <c r="AD63" s="147" t="s">
        <v>34</v>
      </c>
    </row>
    <row r="64" spans="5:30">
      <c r="E64" s="446" t="s">
        <v>4658</v>
      </c>
      <c r="F64" s="146" t="s">
        <v>1339</v>
      </c>
      <c r="G64" s="146" t="s">
        <v>34</v>
      </c>
      <c r="H64" s="146" t="s">
        <v>34</v>
      </c>
      <c r="I64" s="447" t="s">
        <v>34</v>
      </c>
      <c r="J64" s="146" t="s">
        <v>663</v>
      </c>
      <c r="K64" s="146" t="s">
        <v>608</v>
      </c>
      <c r="L64" s="146" t="s">
        <v>48</v>
      </c>
      <c r="M64" s="146">
        <v>1095</v>
      </c>
      <c r="N64" s="447" t="s">
        <v>34</v>
      </c>
      <c r="O64" s="447">
        <v>2E-3</v>
      </c>
      <c r="P64" s="448" t="s">
        <v>34</v>
      </c>
      <c r="Q64" s="448" t="s">
        <v>1421</v>
      </c>
      <c r="R64" s="448" t="s">
        <v>34</v>
      </c>
      <c r="S64" s="449" t="s">
        <v>34</v>
      </c>
      <c r="T64" s="450" t="s">
        <v>34</v>
      </c>
      <c r="U64" s="451" t="s">
        <v>34</v>
      </c>
      <c r="V64" s="450" t="s">
        <v>34</v>
      </c>
      <c r="W64" s="451" t="s">
        <v>34</v>
      </c>
      <c r="X64" s="450" t="s">
        <v>34</v>
      </c>
      <c r="Y64" s="451" t="s">
        <v>34</v>
      </c>
      <c r="Z64" s="450" t="s">
        <v>34</v>
      </c>
      <c r="AA64" s="451" t="s">
        <v>34</v>
      </c>
      <c r="AB64" s="450" t="s">
        <v>34</v>
      </c>
      <c r="AC64" s="452" t="s">
        <v>34</v>
      </c>
      <c r="AD64" s="147" t="s">
        <v>34</v>
      </c>
    </row>
    <row r="65" spans="1:30">
      <c r="E65" s="446" t="s">
        <v>4659</v>
      </c>
      <c r="F65" s="146" t="s">
        <v>715</v>
      </c>
      <c r="G65" s="146" t="s">
        <v>34</v>
      </c>
      <c r="H65" s="146" t="s">
        <v>34</v>
      </c>
      <c r="I65" s="447" t="s">
        <v>34</v>
      </c>
      <c r="J65" s="146" t="s">
        <v>663</v>
      </c>
      <c r="K65" s="146" t="s">
        <v>608</v>
      </c>
      <c r="L65" s="146" t="s">
        <v>48</v>
      </c>
      <c r="M65" s="146">
        <v>730</v>
      </c>
      <c r="N65" s="447" t="s">
        <v>34</v>
      </c>
      <c r="O65" s="447">
        <v>2E-3</v>
      </c>
      <c r="P65" s="448" t="s">
        <v>34</v>
      </c>
      <c r="Q65" s="448" t="s">
        <v>1421</v>
      </c>
      <c r="R65" s="448" t="s">
        <v>34</v>
      </c>
      <c r="S65" s="449" t="s">
        <v>34</v>
      </c>
      <c r="T65" s="450" t="s">
        <v>34</v>
      </c>
      <c r="U65" s="451" t="s">
        <v>34</v>
      </c>
      <c r="V65" s="450" t="s">
        <v>34</v>
      </c>
      <c r="W65" s="451" t="s">
        <v>34</v>
      </c>
      <c r="X65" s="450" t="s">
        <v>34</v>
      </c>
      <c r="Y65" s="451" t="s">
        <v>34</v>
      </c>
      <c r="Z65" s="450" t="s">
        <v>34</v>
      </c>
      <c r="AA65" s="451" t="s">
        <v>34</v>
      </c>
      <c r="AB65" s="450" t="s">
        <v>34</v>
      </c>
      <c r="AC65" s="452" t="s">
        <v>34</v>
      </c>
      <c r="AD65" s="147" t="s">
        <v>34</v>
      </c>
    </row>
    <row r="66" spans="1:30">
      <c r="E66" s="446" t="s">
        <v>4660</v>
      </c>
      <c r="F66" s="146" t="s">
        <v>715</v>
      </c>
      <c r="G66" s="146" t="s">
        <v>34</v>
      </c>
      <c r="H66" s="146" t="s">
        <v>34</v>
      </c>
      <c r="I66" s="447" t="s">
        <v>34</v>
      </c>
      <c r="J66" s="146" t="s">
        <v>663</v>
      </c>
      <c r="K66" s="146" t="s">
        <v>608</v>
      </c>
      <c r="L66" s="146" t="s">
        <v>48</v>
      </c>
      <c r="M66" s="146">
        <v>1095</v>
      </c>
      <c r="N66" s="447" t="s">
        <v>34</v>
      </c>
      <c r="O66" s="447">
        <v>2E-3</v>
      </c>
      <c r="P66" s="448" t="s">
        <v>34</v>
      </c>
      <c r="Q66" s="448" t="s">
        <v>1421</v>
      </c>
      <c r="R66" s="448" t="s">
        <v>34</v>
      </c>
      <c r="S66" s="449" t="s">
        <v>34</v>
      </c>
      <c r="T66" s="450" t="s">
        <v>34</v>
      </c>
      <c r="U66" s="451" t="s">
        <v>34</v>
      </c>
      <c r="V66" s="450" t="s">
        <v>34</v>
      </c>
      <c r="W66" s="451" t="s">
        <v>34</v>
      </c>
      <c r="X66" s="450" t="s">
        <v>34</v>
      </c>
      <c r="Y66" s="451" t="s">
        <v>34</v>
      </c>
      <c r="Z66" s="450" t="s">
        <v>34</v>
      </c>
      <c r="AA66" s="451" t="s">
        <v>34</v>
      </c>
      <c r="AB66" s="450" t="s">
        <v>34</v>
      </c>
      <c r="AC66" s="452" t="s">
        <v>34</v>
      </c>
      <c r="AD66" s="147" t="s">
        <v>34</v>
      </c>
    </row>
    <row r="67" spans="1:30">
      <c r="E67" s="446" t="s">
        <v>4661</v>
      </c>
      <c r="F67" s="146" t="s">
        <v>1339</v>
      </c>
      <c r="G67" s="146" t="s">
        <v>34</v>
      </c>
      <c r="H67" s="146" t="s">
        <v>34</v>
      </c>
      <c r="I67" s="447" t="s">
        <v>34</v>
      </c>
      <c r="J67" s="146" t="s">
        <v>663</v>
      </c>
      <c r="K67" s="146" t="s">
        <v>608</v>
      </c>
      <c r="L67" s="146" t="s">
        <v>48</v>
      </c>
      <c r="M67" s="146">
        <v>1460</v>
      </c>
      <c r="N67" s="447" t="s">
        <v>34</v>
      </c>
      <c r="O67" s="447">
        <v>2E-3</v>
      </c>
      <c r="P67" s="448" t="s">
        <v>34</v>
      </c>
      <c r="Q67" s="448" t="s">
        <v>1421</v>
      </c>
      <c r="R67" s="448" t="s">
        <v>34</v>
      </c>
      <c r="S67" s="449" t="s">
        <v>34</v>
      </c>
      <c r="T67" s="450" t="s">
        <v>34</v>
      </c>
      <c r="U67" s="451" t="s">
        <v>34</v>
      </c>
      <c r="V67" s="450" t="s">
        <v>34</v>
      </c>
      <c r="W67" s="451" t="s">
        <v>34</v>
      </c>
      <c r="X67" s="450" t="s">
        <v>34</v>
      </c>
      <c r="Y67" s="451" t="s">
        <v>34</v>
      </c>
      <c r="Z67" s="450" t="s">
        <v>34</v>
      </c>
      <c r="AA67" s="451" t="s">
        <v>34</v>
      </c>
      <c r="AB67" s="450" t="s">
        <v>34</v>
      </c>
      <c r="AC67" s="452" t="s">
        <v>34</v>
      </c>
      <c r="AD67" s="147" t="s">
        <v>34</v>
      </c>
    </row>
    <row r="68" spans="1:30" s="347" customFormat="1" ht="7.5" customHeight="1">
      <c r="B68" s="436"/>
      <c r="C68" s="436"/>
      <c r="D68" s="436"/>
      <c r="E68" s="453" t="s">
        <v>1393</v>
      </c>
      <c r="J68" s="438"/>
      <c r="P68" s="439"/>
      <c r="Q68" s="439"/>
      <c r="R68" s="439"/>
      <c r="S68" s="454"/>
      <c r="T68" s="450"/>
      <c r="U68" s="451"/>
      <c r="V68" s="450"/>
      <c r="W68" s="451"/>
      <c r="X68" s="450"/>
      <c r="Y68" s="451"/>
      <c r="Z68" s="450"/>
      <c r="AA68" s="451"/>
      <c r="AB68" s="450"/>
      <c r="AC68" s="452"/>
    </row>
    <row r="69" spans="1:30" s="347" customFormat="1">
      <c r="A69" s="440"/>
      <c r="B69" s="455" t="s">
        <v>12</v>
      </c>
      <c r="C69" s="436"/>
      <c r="D69" s="436"/>
      <c r="E69" s="441" t="s">
        <v>621</v>
      </c>
      <c r="F69" s="441"/>
      <c r="G69" s="441"/>
      <c r="H69" s="441"/>
      <c r="I69" s="441"/>
      <c r="J69" s="442"/>
      <c r="K69" s="441"/>
      <c r="L69" s="441"/>
      <c r="M69" s="441"/>
      <c r="N69" s="441"/>
      <c r="O69" s="441"/>
      <c r="P69" s="443"/>
      <c r="Q69" s="443"/>
      <c r="R69" s="443"/>
      <c r="S69" s="444"/>
      <c r="T69" s="441"/>
      <c r="U69" s="441"/>
      <c r="V69" s="441"/>
      <c r="W69" s="441"/>
      <c r="X69" s="441"/>
      <c r="Y69" s="441"/>
      <c r="Z69" s="441"/>
      <c r="AA69" s="441"/>
      <c r="AB69" s="441"/>
      <c r="AC69" s="445"/>
      <c r="AD69" s="441"/>
    </row>
    <row r="70" spans="1:30" s="347" customFormat="1" ht="3" customHeight="1">
      <c r="B70" s="436"/>
      <c r="C70" s="436"/>
      <c r="D70" s="436"/>
      <c r="J70" s="456"/>
      <c r="P70" s="439"/>
      <c r="Q70" s="439"/>
      <c r="R70" s="439"/>
      <c r="S70" s="454"/>
      <c r="AC70" s="457"/>
    </row>
    <row r="71" spans="1:30" s="347" customFormat="1">
      <c r="A71" s="440"/>
      <c r="B71" s="436" t="s">
        <v>621</v>
      </c>
      <c r="C71" s="436" t="s">
        <v>738</v>
      </c>
      <c r="D71" s="436" t="str">
        <f>B71&amp;" "&amp;C71</f>
        <v>Inflação Curta</v>
      </c>
      <c r="E71" s="458" t="s">
        <v>2747</v>
      </c>
      <c r="F71" s="458"/>
      <c r="G71" s="458"/>
      <c r="H71" s="458"/>
      <c r="I71" s="458"/>
      <c r="J71" s="459"/>
      <c r="K71" s="458"/>
      <c r="L71" s="458"/>
      <c r="M71" s="458"/>
      <c r="N71" s="458"/>
      <c r="O71" s="458"/>
      <c r="P71" s="460"/>
      <c r="Q71" s="460"/>
      <c r="R71" s="460"/>
      <c r="S71" s="461"/>
      <c r="T71" s="458"/>
      <c r="U71" s="458"/>
      <c r="V71" s="458"/>
      <c r="W71" s="458"/>
      <c r="X71" s="458"/>
      <c r="Y71" s="458"/>
      <c r="Z71" s="458"/>
      <c r="AA71" s="458"/>
      <c r="AB71" s="458"/>
      <c r="AC71" s="462"/>
      <c r="AD71" s="458"/>
    </row>
    <row r="72" spans="1:30">
      <c r="E72" s="446" t="s">
        <v>1716</v>
      </c>
      <c r="F72" s="146" t="s">
        <v>715</v>
      </c>
      <c r="G72" s="146" t="s">
        <v>34</v>
      </c>
      <c r="H72" s="146" t="s">
        <v>1321</v>
      </c>
      <c r="I72" s="447" t="s">
        <v>34</v>
      </c>
      <c r="J72" s="146" t="s">
        <v>672</v>
      </c>
      <c r="K72" s="146" t="s">
        <v>608</v>
      </c>
      <c r="L72" s="146" t="s">
        <v>48</v>
      </c>
      <c r="M72" s="146">
        <v>2</v>
      </c>
      <c r="N72" s="447">
        <v>9.5999999999999992E-3</v>
      </c>
      <c r="O72" s="447">
        <v>2.8800000000000002E-3</v>
      </c>
      <c r="P72" s="448">
        <v>500</v>
      </c>
      <c r="Q72" s="448" t="s">
        <v>34</v>
      </c>
      <c r="R72" s="448">
        <v>1531044748</v>
      </c>
      <c r="S72" s="449">
        <v>41144</v>
      </c>
      <c r="T72" s="450">
        <v>2.5877777223175968E-2</v>
      </c>
      <c r="U72" s="451">
        <v>1.2939936763527087</v>
      </c>
      <c r="V72" s="450">
        <v>0.10720754101450836</v>
      </c>
      <c r="W72" s="451">
        <v>0.83142772291040234</v>
      </c>
      <c r="X72" s="450">
        <v>0.1703451160757945</v>
      </c>
      <c r="Y72" s="451">
        <v>0.88221609157622671</v>
      </c>
      <c r="Z72" s="450">
        <v>0.23653273832657318</v>
      </c>
      <c r="AA72" s="451">
        <v>1.0680108367012453</v>
      </c>
      <c r="AB72" s="450">
        <v>2.2889930691158685E-2</v>
      </c>
      <c r="AC72" s="452">
        <v>-0.94960394269239723</v>
      </c>
      <c r="AD72" s="147">
        <v>13396703000122</v>
      </c>
    </row>
    <row r="73" spans="1:30">
      <c r="E73" s="446" t="s">
        <v>4591</v>
      </c>
      <c r="F73" s="146" t="s">
        <v>1339</v>
      </c>
      <c r="G73" s="146" t="s">
        <v>1414</v>
      </c>
      <c r="H73" s="146" t="s">
        <v>1321</v>
      </c>
      <c r="I73" s="447" t="s">
        <v>34</v>
      </c>
      <c r="J73" s="146" t="s">
        <v>672</v>
      </c>
      <c r="K73" s="146" t="s">
        <v>608</v>
      </c>
      <c r="L73" s="146" t="s">
        <v>48</v>
      </c>
      <c r="M73" s="146">
        <v>1</v>
      </c>
      <c r="N73" s="447">
        <v>2E-3</v>
      </c>
      <c r="O73" s="447">
        <v>6.9999999999999999E-4</v>
      </c>
      <c r="P73" s="448">
        <v>3000</v>
      </c>
      <c r="Q73" s="448" t="s">
        <v>34</v>
      </c>
      <c r="R73" s="448">
        <v>684343616</v>
      </c>
      <c r="S73" s="449">
        <v>38702</v>
      </c>
      <c r="T73" s="450">
        <v>2.7753647560494699E-2</v>
      </c>
      <c r="U73" s="451">
        <v>1.3877947912326269</v>
      </c>
      <c r="V73" s="450">
        <v>0.11346314782483291</v>
      </c>
      <c r="W73" s="451">
        <v>0.87994189342968598</v>
      </c>
      <c r="X73" s="450">
        <v>0.18159129720639799</v>
      </c>
      <c r="Y73" s="451">
        <v>0.94045998016405552</v>
      </c>
      <c r="Z73" s="450">
        <v>0.25188422691105505</v>
      </c>
      <c r="AA73" s="451">
        <v>1.1373270602554042</v>
      </c>
      <c r="AB73" s="450">
        <v>2.6972249043438215E-2</v>
      </c>
      <c r="AC73" s="452">
        <v>-0.57395145644043311</v>
      </c>
      <c r="AD73" s="147">
        <v>7539298000151</v>
      </c>
    </row>
    <row r="74" spans="1:30">
      <c r="E74" s="446" t="s">
        <v>4709</v>
      </c>
      <c r="F74" s="146" t="s">
        <v>4571</v>
      </c>
      <c r="G74" s="146" t="s">
        <v>34</v>
      </c>
      <c r="H74" s="146" t="s">
        <v>1321</v>
      </c>
      <c r="I74" s="447" t="s">
        <v>4400</v>
      </c>
      <c r="J74" s="146" t="s">
        <v>663</v>
      </c>
      <c r="K74" s="146" t="s">
        <v>608</v>
      </c>
      <c r="L74" s="146" t="s">
        <v>48</v>
      </c>
      <c r="M74" s="146">
        <v>7</v>
      </c>
      <c r="N74" s="447">
        <v>9.4999999999999998E-3</v>
      </c>
      <c r="O74" s="447">
        <v>0</v>
      </c>
      <c r="P74" s="448">
        <v>5000</v>
      </c>
      <c r="Q74" s="448" t="s">
        <v>34</v>
      </c>
      <c r="R74" s="448">
        <v>0</v>
      </c>
      <c r="S74" s="449">
        <v>44881</v>
      </c>
      <c r="T74" s="450" t="s">
        <v>34</v>
      </c>
      <c r="U74" s="451" t="s">
        <v>34</v>
      </c>
      <c r="V74" s="450" t="s">
        <v>34</v>
      </c>
      <c r="W74" s="451" t="s">
        <v>34</v>
      </c>
      <c r="X74" s="450" t="s">
        <v>34</v>
      </c>
      <c r="Y74" s="451" t="s">
        <v>34</v>
      </c>
      <c r="Z74" s="450" t="s">
        <v>34</v>
      </c>
      <c r="AA74" s="451" t="s">
        <v>34</v>
      </c>
      <c r="AB74" s="450" t="s">
        <v>34</v>
      </c>
      <c r="AC74" s="452" t="s">
        <v>34</v>
      </c>
      <c r="AD74" s="147">
        <v>44643217000195</v>
      </c>
    </row>
    <row r="75" spans="1:30">
      <c r="E75" s="446" t="s">
        <v>4662</v>
      </c>
      <c r="F75" s="146" t="s">
        <v>1339</v>
      </c>
      <c r="G75" s="146" t="s">
        <v>1414</v>
      </c>
      <c r="H75" s="146" t="s">
        <v>1321</v>
      </c>
      <c r="I75" s="447" t="s">
        <v>34</v>
      </c>
      <c r="J75" s="146" t="s">
        <v>1364</v>
      </c>
      <c r="K75" s="146" t="s">
        <v>608</v>
      </c>
      <c r="L75" s="146" t="s">
        <v>48</v>
      </c>
      <c r="M75" s="146">
        <v>166</v>
      </c>
      <c r="N75" s="447" t="s">
        <v>34</v>
      </c>
      <c r="O75" s="447" t="s">
        <v>34</v>
      </c>
      <c r="P75" s="448" t="s">
        <v>34</v>
      </c>
      <c r="Q75" s="448" t="s">
        <v>1421</v>
      </c>
      <c r="R75" s="448" t="s">
        <v>34</v>
      </c>
      <c r="S75" s="449" t="s">
        <v>34</v>
      </c>
      <c r="T75" s="450" t="s">
        <v>34</v>
      </c>
      <c r="U75" s="451" t="s">
        <v>34</v>
      </c>
      <c r="V75" s="450" t="s">
        <v>34</v>
      </c>
      <c r="W75" s="451" t="s">
        <v>34</v>
      </c>
      <c r="X75" s="450" t="s">
        <v>34</v>
      </c>
      <c r="Y75" s="451" t="s">
        <v>34</v>
      </c>
      <c r="Z75" s="450" t="s">
        <v>34</v>
      </c>
      <c r="AA75" s="451" t="s">
        <v>34</v>
      </c>
      <c r="AB75" s="450" t="s">
        <v>34</v>
      </c>
      <c r="AC75" s="452" t="s">
        <v>34</v>
      </c>
      <c r="AD75" s="147" t="s">
        <v>34</v>
      </c>
    </row>
    <row r="76" spans="1:30">
      <c r="E76" s="446" t="s">
        <v>4663</v>
      </c>
      <c r="F76" s="146" t="s">
        <v>1339</v>
      </c>
      <c r="G76" s="146" t="s">
        <v>1414</v>
      </c>
      <c r="H76" s="146" t="s">
        <v>1321</v>
      </c>
      <c r="I76" s="447" t="s">
        <v>34</v>
      </c>
      <c r="J76" s="146" t="s">
        <v>1364</v>
      </c>
      <c r="K76" s="146" t="s">
        <v>608</v>
      </c>
      <c r="L76" s="146" t="s">
        <v>48</v>
      </c>
      <c r="M76" s="146">
        <v>532</v>
      </c>
      <c r="N76" s="447" t="s">
        <v>34</v>
      </c>
      <c r="O76" s="447" t="s">
        <v>34</v>
      </c>
      <c r="P76" s="448" t="s">
        <v>34</v>
      </c>
      <c r="Q76" s="448" t="s">
        <v>1421</v>
      </c>
      <c r="R76" s="448" t="s">
        <v>34</v>
      </c>
      <c r="S76" s="449" t="s">
        <v>34</v>
      </c>
      <c r="T76" s="450" t="s">
        <v>34</v>
      </c>
      <c r="U76" s="451" t="s">
        <v>34</v>
      </c>
      <c r="V76" s="450" t="s">
        <v>34</v>
      </c>
      <c r="W76" s="451" t="s">
        <v>34</v>
      </c>
      <c r="X76" s="450" t="s">
        <v>34</v>
      </c>
      <c r="Y76" s="451" t="s">
        <v>34</v>
      </c>
      <c r="Z76" s="450" t="s">
        <v>34</v>
      </c>
      <c r="AA76" s="451" t="s">
        <v>34</v>
      </c>
      <c r="AB76" s="450" t="s">
        <v>34</v>
      </c>
      <c r="AC76" s="452" t="s">
        <v>34</v>
      </c>
      <c r="AD76" s="147" t="s">
        <v>34</v>
      </c>
    </row>
    <row r="77" spans="1:30">
      <c r="E77" s="446" t="s">
        <v>4664</v>
      </c>
      <c r="F77" s="146" t="s">
        <v>1339</v>
      </c>
      <c r="G77" s="146" t="s">
        <v>1414</v>
      </c>
      <c r="H77" s="146" t="s">
        <v>1321</v>
      </c>
      <c r="I77" s="447" t="s">
        <v>34</v>
      </c>
      <c r="J77" s="146" t="s">
        <v>1364</v>
      </c>
      <c r="K77" s="146" t="s">
        <v>608</v>
      </c>
      <c r="L77" s="146" t="s">
        <v>48</v>
      </c>
      <c r="M77" s="146">
        <v>897</v>
      </c>
      <c r="N77" s="447" t="s">
        <v>34</v>
      </c>
      <c r="O77" s="447" t="s">
        <v>34</v>
      </c>
      <c r="P77" s="448" t="s">
        <v>34</v>
      </c>
      <c r="Q77" s="448" t="s">
        <v>1421</v>
      </c>
      <c r="R77" s="448" t="s">
        <v>34</v>
      </c>
      <c r="S77" s="449" t="s">
        <v>34</v>
      </c>
      <c r="T77" s="450" t="s">
        <v>34</v>
      </c>
      <c r="U77" s="451" t="s">
        <v>34</v>
      </c>
      <c r="V77" s="450" t="s">
        <v>34</v>
      </c>
      <c r="W77" s="451" t="s">
        <v>34</v>
      </c>
      <c r="X77" s="450" t="s">
        <v>34</v>
      </c>
      <c r="Y77" s="451" t="s">
        <v>34</v>
      </c>
      <c r="Z77" s="450" t="s">
        <v>34</v>
      </c>
      <c r="AA77" s="451" t="s">
        <v>34</v>
      </c>
      <c r="AB77" s="450" t="s">
        <v>34</v>
      </c>
      <c r="AC77" s="452" t="s">
        <v>34</v>
      </c>
      <c r="AD77" s="147" t="s">
        <v>34</v>
      </c>
    </row>
    <row r="78" spans="1:30">
      <c r="E78" s="446" t="s">
        <v>4665</v>
      </c>
      <c r="F78" s="146" t="s">
        <v>715</v>
      </c>
      <c r="G78" s="146" t="s">
        <v>1414</v>
      </c>
      <c r="H78" s="146" t="s">
        <v>1321</v>
      </c>
      <c r="I78" s="447" t="s">
        <v>34</v>
      </c>
      <c r="J78" s="146" t="s">
        <v>1364</v>
      </c>
      <c r="K78" s="146" t="s">
        <v>608</v>
      </c>
      <c r="L78" s="146" t="s">
        <v>48</v>
      </c>
      <c r="M78" s="146">
        <v>1262</v>
      </c>
      <c r="N78" s="447" t="s">
        <v>34</v>
      </c>
      <c r="O78" s="447" t="s">
        <v>34</v>
      </c>
      <c r="P78" s="448" t="s">
        <v>34</v>
      </c>
      <c r="Q78" s="448" t="s">
        <v>1421</v>
      </c>
      <c r="R78" s="448" t="s">
        <v>34</v>
      </c>
      <c r="S78" s="449" t="s">
        <v>34</v>
      </c>
      <c r="T78" s="450" t="s">
        <v>34</v>
      </c>
      <c r="U78" s="451" t="s">
        <v>34</v>
      </c>
      <c r="V78" s="450" t="s">
        <v>34</v>
      </c>
      <c r="W78" s="451" t="s">
        <v>34</v>
      </c>
      <c r="X78" s="450" t="s">
        <v>34</v>
      </c>
      <c r="Y78" s="451" t="s">
        <v>34</v>
      </c>
      <c r="Z78" s="450" t="s">
        <v>34</v>
      </c>
      <c r="AA78" s="451" t="s">
        <v>34</v>
      </c>
      <c r="AB78" s="450" t="s">
        <v>34</v>
      </c>
      <c r="AC78" s="452" t="s">
        <v>34</v>
      </c>
      <c r="AD78" s="147" t="s">
        <v>34</v>
      </c>
    </row>
    <row r="79" spans="1:30">
      <c r="E79" s="446" t="s">
        <v>4666</v>
      </c>
      <c r="F79" s="146" t="s">
        <v>715</v>
      </c>
      <c r="G79" s="146" t="s">
        <v>1414</v>
      </c>
      <c r="H79" s="146" t="s">
        <v>1321</v>
      </c>
      <c r="I79" s="447" t="s">
        <v>34</v>
      </c>
      <c r="J79" s="146" t="s">
        <v>1364</v>
      </c>
      <c r="K79" s="146" t="s">
        <v>608</v>
      </c>
      <c r="L79" s="146" t="s">
        <v>48</v>
      </c>
      <c r="M79" s="146">
        <v>1627</v>
      </c>
      <c r="N79" s="447" t="s">
        <v>34</v>
      </c>
      <c r="O79" s="447" t="s">
        <v>34</v>
      </c>
      <c r="P79" s="448" t="s">
        <v>34</v>
      </c>
      <c r="Q79" s="448" t="s">
        <v>1421</v>
      </c>
      <c r="R79" s="448" t="s">
        <v>34</v>
      </c>
      <c r="S79" s="449" t="s">
        <v>34</v>
      </c>
      <c r="T79" s="450" t="s">
        <v>34</v>
      </c>
      <c r="U79" s="451" t="s">
        <v>34</v>
      </c>
      <c r="V79" s="450" t="s">
        <v>34</v>
      </c>
      <c r="W79" s="451" t="s">
        <v>34</v>
      </c>
      <c r="X79" s="450" t="s">
        <v>34</v>
      </c>
      <c r="Y79" s="451" t="s">
        <v>34</v>
      </c>
      <c r="Z79" s="450" t="s">
        <v>34</v>
      </c>
      <c r="AA79" s="451" t="s">
        <v>34</v>
      </c>
      <c r="AB79" s="450" t="s">
        <v>34</v>
      </c>
      <c r="AC79" s="452" t="s">
        <v>34</v>
      </c>
      <c r="AD79" s="147" t="s">
        <v>34</v>
      </c>
    </row>
    <row r="80" spans="1:30">
      <c r="E80" s="446" t="s">
        <v>4667</v>
      </c>
      <c r="F80" s="146" t="s">
        <v>1339</v>
      </c>
      <c r="G80" s="146" t="s">
        <v>34</v>
      </c>
      <c r="H80" s="146" t="s">
        <v>34</v>
      </c>
      <c r="I80" s="447" t="s">
        <v>34</v>
      </c>
      <c r="J80" s="146" t="s">
        <v>663</v>
      </c>
      <c r="K80" s="146" t="s">
        <v>608</v>
      </c>
      <c r="L80" s="146" t="s">
        <v>48</v>
      </c>
      <c r="M80" s="146">
        <v>365</v>
      </c>
      <c r="N80" s="447" t="s">
        <v>34</v>
      </c>
      <c r="O80" s="447">
        <v>2E-3</v>
      </c>
      <c r="P80" s="448" t="s">
        <v>34</v>
      </c>
      <c r="Q80" s="448" t="s">
        <v>1421</v>
      </c>
      <c r="R80" s="448" t="s">
        <v>34</v>
      </c>
      <c r="S80" s="449" t="s">
        <v>34</v>
      </c>
      <c r="T80" s="450" t="s">
        <v>34</v>
      </c>
      <c r="U80" s="451" t="s">
        <v>34</v>
      </c>
      <c r="V80" s="450" t="s">
        <v>34</v>
      </c>
      <c r="W80" s="451" t="s">
        <v>34</v>
      </c>
      <c r="X80" s="450" t="s">
        <v>34</v>
      </c>
      <c r="Y80" s="451" t="s">
        <v>34</v>
      </c>
      <c r="Z80" s="450" t="s">
        <v>34</v>
      </c>
      <c r="AA80" s="451" t="s">
        <v>34</v>
      </c>
      <c r="AB80" s="450" t="s">
        <v>34</v>
      </c>
      <c r="AC80" s="452" t="s">
        <v>34</v>
      </c>
      <c r="AD80" s="147" t="s">
        <v>34</v>
      </c>
    </row>
    <row r="81" spans="1:30">
      <c r="E81" s="446" t="s">
        <v>4668</v>
      </c>
      <c r="F81" s="146" t="s">
        <v>1339</v>
      </c>
      <c r="G81" s="146" t="s">
        <v>34</v>
      </c>
      <c r="H81" s="146" t="s">
        <v>34</v>
      </c>
      <c r="I81" s="447" t="s">
        <v>34</v>
      </c>
      <c r="J81" s="146" t="s">
        <v>663</v>
      </c>
      <c r="K81" s="146" t="s">
        <v>608</v>
      </c>
      <c r="L81" s="146" t="s">
        <v>48</v>
      </c>
      <c r="M81" s="146">
        <v>730</v>
      </c>
      <c r="N81" s="447" t="s">
        <v>34</v>
      </c>
      <c r="O81" s="447">
        <v>2E-3</v>
      </c>
      <c r="P81" s="448" t="s">
        <v>34</v>
      </c>
      <c r="Q81" s="448" t="s">
        <v>1421</v>
      </c>
      <c r="R81" s="448" t="s">
        <v>34</v>
      </c>
      <c r="S81" s="449" t="s">
        <v>34</v>
      </c>
      <c r="T81" s="450" t="s">
        <v>34</v>
      </c>
      <c r="U81" s="451" t="s">
        <v>34</v>
      </c>
      <c r="V81" s="450" t="s">
        <v>34</v>
      </c>
      <c r="W81" s="451" t="s">
        <v>34</v>
      </c>
      <c r="X81" s="450" t="s">
        <v>34</v>
      </c>
      <c r="Y81" s="451" t="s">
        <v>34</v>
      </c>
      <c r="Z81" s="450" t="s">
        <v>34</v>
      </c>
      <c r="AA81" s="451" t="s">
        <v>34</v>
      </c>
      <c r="AB81" s="450" t="s">
        <v>34</v>
      </c>
      <c r="AC81" s="452" t="s">
        <v>34</v>
      </c>
      <c r="AD81" s="147" t="s">
        <v>34</v>
      </c>
    </row>
    <row r="82" spans="1:30">
      <c r="E82" s="446" t="s">
        <v>4669</v>
      </c>
      <c r="F82" s="146" t="s">
        <v>1339</v>
      </c>
      <c r="G82" s="146" t="s">
        <v>34</v>
      </c>
      <c r="H82" s="146" t="s">
        <v>34</v>
      </c>
      <c r="I82" s="447" t="s">
        <v>34</v>
      </c>
      <c r="J82" s="146" t="s">
        <v>663</v>
      </c>
      <c r="K82" s="146" t="s">
        <v>608</v>
      </c>
      <c r="L82" s="146" t="s">
        <v>48</v>
      </c>
      <c r="M82" s="146">
        <v>1095</v>
      </c>
      <c r="N82" s="447" t="s">
        <v>34</v>
      </c>
      <c r="O82" s="447">
        <v>2E-3</v>
      </c>
      <c r="P82" s="448" t="s">
        <v>34</v>
      </c>
      <c r="Q82" s="448" t="s">
        <v>1421</v>
      </c>
      <c r="R82" s="448" t="s">
        <v>34</v>
      </c>
      <c r="S82" s="449" t="s">
        <v>34</v>
      </c>
      <c r="T82" s="450" t="s">
        <v>34</v>
      </c>
      <c r="U82" s="451" t="s">
        <v>34</v>
      </c>
      <c r="V82" s="450" t="s">
        <v>34</v>
      </c>
      <c r="W82" s="451" t="s">
        <v>34</v>
      </c>
      <c r="X82" s="450" t="s">
        <v>34</v>
      </c>
      <c r="Y82" s="451" t="s">
        <v>34</v>
      </c>
      <c r="Z82" s="450" t="s">
        <v>34</v>
      </c>
      <c r="AA82" s="451" t="s">
        <v>34</v>
      </c>
      <c r="AB82" s="450" t="s">
        <v>34</v>
      </c>
      <c r="AC82" s="452" t="s">
        <v>34</v>
      </c>
      <c r="AD82" s="147" t="s">
        <v>34</v>
      </c>
    </row>
    <row r="83" spans="1:30" ht="5.25" customHeight="1">
      <c r="E83" s="453" t="s">
        <v>1393</v>
      </c>
      <c r="P83" s="463"/>
      <c r="Q83" s="463"/>
      <c r="R83" s="463"/>
      <c r="S83" s="464"/>
      <c r="AC83" s="465"/>
    </row>
    <row r="84" spans="1:30" s="347" customFormat="1">
      <c r="A84" s="440"/>
      <c r="B84" s="436" t="s">
        <v>621</v>
      </c>
      <c r="C84" s="421" t="s">
        <v>865</v>
      </c>
      <c r="D84" s="436" t="str">
        <f>B84&amp;" "&amp;C84</f>
        <v>Inflação Média</v>
      </c>
      <c r="E84" s="458" t="s">
        <v>2748</v>
      </c>
      <c r="F84" s="458"/>
      <c r="G84" s="458"/>
      <c r="H84" s="458"/>
      <c r="I84" s="458"/>
      <c r="J84" s="459"/>
      <c r="K84" s="458"/>
      <c r="L84" s="458"/>
      <c r="M84" s="458"/>
      <c r="N84" s="458"/>
      <c r="O84" s="458"/>
      <c r="P84" s="460"/>
      <c r="Q84" s="460"/>
      <c r="R84" s="460"/>
      <c r="S84" s="461"/>
      <c r="T84" s="458"/>
      <c r="U84" s="458"/>
      <c r="V84" s="458"/>
      <c r="W84" s="458"/>
      <c r="X84" s="458"/>
      <c r="Y84" s="458"/>
      <c r="Z84" s="458"/>
      <c r="AA84" s="458"/>
      <c r="AB84" s="458"/>
      <c r="AC84" s="462"/>
      <c r="AD84" s="458"/>
    </row>
    <row r="85" spans="1:30">
      <c r="E85" s="446" t="s">
        <v>2086</v>
      </c>
      <c r="F85" s="146" t="s">
        <v>715</v>
      </c>
      <c r="G85" s="146" t="s">
        <v>34</v>
      </c>
      <c r="H85" s="146" t="s">
        <v>1321</v>
      </c>
      <c r="I85" s="447" t="s">
        <v>34</v>
      </c>
      <c r="J85" s="146" t="s">
        <v>692</v>
      </c>
      <c r="K85" s="146" t="s">
        <v>608</v>
      </c>
      <c r="L85" s="146" t="s">
        <v>48</v>
      </c>
      <c r="M85" s="146">
        <v>31</v>
      </c>
      <c r="N85" s="447">
        <v>8.0000000000000002E-3</v>
      </c>
      <c r="O85" s="447">
        <v>2.8E-3</v>
      </c>
      <c r="P85" s="448">
        <v>500</v>
      </c>
      <c r="Q85" s="448" t="s">
        <v>34</v>
      </c>
      <c r="R85" s="448">
        <v>93970502.780000001</v>
      </c>
      <c r="S85" s="449">
        <v>43679</v>
      </c>
      <c r="T85" s="450">
        <v>2.8574910717820146E-3</v>
      </c>
      <c r="U85" s="451">
        <v>0.1428861275538274</v>
      </c>
      <c r="V85" s="450">
        <v>8.4930845238177177E-2</v>
      </c>
      <c r="W85" s="451">
        <v>0.65866503972586488</v>
      </c>
      <c r="X85" s="450">
        <v>0.18044270096062687</v>
      </c>
      <c r="Y85" s="451">
        <v>0.93451140873396843</v>
      </c>
      <c r="Z85" s="450">
        <v>0.26066102007175185</v>
      </c>
      <c r="AA85" s="451">
        <v>1.1769567126808016</v>
      </c>
      <c r="AB85" s="450">
        <v>3.9835866658353314E-2</v>
      </c>
      <c r="AC85" s="452">
        <v>-1.1048602151945885</v>
      </c>
      <c r="AD85" s="147">
        <v>34096235000140</v>
      </c>
    </row>
    <row r="86" spans="1:30">
      <c r="E86" s="446" t="s">
        <v>4581</v>
      </c>
      <c r="F86" s="146" t="s">
        <v>715</v>
      </c>
      <c r="G86" s="146" t="s">
        <v>34</v>
      </c>
      <c r="H86" s="146" t="s">
        <v>1321</v>
      </c>
      <c r="I86" s="447" t="s">
        <v>34</v>
      </c>
      <c r="J86" s="146" t="s">
        <v>692</v>
      </c>
      <c r="K86" s="146" t="s">
        <v>608</v>
      </c>
      <c r="L86" s="146" t="s">
        <v>48</v>
      </c>
      <c r="M86" s="146">
        <v>31</v>
      </c>
      <c r="N86" s="447">
        <v>0</v>
      </c>
      <c r="O86" s="447">
        <v>2.2669500000000002E-3</v>
      </c>
      <c r="P86" s="448">
        <v>50000</v>
      </c>
      <c r="Q86" s="448" t="s">
        <v>34</v>
      </c>
      <c r="R86" s="448">
        <v>41839200.390000001</v>
      </c>
      <c r="S86" s="449">
        <v>44390</v>
      </c>
      <c r="T86" s="450">
        <v>8.9883829254986392E-3</v>
      </c>
      <c r="U86" s="451">
        <v>0.44945555276731153</v>
      </c>
      <c r="V86" s="450">
        <v>0.12479442173245303</v>
      </c>
      <c r="W86" s="451">
        <v>0.96781943612429633</v>
      </c>
      <c r="X86" s="450" t="s">
        <v>34</v>
      </c>
      <c r="Y86" s="451" t="s">
        <v>34</v>
      </c>
      <c r="Z86" s="450" t="s">
        <v>34</v>
      </c>
      <c r="AA86" s="451" t="s">
        <v>34</v>
      </c>
      <c r="AB86" s="450">
        <v>4.3099343278109777E-2</v>
      </c>
      <c r="AC86" s="452">
        <v>-9.6277284030980848E-2</v>
      </c>
      <c r="AD86" s="147">
        <v>41594333000173</v>
      </c>
    </row>
    <row r="87" spans="1:30">
      <c r="E87" s="446" t="s">
        <v>4584</v>
      </c>
      <c r="F87" s="146" t="s">
        <v>715</v>
      </c>
      <c r="G87" s="146" t="s">
        <v>34</v>
      </c>
      <c r="H87" s="146" t="s">
        <v>1321</v>
      </c>
      <c r="I87" s="447" t="s">
        <v>34</v>
      </c>
      <c r="J87" s="146" t="s">
        <v>692</v>
      </c>
      <c r="K87" s="146" t="s">
        <v>608</v>
      </c>
      <c r="L87" s="146" t="s">
        <v>48</v>
      </c>
      <c r="M87" s="146">
        <v>32</v>
      </c>
      <c r="N87" s="447">
        <v>8.5000000000000006E-3</v>
      </c>
      <c r="O87" s="447">
        <v>1.6000000000000001E-3</v>
      </c>
      <c r="P87" s="448">
        <v>5000</v>
      </c>
      <c r="Q87" s="448" t="s">
        <v>34</v>
      </c>
      <c r="R87" s="448">
        <v>167402727.01999998</v>
      </c>
      <c r="S87" s="449">
        <v>44201</v>
      </c>
      <c r="T87" s="450">
        <v>5.0811367580643196E-3</v>
      </c>
      <c r="U87" s="451">
        <v>0.2540774185091153</v>
      </c>
      <c r="V87" s="450">
        <v>8.927598360295641E-2</v>
      </c>
      <c r="W87" s="451">
        <v>0.69236293506207192</v>
      </c>
      <c r="X87" s="450">
        <v>0.222026989665981</v>
      </c>
      <c r="Y87" s="451">
        <v>1.1498761312323316</v>
      </c>
      <c r="Z87" s="450" t="s">
        <v>34</v>
      </c>
      <c r="AA87" s="451" t="s">
        <v>34</v>
      </c>
      <c r="AB87" s="450">
        <v>2.674129488402717E-2</v>
      </c>
      <c r="AC87" s="452">
        <v>-1.4833958495976189</v>
      </c>
      <c r="AD87" s="147">
        <v>39959025000152</v>
      </c>
    </row>
    <row r="88" spans="1:30">
      <c r="E88" s="446" t="s">
        <v>4694</v>
      </c>
      <c r="F88" s="146" t="s">
        <v>4572</v>
      </c>
      <c r="G88" s="146" t="s">
        <v>34</v>
      </c>
      <c r="H88" s="146" t="s">
        <v>1321</v>
      </c>
      <c r="I88" s="447" t="s">
        <v>4400</v>
      </c>
      <c r="J88" s="146" t="s">
        <v>672</v>
      </c>
      <c r="K88" s="146" t="s">
        <v>608</v>
      </c>
      <c r="L88" s="146" t="s">
        <v>48</v>
      </c>
      <c r="M88" s="146">
        <v>2</v>
      </c>
      <c r="N88" s="447">
        <v>0</v>
      </c>
      <c r="O88" s="447">
        <v>0</v>
      </c>
      <c r="P88" s="448">
        <v>10000</v>
      </c>
      <c r="Q88" s="448" t="s">
        <v>34</v>
      </c>
      <c r="R88" s="448">
        <v>0</v>
      </c>
      <c r="S88" s="449">
        <v>42216</v>
      </c>
      <c r="T88" s="450" t="s">
        <v>34</v>
      </c>
      <c r="U88" s="451" t="s">
        <v>34</v>
      </c>
      <c r="V88" s="450" t="s">
        <v>34</v>
      </c>
      <c r="W88" s="451" t="s">
        <v>34</v>
      </c>
      <c r="X88" s="450" t="s">
        <v>34</v>
      </c>
      <c r="Y88" s="451" t="s">
        <v>34</v>
      </c>
      <c r="Z88" s="450" t="s">
        <v>34</v>
      </c>
      <c r="AA88" s="451" t="s">
        <v>34</v>
      </c>
      <c r="AB88" s="450" t="s">
        <v>34</v>
      </c>
      <c r="AC88" s="452" t="s">
        <v>34</v>
      </c>
      <c r="AD88" s="147">
        <v>22187479000150</v>
      </c>
    </row>
    <row r="89" spans="1:30">
      <c r="E89" s="446" t="s">
        <v>4592</v>
      </c>
      <c r="F89" s="146" t="s">
        <v>1339</v>
      </c>
      <c r="G89" s="146" t="s">
        <v>1414</v>
      </c>
      <c r="H89" s="146" t="s">
        <v>1321</v>
      </c>
      <c r="I89" s="447" t="s">
        <v>34</v>
      </c>
      <c r="J89" s="146" t="s">
        <v>672</v>
      </c>
      <c r="K89" s="146" t="s">
        <v>608</v>
      </c>
      <c r="L89" s="146" t="s">
        <v>48</v>
      </c>
      <c r="M89" s="146">
        <v>2</v>
      </c>
      <c r="N89" s="447">
        <v>2E-3</v>
      </c>
      <c r="O89" s="447">
        <v>6.9999999999999999E-4</v>
      </c>
      <c r="P89" s="448">
        <v>3000</v>
      </c>
      <c r="Q89" s="448" t="s">
        <v>34</v>
      </c>
      <c r="R89" s="448">
        <v>396708715</v>
      </c>
      <c r="S89" s="449">
        <v>39654</v>
      </c>
      <c r="T89" s="450">
        <v>1.5297419215507313E-2</v>
      </c>
      <c r="U89" s="451">
        <v>0.76493292135055624</v>
      </c>
      <c r="V89" s="450">
        <v>7.9099040033106416E-2</v>
      </c>
      <c r="W89" s="451">
        <v>0.61343758206546728</v>
      </c>
      <c r="X89" s="450">
        <v>8.5158881571676392E-2</v>
      </c>
      <c r="Y89" s="451">
        <v>0.44103721547108471</v>
      </c>
      <c r="Z89" s="450">
        <v>0.1174206892023506</v>
      </c>
      <c r="AA89" s="451">
        <v>0.53018693906081837</v>
      </c>
      <c r="AB89" s="450">
        <v>5.6321926301955656E-2</v>
      </c>
      <c r="AC89" s="452">
        <v>-0.88499937211755453</v>
      </c>
      <c r="AD89" s="147">
        <v>9814233000100</v>
      </c>
    </row>
    <row r="90" spans="1:30">
      <c r="E90" s="446" t="s">
        <v>2083</v>
      </c>
      <c r="F90" s="146" t="s">
        <v>1339</v>
      </c>
      <c r="G90" s="146" t="s">
        <v>34</v>
      </c>
      <c r="H90" s="146" t="s">
        <v>1321</v>
      </c>
      <c r="I90" s="447" t="s">
        <v>34</v>
      </c>
      <c r="J90" s="146" t="s">
        <v>692</v>
      </c>
      <c r="K90" s="146" t="s">
        <v>608</v>
      </c>
      <c r="L90" s="146" t="s">
        <v>48</v>
      </c>
      <c r="M90" s="146">
        <v>31</v>
      </c>
      <c r="N90" s="447">
        <v>0.01</v>
      </c>
      <c r="O90" s="447">
        <v>1.9599999999999999E-3</v>
      </c>
      <c r="P90" s="448">
        <v>500</v>
      </c>
      <c r="Q90" s="448" t="s">
        <v>34</v>
      </c>
      <c r="R90" s="448">
        <v>462345351.16000003</v>
      </c>
      <c r="S90" s="449">
        <v>43338</v>
      </c>
      <c r="T90" s="450">
        <v>4.0688396495034418E-3</v>
      </c>
      <c r="U90" s="451">
        <v>0.2034584628789245</v>
      </c>
      <c r="V90" s="450">
        <v>6.5044141743471728E-2</v>
      </c>
      <c r="W90" s="451">
        <v>0.50443748776140274</v>
      </c>
      <c r="X90" s="450">
        <v>0.15660516226945487</v>
      </c>
      <c r="Y90" s="451">
        <v>0.81105697281362377</v>
      </c>
      <c r="Z90" s="450">
        <v>0.2572405494329888</v>
      </c>
      <c r="AA90" s="451">
        <v>1.1615123402245302</v>
      </c>
      <c r="AB90" s="450">
        <v>3.6904124271183079E-2</v>
      </c>
      <c r="AC90" s="452">
        <v>-1.7315074931398207</v>
      </c>
      <c r="AD90" s="147">
        <v>30910199000156</v>
      </c>
    </row>
    <row r="91" spans="1:30">
      <c r="E91" s="446" t="s">
        <v>4707</v>
      </c>
      <c r="F91" s="146" t="s">
        <v>4571</v>
      </c>
      <c r="G91" s="146" t="s">
        <v>34</v>
      </c>
      <c r="H91" s="146" t="s">
        <v>1321</v>
      </c>
      <c r="I91" s="447" t="s">
        <v>4400</v>
      </c>
      <c r="J91" s="146" t="s">
        <v>672</v>
      </c>
      <c r="K91" s="146" t="s">
        <v>608</v>
      </c>
      <c r="L91" s="146" t="s">
        <v>48</v>
      </c>
      <c r="M91" s="146">
        <v>6</v>
      </c>
      <c r="N91" s="447">
        <v>1.0999999999999999E-2</v>
      </c>
      <c r="O91" s="447">
        <v>0</v>
      </c>
      <c r="P91" s="448">
        <v>0</v>
      </c>
      <c r="Q91" s="448" t="s">
        <v>34</v>
      </c>
      <c r="R91" s="448">
        <v>3245487.5</v>
      </c>
      <c r="S91" s="449">
        <v>44805</v>
      </c>
      <c r="T91" s="450">
        <v>6.2222571544285898E-3</v>
      </c>
      <c r="U91" s="451">
        <v>0.31113806031454933</v>
      </c>
      <c r="V91" s="450" t="s">
        <v>34</v>
      </c>
      <c r="W91" s="451" t="s">
        <v>34</v>
      </c>
      <c r="X91" s="450" t="s">
        <v>34</v>
      </c>
      <c r="Y91" s="451" t="s">
        <v>34</v>
      </c>
      <c r="Z91" s="450" t="s">
        <v>34</v>
      </c>
      <c r="AA91" s="451" t="s">
        <v>34</v>
      </c>
      <c r="AB91" s="450">
        <v>3.0370371583599978E-2</v>
      </c>
      <c r="AC91" s="452" t="s">
        <v>34</v>
      </c>
      <c r="AD91" s="147">
        <v>42870517000181</v>
      </c>
    </row>
    <row r="92" spans="1:30">
      <c r="E92" s="446" t="s">
        <v>4670</v>
      </c>
      <c r="F92" s="146" t="s">
        <v>715</v>
      </c>
      <c r="G92" s="146" t="s">
        <v>1414</v>
      </c>
      <c r="H92" s="146" t="s">
        <v>1321</v>
      </c>
      <c r="I92" s="447" t="s">
        <v>34</v>
      </c>
      <c r="J92" s="146" t="s">
        <v>1364</v>
      </c>
      <c r="K92" s="146" t="s">
        <v>608</v>
      </c>
      <c r="L92" s="146" t="s">
        <v>48</v>
      </c>
      <c r="M92" s="146">
        <v>1993</v>
      </c>
      <c r="N92" s="447" t="s">
        <v>34</v>
      </c>
      <c r="O92" s="447" t="s">
        <v>34</v>
      </c>
      <c r="P92" s="448" t="s">
        <v>34</v>
      </c>
      <c r="Q92" s="448" t="s">
        <v>1421</v>
      </c>
      <c r="R92" s="448" t="s">
        <v>34</v>
      </c>
      <c r="S92" s="449" t="s">
        <v>34</v>
      </c>
      <c r="T92" s="450" t="s">
        <v>34</v>
      </c>
      <c r="U92" s="451" t="s">
        <v>34</v>
      </c>
      <c r="V92" s="450" t="s">
        <v>34</v>
      </c>
      <c r="W92" s="451" t="s">
        <v>34</v>
      </c>
      <c r="X92" s="450" t="s">
        <v>34</v>
      </c>
      <c r="Y92" s="451" t="s">
        <v>34</v>
      </c>
      <c r="Z92" s="450" t="s">
        <v>34</v>
      </c>
      <c r="AA92" s="451" t="s">
        <v>34</v>
      </c>
      <c r="AB92" s="450" t="s">
        <v>34</v>
      </c>
      <c r="AC92" s="452" t="s">
        <v>34</v>
      </c>
      <c r="AD92" s="147" t="s">
        <v>34</v>
      </c>
    </row>
    <row r="93" spans="1:30">
      <c r="E93" s="446" t="s">
        <v>4671</v>
      </c>
      <c r="F93" s="146" t="s">
        <v>715</v>
      </c>
      <c r="G93" s="146" t="s">
        <v>1414</v>
      </c>
      <c r="H93" s="146" t="s">
        <v>1321</v>
      </c>
      <c r="I93" s="447" t="s">
        <v>34</v>
      </c>
      <c r="J93" s="146" t="s">
        <v>1364</v>
      </c>
      <c r="K93" s="146" t="s">
        <v>608</v>
      </c>
      <c r="L93" s="146" t="s">
        <v>48</v>
      </c>
      <c r="M93" s="146">
        <v>2723</v>
      </c>
      <c r="N93" s="447" t="s">
        <v>34</v>
      </c>
      <c r="O93" s="447" t="s">
        <v>34</v>
      </c>
      <c r="P93" s="448" t="s">
        <v>34</v>
      </c>
      <c r="Q93" s="448" t="s">
        <v>1421</v>
      </c>
      <c r="R93" s="448" t="s">
        <v>34</v>
      </c>
      <c r="S93" s="449" t="s">
        <v>34</v>
      </c>
      <c r="T93" s="450" t="s">
        <v>34</v>
      </c>
      <c r="U93" s="451" t="s">
        <v>34</v>
      </c>
      <c r="V93" s="450" t="s">
        <v>34</v>
      </c>
      <c r="W93" s="451" t="s">
        <v>34</v>
      </c>
      <c r="X93" s="450" t="s">
        <v>34</v>
      </c>
      <c r="Y93" s="451" t="s">
        <v>34</v>
      </c>
      <c r="Z93" s="450" t="s">
        <v>34</v>
      </c>
      <c r="AA93" s="451" t="s">
        <v>34</v>
      </c>
      <c r="AB93" s="450" t="s">
        <v>34</v>
      </c>
      <c r="AC93" s="452" t="s">
        <v>34</v>
      </c>
      <c r="AD93" s="147" t="s">
        <v>34</v>
      </c>
    </row>
    <row r="94" spans="1:30">
      <c r="E94" s="446" t="s">
        <v>4672</v>
      </c>
      <c r="F94" s="146" t="s">
        <v>715</v>
      </c>
      <c r="G94" s="146" t="s">
        <v>34</v>
      </c>
      <c r="H94" s="146" t="s">
        <v>34</v>
      </c>
      <c r="I94" s="447" t="s">
        <v>34</v>
      </c>
      <c r="J94" s="146" t="s">
        <v>663</v>
      </c>
      <c r="K94" s="146" t="s">
        <v>608</v>
      </c>
      <c r="L94" s="146" t="s">
        <v>48</v>
      </c>
      <c r="M94" s="146">
        <v>1460</v>
      </c>
      <c r="N94" s="447" t="s">
        <v>34</v>
      </c>
      <c r="O94" s="447">
        <v>2E-3</v>
      </c>
      <c r="P94" s="448" t="s">
        <v>34</v>
      </c>
      <c r="Q94" s="448" t="s">
        <v>1421</v>
      </c>
      <c r="R94" s="448" t="s">
        <v>34</v>
      </c>
      <c r="S94" s="449" t="s">
        <v>34</v>
      </c>
      <c r="T94" s="450" t="s">
        <v>34</v>
      </c>
      <c r="U94" s="451" t="s">
        <v>34</v>
      </c>
      <c r="V94" s="450" t="s">
        <v>34</v>
      </c>
      <c r="W94" s="451" t="s">
        <v>34</v>
      </c>
      <c r="X94" s="450" t="s">
        <v>34</v>
      </c>
      <c r="Y94" s="451" t="s">
        <v>34</v>
      </c>
      <c r="Z94" s="450" t="s">
        <v>34</v>
      </c>
      <c r="AA94" s="451" t="s">
        <v>34</v>
      </c>
      <c r="AB94" s="450" t="s">
        <v>34</v>
      </c>
      <c r="AC94" s="452" t="s">
        <v>34</v>
      </c>
      <c r="AD94" s="147" t="s">
        <v>34</v>
      </c>
    </row>
    <row r="95" spans="1:30">
      <c r="E95" s="446" t="s">
        <v>4673</v>
      </c>
      <c r="F95" s="146" t="s">
        <v>715</v>
      </c>
      <c r="G95" s="146" t="s">
        <v>34</v>
      </c>
      <c r="H95" s="146" t="s">
        <v>34</v>
      </c>
      <c r="I95" s="447" t="s">
        <v>34</v>
      </c>
      <c r="J95" s="146" t="s">
        <v>663</v>
      </c>
      <c r="K95" s="146" t="s">
        <v>608</v>
      </c>
      <c r="L95" s="146" t="s">
        <v>48</v>
      </c>
      <c r="M95" s="146">
        <v>1825</v>
      </c>
      <c r="N95" s="447" t="s">
        <v>34</v>
      </c>
      <c r="O95" s="447">
        <v>2E-3</v>
      </c>
      <c r="P95" s="448" t="s">
        <v>34</v>
      </c>
      <c r="Q95" s="448" t="s">
        <v>1421</v>
      </c>
      <c r="R95" s="448" t="s">
        <v>34</v>
      </c>
      <c r="S95" s="449" t="s">
        <v>34</v>
      </c>
      <c r="T95" s="450" t="s">
        <v>34</v>
      </c>
      <c r="U95" s="451" t="s">
        <v>34</v>
      </c>
      <c r="V95" s="450" t="s">
        <v>34</v>
      </c>
      <c r="W95" s="451" t="s">
        <v>34</v>
      </c>
      <c r="X95" s="450" t="s">
        <v>34</v>
      </c>
      <c r="Y95" s="451" t="s">
        <v>34</v>
      </c>
      <c r="Z95" s="450" t="s">
        <v>34</v>
      </c>
      <c r="AA95" s="451" t="s">
        <v>34</v>
      </c>
      <c r="AB95" s="450" t="s">
        <v>34</v>
      </c>
      <c r="AC95" s="452" t="s">
        <v>34</v>
      </c>
      <c r="AD95" s="147" t="s">
        <v>34</v>
      </c>
    </row>
    <row r="96" spans="1:30">
      <c r="E96" s="446" t="s">
        <v>4674</v>
      </c>
      <c r="F96" s="146" t="s">
        <v>715</v>
      </c>
      <c r="G96" s="146" t="s">
        <v>34</v>
      </c>
      <c r="H96" s="146" t="s">
        <v>34</v>
      </c>
      <c r="I96" s="447" t="s">
        <v>34</v>
      </c>
      <c r="J96" s="146" t="s">
        <v>663</v>
      </c>
      <c r="K96" s="146" t="s">
        <v>608</v>
      </c>
      <c r="L96" s="146" t="s">
        <v>48</v>
      </c>
      <c r="M96" s="146">
        <v>1460</v>
      </c>
      <c r="N96" s="447" t="s">
        <v>34</v>
      </c>
      <c r="O96" s="447">
        <v>2E-3</v>
      </c>
      <c r="P96" s="448" t="s">
        <v>34</v>
      </c>
      <c r="Q96" s="448" t="s">
        <v>1421</v>
      </c>
      <c r="R96" s="448" t="s">
        <v>34</v>
      </c>
      <c r="S96" s="449" t="s">
        <v>34</v>
      </c>
      <c r="T96" s="450" t="s">
        <v>34</v>
      </c>
      <c r="U96" s="451" t="s">
        <v>34</v>
      </c>
      <c r="V96" s="450" t="s">
        <v>34</v>
      </c>
      <c r="W96" s="451" t="s">
        <v>34</v>
      </c>
      <c r="X96" s="450" t="s">
        <v>34</v>
      </c>
      <c r="Y96" s="451" t="s">
        <v>34</v>
      </c>
      <c r="Z96" s="450" t="s">
        <v>34</v>
      </c>
      <c r="AA96" s="451" t="s">
        <v>34</v>
      </c>
      <c r="AB96" s="450" t="s">
        <v>34</v>
      </c>
      <c r="AC96" s="452" t="s">
        <v>34</v>
      </c>
      <c r="AD96" s="147" t="s">
        <v>34</v>
      </c>
    </row>
    <row r="97" spans="1:30">
      <c r="E97" s="446" t="s">
        <v>4317</v>
      </c>
      <c r="F97" s="146" t="s">
        <v>715</v>
      </c>
      <c r="G97" s="146" t="s">
        <v>34</v>
      </c>
      <c r="H97" s="146" t="s">
        <v>34</v>
      </c>
      <c r="I97" s="447" t="s">
        <v>34</v>
      </c>
      <c r="J97" s="146" t="s">
        <v>663</v>
      </c>
      <c r="K97" s="146" t="s">
        <v>608</v>
      </c>
      <c r="L97" s="146" t="s">
        <v>48</v>
      </c>
      <c r="M97" s="146">
        <v>1825</v>
      </c>
      <c r="N97" s="447" t="s">
        <v>34</v>
      </c>
      <c r="O97" s="447">
        <v>2E-3</v>
      </c>
      <c r="P97" s="448" t="s">
        <v>34</v>
      </c>
      <c r="Q97" s="448" t="s">
        <v>1421</v>
      </c>
      <c r="R97" s="448" t="s">
        <v>34</v>
      </c>
      <c r="S97" s="449" t="s">
        <v>34</v>
      </c>
      <c r="T97" s="450" t="s">
        <v>34</v>
      </c>
      <c r="U97" s="451" t="s">
        <v>34</v>
      </c>
      <c r="V97" s="450" t="s">
        <v>34</v>
      </c>
      <c r="W97" s="451" t="s">
        <v>34</v>
      </c>
      <c r="X97" s="450" t="s">
        <v>34</v>
      </c>
      <c r="Y97" s="451" t="s">
        <v>34</v>
      </c>
      <c r="Z97" s="450" t="s">
        <v>34</v>
      </c>
      <c r="AA97" s="451" t="s">
        <v>34</v>
      </c>
      <c r="AB97" s="450" t="s">
        <v>34</v>
      </c>
      <c r="AC97" s="452" t="s">
        <v>34</v>
      </c>
      <c r="AD97" s="147" t="s">
        <v>34</v>
      </c>
    </row>
    <row r="98" spans="1:30">
      <c r="E98" s="446" t="s">
        <v>4318</v>
      </c>
      <c r="F98" s="146" t="s">
        <v>715</v>
      </c>
      <c r="G98" s="146" t="s">
        <v>34</v>
      </c>
      <c r="H98" s="146" t="s">
        <v>34</v>
      </c>
      <c r="I98" s="447" t="s">
        <v>34</v>
      </c>
      <c r="J98" s="146" t="s">
        <v>663</v>
      </c>
      <c r="K98" s="146" t="s">
        <v>608</v>
      </c>
      <c r="L98" s="146" t="s">
        <v>48</v>
      </c>
      <c r="M98" s="146">
        <v>2190</v>
      </c>
      <c r="N98" s="447" t="s">
        <v>34</v>
      </c>
      <c r="O98" s="447">
        <v>2E-3</v>
      </c>
      <c r="P98" s="448" t="s">
        <v>34</v>
      </c>
      <c r="Q98" s="448" t="s">
        <v>1421</v>
      </c>
      <c r="R98" s="448" t="s">
        <v>34</v>
      </c>
      <c r="S98" s="449" t="s">
        <v>34</v>
      </c>
      <c r="T98" s="450" t="s">
        <v>34</v>
      </c>
      <c r="U98" s="451" t="s">
        <v>34</v>
      </c>
      <c r="V98" s="450" t="s">
        <v>34</v>
      </c>
      <c r="W98" s="451" t="s">
        <v>34</v>
      </c>
      <c r="X98" s="450" t="s">
        <v>34</v>
      </c>
      <c r="Y98" s="451" t="s">
        <v>34</v>
      </c>
      <c r="Z98" s="450" t="s">
        <v>34</v>
      </c>
      <c r="AA98" s="451" t="s">
        <v>34</v>
      </c>
      <c r="AB98" s="450" t="s">
        <v>34</v>
      </c>
      <c r="AC98" s="452" t="s">
        <v>34</v>
      </c>
      <c r="AD98" s="147" t="s">
        <v>34</v>
      </c>
    </row>
    <row r="99" spans="1:30">
      <c r="E99" s="446" t="s">
        <v>1431</v>
      </c>
      <c r="F99" s="146" t="s">
        <v>715</v>
      </c>
      <c r="G99" s="146" t="s">
        <v>34</v>
      </c>
      <c r="H99" s="146" t="s">
        <v>1321</v>
      </c>
      <c r="I99" s="447" t="s">
        <v>34</v>
      </c>
      <c r="J99" s="146" t="s">
        <v>663</v>
      </c>
      <c r="K99" s="146" t="s">
        <v>608</v>
      </c>
      <c r="L99" s="146" t="s">
        <v>48</v>
      </c>
      <c r="M99" s="146">
        <v>2</v>
      </c>
      <c r="N99" s="447">
        <v>7.4999999999999997E-3</v>
      </c>
      <c r="O99" s="447" t="s">
        <v>34</v>
      </c>
      <c r="P99" s="448">
        <v>100</v>
      </c>
      <c r="Q99" s="448" t="s">
        <v>1421</v>
      </c>
      <c r="R99" s="448">
        <v>470000000</v>
      </c>
      <c r="S99" s="449">
        <v>44309</v>
      </c>
      <c r="T99" s="450" t="s">
        <v>34</v>
      </c>
      <c r="U99" s="451" t="s">
        <v>34</v>
      </c>
      <c r="V99" s="450" t="s">
        <v>34</v>
      </c>
      <c r="W99" s="451" t="s">
        <v>34</v>
      </c>
      <c r="X99" s="450" t="s">
        <v>34</v>
      </c>
      <c r="Y99" s="451" t="s">
        <v>34</v>
      </c>
      <c r="Z99" s="450" t="s">
        <v>34</v>
      </c>
      <c r="AA99" s="451" t="s">
        <v>34</v>
      </c>
      <c r="AB99" s="450" t="s">
        <v>34</v>
      </c>
      <c r="AC99" s="452" t="s">
        <v>34</v>
      </c>
      <c r="AD99" s="147" t="s">
        <v>34</v>
      </c>
    </row>
    <row r="100" spans="1:30" ht="5.25" customHeight="1">
      <c r="E100" s="453" t="s">
        <v>1393</v>
      </c>
      <c r="P100" s="463"/>
      <c r="Q100" s="463"/>
      <c r="R100" s="463"/>
      <c r="S100" s="464"/>
      <c r="AC100" s="465"/>
    </row>
    <row r="101" spans="1:30" s="347" customFormat="1">
      <c r="A101" s="440"/>
      <c r="B101" s="436" t="s">
        <v>621</v>
      </c>
      <c r="C101" s="421" t="s">
        <v>866</v>
      </c>
      <c r="D101" s="436" t="str">
        <f>B101&amp;" "&amp;C101</f>
        <v>Inflação Longa</v>
      </c>
      <c r="E101" s="458" t="s">
        <v>1369</v>
      </c>
      <c r="F101" s="458"/>
      <c r="G101" s="458"/>
      <c r="H101" s="458"/>
      <c r="I101" s="458"/>
      <c r="J101" s="459"/>
      <c r="K101" s="458"/>
      <c r="L101" s="458"/>
      <c r="M101" s="458"/>
      <c r="N101" s="458"/>
      <c r="O101" s="458"/>
      <c r="P101" s="460"/>
      <c r="Q101" s="460"/>
      <c r="R101" s="460"/>
      <c r="S101" s="461"/>
      <c r="T101" s="458"/>
      <c r="U101" s="458"/>
      <c r="V101" s="458"/>
      <c r="W101" s="458"/>
      <c r="X101" s="458"/>
      <c r="Y101" s="458"/>
      <c r="Z101" s="458"/>
      <c r="AA101" s="458"/>
      <c r="AB101" s="458"/>
      <c r="AC101" s="462"/>
      <c r="AD101" s="458"/>
    </row>
    <row r="102" spans="1:30">
      <c r="E102" s="446" t="s">
        <v>2710</v>
      </c>
      <c r="F102" s="146" t="s">
        <v>715</v>
      </c>
      <c r="G102" s="146" t="s">
        <v>34</v>
      </c>
      <c r="H102" s="146" t="s">
        <v>1321</v>
      </c>
      <c r="I102" s="447" t="s">
        <v>34</v>
      </c>
      <c r="J102" s="146" t="s">
        <v>692</v>
      </c>
      <c r="K102" s="146" t="s">
        <v>608</v>
      </c>
      <c r="L102" s="146" t="s">
        <v>48</v>
      </c>
      <c r="M102" s="146">
        <v>31</v>
      </c>
      <c r="N102" s="447">
        <v>0.01</v>
      </c>
      <c r="O102" s="447">
        <v>1.8666666666666699E-3</v>
      </c>
      <c r="P102" s="448">
        <v>500</v>
      </c>
      <c r="Q102" s="448" t="s">
        <v>34</v>
      </c>
      <c r="R102" s="448">
        <v>29132156.75</v>
      </c>
      <c r="S102" s="449">
        <v>44043</v>
      </c>
      <c r="T102" s="450">
        <v>-9.6665019225847804E-3</v>
      </c>
      <c r="U102" s="451">
        <v>-0.4833642492707439</v>
      </c>
      <c r="V102" s="450">
        <v>3.2428355788192142E-2</v>
      </c>
      <c r="W102" s="451">
        <v>0.25149195434914623</v>
      </c>
      <c r="X102" s="450">
        <v>8.8692388294844271E-2</v>
      </c>
      <c r="Y102" s="451">
        <v>0.45933722055889975</v>
      </c>
      <c r="Z102" s="450" t="s">
        <v>34</v>
      </c>
      <c r="AA102" s="451" t="s">
        <v>34</v>
      </c>
      <c r="AB102" s="450">
        <v>6.6239239548027143E-2</v>
      </c>
      <c r="AC102" s="452">
        <v>-1.4570752067377986</v>
      </c>
      <c r="AD102" s="147">
        <v>37368116000198</v>
      </c>
    </row>
    <row r="103" spans="1:30">
      <c r="E103" s="446" t="s">
        <v>4593</v>
      </c>
      <c r="F103" s="146" t="s">
        <v>1339</v>
      </c>
      <c r="G103" s="146" t="s">
        <v>1414</v>
      </c>
      <c r="H103" s="146" t="s">
        <v>1321</v>
      </c>
      <c r="I103" s="447" t="s">
        <v>34</v>
      </c>
      <c r="J103" s="146" t="s">
        <v>672</v>
      </c>
      <c r="K103" s="146" t="s">
        <v>608</v>
      </c>
      <c r="L103" s="146" t="s">
        <v>48</v>
      </c>
      <c r="M103" s="146">
        <v>2</v>
      </c>
      <c r="N103" s="447">
        <v>2E-3</v>
      </c>
      <c r="O103" s="447">
        <v>6.9999999999999999E-4</v>
      </c>
      <c r="P103" s="448">
        <v>3000</v>
      </c>
      <c r="Q103" s="448" t="s">
        <v>34</v>
      </c>
      <c r="R103" s="448">
        <v>256609424</v>
      </c>
      <c r="S103" s="449">
        <v>41867</v>
      </c>
      <c r="T103" s="450">
        <v>4.0384078273143498E-3</v>
      </c>
      <c r="U103" s="451">
        <v>0.20193674850859952</v>
      </c>
      <c r="V103" s="450">
        <v>5.1415558650780957E-2</v>
      </c>
      <c r="W103" s="451">
        <v>0.3987435999991823</v>
      </c>
      <c r="X103" s="450">
        <v>3.7897112699709634E-3</v>
      </c>
      <c r="Y103" s="451">
        <v>1.9626886533738671E-2</v>
      </c>
      <c r="Z103" s="450">
        <v>1.0367848560753457E-2</v>
      </c>
      <c r="AA103" s="451">
        <v>4.6813708303135616E-2</v>
      </c>
      <c r="AB103" s="450">
        <v>8.8350883288976723E-2</v>
      </c>
      <c r="AC103" s="452">
        <v>-0.87750510136303728</v>
      </c>
      <c r="AD103" s="147">
        <v>20374752000120</v>
      </c>
    </row>
    <row r="104" spans="1:30">
      <c r="E104" s="446" t="s">
        <v>4701</v>
      </c>
      <c r="F104" s="146" t="s">
        <v>4571</v>
      </c>
      <c r="G104" s="146" t="s">
        <v>34</v>
      </c>
      <c r="H104" s="146" t="s">
        <v>1321</v>
      </c>
      <c r="I104" s="447" t="s">
        <v>4400</v>
      </c>
      <c r="J104" s="146" t="s">
        <v>672</v>
      </c>
      <c r="K104" s="146" t="s">
        <v>608</v>
      </c>
      <c r="L104" s="146" t="s">
        <v>48</v>
      </c>
      <c r="M104" s="146">
        <v>1</v>
      </c>
      <c r="N104" s="447">
        <v>0</v>
      </c>
      <c r="O104" s="447">
        <v>0</v>
      </c>
      <c r="P104" s="448">
        <v>0</v>
      </c>
      <c r="Q104" s="448" t="s">
        <v>34</v>
      </c>
      <c r="R104" s="448">
        <v>0</v>
      </c>
      <c r="S104" s="449">
        <v>43038</v>
      </c>
      <c r="T104" s="450" t="s">
        <v>34</v>
      </c>
      <c r="U104" s="451" t="s">
        <v>34</v>
      </c>
      <c r="V104" s="450" t="s">
        <v>34</v>
      </c>
      <c r="W104" s="451" t="s">
        <v>34</v>
      </c>
      <c r="X104" s="450" t="s">
        <v>34</v>
      </c>
      <c r="Y104" s="451" t="s">
        <v>34</v>
      </c>
      <c r="Z104" s="450" t="s">
        <v>34</v>
      </c>
      <c r="AA104" s="451" t="s">
        <v>34</v>
      </c>
      <c r="AB104" s="450" t="s">
        <v>34</v>
      </c>
      <c r="AC104" s="452" t="s">
        <v>34</v>
      </c>
      <c r="AD104" s="147">
        <v>27762397000105</v>
      </c>
    </row>
    <row r="105" spans="1:30">
      <c r="E105" s="446" t="s">
        <v>4704</v>
      </c>
      <c r="F105" s="146" t="s">
        <v>4571</v>
      </c>
      <c r="G105" s="146" t="s">
        <v>34</v>
      </c>
      <c r="H105" s="146" t="s">
        <v>1321</v>
      </c>
      <c r="I105" s="447" t="s">
        <v>4400</v>
      </c>
      <c r="J105" s="146" t="s">
        <v>672</v>
      </c>
      <c r="K105" s="146" t="s">
        <v>608</v>
      </c>
      <c r="L105" s="146" t="s">
        <v>48</v>
      </c>
      <c r="M105" s="146">
        <v>3</v>
      </c>
      <c r="N105" s="447">
        <v>2.5000000000000001E-3</v>
      </c>
      <c r="O105" s="447">
        <v>0</v>
      </c>
      <c r="P105" s="448">
        <v>100</v>
      </c>
      <c r="Q105" s="448" t="s">
        <v>34</v>
      </c>
      <c r="R105" s="448">
        <v>0</v>
      </c>
      <c r="S105" s="449">
        <v>44505</v>
      </c>
      <c r="T105" s="450" t="s">
        <v>34</v>
      </c>
      <c r="U105" s="451" t="s">
        <v>34</v>
      </c>
      <c r="V105" s="450" t="s">
        <v>34</v>
      </c>
      <c r="W105" s="451" t="s">
        <v>34</v>
      </c>
      <c r="X105" s="450" t="s">
        <v>34</v>
      </c>
      <c r="Y105" s="451" t="s">
        <v>34</v>
      </c>
      <c r="Z105" s="450" t="s">
        <v>34</v>
      </c>
      <c r="AA105" s="451" t="s">
        <v>34</v>
      </c>
      <c r="AB105" s="450" t="s">
        <v>34</v>
      </c>
      <c r="AC105" s="452" t="s">
        <v>34</v>
      </c>
      <c r="AD105" s="147">
        <v>42357379000131</v>
      </c>
    </row>
    <row r="106" spans="1:30">
      <c r="E106" s="446" t="s">
        <v>4675</v>
      </c>
      <c r="F106" s="146" t="s">
        <v>1339</v>
      </c>
      <c r="G106" s="146" t="s">
        <v>1414</v>
      </c>
      <c r="H106" s="146" t="s">
        <v>1321</v>
      </c>
      <c r="I106" s="447" t="s">
        <v>34</v>
      </c>
      <c r="J106" s="146" t="s">
        <v>1364</v>
      </c>
      <c r="K106" s="146" t="s">
        <v>608</v>
      </c>
      <c r="L106" s="146" t="s">
        <v>48</v>
      </c>
      <c r="M106" s="146">
        <v>3454</v>
      </c>
      <c r="N106" s="447" t="s">
        <v>34</v>
      </c>
      <c r="O106" s="447" t="s">
        <v>34</v>
      </c>
      <c r="P106" s="448" t="s">
        <v>34</v>
      </c>
      <c r="Q106" s="448" t="s">
        <v>1421</v>
      </c>
      <c r="R106" s="448" t="s">
        <v>34</v>
      </c>
      <c r="S106" s="449" t="s">
        <v>34</v>
      </c>
      <c r="T106" s="450" t="s">
        <v>34</v>
      </c>
      <c r="U106" s="451" t="s">
        <v>34</v>
      </c>
      <c r="V106" s="450" t="s">
        <v>34</v>
      </c>
      <c r="W106" s="451" t="s">
        <v>34</v>
      </c>
      <c r="X106" s="450" t="s">
        <v>34</v>
      </c>
      <c r="Y106" s="451" t="s">
        <v>34</v>
      </c>
      <c r="Z106" s="450" t="s">
        <v>34</v>
      </c>
      <c r="AA106" s="451" t="s">
        <v>34</v>
      </c>
      <c r="AB106" s="450" t="s">
        <v>34</v>
      </c>
      <c r="AC106" s="452" t="s">
        <v>34</v>
      </c>
      <c r="AD106" s="147" t="s">
        <v>34</v>
      </c>
    </row>
    <row r="107" spans="1:30">
      <c r="E107" s="446" t="s">
        <v>4676</v>
      </c>
      <c r="F107" s="146" t="s">
        <v>1339</v>
      </c>
      <c r="G107" s="146" t="s">
        <v>1414</v>
      </c>
      <c r="H107" s="146" t="s">
        <v>1321</v>
      </c>
      <c r="I107" s="447" t="s">
        <v>34</v>
      </c>
      <c r="J107" s="146" t="s">
        <v>1364</v>
      </c>
      <c r="K107" s="146" t="s">
        <v>608</v>
      </c>
      <c r="L107" s="146" t="s">
        <v>48</v>
      </c>
      <c r="M107" s="146">
        <v>4549</v>
      </c>
      <c r="N107" s="447" t="s">
        <v>34</v>
      </c>
      <c r="O107" s="447" t="s">
        <v>34</v>
      </c>
      <c r="P107" s="448" t="s">
        <v>34</v>
      </c>
      <c r="Q107" s="448" t="s">
        <v>1421</v>
      </c>
      <c r="R107" s="448" t="s">
        <v>34</v>
      </c>
      <c r="S107" s="449" t="s">
        <v>34</v>
      </c>
      <c r="T107" s="450" t="s">
        <v>34</v>
      </c>
      <c r="U107" s="451" t="s">
        <v>34</v>
      </c>
      <c r="V107" s="450" t="s">
        <v>34</v>
      </c>
      <c r="W107" s="451" t="s">
        <v>34</v>
      </c>
      <c r="X107" s="450" t="s">
        <v>34</v>
      </c>
      <c r="Y107" s="451" t="s">
        <v>34</v>
      </c>
      <c r="Z107" s="450" t="s">
        <v>34</v>
      </c>
      <c r="AA107" s="451" t="s">
        <v>34</v>
      </c>
      <c r="AB107" s="450" t="s">
        <v>34</v>
      </c>
      <c r="AC107" s="452" t="s">
        <v>34</v>
      </c>
      <c r="AD107" s="147" t="s">
        <v>34</v>
      </c>
    </row>
    <row r="108" spans="1:30">
      <c r="E108" s="446" t="s">
        <v>4677</v>
      </c>
      <c r="F108" s="146" t="s">
        <v>1339</v>
      </c>
      <c r="G108" s="146" t="s">
        <v>34</v>
      </c>
      <c r="H108" s="146" t="s">
        <v>34</v>
      </c>
      <c r="I108" s="447" t="s">
        <v>34</v>
      </c>
      <c r="J108" s="146" t="s">
        <v>663</v>
      </c>
      <c r="K108" s="146" t="s">
        <v>608</v>
      </c>
      <c r="L108" s="146" t="s">
        <v>48</v>
      </c>
      <c r="M108" s="146">
        <v>2920</v>
      </c>
      <c r="N108" s="447" t="s">
        <v>34</v>
      </c>
      <c r="O108" s="447">
        <v>2E-3</v>
      </c>
      <c r="P108" s="448" t="s">
        <v>34</v>
      </c>
      <c r="Q108" s="448" t="s">
        <v>1421</v>
      </c>
      <c r="R108" s="448" t="s">
        <v>34</v>
      </c>
      <c r="S108" s="449" t="s">
        <v>34</v>
      </c>
      <c r="T108" s="450" t="s">
        <v>34</v>
      </c>
      <c r="U108" s="451" t="s">
        <v>34</v>
      </c>
      <c r="V108" s="450" t="s">
        <v>34</v>
      </c>
      <c r="W108" s="451" t="s">
        <v>34</v>
      </c>
      <c r="X108" s="450" t="s">
        <v>34</v>
      </c>
      <c r="Y108" s="451" t="s">
        <v>34</v>
      </c>
      <c r="Z108" s="450" t="s">
        <v>34</v>
      </c>
      <c r="AA108" s="451" t="s">
        <v>34</v>
      </c>
      <c r="AB108" s="450" t="s">
        <v>34</v>
      </c>
      <c r="AC108" s="452" t="s">
        <v>34</v>
      </c>
      <c r="AD108" s="147" t="s">
        <v>34</v>
      </c>
    </row>
    <row r="109" spans="1:30">
      <c r="E109" s="446" t="s">
        <v>4678</v>
      </c>
      <c r="F109" s="146" t="s">
        <v>1339</v>
      </c>
      <c r="G109" s="146" t="s">
        <v>34</v>
      </c>
      <c r="H109" s="146" t="s">
        <v>34</v>
      </c>
      <c r="I109" s="447" t="s">
        <v>34</v>
      </c>
      <c r="J109" s="146" t="s">
        <v>663</v>
      </c>
      <c r="K109" s="146" t="s">
        <v>608</v>
      </c>
      <c r="L109" s="146" t="s">
        <v>48</v>
      </c>
      <c r="M109" s="146">
        <v>3285</v>
      </c>
      <c r="N109" s="447" t="s">
        <v>34</v>
      </c>
      <c r="O109" s="447">
        <v>2E-3</v>
      </c>
      <c r="P109" s="448" t="s">
        <v>34</v>
      </c>
      <c r="Q109" s="448" t="s">
        <v>1421</v>
      </c>
      <c r="R109" s="448" t="s">
        <v>34</v>
      </c>
      <c r="S109" s="449" t="s">
        <v>34</v>
      </c>
      <c r="T109" s="450" t="s">
        <v>34</v>
      </c>
      <c r="U109" s="451" t="s">
        <v>34</v>
      </c>
      <c r="V109" s="450" t="s">
        <v>34</v>
      </c>
      <c r="W109" s="451" t="s">
        <v>34</v>
      </c>
      <c r="X109" s="450" t="s">
        <v>34</v>
      </c>
      <c r="Y109" s="451" t="s">
        <v>34</v>
      </c>
      <c r="Z109" s="450" t="s">
        <v>34</v>
      </c>
      <c r="AA109" s="451" t="s">
        <v>34</v>
      </c>
      <c r="AB109" s="450" t="s">
        <v>34</v>
      </c>
      <c r="AC109" s="452" t="s">
        <v>34</v>
      </c>
      <c r="AD109" s="147" t="s">
        <v>34</v>
      </c>
    </row>
    <row r="110" spans="1:30">
      <c r="E110" s="446" t="s">
        <v>4679</v>
      </c>
      <c r="F110" s="146" t="s">
        <v>1339</v>
      </c>
      <c r="G110" s="146" t="s">
        <v>34</v>
      </c>
      <c r="H110" s="146" t="s">
        <v>34</v>
      </c>
      <c r="I110" s="447" t="s">
        <v>34</v>
      </c>
      <c r="J110" s="146" t="s">
        <v>663</v>
      </c>
      <c r="K110" s="146" t="s">
        <v>608</v>
      </c>
      <c r="L110" s="146" t="s">
        <v>48</v>
      </c>
      <c r="M110" s="146">
        <v>3650</v>
      </c>
      <c r="N110" s="447" t="s">
        <v>34</v>
      </c>
      <c r="O110" s="447">
        <v>2E-3</v>
      </c>
      <c r="P110" s="448" t="s">
        <v>34</v>
      </c>
      <c r="Q110" s="448" t="s">
        <v>1421</v>
      </c>
      <c r="R110" s="448" t="s">
        <v>34</v>
      </c>
      <c r="S110" s="449" t="s">
        <v>34</v>
      </c>
      <c r="T110" s="450" t="s">
        <v>34</v>
      </c>
      <c r="U110" s="451" t="s">
        <v>34</v>
      </c>
      <c r="V110" s="450" t="s">
        <v>34</v>
      </c>
      <c r="W110" s="451" t="s">
        <v>34</v>
      </c>
      <c r="X110" s="450" t="s">
        <v>34</v>
      </c>
      <c r="Y110" s="451" t="s">
        <v>34</v>
      </c>
      <c r="Z110" s="450" t="s">
        <v>34</v>
      </c>
      <c r="AA110" s="451" t="s">
        <v>34</v>
      </c>
      <c r="AB110" s="450" t="s">
        <v>34</v>
      </c>
      <c r="AC110" s="452" t="s">
        <v>34</v>
      </c>
      <c r="AD110" s="147" t="s">
        <v>34</v>
      </c>
    </row>
    <row r="111" spans="1:30" s="347" customFormat="1" ht="7.5" customHeight="1">
      <c r="B111" s="436"/>
      <c r="C111" s="436"/>
      <c r="D111" s="436"/>
      <c r="E111" s="453" t="s">
        <v>1393</v>
      </c>
      <c r="J111" s="438"/>
      <c r="P111" s="439"/>
      <c r="Q111" s="439"/>
      <c r="R111" s="439"/>
      <c r="S111" s="454"/>
      <c r="AC111" s="457"/>
    </row>
    <row r="112" spans="1:30" s="347" customFormat="1">
      <c r="A112" s="440"/>
      <c r="B112" s="455" t="s">
        <v>12</v>
      </c>
      <c r="C112" s="436"/>
      <c r="D112" s="436"/>
      <c r="E112" s="441" t="s">
        <v>661</v>
      </c>
      <c r="F112" s="441"/>
      <c r="G112" s="441"/>
      <c r="H112" s="441"/>
      <c r="I112" s="441"/>
      <c r="J112" s="442"/>
      <c r="K112" s="441"/>
      <c r="L112" s="441"/>
      <c r="M112" s="441"/>
      <c r="N112" s="441"/>
      <c r="O112" s="441"/>
      <c r="P112" s="443"/>
      <c r="Q112" s="443"/>
      <c r="R112" s="443"/>
      <c r="S112" s="444"/>
      <c r="T112" s="441"/>
      <c r="U112" s="441"/>
      <c r="V112" s="441"/>
      <c r="W112" s="441"/>
      <c r="X112" s="441"/>
      <c r="Y112" s="441"/>
      <c r="Z112" s="441"/>
      <c r="AA112" s="441"/>
      <c r="AB112" s="441"/>
      <c r="AC112" s="445"/>
      <c r="AD112" s="441"/>
    </row>
    <row r="113" spans="1:30" s="347" customFormat="1" ht="3" customHeight="1">
      <c r="B113" s="436"/>
      <c r="C113" s="436"/>
      <c r="D113" s="436"/>
      <c r="J113" s="456"/>
      <c r="P113" s="439"/>
      <c r="Q113" s="439"/>
      <c r="R113" s="439"/>
      <c r="S113" s="454"/>
      <c r="AC113" s="457"/>
    </row>
    <row r="114" spans="1:30" s="347" customFormat="1">
      <c r="A114" s="440"/>
      <c r="B114" s="436" t="s">
        <v>661</v>
      </c>
      <c r="C114" s="436" t="s">
        <v>738</v>
      </c>
      <c r="D114" s="436" t="str">
        <f>B114&amp;" "&amp;C114</f>
        <v>Pré-fixado Curta</v>
      </c>
      <c r="E114" s="458" t="s">
        <v>1372</v>
      </c>
      <c r="F114" s="458"/>
      <c r="G114" s="458"/>
      <c r="H114" s="458"/>
      <c r="I114" s="458"/>
      <c r="J114" s="459"/>
      <c r="K114" s="458"/>
      <c r="L114" s="458"/>
      <c r="M114" s="458"/>
      <c r="N114" s="458"/>
      <c r="O114" s="458"/>
      <c r="P114" s="460"/>
      <c r="Q114" s="460"/>
      <c r="R114" s="460"/>
      <c r="S114" s="461"/>
      <c r="T114" s="458"/>
      <c r="U114" s="458"/>
      <c r="V114" s="458"/>
      <c r="W114" s="458"/>
      <c r="X114" s="458"/>
      <c r="Y114" s="458"/>
      <c r="Z114" s="458"/>
      <c r="AA114" s="458"/>
      <c r="AB114" s="458"/>
      <c r="AC114" s="462"/>
      <c r="AD114" s="458"/>
    </row>
    <row r="115" spans="1:30">
      <c r="E115" s="446" t="s">
        <v>4680</v>
      </c>
      <c r="F115" s="146" t="s">
        <v>1339</v>
      </c>
      <c r="G115" s="146" t="s">
        <v>1414</v>
      </c>
      <c r="H115" s="146" t="s">
        <v>1321</v>
      </c>
      <c r="I115" s="447" t="s">
        <v>34</v>
      </c>
      <c r="J115" s="146" t="s">
        <v>1364</v>
      </c>
      <c r="K115" s="146" t="s">
        <v>608</v>
      </c>
      <c r="L115" s="146" t="s">
        <v>48</v>
      </c>
      <c r="M115" s="146">
        <v>166</v>
      </c>
      <c r="N115" s="447" t="s">
        <v>34</v>
      </c>
      <c r="O115" s="447" t="s">
        <v>34</v>
      </c>
      <c r="P115" s="448" t="s">
        <v>34</v>
      </c>
      <c r="Q115" s="448" t="s">
        <v>1421</v>
      </c>
      <c r="R115" s="448" t="s">
        <v>34</v>
      </c>
      <c r="S115" s="449" t="s">
        <v>34</v>
      </c>
      <c r="T115" s="450" t="s">
        <v>34</v>
      </c>
      <c r="U115" s="451" t="s">
        <v>34</v>
      </c>
      <c r="V115" s="450" t="s">
        <v>34</v>
      </c>
      <c r="W115" s="451" t="s">
        <v>34</v>
      </c>
      <c r="X115" s="450" t="s">
        <v>34</v>
      </c>
      <c r="Y115" s="451" t="s">
        <v>34</v>
      </c>
      <c r="Z115" s="450" t="s">
        <v>34</v>
      </c>
      <c r="AA115" s="451" t="s">
        <v>34</v>
      </c>
      <c r="AB115" s="450" t="s">
        <v>34</v>
      </c>
      <c r="AC115" s="452" t="s">
        <v>34</v>
      </c>
      <c r="AD115" s="147" t="s">
        <v>34</v>
      </c>
    </row>
    <row r="116" spans="1:30">
      <c r="E116" s="446" t="s">
        <v>4681</v>
      </c>
      <c r="F116" s="146" t="s">
        <v>1339</v>
      </c>
      <c r="G116" s="146" t="s">
        <v>1414</v>
      </c>
      <c r="H116" s="146" t="s">
        <v>1321</v>
      </c>
      <c r="I116" s="447" t="s">
        <v>34</v>
      </c>
      <c r="J116" s="146" t="s">
        <v>1364</v>
      </c>
      <c r="K116" s="146" t="s">
        <v>608</v>
      </c>
      <c r="L116" s="146" t="s">
        <v>48</v>
      </c>
      <c r="M116" s="146">
        <v>897</v>
      </c>
      <c r="N116" s="447" t="s">
        <v>34</v>
      </c>
      <c r="O116" s="447" t="s">
        <v>34</v>
      </c>
      <c r="P116" s="448" t="s">
        <v>34</v>
      </c>
      <c r="Q116" s="448" t="s">
        <v>1421</v>
      </c>
      <c r="R116" s="448" t="s">
        <v>34</v>
      </c>
      <c r="S116" s="449" t="s">
        <v>34</v>
      </c>
      <c r="T116" s="450" t="s">
        <v>34</v>
      </c>
      <c r="U116" s="451" t="s">
        <v>34</v>
      </c>
      <c r="V116" s="450" t="s">
        <v>34</v>
      </c>
      <c r="W116" s="451" t="s">
        <v>34</v>
      </c>
      <c r="X116" s="450" t="s">
        <v>34</v>
      </c>
      <c r="Y116" s="451" t="s">
        <v>34</v>
      </c>
      <c r="Z116" s="450" t="s">
        <v>34</v>
      </c>
      <c r="AA116" s="451" t="s">
        <v>34</v>
      </c>
      <c r="AB116" s="450" t="s">
        <v>34</v>
      </c>
      <c r="AC116" s="452" t="s">
        <v>34</v>
      </c>
      <c r="AD116" s="147" t="s">
        <v>34</v>
      </c>
    </row>
    <row r="117" spans="1:30">
      <c r="E117" s="446" t="s">
        <v>4682</v>
      </c>
      <c r="F117" s="146" t="s">
        <v>1339</v>
      </c>
      <c r="G117" s="146" t="s">
        <v>34</v>
      </c>
      <c r="H117" s="146" t="s">
        <v>34</v>
      </c>
      <c r="I117" s="447" t="s">
        <v>34</v>
      </c>
      <c r="J117" s="146" t="s">
        <v>663</v>
      </c>
      <c r="K117" s="146" t="s">
        <v>608</v>
      </c>
      <c r="L117" s="146" t="s">
        <v>48</v>
      </c>
      <c r="M117" s="146">
        <v>365</v>
      </c>
      <c r="N117" s="447" t="s">
        <v>34</v>
      </c>
      <c r="O117" s="447">
        <v>2E-3</v>
      </c>
      <c r="P117" s="448" t="s">
        <v>34</v>
      </c>
      <c r="Q117" s="448" t="s">
        <v>1421</v>
      </c>
      <c r="R117" s="448" t="s">
        <v>34</v>
      </c>
      <c r="S117" s="449" t="s">
        <v>34</v>
      </c>
      <c r="T117" s="450" t="s">
        <v>34</v>
      </c>
      <c r="U117" s="451" t="s">
        <v>34</v>
      </c>
      <c r="V117" s="450" t="s">
        <v>34</v>
      </c>
      <c r="W117" s="451" t="s">
        <v>34</v>
      </c>
      <c r="X117" s="450" t="s">
        <v>34</v>
      </c>
      <c r="Y117" s="451" t="s">
        <v>34</v>
      </c>
      <c r="Z117" s="450" t="s">
        <v>34</v>
      </c>
      <c r="AA117" s="451" t="s">
        <v>34</v>
      </c>
      <c r="AB117" s="450" t="s">
        <v>34</v>
      </c>
      <c r="AC117" s="452" t="s">
        <v>34</v>
      </c>
      <c r="AD117" s="147" t="s">
        <v>34</v>
      </c>
    </row>
    <row r="118" spans="1:30">
      <c r="E118" s="446" t="s">
        <v>4683</v>
      </c>
      <c r="F118" s="146" t="s">
        <v>715</v>
      </c>
      <c r="G118" s="146" t="s">
        <v>34</v>
      </c>
      <c r="H118" s="146" t="s">
        <v>34</v>
      </c>
      <c r="I118" s="447" t="s">
        <v>34</v>
      </c>
      <c r="J118" s="146" t="s">
        <v>663</v>
      </c>
      <c r="K118" s="146" t="s">
        <v>608</v>
      </c>
      <c r="L118" s="146" t="s">
        <v>48</v>
      </c>
      <c r="M118" s="146">
        <v>730</v>
      </c>
      <c r="N118" s="447" t="s">
        <v>34</v>
      </c>
      <c r="O118" s="447">
        <v>2E-3</v>
      </c>
      <c r="P118" s="448" t="s">
        <v>34</v>
      </c>
      <c r="Q118" s="448" t="s">
        <v>1421</v>
      </c>
      <c r="R118" s="448" t="s">
        <v>34</v>
      </c>
      <c r="S118" s="449" t="s">
        <v>34</v>
      </c>
      <c r="T118" s="450" t="s">
        <v>34</v>
      </c>
      <c r="U118" s="451" t="s">
        <v>34</v>
      </c>
      <c r="V118" s="450" t="s">
        <v>34</v>
      </c>
      <c r="W118" s="451" t="s">
        <v>34</v>
      </c>
      <c r="X118" s="450" t="s">
        <v>34</v>
      </c>
      <c r="Y118" s="451" t="s">
        <v>34</v>
      </c>
      <c r="Z118" s="450" t="s">
        <v>34</v>
      </c>
      <c r="AA118" s="451" t="s">
        <v>34</v>
      </c>
      <c r="AB118" s="450" t="s">
        <v>34</v>
      </c>
      <c r="AC118" s="452" t="s">
        <v>34</v>
      </c>
      <c r="AD118" s="147" t="s">
        <v>34</v>
      </c>
    </row>
    <row r="119" spans="1:30">
      <c r="E119" s="446" t="s">
        <v>4684</v>
      </c>
      <c r="F119" s="146" t="s">
        <v>715</v>
      </c>
      <c r="G119" s="146" t="s">
        <v>34</v>
      </c>
      <c r="H119" s="146" t="s">
        <v>34</v>
      </c>
      <c r="I119" s="447" t="s">
        <v>34</v>
      </c>
      <c r="J119" s="146" t="s">
        <v>663</v>
      </c>
      <c r="K119" s="146" t="s">
        <v>608</v>
      </c>
      <c r="L119" s="146" t="s">
        <v>48</v>
      </c>
      <c r="M119" s="146">
        <v>1095</v>
      </c>
      <c r="N119" s="447" t="s">
        <v>34</v>
      </c>
      <c r="O119" s="447">
        <v>2E-3</v>
      </c>
      <c r="P119" s="448" t="s">
        <v>34</v>
      </c>
      <c r="Q119" s="448" t="s">
        <v>1421</v>
      </c>
      <c r="R119" s="448" t="s">
        <v>34</v>
      </c>
      <c r="S119" s="449" t="s">
        <v>34</v>
      </c>
      <c r="T119" s="450" t="s">
        <v>34</v>
      </c>
      <c r="U119" s="451" t="s">
        <v>34</v>
      </c>
      <c r="V119" s="450" t="s">
        <v>34</v>
      </c>
      <c r="W119" s="451" t="s">
        <v>34</v>
      </c>
      <c r="X119" s="450" t="s">
        <v>34</v>
      </c>
      <c r="Y119" s="451" t="s">
        <v>34</v>
      </c>
      <c r="Z119" s="450" t="s">
        <v>34</v>
      </c>
      <c r="AA119" s="451" t="s">
        <v>34</v>
      </c>
      <c r="AB119" s="450" t="s">
        <v>34</v>
      </c>
      <c r="AC119" s="452" t="s">
        <v>34</v>
      </c>
      <c r="AD119" s="147" t="s">
        <v>34</v>
      </c>
    </row>
    <row r="120" spans="1:30" ht="5.25" customHeight="1">
      <c r="E120" s="453" t="s">
        <v>1393</v>
      </c>
      <c r="P120" s="463"/>
      <c r="Q120" s="463"/>
      <c r="R120" s="463"/>
      <c r="S120" s="464"/>
      <c r="AC120" s="465"/>
    </row>
    <row r="121" spans="1:30" s="347" customFormat="1">
      <c r="A121" s="440"/>
      <c r="B121" s="436" t="s">
        <v>661</v>
      </c>
      <c r="C121" s="421" t="s">
        <v>865</v>
      </c>
      <c r="D121" s="436" t="str">
        <f>B121&amp;" "&amp;C121</f>
        <v>Pré-fixado Média</v>
      </c>
      <c r="E121" s="458" t="s">
        <v>2746</v>
      </c>
      <c r="F121" s="458"/>
      <c r="G121" s="458"/>
      <c r="H121" s="458"/>
      <c r="I121" s="458"/>
      <c r="J121" s="459"/>
      <c r="K121" s="458"/>
      <c r="L121" s="458"/>
      <c r="M121" s="458"/>
      <c r="N121" s="458"/>
      <c r="O121" s="458"/>
      <c r="P121" s="460"/>
      <c r="Q121" s="460"/>
      <c r="R121" s="460"/>
      <c r="S121" s="461"/>
      <c r="T121" s="458"/>
      <c r="U121" s="458"/>
      <c r="V121" s="458"/>
      <c r="W121" s="458"/>
      <c r="X121" s="458"/>
      <c r="Y121" s="458"/>
      <c r="Z121" s="458"/>
      <c r="AA121" s="458"/>
      <c r="AB121" s="458"/>
      <c r="AC121" s="462"/>
      <c r="AD121" s="458"/>
    </row>
    <row r="122" spans="1:30">
      <c r="E122" s="446" t="s">
        <v>4685</v>
      </c>
      <c r="F122" s="146" t="s">
        <v>1339</v>
      </c>
      <c r="G122" s="146" t="s">
        <v>1414</v>
      </c>
      <c r="H122" s="146" t="s">
        <v>1321</v>
      </c>
      <c r="I122" s="447" t="s">
        <v>34</v>
      </c>
      <c r="J122" s="146" t="s">
        <v>1364</v>
      </c>
      <c r="K122" s="146" t="s">
        <v>608</v>
      </c>
      <c r="L122" s="146" t="s">
        <v>48</v>
      </c>
      <c r="M122" s="146">
        <v>1627</v>
      </c>
      <c r="N122" s="447" t="s">
        <v>34</v>
      </c>
      <c r="O122" s="447" t="s">
        <v>34</v>
      </c>
      <c r="P122" s="448" t="s">
        <v>34</v>
      </c>
      <c r="Q122" s="448" t="s">
        <v>1421</v>
      </c>
      <c r="R122" s="448" t="s">
        <v>34</v>
      </c>
      <c r="S122" s="449" t="s">
        <v>34</v>
      </c>
      <c r="T122" s="450" t="s">
        <v>34</v>
      </c>
      <c r="U122" s="451" t="s">
        <v>34</v>
      </c>
      <c r="V122" s="450" t="s">
        <v>34</v>
      </c>
      <c r="W122" s="451" t="s">
        <v>34</v>
      </c>
      <c r="X122" s="450" t="s">
        <v>34</v>
      </c>
      <c r="Y122" s="451" t="s">
        <v>34</v>
      </c>
      <c r="Z122" s="450" t="s">
        <v>34</v>
      </c>
      <c r="AA122" s="451" t="s">
        <v>34</v>
      </c>
      <c r="AB122" s="450" t="s">
        <v>34</v>
      </c>
      <c r="AC122" s="452" t="s">
        <v>34</v>
      </c>
      <c r="AD122" s="147" t="s">
        <v>34</v>
      </c>
    </row>
    <row r="123" spans="1:30">
      <c r="E123" s="446" t="s">
        <v>4686</v>
      </c>
      <c r="F123" s="146" t="s">
        <v>1339</v>
      </c>
      <c r="G123" s="146" t="s">
        <v>1414</v>
      </c>
      <c r="H123" s="146" t="s">
        <v>1321</v>
      </c>
      <c r="I123" s="447" t="s">
        <v>34</v>
      </c>
      <c r="J123" s="146" t="s">
        <v>1364</v>
      </c>
      <c r="K123" s="146" t="s">
        <v>608</v>
      </c>
      <c r="L123" s="146" t="s">
        <v>48</v>
      </c>
      <c r="M123" s="146">
        <v>2358</v>
      </c>
      <c r="N123" s="447" t="s">
        <v>34</v>
      </c>
      <c r="O123" s="447" t="s">
        <v>34</v>
      </c>
      <c r="P123" s="448" t="s">
        <v>34</v>
      </c>
      <c r="Q123" s="448" t="s">
        <v>1421</v>
      </c>
      <c r="R123" s="448" t="s">
        <v>34</v>
      </c>
      <c r="S123" s="449" t="s">
        <v>34</v>
      </c>
      <c r="T123" s="450" t="s">
        <v>34</v>
      </c>
      <c r="U123" s="451" t="s">
        <v>34</v>
      </c>
      <c r="V123" s="450" t="s">
        <v>34</v>
      </c>
      <c r="W123" s="451" t="s">
        <v>34</v>
      </c>
      <c r="X123" s="450" t="s">
        <v>34</v>
      </c>
      <c r="Y123" s="451" t="s">
        <v>34</v>
      </c>
      <c r="Z123" s="450" t="s">
        <v>34</v>
      </c>
      <c r="AA123" s="451" t="s">
        <v>34</v>
      </c>
      <c r="AB123" s="450" t="s">
        <v>34</v>
      </c>
      <c r="AC123" s="452" t="s">
        <v>34</v>
      </c>
      <c r="AD123" s="147" t="s">
        <v>34</v>
      </c>
    </row>
    <row r="124" spans="1:30">
      <c r="E124" s="446" t="s">
        <v>4687</v>
      </c>
      <c r="F124" s="146" t="s">
        <v>1339</v>
      </c>
      <c r="G124" s="146" t="s">
        <v>1414</v>
      </c>
      <c r="H124" s="146" t="s">
        <v>1321</v>
      </c>
      <c r="I124" s="447" t="s">
        <v>34</v>
      </c>
      <c r="J124" s="146" t="s">
        <v>1364</v>
      </c>
      <c r="K124" s="146" t="s">
        <v>608</v>
      </c>
      <c r="L124" s="146" t="s">
        <v>48</v>
      </c>
      <c r="M124" s="146">
        <v>3088</v>
      </c>
      <c r="N124" s="447" t="s">
        <v>34</v>
      </c>
      <c r="O124" s="447" t="s">
        <v>34</v>
      </c>
      <c r="P124" s="448" t="s">
        <v>34</v>
      </c>
      <c r="Q124" s="448" t="s">
        <v>1421</v>
      </c>
      <c r="R124" s="448" t="s">
        <v>34</v>
      </c>
      <c r="S124" s="449" t="s">
        <v>34</v>
      </c>
      <c r="T124" s="450" t="s">
        <v>34</v>
      </c>
      <c r="U124" s="451" t="s">
        <v>34</v>
      </c>
      <c r="V124" s="450" t="s">
        <v>34</v>
      </c>
      <c r="W124" s="451" t="s">
        <v>34</v>
      </c>
      <c r="X124" s="450" t="s">
        <v>34</v>
      </c>
      <c r="Y124" s="451" t="s">
        <v>34</v>
      </c>
      <c r="Z124" s="450" t="s">
        <v>34</v>
      </c>
      <c r="AA124" s="451" t="s">
        <v>34</v>
      </c>
      <c r="AB124" s="450" t="s">
        <v>34</v>
      </c>
      <c r="AC124" s="452" t="s">
        <v>34</v>
      </c>
      <c r="AD124" s="147" t="s">
        <v>34</v>
      </c>
    </row>
    <row r="125" spans="1:30">
      <c r="E125" s="446" t="s">
        <v>4688</v>
      </c>
      <c r="F125" s="146" t="s">
        <v>1339</v>
      </c>
      <c r="G125" s="146" t="s">
        <v>1416</v>
      </c>
      <c r="H125" s="146" t="s">
        <v>34</v>
      </c>
      <c r="I125" s="447" t="s">
        <v>34</v>
      </c>
      <c r="J125" s="146" t="s">
        <v>663</v>
      </c>
      <c r="K125" s="146" t="s">
        <v>608</v>
      </c>
      <c r="L125" s="146" t="s">
        <v>48</v>
      </c>
      <c r="M125" s="146">
        <v>1460</v>
      </c>
      <c r="N125" s="447" t="s">
        <v>34</v>
      </c>
      <c r="O125" s="447">
        <v>2E-3</v>
      </c>
      <c r="P125" s="448" t="s">
        <v>34</v>
      </c>
      <c r="Q125" s="448" t="s">
        <v>1421</v>
      </c>
      <c r="R125" s="448" t="s">
        <v>34</v>
      </c>
      <c r="S125" s="449" t="s">
        <v>34</v>
      </c>
      <c r="T125" s="450" t="s">
        <v>34</v>
      </c>
      <c r="U125" s="451" t="s">
        <v>34</v>
      </c>
      <c r="V125" s="450" t="s">
        <v>34</v>
      </c>
      <c r="W125" s="451" t="s">
        <v>34</v>
      </c>
      <c r="X125" s="450" t="s">
        <v>34</v>
      </c>
      <c r="Y125" s="451" t="s">
        <v>34</v>
      </c>
      <c r="Z125" s="450" t="s">
        <v>34</v>
      </c>
      <c r="AA125" s="451" t="s">
        <v>34</v>
      </c>
      <c r="AB125" s="450" t="s">
        <v>34</v>
      </c>
      <c r="AC125" s="452" t="s">
        <v>34</v>
      </c>
      <c r="AD125" s="147" t="s">
        <v>34</v>
      </c>
    </row>
    <row r="126" spans="1:30">
      <c r="E126" s="446" t="s">
        <v>4689</v>
      </c>
      <c r="F126" s="146" t="s">
        <v>1339</v>
      </c>
      <c r="G126" s="146" t="s">
        <v>1416</v>
      </c>
      <c r="H126" s="146" t="s">
        <v>34</v>
      </c>
      <c r="I126" s="447" t="s">
        <v>34</v>
      </c>
      <c r="J126" s="146" t="s">
        <v>663</v>
      </c>
      <c r="K126" s="146" t="s">
        <v>608</v>
      </c>
      <c r="L126" s="146" t="s">
        <v>48</v>
      </c>
      <c r="M126" s="146">
        <v>1825</v>
      </c>
      <c r="N126" s="447" t="s">
        <v>34</v>
      </c>
      <c r="O126" s="447">
        <v>2E-3</v>
      </c>
      <c r="P126" s="448" t="s">
        <v>34</v>
      </c>
      <c r="Q126" s="448" t="s">
        <v>1421</v>
      </c>
      <c r="R126" s="448" t="s">
        <v>34</v>
      </c>
      <c r="S126" s="449" t="s">
        <v>34</v>
      </c>
      <c r="T126" s="450" t="s">
        <v>34</v>
      </c>
      <c r="U126" s="451" t="s">
        <v>34</v>
      </c>
      <c r="V126" s="450" t="s">
        <v>34</v>
      </c>
      <c r="W126" s="451" t="s">
        <v>34</v>
      </c>
      <c r="X126" s="450" t="s">
        <v>34</v>
      </c>
      <c r="Y126" s="451" t="s">
        <v>34</v>
      </c>
      <c r="Z126" s="450" t="s">
        <v>34</v>
      </c>
      <c r="AA126" s="451" t="s">
        <v>34</v>
      </c>
      <c r="AB126" s="450" t="s">
        <v>34</v>
      </c>
      <c r="AC126" s="452" t="s">
        <v>34</v>
      </c>
      <c r="AD126" s="147" t="s">
        <v>34</v>
      </c>
    </row>
    <row r="127" spans="1:30" ht="5.25" customHeight="1">
      <c r="E127" s="453" t="s">
        <v>1393</v>
      </c>
      <c r="P127" s="463"/>
      <c r="Q127" s="463"/>
      <c r="R127" s="463"/>
      <c r="S127" s="464"/>
      <c r="AC127" s="465"/>
    </row>
    <row r="128" spans="1:30" s="347" customFormat="1">
      <c r="A128" s="440"/>
      <c r="B128" s="436" t="s">
        <v>661</v>
      </c>
      <c r="C128" s="421" t="s">
        <v>866</v>
      </c>
      <c r="D128" s="436" t="str">
        <f>B128&amp;" "&amp;C128</f>
        <v>Pré-fixado Longa</v>
      </c>
      <c r="E128" s="458" t="s">
        <v>1370</v>
      </c>
      <c r="F128" s="458"/>
      <c r="G128" s="458"/>
      <c r="H128" s="458"/>
      <c r="I128" s="458"/>
      <c r="J128" s="459"/>
      <c r="K128" s="458"/>
      <c r="L128" s="458"/>
      <c r="M128" s="458"/>
      <c r="N128" s="458"/>
      <c r="O128" s="458"/>
      <c r="P128" s="460"/>
      <c r="Q128" s="460"/>
      <c r="R128" s="460"/>
      <c r="S128" s="461"/>
      <c r="T128" s="458"/>
      <c r="U128" s="458"/>
      <c r="V128" s="458"/>
      <c r="W128" s="458"/>
      <c r="X128" s="458"/>
      <c r="Y128" s="458"/>
      <c r="Z128" s="458"/>
      <c r="AA128" s="458"/>
      <c r="AB128" s="458"/>
      <c r="AC128" s="462"/>
      <c r="AD128" s="458"/>
    </row>
    <row r="129" spans="1:30">
      <c r="E129" s="446" t="s">
        <v>4690</v>
      </c>
      <c r="F129" s="146" t="s">
        <v>1339</v>
      </c>
      <c r="G129" s="146" t="s">
        <v>1416</v>
      </c>
      <c r="H129" s="146" t="s">
        <v>34</v>
      </c>
      <c r="I129" s="447" t="s">
        <v>34</v>
      </c>
      <c r="J129" s="146" t="s">
        <v>663</v>
      </c>
      <c r="K129" s="146" t="s">
        <v>608</v>
      </c>
      <c r="L129" s="146" t="s">
        <v>48</v>
      </c>
      <c r="M129" s="146">
        <v>2190</v>
      </c>
      <c r="N129" s="447" t="s">
        <v>34</v>
      </c>
      <c r="O129" s="447">
        <v>2E-3</v>
      </c>
      <c r="P129" s="448" t="s">
        <v>34</v>
      </c>
      <c r="Q129" s="448" t="s">
        <v>1421</v>
      </c>
      <c r="R129" s="448" t="s">
        <v>34</v>
      </c>
      <c r="S129" s="449" t="s">
        <v>34</v>
      </c>
      <c r="T129" s="450" t="s">
        <v>34</v>
      </c>
      <c r="U129" s="451" t="s">
        <v>34</v>
      </c>
      <c r="V129" s="450" t="s">
        <v>34</v>
      </c>
      <c r="W129" s="451" t="s">
        <v>34</v>
      </c>
      <c r="X129" s="450" t="s">
        <v>34</v>
      </c>
      <c r="Y129" s="451" t="s">
        <v>34</v>
      </c>
      <c r="Z129" s="450" t="s">
        <v>34</v>
      </c>
      <c r="AA129" s="451" t="s">
        <v>34</v>
      </c>
      <c r="AB129" s="450" t="s">
        <v>34</v>
      </c>
      <c r="AC129" s="452" t="s">
        <v>34</v>
      </c>
      <c r="AD129" s="147" t="s">
        <v>34</v>
      </c>
    </row>
    <row r="130" spans="1:30" s="61" customFormat="1" ht="5.25" customHeight="1">
      <c r="B130" s="20"/>
      <c r="C130" s="20"/>
      <c r="D130" s="20"/>
      <c r="E130" s="453" t="s">
        <v>1393</v>
      </c>
      <c r="J130" s="68"/>
    </row>
    <row r="131" spans="1:30" s="347" customFormat="1">
      <c r="A131" s="440"/>
      <c r="B131" s="436" t="s">
        <v>4235</v>
      </c>
      <c r="C131" s="436" t="s">
        <v>34</v>
      </c>
      <c r="D131" s="436" t="str">
        <f>B131&amp;" "&amp;C131</f>
        <v>RF Internacional -</v>
      </c>
      <c r="E131" s="441" t="s">
        <v>628</v>
      </c>
      <c r="F131" s="441"/>
      <c r="G131" s="441"/>
      <c r="H131" s="441"/>
      <c r="I131" s="441"/>
      <c r="J131" s="442"/>
      <c r="K131" s="441"/>
      <c r="L131" s="441"/>
      <c r="M131" s="441"/>
      <c r="N131" s="441"/>
      <c r="O131" s="441"/>
      <c r="P131" s="443"/>
      <c r="Q131" s="443"/>
      <c r="R131" s="443"/>
      <c r="S131" s="444"/>
      <c r="T131" s="441"/>
      <c r="U131" s="441"/>
      <c r="V131" s="441"/>
      <c r="W131" s="441"/>
      <c r="X131" s="441"/>
      <c r="Y131" s="441"/>
      <c r="Z131" s="441"/>
      <c r="AA131" s="441"/>
      <c r="AB131" s="441"/>
      <c r="AC131" s="445"/>
      <c r="AD131" s="441"/>
    </row>
    <row r="132" spans="1:30">
      <c r="E132" s="446" t="s">
        <v>4596</v>
      </c>
      <c r="F132" s="146" t="s">
        <v>1339</v>
      </c>
      <c r="G132" s="146" t="s">
        <v>34</v>
      </c>
      <c r="H132" s="146" t="s">
        <v>1321</v>
      </c>
      <c r="I132" s="447" t="s">
        <v>34</v>
      </c>
      <c r="J132" s="146" t="s">
        <v>34</v>
      </c>
      <c r="K132" s="146" t="s">
        <v>611</v>
      </c>
      <c r="L132" s="146" t="s">
        <v>48</v>
      </c>
      <c r="M132" s="146">
        <v>6</v>
      </c>
      <c r="N132" s="447">
        <v>9.300000000000001E-3</v>
      </c>
      <c r="O132" s="447">
        <v>5.0697399999999997E-3</v>
      </c>
      <c r="P132" s="448">
        <v>25000</v>
      </c>
      <c r="Q132" s="448" t="s">
        <v>34</v>
      </c>
      <c r="R132" s="448">
        <v>45059037.410000004</v>
      </c>
      <c r="S132" s="449">
        <v>43099</v>
      </c>
      <c r="T132" s="450">
        <v>4.051722435108851E-2</v>
      </c>
      <c r="U132" s="451">
        <v>2.0260253282773228</v>
      </c>
      <c r="V132" s="450">
        <v>2.9778991931096899E-2</v>
      </c>
      <c r="W132" s="451">
        <v>0.23094531613674921</v>
      </c>
      <c r="X132" s="450">
        <v>7.4570207554442547E-2</v>
      </c>
      <c r="Y132" s="451">
        <v>0.38619855134230324</v>
      </c>
      <c r="Z132" s="450">
        <v>0.13986905947776807</v>
      </c>
      <c r="AA132" s="451">
        <v>0.63154754939344104</v>
      </c>
      <c r="AB132" s="450">
        <v>7.5819834884563481E-2</v>
      </c>
      <c r="AC132" s="452">
        <v>-1.3079020505210954</v>
      </c>
      <c r="AD132" s="147">
        <v>29066331000106</v>
      </c>
    </row>
    <row r="133" spans="1:30">
      <c r="E133" s="446" t="s">
        <v>4597</v>
      </c>
      <c r="F133" s="146" t="s">
        <v>1339</v>
      </c>
      <c r="G133" s="146" t="s">
        <v>34</v>
      </c>
      <c r="H133" s="146" t="s">
        <v>1321</v>
      </c>
      <c r="I133" s="447" t="s">
        <v>34</v>
      </c>
      <c r="J133" s="146" t="s">
        <v>34</v>
      </c>
      <c r="K133" s="146" t="s">
        <v>611</v>
      </c>
      <c r="L133" s="146" t="s">
        <v>49</v>
      </c>
      <c r="M133" s="146">
        <v>6</v>
      </c>
      <c r="N133" s="447">
        <v>9.300000000000001E-3</v>
      </c>
      <c r="O133" s="447">
        <v>4.3499200000000002E-3</v>
      </c>
      <c r="P133" s="448">
        <v>25000</v>
      </c>
      <c r="Q133" s="448" t="s">
        <v>34</v>
      </c>
      <c r="R133" s="448">
        <v>204470610.84</v>
      </c>
      <c r="S133" s="449">
        <v>43525</v>
      </c>
      <c r="T133" s="450">
        <v>-8.3137237103577677E-3</v>
      </c>
      <c r="U133" s="451">
        <v>-0.4157198593746228</v>
      </c>
      <c r="V133" s="450">
        <v>-4.2122399428169977E-2</v>
      </c>
      <c r="W133" s="451">
        <v>-0.32667226865455595</v>
      </c>
      <c r="X133" s="450">
        <v>-0.12272193426512512</v>
      </c>
      <c r="Y133" s="451">
        <v>-0.63557598651598646</v>
      </c>
      <c r="Z133" s="450">
        <v>0.14219004653302947</v>
      </c>
      <c r="AA133" s="451">
        <v>0.64202744889657037</v>
      </c>
      <c r="AB133" s="450">
        <v>0.16665483860459182</v>
      </c>
      <c r="AC133" s="452">
        <v>-1.0264707002047102</v>
      </c>
      <c r="AD133" s="147">
        <v>32225478000106</v>
      </c>
    </row>
    <row r="134" spans="1:30">
      <c r="E134" s="446" t="s">
        <v>2720</v>
      </c>
      <c r="F134" s="146" t="s">
        <v>1339</v>
      </c>
      <c r="G134" s="146" t="s">
        <v>34</v>
      </c>
      <c r="H134" s="146" t="s">
        <v>1321</v>
      </c>
      <c r="I134" s="447" t="s">
        <v>34</v>
      </c>
      <c r="J134" s="146" t="s">
        <v>34</v>
      </c>
      <c r="K134" s="146" t="s">
        <v>611</v>
      </c>
      <c r="L134" s="146" t="s">
        <v>48</v>
      </c>
      <c r="M134" s="146">
        <v>6</v>
      </c>
      <c r="N134" s="447">
        <v>9.300000000000001E-3</v>
      </c>
      <c r="O134" s="447">
        <v>4.3499200000000002E-3</v>
      </c>
      <c r="P134" s="448">
        <v>5000</v>
      </c>
      <c r="Q134" s="448" t="s">
        <v>34</v>
      </c>
      <c r="R134" s="448">
        <v>344252767</v>
      </c>
      <c r="S134" s="449">
        <v>42405</v>
      </c>
      <c r="T134" s="450">
        <v>1.6451820790420735E-2</v>
      </c>
      <c r="U134" s="451">
        <v>0.82265767587745386</v>
      </c>
      <c r="V134" s="450">
        <v>3.0454420175625385E-2</v>
      </c>
      <c r="W134" s="451">
        <v>0.23618347160625758</v>
      </c>
      <c r="X134" s="450">
        <v>7.1582969593118495E-2</v>
      </c>
      <c r="Y134" s="451">
        <v>0.37072766811677632</v>
      </c>
      <c r="Z134" s="450">
        <v>0.14101212699064192</v>
      </c>
      <c r="AA134" s="451">
        <v>0.63670881586110806</v>
      </c>
      <c r="AB134" s="450">
        <v>6.9860766759472795E-2</v>
      </c>
      <c r="AC134" s="452">
        <v>-1.4097968550825883</v>
      </c>
      <c r="AD134" s="147">
        <v>23729512000199</v>
      </c>
    </row>
    <row r="135" spans="1:30">
      <c r="E135" s="446" t="s">
        <v>4606</v>
      </c>
      <c r="F135" s="146" t="s">
        <v>1339</v>
      </c>
      <c r="G135" s="146" t="s">
        <v>1414</v>
      </c>
      <c r="H135" s="146" t="s">
        <v>1321</v>
      </c>
      <c r="I135" s="447" t="s">
        <v>34</v>
      </c>
      <c r="J135" s="146" t="s">
        <v>663</v>
      </c>
      <c r="K135" s="146" t="s">
        <v>700</v>
      </c>
      <c r="L135" s="146" t="s">
        <v>48</v>
      </c>
      <c r="M135" s="146">
        <v>17</v>
      </c>
      <c r="N135" s="447">
        <v>0.01</v>
      </c>
      <c r="O135" s="447">
        <v>0</v>
      </c>
      <c r="P135" s="448">
        <v>5000</v>
      </c>
      <c r="Q135" s="448" t="s">
        <v>34</v>
      </c>
      <c r="R135" s="448">
        <v>43752515</v>
      </c>
      <c r="S135" s="449">
        <v>39981</v>
      </c>
      <c r="T135" s="450">
        <v>1.3935918533949376E-3</v>
      </c>
      <c r="U135" s="451">
        <v>6.9685237265845135E-2</v>
      </c>
      <c r="V135" s="450">
        <v>8.0294998269876405E-3</v>
      </c>
      <c r="W135" s="451">
        <v>6.2271260902797408E-2</v>
      </c>
      <c r="X135" s="450">
        <v>8.0294998269876405E-3</v>
      </c>
      <c r="Y135" s="451">
        <v>4.1584719995876679E-2</v>
      </c>
      <c r="Z135" s="450">
        <v>8.0294998269876405E-3</v>
      </c>
      <c r="AA135" s="451">
        <v>3.6255416012110464E-2</v>
      </c>
      <c r="AB135" s="450">
        <v>3.2806475820120251E-2</v>
      </c>
      <c r="AC135" s="452">
        <v>-3.6856872491510888</v>
      </c>
      <c r="AD135" s="147">
        <v>9577092000141</v>
      </c>
    </row>
    <row r="136" spans="1:30">
      <c r="E136" s="446" t="s">
        <v>4611</v>
      </c>
      <c r="F136" s="146" t="s">
        <v>1339</v>
      </c>
      <c r="G136" s="146" t="s">
        <v>34</v>
      </c>
      <c r="H136" s="146" t="s">
        <v>1321</v>
      </c>
      <c r="I136" s="447" t="s">
        <v>34</v>
      </c>
      <c r="J136" s="146" t="s">
        <v>34</v>
      </c>
      <c r="K136" s="146" t="s">
        <v>611</v>
      </c>
      <c r="L136" s="146" t="s">
        <v>48</v>
      </c>
      <c r="M136" s="146">
        <v>26</v>
      </c>
      <c r="N136" s="447">
        <v>0</v>
      </c>
      <c r="O136" s="447">
        <v>5.6666666666666697E-3</v>
      </c>
      <c r="P136" s="448">
        <v>5000</v>
      </c>
      <c r="Q136" s="448" t="s">
        <v>34</v>
      </c>
      <c r="R136" s="448">
        <v>23767021.18</v>
      </c>
      <c r="S136" s="449">
        <v>43287</v>
      </c>
      <c r="T136" s="450">
        <v>4.0225885035342079E-2</v>
      </c>
      <c r="U136" s="451">
        <v>2.011457182450981</v>
      </c>
      <c r="V136" s="450">
        <v>6.3289104127281393E-2</v>
      </c>
      <c r="W136" s="451">
        <v>0.49082662685513723</v>
      </c>
      <c r="X136" s="450">
        <v>0.10583075443976675</v>
      </c>
      <c r="Y136" s="451">
        <v>0.54809669159444363</v>
      </c>
      <c r="Z136" s="450">
        <v>0.16511817160503495</v>
      </c>
      <c r="AA136" s="451">
        <v>0.74555428503514454</v>
      </c>
      <c r="AB136" s="450">
        <v>5.4801573418696847E-2</v>
      </c>
      <c r="AC136" s="452">
        <v>-1.1980459907216328</v>
      </c>
      <c r="AD136" s="147">
        <v>30338686000196</v>
      </c>
    </row>
    <row r="137" spans="1:30">
      <c r="E137" s="446" t="s">
        <v>4637</v>
      </c>
      <c r="F137" s="146" t="s">
        <v>1339</v>
      </c>
      <c r="G137" s="146" t="s">
        <v>1414</v>
      </c>
      <c r="H137" s="146" t="s">
        <v>1321</v>
      </c>
      <c r="I137" s="447" t="s">
        <v>34</v>
      </c>
      <c r="J137" s="146" t="s">
        <v>663</v>
      </c>
      <c r="K137" s="146" t="s">
        <v>611</v>
      </c>
      <c r="L137" s="146" t="s">
        <v>48</v>
      </c>
      <c r="M137" s="146">
        <v>46</v>
      </c>
      <c r="N137" s="447">
        <v>8.3000000000000001E-3</v>
      </c>
      <c r="O137" s="447">
        <v>1.33333333333333E-3</v>
      </c>
      <c r="P137" s="448">
        <v>1000</v>
      </c>
      <c r="Q137" s="448" t="s">
        <v>34</v>
      </c>
      <c r="R137" s="448">
        <v>239062419.97999999</v>
      </c>
      <c r="S137" s="449">
        <v>43740</v>
      </c>
      <c r="T137" s="450">
        <v>-1.433426634493018E-2</v>
      </c>
      <c r="U137" s="451">
        <v>-0.71677137667307989</v>
      </c>
      <c r="V137" s="450">
        <v>8.4850911547706964E-2</v>
      </c>
      <c r="W137" s="451">
        <v>0.65804512917085567</v>
      </c>
      <c r="X137" s="450">
        <v>0.1490487000000007</v>
      </c>
      <c r="Y137" s="451">
        <v>0.77192211081655382</v>
      </c>
      <c r="Z137" s="450">
        <v>0.1490487000000007</v>
      </c>
      <c r="AA137" s="451">
        <v>0.67299616925100303</v>
      </c>
      <c r="AB137" s="450">
        <v>2.8559806474559114E-2</v>
      </c>
      <c r="AC137" s="452">
        <v>-1.5438829369645461</v>
      </c>
      <c r="AD137" s="147">
        <v>34781162000126</v>
      </c>
    </row>
    <row r="138" spans="1:30">
      <c r="E138" s="446" t="s">
        <v>4646</v>
      </c>
      <c r="F138" s="146" t="s">
        <v>1339</v>
      </c>
      <c r="G138" s="146" t="s">
        <v>1414</v>
      </c>
      <c r="H138" s="146" t="s">
        <v>1321</v>
      </c>
      <c r="I138" s="447" t="s">
        <v>34</v>
      </c>
      <c r="J138" s="146" t="s">
        <v>663</v>
      </c>
      <c r="K138" s="146" t="s">
        <v>611</v>
      </c>
      <c r="L138" s="146" t="s">
        <v>48</v>
      </c>
      <c r="M138" s="146">
        <v>76</v>
      </c>
      <c r="N138" s="447">
        <v>0.01</v>
      </c>
      <c r="O138" s="447">
        <v>2.0002666666666699E-3</v>
      </c>
      <c r="P138" s="448">
        <v>100000</v>
      </c>
      <c r="Q138" s="448" t="s">
        <v>34</v>
      </c>
      <c r="R138" s="448">
        <v>130430705.99999999</v>
      </c>
      <c r="S138" s="449">
        <v>42756</v>
      </c>
      <c r="T138" s="450">
        <v>1.2317520583436936E-2</v>
      </c>
      <c r="U138" s="451">
        <v>0.61592591998346147</v>
      </c>
      <c r="V138" s="450">
        <v>0.13803964979135808</v>
      </c>
      <c r="W138" s="451">
        <v>1.0705402867308229</v>
      </c>
      <c r="X138" s="450">
        <v>0.2110632371171739</v>
      </c>
      <c r="Y138" s="451">
        <v>1.0930949381729791</v>
      </c>
      <c r="Z138" s="450">
        <v>0.18414720791840145</v>
      </c>
      <c r="AA138" s="451">
        <v>0.83147565532172751</v>
      </c>
      <c r="AB138" s="450">
        <v>1.3831209592351823E-2</v>
      </c>
      <c r="AC138" s="452">
        <v>0.65762435915940087</v>
      </c>
      <c r="AD138" s="147">
        <v>26525450000191</v>
      </c>
    </row>
    <row r="139" spans="1:30">
      <c r="E139" s="446" t="s">
        <v>4651</v>
      </c>
      <c r="F139" s="146" t="s">
        <v>1339</v>
      </c>
      <c r="G139" s="146" t="s">
        <v>34</v>
      </c>
      <c r="H139" s="146" t="s">
        <v>1321</v>
      </c>
      <c r="I139" s="447" t="s">
        <v>34</v>
      </c>
      <c r="J139" s="146" t="s">
        <v>685</v>
      </c>
      <c r="K139" s="146" t="s">
        <v>690</v>
      </c>
      <c r="L139" s="146" t="s">
        <v>48</v>
      </c>
      <c r="M139" s="146">
        <v>211</v>
      </c>
      <c r="N139" s="447">
        <v>0</v>
      </c>
      <c r="O139" s="447">
        <v>5.3333333333333297E-3</v>
      </c>
      <c r="P139" s="448">
        <v>50000</v>
      </c>
      <c r="Q139" s="448" t="s">
        <v>34</v>
      </c>
      <c r="R139" s="448">
        <v>33082933.809999999</v>
      </c>
      <c r="S139" s="449">
        <v>43732</v>
      </c>
      <c r="T139" s="450">
        <v>2.4511054403020927E-2</v>
      </c>
      <c r="U139" s="451">
        <v>1.2256519995790298</v>
      </c>
      <c r="V139" s="450">
        <v>0.12267285033450914</v>
      </c>
      <c r="W139" s="451">
        <v>0.95136599208769057</v>
      </c>
      <c r="X139" s="450">
        <v>0.28876254596407969</v>
      </c>
      <c r="Y139" s="451">
        <v>1.4954990818796372</v>
      </c>
      <c r="Z139" s="450">
        <v>0.33030764230820941</v>
      </c>
      <c r="AA139" s="451">
        <v>1.4914305052493209</v>
      </c>
      <c r="AB139" s="450">
        <v>2.4931059616470273E-2</v>
      </c>
      <c r="AC139" s="452">
        <v>-0.25153600403475601</v>
      </c>
      <c r="AD139" s="147">
        <v>35420451000162</v>
      </c>
    </row>
    <row r="140" spans="1:30" s="347" customFormat="1" ht="7.5" customHeight="1">
      <c r="B140" s="436"/>
      <c r="C140" s="436"/>
      <c r="D140" s="436"/>
      <c r="E140" s="437" t="s">
        <v>1393</v>
      </c>
      <c r="J140" s="438"/>
      <c r="P140" s="439"/>
      <c r="Q140" s="439"/>
      <c r="R140" s="439"/>
    </row>
    <row r="141" spans="1:30" s="428" customFormat="1" ht="21.75" customHeight="1">
      <c r="B141" s="455" t="s">
        <v>12</v>
      </c>
      <c r="C141" s="429"/>
      <c r="D141" s="429"/>
      <c r="E141" s="430" t="s">
        <v>1335</v>
      </c>
      <c r="F141" s="430"/>
      <c r="G141" s="430"/>
      <c r="H141" s="430"/>
      <c r="I141" s="430"/>
      <c r="J141" s="431"/>
      <c r="K141" s="430"/>
      <c r="L141" s="430"/>
      <c r="M141" s="430"/>
      <c r="N141" s="430"/>
      <c r="O141" s="430"/>
      <c r="P141" s="466"/>
      <c r="Q141" s="466"/>
      <c r="R141" s="466"/>
      <c r="S141" s="467"/>
      <c r="T141" s="430"/>
      <c r="U141" s="430"/>
      <c r="V141" s="430"/>
      <c r="W141" s="430"/>
      <c r="X141" s="430"/>
      <c r="Y141" s="430"/>
      <c r="Z141" s="430"/>
      <c r="AA141" s="430"/>
      <c r="AB141" s="430"/>
      <c r="AC141" s="430"/>
      <c r="AD141" s="430"/>
    </row>
    <row r="142" spans="1:30" s="48" customFormat="1" ht="5.25" customHeight="1">
      <c r="B142" s="20"/>
      <c r="C142" s="20"/>
      <c r="D142" s="20"/>
      <c r="J142" s="468"/>
      <c r="P142" s="469"/>
      <c r="Q142" s="469"/>
      <c r="R142" s="469"/>
    </row>
    <row r="143" spans="1:30" s="347" customFormat="1">
      <c r="A143" s="440"/>
      <c r="B143" s="436" t="s">
        <v>615</v>
      </c>
      <c r="C143" s="436" t="s">
        <v>34</v>
      </c>
      <c r="D143" s="436" t="str">
        <f>B143&amp;" "&amp;C143</f>
        <v>Macro -</v>
      </c>
      <c r="E143" s="441" t="s">
        <v>615</v>
      </c>
      <c r="F143" s="441"/>
      <c r="G143" s="441"/>
      <c r="H143" s="441"/>
      <c r="I143" s="441"/>
      <c r="J143" s="442"/>
      <c r="K143" s="441"/>
      <c r="L143" s="441"/>
      <c r="M143" s="441"/>
      <c r="N143" s="441"/>
      <c r="O143" s="441"/>
      <c r="P143" s="443"/>
      <c r="Q143" s="443"/>
      <c r="R143" s="443"/>
      <c r="S143" s="444"/>
      <c r="T143" s="441"/>
      <c r="U143" s="441"/>
      <c r="V143" s="441"/>
      <c r="W143" s="441"/>
      <c r="X143" s="441"/>
      <c r="Y143" s="441"/>
      <c r="Z143" s="441"/>
      <c r="AA143" s="441"/>
      <c r="AB143" s="441"/>
      <c r="AC143" s="445"/>
      <c r="AD143" s="441"/>
    </row>
    <row r="144" spans="1:30">
      <c r="E144" s="446" t="s">
        <v>2705</v>
      </c>
      <c r="F144" s="146" t="s">
        <v>715</v>
      </c>
      <c r="G144" s="146" t="s">
        <v>34</v>
      </c>
      <c r="H144" s="146" t="s">
        <v>1321</v>
      </c>
      <c r="I144" s="447" t="s">
        <v>34</v>
      </c>
      <c r="J144" s="146" t="s">
        <v>619</v>
      </c>
      <c r="K144" s="146" t="s">
        <v>611</v>
      </c>
      <c r="L144" s="146" t="s">
        <v>48</v>
      </c>
      <c r="M144" s="146">
        <v>1</v>
      </c>
      <c r="N144" s="447">
        <v>2.5000000000000001E-2</v>
      </c>
      <c r="O144" s="447">
        <v>4.6666666666666697E-3</v>
      </c>
      <c r="P144" s="448">
        <v>1000</v>
      </c>
      <c r="Q144" s="448" t="s">
        <v>34</v>
      </c>
      <c r="R144" s="448">
        <v>280407799</v>
      </c>
      <c r="S144" s="449">
        <v>42187</v>
      </c>
      <c r="T144" s="450">
        <v>-1.227726085553249E-2</v>
      </c>
      <c r="U144" s="451">
        <v>-0.61391277052047832</v>
      </c>
      <c r="V144" s="450">
        <v>-6.3355831601915824E-2</v>
      </c>
      <c r="W144" s="451">
        <v>-0.49134411911142695</v>
      </c>
      <c r="X144" s="450">
        <v>2.0615118469667681E-2</v>
      </c>
      <c r="Y144" s="451">
        <v>0.10676554551525191</v>
      </c>
      <c r="Z144" s="450">
        <v>0.20754578812217228</v>
      </c>
      <c r="AA144" s="451">
        <v>0.93712672670343067</v>
      </c>
      <c r="AB144" s="450">
        <v>0.1236901544060167</v>
      </c>
      <c r="AC144" s="452">
        <v>-1.5546891502574605</v>
      </c>
      <c r="AD144" s="147">
        <v>17414721000140</v>
      </c>
    </row>
    <row r="145" spans="5:30">
      <c r="E145" s="446" t="s">
        <v>4578</v>
      </c>
      <c r="F145" s="146" t="s">
        <v>715</v>
      </c>
      <c r="G145" s="146" t="s">
        <v>34</v>
      </c>
      <c r="H145" s="146" t="s">
        <v>1321</v>
      </c>
      <c r="I145" s="447" t="s">
        <v>34</v>
      </c>
      <c r="J145" s="146" t="s">
        <v>619</v>
      </c>
      <c r="K145" s="146" t="s">
        <v>608</v>
      </c>
      <c r="L145" s="146" t="s">
        <v>48</v>
      </c>
      <c r="M145" s="146">
        <v>15</v>
      </c>
      <c r="N145" s="447">
        <v>1.8000000000000002E-2</v>
      </c>
      <c r="O145" s="447">
        <v>5.0004000000000003E-3</v>
      </c>
      <c r="P145" s="448">
        <v>1000</v>
      </c>
      <c r="Q145" s="448" t="s">
        <v>34</v>
      </c>
      <c r="R145" s="448">
        <v>635379863.99000001</v>
      </c>
      <c r="S145" s="449">
        <v>42965</v>
      </c>
      <c r="T145" s="450">
        <v>1.5682012738987616E-2</v>
      </c>
      <c r="U145" s="451">
        <v>0.78416415527987593</v>
      </c>
      <c r="V145" s="450">
        <v>0.17549308497256622</v>
      </c>
      <c r="W145" s="451">
        <v>1.3610032899226423</v>
      </c>
      <c r="X145" s="450">
        <v>0.2797813342170421</v>
      </c>
      <c r="Y145" s="451">
        <v>1.4489854529149857</v>
      </c>
      <c r="Z145" s="450">
        <v>0.48589063573520153</v>
      </c>
      <c r="AA145" s="451">
        <v>2.1939308194215958</v>
      </c>
      <c r="AB145" s="450">
        <v>2.4972455256781236E-2</v>
      </c>
      <c r="AC145" s="452">
        <v>1.8640207799806749</v>
      </c>
      <c r="AD145" s="147">
        <v>27928186000108</v>
      </c>
    </row>
    <row r="146" spans="5:30">
      <c r="E146" s="446" t="s">
        <v>4568</v>
      </c>
      <c r="F146" s="146" t="s">
        <v>715</v>
      </c>
      <c r="G146" s="146" t="s">
        <v>34</v>
      </c>
      <c r="H146" s="146" t="s">
        <v>1321</v>
      </c>
      <c r="I146" s="447" t="s">
        <v>34</v>
      </c>
      <c r="J146" s="146" t="s">
        <v>619</v>
      </c>
      <c r="K146" s="146" t="s">
        <v>611</v>
      </c>
      <c r="L146" s="146" t="s">
        <v>48</v>
      </c>
      <c r="M146" s="146">
        <v>30</v>
      </c>
      <c r="N146" s="447">
        <v>1.9E-2</v>
      </c>
      <c r="O146" s="447">
        <v>3.8E-3</v>
      </c>
      <c r="P146" s="448">
        <v>10000</v>
      </c>
      <c r="Q146" s="448" t="s">
        <v>34</v>
      </c>
      <c r="R146" s="448">
        <v>4056787360</v>
      </c>
      <c r="S146" s="449">
        <v>42368</v>
      </c>
      <c r="T146" s="450">
        <v>4.7074661365311687E-3</v>
      </c>
      <c r="U146" s="451">
        <v>0.23539237391920984</v>
      </c>
      <c r="V146" s="450">
        <v>0.21210714381833018</v>
      </c>
      <c r="W146" s="451">
        <v>1.6449566693637518</v>
      </c>
      <c r="X146" s="450">
        <v>0.35218366063752482</v>
      </c>
      <c r="Y146" s="451">
        <v>1.8239565639580737</v>
      </c>
      <c r="Z146" s="450">
        <v>0.39585799380850806</v>
      </c>
      <c r="AA146" s="451">
        <v>1.7874085007149474</v>
      </c>
      <c r="AB146" s="450">
        <v>3.9507999416992456E-2</v>
      </c>
      <c r="AC146" s="452">
        <v>2.1049720461363877</v>
      </c>
      <c r="AD146" s="147">
        <v>23565803000199</v>
      </c>
    </row>
    <row r="147" spans="5:30">
      <c r="E147" s="446" t="s">
        <v>4580</v>
      </c>
      <c r="F147" s="146" t="s">
        <v>715</v>
      </c>
      <c r="G147" s="146" t="s">
        <v>34</v>
      </c>
      <c r="H147" s="146" t="s">
        <v>1321</v>
      </c>
      <c r="I147" s="447" t="s">
        <v>34</v>
      </c>
      <c r="J147" s="146" t="s">
        <v>619</v>
      </c>
      <c r="K147" s="146" t="s">
        <v>611</v>
      </c>
      <c r="L147" s="146" t="s">
        <v>48</v>
      </c>
      <c r="M147" s="146">
        <v>30</v>
      </c>
      <c r="N147" s="447">
        <v>1.9799999999999998E-2</v>
      </c>
      <c r="O147" s="447">
        <v>3.9500000000000004E-3</v>
      </c>
      <c r="P147" s="448">
        <v>1000</v>
      </c>
      <c r="Q147" s="448" t="s">
        <v>34</v>
      </c>
      <c r="R147" s="448">
        <v>1104466771</v>
      </c>
      <c r="S147" s="449">
        <v>39631</v>
      </c>
      <c r="T147" s="450">
        <v>3.0125050532667785E-2</v>
      </c>
      <c r="U147" s="451">
        <v>1.50637454495768</v>
      </c>
      <c r="V147" s="450">
        <v>0.18376137182684427</v>
      </c>
      <c r="W147" s="451">
        <v>1.4251264182638854</v>
      </c>
      <c r="X147" s="450">
        <v>0.25981728015614736</v>
      </c>
      <c r="Y147" s="451">
        <v>1.3455917651395031</v>
      </c>
      <c r="Z147" s="450">
        <v>0.42328067278750692</v>
      </c>
      <c r="AA147" s="451">
        <v>1.9112294928032121</v>
      </c>
      <c r="AB147" s="450">
        <v>3.5076267837354479E-2</v>
      </c>
      <c r="AC147" s="452">
        <v>1.5628077261309439</v>
      </c>
      <c r="AD147" s="147">
        <v>8893082000152</v>
      </c>
    </row>
    <row r="148" spans="5:30">
      <c r="E148" s="446" t="s">
        <v>1718</v>
      </c>
      <c r="F148" s="146" t="s">
        <v>715</v>
      </c>
      <c r="G148" s="146" t="s">
        <v>34</v>
      </c>
      <c r="H148" s="146" t="s">
        <v>1321</v>
      </c>
      <c r="I148" s="447" t="s">
        <v>34</v>
      </c>
      <c r="J148" s="146" t="s">
        <v>619</v>
      </c>
      <c r="K148" s="146" t="s">
        <v>611</v>
      </c>
      <c r="L148" s="146" t="s">
        <v>48</v>
      </c>
      <c r="M148" s="146">
        <v>31</v>
      </c>
      <c r="N148" s="447">
        <v>2.5000000000000001E-2</v>
      </c>
      <c r="O148" s="447">
        <v>5.0673000000000003E-3</v>
      </c>
      <c r="P148" s="448">
        <v>500</v>
      </c>
      <c r="Q148" s="448" t="s">
        <v>34</v>
      </c>
      <c r="R148" s="448">
        <v>414989616.25999999</v>
      </c>
      <c r="S148" s="449">
        <v>44014</v>
      </c>
      <c r="T148" s="450">
        <v>2.2503307187067501E-2</v>
      </c>
      <c r="U148" s="451">
        <v>1.1252565066140572</v>
      </c>
      <c r="V148" s="450">
        <v>0.21215789336499391</v>
      </c>
      <c r="W148" s="451">
        <v>1.6453502478342779</v>
      </c>
      <c r="X148" s="450">
        <v>0.35793057733767819</v>
      </c>
      <c r="Y148" s="451">
        <v>1.8537198028851445</v>
      </c>
      <c r="Z148" s="450" t="s">
        <v>34</v>
      </c>
      <c r="AA148" s="451" t="s">
        <v>34</v>
      </c>
      <c r="AB148" s="450">
        <v>3.8645832143997486E-2</v>
      </c>
      <c r="AC148" s="452">
        <v>2.1532460113200189</v>
      </c>
      <c r="AD148" s="147">
        <v>35828684000107</v>
      </c>
    </row>
    <row r="149" spans="5:30">
      <c r="E149" s="446" t="s">
        <v>4582</v>
      </c>
      <c r="F149" s="146" t="s">
        <v>715</v>
      </c>
      <c r="G149" s="146" t="s">
        <v>34</v>
      </c>
      <c r="H149" s="146" t="s">
        <v>1324</v>
      </c>
      <c r="I149" s="447" t="s">
        <v>34</v>
      </c>
      <c r="J149" s="146" t="s">
        <v>619</v>
      </c>
      <c r="K149" s="146" t="s">
        <v>611</v>
      </c>
      <c r="L149" s="146" t="s">
        <v>48</v>
      </c>
      <c r="M149" s="146">
        <v>31</v>
      </c>
      <c r="N149" s="447">
        <v>1.9599999999999999E-2</v>
      </c>
      <c r="O149" s="447">
        <v>4.8937499999999997E-3</v>
      </c>
      <c r="P149" s="448">
        <v>5000</v>
      </c>
      <c r="Q149" s="448" t="s">
        <v>34</v>
      </c>
      <c r="R149" s="448">
        <v>5115106860.7999992</v>
      </c>
      <c r="S149" s="449">
        <v>41245</v>
      </c>
      <c r="T149" s="450">
        <v>-2.5737806460035539E-4</v>
      </c>
      <c r="U149" s="451">
        <v>-1.2869945712589464E-2</v>
      </c>
      <c r="V149" s="450">
        <v>0.15587905671375912</v>
      </c>
      <c r="W149" s="451">
        <v>1.2088904189622556</v>
      </c>
      <c r="X149" s="450">
        <v>0.28504004481149647</v>
      </c>
      <c r="Y149" s="451">
        <v>1.4762202760449064</v>
      </c>
      <c r="Z149" s="450">
        <v>0.4866402558192664</v>
      </c>
      <c r="AA149" s="451">
        <v>2.1973155617572839</v>
      </c>
      <c r="AB149" s="450">
        <v>5.6264586210355162E-2</v>
      </c>
      <c r="AC149" s="452">
        <v>0.47872292468781219</v>
      </c>
      <c r="AD149" s="147">
        <v>15799713000134</v>
      </c>
    </row>
    <row r="150" spans="5:30">
      <c r="E150" s="446" t="s">
        <v>1720</v>
      </c>
      <c r="F150" s="146" t="s">
        <v>715</v>
      </c>
      <c r="G150" s="146" t="s">
        <v>34</v>
      </c>
      <c r="H150" s="146" t="s">
        <v>1321</v>
      </c>
      <c r="I150" s="447" t="s">
        <v>34</v>
      </c>
      <c r="J150" s="146" t="s">
        <v>619</v>
      </c>
      <c r="K150" s="146" t="s">
        <v>611</v>
      </c>
      <c r="L150" s="146" t="s">
        <v>48</v>
      </c>
      <c r="M150" s="146">
        <v>31</v>
      </c>
      <c r="N150" s="447">
        <v>2.2000000000000002E-2</v>
      </c>
      <c r="O150" s="447">
        <v>4.0000000000000001E-3</v>
      </c>
      <c r="P150" s="448">
        <v>500</v>
      </c>
      <c r="Q150" s="448" t="s">
        <v>34</v>
      </c>
      <c r="R150" s="448">
        <v>3282515622.0899997</v>
      </c>
      <c r="S150" s="449">
        <v>43238</v>
      </c>
      <c r="T150" s="450">
        <v>5.7795740939399209E-3</v>
      </c>
      <c r="U150" s="451">
        <v>0.28900211424929845</v>
      </c>
      <c r="V150" s="450">
        <v>0.17608815716939219</v>
      </c>
      <c r="W150" s="451">
        <v>1.3656182593258426</v>
      </c>
      <c r="X150" s="450">
        <v>0.39809694711376542</v>
      </c>
      <c r="Y150" s="451">
        <v>2.0617411337749498</v>
      </c>
      <c r="Z150" s="450">
        <v>0.6520930547594681</v>
      </c>
      <c r="AA150" s="451">
        <v>2.9443807819075549</v>
      </c>
      <c r="AB150" s="450">
        <v>4.8796642688519555E-2</v>
      </c>
      <c r="AC150" s="452">
        <v>0.96613711774264177</v>
      </c>
      <c r="AD150" s="147">
        <v>29726133000121</v>
      </c>
    </row>
    <row r="151" spans="5:30">
      <c r="E151" s="446" t="s">
        <v>1721</v>
      </c>
      <c r="F151" s="146" t="s">
        <v>715</v>
      </c>
      <c r="G151" s="146" t="s">
        <v>34</v>
      </c>
      <c r="H151" s="146" t="s">
        <v>1321</v>
      </c>
      <c r="I151" s="447" t="s">
        <v>34</v>
      </c>
      <c r="J151" s="146" t="s">
        <v>619</v>
      </c>
      <c r="K151" s="146" t="s">
        <v>611</v>
      </c>
      <c r="L151" s="146" t="s">
        <v>48</v>
      </c>
      <c r="M151" s="146">
        <v>31</v>
      </c>
      <c r="N151" s="447">
        <v>0</v>
      </c>
      <c r="O151" s="447">
        <v>4.7499999999999999E-3</v>
      </c>
      <c r="P151" s="448">
        <v>100</v>
      </c>
      <c r="Q151" s="448" t="s">
        <v>34</v>
      </c>
      <c r="R151" s="448">
        <v>1418527847.71</v>
      </c>
      <c r="S151" s="449">
        <v>43281</v>
      </c>
      <c r="T151" s="450">
        <v>7.8713747216658803E-3</v>
      </c>
      <c r="U151" s="451">
        <v>0.39360061825233339</v>
      </c>
      <c r="V151" s="450">
        <v>0.1800861959922091</v>
      </c>
      <c r="W151" s="451">
        <v>1.396624290087356</v>
      </c>
      <c r="X151" s="450">
        <v>0.28709664051683736</v>
      </c>
      <c r="Y151" s="451">
        <v>1.4868713699354468</v>
      </c>
      <c r="Z151" s="450">
        <v>0.44500619876991321</v>
      </c>
      <c r="AA151" s="451">
        <v>2.0093262609140545</v>
      </c>
      <c r="AB151" s="450">
        <v>5.3613898034118618E-2</v>
      </c>
      <c r="AC151" s="452">
        <v>0.95389979875880326</v>
      </c>
      <c r="AD151" s="147">
        <v>30338679000194</v>
      </c>
    </row>
    <row r="152" spans="5:30">
      <c r="E152" s="446" t="s">
        <v>2073</v>
      </c>
      <c r="F152" s="146" t="s">
        <v>715</v>
      </c>
      <c r="G152" s="146" t="s">
        <v>34</v>
      </c>
      <c r="H152" s="146" t="s">
        <v>1321</v>
      </c>
      <c r="I152" s="447" t="s">
        <v>34</v>
      </c>
      <c r="J152" s="146" t="s">
        <v>619</v>
      </c>
      <c r="K152" s="146" t="s">
        <v>611</v>
      </c>
      <c r="L152" s="146" t="s">
        <v>48</v>
      </c>
      <c r="M152" s="146">
        <v>31</v>
      </c>
      <c r="N152" s="447">
        <v>0</v>
      </c>
      <c r="O152" s="447">
        <v>4.7499999999999999E-3</v>
      </c>
      <c r="P152" s="448">
        <v>10000</v>
      </c>
      <c r="Q152" s="448" t="s">
        <v>34</v>
      </c>
      <c r="R152" s="448">
        <v>264066949.60999998</v>
      </c>
      <c r="S152" s="449">
        <v>43190</v>
      </c>
      <c r="T152" s="450">
        <v>-4.5566462456680945E-3</v>
      </c>
      <c r="U152" s="451">
        <v>-0.22785076849607327</v>
      </c>
      <c r="V152" s="450">
        <v>0.14287065991521297</v>
      </c>
      <c r="W152" s="451">
        <v>1.108006268215187</v>
      </c>
      <c r="X152" s="450">
        <v>0.28438213573764126</v>
      </c>
      <c r="Y152" s="451">
        <v>1.4728129698354884</v>
      </c>
      <c r="Z152" s="450">
        <v>0.38907211805200492</v>
      </c>
      <c r="AA152" s="451">
        <v>1.756768391883808</v>
      </c>
      <c r="AB152" s="450">
        <v>3.0219029266551765E-2</v>
      </c>
      <c r="AC152" s="452">
        <v>0.46086028593379019</v>
      </c>
      <c r="AD152" s="147">
        <v>29148660000104</v>
      </c>
    </row>
    <row r="153" spans="5:30">
      <c r="E153" s="446" t="s">
        <v>4586</v>
      </c>
      <c r="F153" s="146" t="s">
        <v>715</v>
      </c>
      <c r="G153" s="146" t="s">
        <v>34</v>
      </c>
      <c r="H153" s="146" t="s">
        <v>1324</v>
      </c>
      <c r="I153" s="447" t="s">
        <v>34</v>
      </c>
      <c r="J153" s="146" t="s">
        <v>619</v>
      </c>
      <c r="K153" s="146" t="s">
        <v>611</v>
      </c>
      <c r="L153" s="146" t="s">
        <v>48</v>
      </c>
      <c r="M153" s="146">
        <v>43</v>
      </c>
      <c r="N153" s="447">
        <v>0</v>
      </c>
      <c r="O153" s="447">
        <v>4.6666666666666697E-3</v>
      </c>
      <c r="P153" s="448">
        <v>10000</v>
      </c>
      <c r="Q153" s="448" t="s">
        <v>34</v>
      </c>
      <c r="R153" s="448">
        <v>140216005.95999998</v>
      </c>
      <c r="S153" s="449">
        <v>43282</v>
      </c>
      <c r="T153" s="450">
        <v>-4.2733427552801295E-3</v>
      </c>
      <c r="U153" s="451">
        <v>-0.21368444648591398</v>
      </c>
      <c r="V153" s="450">
        <v>6.9198649293152226E-2</v>
      </c>
      <c r="W153" s="451">
        <v>0.53665698201673206</v>
      </c>
      <c r="X153" s="450">
        <v>0.15606815680362129</v>
      </c>
      <c r="Y153" s="451">
        <v>0.80827582549260535</v>
      </c>
      <c r="Z153" s="450">
        <v>0.32222444383354154</v>
      </c>
      <c r="AA153" s="451">
        <v>1.454932624967594</v>
      </c>
      <c r="AB153" s="450">
        <v>4.8787784994119412E-2</v>
      </c>
      <c r="AC153" s="452">
        <v>-1.2245946431230166</v>
      </c>
      <c r="AD153" s="147">
        <v>29993583000180</v>
      </c>
    </row>
    <row r="154" spans="5:30">
      <c r="E154" s="446" t="s">
        <v>2708</v>
      </c>
      <c r="F154" s="146" t="s">
        <v>715</v>
      </c>
      <c r="G154" s="146" t="s">
        <v>1414</v>
      </c>
      <c r="H154" s="146" t="s">
        <v>1321</v>
      </c>
      <c r="I154" s="447" t="s">
        <v>34</v>
      </c>
      <c r="J154" s="146" t="s">
        <v>619</v>
      </c>
      <c r="K154" s="146" t="s">
        <v>611</v>
      </c>
      <c r="L154" s="146" t="s">
        <v>48</v>
      </c>
      <c r="M154" s="146">
        <v>61</v>
      </c>
      <c r="N154" s="447">
        <v>2.3E-2</v>
      </c>
      <c r="O154" s="447">
        <v>3.16666E-3</v>
      </c>
      <c r="P154" s="448">
        <v>5000</v>
      </c>
      <c r="Q154" s="448" t="s">
        <v>34</v>
      </c>
      <c r="R154" s="448">
        <v>839260847.79999995</v>
      </c>
      <c r="S154" s="449">
        <v>40515</v>
      </c>
      <c r="T154" s="450">
        <v>2.232923411945742E-2</v>
      </c>
      <c r="U154" s="451">
        <v>1.1165521481690424</v>
      </c>
      <c r="V154" s="450">
        <v>0.180583743347005</v>
      </c>
      <c r="W154" s="451">
        <v>1.40048292410063</v>
      </c>
      <c r="X154" s="450">
        <v>0.32789497529870837</v>
      </c>
      <c r="Y154" s="451">
        <v>1.6981656428987275</v>
      </c>
      <c r="Z154" s="450">
        <v>0.48234648164362248</v>
      </c>
      <c r="AA154" s="451">
        <v>2.1779279819136677</v>
      </c>
      <c r="AB154" s="450">
        <v>7.8453091987259013E-2</v>
      </c>
      <c r="AC154" s="452">
        <v>0.65822560452560741</v>
      </c>
      <c r="AD154" s="147">
        <v>12831360000114</v>
      </c>
    </row>
    <row r="155" spans="5:30">
      <c r="E155" s="446" t="s">
        <v>2711</v>
      </c>
      <c r="F155" s="146" t="s">
        <v>715</v>
      </c>
      <c r="G155" s="146" t="s">
        <v>1414</v>
      </c>
      <c r="H155" s="146" t="s">
        <v>1324</v>
      </c>
      <c r="I155" s="447" t="s">
        <v>34</v>
      </c>
      <c r="J155" s="146" t="s">
        <v>619</v>
      </c>
      <c r="K155" s="146" t="s">
        <v>611</v>
      </c>
      <c r="L155" s="146" t="s">
        <v>48</v>
      </c>
      <c r="M155" s="146">
        <v>61</v>
      </c>
      <c r="N155" s="447">
        <v>0</v>
      </c>
      <c r="O155" s="447">
        <v>1.2666666666666701E-3</v>
      </c>
      <c r="P155" s="448">
        <v>1000</v>
      </c>
      <c r="Q155" s="448" t="s">
        <v>34</v>
      </c>
      <c r="R155" s="448">
        <v>518185176.27000004</v>
      </c>
      <c r="S155" s="449">
        <v>43338</v>
      </c>
      <c r="T155" s="450">
        <v>-2.558472228373132E-2</v>
      </c>
      <c r="U155" s="451">
        <v>-1.2793397423925044</v>
      </c>
      <c r="V155" s="450">
        <v>0.17510067136446406</v>
      </c>
      <c r="W155" s="451">
        <v>1.35796000071429</v>
      </c>
      <c r="X155" s="450">
        <v>0.42857342205527504</v>
      </c>
      <c r="Y155" s="451">
        <v>2.2195785712507399</v>
      </c>
      <c r="Z155" s="450">
        <v>0.65310730086144497</v>
      </c>
      <c r="AA155" s="451">
        <v>2.9489603840195366</v>
      </c>
      <c r="AB155" s="450">
        <v>6.0632883104905715E-2</v>
      </c>
      <c r="AC155" s="452">
        <v>0.76124966444060171</v>
      </c>
      <c r="AD155" s="147">
        <v>30593439000136</v>
      </c>
    </row>
    <row r="156" spans="5:30">
      <c r="E156" s="446" t="s">
        <v>4289</v>
      </c>
      <c r="F156" s="146" t="s">
        <v>715</v>
      </c>
      <c r="G156" s="146" t="s">
        <v>1414</v>
      </c>
      <c r="H156" s="146" t="s">
        <v>1321</v>
      </c>
      <c r="I156" s="447" t="s">
        <v>34</v>
      </c>
      <c r="J156" s="146" t="s">
        <v>619</v>
      </c>
      <c r="K156" s="146" t="s">
        <v>611</v>
      </c>
      <c r="L156" s="146" t="s">
        <v>48</v>
      </c>
      <c r="M156" s="146">
        <v>61</v>
      </c>
      <c r="N156" s="447">
        <v>1.9E-2</v>
      </c>
      <c r="O156" s="447">
        <v>0</v>
      </c>
      <c r="P156" s="448">
        <v>1000</v>
      </c>
      <c r="Q156" s="448" t="s">
        <v>34</v>
      </c>
      <c r="R156" s="448">
        <v>445811137.75999999</v>
      </c>
      <c r="S156" s="449">
        <v>44876</v>
      </c>
      <c r="T156" s="450">
        <v>-2.5558737304619661E-2</v>
      </c>
      <c r="U156" s="451">
        <v>-1.2780403881875175</v>
      </c>
      <c r="V156" s="450" t="s">
        <v>34</v>
      </c>
      <c r="W156" s="451" t="s">
        <v>34</v>
      </c>
      <c r="X156" s="450" t="s">
        <v>34</v>
      </c>
      <c r="Y156" s="451" t="s">
        <v>34</v>
      </c>
      <c r="Z156" s="450" t="s">
        <v>34</v>
      </c>
      <c r="AA156" s="451" t="s">
        <v>34</v>
      </c>
      <c r="AB156" s="450">
        <v>5.3605171068584048E-2</v>
      </c>
      <c r="AC156" s="452" t="s">
        <v>34</v>
      </c>
      <c r="AD156" s="147">
        <v>47212318000108</v>
      </c>
    </row>
    <row r="157" spans="5:30">
      <c r="E157" s="446" t="s">
        <v>2084</v>
      </c>
      <c r="F157" s="146" t="s">
        <v>715</v>
      </c>
      <c r="G157" s="146" t="s">
        <v>34</v>
      </c>
      <c r="H157" s="146" t="s">
        <v>1321</v>
      </c>
      <c r="I157" s="447" t="s">
        <v>34</v>
      </c>
      <c r="J157" s="146" t="s">
        <v>619</v>
      </c>
      <c r="K157" s="146" t="s">
        <v>611</v>
      </c>
      <c r="L157" s="146" t="s">
        <v>48</v>
      </c>
      <c r="M157" s="146">
        <v>90</v>
      </c>
      <c r="N157" s="447">
        <v>1.9799999999999998E-2</v>
      </c>
      <c r="O157" s="447">
        <v>3.9500000000000004E-3</v>
      </c>
      <c r="P157" s="448">
        <v>50000</v>
      </c>
      <c r="Q157" s="448" t="s">
        <v>34</v>
      </c>
      <c r="R157" s="448">
        <v>871751952.31999993</v>
      </c>
      <c r="S157" s="449">
        <v>43371</v>
      </c>
      <c r="T157" s="450">
        <v>3.5971970928075248E-2</v>
      </c>
      <c r="U157" s="451">
        <v>1.7987442470594117</v>
      </c>
      <c r="V157" s="450">
        <v>0.21994802752675469</v>
      </c>
      <c r="W157" s="451">
        <v>1.7057651537820113</v>
      </c>
      <c r="X157" s="450">
        <v>0.31329405623504991</v>
      </c>
      <c r="Y157" s="451">
        <v>1.6225475914599639</v>
      </c>
      <c r="Z157" s="450">
        <v>0.56250950246143994</v>
      </c>
      <c r="AA157" s="451">
        <v>2.53988622727897</v>
      </c>
      <c r="AB157" s="450">
        <v>5.1871533492231628E-2</v>
      </c>
      <c r="AC157" s="452">
        <v>1.7544134895027785</v>
      </c>
      <c r="AD157" s="147">
        <v>30556738000109</v>
      </c>
    </row>
    <row r="158" spans="5:30">
      <c r="E158" s="446" t="s">
        <v>4587</v>
      </c>
      <c r="F158" s="146" t="s">
        <v>715</v>
      </c>
      <c r="G158" s="146" t="s">
        <v>1414</v>
      </c>
      <c r="H158" s="146" t="s">
        <v>1324</v>
      </c>
      <c r="I158" s="447" t="s">
        <v>34</v>
      </c>
      <c r="J158" s="146" t="s">
        <v>619</v>
      </c>
      <c r="K158" s="146" t="s">
        <v>611</v>
      </c>
      <c r="L158" s="146" t="s">
        <v>48</v>
      </c>
      <c r="M158" s="146">
        <v>91</v>
      </c>
      <c r="N158" s="447">
        <v>1.9E-2</v>
      </c>
      <c r="O158" s="447">
        <v>0</v>
      </c>
      <c r="P158" s="448">
        <v>50000</v>
      </c>
      <c r="Q158" s="448" t="s">
        <v>34</v>
      </c>
      <c r="R158" s="448">
        <v>1092861501.73</v>
      </c>
      <c r="S158" s="449">
        <v>43859</v>
      </c>
      <c r="T158" s="450">
        <v>2.4807200609695101E-2</v>
      </c>
      <c r="U158" s="451">
        <v>1.2404605094215606</v>
      </c>
      <c r="V158" s="450">
        <v>0.26248270605186486</v>
      </c>
      <c r="W158" s="451">
        <v>2.0356347746706436</v>
      </c>
      <c r="X158" s="450">
        <v>0.51778537376798672</v>
      </c>
      <c r="Y158" s="451">
        <v>2.681606606893725</v>
      </c>
      <c r="Z158" s="450">
        <v>0.90205189999999624</v>
      </c>
      <c r="AA158" s="451">
        <v>4.0730142105605989</v>
      </c>
      <c r="AB158" s="450">
        <v>7.1615368564584378E-2</v>
      </c>
      <c r="AC158" s="452">
        <v>1.86466675074985</v>
      </c>
      <c r="AD158" s="147">
        <v>35726908000161</v>
      </c>
    </row>
    <row r="159" spans="5:30">
      <c r="E159" s="446" t="s">
        <v>4695</v>
      </c>
      <c r="F159" s="146" t="s">
        <v>4572</v>
      </c>
      <c r="G159" s="146" t="s">
        <v>34</v>
      </c>
      <c r="H159" s="146" t="s">
        <v>1321</v>
      </c>
      <c r="I159" s="447" t="s">
        <v>4400</v>
      </c>
      <c r="J159" s="146" t="s">
        <v>619</v>
      </c>
      <c r="K159" s="146" t="s">
        <v>608</v>
      </c>
      <c r="L159" s="146" t="s">
        <v>48</v>
      </c>
      <c r="M159" s="146">
        <v>5</v>
      </c>
      <c r="N159" s="447">
        <v>0.02</v>
      </c>
      <c r="O159" s="447">
        <v>0</v>
      </c>
      <c r="P159" s="448">
        <v>0</v>
      </c>
      <c r="Q159" s="448" t="s">
        <v>34</v>
      </c>
      <c r="R159" s="448">
        <v>0</v>
      </c>
      <c r="S159" s="449">
        <v>43201</v>
      </c>
      <c r="T159" s="450" t="s">
        <v>34</v>
      </c>
      <c r="U159" s="451" t="s">
        <v>34</v>
      </c>
      <c r="V159" s="450" t="s">
        <v>34</v>
      </c>
      <c r="W159" s="451" t="s">
        <v>34</v>
      </c>
      <c r="X159" s="450" t="s">
        <v>34</v>
      </c>
      <c r="Y159" s="451" t="s">
        <v>34</v>
      </c>
      <c r="Z159" s="450" t="s">
        <v>34</v>
      </c>
      <c r="AA159" s="451" t="s">
        <v>34</v>
      </c>
      <c r="AB159" s="450" t="s">
        <v>34</v>
      </c>
      <c r="AC159" s="452" t="s">
        <v>34</v>
      </c>
      <c r="AD159" s="147">
        <v>28692566000140</v>
      </c>
    </row>
    <row r="160" spans="5:30">
      <c r="E160" s="446" t="s">
        <v>4565</v>
      </c>
      <c r="F160" s="146" t="s">
        <v>4572</v>
      </c>
      <c r="G160" s="146" t="s">
        <v>34</v>
      </c>
      <c r="H160" s="146" t="s">
        <v>1321</v>
      </c>
      <c r="I160" s="447" t="s">
        <v>4400</v>
      </c>
      <c r="J160" s="146" t="s">
        <v>619</v>
      </c>
      <c r="K160" s="146" t="s">
        <v>608</v>
      </c>
      <c r="L160" s="146" t="s">
        <v>48</v>
      </c>
      <c r="M160" s="146">
        <v>7</v>
      </c>
      <c r="N160" s="447">
        <v>0.02</v>
      </c>
      <c r="O160" s="447">
        <v>0</v>
      </c>
      <c r="P160" s="448">
        <v>0</v>
      </c>
      <c r="Q160" s="448" t="s">
        <v>34</v>
      </c>
      <c r="R160" s="448">
        <v>0</v>
      </c>
      <c r="S160" s="449">
        <v>44652</v>
      </c>
      <c r="T160" s="450" t="s">
        <v>34</v>
      </c>
      <c r="U160" s="451" t="s">
        <v>34</v>
      </c>
      <c r="V160" s="450" t="s">
        <v>34</v>
      </c>
      <c r="W160" s="451" t="s">
        <v>34</v>
      </c>
      <c r="X160" s="450" t="s">
        <v>34</v>
      </c>
      <c r="Y160" s="451" t="s">
        <v>34</v>
      </c>
      <c r="Z160" s="450" t="s">
        <v>34</v>
      </c>
      <c r="AA160" s="451" t="s">
        <v>34</v>
      </c>
      <c r="AB160" s="450" t="s">
        <v>34</v>
      </c>
      <c r="AC160" s="452" t="s">
        <v>34</v>
      </c>
      <c r="AD160" s="147">
        <v>42535251000110</v>
      </c>
    </row>
    <row r="161" spans="5:30">
      <c r="E161" s="446" t="s">
        <v>4566</v>
      </c>
      <c r="F161" s="146" t="s">
        <v>4572</v>
      </c>
      <c r="G161" s="146" t="s">
        <v>34</v>
      </c>
      <c r="H161" s="146" t="s">
        <v>1321</v>
      </c>
      <c r="I161" s="447" t="s">
        <v>4400</v>
      </c>
      <c r="J161" s="146" t="s">
        <v>619</v>
      </c>
      <c r="K161" s="146" t="s">
        <v>608</v>
      </c>
      <c r="L161" s="146" t="s">
        <v>48</v>
      </c>
      <c r="M161" s="146">
        <v>9</v>
      </c>
      <c r="N161" s="447">
        <v>2.2000000000000002E-2</v>
      </c>
      <c r="O161" s="447">
        <v>0</v>
      </c>
      <c r="P161" s="448">
        <v>1</v>
      </c>
      <c r="Q161" s="448" t="s">
        <v>34</v>
      </c>
      <c r="R161" s="448">
        <v>487382413.69</v>
      </c>
      <c r="S161" s="449">
        <v>44511</v>
      </c>
      <c r="T161" s="450">
        <v>5.7259032203766935E-3</v>
      </c>
      <c r="U161" s="451">
        <v>0.28631835318295218</v>
      </c>
      <c r="V161" s="450">
        <v>0.17656505869549743</v>
      </c>
      <c r="W161" s="451">
        <v>1.3693167785358722</v>
      </c>
      <c r="X161" s="450" t="s">
        <v>34</v>
      </c>
      <c r="Y161" s="451" t="s">
        <v>34</v>
      </c>
      <c r="Z161" s="450" t="s">
        <v>34</v>
      </c>
      <c r="AA161" s="451" t="s">
        <v>34</v>
      </c>
      <c r="AB161" s="450">
        <v>4.8499959772593346E-2</v>
      </c>
      <c r="AC161" s="452">
        <v>0.98188018035468827</v>
      </c>
      <c r="AD161" s="147">
        <v>41498482000139</v>
      </c>
    </row>
    <row r="162" spans="5:30">
      <c r="E162" s="446" t="s">
        <v>4698</v>
      </c>
      <c r="F162" s="146" t="s">
        <v>4572</v>
      </c>
      <c r="G162" s="146" t="s">
        <v>34</v>
      </c>
      <c r="H162" s="146" t="s">
        <v>1321</v>
      </c>
      <c r="I162" s="447" t="s">
        <v>4400</v>
      </c>
      <c r="J162" s="146" t="s">
        <v>619</v>
      </c>
      <c r="K162" s="146" t="s">
        <v>608</v>
      </c>
      <c r="L162" s="146" t="s">
        <v>48</v>
      </c>
      <c r="M162" s="146">
        <v>10</v>
      </c>
      <c r="N162" s="447">
        <v>1.9E-2</v>
      </c>
      <c r="O162" s="447">
        <v>0</v>
      </c>
      <c r="P162" s="448">
        <v>1000</v>
      </c>
      <c r="Q162" s="448" t="s">
        <v>34</v>
      </c>
      <c r="R162" s="448">
        <v>61238052.760000005</v>
      </c>
      <c r="S162" s="449">
        <v>44844</v>
      </c>
      <c r="T162" s="450">
        <v>1.6392945111280977E-3</v>
      </c>
      <c r="U162" s="451">
        <v>8.1971365345076763E-2</v>
      </c>
      <c r="V162" s="450" t="s">
        <v>34</v>
      </c>
      <c r="W162" s="451" t="s">
        <v>34</v>
      </c>
      <c r="X162" s="450" t="s">
        <v>34</v>
      </c>
      <c r="Y162" s="451" t="s">
        <v>34</v>
      </c>
      <c r="Z162" s="450" t="s">
        <v>34</v>
      </c>
      <c r="AA162" s="451" t="s">
        <v>34</v>
      </c>
      <c r="AB162" s="450">
        <v>2.8819153443257729E-2</v>
      </c>
      <c r="AC162" s="452" t="s">
        <v>34</v>
      </c>
      <c r="AD162" s="147">
        <v>43794322000162</v>
      </c>
    </row>
    <row r="163" spans="5:30">
      <c r="E163" s="446" t="s">
        <v>4700</v>
      </c>
      <c r="F163" s="146" t="s">
        <v>4572</v>
      </c>
      <c r="G163" s="146" t="s">
        <v>34</v>
      </c>
      <c r="H163" s="146" t="s">
        <v>1321</v>
      </c>
      <c r="I163" s="447" t="s">
        <v>4400</v>
      </c>
      <c r="J163" s="146" t="s">
        <v>619</v>
      </c>
      <c r="K163" s="146" t="s">
        <v>608</v>
      </c>
      <c r="L163" s="146" t="s">
        <v>48</v>
      </c>
      <c r="M163" s="146">
        <v>31</v>
      </c>
      <c r="N163" s="447">
        <v>0.01</v>
      </c>
      <c r="O163" s="447">
        <v>0</v>
      </c>
      <c r="P163" s="448">
        <v>0</v>
      </c>
      <c r="Q163" s="448" t="s">
        <v>34</v>
      </c>
      <c r="R163" s="448">
        <v>0</v>
      </c>
      <c r="S163" s="449">
        <v>44734</v>
      </c>
      <c r="T163" s="450" t="s">
        <v>34</v>
      </c>
      <c r="U163" s="451" t="s">
        <v>34</v>
      </c>
      <c r="V163" s="450" t="s">
        <v>34</v>
      </c>
      <c r="W163" s="451" t="s">
        <v>34</v>
      </c>
      <c r="X163" s="450" t="s">
        <v>34</v>
      </c>
      <c r="Y163" s="451" t="s">
        <v>34</v>
      </c>
      <c r="Z163" s="450" t="s">
        <v>34</v>
      </c>
      <c r="AA163" s="451" t="s">
        <v>34</v>
      </c>
      <c r="AB163" s="450" t="s">
        <v>34</v>
      </c>
      <c r="AC163" s="452" t="s">
        <v>34</v>
      </c>
      <c r="AD163" s="147">
        <v>44672717000155</v>
      </c>
    </row>
    <row r="164" spans="5:30">
      <c r="E164" s="446" t="s">
        <v>4570</v>
      </c>
      <c r="F164" s="146" t="s">
        <v>4572</v>
      </c>
      <c r="G164" s="146" t="s">
        <v>34</v>
      </c>
      <c r="H164" s="146" t="s">
        <v>1321</v>
      </c>
      <c r="I164" s="447" t="s">
        <v>4400</v>
      </c>
      <c r="J164" s="146" t="s">
        <v>619</v>
      </c>
      <c r="K164" s="146" t="s">
        <v>608</v>
      </c>
      <c r="L164" s="146" t="s">
        <v>48</v>
      </c>
      <c r="M164" s="146">
        <v>177</v>
      </c>
      <c r="N164" s="447">
        <v>0</v>
      </c>
      <c r="O164" s="447">
        <v>0</v>
      </c>
      <c r="P164" s="448">
        <v>0</v>
      </c>
      <c r="Q164" s="448" t="s">
        <v>34</v>
      </c>
      <c r="R164" s="448">
        <v>0</v>
      </c>
      <c r="S164" s="449">
        <v>44840</v>
      </c>
      <c r="T164" s="450" t="s">
        <v>34</v>
      </c>
      <c r="U164" s="451" t="s">
        <v>34</v>
      </c>
      <c r="V164" s="450" t="s">
        <v>34</v>
      </c>
      <c r="W164" s="451" t="s">
        <v>34</v>
      </c>
      <c r="X164" s="450" t="s">
        <v>34</v>
      </c>
      <c r="Y164" s="451" t="s">
        <v>34</v>
      </c>
      <c r="Z164" s="450" t="s">
        <v>34</v>
      </c>
      <c r="AA164" s="451" t="s">
        <v>34</v>
      </c>
      <c r="AB164" s="450" t="s">
        <v>34</v>
      </c>
      <c r="AC164" s="452" t="s">
        <v>34</v>
      </c>
      <c r="AD164" s="147">
        <v>43509130000167</v>
      </c>
    </row>
    <row r="165" spans="5:30">
      <c r="E165" s="446" t="s">
        <v>4595</v>
      </c>
      <c r="F165" s="146" t="s">
        <v>1339</v>
      </c>
      <c r="G165" s="146" t="s">
        <v>34</v>
      </c>
      <c r="H165" s="146" t="s">
        <v>1321</v>
      </c>
      <c r="I165" s="447" t="s">
        <v>34</v>
      </c>
      <c r="J165" s="146" t="s">
        <v>619</v>
      </c>
      <c r="K165" s="146" t="s">
        <v>608</v>
      </c>
      <c r="L165" s="146" t="s">
        <v>48</v>
      </c>
      <c r="M165" s="146">
        <v>5</v>
      </c>
      <c r="N165" s="447">
        <v>1.9E-2</v>
      </c>
      <c r="O165" s="447">
        <v>4.7499999999999999E-3</v>
      </c>
      <c r="P165" s="448">
        <v>50000</v>
      </c>
      <c r="Q165" s="448" t="s">
        <v>34</v>
      </c>
      <c r="R165" s="448">
        <v>2095755569</v>
      </c>
      <c r="S165" s="449">
        <v>41549</v>
      </c>
      <c r="T165" s="450">
        <v>1.1211992291118467E-2</v>
      </c>
      <c r="U165" s="451">
        <v>0.56064502754236256</v>
      </c>
      <c r="V165" s="450">
        <v>0.16011469345726481</v>
      </c>
      <c r="W165" s="451">
        <v>1.2417390952718073</v>
      </c>
      <c r="X165" s="450">
        <v>0.25236630745315947</v>
      </c>
      <c r="Y165" s="451">
        <v>1.3070032328240457</v>
      </c>
      <c r="Z165" s="450">
        <v>0.27866650536029924</v>
      </c>
      <c r="AA165" s="451">
        <v>1.2582564665511651</v>
      </c>
      <c r="AB165" s="450">
        <v>1.9447611954958685E-2</v>
      </c>
      <c r="AC165" s="452">
        <v>1.6028077937110752</v>
      </c>
      <c r="AD165" s="147">
        <v>18860059000115</v>
      </c>
    </row>
    <row r="166" spans="5:30">
      <c r="E166" s="446" t="s">
        <v>4604</v>
      </c>
      <c r="F166" s="146" t="s">
        <v>1339</v>
      </c>
      <c r="G166" s="146" t="s">
        <v>34</v>
      </c>
      <c r="H166" s="146" t="s">
        <v>1321</v>
      </c>
      <c r="I166" s="447" t="s">
        <v>34</v>
      </c>
      <c r="J166" s="146" t="s">
        <v>619</v>
      </c>
      <c r="K166" s="146" t="s">
        <v>611</v>
      </c>
      <c r="L166" s="146" t="s">
        <v>48</v>
      </c>
      <c r="M166" s="146">
        <v>15</v>
      </c>
      <c r="N166" s="447">
        <v>1.8000000000000002E-2</v>
      </c>
      <c r="O166" s="447">
        <v>5.0004000000000003E-3</v>
      </c>
      <c r="P166" s="448">
        <v>1000</v>
      </c>
      <c r="Q166" s="448" t="s">
        <v>34</v>
      </c>
      <c r="R166" s="448">
        <v>1190177619</v>
      </c>
      <c r="S166" s="449">
        <v>42424</v>
      </c>
      <c r="T166" s="450">
        <v>3.6920400683295718E-3</v>
      </c>
      <c r="U166" s="451">
        <v>0.18461695763346367</v>
      </c>
      <c r="V166" s="450">
        <v>0.11066875148743516</v>
      </c>
      <c r="W166" s="451">
        <v>0.85827048336164447</v>
      </c>
      <c r="X166" s="450">
        <v>0.21861730077480557</v>
      </c>
      <c r="Y166" s="451">
        <v>1.1322173777772269</v>
      </c>
      <c r="Z166" s="450">
        <v>0.3735425690176537</v>
      </c>
      <c r="AA166" s="451">
        <v>1.6866481760730432</v>
      </c>
      <c r="AB166" s="450">
        <v>4.3523738093606983E-2</v>
      </c>
      <c r="AC166" s="452">
        <v>-0.41988943872533674</v>
      </c>
      <c r="AD166" s="147">
        <v>22918359000185</v>
      </c>
    </row>
    <row r="167" spans="5:30">
      <c r="E167" s="446" t="s">
        <v>4608</v>
      </c>
      <c r="F167" s="146" t="s">
        <v>1339</v>
      </c>
      <c r="G167" s="146" t="s">
        <v>34</v>
      </c>
      <c r="H167" s="146" t="s">
        <v>1321</v>
      </c>
      <c r="I167" s="447" t="s">
        <v>34</v>
      </c>
      <c r="J167" s="146" t="s">
        <v>619</v>
      </c>
      <c r="K167" s="146" t="s">
        <v>611</v>
      </c>
      <c r="L167" s="146" t="s">
        <v>48</v>
      </c>
      <c r="M167" s="146">
        <v>18</v>
      </c>
      <c r="N167" s="447">
        <v>1.9E-2</v>
      </c>
      <c r="O167" s="447">
        <v>3.8E-3</v>
      </c>
      <c r="P167" s="448">
        <v>50000</v>
      </c>
      <c r="Q167" s="448" t="s">
        <v>34</v>
      </c>
      <c r="R167" s="448">
        <v>565527461</v>
      </c>
      <c r="S167" s="449">
        <v>42155</v>
      </c>
      <c r="T167" s="450">
        <v>1.4443629607447495E-2</v>
      </c>
      <c r="U167" s="451">
        <v>0.72223998276324919</v>
      </c>
      <c r="V167" s="450">
        <v>0.10669777165747218</v>
      </c>
      <c r="W167" s="451">
        <v>0.82747430348002171</v>
      </c>
      <c r="X167" s="450">
        <v>0.17636067494852803</v>
      </c>
      <c r="Y167" s="451">
        <v>0.91337062632078803</v>
      </c>
      <c r="Z167" s="450">
        <v>0.19454706632429941</v>
      </c>
      <c r="AA167" s="451">
        <v>0.8784338969429033</v>
      </c>
      <c r="AB167" s="450">
        <v>2.2678674392056369E-2</v>
      </c>
      <c r="AC167" s="452">
        <v>-0.98092760647016886</v>
      </c>
      <c r="AD167" s="147">
        <v>21983042000160</v>
      </c>
    </row>
    <row r="168" spans="5:30">
      <c r="E168" s="446" t="s">
        <v>4609</v>
      </c>
      <c r="F168" s="146" t="s">
        <v>1339</v>
      </c>
      <c r="G168" s="146" t="s">
        <v>34</v>
      </c>
      <c r="H168" s="146" t="s">
        <v>1321</v>
      </c>
      <c r="I168" s="447" t="s">
        <v>34</v>
      </c>
      <c r="J168" s="146" t="s">
        <v>619</v>
      </c>
      <c r="K168" s="146" t="s">
        <v>611</v>
      </c>
      <c r="L168" s="146" t="s">
        <v>48</v>
      </c>
      <c r="M168" s="146">
        <v>22</v>
      </c>
      <c r="N168" s="447">
        <v>0</v>
      </c>
      <c r="O168" s="447">
        <v>4.6666666666666697E-3</v>
      </c>
      <c r="P168" s="448">
        <v>500</v>
      </c>
      <c r="Q168" s="448" t="s">
        <v>34</v>
      </c>
      <c r="R168" s="448">
        <v>14449552.210000001</v>
      </c>
      <c r="S168" s="449">
        <v>43483</v>
      </c>
      <c r="T168" s="450">
        <v>1.7059024650909249E-2</v>
      </c>
      <c r="U168" s="451">
        <v>0.85302032831676022</v>
      </c>
      <c r="V168" s="450">
        <v>0.14432229871650248</v>
      </c>
      <c r="W168" s="451">
        <v>1.1192641772356093</v>
      </c>
      <c r="X168" s="450">
        <v>0.22040050641739128</v>
      </c>
      <c r="Y168" s="451">
        <v>1.1414525865623069</v>
      </c>
      <c r="Z168" s="450">
        <v>0.2706933719813327</v>
      </c>
      <c r="AA168" s="451">
        <v>1.2222555606662309</v>
      </c>
      <c r="AB168" s="450">
        <v>2.4515871690597928E-2</v>
      </c>
      <c r="AC168" s="452">
        <v>0.62728298890599477</v>
      </c>
      <c r="AD168" s="147">
        <v>29993579000112</v>
      </c>
    </row>
    <row r="169" spans="5:30">
      <c r="E169" s="446" t="s">
        <v>4614</v>
      </c>
      <c r="F169" s="146" t="s">
        <v>1339</v>
      </c>
      <c r="G169" s="146" t="s">
        <v>34</v>
      </c>
      <c r="H169" s="146" t="s">
        <v>1321</v>
      </c>
      <c r="I169" s="447" t="s">
        <v>34</v>
      </c>
      <c r="J169" s="146" t="s">
        <v>619</v>
      </c>
      <c r="K169" s="146" t="s">
        <v>611</v>
      </c>
      <c r="L169" s="146" t="s">
        <v>48</v>
      </c>
      <c r="M169" s="146">
        <v>30</v>
      </c>
      <c r="N169" s="447">
        <v>1.95E-2</v>
      </c>
      <c r="O169" s="447">
        <v>4.875E-3</v>
      </c>
      <c r="P169" s="448">
        <v>500</v>
      </c>
      <c r="Q169" s="448" t="s">
        <v>34</v>
      </c>
      <c r="R169" s="448">
        <v>264240711.99999997</v>
      </c>
      <c r="S169" s="449">
        <v>42652</v>
      </c>
      <c r="T169" s="450">
        <v>-1.1958896947821374E-2</v>
      </c>
      <c r="U169" s="451">
        <v>-0.59799328563565701</v>
      </c>
      <c r="V169" s="450">
        <v>0.1322521494210962</v>
      </c>
      <c r="W169" s="451">
        <v>1.0256564268021753</v>
      </c>
      <c r="X169" s="450">
        <v>2.1343735979040046E-2</v>
      </c>
      <c r="Y169" s="451">
        <v>0.11053905018729945</v>
      </c>
      <c r="Z169" s="450">
        <v>0.28655213047818373</v>
      </c>
      <c r="AA169" s="451">
        <v>1.2938622483961977</v>
      </c>
      <c r="AB169" s="450">
        <v>6.5811913816818071E-2</v>
      </c>
      <c r="AC169" s="452">
        <v>5.0268101661897498E-2</v>
      </c>
      <c r="AD169" s="147">
        <v>24592505000150</v>
      </c>
    </row>
    <row r="170" spans="5:30">
      <c r="E170" s="446" t="s">
        <v>4615</v>
      </c>
      <c r="F170" s="146" t="s">
        <v>1339</v>
      </c>
      <c r="G170" s="146" t="s">
        <v>34</v>
      </c>
      <c r="H170" s="146" t="s">
        <v>1324</v>
      </c>
      <c r="I170" s="447" t="s">
        <v>34</v>
      </c>
      <c r="J170" s="146" t="s">
        <v>619</v>
      </c>
      <c r="K170" s="146" t="s">
        <v>611</v>
      </c>
      <c r="L170" s="146" t="s">
        <v>49</v>
      </c>
      <c r="M170" s="146">
        <v>30</v>
      </c>
      <c r="N170" s="447">
        <v>1.9799999999999998E-2</v>
      </c>
      <c r="O170" s="447">
        <v>3.9500000000000004E-3</v>
      </c>
      <c r="P170" s="448">
        <v>50000</v>
      </c>
      <c r="Q170" s="448" t="s">
        <v>34</v>
      </c>
      <c r="R170" s="448">
        <v>30058111</v>
      </c>
      <c r="S170" s="449">
        <v>41502</v>
      </c>
      <c r="T170" s="450">
        <v>-2.1694482239910107E-3</v>
      </c>
      <c r="U170" s="451">
        <v>-0.10848119831964648</v>
      </c>
      <c r="V170" s="450">
        <v>8.2851069866606064E-2</v>
      </c>
      <c r="W170" s="451">
        <v>0.64253573683366916</v>
      </c>
      <c r="X170" s="450">
        <v>1.2329970791657319E-2</v>
      </c>
      <c r="Y170" s="451">
        <v>6.3856827196765401E-2</v>
      </c>
      <c r="Z170" s="450">
        <v>0.39546691678432344</v>
      </c>
      <c r="AA170" s="451">
        <v>1.7856426796164853</v>
      </c>
      <c r="AB170" s="450">
        <v>0.19921576845485173</v>
      </c>
      <c r="AC170" s="452">
        <v>-0.2313714418175101</v>
      </c>
      <c r="AD170" s="147">
        <v>18391171000154</v>
      </c>
    </row>
    <row r="171" spans="5:30">
      <c r="E171" s="446" t="s">
        <v>2717</v>
      </c>
      <c r="F171" s="146" t="s">
        <v>1339</v>
      </c>
      <c r="G171" s="146" t="s">
        <v>34</v>
      </c>
      <c r="H171" s="146" t="s">
        <v>1321</v>
      </c>
      <c r="I171" s="447" t="s">
        <v>34</v>
      </c>
      <c r="J171" s="146" t="s">
        <v>619</v>
      </c>
      <c r="K171" s="146" t="s">
        <v>611</v>
      </c>
      <c r="L171" s="146" t="s">
        <v>48</v>
      </c>
      <c r="M171" s="146">
        <v>30</v>
      </c>
      <c r="N171" s="447">
        <v>0</v>
      </c>
      <c r="O171" s="447">
        <v>5.0666666666666698E-3</v>
      </c>
      <c r="P171" s="448">
        <v>1000</v>
      </c>
      <c r="Q171" s="448" t="s">
        <v>34</v>
      </c>
      <c r="R171" s="448">
        <v>156387326.06</v>
      </c>
      <c r="S171" s="449">
        <v>44604</v>
      </c>
      <c r="T171" s="450">
        <v>2.3856232318869797E-2</v>
      </c>
      <c r="U171" s="451">
        <v>1.1929082430840245</v>
      </c>
      <c r="V171" s="450">
        <v>0.10623549999999948</v>
      </c>
      <c r="W171" s="451">
        <v>0.82388924343758929</v>
      </c>
      <c r="X171" s="450" t="s">
        <v>34</v>
      </c>
      <c r="Y171" s="451" t="s">
        <v>34</v>
      </c>
      <c r="Z171" s="450" t="s">
        <v>34</v>
      </c>
      <c r="AA171" s="451" t="s">
        <v>34</v>
      </c>
      <c r="AB171" s="450">
        <v>3.9598265419305161E-2</v>
      </c>
      <c r="AC171" s="452">
        <v>-0.573469802435284</v>
      </c>
      <c r="AD171" s="147">
        <v>45126795000117</v>
      </c>
    </row>
    <row r="172" spans="5:30">
      <c r="E172" s="446" t="s">
        <v>1727</v>
      </c>
      <c r="F172" s="146" t="s">
        <v>1339</v>
      </c>
      <c r="G172" s="146" t="s">
        <v>34</v>
      </c>
      <c r="H172" s="146" t="s">
        <v>1321</v>
      </c>
      <c r="I172" s="447" t="s">
        <v>34</v>
      </c>
      <c r="J172" s="146" t="s">
        <v>619</v>
      </c>
      <c r="K172" s="146" t="s">
        <v>611</v>
      </c>
      <c r="L172" s="146" t="s">
        <v>48</v>
      </c>
      <c r="M172" s="146">
        <v>31</v>
      </c>
      <c r="N172" s="447">
        <v>0</v>
      </c>
      <c r="O172" s="447">
        <v>4.7999999999999996E-3</v>
      </c>
      <c r="P172" s="448">
        <v>500</v>
      </c>
      <c r="Q172" s="448" t="s">
        <v>34</v>
      </c>
      <c r="R172" s="448">
        <v>316416951.15999997</v>
      </c>
      <c r="S172" s="449">
        <v>43740</v>
      </c>
      <c r="T172" s="450">
        <v>3.4676404754722112E-2</v>
      </c>
      <c r="U172" s="451">
        <v>1.7339606908382841</v>
      </c>
      <c r="V172" s="450">
        <v>0.17195342178594086</v>
      </c>
      <c r="W172" s="451">
        <v>1.3335521043504686</v>
      </c>
      <c r="X172" s="450">
        <v>0.28165863614183073</v>
      </c>
      <c r="Y172" s="451">
        <v>1.4587079856470579</v>
      </c>
      <c r="Z172" s="450">
        <v>0.38497387456995424</v>
      </c>
      <c r="AA172" s="451">
        <v>1.7382636872867334</v>
      </c>
      <c r="AB172" s="450">
        <v>4.064926792440747E-2</v>
      </c>
      <c r="AC172" s="452">
        <v>1.0580636389106495</v>
      </c>
      <c r="AD172" s="147">
        <v>34774662000130</v>
      </c>
    </row>
    <row r="173" spans="5:30">
      <c r="E173" s="446" t="s">
        <v>4620</v>
      </c>
      <c r="F173" s="146" t="s">
        <v>1339</v>
      </c>
      <c r="G173" s="146" t="s">
        <v>34</v>
      </c>
      <c r="H173" s="146" t="s">
        <v>1321</v>
      </c>
      <c r="I173" s="447" t="s">
        <v>34</v>
      </c>
      <c r="J173" s="146" t="s">
        <v>619</v>
      </c>
      <c r="K173" s="146" t="s">
        <v>611</v>
      </c>
      <c r="L173" s="146" t="s">
        <v>48</v>
      </c>
      <c r="M173" s="146">
        <v>31</v>
      </c>
      <c r="N173" s="447">
        <v>0</v>
      </c>
      <c r="O173" s="447">
        <v>4.0000000000000001E-3</v>
      </c>
      <c r="P173" s="448">
        <v>500</v>
      </c>
      <c r="Q173" s="448" t="s">
        <v>34</v>
      </c>
      <c r="R173" s="448">
        <v>1059890492</v>
      </c>
      <c r="S173" s="449">
        <v>41854</v>
      </c>
      <c r="T173" s="450">
        <v>1.2439522895118404E-2</v>
      </c>
      <c r="U173" s="451">
        <v>0.62202652972496753</v>
      </c>
      <c r="V173" s="450">
        <v>0.18536805464152262</v>
      </c>
      <c r="W173" s="451">
        <v>1.4375867416833594</v>
      </c>
      <c r="X173" s="450">
        <v>0.28482506004003016</v>
      </c>
      <c r="Y173" s="451">
        <v>1.4751068715094511</v>
      </c>
      <c r="Z173" s="450">
        <v>0.36272396270419649</v>
      </c>
      <c r="AA173" s="451">
        <v>1.6377991716497144</v>
      </c>
      <c r="AB173" s="450">
        <v>7.02428910151391E-2</v>
      </c>
      <c r="AC173" s="452">
        <v>0.80327196644815557</v>
      </c>
      <c r="AD173" s="147">
        <v>20226378000115</v>
      </c>
    </row>
    <row r="174" spans="5:30">
      <c r="E174" s="446" t="s">
        <v>4621</v>
      </c>
      <c r="F174" s="146" t="s">
        <v>1339</v>
      </c>
      <c r="G174" s="146" t="s">
        <v>1414</v>
      </c>
      <c r="H174" s="146" t="s">
        <v>1321</v>
      </c>
      <c r="I174" s="447" t="s">
        <v>34</v>
      </c>
      <c r="J174" s="146" t="s">
        <v>619</v>
      </c>
      <c r="K174" s="146" t="s">
        <v>34</v>
      </c>
      <c r="L174" s="146" t="s">
        <v>48</v>
      </c>
      <c r="M174" s="146">
        <v>31</v>
      </c>
      <c r="N174" s="447">
        <v>0</v>
      </c>
      <c r="O174" s="447">
        <v>2.66666666666667E-3</v>
      </c>
      <c r="P174" s="448">
        <v>20000</v>
      </c>
      <c r="Q174" s="448" t="s">
        <v>34</v>
      </c>
      <c r="R174" s="448">
        <v>317114331.06</v>
      </c>
      <c r="S174" s="449">
        <v>43498</v>
      </c>
      <c r="T174" s="450">
        <v>5.9001849364903602E-3</v>
      </c>
      <c r="U174" s="451">
        <v>0.29503314489825483</v>
      </c>
      <c r="V174" s="450">
        <v>0.15827336863714137</v>
      </c>
      <c r="W174" s="451">
        <v>1.2274590503435643</v>
      </c>
      <c r="X174" s="450">
        <v>0.19693673382631749</v>
      </c>
      <c r="Y174" s="451">
        <v>1.0199338824996669</v>
      </c>
      <c r="Z174" s="450">
        <v>0.27123517303622657</v>
      </c>
      <c r="AA174" s="451">
        <v>1.2247019425161882</v>
      </c>
      <c r="AB174" s="450">
        <v>2.703195453178428E-2</v>
      </c>
      <c r="AC174" s="452">
        <v>1.0849921767908908</v>
      </c>
      <c r="AD174" s="147">
        <v>32300350000160</v>
      </c>
    </row>
    <row r="175" spans="5:30">
      <c r="E175" s="446" t="s">
        <v>4622</v>
      </c>
      <c r="F175" s="146" t="s">
        <v>1339</v>
      </c>
      <c r="G175" s="146" t="s">
        <v>1414</v>
      </c>
      <c r="H175" s="146" t="s">
        <v>1321</v>
      </c>
      <c r="I175" s="447" t="s">
        <v>34</v>
      </c>
      <c r="J175" s="146" t="s">
        <v>619</v>
      </c>
      <c r="K175" s="146" t="s">
        <v>611</v>
      </c>
      <c r="L175" s="146" t="s">
        <v>48</v>
      </c>
      <c r="M175" s="146">
        <v>31</v>
      </c>
      <c r="N175" s="447">
        <v>1.8500000000000003E-2</v>
      </c>
      <c r="O175" s="447">
        <v>2.46666666666667E-3</v>
      </c>
      <c r="P175" s="448">
        <v>100000</v>
      </c>
      <c r="Q175" s="448" t="s">
        <v>34</v>
      </c>
      <c r="R175" s="448">
        <v>917236480</v>
      </c>
      <c r="S175" s="449">
        <v>40788</v>
      </c>
      <c r="T175" s="450">
        <v>5.5706623924716148E-3</v>
      </c>
      <c r="U175" s="451">
        <v>0.27855568300117844</v>
      </c>
      <c r="V175" s="450">
        <v>0.16000260331754212</v>
      </c>
      <c r="W175" s="451">
        <v>1.2408698014819448</v>
      </c>
      <c r="X175" s="450">
        <v>0.19875527002752968</v>
      </c>
      <c r="Y175" s="451">
        <v>1.0293520679855921</v>
      </c>
      <c r="Z175" s="450">
        <v>0.27412861171009584</v>
      </c>
      <c r="AA175" s="451">
        <v>1.2377666196551147</v>
      </c>
      <c r="AB175" s="450">
        <v>2.7994625206803861E-2</v>
      </c>
      <c r="AC175" s="452">
        <v>1.109452033785586</v>
      </c>
      <c r="AD175" s="147">
        <v>13812165000100</v>
      </c>
    </row>
    <row r="176" spans="5:30">
      <c r="E176" s="446" t="s">
        <v>2724</v>
      </c>
      <c r="F176" s="146" t="s">
        <v>1339</v>
      </c>
      <c r="G176" s="146" t="s">
        <v>34</v>
      </c>
      <c r="H176" s="146" t="s">
        <v>1324</v>
      </c>
      <c r="I176" s="447" t="s">
        <v>34</v>
      </c>
      <c r="J176" s="146" t="s">
        <v>619</v>
      </c>
      <c r="K176" s="146" t="s">
        <v>611</v>
      </c>
      <c r="L176" s="146" t="s">
        <v>48</v>
      </c>
      <c r="M176" s="146">
        <v>31</v>
      </c>
      <c r="N176" s="447">
        <v>0</v>
      </c>
      <c r="O176" s="447">
        <v>4.0000000000000001E-3</v>
      </c>
      <c r="P176" s="448">
        <v>10000</v>
      </c>
      <c r="Q176" s="448" t="s">
        <v>34</v>
      </c>
      <c r="R176" s="448">
        <v>89664024</v>
      </c>
      <c r="S176" s="449">
        <v>41334</v>
      </c>
      <c r="T176" s="450">
        <v>1.5040973579093952E-2</v>
      </c>
      <c r="U176" s="451">
        <v>0.75210960082401801</v>
      </c>
      <c r="V176" s="450">
        <v>0.15257364732160106</v>
      </c>
      <c r="W176" s="451">
        <v>1.1832559442023438</v>
      </c>
      <c r="X176" s="450">
        <v>0.27862815862412726</v>
      </c>
      <c r="Y176" s="451">
        <v>1.4430131650800369</v>
      </c>
      <c r="Z176" s="450">
        <v>0.31619358332266323</v>
      </c>
      <c r="AA176" s="451">
        <v>1.4277016191211276</v>
      </c>
      <c r="AB176" s="450">
        <v>3.1999325067874715E-2</v>
      </c>
      <c r="AC176" s="452">
        <v>0.73844488359335614</v>
      </c>
      <c r="AD176" s="147">
        <v>17429959000140</v>
      </c>
    </row>
    <row r="177" spans="1:30">
      <c r="E177" s="446" t="s">
        <v>2718</v>
      </c>
      <c r="F177" s="146" t="s">
        <v>1339</v>
      </c>
      <c r="G177" s="146" t="s">
        <v>34</v>
      </c>
      <c r="H177" s="146" t="s">
        <v>1324</v>
      </c>
      <c r="I177" s="447" t="s">
        <v>34</v>
      </c>
      <c r="J177" s="146" t="s">
        <v>619</v>
      </c>
      <c r="K177" s="146" t="s">
        <v>611</v>
      </c>
      <c r="L177" s="146" t="s">
        <v>48</v>
      </c>
      <c r="M177" s="146">
        <v>31</v>
      </c>
      <c r="N177" s="447">
        <v>0.02</v>
      </c>
      <c r="O177" s="447">
        <v>4.0000000000000001E-3</v>
      </c>
      <c r="P177" s="448">
        <v>5000</v>
      </c>
      <c r="Q177" s="448" t="s">
        <v>34</v>
      </c>
      <c r="R177" s="448">
        <v>1532897227.46</v>
      </c>
      <c r="S177" s="449">
        <v>43499</v>
      </c>
      <c r="T177" s="450">
        <v>1.9777824807190258E-2</v>
      </c>
      <c r="U177" s="451">
        <v>0.98897134834268363</v>
      </c>
      <c r="V177" s="450">
        <v>0.23599012611687709</v>
      </c>
      <c r="W177" s="451">
        <v>1.8301766025968353</v>
      </c>
      <c r="X177" s="450">
        <v>0.34146464047218439</v>
      </c>
      <c r="Y177" s="451">
        <v>1.7684428380958908</v>
      </c>
      <c r="Z177" s="450">
        <v>0.55437361159751841</v>
      </c>
      <c r="AA177" s="451">
        <v>2.5031504262631716</v>
      </c>
      <c r="AB177" s="450">
        <v>9.2924272906978717E-2</v>
      </c>
      <c r="AC177" s="452">
        <v>1.151972604372667</v>
      </c>
      <c r="AD177" s="147">
        <v>32397723000162</v>
      </c>
    </row>
    <row r="178" spans="1:30">
      <c r="E178" s="446" t="s">
        <v>4632</v>
      </c>
      <c r="F178" s="146" t="s">
        <v>1339</v>
      </c>
      <c r="G178" s="146" t="s">
        <v>34</v>
      </c>
      <c r="H178" s="146" t="s">
        <v>1321</v>
      </c>
      <c r="I178" s="447" t="s">
        <v>34</v>
      </c>
      <c r="J178" s="146" t="s">
        <v>619</v>
      </c>
      <c r="K178" s="146" t="s">
        <v>611</v>
      </c>
      <c r="L178" s="146" t="s">
        <v>48</v>
      </c>
      <c r="M178" s="146">
        <v>32</v>
      </c>
      <c r="N178" s="447">
        <v>0.02</v>
      </c>
      <c r="O178" s="447">
        <v>5.0000000000000001E-3</v>
      </c>
      <c r="P178" s="448">
        <v>10000</v>
      </c>
      <c r="Q178" s="448" t="s">
        <v>34</v>
      </c>
      <c r="R178" s="448">
        <v>1354292677</v>
      </c>
      <c r="S178" s="449">
        <v>41286</v>
      </c>
      <c r="T178" s="450">
        <v>7.4548300750445495E-3</v>
      </c>
      <c r="U178" s="451">
        <v>0.37277169875132438</v>
      </c>
      <c r="V178" s="450">
        <v>0.11429368222589575</v>
      </c>
      <c r="W178" s="451">
        <v>0.88638294523760852</v>
      </c>
      <c r="X178" s="450">
        <v>0.14949666482714496</v>
      </c>
      <c r="Y178" s="451">
        <v>0.77424211733080572</v>
      </c>
      <c r="Z178" s="450">
        <v>0.25383104154955127</v>
      </c>
      <c r="AA178" s="451">
        <v>1.1461174676454031</v>
      </c>
      <c r="AB178" s="450">
        <v>4.2378814782188842E-2</v>
      </c>
      <c r="AC178" s="452">
        <v>-0.34569695486268909</v>
      </c>
      <c r="AD178" s="147">
        <v>17162002000180</v>
      </c>
    </row>
    <row r="179" spans="1:30">
      <c r="E179" s="446" t="s">
        <v>4639</v>
      </c>
      <c r="F179" s="146" t="s">
        <v>1339</v>
      </c>
      <c r="G179" s="146" t="s">
        <v>34</v>
      </c>
      <c r="H179" s="146" t="s">
        <v>1321</v>
      </c>
      <c r="I179" s="447" t="s">
        <v>34</v>
      </c>
      <c r="J179" s="146" t="s">
        <v>619</v>
      </c>
      <c r="K179" s="146" t="s">
        <v>611</v>
      </c>
      <c r="L179" s="146" t="s">
        <v>48</v>
      </c>
      <c r="M179" s="146">
        <v>46</v>
      </c>
      <c r="N179" s="447">
        <v>0</v>
      </c>
      <c r="O179" s="447">
        <v>5.4000000000000003E-3</v>
      </c>
      <c r="P179" s="448">
        <v>0</v>
      </c>
      <c r="Q179" s="448" t="s">
        <v>34</v>
      </c>
      <c r="R179" s="448">
        <v>16758160.409999998</v>
      </c>
      <c r="S179" s="449">
        <v>44538</v>
      </c>
      <c r="T179" s="450">
        <v>6.6459372665932381E-3</v>
      </c>
      <c r="U179" s="451">
        <v>0.33232378199417106</v>
      </c>
      <c r="V179" s="450">
        <v>0.12007109317034526</v>
      </c>
      <c r="W179" s="451">
        <v>0.93118855854060589</v>
      </c>
      <c r="X179" s="450" t="s">
        <v>34</v>
      </c>
      <c r="Y179" s="451" t="s">
        <v>34</v>
      </c>
      <c r="Z179" s="450" t="s">
        <v>34</v>
      </c>
      <c r="AA179" s="451" t="s">
        <v>34</v>
      </c>
      <c r="AB179" s="450">
        <v>2.8365913342791028E-2</v>
      </c>
      <c r="AC179" s="452">
        <v>-0.31279853989605633</v>
      </c>
      <c r="AD179" s="147">
        <v>44417227000102</v>
      </c>
    </row>
    <row r="180" spans="1:30">
      <c r="E180" s="446" t="s">
        <v>4641</v>
      </c>
      <c r="F180" s="146" t="s">
        <v>1339</v>
      </c>
      <c r="G180" s="146" t="s">
        <v>1414</v>
      </c>
      <c r="H180" s="146" t="s">
        <v>1321</v>
      </c>
      <c r="I180" s="447" t="s">
        <v>34</v>
      </c>
      <c r="J180" s="146" t="s">
        <v>619</v>
      </c>
      <c r="K180" s="146" t="s">
        <v>611</v>
      </c>
      <c r="L180" s="146" t="s">
        <v>48</v>
      </c>
      <c r="M180" s="146">
        <v>47</v>
      </c>
      <c r="N180" s="447">
        <v>0.01</v>
      </c>
      <c r="O180" s="447">
        <v>3.0000000000000001E-3</v>
      </c>
      <c r="P180" s="448">
        <v>300000</v>
      </c>
      <c r="Q180" s="448" t="s">
        <v>34</v>
      </c>
      <c r="R180" s="448">
        <v>411513852</v>
      </c>
      <c r="S180" s="449">
        <v>42532</v>
      </c>
      <c r="T180" s="450">
        <v>9.8510800785505115E-3</v>
      </c>
      <c r="U180" s="451">
        <v>0.49259390468328812</v>
      </c>
      <c r="V180" s="450">
        <v>0.10332560537341462</v>
      </c>
      <c r="W180" s="451">
        <v>0.8013221083238079</v>
      </c>
      <c r="X180" s="450">
        <v>0.15945724199265854</v>
      </c>
      <c r="Y180" s="451">
        <v>0.82582787252729095</v>
      </c>
      <c r="Z180" s="450">
        <v>0.27587330992836412</v>
      </c>
      <c r="AA180" s="451">
        <v>1.2456444154184698</v>
      </c>
      <c r="AB180" s="450">
        <v>5.5358988777130795E-2</v>
      </c>
      <c r="AC180" s="452">
        <v>-0.46276683587032647</v>
      </c>
      <c r="AD180" s="147">
        <v>24140275000199</v>
      </c>
    </row>
    <row r="181" spans="1:30">
      <c r="E181" s="446" t="s">
        <v>4642</v>
      </c>
      <c r="F181" s="146" t="s">
        <v>1339</v>
      </c>
      <c r="G181" s="146" t="s">
        <v>1414</v>
      </c>
      <c r="H181" s="146" t="s">
        <v>1324</v>
      </c>
      <c r="I181" s="447" t="s">
        <v>34</v>
      </c>
      <c r="J181" s="146" t="s">
        <v>619</v>
      </c>
      <c r="K181" s="146" t="s">
        <v>611</v>
      </c>
      <c r="L181" s="146" t="s">
        <v>48</v>
      </c>
      <c r="M181" s="146">
        <v>61</v>
      </c>
      <c r="N181" s="447">
        <v>0.02</v>
      </c>
      <c r="O181" s="447">
        <v>0</v>
      </c>
      <c r="P181" s="448">
        <v>100000</v>
      </c>
      <c r="Q181" s="448" t="s">
        <v>34</v>
      </c>
      <c r="R181" s="448">
        <v>2279007796</v>
      </c>
      <c r="S181" s="449">
        <v>40424</v>
      </c>
      <c r="T181" s="450">
        <v>1.3466695335769385E-2</v>
      </c>
      <c r="U181" s="451">
        <v>0.67338931221061959</v>
      </c>
      <c r="V181" s="450">
        <v>0.1802517989326653</v>
      </c>
      <c r="W181" s="451">
        <v>1.3979085922398709</v>
      </c>
      <c r="X181" s="450">
        <v>0.35725729903829984</v>
      </c>
      <c r="Y181" s="451">
        <v>1.8502328995708377</v>
      </c>
      <c r="Z181" s="450">
        <v>0.40035642145060923</v>
      </c>
      <c r="AA181" s="451">
        <v>1.8077201476517331</v>
      </c>
      <c r="AB181" s="450">
        <v>5.3893854902014246E-2</v>
      </c>
      <c r="AC181" s="452">
        <v>0.95201743462517374</v>
      </c>
      <c r="AD181" s="147">
        <v>12105992000109</v>
      </c>
    </row>
    <row r="182" spans="1:30">
      <c r="E182" s="446" t="s">
        <v>4702</v>
      </c>
      <c r="F182" s="146" t="s">
        <v>4571</v>
      </c>
      <c r="G182" s="146" t="s">
        <v>34</v>
      </c>
      <c r="H182" s="146" t="s">
        <v>1321</v>
      </c>
      <c r="I182" s="447" t="s">
        <v>4397</v>
      </c>
      <c r="J182" s="146" t="s">
        <v>619</v>
      </c>
      <c r="K182" s="146" t="s">
        <v>608</v>
      </c>
      <c r="L182" s="146" t="s">
        <v>48</v>
      </c>
      <c r="M182" s="146">
        <v>3</v>
      </c>
      <c r="N182" s="447">
        <v>0.02</v>
      </c>
      <c r="O182" s="447">
        <v>0</v>
      </c>
      <c r="P182" s="448">
        <v>0</v>
      </c>
      <c r="Q182" s="448" t="s">
        <v>34</v>
      </c>
      <c r="R182" s="448">
        <v>324256335</v>
      </c>
      <c r="S182" s="449">
        <v>42471</v>
      </c>
      <c r="T182" s="450">
        <v>1.861632211427322E-3</v>
      </c>
      <c r="U182" s="451">
        <v>9.3089150915327934E-2</v>
      </c>
      <c r="V182" s="450">
        <v>1.861632211427322E-3</v>
      </c>
      <c r="W182" s="451">
        <v>1.4437535044612301E-2</v>
      </c>
      <c r="X182" s="450">
        <v>1.861632211427322E-3</v>
      </c>
      <c r="Y182" s="451">
        <v>9.6413794029002655E-3</v>
      </c>
      <c r="Z182" s="450">
        <v>1.861632211427322E-3</v>
      </c>
      <c r="AA182" s="451">
        <v>8.4057851349582744E-3</v>
      </c>
      <c r="AB182" s="450">
        <v>1.2183368551963858E-2</v>
      </c>
      <c r="AC182" s="452">
        <v>-10.430799716296558</v>
      </c>
      <c r="AD182" s="147">
        <v>23964741000198</v>
      </c>
    </row>
    <row r="183" spans="1:30">
      <c r="E183" s="446" t="s">
        <v>4703</v>
      </c>
      <c r="F183" s="146" t="s">
        <v>4571</v>
      </c>
      <c r="G183" s="146" t="s">
        <v>34</v>
      </c>
      <c r="H183" s="146" t="s">
        <v>1321</v>
      </c>
      <c r="I183" s="447" t="s">
        <v>4400</v>
      </c>
      <c r="J183" s="146" t="s">
        <v>619</v>
      </c>
      <c r="K183" s="146" t="s">
        <v>608</v>
      </c>
      <c r="L183" s="146" t="s">
        <v>48</v>
      </c>
      <c r="M183" s="146">
        <v>3</v>
      </c>
      <c r="N183" s="447">
        <v>0.02</v>
      </c>
      <c r="O183" s="447">
        <v>0</v>
      </c>
      <c r="P183" s="448">
        <v>0</v>
      </c>
      <c r="Q183" s="448" t="s">
        <v>34</v>
      </c>
      <c r="R183" s="448">
        <v>0</v>
      </c>
      <c r="S183" s="449">
        <v>43061</v>
      </c>
      <c r="T183" s="450" t="s">
        <v>34</v>
      </c>
      <c r="U183" s="451" t="s">
        <v>34</v>
      </c>
      <c r="V183" s="450" t="s">
        <v>34</v>
      </c>
      <c r="W183" s="451" t="s">
        <v>34</v>
      </c>
      <c r="X183" s="450" t="s">
        <v>34</v>
      </c>
      <c r="Y183" s="451" t="s">
        <v>34</v>
      </c>
      <c r="Z183" s="450" t="s">
        <v>34</v>
      </c>
      <c r="AA183" s="451" t="s">
        <v>34</v>
      </c>
      <c r="AB183" s="450" t="s">
        <v>34</v>
      </c>
      <c r="AC183" s="452" t="s">
        <v>34</v>
      </c>
      <c r="AD183" s="147">
        <v>21312800000118</v>
      </c>
    </row>
    <row r="184" spans="1:30">
      <c r="E184" s="446" t="s">
        <v>4705</v>
      </c>
      <c r="F184" s="146" t="s">
        <v>4571</v>
      </c>
      <c r="G184" s="146" t="s">
        <v>34</v>
      </c>
      <c r="H184" s="146" t="s">
        <v>1321</v>
      </c>
      <c r="I184" s="447" t="s">
        <v>4397</v>
      </c>
      <c r="J184" s="146" t="s">
        <v>619</v>
      </c>
      <c r="K184" s="146" t="s">
        <v>611</v>
      </c>
      <c r="L184" s="146" t="s">
        <v>48</v>
      </c>
      <c r="M184" s="146">
        <v>4</v>
      </c>
      <c r="N184" s="447">
        <v>2.5000000000000001E-2</v>
      </c>
      <c r="O184" s="447">
        <v>0</v>
      </c>
      <c r="P184" s="448">
        <v>500</v>
      </c>
      <c r="Q184" s="448" t="s">
        <v>34</v>
      </c>
      <c r="R184" s="448">
        <v>114966229.78</v>
      </c>
      <c r="S184" s="449">
        <v>44163</v>
      </c>
      <c r="T184" s="450">
        <v>7.6970049873983371E-3</v>
      </c>
      <c r="U184" s="451">
        <v>0.38488142527282865</v>
      </c>
      <c r="V184" s="450">
        <v>0.15090466815769621</v>
      </c>
      <c r="W184" s="451">
        <v>1.1703124932780984</v>
      </c>
      <c r="X184" s="450">
        <v>0.22811582360735461</v>
      </c>
      <c r="Y184" s="451">
        <v>1.1814101570134123</v>
      </c>
      <c r="Z184" s="450" t="s">
        <v>34</v>
      </c>
      <c r="AA184" s="451" t="s">
        <v>34</v>
      </c>
      <c r="AB184" s="450">
        <v>3.7968108233548743E-2</v>
      </c>
      <c r="AC184" s="452">
        <v>0.57840012928279794</v>
      </c>
      <c r="AD184" s="147">
        <v>37367841000141</v>
      </c>
    </row>
    <row r="185" spans="1:30">
      <c r="E185" s="446" t="s">
        <v>4706</v>
      </c>
      <c r="F185" s="146" t="s">
        <v>4571</v>
      </c>
      <c r="G185" s="146" t="s">
        <v>34</v>
      </c>
      <c r="H185" s="146" t="s">
        <v>1321</v>
      </c>
      <c r="I185" s="447" t="s">
        <v>4400</v>
      </c>
      <c r="J185" s="146" t="s">
        <v>619</v>
      </c>
      <c r="K185" s="146" t="s">
        <v>608</v>
      </c>
      <c r="L185" s="146" t="s">
        <v>48</v>
      </c>
      <c r="M185" s="146">
        <v>4</v>
      </c>
      <c r="N185" s="447">
        <v>2.5000000000000001E-2</v>
      </c>
      <c r="O185" s="447">
        <v>0</v>
      </c>
      <c r="P185" s="448">
        <v>500</v>
      </c>
      <c r="Q185" s="448" t="s">
        <v>34</v>
      </c>
      <c r="R185" s="448">
        <v>310468485.08999997</v>
      </c>
      <c r="S185" s="449">
        <v>44238</v>
      </c>
      <c r="T185" s="450">
        <v>7.7499398930191976E-3</v>
      </c>
      <c r="U185" s="451">
        <v>0.38752838496109643</v>
      </c>
      <c r="V185" s="450">
        <v>0.15112504129312865</v>
      </c>
      <c r="W185" s="451">
        <v>1.172021555275504</v>
      </c>
      <c r="X185" s="450">
        <v>0.22753367139812419</v>
      </c>
      <c r="Y185" s="451">
        <v>1.1783951950434948</v>
      </c>
      <c r="Z185" s="450" t="s">
        <v>34</v>
      </c>
      <c r="AA185" s="451" t="s">
        <v>34</v>
      </c>
      <c r="AB185" s="450">
        <v>3.799694994223992E-2</v>
      </c>
      <c r="AC185" s="452">
        <v>0.58376085133302458</v>
      </c>
      <c r="AD185" s="147">
        <v>37829233000101</v>
      </c>
    </row>
    <row r="186" spans="1:30">
      <c r="E186" s="446" t="s">
        <v>4713</v>
      </c>
      <c r="F186" s="146" t="s">
        <v>4571</v>
      </c>
      <c r="G186" s="146" t="s">
        <v>34</v>
      </c>
      <c r="H186" s="146" t="s">
        <v>1321</v>
      </c>
      <c r="I186" s="447" t="s">
        <v>4400</v>
      </c>
      <c r="J186" s="146" t="s">
        <v>619</v>
      </c>
      <c r="K186" s="146" t="s">
        <v>608</v>
      </c>
      <c r="L186" s="146" t="s">
        <v>48</v>
      </c>
      <c r="M186" s="146">
        <v>24</v>
      </c>
      <c r="N186" s="447">
        <v>7.4999999999999997E-3</v>
      </c>
      <c r="O186" s="447">
        <v>0</v>
      </c>
      <c r="P186" s="448">
        <v>0</v>
      </c>
      <c r="Q186" s="448" t="s">
        <v>34</v>
      </c>
      <c r="R186" s="448">
        <v>0</v>
      </c>
      <c r="S186" s="449">
        <v>44568</v>
      </c>
      <c r="T186" s="450" t="s">
        <v>34</v>
      </c>
      <c r="U186" s="451" t="s">
        <v>34</v>
      </c>
      <c r="V186" s="450" t="s">
        <v>34</v>
      </c>
      <c r="W186" s="451" t="s">
        <v>34</v>
      </c>
      <c r="X186" s="450" t="s">
        <v>34</v>
      </c>
      <c r="Y186" s="451" t="s">
        <v>34</v>
      </c>
      <c r="Z186" s="450" t="s">
        <v>34</v>
      </c>
      <c r="AA186" s="451" t="s">
        <v>34</v>
      </c>
      <c r="AB186" s="450" t="s">
        <v>34</v>
      </c>
      <c r="AC186" s="452" t="s">
        <v>34</v>
      </c>
      <c r="AD186" s="147">
        <v>41745725000196</v>
      </c>
    </row>
    <row r="187" spans="1:30" ht="5.25" customHeight="1">
      <c r="E187" s="453" t="s">
        <v>1393</v>
      </c>
      <c r="P187" s="463"/>
      <c r="Q187" s="463"/>
      <c r="R187" s="463"/>
      <c r="S187" s="464"/>
      <c r="AC187" s="465"/>
    </row>
    <row r="188" spans="1:30" s="347" customFormat="1">
      <c r="A188" s="440"/>
      <c r="B188" s="455" t="s">
        <v>12</v>
      </c>
      <c r="C188" s="436"/>
      <c r="D188" s="436"/>
      <c r="E188" s="441" t="s">
        <v>616</v>
      </c>
      <c r="F188" s="441"/>
      <c r="G188" s="441"/>
      <c r="H188" s="441"/>
      <c r="I188" s="441"/>
      <c r="J188" s="442"/>
      <c r="K188" s="441"/>
      <c r="L188" s="441"/>
      <c r="M188" s="441"/>
      <c r="N188" s="441"/>
      <c r="O188" s="441"/>
      <c r="P188" s="443"/>
      <c r="Q188" s="443"/>
      <c r="R188" s="443"/>
      <c r="S188" s="444"/>
      <c r="T188" s="441"/>
      <c r="U188" s="441"/>
      <c r="V188" s="441"/>
      <c r="W188" s="441"/>
      <c r="X188" s="441"/>
      <c r="Y188" s="441"/>
      <c r="Z188" s="441"/>
      <c r="AA188" s="441"/>
      <c r="AB188" s="441"/>
      <c r="AC188" s="445"/>
      <c r="AD188" s="441"/>
    </row>
    <row r="189" spans="1:30" s="347" customFormat="1" ht="3" customHeight="1">
      <c r="B189" s="436"/>
      <c r="C189" s="436"/>
      <c r="D189" s="436"/>
      <c r="J189" s="456"/>
      <c r="P189" s="439"/>
      <c r="Q189" s="439"/>
      <c r="R189" s="439"/>
      <c r="S189" s="454"/>
      <c r="AC189" s="457"/>
    </row>
    <row r="190" spans="1:30" s="347" customFormat="1">
      <c r="A190" s="470"/>
      <c r="B190" s="436" t="s">
        <v>616</v>
      </c>
      <c r="C190" s="436" t="s">
        <v>610</v>
      </c>
      <c r="D190" s="436" t="str">
        <f>B190&amp;" "&amp;C190</f>
        <v>Descorrelacionados Quant</v>
      </c>
      <c r="E190" s="458" t="s">
        <v>610</v>
      </c>
      <c r="F190" s="458"/>
      <c r="G190" s="458"/>
      <c r="H190" s="458"/>
      <c r="I190" s="458"/>
      <c r="J190" s="459"/>
      <c r="K190" s="458"/>
      <c r="L190" s="458"/>
      <c r="M190" s="458"/>
      <c r="N190" s="458"/>
      <c r="O190" s="458"/>
      <c r="P190" s="460"/>
      <c r="Q190" s="460"/>
      <c r="R190" s="460"/>
      <c r="S190" s="461"/>
      <c r="T190" s="458"/>
      <c r="U190" s="458"/>
      <c r="V190" s="458"/>
      <c r="W190" s="458"/>
      <c r="X190" s="458"/>
      <c r="Y190" s="458"/>
      <c r="Z190" s="458"/>
      <c r="AA190" s="458"/>
      <c r="AB190" s="458"/>
      <c r="AC190" s="462"/>
      <c r="AD190" s="458"/>
    </row>
    <row r="191" spans="1:30">
      <c r="E191" s="446" t="s">
        <v>1717</v>
      </c>
      <c r="F191" s="146" t="s">
        <v>715</v>
      </c>
      <c r="G191" s="146" t="s">
        <v>34</v>
      </c>
      <c r="H191" s="146" t="s">
        <v>1321</v>
      </c>
      <c r="I191" s="447" t="s">
        <v>34</v>
      </c>
      <c r="J191" s="146" t="s">
        <v>610</v>
      </c>
      <c r="K191" s="146" t="s">
        <v>611</v>
      </c>
      <c r="L191" s="146" t="s">
        <v>48</v>
      </c>
      <c r="M191" s="146">
        <v>18</v>
      </c>
      <c r="N191" s="447">
        <v>0.02</v>
      </c>
      <c r="O191" s="447">
        <v>4.0000000000000001E-3</v>
      </c>
      <c r="P191" s="448">
        <v>10000</v>
      </c>
      <c r="Q191" s="448" t="s">
        <v>34</v>
      </c>
      <c r="R191" s="448">
        <v>143423367.93000001</v>
      </c>
      <c r="S191" s="449">
        <v>43889</v>
      </c>
      <c r="T191" s="450">
        <v>3.0128441737167E-2</v>
      </c>
      <c r="U191" s="451">
        <v>1.506544118918355</v>
      </c>
      <c r="V191" s="450">
        <v>0.10365215511677994</v>
      </c>
      <c r="W191" s="451">
        <v>0.80385460283840993</v>
      </c>
      <c r="X191" s="450">
        <v>0.32492074756695466</v>
      </c>
      <c r="Y191" s="451">
        <v>1.6827621395555621</v>
      </c>
      <c r="Z191" s="450" t="s">
        <v>34</v>
      </c>
      <c r="AA191" s="451" t="s">
        <v>34</v>
      </c>
      <c r="AB191" s="450">
        <v>8.2979032822175613E-2</v>
      </c>
      <c r="AC191" s="452">
        <v>-0.30479692845069351</v>
      </c>
      <c r="AD191" s="147">
        <v>34702572000134</v>
      </c>
    </row>
    <row r="192" spans="1:30">
      <c r="E192" s="446" t="s">
        <v>1724</v>
      </c>
      <c r="F192" s="146" t="s">
        <v>715</v>
      </c>
      <c r="G192" s="146" t="s">
        <v>1414</v>
      </c>
      <c r="H192" s="146" t="s">
        <v>1321</v>
      </c>
      <c r="I192" s="447" t="s">
        <v>34</v>
      </c>
      <c r="J192" s="146" t="s">
        <v>610</v>
      </c>
      <c r="K192" s="146" t="s">
        <v>611</v>
      </c>
      <c r="L192" s="146" t="s">
        <v>48</v>
      </c>
      <c r="M192" s="146">
        <v>33</v>
      </c>
      <c r="N192" s="447">
        <v>0.01</v>
      </c>
      <c r="O192" s="447">
        <v>1.9E-3</v>
      </c>
      <c r="P192" s="448">
        <v>50000</v>
      </c>
      <c r="Q192" s="448" t="s">
        <v>34</v>
      </c>
      <c r="R192" s="448">
        <v>686351310</v>
      </c>
      <c r="S192" s="449">
        <v>40977</v>
      </c>
      <c r="T192" s="450">
        <v>6.1146276544841172E-3</v>
      </c>
      <c r="U192" s="451">
        <v>0.3057561493754436</v>
      </c>
      <c r="V192" s="450">
        <v>8.1101039744795989E-2</v>
      </c>
      <c r="W192" s="451">
        <v>0.62896371059901968</v>
      </c>
      <c r="X192" s="450">
        <v>0.2289821953584914</v>
      </c>
      <c r="Y192" s="451">
        <v>1.1858970898809205</v>
      </c>
      <c r="Z192" s="450">
        <v>0.24757751647223358</v>
      </c>
      <c r="AA192" s="451">
        <v>1.1178810696000001</v>
      </c>
      <c r="AB192" s="450">
        <v>5.1809388343881345E-2</v>
      </c>
      <c r="AC192" s="452">
        <v>-0.92344015691593428</v>
      </c>
      <c r="AD192" s="147">
        <v>11052478000181</v>
      </c>
    </row>
    <row r="193" spans="1:30">
      <c r="E193" s="446" t="s">
        <v>4600</v>
      </c>
      <c r="F193" s="146" t="s">
        <v>1339</v>
      </c>
      <c r="G193" s="146" t="s">
        <v>34</v>
      </c>
      <c r="H193" s="146" t="s">
        <v>1321</v>
      </c>
      <c r="I193" s="447" t="s">
        <v>4400</v>
      </c>
      <c r="J193" s="146" t="s">
        <v>610</v>
      </c>
      <c r="K193" s="146" t="s">
        <v>608</v>
      </c>
      <c r="L193" s="146" t="s">
        <v>48</v>
      </c>
      <c r="M193" s="146">
        <v>9</v>
      </c>
      <c r="N193" s="447">
        <v>1.4500000000000001E-2</v>
      </c>
      <c r="O193" s="447">
        <v>0</v>
      </c>
      <c r="P193" s="448">
        <v>5000</v>
      </c>
      <c r="Q193" s="448" t="s">
        <v>34</v>
      </c>
      <c r="R193" s="448">
        <v>0</v>
      </c>
      <c r="S193" s="449">
        <v>44167</v>
      </c>
      <c r="T193" s="450" t="s">
        <v>34</v>
      </c>
      <c r="U193" s="451" t="s">
        <v>34</v>
      </c>
      <c r="V193" s="450" t="s">
        <v>34</v>
      </c>
      <c r="W193" s="451" t="s">
        <v>34</v>
      </c>
      <c r="X193" s="450" t="s">
        <v>34</v>
      </c>
      <c r="Y193" s="451" t="s">
        <v>34</v>
      </c>
      <c r="Z193" s="450" t="s">
        <v>34</v>
      </c>
      <c r="AA193" s="451" t="s">
        <v>34</v>
      </c>
      <c r="AB193" s="450" t="s">
        <v>34</v>
      </c>
      <c r="AC193" s="452" t="s">
        <v>34</v>
      </c>
      <c r="AD193" s="147">
        <v>36327405000186</v>
      </c>
    </row>
    <row r="194" spans="1:30">
      <c r="E194" s="446" t="s">
        <v>4601</v>
      </c>
      <c r="F194" s="146" t="s">
        <v>1339</v>
      </c>
      <c r="G194" s="146" t="s">
        <v>1414</v>
      </c>
      <c r="H194" s="146" t="s">
        <v>1321</v>
      </c>
      <c r="I194" s="447" t="s">
        <v>34</v>
      </c>
      <c r="J194" s="146" t="s">
        <v>610</v>
      </c>
      <c r="K194" s="146" t="s">
        <v>611</v>
      </c>
      <c r="L194" s="146" t="s">
        <v>48</v>
      </c>
      <c r="M194" s="146">
        <v>13</v>
      </c>
      <c r="N194" s="447">
        <v>1.4499999999999999E-2</v>
      </c>
      <c r="O194" s="447">
        <v>2.8999999999999998E-3</v>
      </c>
      <c r="P194" s="448">
        <v>25000</v>
      </c>
      <c r="Q194" s="448" t="s">
        <v>34</v>
      </c>
      <c r="R194" s="448">
        <v>202341435.09</v>
      </c>
      <c r="S194" s="449">
        <v>43196</v>
      </c>
      <c r="T194" s="450">
        <v>1.8519978083527455E-2</v>
      </c>
      <c r="U194" s="451">
        <v>0.9260739173847059</v>
      </c>
      <c r="V194" s="450">
        <v>3.4408593875260518E-2</v>
      </c>
      <c r="W194" s="451">
        <v>0.26684931473603263</v>
      </c>
      <c r="X194" s="450">
        <v>7.5919352285992225E-2</v>
      </c>
      <c r="Y194" s="451">
        <v>0.39318576189143822</v>
      </c>
      <c r="Z194" s="450">
        <v>0.10237945478367516</v>
      </c>
      <c r="AA194" s="451">
        <v>0.46227159901038617</v>
      </c>
      <c r="AB194" s="450">
        <v>7.6951392551466546E-2</v>
      </c>
      <c r="AC194" s="452">
        <v>-1.228506885152219</v>
      </c>
      <c r="AD194" s="147">
        <v>29826089000121</v>
      </c>
    </row>
    <row r="195" spans="1:30">
      <c r="E195" s="446" t="s">
        <v>4607</v>
      </c>
      <c r="F195" s="146" t="s">
        <v>1339</v>
      </c>
      <c r="G195" s="146" t="s">
        <v>34</v>
      </c>
      <c r="H195" s="146" t="s">
        <v>1321</v>
      </c>
      <c r="I195" s="447" t="s">
        <v>34</v>
      </c>
      <c r="J195" s="146" t="s">
        <v>610</v>
      </c>
      <c r="K195" s="146" t="s">
        <v>34</v>
      </c>
      <c r="L195" s="146" t="s">
        <v>48</v>
      </c>
      <c r="M195" s="146">
        <v>17</v>
      </c>
      <c r="N195" s="447">
        <v>1.4999999999999999E-2</v>
      </c>
      <c r="O195" s="447">
        <v>5.0000000000000001E-3</v>
      </c>
      <c r="P195" s="448">
        <v>1000</v>
      </c>
      <c r="Q195" s="448" t="s">
        <v>34</v>
      </c>
      <c r="R195" s="448">
        <v>120453323.27</v>
      </c>
      <c r="S195" s="449">
        <v>43448</v>
      </c>
      <c r="T195" s="450">
        <v>1.6461775062850181E-2</v>
      </c>
      <c r="U195" s="451">
        <v>0.82315542981765155</v>
      </c>
      <c r="V195" s="450">
        <v>0.11446694746145214</v>
      </c>
      <c r="W195" s="451">
        <v>0.88772667086450907</v>
      </c>
      <c r="X195" s="450">
        <v>0.27381609707385302</v>
      </c>
      <c r="Y195" s="451">
        <v>1.4180915340341649</v>
      </c>
      <c r="Z195" s="450">
        <v>0.2996188784053293</v>
      </c>
      <c r="AA195" s="451">
        <v>1.3528622349746611</v>
      </c>
      <c r="AB195" s="450">
        <v>4.4287013967836568E-2</v>
      </c>
      <c r="AC195" s="452">
        <v>-0.3268895481607792</v>
      </c>
      <c r="AD195" s="147">
        <v>31416575000113</v>
      </c>
    </row>
    <row r="196" spans="1:30" ht="5.25" customHeight="1">
      <c r="E196" s="453" t="s">
        <v>1393</v>
      </c>
      <c r="P196" s="463"/>
      <c r="Q196" s="463"/>
      <c r="R196" s="463"/>
      <c r="S196" s="464"/>
      <c r="AC196" s="465"/>
    </row>
    <row r="197" spans="1:30" s="347" customFormat="1">
      <c r="A197" s="470"/>
      <c r="B197" s="436" t="s">
        <v>616</v>
      </c>
      <c r="C197" s="436" t="s">
        <v>617</v>
      </c>
      <c r="D197" s="436" t="str">
        <f>B197&amp;" "&amp;C197</f>
        <v>Descorrelacionados Long &amp; Short</v>
      </c>
      <c r="E197" s="458" t="s">
        <v>617</v>
      </c>
      <c r="F197" s="458"/>
      <c r="G197" s="458"/>
      <c r="H197" s="458"/>
      <c r="I197" s="458"/>
      <c r="J197" s="459"/>
      <c r="K197" s="458"/>
      <c r="L197" s="458"/>
      <c r="M197" s="458"/>
      <c r="N197" s="458"/>
      <c r="O197" s="458"/>
      <c r="P197" s="460"/>
      <c r="Q197" s="460"/>
      <c r="R197" s="460"/>
      <c r="S197" s="461"/>
      <c r="T197" s="458"/>
      <c r="U197" s="458"/>
      <c r="V197" s="458"/>
      <c r="W197" s="458"/>
      <c r="X197" s="458"/>
      <c r="Y197" s="458"/>
      <c r="Z197" s="458"/>
      <c r="AA197" s="458"/>
      <c r="AB197" s="458"/>
      <c r="AC197" s="462"/>
      <c r="AD197" s="458"/>
    </row>
    <row r="198" spans="1:30">
      <c r="E198" s="446" t="s">
        <v>2085</v>
      </c>
      <c r="F198" s="146" t="s">
        <v>715</v>
      </c>
      <c r="G198" s="146" t="s">
        <v>34</v>
      </c>
      <c r="H198" s="146" t="s">
        <v>1321</v>
      </c>
      <c r="I198" s="447" t="s">
        <v>34</v>
      </c>
      <c r="J198" s="146" t="s">
        <v>617</v>
      </c>
      <c r="K198" s="146" t="s">
        <v>608</v>
      </c>
      <c r="L198" s="146" t="s">
        <v>48</v>
      </c>
      <c r="M198" s="146">
        <v>15</v>
      </c>
      <c r="N198" s="447">
        <v>2.3E-2</v>
      </c>
      <c r="O198" s="447">
        <v>4.6249999999999998E-3</v>
      </c>
      <c r="P198" s="448">
        <v>10000</v>
      </c>
      <c r="Q198" s="448" t="s">
        <v>34</v>
      </c>
      <c r="R198" s="448">
        <v>460303760</v>
      </c>
      <c r="S198" s="449">
        <v>41579</v>
      </c>
      <c r="T198" s="450">
        <v>1.4227225742384109E-2</v>
      </c>
      <c r="U198" s="451">
        <v>0.71141891298916071</v>
      </c>
      <c r="V198" s="450">
        <v>0.15999245559616715</v>
      </c>
      <c r="W198" s="451">
        <v>1.2407911027561305</v>
      </c>
      <c r="X198" s="450">
        <v>0.23492320829518087</v>
      </c>
      <c r="Y198" s="451">
        <v>1.2166655517761116</v>
      </c>
      <c r="Z198" s="450">
        <v>0.30361884073575185</v>
      </c>
      <c r="AA198" s="451">
        <v>1.3709231729467646</v>
      </c>
      <c r="AB198" s="450">
        <v>4.4947462097997742E-2</v>
      </c>
      <c r="AC198" s="452">
        <v>0.69077417723128587</v>
      </c>
      <c r="AD198" s="147">
        <v>18772290000157</v>
      </c>
    </row>
    <row r="199" spans="1:30">
      <c r="E199" s="446" t="s">
        <v>2674</v>
      </c>
      <c r="F199" s="146" t="s">
        <v>715</v>
      </c>
      <c r="G199" s="146" t="s">
        <v>34</v>
      </c>
      <c r="H199" s="146" t="s">
        <v>1321</v>
      </c>
      <c r="I199" s="447" t="s">
        <v>34</v>
      </c>
      <c r="J199" s="146" t="s">
        <v>617</v>
      </c>
      <c r="K199" s="146" t="s">
        <v>608</v>
      </c>
      <c r="L199" s="146" t="s">
        <v>48</v>
      </c>
      <c r="M199" s="146">
        <v>32</v>
      </c>
      <c r="N199" s="447">
        <v>0.02</v>
      </c>
      <c r="O199" s="447">
        <v>5.3333333333333297E-3</v>
      </c>
      <c r="P199" s="448">
        <v>1000</v>
      </c>
      <c r="Q199" s="448" t="s">
        <v>34</v>
      </c>
      <c r="R199" s="448">
        <v>9032024.6600000001</v>
      </c>
      <c r="S199" s="449">
        <v>43388</v>
      </c>
      <c r="T199" s="450">
        <v>2.4999802797031512E-2</v>
      </c>
      <c r="U199" s="451">
        <v>1.2500913989031275</v>
      </c>
      <c r="V199" s="450">
        <v>0.1412030197998837</v>
      </c>
      <c r="W199" s="451">
        <v>1.0950732020278504</v>
      </c>
      <c r="X199" s="450">
        <v>0.22383453831510769</v>
      </c>
      <c r="Y199" s="451">
        <v>1.1592374122675737</v>
      </c>
      <c r="Z199" s="450">
        <v>0.2842665259187922</v>
      </c>
      <c r="AA199" s="451">
        <v>1.2835421106634088</v>
      </c>
      <c r="AB199" s="450">
        <v>6.9985462465054105E-2</v>
      </c>
      <c r="AC199" s="452">
        <v>0.17516652632275881</v>
      </c>
      <c r="AD199" s="147">
        <v>31006911000150</v>
      </c>
    </row>
    <row r="200" spans="1:30">
      <c r="E200" s="446" t="s">
        <v>4603</v>
      </c>
      <c r="F200" s="146" t="s">
        <v>1339</v>
      </c>
      <c r="G200" s="146" t="s">
        <v>34</v>
      </c>
      <c r="H200" s="146" t="s">
        <v>1321</v>
      </c>
      <c r="I200" s="447" t="s">
        <v>34</v>
      </c>
      <c r="J200" s="146" t="s">
        <v>617</v>
      </c>
      <c r="K200" s="146" t="s">
        <v>608</v>
      </c>
      <c r="L200" s="146" t="s">
        <v>48</v>
      </c>
      <c r="M200" s="146">
        <v>15</v>
      </c>
      <c r="N200" s="447">
        <v>0</v>
      </c>
      <c r="O200" s="447">
        <v>5.0000000000000001E-3</v>
      </c>
      <c r="P200" s="448">
        <v>5000</v>
      </c>
      <c r="Q200" s="448" t="s">
        <v>34</v>
      </c>
      <c r="R200" s="448">
        <v>44238140.979999997</v>
      </c>
      <c r="S200" s="449">
        <v>43427</v>
      </c>
      <c r="T200" s="450">
        <v>9.9726468135383772E-3</v>
      </c>
      <c r="U200" s="451">
        <v>0.49867273382585686</v>
      </c>
      <c r="V200" s="450">
        <v>0.11161692195256756</v>
      </c>
      <c r="W200" s="451">
        <v>0.86562383932239029</v>
      </c>
      <c r="X200" s="450">
        <v>0.15005611142620134</v>
      </c>
      <c r="Y200" s="451">
        <v>0.77713948711419023</v>
      </c>
      <c r="Z200" s="450">
        <v>0.2039063478821892</v>
      </c>
      <c r="AA200" s="451">
        <v>0.92069364583974944</v>
      </c>
      <c r="AB200" s="450">
        <v>2.656943947921335E-2</v>
      </c>
      <c r="AC200" s="452">
        <v>-0.65213974528053531</v>
      </c>
      <c r="AD200" s="147">
        <v>31353372000125</v>
      </c>
    </row>
    <row r="201" spans="1:30">
      <c r="E201" s="446" t="s">
        <v>4605</v>
      </c>
      <c r="F201" s="146" t="s">
        <v>1339</v>
      </c>
      <c r="G201" s="146" t="s">
        <v>34</v>
      </c>
      <c r="H201" s="146" t="s">
        <v>1324</v>
      </c>
      <c r="I201" s="447" t="s">
        <v>34</v>
      </c>
      <c r="J201" s="146" t="s">
        <v>617</v>
      </c>
      <c r="K201" s="146" t="s">
        <v>608</v>
      </c>
      <c r="L201" s="146" t="s">
        <v>48</v>
      </c>
      <c r="M201" s="146">
        <v>16</v>
      </c>
      <c r="N201" s="447">
        <v>0.02</v>
      </c>
      <c r="O201" s="447">
        <v>4.0000000000000001E-3</v>
      </c>
      <c r="P201" s="448">
        <v>50000</v>
      </c>
      <c r="Q201" s="448" t="s">
        <v>34</v>
      </c>
      <c r="R201" s="448">
        <v>126692416</v>
      </c>
      <c r="S201" s="449">
        <v>38430</v>
      </c>
      <c r="T201" s="450">
        <v>1.6322134660827103E-2</v>
      </c>
      <c r="U201" s="451">
        <v>0.81617284411784952</v>
      </c>
      <c r="V201" s="450">
        <v>0.12534501347369953</v>
      </c>
      <c r="W201" s="451">
        <v>0.97208944580221535</v>
      </c>
      <c r="X201" s="450">
        <v>0.18587906667033605</v>
      </c>
      <c r="Y201" s="451">
        <v>0.9626663063869465</v>
      </c>
      <c r="Z201" s="450">
        <v>0.29208168253120714</v>
      </c>
      <c r="AA201" s="451">
        <v>1.3188297076854014</v>
      </c>
      <c r="AB201" s="450">
        <v>1.3592316023672425E-2</v>
      </c>
      <c r="AC201" s="452">
        <v>-0.26477430092273996</v>
      </c>
      <c r="AD201" s="147">
        <v>7279819000189</v>
      </c>
    </row>
    <row r="202" spans="1:30">
      <c r="E202" s="446" t="s">
        <v>4630</v>
      </c>
      <c r="F202" s="146" t="s">
        <v>1339</v>
      </c>
      <c r="G202" s="146" t="s">
        <v>34</v>
      </c>
      <c r="H202" s="146" t="s">
        <v>1321</v>
      </c>
      <c r="I202" s="447" t="s">
        <v>34</v>
      </c>
      <c r="J202" s="146" t="s">
        <v>617</v>
      </c>
      <c r="K202" s="146" t="s">
        <v>608</v>
      </c>
      <c r="L202" s="146" t="s">
        <v>48</v>
      </c>
      <c r="M202" s="146">
        <v>32</v>
      </c>
      <c r="N202" s="447">
        <v>0</v>
      </c>
      <c r="O202" s="447">
        <v>3.8E-3</v>
      </c>
      <c r="P202" s="448">
        <v>20000</v>
      </c>
      <c r="Q202" s="448" t="s">
        <v>34</v>
      </c>
      <c r="R202" s="448">
        <v>43564107</v>
      </c>
      <c r="S202" s="449">
        <v>42890</v>
      </c>
      <c r="T202" s="450">
        <v>-1.0036740994104898E-3</v>
      </c>
      <c r="U202" s="451">
        <v>-5.018777024608681E-2</v>
      </c>
      <c r="V202" s="450">
        <v>2.0983355959393934E-2</v>
      </c>
      <c r="W202" s="451">
        <v>0.16273243187227229</v>
      </c>
      <c r="X202" s="450">
        <v>-5.7524347347514992E-2</v>
      </c>
      <c r="Y202" s="451">
        <v>-0.29791816787290459</v>
      </c>
      <c r="Z202" s="450">
        <v>7.8672864888212901E-2</v>
      </c>
      <c r="AA202" s="451">
        <v>0.35522977854733906</v>
      </c>
      <c r="AB202" s="450">
        <v>7.6311367731397572E-2</v>
      </c>
      <c r="AC202" s="452">
        <v>-1.4147374984471035</v>
      </c>
      <c r="AD202" s="147">
        <v>26831831000107</v>
      </c>
    </row>
    <row r="203" spans="1:30">
      <c r="E203" s="446" t="s">
        <v>4647</v>
      </c>
      <c r="F203" s="146" t="s">
        <v>1339</v>
      </c>
      <c r="G203" s="146" t="s">
        <v>1414</v>
      </c>
      <c r="H203" s="146" t="s">
        <v>1321</v>
      </c>
      <c r="I203" s="447" t="s">
        <v>34</v>
      </c>
      <c r="J203" s="146" t="s">
        <v>617</v>
      </c>
      <c r="K203" s="146" t="s">
        <v>608</v>
      </c>
      <c r="L203" s="146" t="s">
        <v>48</v>
      </c>
      <c r="M203" s="146">
        <v>77</v>
      </c>
      <c r="N203" s="447">
        <v>1.8500000000000003E-2</v>
      </c>
      <c r="O203" s="447">
        <v>3.7000000000000002E-3</v>
      </c>
      <c r="P203" s="448">
        <v>100000</v>
      </c>
      <c r="Q203" s="448" t="s">
        <v>34</v>
      </c>
      <c r="R203" s="448">
        <v>203283685</v>
      </c>
      <c r="S203" s="449">
        <v>42679</v>
      </c>
      <c r="T203" s="450">
        <v>-1.1377721033406507E-2</v>
      </c>
      <c r="U203" s="451">
        <v>-0.56893213592347003</v>
      </c>
      <c r="V203" s="450">
        <v>0.13770847310884027</v>
      </c>
      <c r="W203" s="451">
        <v>1.0679719088683968</v>
      </c>
      <c r="X203" s="450">
        <v>0.1997984111994533</v>
      </c>
      <c r="Y203" s="451">
        <v>1.0347544883710831</v>
      </c>
      <c r="Z203" s="450">
        <v>0.29918725172092753</v>
      </c>
      <c r="AA203" s="451">
        <v>1.3509133209274475</v>
      </c>
      <c r="AB203" s="450">
        <v>9.4972514244642758E-2</v>
      </c>
      <c r="AC203" s="452">
        <v>9.2285265181829293E-2</v>
      </c>
      <c r="AD203" s="147">
        <v>25423215000146</v>
      </c>
    </row>
    <row r="204" spans="1:30">
      <c r="E204" s="446" t="s">
        <v>4648</v>
      </c>
      <c r="F204" s="146" t="s">
        <v>1339</v>
      </c>
      <c r="G204" s="146" t="s">
        <v>34</v>
      </c>
      <c r="H204" s="146" t="s">
        <v>1324</v>
      </c>
      <c r="I204" s="447" t="s">
        <v>34</v>
      </c>
      <c r="J204" s="146" t="s">
        <v>617</v>
      </c>
      <c r="K204" s="146" t="s">
        <v>608</v>
      </c>
      <c r="L204" s="146" t="s">
        <v>48</v>
      </c>
      <c r="M204" s="146">
        <v>91</v>
      </c>
      <c r="N204" s="447">
        <v>0.02</v>
      </c>
      <c r="O204" s="447">
        <v>3.8899999999999998E-3</v>
      </c>
      <c r="P204" s="448">
        <v>50000</v>
      </c>
      <c r="Q204" s="448" t="s">
        <v>34</v>
      </c>
      <c r="R204" s="448">
        <v>1508230734</v>
      </c>
      <c r="S204" s="449">
        <v>42148</v>
      </c>
      <c r="T204" s="450">
        <v>1.5945428159838571E-2</v>
      </c>
      <c r="U204" s="451">
        <v>0.797335993258667</v>
      </c>
      <c r="V204" s="450">
        <v>0.1413214185189593</v>
      </c>
      <c r="W204" s="451">
        <v>1.0959914208067254</v>
      </c>
      <c r="X204" s="450">
        <v>0.21816626876544443</v>
      </c>
      <c r="Y204" s="451">
        <v>1.1298814863490434</v>
      </c>
      <c r="Z204" s="450">
        <v>0.43638236215833492</v>
      </c>
      <c r="AA204" s="451">
        <v>1.9703872496792116</v>
      </c>
      <c r="AB204" s="450">
        <v>2.4528567440667868E-2</v>
      </c>
      <c r="AC204" s="452">
        <v>0.50461606052252705</v>
      </c>
      <c r="AD204" s="147">
        <v>19366052000104</v>
      </c>
    </row>
    <row r="205" spans="1:30" ht="5.25" customHeight="1">
      <c r="A205" s="470"/>
      <c r="B205" s="436"/>
      <c r="C205" s="436"/>
      <c r="D205" s="436"/>
      <c r="E205" s="453" t="s">
        <v>1393</v>
      </c>
      <c r="P205" s="463"/>
      <c r="Q205" s="463"/>
      <c r="R205" s="463"/>
      <c r="S205" s="464"/>
      <c r="AC205" s="465"/>
    </row>
    <row r="206" spans="1:30" s="347" customFormat="1">
      <c r="A206" s="470"/>
      <c r="B206" s="436" t="s">
        <v>616</v>
      </c>
      <c r="C206" s="436" t="s">
        <v>619</v>
      </c>
      <c r="D206" s="436" t="str">
        <f>B206&amp;" "&amp;C206</f>
        <v>Descorrelacionados Multiestratégia</v>
      </c>
      <c r="E206" s="458" t="s">
        <v>619</v>
      </c>
      <c r="F206" s="458"/>
      <c r="G206" s="458"/>
      <c r="H206" s="458"/>
      <c r="I206" s="458"/>
      <c r="J206" s="459"/>
      <c r="K206" s="458"/>
      <c r="L206" s="458"/>
      <c r="M206" s="458"/>
      <c r="N206" s="458"/>
      <c r="O206" s="458"/>
      <c r="P206" s="460"/>
      <c r="Q206" s="460"/>
      <c r="R206" s="460"/>
      <c r="S206" s="461"/>
      <c r="T206" s="458"/>
      <c r="U206" s="458"/>
      <c r="V206" s="458"/>
      <c r="W206" s="458"/>
      <c r="X206" s="458"/>
      <c r="Y206" s="458"/>
      <c r="Z206" s="458"/>
      <c r="AA206" s="458"/>
      <c r="AB206" s="458"/>
      <c r="AC206" s="462"/>
      <c r="AD206" s="458"/>
    </row>
    <row r="207" spans="1:30">
      <c r="E207" s="446" t="s">
        <v>4583</v>
      </c>
      <c r="F207" s="146" t="s">
        <v>715</v>
      </c>
      <c r="G207" s="146" t="s">
        <v>34</v>
      </c>
      <c r="H207" s="146" t="s">
        <v>1321</v>
      </c>
      <c r="I207" s="447" t="s">
        <v>34</v>
      </c>
      <c r="J207" s="146" t="s">
        <v>619</v>
      </c>
      <c r="K207" s="146" t="s">
        <v>611</v>
      </c>
      <c r="L207" s="146" t="s">
        <v>48</v>
      </c>
      <c r="M207" s="146">
        <v>31</v>
      </c>
      <c r="N207" s="447">
        <v>0.02</v>
      </c>
      <c r="O207" s="447">
        <v>4.0000000000000001E-3</v>
      </c>
      <c r="P207" s="448">
        <v>50000</v>
      </c>
      <c r="Q207" s="448" t="s">
        <v>34</v>
      </c>
      <c r="R207" s="448">
        <v>99192548.219999999</v>
      </c>
      <c r="S207" s="449">
        <v>43048</v>
      </c>
      <c r="T207" s="450">
        <v>2.4274600012174963E-2</v>
      </c>
      <c r="U207" s="451">
        <v>1.2138283223032826</v>
      </c>
      <c r="V207" s="450">
        <v>0.28269828452909884</v>
      </c>
      <c r="W207" s="451">
        <v>2.1924128541004162</v>
      </c>
      <c r="X207" s="450">
        <v>0.50470117750455423</v>
      </c>
      <c r="Y207" s="451">
        <v>2.6138436515777319</v>
      </c>
      <c r="Z207" s="450">
        <v>0.55732595677017716</v>
      </c>
      <c r="AA207" s="451">
        <v>2.5164810825621262</v>
      </c>
      <c r="AB207" s="450">
        <v>0.18352847779586115</v>
      </c>
      <c r="AC207" s="452">
        <v>0.83776848655243352</v>
      </c>
      <c r="AD207" s="147">
        <v>28558421000151</v>
      </c>
    </row>
    <row r="208" spans="1:30">
      <c r="E208" s="446" t="s">
        <v>2730</v>
      </c>
      <c r="F208" s="146" t="s">
        <v>1339</v>
      </c>
      <c r="G208" s="146" t="s">
        <v>1414</v>
      </c>
      <c r="H208" s="146" t="s">
        <v>1321</v>
      </c>
      <c r="I208" s="447" t="s">
        <v>34</v>
      </c>
      <c r="J208" s="146" t="s">
        <v>17</v>
      </c>
      <c r="K208" s="146" t="s">
        <v>611</v>
      </c>
      <c r="L208" s="146" t="s">
        <v>49</v>
      </c>
      <c r="M208" s="146">
        <v>1</v>
      </c>
      <c r="N208" s="447">
        <v>1E-3</v>
      </c>
      <c r="O208" s="447">
        <v>3.5E-4</v>
      </c>
      <c r="P208" s="448">
        <v>500</v>
      </c>
      <c r="Q208" s="448" t="s">
        <v>34</v>
      </c>
      <c r="R208" s="448">
        <v>303015198.89999998</v>
      </c>
      <c r="S208" s="449">
        <v>43594</v>
      </c>
      <c r="T208" s="450">
        <v>-1.0436734659237445E-2</v>
      </c>
      <c r="U208" s="451">
        <v>-0.52187900584944158</v>
      </c>
      <c r="V208" s="450">
        <v>3.5826748682597609E-2</v>
      </c>
      <c r="W208" s="451">
        <v>0.27784754500081554</v>
      </c>
      <c r="X208" s="450">
        <v>-3.81147007194097E-2</v>
      </c>
      <c r="Y208" s="451">
        <v>-0.19739575207611887</v>
      </c>
      <c r="Z208" s="450">
        <v>0.19082164718915684</v>
      </c>
      <c r="AA208" s="451">
        <v>0.86161259755011876</v>
      </c>
      <c r="AB208" s="450">
        <v>0.18385117782965996</v>
      </c>
      <c r="AC208" s="452">
        <v>-0.506481176043728</v>
      </c>
      <c r="AD208" s="147">
        <v>33144687000198</v>
      </c>
    </row>
    <row r="209" spans="1:30">
      <c r="E209" s="446" t="s">
        <v>2731</v>
      </c>
      <c r="F209" s="146" t="s">
        <v>1339</v>
      </c>
      <c r="G209" s="146" t="s">
        <v>1414</v>
      </c>
      <c r="H209" s="146" t="s">
        <v>1321</v>
      </c>
      <c r="I209" s="447" t="s">
        <v>34</v>
      </c>
      <c r="J209" s="146" t="s">
        <v>699</v>
      </c>
      <c r="K209" s="146" t="s">
        <v>611</v>
      </c>
      <c r="L209" s="146" t="s">
        <v>49</v>
      </c>
      <c r="M209" s="146">
        <v>5</v>
      </c>
      <c r="N209" s="447">
        <v>1E-3</v>
      </c>
      <c r="O209" s="447">
        <v>3.5E-4</v>
      </c>
      <c r="P209" s="448">
        <v>500</v>
      </c>
      <c r="Q209" s="448" t="s">
        <v>34</v>
      </c>
      <c r="R209" s="448">
        <v>70826502.890000001</v>
      </c>
      <c r="S209" s="449">
        <v>43792</v>
      </c>
      <c r="T209" s="450">
        <v>-2.5338359218778583E-2</v>
      </c>
      <c r="U209" s="451">
        <v>-1.2670205912773844</v>
      </c>
      <c r="V209" s="450">
        <v>-4.8218155009386643E-2</v>
      </c>
      <c r="W209" s="451">
        <v>-0.37394674332629074</v>
      </c>
      <c r="X209" s="450">
        <v>-5.5773392494024465E-2</v>
      </c>
      <c r="Y209" s="451">
        <v>-0.28884998568513043</v>
      </c>
      <c r="Z209" s="450">
        <v>0.23855062776293035</v>
      </c>
      <c r="AA209" s="451">
        <v>1.0771221664923838</v>
      </c>
      <c r="AB209" s="450">
        <v>0.20753733429115981</v>
      </c>
      <c r="AC209" s="452">
        <v>-0.85363949123307847</v>
      </c>
      <c r="AD209" s="147">
        <v>34979818000110</v>
      </c>
    </row>
    <row r="210" spans="1:30">
      <c r="E210" s="446" t="s">
        <v>2732</v>
      </c>
      <c r="F210" s="146" t="s">
        <v>1339</v>
      </c>
      <c r="G210" s="146" t="s">
        <v>1414</v>
      </c>
      <c r="H210" s="146" t="s">
        <v>1321</v>
      </c>
      <c r="I210" s="447" t="s">
        <v>34</v>
      </c>
      <c r="J210" s="146" t="s">
        <v>699</v>
      </c>
      <c r="K210" s="146" t="s">
        <v>611</v>
      </c>
      <c r="L210" s="146" t="s">
        <v>48</v>
      </c>
      <c r="M210" s="146">
        <v>8</v>
      </c>
      <c r="N210" s="447">
        <v>1E-3</v>
      </c>
      <c r="O210" s="447">
        <v>3.5E-4</v>
      </c>
      <c r="P210" s="448">
        <v>500</v>
      </c>
      <c r="Q210" s="448" t="s">
        <v>34</v>
      </c>
      <c r="R210" s="448">
        <v>76918302.129999995</v>
      </c>
      <c r="S210" s="449">
        <v>43637</v>
      </c>
      <c r="T210" s="450">
        <v>4.7702691525510765E-3</v>
      </c>
      <c r="U210" s="451">
        <v>0.23853277909716525</v>
      </c>
      <c r="V210" s="450">
        <v>2.7508800708135661E-2</v>
      </c>
      <c r="W210" s="451">
        <v>0.21333927927389076</v>
      </c>
      <c r="X210" s="450">
        <v>0.15110145353560567</v>
      </c>
      <c r="Y210" s="451">
        <v>0.78255330613855478</v>
      </c>
      <c r="Z210" s="450">
        <v>0.23479924216777803</v>
      </c>
      <c r="AA210" s="451">
        <v>1.0601836213395519</v>
      </c>
      <c r="AB210" s="450">
        <v>0.15225562659747091</v>
      </c>
      <c r="AC210" s="452">
        <v>-0.66621583060982004</v>
      </c>
      <c r="AD210" s="147">
        <v>33600729000158</v>
      </c>
    </row>
    <row r="211" spans="1:30">
      <c r="E211" s="446" t="s">
        <v>4631</v>
      </c>
      <c r="F211" s="146" t="s">
        <v>1339</v>
      </c>
      <c r="G211" s="146" t="s">
        <v>1414</v>
      </c>
      <c r="H211" s="146" t="s">
        <v>1321</v>
      </c>
      <c r="I211" s="447" t="s">
        <v>34</v>
      </c>
      <c r="J211" s="146" t="s">
        <v>619</v>
      </c>
      <c r="K211" s="146" t="s">
        <v>611</v>
      </c>
      <c r="L211" s="146" t="s">
        <v>48</v>
      </c>
      <c r="M211" s="146">
        <v>32</v>
      </c>
      <c r="N211" s="447">
        <v>0.02</v>
      </c>
      <c r="O211" s="447">
        <v>3.15E-3</v>
      </c>
      <c r="P211" s="448">
        <v>500</v>
      </c>
      <c r="Q211" s="448" t="s">
        <v>34</v>
      </c>
      <c r="R211" s="448">
        <v>195883832.28999999</v>
      </c>
      <c r="S211" s="449">
        <v>43810</v>
      </c>
      <c r="T211" s="450">
        <v>1.6783335755696793E-3</v>
      </c>
      <c r="U211" s="451">
        <v>8.3923476690748705E-2</v>
      </c>
      <c r="V211" s="450">
        <v>7.8138061592547547E-3</v>
      </c>
      <c r="W211" s="451">
        <v>6.0598489628386057E-2</v>
      </c>
      <c r="X211" s="450">
        <v>1.3594849436221024E-2</v>
      </c>
      <c r="Y211" s="451">
        <v>7.0407624306960875E-2</v>
      </c>
      <c r="Z211" s="450">
        <v>0.3178488017342338</v>
      </c>
      <c r="AA211" s="451">
        <v>1.4351753887699787</v>
      </c>
      <c r="AB211" s="450">
        <v>4.1596426830736249E-2</v>
      </c>
      <c r="AC211" s="452">
        <v>-2.9120314535773701</v>
      </c>
      <c r="AD211" s="147">
        <v>35432385000140</v>
      </c>
    </row>
    <row r="212" spans="1:30">
      <c r="E212" s="446" t="s">
        <v>4396</v>
      </c>
      <c r="F212" s="146" t="s">
        <v>1339</v>
      </c>
      <c r="G212" s="146" t="s">
        <v>34</v>
      </c>
      <c r="H212" s="146" t="s">
        <v>1321</v>
      </c>
      <c r="I212" s="447" t="s">
        <v>34</v>
      </c>
      <c r="J212" s="146" t="s">
        <v>672</v>
      </c>
      <c r="K212" s="146" t="s">
        <v>611</v>
      </c>
      <c r="L212" s="146" t="s">
        <v>49</v>
      </c>
      <c r="M212" s="146">
        <v>2</v>
      </c>
      <c r="N212" s="447">
        <v>4.0000000000000001E-3</v>
      </c>
      <c r="O212" s="447">
        <v>2.5000000000000001E-3</v>
      </c>
      <c r="P212" s="448" t="s">
        <v>34</v>
      </c>
      <c r="Q212" s="448" t="s">
        <v>1421</v>
      </c>
      <c r="R212" s="448">
        <v>529980000</v>
      </c>
      <c r="S212" s="449">
        <v>43332</v>
      </c>
      <c r="T212" s="450" t="s">
        <v>34</v>
      </c>
      <c r="U212" s="451" t="s">
        <v>34</v>
      </c>
      <c r="V212" s="450" t="s">
        <v>34</v>
      </c>
      <c r="W212" s="451" t="s">
        <v>34</v>
      </c>
      <c r="X212" s="450" t="s">
        <v>34</v>
      </c>
      <c r="Y212" s="451" t="s">
        <v>34</v>
      </c>
      <c r="Z212" s="450" t="s">
        <v>34</v>
      </c>
      <c r="AA212" s="451" t="s">
        <v>34</v>
      </c>
      <c r="AB212" s="450" t="s">
        <v>34</v>
      </c>
      <c r="AC212" s="452" t="s">
        <v>34</v>
      </c>
      <c r="AD212" s="147" t="s">
        <v>34</v>
      </c>
    </row>
    <row r="213" spans="1:30">
      <c r="E213" s="446" t="s">
        <v>4287</v>
      </c>
      <c r="F213" s="146" t="s">
        <v>715</v>
      </c>
      <c r="G213" s="146" t="s">
        <v>1416</v>
      </c>
      <c r="H213" s="146" t="s">
        <v>1321</v>
      </c>
      <c r="I213" s="447" t="s">
        <v>34</v>
      </c>
      <c r="J213" s="146" t="s">
        <v>672</v>
      </c>
      <c r="K213" s="146" t="s">
        <v>608</v>
      </c>
      <c r="L213" s="146" t="s">
        <v>48</v>
      </c>
      <c r="M213" s="146">
        <v>504</v>
      </c>
      <c r="N213" s="447" t="s">
        <v>34</v>
      </c>
      <c r="O213" s="447">
        <v>0.01</v>
      </c>
      <c r="P213" s="448" t="s">
        <v>34</v>
      </c>
      <c r="Q213" s="448" t="s">
        <v>1421</v>
      </c>
      <c r="R213" s="448">
        <v>15220000000</v>
      </c>
      <c r="S213" s="449">
        <v>39784</v>
      </c>
      <c r="T213" s="450" t="s">
        <v>34</v>
      </c>
      <c r="U213" s="451" t="s">
        <v>34</v>
      </c>
      <c r="V213" s="450" t="s">
        <v>34</v>
      </c>
      <c r="W213" s="451" t="s">
        <v>34</v>
      </c>
      <c r="X213" s="450" t="s">
        <v>34</v>
      </c>
      <c r="Y213" s="451" t="s">
        <v>34</v>
      </c>
      <c r="Z213" s="450" t="s">
        <v>34</v>
      </c>
      <c r="AA213" s="451" t="s">
        <v>34</v>
      </c>
      <c r="AB213" s="450" t="s">
        <v>34</v>
      </c>
      <c r="AC213" s="452" t="s">
        <v>34</v>
      </c>
      <c r="AD213" s="147" t="s">
        <v>34</v>
      </c>
    </row>
    <row r="214" spans="1:30" ht="5.25" customHeight="1">
      <c r="E214" s="453" t="s">
        <v>1393</v>
      </c>
      <c r="P214" s="463"/>
      <c r="Q214" s="463"/>
      <c r="R214" s="463"/>
      <c r="S214" s="464"/>
      <c r="AC214" s="465"/>
    </row>
    <row r="215" spans="1:30" s="347" customFormat="1">
      <c r="A215" s="470"/>
      <c r="B215" s="436" t="s">
        <v>616</v>
      </c>
      <c r="C215" s="436" t="s">
        <v>618</v>
      </c>
      <c r="D215" s="436" t="str">
        <f>B215&amp;" "&amp;C215</f>
        <v>Descorrelacionados Arbitragem</v>
      </c>
      <c r="E215" s="458" t="s">
        <v>618</v>
      </c>
      <c r="F215" s="458"/>
      <c r="G215" s="458"/>
      <c r="H215" s="458"/>
      <c r="I215" s="458"/>
      <c r="J215" s="459"/>
      <c r="K215" s="458"/>
      <c r="L215" s="458"/>
      <c r="M215" s="458"/>
      <c r="N215" s="458"/>
      <c r="O215" s="458"/>
      <c r="P215" s="460"/>
      <c r="Q215" s="460"/>
      <c r="R215" s="460"/>
      <c r="S215" s="461"/>
      <c r="T215" s="458"/>
      <c r="U215" s="458"/>
      <c r="V215" s="458"/>
      <c r="W215" s="458"/>
      <c r="X215" s="458"/>
      <c r="Y215" s="458"/>
      <c r="Z215" s="458"/>
      <c r="AA215" s="458"/>
      <c r="AB215" s="458"/>
      <c r="AC215" s="462"/>
      <c r="AD215" s="458"/>
    </row>
    <row r="216" spans="1:30">
      <c r="E216" s="446" t="s">
        <v>4594</v>
      </c>
      <c r="F216" s="146" t="s">
        <v>1339</v>
      </c>
      <c r="G216" s="146" t="s">
        <v>34</v>
      </c>
      <c r="H216" s="146" t="s">
        <v>1321</v>
      </c>
      <c r="I216" s="447" t="s">
        <v>34</v>
      </c>
      <c r="J216" s="146" t="s">
        <v>618</v>
      </c>
      <c r="K216" s="146" t="s">
        <v>611</v>
      </c>
      <c r="L216" s="146" t="s">
        <v>34</v>
      </c>
      <c r="M216" s="146">
        <v>5</v>
      </c>
      <c r="N216" s="447">
        <v>9.0000000000000011E-3</v>
      </c>
      <c r="O216" s="447">
        <v>5.3334000000000003E-3</v>
      </c>
      <c r="P216" s="448">
        <v>10000</v>
      </c>
      <c r="Q216" s="448" t="s">
        <v>34</v>
      </c>
      <c r="R216" s="448">
        <v>116731505.69000001</v>
      </c>
      <c r="S216" s="449">
        <v>43554</v>
      </c>
      <c r="T216" s="450">
        <v>3.9195973439209109E-2</v>
      </c>
      <c r="U216" s="451">
        <v>1.9599574310965706</v>
      </c>
      <c r="V216" s="450">
        <v>9.4675108601150582E-2</v>
      </c>
      <c r="W216" s="451">
        <v>0.73423482355496927</v>
      </c>
      <c r="X216" s="450">
        <v>0.14679599271264054</v>
      </c>
      <c r="Y216" s="451">
        <v>0.76025535649859688</v>
      </c>
      <c r="Z216" s="450">
        <v>0.23874437791206971</v>
      </c>
      <c r="AA216" s="451">
        <v>1.0779970020874785</v>
      </c>
      <c r="AB216" s="450">
        <v>7.5332040347985102E-2</v>
      </c>
      <c r="AC216" s="452">
        <v>-0.45490339419107945</v>
      </c>
      <c r="AD216" s="147">
        <v>33361657000133</v>
      </c>
    </row>
    <row r="217" spans="1:30">
      <c r="E217" s="446" t="s">
        <v>1726</v>
      </c>
      <c r="F217" s="146" t="s">
        <v>1339</v>
      </c>
      <c r="G217" s="146" t="s">
        <v>34</v>
      </c>
      <c r="H217" s="146" t="s">
        <v>1321</v>
      </c>
      <c r="I217" s="447" t="s">
        <v>34</v>
      </c>
      <c r="J217" s="146" t="s">
        <v>618</v>
      </c>
      <c r="K217" s="146" t="s">
        <v>611</v>
      </c>
      <c r="L217" s="146" t="s">
        <v>48</v>
      </c>
      <c r="M217" s="146">
        <v>18</v>
      </c>
      <c r="N217" s="447">
        <v>2.5000000000000001E-2</v>
      </c>
      <c r="O217" s="447">
        <v>3.8E-3</v>
      </c>
      <c r="P217" s="448">
        <v>50000</v>
      </c>
      <c r="Q217" s="448" t="s">
        <v>34</v>
      </c>
      <c r="R217" s="448">
        <v>441768018.36000001</v>
      </c>
      <c r="S217" s="449">
        <v>43828</v>
      </c>
      <c r="T217" s="450">
        <v>8.7669957262488385E-3</v>
      </c>
      <c r="U217" s="451">
        <v>0.43838529609943533</v>
      </c>
      <c r="V217" s="450">
        <v>9.8555849376637195E-2</v>
      </c>
      <c r="W217" s="451">
        <v>0.7643311715882829</v>
      </c>
      <c r="X217" s="450">
        <v>0.20502405881960528</v>
      </c>
      <c r="Y217" s="451">
        <v>1.0618180786025391</v>
      </c>
      <c r="Z217" s="450">
        <v>0.25545615717205927</v>
      </c>
      <c r="AA217" s="451">
        <v>1.1534553148627076</v>
      </c>
      <c r="AB217" s="450">
        <v>7.3459063418209902E-2</v>
      </c>
      <c r="AC217" s="452">
        <v>-0.41367339380777085</v>
      </c>
      <c r="AD217" s="147">
        <v>35618055000144</v>
      </c>
    </row>
    <row r="218" spans="1:30">
      <c r="E218" s="446" t="s">
        <v>4617</v>
      </c>
      <c r="F218" s="146" t="s">
        <v>1339</v>
      </c>
      <c r="G218" s="146" t="s">
        <v>1414</v>
      </c>
      <c r="H218" s="146" t="s">
        <v>1321</v>
      </c>
      <c r="I218" s="447" t="s">
        <v>34</v>
      </c>
      <c r="J218" s="146" t="s">
        <v>618</v>
      </c>
      <c r="K218" s="146" t="s">
        <v>611</v>
      </c>
      <c r="L218" s="146" t="s">
        <v>48</v>
      </c>
      <c r="M218" s="146">
        <v>31</v>
      </c>
      <c r="N218" s="447">
        <v>0.02</v>
      </c>
      <c r="O218" s="447">
        <v>0</v>
      </c>
      <c r="P218" s="448">
        <v>10000</v>
      </c>
      <c r="Q218" s="448" t="s">
        <v>34</v>
      </c>
      <c r="R218" s="448">
        <v>303097761</v>
      </c>
      <c r="S218" s="449">
        <v>42693</v>
      </c>
      <c r="T218" s="450">
        <v>1.0980674992326911E-2</v>
      </c>
      <c r="U218" s="451">
        <v>0.54907822567658293</v>
      </c>
      <c r="V218" s="450">
        <v>0.11296359939744538</v>
      </c>
      <c r="W218" s="451">
        <v>0.87606774047798197</v>
      </c>
      <c r="X218" s="450">
        <v>0.25299388963740577</v>
      </c>
      <c r="Y218" s="451">
        <v>1.310253476297315</v>
      </c>
      <c r="Z218" s="450">
        <v>0.169925809180969</v>
      </c>
      <c r="AA218" s="451">
        <v>0.76726210047902821</v>
      </c>
      <c r="AB218" s="450">
        <v>6.9403554311839949E-2</v>
      </c>
      <c r="AC218" s="452">
        <v>-0.23025204123611864</v>
      </c>
      <c r="AD218" s="147">
        <v>26396708000105</v>
      </c>
    </row>
    <row r="219" spans="1:30">
      <c r="E219" s="446" t="s">
        <v>4712</v>
      </c>
      <c r="F219" s="146" t="s">
        <v>4571</v>
      </c>
      <c r="G219" s="146" t="s">
        <v>34</v>
      </c>
      <c r="H219" s="146" t="s">
        <v>1321</v>
      </c>
      <c r="I219" s="447" t="s">
        <v>4400</v>
      </c>
      <c r="J219" s="146" t="s">
        <v>618</v>
      </c>
      <c r="K219" s="146" t="s">
        <v>608</v>
      </c>
      <c r="L219" s="146" t="s">
        <v>48</v>
      </c>
      <c r="M219" s="146">
        <v>11</v>
      </c>
      <c r="N219" s="447">
        <v>0</v>
      </c>
      <c r="O219" s="447">
        <v>0</v>
      </c>
      <c r="P219" s="448">
        <v>0</v>
      </c>
      <c r="Q219" s="448" t="s">
        <v>34</v>
      </c>
      <c r="R219" s="448">
        <v>0</v>
      </c>
      <c r="S219" s="449">
        <v>44928</v>
      </c>
      <c r="T219" s="450" t="s">
        <v>34</v>
      </c>
      <c r="U219" s="451" t="s">
        <v>34</v>
      </c>
      <c r="V219" s="450" t="s">
        <v>34</v>
      </c>
      <c r="W219" s="451" t="s">
        <v>34</v>
      </c>
      <c r="X219" s="450" t="s">
        <v>34</v>
      </c>
      <c r="Y219" s="451" t="s">
        <v>34</v>
      </c>
      <c r="Z219" s="450" t="s">
        <v>34</v>
      </c>
      <c r="AA219" s="451" t="s">
        <v>34</v>
      </c>
      <c r="AB219" s="450" t="s">
        <v>34</v>
      </c>
      <c r="AC219" s="452" t="s">
        <v>34</v>
      </c>
      <c r="AD219" s="147">
        <v>47640796000100</v>
      </c>
    </row>
    <row r="220" spans="1:30" s="347" customFormat="1" ht="7.5" customHeight="1">
      <c r="B220" s="436"/>
      <c r="C220" s="436"/>
      <c r="D220" s="436"/>
      <c r="E220" s="437" t="s">
        <v>1393</v>
      </c>
      <c r="J220" s="438"/>
      <c r="P220" s="439"/>
      <c r="Q220" s="439"/>
      <c r="R220" s="439"/>
    </row>
    <row r="221" spans="1:30" s="428" customFormat="1" ht="21.75" customHeight="1">
      <c r="B221" s="455" t="s">
        <v>12</v>
      </c>
      <c r="C221" s="429"/>
      <c r="D221" s="429"/>
      <c r="E221" s="430" t="s">
        <v>1336</v>
      </c>
      <c r="F221" s="430"/>
      <c r="G221" s="430"/>
      <c r="H221" s="430"/>
      <c r="I221" s="430"/>
      <c r="J221" s="431"/>
      <c r="K221" s="430"/>
      <c r="L221" s="430"/>
      <c r="M221" s="430"/>
      <c r="N221" s="430"/>
      <c r="O221" s="430"/>
      <c r="P221" s="466"/>
      <c r="Q221" s="466"/>
      <c r="R221" s="466"/>
      <c r="S221" s="467"/>
      <c r="T221" s="430"/>
      <c r="U221" s="430"/>
      <c r="V221" s="430"/>
      <c r="W221" s="430"/>
      <c r="X221" s="430"/>
      <c r="Y221" s="430"/>
      <c r="Z221" s="430"/>
      <c r="AA221" s="430"/>
      <c r="AB221" s="430"/>
      <c r="AC221" s="430"/>
      <c r="AD221" s="430"/>
    </row>
    <row r="222" spans="1:30" s="48" customFormat="1" ht="5.25" customHeight="1">
      <c r="B222" s="20"/>
      <c r="C222" s="20"/>
      <c r="D222" s="20"/>
      <c r="J222" s="471"/>
      <c r="P222" s="469"/>
      <c r="Q222" s="469"/>
      <c r="R222" s="469"/>
    </row>
    <row r="223" spans="1:30" s="347" customFormat="1">
      <c r="A223" s="440"/>
      <c r="B223" s="455" t="s">
        <v>12</v>
      </c>
      <c r="C223" s="436"/>
      <c r="D223" s="436"/>
      <c r="E223" s="441" t="s">
        <v>608</v>
      </c>
      <c r="F223" s="441"/>
      <c r="G223" s="441"/>
      <c r="H223" s="441"/>
      <c r="I223" s="441"/>
      <c r="J223" s="442"/>
      <c r="K223" s="441"/>
      <c r="L223" s="441"/>
      <c r="M223" s="441"/>
      <c r="N223" s="441"/>
      <c r="O223" s="441"/>
      <c r="P223" s="443"/>
      <c r="Q223" s="443"/>
      <c r="R223" s="443"/>
      <c r="S223" s="444"/>
      <c r="T223" s="441"/>
      <c r="U223" s="441"/>
      <c r="V223" s="441"/>
      <c r="W223" s="441"/>
      <c r="X223" s="441"/>
      <c r="Y223" s="441"/>
      <c r="Z223" s="441"/>
      <c r="AA223" s="441"/>
      <c r="AB223" s="441"/>
      <c r="AC223" s="445"/>
      <c r="AD223" s="441"/>
    </row>
    <row r="224" spans="1:30" s="347" customFormat="1" ht="3" customHeight="1">
      <c r="B224" s="436"/>
      <c r="C224" s="436"/>
      <c r="D224" s="436"/>
      <c r="J224" s="456"/>
      <c r="P224" s="439"/>
      <c r="Q224" s="439"/>
      <c r="R224" s="439"/>
      <c r="S224" s="454"/>
      <c r="AC224" s="457"/>
    </row>
    <row r="225" spans="1:30" s="347" customFormat="1">
      <c r="A225" s="470"/>
      <c r="B225" s="436" t="s">
        <v>607</v>
      </c>
      <c r="C225" s="436" t="s">
        <v>608</v>
      </c>
      <c r="D225" s="436" t="str">
        <f>B225&amp;" "&amp;C225</f>
        <v>Long Only Brasil</v>
      </c>
      <c r="E225" s="458" t="s">
        <v>607</v>
      </c>
      <c r="F225" s="458"/>
      <c r="G225" s="458"/>
      <c r="H225" s="458"/>
      <c r="I225" s="458"/>
      <c r="J225" s="459"/>
      <c r="K225" s="458"/>
      <c r="L225" s="458"/>
      <c r="M225" s="458"/>
      <c r="N225" s="458"/>
      <c r="O225" s="458"/>
      <c r="P225" s="460"/>
      <c r="Q225" s="460"/>
      <c r="R225" s="460"/>
      <c r="S225" s="461"/>
      <c r="T225" s="458"/>
      <c r="U225" s="458"/>
      <c r="V225" s="458"/>
      <c r="W225" s="458"/>
      <c r="X225" s="458"/>
      <c r="Y225" s="458"/>
      <c r="Z225" s="458"/>
      <c r="AA225" s="458"/>
      <c r="AB225" s="458"/>
      <c r="AC225" s="462"/>
      <c r="AD225" s="458"/>
    </row>
    <row r="226" spans="1:30">
      <c r="E226" s="446" t="s">
        <v>2707</v>
      </c>
      <c r="F226" s="146" t="s">
        <v>715</v>
      </c>
      <c r="G226" s="146" t="s">
        <v>34</v>
      </c>
      <c r="H226" s="146" t="s">
        <v>1321</v>
      </c>
      <c r="I226" s="447" t="s">
        <v>34</v>
      </c>
      <c r="J226" s="146" t="s">
        <v>34</v>
      </c>
      <c r="K226" s="146" t="s">
        <v>608</v>
      </c>
      <c r="L226" s="146" t="s">
        <v>48</v>
      </c>
      <c r="M226" s="146">
        <v>3</v>
      </c>
      <c r="N226" s="447">
        <v>0.03</v>
      </c>
      <c r="O226" s="447">
        <v>7.4999999999999997E-3</v>
      </c>
      <c r="P226" s="448">
        <v>5000</v>
      </c>
      <c r="Q226" s="448" t="s">
        <v>34</v>
      </c>
      <c r="R226" s="448">
        <v>384454804</v>
      </c>
      <c r="S226" s="449">
        <v>36330</v>
      </c>
      <c r="T226" s="450">
        <v>-6.9252810403528375E-2</v>
      </c>
      <c r="U226" s="451">
        <v>-3.4629210213449961</v>
      </c>
      <c r="V226" s="450">
        <v>-0.16228984856867346</v>
      </c>
      <c r="W226" s="451">
        <v>-1.2586080976212846</v>
      </c>
      <c r="X226" s="450">
        <v>-9.580080187253659E-2</v>
      </c>
      <c r="Y226" s="451">
        <v>-0.49615164170748594</v>
      </c>
      <c r="Z226" s="450">
        <v>-6.2140689508579094E-2</v>
      </c>
      <c r="AA226" s="451">
        <v>-0.28058242704491571</v>
      </c>
      <c r="AB226" s="450">
        <v>0.20911727680424883</v>
      </c>
      <c r="AC226" s="452">
        <v>-1.3926814774280025</v>
      </c>
      <c r="AD226" s="147">
        <v>3168062000103</v>
      </c>
    </row>
    <row r="227" spans="1:30">
      <c r="E227" s="446" t="s">
        <v>2104</v>
      </c>
      <c r="F227" s="146" t="s">
        <v>715</v>
      </c>
      <c r="G227" s="146" t="s">
        <v>34</v>
      </c>
      <c r="H227" s="146" t="s">
        <v>1321</v>
      </c>
      <c r="I227" s="447" t="s">
        <v>34</v>
      </c>
      <c r="J227" s="146" t="s">
        <v>34</v>
      </c>
      <c r="K227" s="146" t="s">
        <v>608</v>
      </c>
      <c r="L227" s="146" t="s">
        <v>48</v>
      </c>
      <c r="M227" s="146">
        <v>29</v>
      </c>
      <c r="N227" s="447">
        <v>2.2000000000000002E-2</v>
      </c>
      <c r="O227" s="447">
        <v>5.3333333333333297E-3</v>
      </c>
      <c r="P227" s="448">
        <v>5000</v>
      </c>
      <c r="Q227" s="448" t="s">
        <v>34</v>
      </c>
      <c r="R227" s="448">
        <v>1296649109</v>
      </c>
      <c r="S227" s="449">
        <v>40951</v>
      </c>
      <c r="T227" s="450">
        <v>-1.6676777533729092E-2</v>
      </c>
      <c r="U227" s="451">
        <v>-0.83390642420631778</v>
      </c>
      <c r="V227" s="450">
        <v>-1.1492638300759195E-2</v>
      </c>
      <c r="W227" s="451">
        <v>-8.912897359841486E-2</v>
      </c>
      <c r="X227" s="450">
        <v>9.7492964956394701E-2</v>
      </c>
      <c r="Y227" s="451">
        <v>0.50491534175678254</v>
      </c>
      <c r="Z227" s="450">
        <v>5.6454798672230133E-2</v>
      </c>
      <c r="AA227" s="451">
        <v>0.25490905484078236</v>
      </c>
      <c r="AB227" s="450">
        <v>0.1915416873262159</v>
      </c>
      <c r="AC227" s="452">
        <v>-0.73319051172588423</v>
      </c>
      <c r="AD227" s="147">
        <v>10500884000105</v>
      </c>
    </row>
    <row r="228" spans="1:30">
      <c r="E228" s="446" t="s">
        <v>2074</v>
      </c>
      <c r="F228" s="146" t="s">
        <v>715</v>
      </c>
      <c r="G228" s="146" t="s">
        <v>34</v>
      </c>
      <c r="H228" s="146" t="s">
        <v>1324</v>
      </c>
      <c r="I228" s="447" t="s">
        <v>34</v>
      </c>
      <c r="J228" s="146" t="s">
        <v>34</v>
      </c>
      <c r="K228" s="146" t="s">
        <v>608</v>
      </c>
      <c r="L228" s="146" t="s">
        <v>48</v>
      </c>
      <c r="M228" s="146">
        <v>32</v>
      </c>
      <c r="N228" s="447">
        <v>0.02</v>
      </c>
      <c r="O228" s="447">
        <v>5.3333333333333297E-3</v>
      </c>
      <c r="P228" s="448">
        <v>50</v>
      </c>
      <c r="Q228" s="448" t="s">
        <v>34</v>
      </c>
      <c r="R228" s="448">
        <v>209457656.60999998</v>
      </c>
      <c r="S228" s="449">
        <v>43211</v>
      </c>
      <c r="T228" s="450">
        <v>-9.2008572673779598E-3</v>
      </c>
      <c r="U228" s="451">
        <v>-0.46008013046607965</v>
      </c>
      <c r="V228" s="450">
        <v>0.12003776938631261</v>
      </c>
      <c r="W228" s="451">
        <v>0.93093012226257132</v>
      </c>
      <c r="X228" s="450">
        <v>0.42444839622411989</v>
      </c>
      <c r="Y228" s="451">
        <v>2.1982150930938822</v>
      </c>
      <c r="Z228" s="450">
        <v>0.65694668773742659</v>
      </c>
      <c r="AA228" s="451">
        <v>2.9662962793330028</v>
      </c>
      <c r="AB228" s="450">
        <v>0.20794424664945876</v>
      </c>
      <c r="AC228" s="452">
        <v>-4.2829461280980932E-2</v>
      </c>
      <c r="AD228" s="147">
        <v>29177013000112</v>
      </c>
    </row>
    <row r="229" spans="1:30">
      <c r="E229" s="446" t="s">
        <v>2075</v>
      </c>
      <c r="F229" s="146" t="s">
        <v>715</v>
      </c>
      <c r="G229" s="146" t="s">
        <v>34</v>
      </c>
      <c r="H229" s="146" t="s">
        <v>1321</v>
      </c>
      <c r="I229" s="447" t="s">
        <v>34</v>
      </c>
      <c r="J229" s="146" t="s">
        <v>1317</v>
      </c>
      <c r="K229" s="146" t="s">
        <v>608</v>
      </c>
      <c r="L229" s="146" t="s">
        <v>48</v>
      </c>
      <c r="M229" s="146">
        <v>32</v>
      </c>
      <c r="N229" s="447">
        <v>0.02</v>
      </c>
      <c r="O229" s="447">
        <v>5.3333333333333297E-3</v>
      </c>
      <c r="P229" s="448">
        <v>50</v>
      </c>
      <c r="Q229" s="448" t="s">
        <v>34</v>
      </c>
      <c r="R229" s="448">
        <v>422992411.07999998</v>
      </c>
      <c r="S229" s="449">
        <v>43212</v>
      </c>
      <c r="T229" s="450">
        <v>8.5945405375384976E-3</v>
      </c>
      <c r="U229" s="451">
        <v>0.42976183815245456</v>
      </c>
      <c r="V229" s="450">
        <v>0.18889997875013065</v>
      </c>
      <c r="W229" s="451">
        <v>1.4649779083058168</v>
      </c>
      <c r="X229" s="450">
        <v>0.60336643537340606</v>
      </c>
      <c r="Y229" s="451">
        <v>3.1248302896254527</v>
      </c>
      <c r="Z229" s="450">
        <v>0.95678338575933908</v>
      </c>
      <c r="AA229" s="451">
        <v>4.3201420302158748</v>
      </c>
      <c r="AB229" s="450">
        <v>0.22000782409146938</v>
      </c>
      <c r="AC229" s="452">
        <v>0.27251789590180781</v>
      </c>
      <c r="AD229" s="147">
        <v>29177024000100</v>
      </c>
    </row>
    <row r="230" spans="1:30">
      <c r="E230" s="446" t="s">
        <v>4567</v>
      </c>
      <c r="F230" s="146" t="s">
        <v>4572</v>
      </c>
      <c r="G230" s="146" t="s">
        <v>34</v>
      </c>
      <c r="H230" s="146" t="s">
        <v>1321</v>
      </c>
      <c r="I230" s="447" t="s">
        <v>4400</v>
      </c>
      <c r="J230" s="146" t="s">
        <v>34</v>
      </c>
      <c r="K230" s="146" t="s">
        <v>608</v>
      </c>
      <c r="L230" s="146" t="s">
        <v>48</v>
      </c>
      <c r="M230" s="146">
        <v>9</v>
      </c>
      <c r="N230" s="447">
        <v>1.9E-2</v>
      </c>
      <c r="O230" s="447">
        <v>0</v>
      </c>
      <c r="P230" s="448">
        <v>1000</v>
      </c>
      <c r="Q230" s="448" t="s">
        <v>34</v>
      </c>
      <c r="R230" s="448">
        <v>0</v>
      </c>
      <c r="S230" s="449">
        <v>43707</v>
      </c>
      <c r="T230" s="450" t="s">
        <v>34</v>
      </c>
      <c r="U230" s="451" t="s">
        <v>34</v>
      </c>
      <c r="V230" s="450" t="s">
        <v>34</v>
      </c>
      <c r="W230" s="451" t="s">
        <v>34</v>
      </c>
      <c r="X230" s="450" t="s">
        <v>34</v>
      </c>
      <c r="Y230" s="451" t="s">
        <v>34</v>
      </c>
      <c r="Z230" s="450" t="s">
        <v>34</v>
      </c>
      <c r="AA230" s="451" t="s">
        <v>34</v>
      </c>
      <c r="AB230" s="450" t="s">
        <v>34</v>
      </c>
      <c r="AC230" s="452" t="s">
        <v>34</v>
      </c>
      <c r="AD230" s="147">
        <v>33588607000193</v>
      </c>
    </row>
    <row r="231" spans="1:30">
      <c r="E231" s="446" t="s">
        <v>4696</v>
      </c>
      <c r="F231" s="146" t="s">
        <v>4572</v>
      </c>
      <c r="G231" s="146" t="s">
        <v>34</v>
      </c>
      <c r="H231" s="146" t="s">
        <v>1321</v>
      </c>
      <c r="I231" s="447" t="s">
        <v>4400</v>
      </c>
      <c r="J231" s="146" t="s">
        <v>1317</v>
      </c>
      <c r="K231" s="146" t="s">
        <v>608</v>
      </c>
      <c r="L231" s="146" t="s">
        <v>48</v>
      </c>
      <c r="M231" s="146">
        <v>9</v>
      </c>
      <c r="N231" s="447">
        <v>0.02</v>
      </c>
      <c r="O231" s="447">
        <v>0</v>
      </c>
      <c r="P231" s="448">
        <v>1000</v>
      </c>
      <c r="Q231" s="448" t="s">
        <v>34</v>
      </c>
      <c r="R231" s="448">
        <v>268125954.54000002</v>
      </c>
      <c r="S231" s="449">
        <v>43712</v>
      </c>
      <c r="T231" s="450">
        <v>3.6153585855750014E-2</v>
      </c>
      <c r="U231" s="451">
        <v>1.8078257290551656</v>
      </c>
      <c r="V231" s="450">
        <v>0.1985640617143245</v>
      </c>
      <c r="W231" s="451">
        <v>1.5399258682804751</v>
      </c>
      <c r="X231" s="450">
        <v>0.3638028098977566</v>
      </c>
      <c r="Y231" s="451">
        <v>1.8841320517204674</v>
      </c>
      <c r="Z231" s="450">
        <v>0.54511761930334623</v>
      </c>
      <c r="AA231" s="451">
        <v>2.4613570570047036</v>
      </c>
      <c r="AB231" s="450">
        <v>0.17938224348859252</v>
      </c>
      <c r="AC231" s="452">
        <v>0.38811061180625445</v>
      </c>
      <c r="AD231" s="147">
        <v>33146130000196</v>
      </c>
    </row>
    <row r="232" spans="1:30">
      <c r="E232" s="446" t="s">
        <v>4699</v>
      </c>
      <c r="F232" s="146" t="s">
        <v>4572</v>
      </c>
      <c r="G232" s="146" t="s">
        <v>34</v>
      </c>
      <c r="H232" s="146" t="s">
        <v>1321</v>
      </c>
      <c r="I232" s="447" t="s">
        <v>4397</v>
      </c>
      <c r="J232" s="146" t="s">
        <v>34</v>
      </c>
      <c r="K232" s="146" t="s">
        <v>608</v>
      </c>
      <c r="L232" s="146" t="s">
        <v>48</v>
      </c>
      <c r="M232" s="146">
        <v>22</v>
      </c>
      <c r="N232" s="447">
        <v>0</v>
      </c>
      <c r="O232" s="447">
        <v>0</v>
      </c>
      <c r="P232" s="448">
        <v>0</v>
      </c>
      <c r="Q232" s="448" t="s">
        <v>34</v>
      </c>
      <c r="R232" s="448">
        <v>39712072.509999998</v>
      </c>
      <c r="S232" s="449">
        <v>44377</v>
      </c>
      <c r="T232" s="450">
        <v>-8.5341768304114662E-3</v>
      </c>
      <c r="U232" s="451">
        <v>-0.42674340829930513</v>
      </c>
      <c r="V232" s="450">
        <v>-8.5341768304114662E-3</v>
      </c>
      <c r="W232" s="451">
        <v>-6.6185187551904417E-2</v>
      </c>
      <c r="X232" s="450" t="s">
        <v>34</v>
      </c>
      <c r="Y232" s="451" t="s">
        <v>34</v>
      </c>
      <c r="Z232" s="450" t="s">
        <v>34</v>
      </c>
      <c r="AA232" s="451" t="s">
        <v>34</v>
      </c>
      <c r="AB232" s="450">
        <v>9.5157584075587956E-2</v>
      </c>
      <c r="AC232" s="452">
        <v>-1.4447412427788706</v>
      </c>
      <c r="AD232" s="147">
        <v>40213012000119</v>
      </c>
    </row>
    <row r="233" spans="1:30">
      <c r="E233" s="446" t="s">
        <v>4569</v>
      </c>
      <c r="F233" s="146" t="s">
        <v>4572</v>
      </c>
      <c r="G233" s="146" t="s">
        <v>34</v>
      </c>
      <c r="H233" s="146" t="s">
        <v>1321</v>
      </c>
      <c r="I233" s="447" t="s">
        <v>4397</v>
      </c>
      <c r="J233" s="146" t="s">
        <v>34</v>
      </c>
      <c r="K233" s="146" t="s">
        <v>608</v>
      </c>
      <c r="L233" s="146" t="s">
        <v>48</v>
      </c>
      <c r="M233" s="146">
        <v>32</v>
      </c>
      <c r="N233" s="447">
        <v>0.02</v>
      </c>
      <c r="O233" s="447">
        <v>0</v>
      </c>
      <c r="P233" s="448">
        <v>0</v>
      </c>
      <c r="Q233" s="448" t="s">
        <v>34</v>
      </c>
      <c r="R233" s="448">
        <v>0</v>
      </c>
      <c r="S233" s="449">
        <v>44026</v>
      </c>
      <c r="T233" s="450" t="s">
        <v>34</v>
      </c>
      <c r="U233" s="451" t="s">
        <v>34</v>
      </c>
      <c r="V233" s="450" t="s">
        <v>34</v>
      </c>
      <c r="W233" s="451" t="s">
        <v>34</v>
      </c>
      <c r="X233" s="450" t="s">
        <v>34</v>
      </c>
      <c r="Y233" s="451" t="s">
        <v>34</v>
      </c>
      <c r="Z233" s="450" t="s">
        <v>34</v>
      </c>
      <c r="AA233" s="451" t="s">
        <v>34</v>
      </c>
      <c r="AB233" s="450" t="s">
        <v>34</v>
      </c>
      <c r="AC233" s="452" t="s">
        <v>34</v>
      </c>
      <c r="AD233" s="147">
        <v>35610342000108</v>
      </c>
    </row>
    <row r="234" spans="1:30">
      <c r="E234" s="446" t="s">
        <v>2106</v>
      </c>
      <c r="F234" s="146" t="s">
        <v>1339</v>
      </c>
      <c r="G234" s="146" t="s">
        <v>34</v>
      </c>
      <c r="H234" s="146" t="s">
        <v>1321</v>
      </c>
      <c r="I234" s="447" t="s">
        <v>34</v>
      </c>
      <c r="J234" s="146" t="s">
        <v>34</v>
      </c>
      <c r="K234" s="146" t="s">
        <v>608</v>
      </c>
      <c r="L234" s="146" t="s">
        <v>48</v>
      </c>
      <c r="M234" s="146">
        <v>17</v>
      </c>
      <c r="N234" s="447">
        <v>0</v>
      </c>
      <c r="O234" s="447">
        <v>4.6666666666666697E-3</v>
      </c>
      <c r="P234" s="448">
        <v>1</v>
      </c>
      <c r="Q234" s="448" t="s">
        <v>34</v>
      </c>
      <c r="R234" s="448">
        <v>305410887.31999999</v>
      </c>
      <c r="S234" s="449">
        <v>43821</v>
      </c>
      <c r="T234" s="450">
        <v>-2.6209254154943351E-2</v>
      </c>
      <c r="U234" s="451">
        <v>-1.3105688655532575</v>
      </c>
      <c r="V234" s="450">
        <v>-5.410565108461407E-2</v>
      </c>
      <c r="W234" s="451">
        <v>-0.41960610095308148</v>
      </c>
      <c r="X234" s="450">
        <v>-4.9780049010324734E-2</v>
      </c>
      <c r="Y234" s="451">
        <v>-0.25781050427545621</v>
      </c>
      <c r="Z234" s="450">
        <v>0.26466732790772163</v>
      </c>
      <c r="AA234" s="451">
        <v>1.1950463023682523</v>
      </c>
      <c r="AB234" s="450">
        <v>0.21356600809795592</v>
      </c>
      <c r="AC234" s="452">
        <v>-0.85710999686543476</v>
      </c>
      <c r="AD234" s="147">
        <v>35372675000146</v>
      </c>
    </row>
    <row r="235" spans="1:30">
      <c r="E235" s="446" t="s">
        <v>2078</v>
      </c>
      <c r="F235" s="146" t="s">
        <v>1339</v>
      </c>
      <c r="G235" s="146" t="s">
        <v>34</v>
      </c>
      <c r="H235" s="146" t="s">
        <v>1321</v>
      </c>
      <c r="I235" s="447" t="s">
        <v>34</v>
      </c>
      <c r="J235" s="146" t="s">
        <v>689</v>
      </c>
      <c r="K235" s="146" t="s">
        <v>608</v>
      </c>
      <c r="L235" s="146" t="s">
        <v>48</v>
      </c>
      <c r="M235" s="146">
        <v>17</v>
      </c>
      <c r="N235" s="447">
        <v>2.8999999999999998E-2</v>
      </c>
      <c r="O235" s="447">
        <v>4.7499999999999999E-3</v>
      </c>
      <c r="P235" s="448">
        <v>1000</v>
      </c>
      <c r="Q235" s="448" t="s">
        <v>34</v>
      </c>
      <c r="R235" s="448">
        <v>231990627.31</v>
      </c>
      <c r="S235" s="449">
        <v>43463</v>
      </c>
      <c r="T235" s="450">
        <v>-6.0655795796729084E-3</v>
      </c>
      <c r="U235" s="451">
        <v>-0.30330354697085465</v>
      </c>
      <c r="V235" s="450">
        <v>-5.4425664185246858E-2</v>
      </c>
      <c r="W235" s="451">
        <v>-0.42208790177644528</v>
      </c>
      <c r="X235" s="450">
        <v>2.8262520960793847E-2</v>
      </c>
      <c r="Y235" s="451">
        <v>0.14637138624525395</v>
      </c>
      <c r="Z235" s="450">
        <v>6.4669322866965917E-2</v>
      </c>
      <c r="AA235" s="451">
        <v>0.29199990712783241</v>
      </c>
      <c r="AB235" s="450">
        <v>0.18549461615104115</v>
      </c>
      <c r="AC235" s="452">
        <v>-0.98854391268544639</v>
      </c>
      <c r="AD235" s="147">
        <v>30593403000152</v>
      </c>
    </row>
    <row r="236" spans="1:30">
      <c r="E236" s="446" t="s">
        <v>4612</v>
      </c>
      <c r="F236" s="146" t="s">
        <v>1339</v>
      </c>
      <c r="G236" s="146" t="s">
        <v>1414</v>
      </c>
      <c r="H236" s="146" t="s">
        <v>1324</v>
      </c>
      <c r="I236" s="447" t="s">
        <v>34</v>
      </c>
      <c r="J236" s="146" t="s">
        <v>34</v>
      </c>
      <c r="K236" s="146" t="s">
        <v>608</v>
      </c>
      <c r="L236" s="146" t="s">
        <v>48</v>
      </c>
      <c r="M236" s="146">
        <v>29</v>
      </c>
      <c r="N236" s="447">
        <v>1.8000000000000002E-2</v>
      </c>
      <c r="O236" s="447">
        <v>2.16666666666667E-3</v>
      </c>
      <c r="P236" s="448">
        <v>100000</v>
      </c>
      <c r="Q236" s="448" t="s">
        <v>34</v>
      </c>
      <c r="R236" s="448">
        <v>41535350</v>
      </c>
      <c r="S236" s="449">
        <v>39325</v>
      </c>
      <c r="T236" s="450">
        <v>-3.3467829214051337E-2</v>
      </c>
      <c r="U236" s="451">
        <v>-1.6735270185976123</v>
      </c>
      <c r="V236" s="450">
        <v>-0.21802864157229551</v>
      </c>
      <c r="W236" s="451">
        <v>-1.6908797205522144</v>
      </c>
      <c r="X236" s="450">
        <v>-0.40356195562611008</v>
      </c>
      <c r="Y236" s="451">
        <v>-2.0900443722901434</v>
      </c>
      <c r="Z236" s="450">
        <v>-0.29549809676374228</v>
      </c>
      <c r="AA236" s="451">
        <v>-1.3342557643438677</v>
      </c>
      <c r="AB236" s="450">
        <v>0.24662775123268876</v>
      </c>
      <c r="AC236" s="452">
        <v>-1.4068674319287031</v>
      </c>
      <c r="AD236" s="147">
        <v>8940189000104</v>
      </c>
    </row>
    <row r="237" spans="1:30">
      <c r="E237" s="446" t="s">
        <v>4625</v>
      </c>
      <c r="F237" s="146" t="s">
        <v>1339</v>
      </c>
      <c r="G237" s="146" t="s">
        <v>34</v>
      </c>
      <c r="H237" s="146" t="s">
        <v>1321</v>
      </c>
      <c r="I237" s="447" t="s">
        <v>34</v>
      </c>
      <c r="J237" s="146" t="s">
        <v>34</v>
      </c>
      <c r="K237" s="146" t="s">
        <v>608</v>
      </c>
      <c r="L237" s="146" t="s">
        <v>48</v>
      </c>
      <c r="M237" s="146">
        <v>32</v>
      </c>
      <c r="N237" s="447">
        <v>2.6000000000000002E-2</v>
      </c>
      <c r="O237" s="447">
        <v>5.1999999999999998E-3</v>
      </c>
      <c r="P237" s="448">
        <v>100000</v>
      </c>
      <c r="Q237" s="448" t="s">
        <v>34</v>
      </c>
      <c r="R237" s="448">
        <v>60076092</v>
      </c>
      <c r="S237" s="449">
        <v>40149</v>
      </c>
      <c r="T237" s="450">
        <v>-1.051601955672643E-2</v>
      </c>
      <c r="U237" s="451">
        <v>-0.5258435718589648</v>
      </c>
      <c r="V237" s="450">
        <v>-6.1118509071069083E-2</v>
      </c>
      <c r="W237" s="451">
        <v>-0.47399298914766524</v>
      </c>
      <c r="X237" s="450">
        <v>-0.17658292507098827</v>
      </c>
      <c r="Y237" s="451">
        <v>-0.91452165805510544</v>
      </c>
      <c r="Z237" s="450">
        <v>4.4530765058641286E-3</v>
      </c>
      <c r="AA237" s="451">
        <v>2.0106873993722765E-2</v>
      </c>
      <c r="AB237" s="450">
        <v>0.24946475685259578</v>
      </c>
      <c r="AC237" s="452">
        <v>-0.76188084006656653</v>
      </c>
      <c r="AD237" s="147">
        <v>11228311000129</v>
      </c>
    </row>
    <row r="238" spans="1:30">
      <c r="E238" s="446" t="s">
        <v>2728</v>
      </c>
      <c r="F238" s="146" t="s">
        <v>1339</v>
      </c>
      <c r="G238" s="146" t="s">
        <v>1414</v>
      </c>
      <c r="H238" s="146" t="s">
        <v>1321</v>
      </c>
      <c r="I238" s="447" t="s">
        <v>34</v>
      </c>
      <c r="J238" s="146" t="s">
        <v>34</v>
      </c>
      <c r="K238" s="146" t="s">
        <v>608</v>
      </c>
      <c r="L238" s="146" t="s">
        <v>48</v>
      </c>
      <c r="M238" s="146">
        <v>32</v>
      </c>
      <c r="N238" s="447">
        <v>2.2000000000000002E-2</v>
      </c>
      <c r="O238" s="447">
        <v>3.16666E-3</v>
      </c>
      <c r="P238" s="448">
        <v>5000</v>
      </c>
      <c r="Q238" s="448" t="s">
        <v>34</v>
      </c>
      <c r="R238" s="448">
        <v>53871746</v>
      </c>
      <c r="S238" s="449">
        <v>41096</v>
      </c>
      <c r="T238" s="450">
        <v>-7.8298581669200562E-4</v>
      </c>
      <c r="U238" s="451">
        <v>-3.9152462235663744E-2</v>
      </c>
      <c r="V238" s="450">
        <v>2.3240854029445757E-2</v>
      </c>
      <c r="W238" s="451">
        <v>0.18024002939849304</v>
      </c>
      <c r="X238" s="450">
        <v>2.3544741345498776E-2</v>
      </c>
      <c r="Y238" s="451">
        <v>0.12193804064072426</v>
      </c>
      <c r="Z238" s="450">
        <v>6.9409432180405073E-2</v>
      </c>
      <c r="AA238" s="451">
        <v>0.31340281376019846</v>
      </c>
      <c r="AB238" s="450">
        <v>0.22652924021510765</v>
      </c>
      <c r="AC238" s="452">
        <v>-0.46661991766258998</v>
      </c>
      <c r="AD238" s="147">
        <v>15334585000153</v>
      </c>
    </row>
    <row r="239" spans="1:30">
      <c r="E239" s="446" t="s">
        <v>4629</v>
      </c>
      <c r="F239" s="146" t="s">
        <v>1339</v>
      </c>
      <c r="G239" s="146" t="s">
        <v>34</v>
      </c>
      <c r="H239" s="146" t="s">
        <v>1321</v>
      </c>
      <c r="I239" s="447" t="s">
        <v>34</v>
      </c>
      <c r="J239" s="146" t="s">
        <v>1317</v>
      </c>
      <c r="K239" s="146" t="s">
        <v>608</v>
      </c>
      <c r="L239" s="146" t="s">
        <v>48</v>
      </c>
      <c r="M239" s="146">
        <v>32</v>
      </c>
      <c r="N239" s="447">
        <v>0.02</v>
      </c>
      <c r="O239" s="447">
        <v>5.3333333333333297E-3</v>
      </c>
      <c r="P239" s="448">
        <v>50</v>
      </c>
      <c r="Q239" s="448" t="s">
        <v>34</v>
      </c>
      <c r="R239" s="448">
        <v>219878168.38</v>
      </c>
      <c r="S239" s="449">
        <v>43300</v>
      </c>
      <c r="T239" s="450">
        <v>5.1772426943030858E-4</v>
      </c>
      <c r="U239" s="451">
        <v>2.5888310458796231E-2</v>
      </c>
      <c r="V239" s="450">
        <v>0.12584221425840014</v>
      </c>
      <c r="W239" s="451">
        <v>0.97594539205693775</v>
      </c>
      <c r="X239" s="450">
        <v>0.4150370969884285</v>
      </c>
      <c r="Y239" s="451">
        <v>2.149474044218306</v>
      </c>
      <c r="Z239" s="450">
        <v>0.75576264639364821</v>
      </c>
      <c r="AA239" s="451">
        <v>3.4124777061854501</v>
      </c>
      <c r="AB239" s="450">
        <v>0.20058214640706193</v>
      </c>
      <c r="AC239" s="452">
        <v>-1.5463465936263446E-2</v>
      </c>
      <c r="AD239" s="147">
        <v>8968733000126</v>
      </c>
    </row>
    <row r="240" spans="1:30">
      <c r="E240" s="446" t="s">
        <v>2714</v>
      </c>
      <c r="F240" s="146" t="s">
        <v>1339</v>
      </c>
      <c r="G240" s="146" t="s">
        <v>1414</v>
      </c>
      <c r="H240" s="146" t="s">
        <v>1321</v>
      </c>
      <c r="I240" s="447" t="s">
        <v>34</v>
      </c>
      <c r="J240" s="146" t="s">
        <v>1317</v>
      </c>
      <c r="K240" s="146" t="s">
        <v>608</v>
      </c>
      <c r="L240" s="146" t="s">
        <v>48</v>
      </c>
      <c r="M240" s="146">
        <v>32</v>
      </c>
      <c r="N240" s="447">
        <v>0</v>
      </c>
      <c r="O240" s="447">
        <v>3.1666666666666701E-3</v>
      </c>
      <c r="P240" s="448">
        <v>5000</v>
      </c>
      <c r="Q240" s="448" t="s">
        <v>34</v>
      </c>
      <c r="R240" s="448">
        <v>472615730</v>
      </c>
      <c r="S240" s="449">
        <v>42890</v>
      </c>
      <c r="T240" s="450">
        <v>-2.3751174126314667E-2</v>
      </c>
      <c r="U240" s="451">
        <v>-1.187654907929194</v>
      </c>
      <c r="V240" s="450">
        <v>-0.12034659023871697</v>
      </c>
      <c r="W240" s="451">
        <v>-0.93332512373049104</v>
      </c>
      <c r="X240" s="450">
        <v>-0.2772496920974109</v>
      </c>
      <c r="Y240" s="451">
        <v>-1.4358740971714081</v>
      </c>
      <c r="Z240" s="450">
        <v>5.6202144560784095E-3</v>
      </c>
      <c r="AA240" s="451">
        <v>2.5376825153858178E-2</v>
      </c>
      <c r="AB240" s="450">
        <v>0.23784250158904474</v>
      </c>
      <c r="AC240" s="452">
        <v>-1.0481326845285246</v>
      </c>
      <c r="AD240" s="147">
        <v>26269603000187</v>
      </c>
    </row>
    <row r="241" spans="1:30">
      <c r="E241" s="446" t="s">
        <v>2077</v>
      </c>
      <c r="F241" s="146" t="s">
        <v>1339</v>
      </c>
      <c r="G241" s="146" t="s">
        <v>34</v>
      </c>
      <c r="H241" s="146" t="s">
        <v>1324</v>
      </c>
      <c r="I241" s="447" t="s">
        <v>34</v>
      </c>
      <c r="J241" s="146" t="s">
        <v>34</v>
      </c>
      <c r="K241" s="146" t="s">
        <v>608</v>
      </c>
      <c r="L241" s="146" t="s">
        <v>48</v>
      </c>
      <c r="M241" s="146">
        <v>33</v>
      </c>
      <c r="N241" s="447">
        <v>1.4999999999999999E-2</v>
      </c>
      <c r="O241" s="447">
        <v>3.7499999999999999E-3</v>
      </c>
      <c r="P241" s="448">
        <v>1000</v>
      </c>
      <c r="Q241" s="448" t="s">
        <v>34</v>
      </c>
      <c r="R241" s="448">
        <v>357929712</v>
      </c>
      <c r="S241" s="449">
        <v>42222</v>
      </c>
      <c r="T241" s="450">
        <v>-9.2529647596879538E-3</v>
      </c>
      <c r="U241" s="451">
        <v>-0.46268571613745418</v>
      </c>
      <c r="V241" s="450">
        <v>6.5626482907353623E-2</v>
      </c>
      <c r="W241" s="451">
        <v>0.50895372405655104</v>
      </c>
      <c r="X241" s="450">
        <v>0.30449633217524674</v>
      </c>
      <c r="Y241" s="451">
        <v>1.5769842438653534</v>
      </c>
      <c r="Z241" s="450">
        <v>0.60564258277167249</v>
      </c>
      <c r="AA241" s="451">
        <v>2.7346440333972537</v>
      </c>
      <c r="AB241" s="450">
        <v>0.22775878952001902</v>
      </c>
      <c r="AC241" s="452">
        <v>-0.27800212089671911</v>
      </c>
      <c r="AD241" s="147">
        <v>22232927000190</v>
      </c>
    </row>
    <row r="242" spans="1:30">
      <c r="E242" s="446" t="s">
        <v>4634</v>
      </c>
      <c r="F242" s="146" t="s">
        <v>1339</v>
      </c>
      <c r="G242" s="146" t="s">
        <v>34</v>
      </c>
      <c r="H242" s="146" t="s">
        <v>1321</v>
      </c>
      <c r="I242" s="447" t="s">
        <v>34</v>
      </c>
      <c r="J242" s="146" t="s">
        <v>1317</v>
      </c>
      <c r="K242" s="146" t="s">
        <v>608</v>
      </c>
      <c r="L242" s="146" t="s">
        <v>48</v>
      </c>
      <c r="M242" s="146">
        <v>33</v>
      </c>
      <c r="N242" s="447">
        <v>0.02</v>
      </c>
      <c r="O242" s="447">
        <v>5.3340000000000002E-3</v>
      </c>
      <c r="P242" s="448">
        <v>500</v>
      </c>
      <c r="Q242" s="448" t="s">
        <v>34</v>
      </c>
      <c r="R242" s="448">
        <v>19054779</v>
      </c>
      <c r="S242" s="449">
        <v>41511</v>
      </c>
      <c r="T242" s="450">
        <v>-5.0086216393426697E-2</v>
      </c>
      <c r="U242" s="451">
        <v>-2.5045136885823016</v>
      </c>
      <c r="V242" s="450">
        <v>-0.21355130831077329</v>
      </c>
      <c r="W242" s="451">
        <v>-1.6561566128014764</v>
      </c>
      <c r="X242" s="450">
        <v>-0.34195153683791268</v>
      </c>
      <c r="Y242" s="451">
        <v>-1.7709644707594556</v>
      </c>
      <c r="Z242" s="450">
        <v>-0.21477665405727642</v>
      </c>
      <c r="AA242" s="451">
        <v>-0.96977608945998361</v>
      </c>
      <c r="AB242" s="450">
        <v>0.25623647053462895</v>
      </c>
      <c r="AC242" s="452">
        <v>-1.336637275103566</v>
      </c>
      <c r="AD242" s="147">
        <v>11741429000156</v>
      </c>
    </row>
    <row r="243" spans="1:30">
      <c r="E243" s="446" t="s">
        <v>4640</v>
      </c>
      <c r="F243" s="146" t="s">
        <v>1339</v>
      </c>
      <c r="G243" s="146" t="s">
        <v>34</v>
      </c>
      <c r="H243" s="146" t="s">
        <v>1321</v>
      </c>
      <c r="I243" s="447" t="s">
        <v>34</v>
      </c>
      <c r="J243" s="146" t="s">
        <v>1317</v>
      </c>
      <c r="K243" s="146" t="s">
        <v>608</v>
      </c>
      <c r="L243" s="146" t="s">
        <v>48</v>
      </c>
      <c r="M243" s="146">
        <v>47</v>
      </c>
      <c r="N243" s="447">
        <v>0</v>
      </c>
      <c r="O243" s="447">
        <v>4.4999999999999997E-3</v>
      </c>
      <c r="P243" s="448">
        <v>300000</v>
      </c>
      <c r="Q243" s="448" t="s">
        <v>34</v>
      </c>
      <c r="R243" s="448">
        <v>35097844.100000001</v>
      </c>
      <c r="S243" s="449">
        <v>44349</v>
      </c>
      <c r="T243" s="450">
        <v>-9.8295135331334382E-3</v>
      </c>
      <c r="U243" s="451">
        <v>-0.49151549005942802</v>
      </c>
      <c r="V243" s="450">
        <v>-0.14465047915360785</v>
      </c>
      <c r="W243" s="451">
        <v>-1.1218093182858022</v>
      </c>
      <c r="X243" s="450" t="s">
        <v>34</v>
      </c>
      <c r="Y243" s="451" t="s">
        <v>34</v>
      </c>
      <c r="Z243" s="450" t="s">
        <v>34</v>
      </c>
      <c r="AA243" s="451" t="s">
        <v>34</v>
      </c>
      <c r="AB243" s="450">
        <v>0.22857300285784385</v>
      </c>
      <c r="AC243" s="452">
        <v>-1.1969672060114311</v>
      </c>
      <c r="AD243" s="147">
        <v>41681126000156</v>
      </c>
    </row>
    <row r="244" spans="1:30">
      <c r="E244" s="446" t="s">
        <v>4643</v>
      </c>
      <c r="F244" s="146" t="s">
        <v>1339</v>
      </c>
      <c r="G244" s="146" t="s">
        <v>1414</v>
      </c>
      <c r="H244" s="146" t="s">
        <v>1321</v>
      </c>
      <c r="I244" s="447" t="s">
        <v>34</v>
      </c>
      <c r="J244" s="146" t="s">
        <v>1317</v>
      </c>
      <c r="K244" s="146" t="s">
        <v>608</v>
      </c>
      <c r="L244" s="146" t="s">
        <v>48</v>
      </c>
      <c r="M244" s="146">
        <v>62</v>
      </c>
      <c r="N244" s="447">
        <v>0</v>
      </c>
      <c r="O244" s="447">
        <v>2.28395061728395E-3</v>
      </c>
      <c r="P244" s="448">
        <v>10000</v>
      </c>
      <c r="Q244" s="448" t="s">
        <v>34</v>
      </c>
      <c r="R244" s="448">
        <v>279073059.56</v>
      </c>
      <c r="S244" s="449">
        <v>43727</v>
      </c>
      <c r="T244" s="450">
        <v>8.6485903217825566E-3</v>
      </c>
      <c r="U244" s="451">
        <v>0.43246454628757997</v>
      </c>
      <c r="V244" s="450">
        <v>-0.15837774821400874</v>
      </c>
      <c r="W244" s="451">
        <v>-1.2282685463276335</v>
      </c>
      <c r="X244" s="450">
        <v>-0.37372695010429136</v>
      </c>
      <c r="Y244" s="451">
        <v>-1.9355291001768959</v>
      </c>
      <c r="Z244" s="450">
        <v>-6.7231343603570415E-2</v>
      </c>
      <c r="AA244" s="451">
        <v>-0.30356814047221214</v>
      </c>
      <c r="AB244" s="450">
        <v>0.26435878642374666</v>
      </c>
      <c r="AC244" s="452">
        <v>-1.0868625232688227</v>
      </c>
      <c r="AD244" s="147">
        <v>34581406000127</v>
      </c>
    </row>
    <row r="245" spans="1:30">
      <c r="E245" s="446" t="s">
        <v>4644</v>
      </c>
      <c r="F245" s="146" t="s">
        <v>1339</v>
      </c>
      <c r="G245" s="146" t="s">
        <v>34</v>
      </c>
      <c r="H245" s="146" t="s">
        <v>1321</v>
      </c>
      <c r="I245" s="447" t="s">
        <v>34</v>
      </c>
      <c r="J245" s="146" t="s">
        <v>1317</v>
      </c>
      <c r="K245" s="146" t="s">
        <v>608</v>
      </c>
      <c r="L245" s="146" t="s">
        <v>48</v>
      </c>
      <c r="M245" s="146">
        <v>62</v>
      </c>
      <c r="N245" s="447">
        <v>0</v>
      </c>
      <c r="O245" s="447">
        <v>5.3333333333333297E-3</v>
      </c>
      <c r="P245" s="448">
        <v>5000</v>
      </c>
      <c r="Q245" s="448" t="s">
        <v>34</v>
      </c>
      <c r="R245" s="448">
        <v>55377531.329999998</v>
      </c>
      <c r="S245" s="449">
        <v>42960</v>
      </c>
      <c r="T245" s="450">
        <v>-2.8741330519777453E-2</v>
      </c>
      <c r="U245" s="451">
        <v>-1.4371829397019087</v>
      </c>
      <c r="V245" s="450">
        <v>-0.16673779762650909</v>
      </c>
      <c r="W245" s="451">
        <v>-1.2931033217611356</v>
      </c>
      <c r="X245" s="450">
        <v>-0.38595420503595268</v>
      </c>
      <c r="Y245" s="451">
        <v>-1.9988539626972675</v>
      </c>
      <c r="Z245" s="450">
        <v>-0.2617379475778131</v>
      </c>
      <c r="AA245" s="451">
        <v>-1.1818193386959246</v>
      </c>
      <c r="AB245" s="450">
        <v>0.25822288035851443</v>
      </c>
      <c r="AC245" s="452">
        <v>-1.145063933384894</v>
      </c>
      <c r="AD245" s="147">
        <v>27717327000135</v>
      </c>
    </row>
    <row r="246" spans="1:30">
      <c r="E246" s="446" t="s">
        <v>4290</v>
      </c>
      <c r="F246" s="146" t="s">
        <v>1339</v>
      </c>
      <c r="G246" s="146" t="s">
        <v>1414</v>
      </c>
      <c r="H246" s="146" t="s">
        <v>1321</v>
      </c>
      <c r="I246" s="447" t="s">
        <v>34</v>
      </c>
      <c r="J246" s="146" t="s">
        <v>672</v>
      </c>
      <c r="K246" s="146" t="s">
        <v>608</v>
      </c>
      <c r="L246" s="146" t="s">
        <v>48</v>
      </c>
      <c r="M246" s="146">
        <v>2</v>
      </c>
      <c r="N246" s="447">
        <v>3.0000000000000001E-3</v>
      </c>
      <c r="O246" s="447">
        <v>2.5000000000000001E-3</v>
      </c>
      <c r="P246" s="448" t="s">
        <v>34</v>
      </c>
      <c r="Q246" s="448" t="s">
        <v>1421</v>
      </c>
      <c r="R246" s="448">
        <v>15220000000</v>
      </c>
      <c r="S246" s="449">
        <v>39784</v>
      </c>
      <c r="T246" s="450" t="s">
        <v>34</v>
      </c>
      <c r="U246" s="451" t="s">
        <v>34</v>
      </c>
      <c r="V246" s="450" t="s">
        <v>34</v>
      </c>
      <c r="W246" s="451" t="s">
        <v>34</v>
      </c>
      <c r="X246" s="450" t="s">
        <v>34</v>
      </c>
      <c r="Y246" s="451" t="s">
        <v>34</v>
      </c>
      <c r="Z246" s="450" t="s">
        <v>34</v>
      </c>
      <c r="AA246" s="451" t="s">
        <v>34</v>
      </c>
      <c r="AB246" s="450" t="s">
        <v>34</v>
      </c>
      <c r="AC246" s="452" t="s">
        <v>34</v>
      </c>
      <c r="AD246" s="147" t="s">
        <v>34</v>
      </c>
    </row>
    <row r="247" spans="1:30">
      <c r="E247" s="446" t="s">
        <v>4387</v>
      </c>
      <c r="F247" s="146" t="s">
        <v>715</v>
      </c>
      <c r="G247" s="146" t="s">
        <v>34</v>
      </c>
      <c r="H247" s="146" t="s">
        <v>1321</v>
      </c>
      <c r="I247" s="447" t="s">
        <v>34</v>
      </c>
      <c r="J247" s="146" t="s">
        <v>34</v>
      </c>
      <c r="K247" s="146" t="s">
        <v>608</v>
      </c>
      <c r="L247" s="146" t="s">
        <v>48</v>
      </c>
      <c r="M247" s="146">
        <v>2</v>
      </c>
      <c r="N247" s="447" t="s">
        <v>34</v>
      </c>
      <c r="O247" s="447">
        <v>5.0000000000000001E-3</v>
      </c>
      <c r="P247" s="448" t="s">
        <v>34</v>
      </c>
      <c r="Q247" s="448" t="s">
        <v>1421</v>
      </c>
      <c r="R247" s="448" t="s">
        <v>34</v>
      </c>
      <c r="S247" s="449" t="s">
        <v>34</v>
      </c>
      <c r="T247" s="450" t="s">
        <v>34</v>
      </c>
      <c r="U247" s="451" t="s">
        <v>34</v>
      </c>
      <c r="V247" s="450" t="s">
        <v>34</v>
      </c>
      <c r="W247" s="451" t="s">
        <v>34</v>
      </c>
      <c r="X247" s="450" t="s">
        <v>34</v>
      </c>
      <c r="Y247" s="451" t="s">
        <v>34</v>
      </c>
      <c r="Z247" s="450" t="s">
        <v>34</v>
      </c>
      <c r="AA247" s="451" t="s">
        <v>34</v>
      </c>
      <c r="AB247" s="450" t="s">
        <v>34</v>
      </c>
      <c r="AC247" s="452" t="s">
        <v>34</v>
      </c>
      <c r="AD247" s="147" t="s">
        <v>34</v>
      </c>
    </row>
    <row r="248" spans="1:30" ht="5.25" customHeight="1">
      <c r="E248" s="453" t="s">
        <v>1393</v>
      </c>
      <c r="P248" s="463"/>
      <c r="Q248" s="463"/>
      <c r="R248" s="463"/>
      <c r="S248" s="464"/>
      <c r="AC248" s="465"/>
    </row>
    <row r="249" spans="1:30" s="347" customFormat="1">
      <c r="A249" s="470"/>
      <c r="B249" s="436" t="s">
        <v>614</v>
      </c>
      <c r="C249" s="436" t="s">
        <v>34</v>
      </c>
      <c r="D249" s="436" t="str">
        <f>B249&amp;" "&amp;C249</f>
        <v>Long Bias -</v>
      </c>
      <c r="E249" s="458" t="s">
        <v>614</v>
      </c>
      <c r="F249" s="458"/>
      <c r="G249" s="458"/>
      <c r="H249" s="458"/>
      <c r="I249" s="458"/>
      <c r="J249" s="459"/>
      <c r="K249" s="458"/>
      <c r="L249" s="458"/>
      <c r="M249" s="458"/>
      <c r="N249" s="458"/>
      <c r="O249" s="458"/>
      <c r="P249" s="460"/>
      <c r="Q249" s="460"/>
      <c r="R249" s="460"/>
      <c r="S249" s="461"/>
      <c r="T249" s="458"/>
      <c r="U249" s="458"/>
      <c r="V249" s="458"/>
      <c r="W249" s="458"/>
      <c r="X249" s="458"/>
      <c r="Y249" s="458"/>
      <c r="Z249" s="458"/>
      <c r="AA249" s="458"/>
      <c r="AB249" s="458"/>
      <c r="AC249" s="462"/>
      <c r="AD249" s="458"/>
    </row>
    <row r="250" spans="1:30">
      <c r="E250" s="446" t="s">
        <v>4577</v>
      </c>
      <c r="F250" s="146" t="s">
        <v>715</v>
      </c>
      <c r="G250" s="146" t="s">
        <v>34</v>
      </c>
      <c r="H250" s="146" t="s">
        <v>1321</v>
      </c>
      <c r="I250" s="447" t="s">
        <v>34</v>
      </c>
      <c r="J250" s="146" t="s">
        <v>689</v>
      </c>
      <c r="K250" s="146" t="s">
        <v>608</v>
      </c>
      <c r="L250" s="146" t="s">
        <v>48</v>
      </c>
      <c r="M250" s="146">
        <v>10</v>
      </c>
      <c r="N250" s="447">
        <v>1.15E-2</v>
      </c>
      <c r="O250" s="447">
        <v>4.0000000000000001E-3</v>
      </c>
      <c r="P250" s="448">
        <v>1000</v>
      </c>
      <c r="Q250" s="448" t="s">
        <v>34</v>
      </c>
      <c r="R250" s="448">
        <v>29935059.349999998</v>
      </c>
      <c r="S250" s="449">
        <v>43005</v>
      </c>
      <c r="T250" s="450">
        <v>-2.4652592226194314E-2</v>
      </c>
      <c r="U250" s="451">
        <v>-1.2327294640216506</v>
      </c>
      <c r="V250" s="450">
        <v>-1.3591869873019413E-2</v>
      </c>
      <c r="W250" s="451">
        <v>-0.10540916535982965</v>
      </c>
      <c r="X250" s="450">
        <v>4.0975495239533366E-2</v>
      </c>
      <c r="Y250" s="451">
        <v>0.2122117856583392</v>
      </c>
      <c r="Z250" s="450">
        <v>0.28729805957906551</v>
      </c>
      <c r="AA250" s="451">
        <v>1.2972303249203558</v>
      </c>
      <c r="AB250" s="450">
        <v>0.11842337545276652</v>
      </c>
      <c r="AC250" s="452">
        <v>-1.203611861043925</v>
      </c>
      <c r="AD250" s="147">
        <v>28470590000135</v>
      </c>
    </row>
    <row r="251" spans="1:30">
      <c r="E251" s="446" t="s">
        <v>1723</v>
      </c>
      <c r="F251" s="146" t="s">
        <v>715</v>
      </c>
      <c r="G251" s="146" t="s">
        <v>34</v>
      </c>
      <c r="H251" s="146" t="s">
        <v>1321</v>
      </c>
      <c r="I251" s="447" t="s">
        <v>34</v>
      </c>
      <c r="J251" s="146" t="s">
        <v>34</v>
      </c>
      <c r="K251" s="146" t="s">
        <v>608</v>
      </c>
      <c r="L251" s="146" t="s">
        <v>48</v>
      </c>
      <c r="M251" s="146">
        <v>32</v>
      </c>
      <c r="N251" s="447">
        <v>0</v>
      </c>
      <c r="O251" s="447">
        <v>5.0673000000000003E-3</v>
      </c>
      <c r="P251" s="448">
        <v>25000</v>
      </c>
      <c r="Q251" s="448" t="s">
        <v>34</v>
      </c>
      <c r="R251" s="448">
        <v>32284672.609999999</v>
      </c>
      <c r="S251" s="449">
        <v>44318</v>
      </c>
      <c r="T251" s="450">
        <v>-4.2925712566731278E-2</v>
      </c>
      <c r="U251" s="451">
        <v>-2.1464594943857076</v>
      </c>
      <c r="V251" s="450">
        <v>7.7965470145649585E-2</v>
      </c>
      <c r="W251" s="451">
        <v>0.60464639609693094</v>
      </c>
      <c r="X251" s="450" t="s">
        <v>34</v>
      </c>
      <c r="Y251" s="451" t="s">
        <v>34</v>
      </c>
      <c r="Z251" s="450" t="s">
        <v>34</v>
      </c>
      <c r="AA251" s="451" t="s">
        <v>34</v>
      </c>
      <c r="AB251" s="450">
        <v>0.150458249379265</v>
      </c>
      <c r="AC251" s="452">
        <v>-0.33882116475139729</v>
      </c>
      <c r="AD251" s="147">
        <v>37495383000126</v>
      </c>
    </row>
    <row r="252" spans="1:30">
      <c r="E252" s="446" t="s">
        <v>2107</v>
      </c>
      <c r="F252" s="146" t="s">
        <v>715</v>
      </c>
      <c r="G252" s="146" t="s">
        <v>34</v>
      </c>
      <c r="H252" s="146" t="s">
        <v>1321</v>
      </c>
      <c r="I252" s="447" t="s">
        <v>34</v>
      </c>
      <c r="J252" s="146" t="s">
        <v>689</v>
      </c>
      <c r="K252" s="146" t="s">
        <v>608</v>
      </c>
      <c r="L252" s="146" t="s">
        <v>48</v>
      </c>
      <c r="M252" s="146">
        <v>32</v>
      </c>
      <c r="N252" s="447">
        <v>1.9E-2</v>
      </c>
      <c r="O252" s="447">
        <v>4.7499999999999999E-3</v>
      </c>
      <c r="P252" s="448">
        <v>50000</v>
      </c>
      <c r="Q252" s="448" t="s">
        <v>34</v>
      </c>
      <c r="R252" s="448">
        <v>817836641.86000001</v>
      </c>
      <c r="S252" s="449">
        <v>43463</v>
      </c>
      <c r="T252" s="450">
        <v>-2.1893079742439148E-2</v>
      </c>
      <c r="U252" s="451">
        <v>-1.0947426627210519</v>
      </c>
      <c r="V252" s="450">
        <v>7.4376809141065703E-2</v>
      </c>
      <c r="W252" s="451">
        <v>0.5768152172535066</v>
      </c>
      <c r="X252" s="450">
        <v>0.27304463427534476</v>
      </c>
      <c r="Y252" s="451">
        <v>1.4140961339277505</v>
      </c>
      <c r="Z252" s="450">
        <v>0.41851000716042064</v>
      </c>
      <c r="AA252" s="451">
        <v>1.8896886159501669</v>
      </c>
      <c r="AB252" s="450">
        <v>0.14983627492398699</v>
      </c>
      <c r="AC252" s="452">
        <v>-0.36417816936122394</v>
      </c>
      <c r="AD252" s="147">
        <v>32073525000143</v>
      </c>
    </row>
    <row r="253" spans="1:30">
      <c r="E253" s="446" t="s">
        <v>4585</v>
      </c>
      <c r="F253" s="146" t="s">
        <v>715</v>
      </c>
      <c r="G253" s="146" t="s">
        <v>34</v>
      </c>
      <c r="H253" s="146" t="s">
        <v>1321</v>
      </c>
      <c r="I253" s="447" t="s">
        <v>34</v>
      </c>
      <c r="J253" s="146" t="s">
        <v>689</v>
      </c>
      <c r="K253" s="146" t="s">
        <v>608</v>
      </c>
      <c r="L253" s="146" t="s">
        <v>48</v>
      </c>
      <c r="M253" s="146">
        <v>32</v>
      </c>
      <c r="N253" s="447">
        <v>0</v>
      </c>
      <c r="O253" s="447">
        <v>4.0000000000000001E-3</v>
      </c>
      <c r="P253" s="448">
        <v>5000</v>
      </c>
      <c r="Q253" s="448" t="s">
        <v>34</v>
      </c>
      <c r="R253" s="448">
        <v>386299872.75</v>
      </c>
      <c r="S253" s="449">
        <v>44351</v>
      </c>
      <c r="T253" s="450">
        <v>4.8467102563757303E-2</v>
      </c>
      <c r="U253" s="451">
        <v>2.4235514390498714</v>
      </c>
      <c r="V253" s="450">
        <v>6.2955561689407968E-2</v>
      </c>
      <c r="W253" s="451">
        <v>0.48823990182636751</v>
      </c>
      <c r="X253" s="450" t="s">
        <v>34</v>
      </c>
      <c r="Y253" s="451" t="s">
        <v>34</v>
      </c>
      <c r="Z253" s="450" t="s">
        <v>34</v>
      </c>
      <c r="AA253" s="451" t="s">
        <v>34</v>
      </c>
      <c r="AB253" s="450">
        <v>0.12624671303335716</v>
      </c>
      <c r="AC253" s="452">
        <v>-0.52269359076259525</v>
      </c>
      <c r="AD253" s="147">
        <v>41907541000185</v>
      </c>
    </row>
    <row r="254" spans="1:30">
      <c r="E254" s="446" t="s">
        <v>1722</v>
      </c>
      <c r="F254" s="146" t="s">
        <v>715</v>
      </c>
      <c r="G254" s="146" t="s">
        <v>1414</v>
      </c>
      <c r="H254" s="146" t="s">
        <v>1321</v>
      </c>
      <c r="I254" s="447" t="s">
        <v>34</v>
      </c>
      <c r="J254" s="146" t="s">
        <v>689</v>
      </c>
      <c r="K254" s="146" t="s">
        <v>608</v>
      </c>
      <c r="L254" s="146" t="s">
        <v>48</v>
      </c>
      <c r="M254" s="146">
        <v>32</v>
      </c>
      <c r="N254" s="447">
        <v>0</v>
      </c>
      <c r="O254" s="447">
        <v>3.5999999999999999E-3</v>
      </c>
      <c r="P254" s="448">
        <v>0</v>
      </c>
      <c r="Q254" s="448" t="s">
        <v>34</v>
      </c>
      <c r="R254" s="448">
        <v>463602274.5</v>
      </c>
      <c r="S254" s="449">
        <v>44227</v>
      </c>
      <c r="T254" s="450">
        <v>-1.420579947578049E-3</v>
      </c>
      <c r="U254" s="451">
        <v>-7.1034751287415779E-2</v>
      </c>
      <c r="V254" s="450">
        <v>0.22458003083821465</v>
      </c>
      <c r="W254" s="451">
        <v>1.7416877757292812</v>
      </c>
      <c r="X254" s="450">
        <v>0.23286256157268315</v>
      </c>
      <c r="Y254" s="451">
        <v>1.2059934776977892</v>
      </c>
      <c r="Z254" s="450" t="s">
        <v>34</v>
      </c>
      <c r="AA254" s="451" t="s">
        <v>34</v>
      </c>
      <c r="AB254" s="450">
        <v>0.1720803587381261</v>
      </c>
      <c r="AC254" s="452">
        <v>0.55576430740109317</v>
      </c>
      <c r="AD254" s="147">
        <v>37467515000106</v>
      </c>
    </row>
    <row r="255" spans="1:30">
      <c r="E255" s="446" t="s">
        <v>1725</v>
      </c>
      <c r="F255" s="146" t="s">
        <v>715</v>
      </c>
      <c r="G255" s="146" t="s">
        <v>34</v>
      </c>
      <c r="H255" s="146" t="s">
        <v>1321</v>
      </c>
      <c r="I255" s="447" t="s">
        <v>34</v>
      </c>
      <c r="J255" s="146" t="s">
        <v>689</v>
      </c>
      <c r="K255" s="146" t="s">
        <v>608</v>
      </c>
      <c r="L255" s="146" t="s">
        <v>48</v>
      </c>
      <c r="M255" s="146">
        <v>33</v>
      </c>
      <c r="N255" s="447">
        <v>0</v>
      </c>
      <c r="O255" s="447">
        <v>4.7499999999999999E-3</v>
      </c>
      <c r="P255" s="448">
        <v>1000</v>
      </c>
      <c r="Q255" s="448" t="s">
        <v>34</v>
      </c>
      <c r="R255" s="448">
        <v>46327852.559999995</v>
      </c>
      <c r="S255" s="449">
        <v>43190</v>
      </c>
      <c r="T255" s="450">
        <v>-2.7852945686364983E-2</v>
      </c>
      <c r="U255" s="451">
        <v>-1.3927600997226757</v>
      </c>
      <c r="V255" s="450">
        <v>-1.81885808581983E-3</v>
      </c>
      <c r="W255" s="451">
        <v>-1.4105808437353323E-2</v>
      </c>
      <c r="X255" s="450">
        <v>5.4218067551673244E-2</v>
      </c>
      <c r="Y255" s="451">
        <v>0.28079496935486131</v>
      </c>
      <c r="Z255" s="450">
        <v>0.1894563251400887</v>
      </c>
      <c r="AA255" s="451">
        <v>0.85544779028365636</v>
      </c>
      <c r="AB255" s="450">
        <v>0.10681093494234549</v>
      </c>
      <c r="AC255" s="452">
        <v>-1.2242451356051836</v>
      </c>
      <c r="AD255" s="147">
        <v>28581159000166</v>
      </c>
    </row>
    <row r="256" spans="1:30">
      <c r="E256" s="446" t="s">
        <v>2105</v>
      </c>
      <c r="F256" s="146" t="s">
        <v>715</v>
      </c>
      <c r="G256" s="146" t="s">
        <v>34</v>
      </c>
      <c r="H256" s="146" t="s">
        <v>1321</v>
      </c>
      <c r="I256" s="447" t="s">
        <v>34</v>
      </c>
      <c r="J256" s="146" t="s">
        <v>34</v>
      </c>
      <c r="K256" s="146" t="s">
        <v>608</v>
      </c>
      <c r="L256" s="146" t="s">
        <v>48</v>
      </c>
      <c r="M256" s="146">
        <v>61</v>
      </c>
      <c r="N256" s="447">
        <v>0</v>
      </c>
      <c r="O256" s="447">
        <v>7.9333333333333304E-3</v>
      </c>
      <c r="P256" s="448">
        <v>500</v>
      </c>
      <c r="Q256" s="448" t="s">
        <v>34</v>
      </c>
      <c r="R256" s="448">
        <v>19281418.469999999</v>
      </c>
      <c r="S256" s="449">
        <v>43523</v>
      </c>
      <c r="T256" s="450">
        <v>-5.1987175660859197E-3</v>
      </c>
      <c r="U256" s="451">
        <v>-0.25995693515879609</v>
      </c>
      <c r="V256" s="450">
        <v>0.16114079164815909</v>
      </c>
      <c r="W256" s="451">
        <v>1.2496968049092503</v>
      </c>
      <c r="X256" s="450">
        <v>0.10111537415727412</v>
      </c>
      <c r="Y256" s="451">
        <v>0.52367577211668592</v>
      </c>
      <c r="Z256" s="450">
        <v>0.32990953698811842</v>
      </c>
      <c r="AA256" s="451">
        <v>1.489632949447897</v>
      </c>
      <c r="AB256" s="450">
        <v>0.18787019449253148</v>
      </c>
      <c r="AC256" s="452">
        <v>0.17137834071199984</v>
      </c>
      <c r="AD256" s="147">
        <v>32295829000155</v>
      </c>
    </row>
    <row r="257" spans="1:30">
      <c r="E257" s="446" t="s">
        <v>4772</v>
      </c>
      <c r="F257" s="146" t="s">
        <v>715</v>
      </c>
      <c r="G257" s="146" t="s">
        <v>34</v>
      </c>
      <c r="H257" s="146" t="s">
        <v>1321</v>
      </c>
      <c r="I257" s="447" t="s">
        <v>34</v>
      </c>
      <c r="J257" s="146" t="s">
        <v>34</v>
      </c>
      <c r="K257" s="146" t="s">
        <v>608</v>
      </c>
      <c r="L257" s="146" t="s">
        <v>48</v>
      </c>
      <c r="M257" s="146">
        <v>32</v>
      </c>
      <c r="N257" s="447">
        <v>1.9599999999999999E-2</v>
      </c>
      <c r="O257" s="447">
        <v>4.8937499999999997E-3</v>
      </c>
      <c r="P257" s="448">
        <v>1000</v>
      </c>
      <c r="Q257" s="448" t="s">
        <v>34</v>
      </c>
      <c r="R257" s="448">
        <v>234556670</v>
      </c>
      <c r="S257" s="449">
        <v>41416</v>
      </c>
      <c r="T257" s="450">
        <v>-4.6016155826492655E-3</v>
      </c>
      <c r="U257" s="451">
        <v>-0.23009941748866505</v>
      </c>
      <c r="V257" s="450">
        <v>0.15230346236886416</v>
      </c>
      <c r="W257" s="451">
        <v>1.1811605761163591</v>
      </c>
      <c r="X257" s="450">
        <v>0.34173215396177015</v>
      </c>
      <c r="Y257" s="451">
        <v>1.7698282884725323</v>
      </c>
      <c r="Z257" s="450">
        <v>0.23985204942701999</v>
      </c>
      <c r="AA257" s="451">
        <v>1.0829984458192923</v>
      </c>
      <c r="AB257" s="450">
        <v>0.13914532369402757</v>
      </c>
      <c r="AC257" s="452">
        <v>0.16787882123471215</v>
      </c>
      <c r="AD257" s="147">
        <v>17554200000199</v>
      </c>
    </row>
    <row r="258" spans="1:30">
      <c r="E258" s="446" t="s">
        <v>4610</v>
      </c>
      <c r="F258" s="146" t="s">
        <v>1339</v>
      </c>
      <c r="G258" s="146" t="s">
        <v>34</v>
      </c>
      <c r="H258" s="146" t="s">
        <v>1321</v>
      </c>
      <c r="I258" s="447" t="s">
        <v>34</v>
      </c>
      <c r="J258" s="146" t="s">
        <v>34</v>
      </c>
      <c r="K258" s="146" t="s">
        <v>608</v>
      </c>
      <c r="L258" s="146" t="s">
        <v>48</v>
      </c>
      <c r="M258" s="146">
        <v>23</v>
      </c>
      <c r="N258" s="447">
        <v>0</v>
      </c>
      <c r="O258" s="447">
        <v>4.6666666666666697E-3</v>
      </c>
      <c r="P258" s="448">
        <v>100</v>
      </c>
      <c r="Q258" s="448" t="s">
        <v>34</v>
      </c>
      <c r="R258" s="448">
        <v>28176565.289999999</v>
      </c>
      <c r="S258" s="449">
        <v>44044</v>
      </c>
      <c r="T258" s="450">
        <v>1.2455481481799202E-2</v>
      </c>
      <c r="U258" s="451">
        <v>0.62282452369757135</v>
      </c>
      <c r="V258" s="450">
        <v>0.11468391576115788</v>
      </c>
      <c r="W258" s="451">
        <v>0.88940932730510103</v>
      </c>
      <c r="X258" s="450">
        <v>0.20128530619048512</v>
      </c>
      <c r="Y258" s="451">
        <v>1.0424551064914682</v>
      </c>
      <c r="Z258" s="450" t="s">
        <v>34</v>
      </c>
      <c r="AA258" s="451" t="s">
        <v>34</v>
      </c>
      <c r="AB258" s="450">
        <v>3.239711736855428E-2</v>
      </c>
      <c r="AC258" s="452">
        <v>-0.440162423199778</v>
      </c>
      <c r="AD258" s="147">
        <v>37567202000120</v>
      </c>
    </row>
    <row r="259" spans="1:30">
      <c r="E259" s="446" t="s">
        <v>4616</v>
      </c>
      <c r="F259" s="146" t="s">
        <v>1339</v>
      </c>
      <c r="G259" s="146" t="s">
        <v>1414</v>
      </c>
      <c r="H259" s="146" t="s">
        <v>1321</v>
      </c>
      <c r="I259" s="447" t="s">
        <v>34</v>
      </c>
      <c r="J259" s="146" t="s">
        <v>689</v>
      </c>
      <c r="K259" s="146" t="s">
        <v>608</v>
      </c>
      <c r="L259" s="146" t="s">
        <v>48</v>
      </c>
      <c r="M259" s="146">
        <v>30</v>
      </c>
      <c r="N259" s="447">
        <v>0</v>
      </c>
      <c r="O259" s="447">
        <v>0</v>
      </c>
      <c r="P259" s="448">
        <v>1000</v>
      </c>
      <c r="Q259" s="448" t="s">
        <v>34</v>
      </c>
      <c r="R259" s="448">
        <v>56798299.649999999</v>
      </c>
      <c r="S259" s="449">
        <v>44602</v>
      </c>
      <c r="T259" s="450">
        <v>-2.4560238595033979E-2</v>
      </c>
      <c r="U259" s="451">
        <v>-1.2281114083950391</v>
      </c>
      <c r="V259" s="450">
        <v>5.1534500000001371E-2</v>
      </c>
      <c r="W259" s="451">
        <v>0.39966602704308618</v>
      </c>
      <c r="X259" s="450" t="s">
        <v>34</v>
      </c>
      <c r="Y259" s="451" t="s">
        <v>34</v>
      </c>
      <c r="Z259" s="450" t="s">
        <v>34</v>
      </c>
      <c r="AA259" s="451" t="s">
        <v>34</v>
      </c>
      <c r="AB259" s="450">
        <v>0.10336929303212347</v>
      </c>
      <c r="AC259" s="452">
        <v>-0.74886271518497194</v>
      </c>
      <c r="AD259" s="147">
        <v>45126753000186</v>
      </c>
    </row>
    <row r="260" spans="1:30">
      <c r="E260" s="446" t="s">
        <v>4623</v>
      </c>
      <c r="F260" s="146" t="s">
        <v>1339</v>
      </c>
      <c r="G260" s="146" t="s">
        <v>34</v>
      </c>
      <c r="H260" s="146" t="s">
        <v>1321</v>
      </c>
      <c r="I260" s="447" t="s">
        <v>34</v>
      </c>
      <c r="J260" s="146" t="s">
        <v>34</v>
      </c>
      <c r="K260" s="146" t="s">
        <v>608</v>
      </c>
      <c r="L260" s="146" t="s">
        <v>48</v>
      </c>
      <c r="M260" s="146">
        <v>32</v>
      </c>
      <c r="N260" s="447">
        <v>1.8500000000000003E-2</v>
      </c>
      <c r="O260" s="447">
        <v>4.9333333333333304E-3</v>
      </c>
      <c r="P260" s="448">
        <v>1000</v>
      </c>
      <c r="Q260" s="448" t="s">
        <v>34</v>
      </c>
      <c r="R260" s="448">
        <v>91007135.25</v>
      </c>
      <c r="S260" s="449">
        <v>44128</v>
      </c>
      <c r="T260" s="450">
        <v>-5.7115785813629971E-2</v>
      </c>
      <c r="U260" s="451">
        <v>-2.8560206321183523</v>
      </c>
      <c r="V260" s="450">
        <v>-7.9780965675407489E-2</v>
      </c>
      <c r="W260" s="451">
        <v>-0.61872612686938055</v>
      </c>
      <c r="X260" s="450">
        <v>-6.4376531726750841E-5</v>
      </c>
      <c r="Y260" s="451">
        <v>-3.3340557990483731E-4</v>
      </c>
      <c r="Z260" s="450" t="s">
        <v>34</v>
      </c>
      <c r="AA260" s="451" t="s">
        <v>34</v>
      </c>
      <c r="AB260" s="450">
        <v>0.22814100526834441</v>
      </c>
      <c r="AC260" s="452">
        <v>-0.91489416765166398</v>
      </c>
      <c r="AD260" s="147">
        <v>38954217000103</v>
      </c>
    </row>
    <row r="261" spans="1:30">
      <c r="E261" s="446" t="s">
        <v>4626</v>
      </c>
      <c r="F261" s="146" t="s">
        <v>1339</v>
      </c>
      <c r="G261" s="146" t="s">
        <v>34</v>
      </c>
      <c r="H261" s="146" t="s">
        <v>1324</v>
      </c>
      <c r="I261" s="447" t="s">
        <v>34</v>
      </c>
      <c r="J261" s="146" t="s">
        <v>34</v>
      </c>
      <c r="K261" s="146" t="s">
        <v>608</v>
      </c>
      <c r="L261" s="146" t="s">
        <v>48</v>
      </c>
      <c r="M261" s="146">
        <v>32</v>
      </c>
      <c r="N261" s="447">
        <v>0</v>
      </c>
      <c r="O261" s="447">
        <v>4.7499999999999999E-3</v>
      </c>
      <c r="P261" s="448">
        <v>5000</v>
      </c>
      <c r="Q261" s="448" t="s">
        <v>34</v>
      </c>
      <c r="R261" s="448">
        <v>199000739</v>
      </c>
      <c r="S261" s="449">
        <v>42895</v>
      </c>
      <c r="T261" s="450">
        <v>-6.907389825971666E-2</v>
      </c>
      <c r="U261" s="451">
        <v>-3.4539746894897343</v>
      </c>
      <c r="V261" s="450">
        <v>-9.6519912994019408E-2</v>
      </c>
      <c r="W261" s="451">
        <v>-0.74854185364878012</v>
      </c>
      <c r="X261" s="450">
        <v>-0.26372858481352435</v>
      </c>
      <c r="Y261" s="451">
        <v>-1.3658483829239523</v>
      </c>
      <c r="Z261" s="450">
        <v>0.12830189635682476</v>
      </c>
      <c r="AA261" s="451">
        <v>0.57931860362272125</v>
      </c>
      <c r="AB261" s="450">
        <v>0.22414275028660788</v>
      </c>
      <c r="AC261" s="452">
        <v>-1.0058938875003125</v>
      </c>
      <c r="AD261" s="147">
        <v>26210505000174</v>
      </c>
    </row>
    <row r="262" spans="1:30">
      <c r="E262" s="446" t="s">
        <v>4627</v>
      </c>
      <c r="F262" s="146" t="s">
        <v>1339</v>
      </c>
      <c r="G262" s="146" t="s">
        <v>34</v>
      </c>
      <c r="H262" s="146" t="s">
        <v>1321</v>
      </c>
      <c r="I262" s="447" t="s">
        <v>34</v>
      </c>
      <c r="J262" s="146" t="s">
        <v>34</v>
      </c>
      <c r="K262" s="146" t="s">
        <v>608</v>
      </c>
      <c r="L262" s="146" t="s">
        <v>48</v>
      </c>
      <c r="M262" s="146">
        <v>32</v>
      </c>
      <c r="N262" s="447">
        <v>0</v>
      </c>
      <c r="O262" s="447">
        <v>3.8E-3</v>
      </c>
      <c r="P262" s="448">
        <v>10000</v>
      </c>
      <c r="Q262" s="448" t="s">
        <v>34</v>
      </c>
      <c r="R262" s="448">
        <v>112030689.12</v>
      </c>
      <c r="S262" s="449">
        <v>44129</v>
      </c>
      <c r="T262" s="450">
        <v>-6.5790754405922414E-2</v>
      </c>
      <c r="U262" s="451">
        <v>-3.2898041987738158</v>
      </c>
      <c r="V262" s="450">
        <v>-9.5919357492372459E-2</v>
      </c>
      <c r="W262" s="451">
        <v>-0.74388435951645915</v>
      </c>
      <c r="X262" s="450">
        <v>-0.25957154437489827</v>
      </c>
      <c r="Y262" s="451">
        <v>-1.3443191013526672</v>
      </c>
      <c r="Z262" s="450" t="s">
        <v>34</v>
      </c>
      <c r="AA262" s="451" t="s">
        <v>34</v>
      </c>
      <c r="AB262" s="450">
        <v>0.2123956076501666</v>
      </c>
      <c r="AC262" s="452">
        <v>-1.058700174767877</v>
      </c>
      <c r="AD262" s="147">
        <v>38971881000160</v>
      </c>
    </row>
    <row r="263" spans="1:30">
      <c r="E263" s="446" t="s">
        <v>4628</v>
      </c>
      <c r="F263" s="146" t="s">
        <v>1339</v>
      </c>
      <c r="G263" s="146" t="s">
        <v>34</v>
      </c>
      <c r="H263" s="146" t="s">
        <v>1321</v>
      </c>
      <c r="I263" s="447" t="s">
        <v>34</v>
      </c>
      <c r="J263" s="146" t="s">
        <v>1317</v>
      </c>
      <c r="K263" s="146" t="s">
        <v>608</v>
      </c>
      <c r="L263" s="146" t="s">
        <v>48</v>
      </c>
      <c r="M263" s="146">
        <v>32</v>
      </c>
      <c r="N263" s="447">
        <v>1.8500000000000003E-2</v>
      </c>
      <c r="O263" s="447">
        <v>4.6249999999999998E-3</v>
      </c>
      <c r="P263" s="448">
        <v>500</v>
      </c>
      <c r="Q263" s="448" t="s">
        <v>34</v>
      </c>
      <c r="R263" s="448">
        <v>672427460.85000002</v>
      </c>
      <c r="S263" s="449">
        <v>43252</v>
      </c>
      <c r="T263" s="450">
        <v>-6.698124761606028E-5</v>
      </c>
      <c r="U263" s="451">
        <v>-3.3493336812472786E-3</v>
      </c>
      <c r="V263" s="450">
        <v>-1.3489220682197711E-2</v>
      </c>
      <c r="W263" s="451">
        <v>-0.10461308905609339</v>
      </c>
      <c r="X263" s="450">
        <v>-7.8970516884808051E-2</v>
      </c>
      <c r="Y263" s="451">
        <v>-0.40898772069796685</v>
      </c>
      <c r="Z263" s="450">
        <v>0.11779947944203006</v>
      </c>
      <c r="AA263" s="451">
        <v>0.53189728192361385</v>
      </c>
      <c r="AB263" s="450">
        <v>0.12925687327873264</v>
      </c>
      <c r="AC263" s="452">
        <v>-1.1019385392515246</v>
      </c>
      <c r="AD263" s="147">
        <v>30317454000151</v>
      </c>
    </row>
    <row r="264" spans="1:30">
      <c r="E264" s="446" t="s">
        <v>4633</v>
      </c>
      <c r="F264" s="146" t="s">
        <v>1339</v>
      </c>
      <c r="G264" s="146" t="s">
        <v>34</v>
      </c>
      <c r="H264" s="146" t="s">
        <v>1321</v>
      </c>
      <c r="I264" s="447" t="s">
        <v>34</v>
      </c>
      <c r="J264" s="146" t="s">
        <v>610</v>
      </c>
      <c r="K264" s="146" t="s">
        <v>608</v>
      </c>
      <c r="L264" s="146" t="s">
        <v>48</v>
      </c>
      <c r="M264" s="146">
        <v>32</v>
      </c>
      <c r="N264" s="447">
        <v>0.02</v>
      </c>
      <c r="O264" s="447">
        <v>4.0000000000000001E-3</v>
      </c>
      <c r="P264" s="448">
        <v>500</v>
      </c>
      <c r="Q264" s="448" t="s">
        <v>34</v>
      </c>
      <c r="R264" s="448">
        <v>111939962.35000001</v>
      </c>
      <c r="S264" s="449">
        <v>44279</v>
      </c>
      <c r="T264" s="450">
        <v>-2.1657662750283468E-2</v>
      </c>
      <c r="U264" s="451">
        <v>-1.0829708595816925</v>
      </c>
      <c r="V264" s="450">
        <v>7.467392345753554E-2</v>
      </c>
      <c r="W264" s="451">
        <v>0.57911943090535378</v>
      </c>
      <c r="X264" s="450" t="s">
        <v>34</v>
      </c>
      <c r="Y264" s="451" t="s">
        <v>34</v>
      </c>
      <c r="Z264" s="450" t="s">
        <v>34</v>
      </c>
      <c r="AA264" s="451" t="s">
        <v>34</v>
      </c>
      <c r="AB264" s="450">
        <v>0.1144444067001085</v>
      </c>
      <c r="AC264" s="452">
        <v>-0.47420391746590584</v>
      </c>
      <c r="AD264" s="147">
        <v>40920066000114</v>
      </c>
    </row>
    <row r="265" spans="1:30">
      <c r="E265" s="446" t="s">
        <v>2719</v>
      </c>
      <c r="F265" s="146" t="s">
        <v>1339</v>
      </c>
      <c r="G265" s="146" t="s">
        <v>1414</v>
      </c>
      <c r="H265" s="146" t="s">
        <v>1321</v>
      </c>
      <c r="I265" s="447" t="s">
        <v>34</v>
      </c>
      <c r="J265" s="146" t="s">
        <v>34</v>
      </c>
      <c r="K265" s="146" t="s">
        <v>608</v>
      </c>
      <c r="L265" s="146" t="s">
        <v>48</v>
      </c>
      <c r="M265" s="146">
        <v>62</v>
      </c>
      <c r="N265" s="447">
        <v>0</v>
      </c>
      <c r="O265" s="447">
        <v>3.3333333333333301E-3</v>
      </c>
      <c r="P265" s="448">
        <v>5000</v>
      </c>
      <c r="Q265" s="448" t="s">
        <v>34</v>
      </c>
      <c r="R265" s="448">
        <v>155645957</v>
      </c>
      <c r="S265" s="449">
        <v>41355</v>
      </c>
      <c r="T265" s="450">
        <v>4.7954599754009841E-3</v>
      </c>
      <c r="U265" s="451">
        <v>0.23979242227241868</v>
      </c>
      <c r="V265" s="450">
        <v>0.16805008846401837</v>
      </c>
      <c r="W265" s="451">
        <v>1.3032805441141684</v>
      </c>
      <c r="X265" s="450">
        <v>0.25938164179054857</v>
      </c>
      <c r="Y265" s="451">
        <v>1.343335597278088</v>
      </c>
      <c r="Z265" s="450">
        <v>0.32944632355609982</v>
      </c>
      <c r="AA265" s="451">
        <v>1.4875414124851853</v>
      </c>
      <c r="AB265" s="450">
        <v>0.16381396242304663</v>
      </c>
      <c r="AC265" s="452">
        <v>0.23872311272368227</v>
      </c>
      <c r="AD265" s="147">
        <v>17447468000121</v>
      </c>
    </row>
    <row r="266" spans="1:30">
      <c r="E266" s="446" t="s">
        <v>4649</v>
      </c>
      <c r="F266" s="146" t="s">
        <v>1339</v>
      </c>
      <c r="G266" s="146" t="s">
        <v>34</v>
      </c>
      <c r="H266" s="146" t="s">
        <v>1324</v>
      </c>
      <c r="I266" s="447" t="s">
        <v>34</v>
      </c>
      <c r="J266" s="146" t="s">
        <v>34</v>
      </c>
      <c r="K266" s="146" t="s">
        <v>608</v>
      </c>
      <c r="L266" s="146" t="s">
        <v>48</v>
      </c>
      <c r="M266" s="146">
        <v>92</v>
      </c>
      <c r="N266" s="447">
        <v>1.9450000000000002E-2</v>
      </c>
      <c r="O266" s="447">
        <v>3.8999999999999998E-3</v>
      </c>
      <c r="P266" s="448">
        <v>50000</v>
      </c>
      <c r="Q266" s="448" t="s">
        <v>34</v>
      </c>
      <c r="R266" s="448">
        <v>791033638.67999995</v>
      </c>
      <c r="S266" s="449">
        <v>43456</v>
      </c>
      <c r="T266" s="450">
        <v>-1.2725395034157927E-2</v>
      </c>
      <c r="U266" s="451">
        <v>-0.63632129457174391</v>
      </c>
      <c r="V266" s="450">
        <v>4.9829539103492193E-2</v>
      </c>
      <c r="W266" s="451">
        <v>0.38644352662547038</v>
      </c>
      <c r="X266" s="450">
        <v>6.334995720002512E-3</v>
      </c>
      <c r="Y266" s="451">
        <v>3.2808895805184146E-2</v>
      </c>
      <c r="Z266" s="450">
        <v>0.38447460343892126</v>
      </c>
      <c r="AA266" s="451">
        <v>1.7360093398244421</v>
      </c>
      <c r="AB266" s="450">
        <v>0.14963591992334299</v>
      </c>
      <c r="AC266" s="452">
        <v>-0.52871242669424345</v>
      </c>
      <c r="AD266" s="147">
        <v>32068007000131</v>
      </c>
    </row>
    <row r="267" spans="1:30" ht="5.25" customHeight="1">
      <c r="E267" s="453" t="s">
        <v>1393</v>
      </c>
      <c r="P267" s="463"/>
      <c r="Q267" s="463"/>
      <c r="R267" s="463"/>
      <c r="S267" s="464"/>
      <c r="AC267" s="465"/>
    </row>
    <row r="268" spans="1:30" s="347" customFormat="1">
      <c r="A268" s="470"/>
      <c r="B268" s="436" t="s">
        <v>15</v>
      </c>
      <c r="C268" s="436" t="s">
        <v>15</v>
      </c>
      <c r="D268" s="436" t="str">
        <f>B268&amp;" "&amp;C268</f>
        <v>Alternativos Alternativos</v>
      </c>
      <c r="E268" s="458" t="s">
        <v>15</v>
      </c>
      <c r="F268" s="458"/>
      <c r="G268" s="458"/>
      <c r="H268" s="458"/>
      <c r="I268" s="458"/>
      <c r="J268" s="459"/>
      <c r="K268" s="458"/>
      <c r="L268" s="458"/>
      <c r="M268" s="458"/>
      <c r="N268" s="458"/>
      <c r="O268" s="458"/>
      <c r="P268" s="460"/>
      <c r="Q268" s="460"/>
      <c r="R268" s="460"/>
      <c r="S268" s="461"/>
      <c r="T268" s="458"/>
      <c r="U268" s="458"/>
      <c r="V268" s="458"/>
      <c r="W268" s="458"/>
      <c r="X268" s="458"/>
      <c r="Y268" s="458"/>
      <c r="Z268" s="458"/>
      <c r="AA268" s="458"/>
      <c r="AB268" s="458"/>
      <c r="AC268" s="462"/>
      <c r="AD268" s="458"/>
    </row>
    <row r="269" spans="1:30">
      <c r="E269" s="446" t="s">
        <v>4388</v>
      </c>
      <c r="F269" s="146" t="s">
        <v>1339</v>
      </c>
      <c r="G269" s="488" t="s">
        <v>34</v>
      </c>
      <c r="H269" s="146" t="s">
        <v>1321</v>
      </c>
      <c r="I269" s="447" t="s">
        <v>34</v>
      </c>
      <c r="J269" s="146" t="s">
        <v>34</v>
      </c>
      <c r="K269" s="146" t="s">
        <v>608</v>
      </c>
      <c r="L269" s="146" t="s">
        <v>48</v>
      </c>
      <c r="M269" s="146">
        <v>2</v>
      </c>
      <c r="N269" s="447">
        <v>0.01</v>
      </c>
      <c r="O269" s="447">
        <v>2.5000000000000001E-3</v>
      </c>
      <c r="P269" s="448" t="s">
        <v>34</v>
      </c>
      <c r="Q269" s="448" t="s">
        <v>1421</v>
      </c>
      <c r="R269" s="448" t="s">
        <v>34</v>
      </c>
      <c r="S269" s="449" t="s">
        <v>34</v>
      </c>
      <c r="T269" s="450" t="s">
        <v>34</v>
      </c>
      <c r="U269" s="451" t="s">
        <v>34</v>
      </c>
      <c r="V269" s="450" t="s">
        <v>34</v>
      </c>
      <c r="W269" s="451" t="s">
        <v>34</v>
      </c>
      <c r="X269" s="450" t="s">
        <v>34</v>
      </c>
      <c r="Y269" s="451" t="s">
        <v>34</v>
      </c>
      <c r="Z269" s="450" t="s">
        <v>34</v>
      </c>
      <c r="AA269" s="451" t="s">
        <v>34</v>
      </c>
      <c r="AB269" s="450" t="s">
        <v>34</v>
      </c>
      <c r="AC269" s="452" t="s">
        <v>34</v>
      </c>
      <c r="AD269" s="147" t="s">
        <v>34</v>
      </c>
    </row>
    <row r="270" spans="1:30" s="347" customFormat="1" ht="7.5" customHeight="1">
      <c r="B270" s="436"/>
      <c r="C270" s="436"/>
      <c r="D270" s="436"/>
      <c r="E270" s="437" t="s">
        <v>1393</v>
      </c>
      <c r="J270" s="438"/>
      <c r="P270" s="439"/>
      <c r="Q270" s="439"/>
      <c r="R270" s="439"/>
      <c r="S270" s="454"/>
      <c r="AC270" s="457"/>
    </row>
    <row r="271" spans="1:30" s="347" customFormat="1">
      <c r="B271" s="455" t="s">
        <v>12</v>
      </c>
      <c r="C271" s="436"/>
      <c r="D271" s="436"/>
      <c r="E271" s="441" t="s">
        <v>628</v>
      </c>
      <c r="F271" s="441"/>
      <c r="G271" s="441"/>
      <c r="H271" s="441"/>
      <c r="I271" s="441"/>
      <c r="J271" s="442"/>
      <c r="K271" s="441"/>
      <c r="L271" s="441"/>
      <c r="M271" s="441"/>
      <c r="N271" s="441"/>
      <c r="O271" s="441"/>
      <c r="P271" s="443"/>
      <c r="Q271" s="443"/>
      <c r="R271" s="443"/>
      <c r="S271" s="444"/>
      <c r="T271" s="441"/>
      <c r="U271" s="441"/>
      <c r="V271" s="441"/>
      <c r="W271" s="441"/>
      <c r="X271" s="441"/>
      <c r="Y271" s="441"/>
      <c r="Z271" s="441"/>
      <c r="AA271" s="441"/>
      <c r="AB271" s="441"/>
      <c r="AC271" s="445"/>
      <c r="AD271" s="441"/>
    </row>
    <row r="272" spans="1:30" s="347" customFormat="1" ht="3" customHeight="1">
      <c r="B272" s="436"/>
      <c r="C272" s="436"/>
      <c r="D272" s="436"/>
      <c r="J272" s="456"/>
      <c r="P272" s="439"/>
      <c r="Q272" s="439"/>
      <c r="R272" s="439"/>
      <c r="S272" s="454"/>
      <c r="AC272" s="457"/>
    </row>
    <row r="273" spans="1:30" s="347" customFormat="1">
      <c r="A273" s="470"/>
      <c r="B273" s="436" t="s">
        <v>14</v>
      </c>
      <c r="C273" s="436" t="s">
        <v>690</v>
      </c>
      <c r="D273" s="436" t="str">
        <f>B273&amp;" "&amp;C273</f>
        <v>Renda Variável USA</v>
      </c>
      <c r="E273" s="458" t="s">
        <v>609</v>
      </c>
      <c r="F273" s="458"/>
      <c r="G273" s="458"/>
      <c r="H273" s="458"/>
      <c r="I273" s="458"/>
      <c r="J273" s="459"/>
      <c r="K273" s="458"/>
      <c r="L273" s="458"/>
      <c r="M273" s="458"/>
      <c r="N273" s="458"/>
      <c r="O273" s="458"/>
      <c r="P273" s="460"/>
      <c r="Q273" s="460"/>
      <c r="R273" s="460"/>
      <c r="S273" s="461"/>
      <c r="T273" s="458"/>
      <c r="U273" s="458"/>
      <c r="V273" s="458"/>
      <c r="W273" s="458"/>
      <c r="X273" s="458"/>
      <c r="Y273" s="458"/>
      <c r="Z273" s="458"/>
      <c r="AA273" s="458"/>
      <c r="AB273" s="458"/>
      <c r="AC273" s="462"/>
      <c r="AD273" s="458"/>
    </row>
    <row r="274" spans="1:30">
      <c r="E274" s="446" t="s">
        <v>2704</v>
      </c>
      <c r="F274" s="146" t="s">
        <v>715</v>
      </c>
      <c r="G274" s="146" t="s">
        <v>1414</v>
      </c>
      <c r="H274" s="146" t="s">
        <v>1321</v>
      </c>
      <c r="I274" s="447" t="s">
        <v>34</v>
      </c>
      <c r="J274" s="146" t="s">
        <v>672</v>
      </c>
      <c r="K274" s="146" t="s">
        <v>690</v>
      </c>
      <c r="L274" s="637" t="s">
        <v>48</v>
      </c>
      <c r="M274" s="146">
        <v>1</v>
      </c>
      <c r="N274" s="447">
        <v>0.01</v>
      </c>
      <c r="O274" s="447">
        <v>2.66666666666667E-3</v>
      </c>
      <c r="P274" s="448">
        <v>1000</v>
      </c>
      <c r="Q274" s="448" t="s">
        <v>34</v>
      </c>
      <c r="R274" s="448">
        <v>843260221</v>
      </c>
      <c r="S274" s="449">
        <v>41396</v>
      </c>
      <c r="T274" s="450">
        <v>4.688407599205946E-2</v>
      </c>
      <c r="U274" s="451">
        <v>2.3443936985836324</v>
      </c>
      <c r="V274" s="450">
        <v>-7.3175456943002093E-3</v>
      </c>
      <c r="W274" s="451">
        <v>-5.6749835844863705E-2</v>
      </c>
      <c r="X274" s="450">
        <v>0.19046177221742067</v>
      </c>
      <c r="Y274" s="451">
        <v>0.98640010439495507</v>
      </c>
      <c r="Z274" s="450">
        <v>0.47444092570790186</v>
      </c>
      <c r="AA274" s="451">
        <v>2.142232206904966</v>
      </c>
      <c r="AB274" s="450">
        <v>0.28211646326955314</v>
      </c>
      <c r="AC274" s="452">
        <v>-0.48299717627927002</v>
      </c>
      <c r="AD274" s="147">
        <v>17453850000148</v>
      </c>
    </row>
    <row r="275" spans="1:30">
      <c r="E275" s="446" t="s">
        <v>4563</v>
      </c>
      <c r="F275" s="146" t="s">
        <v>4572</v>
      </c>
      <c r="G275" s="146" t="s">
        <v>34</v>
      </c>
      <c r="H275" s="146" t="s">
        <v>1321</v>
      </c>
      <c r="I275" s="447" t="s">
        <v>4400</v>
      </c>
      <c r="J275" s="146" t="s">
        <v>34</v>
      </c>
      <c r="K275" s="146" t="s">
        <v>690</v>
      </c>
      <c r="L275" s="637" t="s">
        <v>49</v>
      </c>
      <c r="M275" s="146">
        <v>3</v>
      </c>
      <c r="N275" s="447">
        <v>6.0000000000000001E-3</v>
      </c>
      <c r="O275" s="447">
        <v>0</v>
      </c>
      <c r="P275" s="448">
        <v>0</v>
      </c>
      <c r="Q275" s="448" t="s">
        <v>34</v>
      </c>
      <c r="R275" s="448">
        <v>0</v>
      </c>
      <c r="S275" s="449">
        <v>44614</v>
      </c>
      <c r="T275" s="450" t="s">
        <v>34</v>
      </c>
      <c r="U275" s="451" t="s">
        <v>34</v>
      </c>
      <c r="V275" s="450" t="s">
        <v>34</v>
      </c>
      <c r="W275" s="451" t="s">
        <v>34</v>
      </c>
      <c r="X275" s="450" t="s">
        <v>34</v>
      </c>
      <c r="Y275" s="451" t="s">
        <v>34</v>
      </c>
      <c r="Z275" s="450" t="s">
        <v>34</v>
      </c>
      <c r="AA275" s="451" t="s">
        <v>34</v>
      </c>
      <c r="AB275" s="450" t="s">
        <v>34</v>
      </c>
      <c r="AC275" s="452" t="s">
        <v>34</v>
      </c>
      <c r="AD275" s="147">
        <v>44025397000141</v>
      </c>
    </row>
    <row r="276" spans="1:30">
      <c r="E276" s="446" t="s">
        <v>464</v>
      </c>
      <c r="F276" s="146" t="s">
        <v>1339</v>
      </c>
      <c r="G276" s="146" t="s">
        <v>1414</v>
      </c>
      <c r="H276" s="146" t="s">
        <v>1321</v>
      </c>
      <c r="I276" s="447" t="s">
        <v>34</v>
      </c>
      <c r="J276" s="146" t="s">
        <v>672</v>
      </c>
      <c r="K276" s="146" t="s">
        <v>608</v>
      </c>
      <c r="L276" s="637" t="s">
        <v>49</v>
      </c>
      <c r="M276" s="146">
        <v>2</v>
      </c>
      <c r="N276" s="447">
        <v>2.3999999999999998E-3</v>
      </c>
      <c r="O276" s="447">
        <v>2.5000000000000001E-3</v>
      </c>
      <c r="P276" s="448" t="s">
        <v>34</v>
      </c>
      <c r="Q276" s="448" t="s">
        <v>1421</v>
      </c>
      <c r="R276" s="448">
        <v>3010000000</v>
      </c>
      <c r="S276" s="449">
        <v>41758</v>
      </c>
      <c r="T276" s="450" t="s">
        <v>34</v>
      </c>
      <c r="U276" s="451" t="s">
        <v>34</v>
      </c>
      <c r="V276" s="450" t="s">
        <v>34</v>
      </c>
      <c r="W276" s="451" t="s">
        <v>34</v>
      </c>
      <c r="X276" s="450" t="s">
        <v>34</v>
      </c>
      <c r="Y276" s="451" t="s">
        <v>34</v>
      </c>
      <c r="Z276" s="450" t="s">
        <v>34</v>
      </c>
      <c r="AA276" s="451" t="s">
        <v>34</v>
      </c>
      <c r="AB276" s="450" t="s">
        <v>34</v>
      </c>
      <c r="AC276" s="452" t="s">
        <v>34</v>
      </c>
      <c r="AD276" s="147" t="s">
        <v>34</v>
      </c>
    </row>
    <row r="277" spans="1:30" ht="5.25" customHeight="1">
      <c r="E277" s="453" t="s">
        <v>1393</v>
      </c>
      <c r="P277" s="463"/>
      <c r="Q277" s="463"/>
      <c r="R277" s="463"/>
      <c r="S277" s="464"/>
      <c r="AC277" s="465"/>
    </row>
    <row r="278" spans="1:30" s="347" customFormat="1">
      <c r="A278" s="470"/>
      <c r="B278" s="436" t="s">
        <v>14</v>
      </c>
      <c r="C278" s="421" t="s">
        <v>612</v>
      </c>
      <c r="D278" s="436" t="str">
        <f>B278&amp;" "&amp;C278</f>
        <v>Renda Variável China</v>
      </c>
      <c r="E278" s="458" t="s">
        <v>612</v>
      </c>
      <c r="F278" s="458"/>
      <c r="G278" s="458"/>
      <c r="H278" s="458"/>
      <c r="I278" s="458"/>
      <c r="J278" s="459"/>
      <c r="K278" s="458"/>
      <c r="L278" s="458"/>
      <c r="M278" s="458"/>
      <c r="N278" s="458"/>
      <c r="O278" s="458"/>
      <c r="P278" s="460"/>
      <c r="Q278" s="460"/>
      <c r="R278" s="460"/>
      <c r="S278" s="461"/>
      <c r="T278" s="458"/>
      <c r="U278" s="458"/>
      <c r="V278" s="458"/>
      <c r="W278" s="458"/>
      <c r="X278" s="458"/>
      <c r="Y278" s="458"/>
      <c r="Z278" s="458"/>
      <c r="AA278" s="458"/>
      <c r="AB278" s="458"/>
      <c r="AC278" s="462"/>
      <c r="AD278" s="458"/>
    </row>
    <row r="279" spans="1:30">
      <c r="E279" s="446" t="s">
        <v>2703</v>
      </c>
      <c r="F279" s="146" t="s">
        <v>715</v>
      </c>
      <c r="G279" s="146" t="s">
        <v>1414</v>
      </c>
      <c r="H279" s="146" t="s">
        <v>1321</v>
      </c>
      <c r="I279" s="447" t="s">
        <v>34</v>
      </c>
      <c r="J279" s="146" t="s">
        <v>34</v>
      </c>
      <c r="K279" s="146" t="s">
        <v>612</v>
      </c>
      <c r="L279" s="146" t="s">
        <v>48</v>
      </c>
      <c r="M279" s="146">
        <v>212</v>
      </c>
      <c r="N279" s="447">
        <v>0</v>
      </c>
      <c r="O279" s="447">
        <v>0</v>
      </c>
      <c r="P279" s="448">
        <v>10000</v>
      </c>
      <c r="Q279" s="448" t="s">
        <v>34</v>
      </c>
      <c r="R279" s="448">
        <v>0</v>
      </c>
      <c r="S279" s="449">
        <v>44436</v>
      </c>
      <c r="T279" s="450" t="s">
        <v>34</v>
      </c>
      <c r="U279" s="451" t="s">
        <v>34</v>
      </c>
      <c r="V279" s="450">
        <v>-8.9108910891088966E-2</v>
      </c>
      <c r="W279" s="451">
        <v>-0.69106723437652395</v>
      </c>
      <c r="X279" s="450" t="s">
        <v>34</v>
      </c>
      <c r="Y279" s="451" t="s">
        <v>34</v>
      </c>
      <c r="Z279" s="450" t="s">
        <v>34</v>
      </c>
      <c r="AA279" s="451" t="s">
        <v>34</v>
      </c>
      <c r="AB279" s="450">
        <v>0.20143437512512383</v>
      </c>
      <c r="AC279" s="452">
        <v>-1.0825005424343819</v>
      </c>
      <c r="AD279" s="147">
        <v>43096273000194</v>
      </c>
    </row>
    <row r="280" spans="1:30">
      <c r="E280" s="446" t="s">
        <v>2087</v>
      </c>
      <c r="F280" s="146" t="s">
        <v>1339</v>
      </c>
      <c r="G280" s="146" t="s">
        <v>34</v>
      </c>
      <c r="H280" s="146" t="s">
        <v>1321</v>
      </c>
      <c r="I280" s="447" t="s">
        <v>34</v>
      </c>
      <c r="J280" s="146" t="s">
        <v>672</v>
      </c>
      <c r="K280" s="146" t="s">
        <v>612</v>
      </c>
      <c r="L280" s="146" t="s">
        <v>49</v>
      </c>
      <c r="M280" s="146">
        <v>5</v>
      </c>
      <c r="N280" s="447">
        <v>0.01</v>
      </c>
      <c r="O280" s="447">
        <v>8.0000000000000002E-3</v>
      </c>
      <c r="P280" s="448">
        <v>5000</v>
      </c>
      <c r="Q280" s="448" t="s">
        <v>34</v>
      </c>
      <c r="R280" s="448">
        <v>4042072.92</v>
      </c>
      <c r="S280" s="449">
        <v>44366</v>
      </c>
      <c r="T280" s="450">
        <v>1.2067749060122868E-3</v>
      </c>
      <c r="U280" s="451">
        <v>6.0343633214467562E-2</v>
      </c>
      <c r="V280" s="450">
        <v>-0.13412813707813498</v>
      </c>
      <c r="W280" s="451">
        <v>-1.0402052927787646</v>
      </c>
      <c r="X280" s="450" t="s">
        <v>34</v>
      </c>
      <c r="Y280" s="451" t="s">
        <v>34</v>
      </c>
      <c r="Z280" s="450" t="s">
        <v>34</v>
      </c>
      <c r="AA280" s="451" t="s">
        <v>34</v>
      </c>
      <c r="AB280" s="450">
        <v>0.31020187896316098</v>
      </c>
      <c r="AC280" s="452">
        <v>-0.84806722449339289</v>
      </c>
      <c r="AD280" s="147">
        <v>41063334000191</v>
      </c>
    </row>
    <row r="281" spans="1:30">
      <c r="E281" s="446" t="s">
        <v>1396</v>
      </c>
      <c r="F281" s="146" t="s">
        <v>1339</v>
      </c>
      <c r="G281" s="146" t="s">
        <v>34</v>
      </c>
      <c r="H281" s="146" t="s">
        <v>1321</v>
      </c>
      <c r="I281" s="447" t="s">
        <v>34</v>
      </c>
      <c r="J281" s="146" t="s">
        <v>672</v>
      </c>
      <c r="K281" s="146" t="s">
        <v>608</v>
      </c>
      <c r="L281" s="146" t="s">
        <v>48</v>
      </c>
      <c r="M281" s="146">
        <v>2</v>
      </c>
      <c r="N281" s="447">
        <v>8.8999999999999999E-3</v>
      </c>
      <c r="O281" s="447">
        <v>2.5000000000000001E-3</v>
      </c>
      <c r="P281" s="448" t="s">
        <v>34</v>
      </c>
      <c r="Q281" s="448" t="s">
        <v>1421</v>
      </c>
      <c r="R281" s="448">
        <v>484000000</v>
      </c>
      <c r="S281" s="449">
        <v>44186</v>
      </c>
      <c r="T281" s="450" t="s">
        <v>34</v>
      </c>
      <c r="U281" s="451" t="s">
        <v>34</v>
      </c>
      <c r="V281" s="450" t="s">
        <v>34</v>
      </c>
      <c r="W281" s="451" t="s">
        <v>34</v>
      </c>
      <c r="X281" s="450" t="s">
        <v>34</v>
      </c>
      <c r="Y281" s="451" t="s">
        <v>34</v>
      </c>
      <c r="Z281" s="450" t="s">
        <v>34</v>
      </c>
      <c r="AA281" s="451" t="s">
        <v>34</v>
      </c>
      <c r="AB281" s="450" t="s">
        <v>34</v>
      </c>
      <c r="AC281" s="452" t="s">
        <v>34</v>
      </c>
      <c r="AD281" s="147" t="s">
        <v>34</v>
      </c>
    </row>
    <row r="282" spans="1:30" ht="5.25" customHeight="1">
      <c r="E282" s="453" t="s">
        <v>1393</v>
      </c>
      <c r="P282" s="463"/>
      <c r="Q282" s="463"/>
      <c r="R282" s="463"/>
      <c r="S282" s="464"/>
      <c r="AC282" s="465"/>
    </row>
    <row r="283" spans="1:30" s="347" customFormat="1">
      <c r="A283" s="470"/>
      <c r="B283" s="436" t="s">
        <v>14</v>
      </c>
      <c r="C283" s="421" t="s">
        <v>613</v>
      </c>
      <c r="D283" s="436" t="str">
        <f>B283&amp;" "&amp;C283</f>
        <v>Renda Variável Europa</v>
      </c>
      <c r="E283" s="458" t="s">
        <v>613</v>
      </c>
      <c r="F283" s="458"/>
      <c r="G283" s="458"/>
      <c r="H283" s="458"/>
      <c r="I283" s="458"/>
      <c r="J283" s="459"/>
      <c r="K283" s="458"/>
      <c r="L283" s="458"/>
      <c r="M283" s="458"/>
      <c r="N283" s="458"/>
      <c r="O283" s="458"/>
      <c r="P283" s="460"/>
      <c r="Q283" s="460"/>
      <c r="R283" s="460"/>
      <c r="S283" s="461"/>
      <c r="T283" s="458"/>
      <c r="U283" s="458"/>
      <c r="V283" s="458"/>
      <c r="W283" s="458"/>
      <c r="X283" s="458"/>
      <c r="Y283" s="458"/>
      <c r="Z283" s="458"/>
      <c r="AA283" s="458"/>
      <c r="AB283" s="458"/>
      <c r="AC283" s="462"/>
      <c r="AD283" s="458"/>
    </row>
    <row r="284" spans="1:30">
      <c r="E284" s="446" t="s">
        <v>1397</v>
      </c>
      <c r="F284" s="146" t="s">
        <v>1339</v>
      </c>
      <c r="G284" s="488" t="s">
        <v>34</v>
      </c>
      <c r="H284" s="488" t="s">
        <v>1321</v>
      </c>
      <c r="I284" s="447" t="s">
        <v>34</v>
      </c>
      <c r="J284" s="146" t="s">
        <v>672</v>
      </c>
      <c r="K284" s="146" t="s">
        <v>608</v>
      </c>
      <c r="L284" s="146" t="s">
        <v>48</v>
      </c>
      <c r="M284" s="146">
        <v>2</v>
      </c>
      <c r="N284" s="447">
        <v>3.8999999999999998E-3</v>
      </c>
      <c r="O284" s="447">
        <v>2.5000000000000001E-3</v>
      </c>
      <c r="P284" s="448" t="s">
        <v>34</v>
      </c>
      <c r="Q284" s="448" t="s">
        <v>1421</v>
      </c>
      <c r="R284" s="448">
        <v>45310000</v>
      </c>
      <c r="S284" s="449">
        <v>44215</v>
      </c>
      <c r="T284" s="450" t="s">
        <v>34</v>
      </c>
      <c r="U284" s="451" t="s">
        <v>34</v>
      </c>
      <c r="V284" s="450" t="s">
        <v>34</v>
      </c>
      <c r="W284" s="451" t="s">
        <v>34</v>
      </c>
      <c r="X284" s="450" t="s">
        <v>34</v>
      </c>
      <c r="Y284" s="451" t="s">
        <v>34</v>
      </c>
      <c r="Z284" s="450" t="s">
        <v>34</v>
      </c>
      <c r="AA284" s="451" t="s">
        <v>34</v>
      </c>
      <c r="AB284" s="450" t="s">
        <v>34</v>
      </c>
      <c r="AC284" s="452" t="s">
        <v>34</v>
      </c>
      <c r="AD284" s="147" t="s">
        <v>34</v>
      </c>
    </row>
    <row r="285" spans="1:30" s="347" customFormat="1" ht="5.25" customHeight="1">
      <c r="B285" s="436"/>
      <c r="C285" s="436"/>
      <c r="D285" s="436"/>
      <c r="E285" s="453" t="s">
        <v>1393</v>
      </c>
      <c r="J285" s="456"/>
      <c r="P285" s="439"/>
      <c r="Q285" s="439"/>
      <c r="R285" s="439"/>
      <c r="S285" s="454"/>
      <c r="AC285" s="457"/>
    </row>
    <row r="286" spans="1:30" s="347" customFormat="1">
      <c r="A286" s="470"/>
      <c r="B286" s="436" t="s">
        <v>14</v>
      </c>
      <c r="C286" s="436" t="s">
        <v>611</v>
      </c>
      <c r="D286" s="436" t="str">
        <f>B286&amp;" "&amp;C286</f>
        <v>Renda Variável Global</v>
      </c>
      <c r="E286" s="458" t="s">
        <v>611</v>
      </c>
      <c r="F286" s="458"/>
      <c r="G286" s="458"/>
      <c r="H286" s="458"/>
      <c r="I286" s="458"/>
      <c r="J286" s="459"/>
      <c r="K286" s="458"/>
      <c r="L286" s="458"/>
      <c r="M286" s="458"/>
      <c r="N286" s="458"/>
      <c r="O286" s="458"/>
      <c r="P286" s="460"/>
      <c r="Q286" s="460"/>
      <c r="R286" s="460"/>
      <c r="S286" s="461"/>
      <c r="T286" s="458"/>
      <c r="U286" s="458"/>
      <c r="V286" s="458"/>
      <c r="W286" s="458"/>
      <c r="X286" s="458"/>
      <c r="Y286" s="458"/>
      <c r="Z286" s="458"/>
      <c r="AA286" s="458"/>
      <c r="AB286" s="458"/>
      <c r="AC286" s="462"/>
      <c r="AD286" s="458"/>
    </row>
    <row r="287" spans="1:30">
      <c r="E287" s="446" t="s">
        <v>2673</v>
      </c>
      <c r="F287" s="146" t="s">
        <v>715</v>
      </c>
      <c r="G287" s="146" t="s">
        <v>34</v>
      </c>
      <c r="H287" s="146" t="s">
        <v>1321</v>
      </c>
      <c r="I287" s="447" t="s">
        <v>34</v>
      </c>
      <c r="J287" s="146" t="s">
        <v>34</v>
      </c>
      <c r="K287" s="146" t="s">
        <v>611</v>
      </c>
      <c r="L287" s="146" t="s">
        <v>49</v>
      </c>
      <c r="M287" s="146">
        <v>4</v>
      </c>
      <c r="N287" s="447">
        <v>1.4999999999999999E-2</v>
      </c>
      <c r="O287" s="447">
        <v>4.0000000000000001E-3</v>
      </c>
      <c r="P287" s="448">
        <v>1000</v>
      </c>
      <c r="Q287" s="448" t="s">
        <v>34</v>
      </c>
      <c r="R287" s="448">
        <v>1429443521</v>
      </c>
      <c r="S287" s="449">
        <v>41767</v>
      </c>
      <c r="T287" s="450">
        <v>7.255984580305852E-2</v>
      </c>
      <c r="U287" s="451">
        <v>3.628286186117883</v>
      </c>
      <c r="V287" s="450">
        <v>-0.14347807826534975</v>
      </c>
      <c r="W287" s="451">
        <v>-1.1127169858655421</v>
      </c>
      <c r="X287" s="450">
        <v>-0.17411910580509982</v>
      </c>
      <c r="Y287" s="451">
        <v>-0.90176155636756905</v>
      </c>
      <c r="Z287" s="450">
        <v>0.36737870255081662</v>
      </c>
      <c r="AA287" s="451">
        <v>1.6588166114907552</v>
      </c>
      <c r="AB287" s="450">
        <v>0.29931777311870794</v>
      </c>
      <c r="AC287" s="452">
        <v>-0.91014303919766537</v>
      </c>
      <c r="AD287" s="147">
        <v>19831126000136</v>
      </c>
    </row>
    <row r="288" spans="1:30">
      <c r="E288" s="446" t="s">
        <v>4576</v>
      </c>
      <c r="F288" s="146" t="s">
        <v>715</v>
      </c>
      <c r="G288" s="146" t="s">
        <v>1414</v>
      </c>
      <c r="H288" s="146" t="s">
        <v>1321</v>
      </c>
      <c r="I288" s="447" t="s">
        <v>34</v>
      </c>
      <c r="J288" s="146" t="s">
        <v>34</v>
      </c>
      <c r="K288" s="146" t="s">
        <v>611</v>
      </c>
      <c r="L288" s="146" t="s">
        <v>49</v>
      </c>
      <c r="M288" s="146">
        <v>10</v>
      </c>
      <c r="N288" s="447">
        <v>0</v>
      </c>
      <c r="O288" s="447">
        <v>5.0000000000000001E-4</v>
      </c>
      <c r="P288" s="448">
        <v>1000</v>
      </c>
      <c r="Q288" s="448" t="s">
        <v>34</v>
      </c>
      <c r="R288" s="448">
        <v>4878814.3</v>
      </c>
      <c r="S288" s="449">
        <v>44181</v>
      </c>
      <c r="T288" s="450">
        <v>4.859091233718571E-2</v>
      </c>
      <c r="U288" s="451">
        <v>2.4297424291996568</v>
      </c>
      <c r="V288" s="450">
        <v>-0.22558096336564371</v>
      </c>
      <c r="W288" s="451">
        <v>-1.7494503178433165</v>
      </c>
      <c r="X288" s="450">
        <v>-0.35354113701838041</v>
      </c>
      <c r="Y288" s="451">
        <v>-1.8309869240571128</v>
      </c>
      <c r="Z288" s="450" t="s">
        <v>34</v>
      </c>
      <c r="AA288" s="451" t="s">
        <v>34</v>
      </c>
      <c r="AB288" s="450">
        <v>0.34770393705816333</v>
      </c>
      <c r="AC288" s="452">
        <v>-1.0196170794382686</v>
      </c>
      <c r="AD288" s="147">
        <v>37994000000164</v>
      </c>
    </row>
    <row r="289" spans="1:30">
      <c r="E289" s="446" t="s">
        <v>4598</v>
      </c>
      <c r="F289" s="146" t="s">
        <v>1339</v>
      </c>
      <c r="G289" s="146" t="s">
        <v>1414</v>
      </c>
      <c r="H289" s="146" t="s">
        <v>1321</v>
      </c>
      <c r="I289" s="447" t="s">
        <v>34</v>
      </c>
      <c r="J289" s="146" t="s">
        <v>699</v>
      </c>
      <c r="K289" s="146" t="s">
        <v>611</v>
      </c>
      <c r="L289" s="146" t="s">
        <v>49</v>
      </c>
      <c r="M289" s="146">
        <v>6</v>
      </c>
      <c r="N289" s="447">
        <v>9.0000000000000011E-3</v>
      </c>
      <c r="O289" s="447">
        <v>2.9997000000000001E-3</v>
      </c>
      <c r="P289" s="448">
        <v>1000</v>
      </c>
      <c r="Q289" s="448" t="s">
        <v>34</v>
      </c>
      <c r="R289" s="448">
        <v>28148546.73</v>
      </c>
      <c r="S289" s="449">
        <v>44315</v>
      </c>
      <c r="T289" s="450">
        <v>0.17705001596128622</v>
      </c>
      <c r="U289" s="451">
        <v>8.8532179203887971</v>
      </c>
      <c r="V289" s="450">
        <v>3.4633782274858582E-2</v>
      </c>
      <c r="W289" s="451">
        <v>0.26859572060013431</v>
      </c>
      <c r="X289" s="450" t="s">
        <v>34</v>
      </c>
      <c r="Y289" s="451" t="s">
        <v>34</v>
      </c>
      <c r="Z289" s="450" t="s">
        <v>34</v>
      </c>
      <c r="AA289" s="451" t="s">
        <v>34</v>
      </c>
      <c r="AB289" s="450">
        <v>0.54469836981917774</v>
      </c>
      <c r="AC289" s="452">
        <v>-0.17314193028196079</v>
      </c>
      <c r="AD289" s="147">
        <v>41373608000149</v>
      </c>
    </row>
    <row r="290" spans="1:30">
      <c r="E290" s="446" t="s">
        <v>4599</v>
      </c>
      <c r="F290" s="146" t="s">
        <v>1339</v>
      </c>
      <c r="G290" s="146" t="s">
        <v>1414</v>
      </c>
      <c r="H290" s="146" t="s">
        <v>1321</v>
      </c>
      <c r="I290" s="447" t="s">
        <v>34</v>
      </c>
      <c r="J290" s="146" t="s">
        <v>699</v>
      </c>
      <c r="K290" s="146" t="s">
        <v>611</v>
      </c>
      <c r="L290" s="146" t="s">
        <v>48</v>
      </c>
      <c r="M290" s="146">
        <v>6</v>
      </c>
      <c r="N290" s="447">
        <v>2.5000000000000001E-3</v>
      </c>
      <c r="O290" s="447">
        <v>8.3325000000000001E-4</v>
      </c>
      <c r="P290" s="448">
        <v>0</v>
      </c>
      <c r="Q290" s="448" t="s">
        <v>34</v>
      </c>
      <c r="R290" s="448">
        <v>51915524.740000002</v>
      </c>
      <c r="S290" s="449">
        <v>44227</v>
      </c>
      <c r="T290" s="450">
        <v>4.2595499386411717E-2</v>
      </c>
      <c r="U290" s="451">
        <v>2.1299474978762416</v>
      </c>
      <c r="V290" s="450">
        <v>-9.7817409035205527E-2</v>
      </c>
      <c r="W290" s="451">
        <v>-0.75860433776883518</v>
      </c>
      <c r="X290" s="450">
        <v>0.12448734111527116</v>
      </c>
      <c r="Y290" s="451">
        <v>0.64471901548715305</v>
      </c>
      <c r="Z290" s="450" t="s">
        <v>34</v>
      </c>
      <c r="AA290" s="451" t="s">
        <v>34</v>
      </c>
      <c r="AB290" s="450">
        <v>0.46793830586505353</v>
      </c>
      <c r="AC290" s="452">
        <v>-0.48459661378393004</v>
      </c>
      <c r="AD290" s="147">
        <v>40503169000189</v>
      </c>
    </row>
    <row r="291" spans="1:30">
      <c r="E291" s="446" t="s">
        <v>4602</v>
      </c>
      <c r="F291" s="146" t="s">
        <v>1339</v>
      </c>
      <c r="G291" s="146" t="s">
        <v>1414</v>
      </c>
      <c r="H291" s="146" t="s">
        <v>1321</v>
      </c>
      <c r="I291" s="447" t="s">
        <v>34</v>
      </c>
      <c r="J291" s="146" t="s">
        <v>34</v>
      </c>
      <c r="K291" s="146" t="s">
        <v>611</v>
      </c>
      <c r="L291" s="146" t="s">
        <v>49</v>
      </c>
      <c r="M291" s="146">
        <v>14</v>
      </c>
      <c r="N291" s="447">
        <v>1.4999999999999999E-2</v>
      </c>
      <c r="O291" s="447">
        <v>2.5000000000000001E-3</v>
      </c>
      <c r="P291" s="448">
        <v>20000</v>
      </c>
      <c r="Q291" s="448" t="s">
        <v>34</v>
      </c>
      <c r="R291" s="448">
        <v>69202491.109999999</v>
      </c>
      <c r="S291" s="449">
        <v>43919</v>
      </c>
      <c r="T291" s="450">
        <v>1.3634501459697024E-2</v>
      </c>
      <c r="U291" s="451">
        <v>0.68178029808792107</v>
      </c>
      <c r="V291" s="450">
        <v>-0.21347773498202238</v>
      </c>
      <c r="W291" s="451">
        <v>-1.6555860288237876</v>
      </c>
      <c r="X291" s="450">
        <v>-0.2348406540559369</v>
      </c>
      <c r="Y291" s="451">
        <v>-1.2162380039839198</v>
      </c>
      <c r="Z291" s="450" t="s">
        <v>34</v>
      </c>
      <c r="AA291" s="451" t="s">
        <v>34</v>
      </c>
      <c r="AB291" s="450">
        <v>0.27683126460118823</v>
      </c>
      <c r="AC291" s="452">
        <v>-1.2369327031110957</v>
      </c>
      <c r="AD291" s="147">
        <v>35939847000110</v>
      </c>
    </row>
    <row r="292" spans="1:30">
      <c r="E292" s="446" t="s">
        <v>4624</v>
      </c>
      <c r="F292" s="146" t="s">
        <v>1339</v>
      </c>
      <c r="G292" s="146" t="s">
        <v>1414</v>
      </c>
      <c r="H292" s="146" t="s">
        <v>1321</v>
      </c>
      <c r="I292" s="447" t="s">
        <v>34</v>
      </c>
      <c r="J292" s="146" t="s">
        <v>34</v>
      </c>
      <c r="K292" s="146" t="s">
        <v>611</v>
      </c>
      <c r="L292" s="146" t="s">
        <v>48</v>
      </c>
      <c r="M292" s="146">
        <v>32</v>
      </c>
      <c r="N292" s="447">
        <v>2.5000000000000001E-2</v>
      </c>
      <c r="O292" s="447">
        <v>3.3340000000000002E-3</v>
      </c>
      <c r="P292" s="448">
        <v>20000</v>
      </c>
      <c r="Q292" s="448" t="s">
        <v>34</v>
      </c>
      <c r="R292" s="448">
        <v>378074963</v>
      </c>
      <c r="S292" s="449">
        <v>33059</v>
      </c>
      <c r="T292" s="450">
        <v>-4.5535538259613428E-3</v>
      </c>
      <c r="U292" s="451">
        <v>-0.22769613498521743</v>
      </c>
      <c r="V292" s="450">
        <v>-0.20467753869836158</v>
      </c>
      <c r="W292" s="451">
        <v>-1.5873377779260402</v>
      </c>
      <c r="X292" s="450">
        <v>-0.19354537133260852</v>
      </c>
      <c r="Y292" s="451">
        <v>-1.0023700413209924</v>
      </c>
      <c r="Z292" s="450">
        <v>5.8406071634637957E-2</v>
      </c>
      <c r="AA292" s="451">
        <v>0.26371959279826546</v>
      </c>
      <c r="AB292" s="450">
        <v>0.22752119105768573</v>
      </c>
      <c r="AC292" s="452">
        <v>-1.4663313188289504</v>
      </c>
      <c r="AD292" s="147">
        <v>29544764000120</v>
      </c>
    </row>
    <row r="293" spans="1:30">
      <c r="E293" s="446" t="s">
        <v>1398</v>
      </c>
      <c r="F293" s="146" t="s">
        <v>1339</v>
      </c>
      <c r="G293" s="146" t="s">
        <v>34</v>
      </c>
      <c r="H293" s="146" t="s">
        <v>1321</v>
      </c>
      <c r="I293" s="447" t="s">
        <v>34</v>
      </c>
      <c r="J293" s="146" t="s">
        <v>672</v>
      </c>
      <c r="K293" s="146" t="s">
        <v>608</v>
      </c>
      <c r="L293" s="146" t="s">
        <v>48</v>
      </c>
      <c r="M293" s="146">
        <v>2</v>
      </c>
      <c r="N293" s="447">
        <v>3.8E-3</v>
      </c>
      <c r="O293" s="447">
        <v>2.5000000000000001E-3</v>
      </c>
      <c r="P293" s="448" t="s">
        <v>34</v>
      </c>
      <c r="Q293" s="448" t="s">
        <v>1421</v>
      </c>
      <c r="R293" s="448">
        <v>50720000</v>
      </c>
      <c r="S293" s="449">
        <v>44489</v>
      </c>
      <c r="T293" s="450" t="s">
        <v>34</v>
      </c>
      <c r="U293" s="451" t="s">
        <v>34</v>
      </c>
      <c r="V293" s="450" t="s">
        <v>34</v>
      </c>
      <c r="W293" s="451" t="s">
        <v>34</v>
      </c>
      <c r="X293" s="450" t="s">
        <v>34</v>
      </c>
      <c r="Y293" s="451" t="s">
        <v>34</v>
      </c>
      <c r="Z293" s="450" t="s">
        <v>34</v>
      </c>
      <c r="AA293" s="451" t="s">
        <v>34</v>
      </c>
      <c r="AB293" s="450" t="s">
        <v>34</v>
      </c>
      <c r="AC293" s="452" t="s">
        <v>34</v>
      </c>
      <c r="AD293" s="147" t="s">
        <v>34</v>
      </c>
    </row>
    <row r="294" spans="1:30" ht="5.25" customHeight="1">
      <c r="E294" s="453" t="s">
        <v>1393</v>
      </c>
      <c r="P294" s="463"/>
      <c r="Q294" s="463"/>
      <c r="R294" s="463"/>
      <c r="S294" s="464"/>
      <c r="AC294" s="465"/>
    </row>
    <row r="295" spans="1:30" s="347" customFormat="1">
      <c r="A295" s="470"/>
      <c r="B295" s="436" t="s">
        <v>14</v>
      </c>
      <c r="C295" s="421" t="s">
        <v>696</v>
      </c>
      <c r="D295" s="436" t="str">
        <f>B295&amp;" "&amp;C295</f>
        <v>Renda Variável EM</v>
      </c>
      <c r="E295" s="458" t="s">
        <v>696</v>
      </c>
      <c r="F295" s="458"/>
      <c r="G295" s="458"/>
      <c r="H295" s="458"/>
      <c r="I295" s="458"/>
      <c r="J295" s="459"/>
      <c r="K295" s="458"/>
      <c r="L295" s="458"/>
      <c r="M295" s="458"/>
      <c r="N295" s="458"/>
      <c r="O295" s="458"/>
      <c r="P295" s="460"/>
      <c r="Q295" s="460"/>
      <c r="R295" s="460"/>
      <c r="S295" s="461"/>
      <c r="T295" s="458"/>
      <c r="U295" s="458"/>
      <c r="V295" s="458"/>
      <c r="W295" s="458"/>
      <c r="X295" s="458"/>
      <c r="Y295" s="458"/>
      <c r="Z295" s="458"/>
      <c r="AA295" s="458"/>
      <c r="AB295" s="458"/>
      <c r="AC295" s="462"/>
      <c r="AD295" s="458"/>
    </row>
    <row r="296" spans="1:30">
      <c r="E296" s="446" t="s">
        <v>2721</v>
      </c>
      <c r="F296" s="146" t="s">
        <v>1339</v>
      </c>
      <c r="G296" s="146" t="s">
        <v>34</v>
      </c>
      <c r="H296" s="146" t="s">
        <v>1321</v>
      </c>
      <c r="I296" s="447" t="s">
        <v>34</v>
      </c>
      <c r="J296" s="146" t="s">
        <v>1317</v>
      </c>
      <c r="K296" s="146" t="s">
        <v>696</v>
      </c>
      <c r="L296" s="146" t="s">
        <v>34</v>
      </c>
      <c r="M296" s="146">
        <v>5</v>
      </c>
      <c r="N296" s="447">
        <v>0.01</v>
      </c>
      <c r="O296" s="447">
        <v>4.0000000000000001E-3</v>
      </c>
      <c r="P296" s="448">
        <v>5000</v>
      </c>
      <c r="Q296" s="448" t="s">
        <v>34</v>
      </c>
      <c r="R296" s="448">
        <v>46458007.690000005</v>
      </c>
      <c r="S296" s="449">
        <v>43447</v>
      </c>
      <c r="T296" s="450">
        <v>1.2462345122398855E-2</v>
      </c>
      <c r="U296" s="451">
        <v>0.62316773352800281</v>
      </c>
      <c r="V296" s="450">
        <v>-0.16289022140216336</v>
      </c>
      <c r="W296" s="451">
        <v>-1.2632641751054068</v>
      </c>
      <c r="X296" s="450">
        <v>-0.12301006259354041</v>
      </c>
      <c r="Y296" s="451">
        <v>-0.63706820098988903</v>
      </c>
      <c r="Z296" s="450">
        <v>0.37607338922508426</v>
      </c>
      <c r="AA296" s="451">
        <v>1.6980755303851827</v>
      </c>
      <c r="AB296" s="450">
        <v>0.25879279733675858</v>
      </c>
      <c r="AC296" s="452">
        <v>-1.1276748574621167</v>
      </c>
      <c r="AD296" s="147">
        <v>31964074000171</v>
      </c>
    </row>
    <row r="297" spans="1:30">
      <c r="E297" s="446" t="s">
        <v>1400</v>
      </c>
      <c r="F297" s="146" t="s">
        <v>1339</v>
      </c>
      <c r="G297" s="146" t="s">
        <v>34</v>
      </c>
      <c r="H297" s="146" t="s">
        <v>1321</v>
      </c>
      <c r="I297" s="447" t="s">
        <v>34</v>
      </c>
      <c r="J297" s="146" t="s">
        <v>672</v>
      </c>
      <c r="K297" s="146" t="s">
        <v>608</v>
      </c>
      <c r="L297" s="146" t="s">
        <v>48</v>
      </c>
      <c r="M297" s="146">
        <v>2</v>
      </c>
      <c r="N297" s="447">
        <v>0.01</v>
      </c>
      <c r="O297" s="447">
        <v>2.5000000000000001E-3</v>
      </c>
      <c r="P297" s="448" t="s">
        <v>34</v>
      </c>
      <c r="Q297" s="448" t="s">
        <v>1421</v>
      </c>
      <c r="R297" s="448">
        <v>13540000</v>
      </c>
      <c r="S297" s="449">
        <v>44375</v>
      </c>
      <c r="T297" s="450" t="s">
        <v>34</v>
      </c>
      <c r="U297" s="451" t="s">
        <v>34</v>
      </c>
      <c r="V297" s="450" t="s">
        <v>34</v>
      </c>
      <c r="W297" s="451" t="s">
        <v>34</v>
      </c>
      <c r="X297" s="450" t="s">
        <v>34</v>
      </c>
      <c r="Y297" s="451" t="s">
        <v>34</v>
      </c>
      <c r="Z297" s="450" t="s">
        <v>34</v>
      </c>
      <c r="AA297" s="451" t="s">
        <v>34</v>
      </c>
      <c r="AB297" s="450" t="s">
        <v>34</v>
      </c>
      <c r="AC297" s="452" t="s">
        <v>34</v>
      </c>
      <c r="AD297" s="147" t="s">
        <v>34</v>
      </c>
    </row>
    <row r="298" spans="1:30" s="440" customFormat="1" ht="9" customHeight="1">
      <c r="B298" s="436"/>
      <c r="C298" s="436"/>
      <c r="D298" s="436"/>
      <c r="E298" s="453" t="s">
        <v>1393</v>
      </c>
      <c r="J298" s="472"/>
      <c r="P298" s="473"/>
      <c r="Q298" s="473"/>
      <c r="R298" s="473"/>
      <c r="S298" s="474"/>
      <c r="AC298" s="475"/>
    </row>
    <row r="299" spans="1:30" s="440" customFormat="1">
      <c r="A299" s="470"/>
      <c r="B299" s="455" t="s">
        <v>1343</v>
      </c>
      <c r="C299" s="436"/>
      <c r="D299" s="436"/>
      <c r="J299" s="472"/>
    </row>
    <row r="300" spans="1:30" s="440" customFormat="1">
      <c r="B300" s="436"/>
      <c r="C300" s="436"/>
      <c r="D300" s="436"/>
      <c r="J300" s="472"/>
    </row>
    <row r="301" spans="1:30" ht="21.75" hidden="1" customHeight="1">
      <c r="E301" s="476" t="s">
        <v>444</v>
      </c>
      <c r="J301" s="477"/>
    </row>
    <row r="302" spans="1:30" ht="18.75" hidden="1" customHeight="1">
      <c r="E302" s="478" t="s">
        <v>445</v>
      </c>
      <c r="J302" s="477"/>
    </row>
    <row r="303" spans="1:30" ht="18.75" hidden="1" customHeight="1">
      <c r="E303" s="478" t="s">
        <v>446</v>
      </c>
      <c r="J303" s="477"/>
    </row>
    <row r="304" spans="1:30" ht="18.75" hidden="1" customHeight="1">
      <c r="E304" s="478" t="s">
        <v>447</v>
      </c>
      <c r="J304" s="477"/>
    </row>
    <row r="305" spans="5:10" ht="18.75" hidden="1" customHeight="1">
      <c r="E305" s="478" t="s">
        <v>448</v>
      </c>
      <c r="J305" s="477"/>
    </row>
    <row r="306" spans="5:10" ht="18.75" hidden="1" customHeight="1">
      <c r="E306" s="478" t="s">
        <v>449</v>
      </c>
      <c r="J306" s="477"/>
    </row>
    <row r="307" spans="5:10" ht="18.75" hidden="1" customHeight="1">
      <c r="E307" s="479" t="s">
        <v>450</v>
      </c>
      <c r="J307" s="477"/>
    </row>
    <row r="308" spans="5:10" ht="18.75" hidden="1" customHeight="1">
      <c r="E308" s="480" t="s">
        <v>451</v>
      </c>
      <c r="J308" s="477"/>
    </row>
    <row r="309" spans="5:10" ht="18.75" hidden="1" customHeight="1">
      <c r="E309" s="480" t="s">
        <v>452</v>
      </c>
      <c r="J309" s="477"/>
    </row>
    <row r="310" spans="5:10" ht="18.75" hidden="1" customHeight="1">
      <c r="E310" s="480" t="s">
        <v>453</v>
      </c>
      <c r="J310" s="477"/>
    </row>
    <row r="311" spans="5:10" ht="19.5" hidden="1" customHeight="1">
      <c r="E311" s="481" t="s">
        <v>454</v>
      </c>
      <c r="J311" s="477"/>
    </row>
    <row r="312" spans="5:10" ht="18.75" hidden="1" customHeight="1">
      <c r="E312" s="482" t="s">
        <v>455</v>
      </c>
      <c r="J312" s="477"/>
    </row>
    <row r="313" spans="5:10" ht="18.75" hidden="1" customHeight="1">
      <c r="E313" s="482" t="s">
        <v>456</v>
      </c>
      <c r="J313" s="477"/>
    </row>
    <row r="314" spans="5:10" ht="18.75" hidden="1" customHeight="1">
      <c r="E314" s="482" t="s">
        <v>457</v>
      </c>
      <c r="J314" s="477"/>
    </row>
    <row r="315" spans="5:10" ht="19.5" hidden="1" customHeight="1">
      <c r="E315" s="483" t="s">
        <v>458</v>
      </c>
      <c r="J315" s="477"/>
    </row>
    <row r="316" spans="5:10" ht="18.75" hidden="1" customHeight="1">
      <c r="E316" s="484" t="s">
        <v>459</v>
      </c>
      <c r="J316" s="477"/>
    </row>
    <row r="317" spans="5:10" ht="18.75" hidden="1" customHeight="1">
      <c r="E317" s="485" t="s">
        <v>460</v>
      </c>
      <c r="J317" s="477"/>
    </row>
    <row r="318" spans="5:10" ht="18.75" hidden="1" customHeight="1">
      <c r="J318" s="477"/>
    </row>
    <row r="319" spans="5:10" ht="18.75" hidden="1" customHeight="1"/>
    <row r="320" spans="5:10" ht="21.75" hidden="1" customHeight="1">
      <c r="E320" s="476" t="s">
        <v>444</v>
      </c>
    </row>
    <row r="321" spans="5:5" ht="18.75" hidden="1" customHeight="1">
      <c r="E321" s="478" t="s">
        <v>445</v>
      </c>
    </row>
    <row r="322" spans="5:5" ht="18.75" hidden="1" customHeight="1">
      <c r="E322" s="478" t="s">
        <v>446</v>
      </c>
    </row>
    <row r="323" spans="5:5" ht="19.5" hidden="1" customHeight="1">
      <c r="E323" s="486" t="s">
        <v>447</v>
      </c>
    </row>
    <row r="324" spans="5:5" ht="18.75" hidden="1" customHeight="1">
      <c r="E324" s="480" t="s">
        <v>452</v>
      </c>
    </row>
    <row r="325" spans="5:5" ht="18.75" hidden="1" customHeight="1">
      <c r="E325" s="480" t="s">
        <v>453</v>
      </c>
    </row>
    <row r="326" spans="5:5" ht="19.5" hidden="1" customHeight="1">
      <c r="E326" s="481" t="s">
        <v>454</v>
      </c>
    </row>
    <row r="327" spans="5:5" ht="18.75" hidden="1" customHeight="1"/>
    <row r="328" spans="5:5" ht="18.75" hidden="1" customHeight="1"/>
    <row r="329" spans="5:5" ht="21.75" hidden="1" customHeight="1">
      <c r="E329" s="476" t="s">
        <v>444</v>
      </c>
    </row>
    <row r="330" spans="5:5" ht="18.75" hidden="1" customHeight="1">
      <c r="E330" s="478" t="s">
        <v>445</v>
      </c>
    </row>
    <row r="331" spans="5:5" ht="18.75" hidden="1" customHeight="1">
      <c r="E331" s="478" t="s">
        <v>446</v>
      </c>
    </row>
    <row r="332" spans="5:5" ht="19.5" hidden="1" customHeight="1">
      <c r="E332" s="486" t="s">
        <v>447</v>
      </c>
    </row>
    <row r="333" spans="5:5" ht="18.75" hidden="1" customHeight="1">
      <c r="E333" s="480" t="s">
        <v>452</v>
      </c>
    </row>
    <row r="334" spans="5:5" ht="18.75" hidden="1" customHeight="1">
      <c r="E334" s="480" t="s">
        <v>453</v>
      </c>
    </row>
    <row r="335" spans="5:5" ht="19.5" hidden="1" customHeight="1">
      <c r="E335" s="481" t="s">
        <v>454</v>
      </c>
    </row>
    <row r="336" spans="5:5" ht="18.75" hidden="1" customHeight="1"/>
    <row r="337" spans="5:10" ht="18.75" hidden="1" customHeight="1"/>
    <row r="338" spans="5:10" ht="21.75" hidden="1" customHeight="1">
      <c r="E338" s="476" t="s">
        <v>444</v>
      </c>
    </row>
    <row r="339" spans="5:10" ht="18.75" hidden="1" customHeight="1">
      <c r="E339" s="478" t="s">
        <v>445</v>
      </c>
    </row>
    <row r="340" spans="5:10" ht="18.75" hidden="1" customHeight="1">
      <c r="E340" s="478" t="s">
        <v>446</v>
      </c>
    </row>
    <row r="341" spans="5:10" ht="19.5" hidden="1" customHeight="1">
      <c r="E341" s="486" t="s">
        <v>447</v>
      </c>
    </row>
    <row r="342" spans="5:10" ht="18.75" hidden="1" customHeight="1">
      <c r="E342" s="480" t="s">
        <v>452</v>
      </c>
    </row>
    <row r="343" spans="5:10" ht="18.75" hidden="1" customHeight="1">
      <c r="E343" s="480" t="s">
        <v>453</v>
      </c>
    </row>
    <row r="344" spans="5:10" ht="19.5" hidden="1" customHeight="1">
      <c r="E344" s="481" t="s">
        <v>454</v>
      </c>
    </row>
    <row r="345" spans="5:10">
      <c r="J345" s="477"/>
    </row>
  </sheetData>
  <mergeCells count="2">
    <mergeCell ref="E2:E3"/>
    <mergeCell ref="K3:L3"/>
  </mergeCells>
  <conditionalFormatting sqref="I83:J83 I274:J277 E285:E294 I287:J294">
    <cfRule type="expression" dxfId="1094" priority="167">
      <formula>AND(E83&lt;&gt;"",#REF!="",OR(COLUMN(E83)=COLUMN(#REF!),COLUMN(E83)=COLUMN(#REF!)))</formula>
    </cfRule>
  </conditionalFormatting>
  <conditionalFormatting sqref="I100:J100">
    <cfRule type="expression" dxfId="1093" priority="166">
      <formula>AND(I100&lt;&gt;"",#REF!="",OR(COLUMN(I100)=COLUMN(#REF!),COLUMN(I100)=COLUMN(#REF!)))</formula>
    </cfRule>
  </conditionalFormatting>
  <conditionalFormatting sqref="I120:J120">
    <cfRule type="expression" dxfId="1092" priority="165">
      <formula>AND(I120&lt;&gt;"",#REF!="",OR(COLUMN(I120)=COLUMN(#REF!),COLUMN(I120)=COLUMN(#REF!)))</formula>
    </cfRule>
  </conditionalFormatting>
  <conditionalFormatting sqref="E298 I284:J284 I269:J269 I129:J129 I191:J196 I198:J205 E132:E139 I132:J139 I216:J219 I144:J187 E11:E67 I11:J67 I72:J82 I85:J99 E85:E99 I102:J110 I115:J119 I122:J127 I207:J214 I226:J248 I279:J282 I296:J297 I250:J267">
    <cfRule type="expression" dxfId="1091" priority="164">
      <formula>AND(E11&lt;&gt;"",#REF!="",OR(COLUMN(E11)=COLUMN(#REF!),COLUMN(E11)=COLUMN(#REF!)))</formula>
    </cfRule>
  </conditionalFormatting>
  <conditionalFormatting sqref="E187">
    <cfRule type="expression" dxfId="1090" priority="163">
      <formula>AND(E187&lt;&gt;"",#REF!="",OR(COLUMN(E187)=COLUMN(#REF!),COLUMN(E187)=COLUMN(#REF!)))</formula>
    </cfRule>
  </conditionalFormatting>
  <conditionalFormatting sqref="E284 E269 E191:E195 E216:E219 E274:E276 E287:E293">
    <cfRule type="expression" dxfId="1089" priority="161">
      <formula>AND(E191&lt;&gt;"",#REF!="",OR(COLUMN(E191)=COLUMN(#REF!),COLUMN(E191)=COLUMN(#REF!)))</formula>
    </cfRule>
  </conditionalFormatting>
  <conditionalFormatting sqref="E144:E186 E296:E297">
    <cfRule type="expression" dxfId="1088" priority="133">
      <formula>AND(E144&lt;&gt;"",#REF!="",OR(COLUMN(E144)=COLUMN(#REF!),COLUMN(E144)=COLUMN(#REF!)))</formula>
    </cfRule>
  </conditionalFormatting>
  <conditionalFormatting sqref="E207:E213">
    <cfRule type="expression" dxfId="1087" priority="31">
      <formula>AND(E207&lt;&gt;"",#REF!="",OR(COLUMN(E207)=COLUMN(#REF!),COLUMN(E207)=COLUMN(#REF!)))</formula>
    </cfRule>
  </conditionalFormatting>
  <conditionalFormatting sqref="E198:E204">
    <cfRule type="expression" dxfId="1086" priority="30">
      <formula>AND(E198&lt;&gt;"",#REF!="",OR(COLUMN(E198)=COLUMN(#REF!),COLUMN(E198)=COLUMN(#REF!)))</formula>
    </cfRule>
  </conditionalFormatting>
  <conditionalFormatting sqref="E102:E110">
    <cfRule type="expression" dxfId="1085" priority="28">
      <formula>AND(E102&lt;&gt;"",#REF!="",OR(COLUMN(E102)=COLUMN(#REF!),COLUMN(E102)=COLUMN(#REF!)))</formula>
    </cfRule>
  </conditionalFormatting>
  <conditionalFormatting sqref="E122:E126">
    <cfRule type="expression" dxfId="1084" priority="26">
      <formula>AND(E122&lt;&gt;"",#REF!="",OR(COLUMN(E122)=COLUMN(#REF!),COLUMN(E122)=COLUMN(#REF!)))</formula>
    </cfRule>
  </conditionalFormatting>
  <conditionalFormatting sqref="E279:E281">
    <cfRule type="expression" dxfId="1083" priority="25">
      <formula>AND(E279&lt;&gt;"",#REF!="",OR(COLUMN(E279)=COLUMN(#REF!),COLUMN(E279)=COLUMN(#REF!)))</formula>
    </cfRule>
  </conditionalFormatting>
  <conditionalFormatting sqref="E226:E247">
    <cfRule type="expression" dxfId="1082" priority="24">
      <formula>AND(E226&lt;&gt;"",#REF!="",OR(COLUMN(E226)=COLUMN(#REF!),COLUMN(E226)=COLUMN(#REF!)))</formula>
    </cfRule>
  </conditionalFormatting>
  <conditionalFormatting sqref="E72:E82">
    <cfRule type="expression" dxfId="1081" priority="22">
      <formula>AND(E72&lt;&gt;"",#REF!="",OR(COLUMN(E72)=COLUMN(#REF!),COLUMN(E72)=COLUMN(#REF!)))</formula>
    </cfRule>
  </conditionalFormatting>
  <conditionalFormatting sqref="E250:E266">
    <cfRule type="expression" dxfId="1080" priority="20">
      <formula>AND(E250&lt;&gt;"",#REF!="",OR(COLUMN(E250)=COLUMN(#REF!),COLUMN(E250)=COLUMN(#REF!)))</formula>
    </cfRule>
  </conditionalFormatting>
  <conditionalFormatting sqref="E282 E277 E267 E248 E214 E205 E196 E68 E83 E100 E111 E120 E127">
    <cfRule type="expression" dxfId="1079" priority="13">
      <formula>AND(E68&lt;&gt;"",#REF!="",OR(COLUMN(E68)=COLUMN(#REF!),COLUMN(E68)=COLUMN(#REF!)))</formula>
    </cfRule>
  </conditionalFormatting>
  <conditionalFormatting sqref="E115:E119">
    <cfRule type="expression" dxfId="1078" priority="7">
      <formula>AND(E115&lt;&gt;"",#REF!="",OR(COLUMN(E115)=COLUMN(#REF!),COLUMN(E115)=COLUMN(#REF!)))</formula>
    </cfRule>
  </conditionalFormatting>
  <conditionalFormatting sqref="E129">
    <cfRule type="expression" dxfId="1077" priority="2">
      <formula>AND(E129&lt;&gt;"",#REF!="",OR(COLUMN(E129)=COLUMN(#REF!),COLUMN(E129)=COLUMN(#REF!)))</formula>
    </cfRule>
  </conditionalFormatting>
  <conditionalFormatting sqref="E130">
    <cfRule type="expression" dxfId="1076" priority="1">
      <formula>AND(E130&lt;&gt;"",#REF!="",OR(COLUMN(E130)=COLUMN(#REF!),COLUMN(E130)=COLUMN(#REF!)))</formula>
    </cfRule>
  </conditionalFormatting>
  <dataValidations count="1">
    <dataValidation type="list" allowBlank="1" showInputMessage="1" showErrorMessage="1" sqref="K3:L3" xr:uid="{7F1F674E-1A24-473D-A6AF-DB2D23CDE1FC}">
      <formula1>"Ativo,Ativo e Neutro,Previdência,Todos Selecionados"</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Y213"/>
  <sheetViews>
    <sheetView showGridLines="0" zoomScale="80" zoomScaleNormal="80" workbookViewId="0">
      <selection activeCell="M123" sqref="M123"/>
    </sheetView>
  </sheetViews>
  <sheetFormatPr defaultColWidth="10.69921875" defaultRowHeight="24.75"/>
  <cols>
    <col min="1" max="1" width="2.59765625" style="923" customWidth="1"/>
    <col min="2" max="4" width="2.59765625" style="922" hidden="1" customWidth="1"/>
    <col min="5" max="5" width="54.59765625" style="923" customWidth="1"/>
    <col min="6" max="6" width="5.8984375" style="924" customWidth="1"/>
    <col min="7" max="7" width="6" style="924" customWidth="1"/>
    <col min="8" max="8" width="10.19921875" style="924" customWidth="1"/>
    <col min="9" max="9" width="6.296875" style="924" customWidth="1"/>
    <col min="10" max="10" width="6.59765625" style="924" customWidth="1"/>
    <col min="11" max="11" width="8.69921875" style="932" customWidth="1"/>
    <col min="12" max="12" width="7.3984375" style="923" customWidth="1"/>
    <col min="13" max="13" width="8.69921875" style="932" customWidth="1"/>
    <col min="14" max="14" width="7.3984375" style="923" customWidth="1"/>
    <col min="15" max="15" width="8.69921875" style="932" customWidth="1"/>
    <col min="16" max="16" width="7.3984375" style="923" customWidth="1"/>
    <col min="17" max="17" width="8.69921875" style="932" customWidth="1"/>
    <col min="18" max="18" width="7.3984375" style="923" customWidth="1"/>
    <col min="19" max="19" width="8.69921875" style="932" customWidth="1"/>
    <col min="20" max="20" width="7.3984375" style="925" customWidth="1"/>
    <col min="21" max="21" width="1" style="924" customWidth="1"/>
    <col min="22" max="22" width="12" style="926" customWidth="1"/>
    <col min="23" max="23" width="9.69921875" style="933" customWidth="1"/>
    <col min="24" max="24" width="10.69921875" style="928" customWidth="1"/>
    <col min="25" max="25" width="10.69921875" style="929" customWidth="1"/>
    <col min="26" max="16384" width="10.69921875" style="923"/>
  </cols>
  <sheetData>
    <row r="1" spans="2:25" s="2" customFormat="1" ht="5.0999999999999996" customHeight="1">
      <c r="B1" s="782"/>
      <c r="C1" s="782"/>
      <c r="D1" s="782"/>
      <c r="F1" s="783"/>
      <c r="G1" s="783"/>
      <c r="H1" s="783"/>
      <c r="I1" s="783"/>
      <c r="J1" s="783"/>
      <c r="K1" s="784"/>
      <c r="M1" s="784"/>
      <c r="O1" s="784"/>
      <c r="Q1" s="784"/>
      <c r="S1" s="784"/>
      <c r="T1" s="28"/>
      <c r="U1" s="783"/>
      <c r="V1" s="785"/>
      <c r="W1" s="786"/>
      <c r="X1" s="787"/>
      <c r="Y1" s="788"/>
    </row>
    <row r="2" spans="2:25" s="2" customFormat="1" ht="30.75">
      <c r="B2" s="782"/>
      <c r="C2" s="782"/>
      <c r="D2" s="782"/>
      <c r="F2" s="783"/>
      <c r="G2" s="783"/>
      <c r="H2" s="783"/>
      <c r="I2" s="783"/>
      <c r="J2" s="783"/>
      <c r="K2" s="784"/>
      <c r="M2" s="784"/>
      <c r="O2" s="784"/>
      <c r="Q2" s="784"/>
      <c r="S2" s="784"/>
      <c r="T2" s="28"/>
      <c r="U2" s="783"/>
      <c r="V2" s="785"/>
      <c r="W2" s="786"/>
      <c r="X2" s="787"/>
      <c r="Y2" s="788"/>
    </row>
    <row r="3" spans="2:25" s="8" customFormat="1" ht="27.75">
      <c r="B3" s="789"/>
      <c r="C3" s="789"/>
      <c r="D3" s="789"/>
      <c r="E3" s="32" t="s">
        <v>652</v>
      </c>
      <c r="F3" s="790"/>
      <c r="G3" s="790"/>
      <c r="H3" s="790"/>
      <c r="I3" s="790"/>
      <c r="J3" s="790"/>
      <c r="K3" s="791"/>
      <c r="M3" s="791"/>
      <c r="O3" s="791"/>
      <c r="Q3" s="791"/>
      <c r="S3" s="791"/>
      <c r="T3" s="33"/>
      <c r="U3" s="30"/>
      <c r="V3" s="792"/>
      <c r="W3" s="793"/>
      <c r="X3" s="794"/>
      <c r="Y3" s="795"/>
    </row>
    <row r="4" spans="2:25" s="8" customFormat="1" ht="5.25" customHeight="1">
      <c r="B4" s="789"/>
      <c r="C4" s="789"/>
      <c r="D4" s="789"/>
      <c r="F4" s="796"/>
      <c r="G4" s="796"/>
      <c r="H4" s="796"/>
      <c r="I4" s="796"/>
      <c r="J4" s="796"/>
      <c r="K4" s="797"/>
      <c r="L4" s="35"/>
      <c r="M4" s="797"/>
      <c r="N4" s="35"/>
      <c r="O4" s="797"/>
      <c r="P4" s="35"/>
      <c r="Q4" s="797"/>
      <c r="R4" s="35"/>
      <c r="S4" s="797"/>
      <c r="T4" s="34"/>
      <c r="U4" s="30"/>
      <c r="V4" s="35"/>
      <c r="W4" s="793"/>
      <c r="X4" s="798"/>
      <c r="Y4" s="799"/>
    </row>
    <row r="5" spans="2:25" s="331" customFormat="1" ht="33" customHeight="1">
      <c r="B5" s="329"/>
      <c r="C5" s="329"/>
      <c r="D5" s="329"/>
      <c r="E5" s="800"/>
      <c r="F5" s="801"/>
      <c r="G5" s="801"/>
      <c r="H5" s="801"/>
      <c r="I5" s="801"/>
      <c r="J5" s="801"/>
      <c r="K5" s="1070" t="s">
        <v>639</v>
      </c>
      <c r="L5" s="1071"/>
      <c r="M5" s="1072" t="s">
        <v>643</v>
      </c>
      <c r="N5" s="1072"/>
      <c r="O5" s="1070" t="s">
        <v>640</v>
      </c>
      <c r="P5" s="1071"/>
      <c r="Q5" s="1072" t="s">
        <v>641</v>
      </c>
      <c r="R5" s="1072"/>
      <c r="S5" s="1070" t="s">
        <v>642</v>
      </c>
      <c r="T5" s="1072"/>
      <c r="U5" s="334"/>
      <c r="V5" s="802"/>
      <c r="W5" s="1068" t="s">
        <v>1351</v>
      </c>
      <c r="X5" s="1069"/>
      <c r="Y5" s="1069"/>
    </row>
    <row r="6" spans="2:25" s="331" customFormat="1" ht="5.25" customHeight="1">
      <c r="B6" s="329"/>
      <c r="C6" s="329"/>
      <c r="D6" s="329"/>
      <c r="E6" s="330"/>
      <c r="F6" s="803"/>
      <c r="G6" s="803"/>
      <c r="H6" s="803"/>
      <c r="I6" s="803"/>
      <c r="J6" s="803"/>
      <c r="K6" s="804"/>
      <c r="L6" s="805"/>
      <c r="M6" s="806"/>
      <c r="N6" s="333"/>
      <c r="O6" s="804"/>
      <c r="P6" s="805"/>
      <c r="Q6" s="806"/>
      <c r="R6" s="333"/>
      <c r="S6" s="804"/>
      <c r="T6" s="333"/>
      <c r="U6" s="334"/>
      <c r="V6" s="807"/>
      <c r="W6" s="808"/>
      <c r="X6" s="809"/>
      <c r="Y6" s="810"/>
    </row>
    <row r="7" spans="2:25" s="819" customFormat="1" ht="19.5" customHeight="1">
      <c r="B7" s="811"/>
      <c r="C7" s="811"/>
      <c r="D7" s="811"/>
      <c r="E7" s="812" t="s">
        <v>1334</v>
      </c>
      <c r="F7" s="812" t="s">
        <v>1413</v>
      </c>
      <c r="G7" s="812" t="s">
        <v>1437</v>
      </c>
      <c r="H7" s="812" t="s">
        <v>1408</v>
      </c>
      <c r="I7" s="812" t="s">
        <v>8</v>
      </c>
      <c r="J7" s="812" t="s">
        <v>1409</v>
      </c>
      <c r="K7" s="813" t="s">
        <v>629</v>
      </c>
      <c r="L7" s="814" t="s">
        <v>9</v>
      </c>
      <c r="M7" s="813" t="s">
        <v>629</v>
      </c>
      <c r="N7" s="814" t="s">
        <v>9</v>
      </c>
      <c r="O7" s="813" t="s">
        <v>629</v>
      </c>
      <c r="P7" s="814" t="s">
        <v>9</v>
      </c>
      <c r="Q7" s="813" t="s">
        <v>629</v>
      </c>
      <c r="R7" s="814" t="s">
        <v>9</v>
      </c>
      <c r="S7" s="813" t="s">
        <v>629</v>
      </c>
      <c r="T7" s="815" t="s">
        <v>9</v>
      </c>
      <c r="U7" s="816"/>
      <c r="V7" s="814"/>
      <c r="W7" s="813" t="s">
        <v>654</v>
      </c>
      <c r="X7" s="817" t="s">
        <v>1352</v>
      </c>
      <c r="Y7" s="818" t="s">
        <v>1353</v>
      </c>
    </row>
    <row r="8" spans="2:25" s="331" customFormat="1" ht="5.25" customHeight="1">
      <c r="B8" s="329"/>
      <c r="C8" s="329"/>
      <c r="D8" s="329"/>
      <c r="F8" s="803"/>
      <c r="G8" s="803"/>
      <c r="H8" s="803"/>
      <c r="I8" s="803"/>
      <c r="J8" s="803"/>
      <c r="K8" s="820"/>
      <c r="L8" s="340"/>
      <c r="M8" s="821"/>
      <c r="O8" s="820"/>
      <c r="P8" s="340"/>
      <c r="Q8" s="821"/>
      <c r="S8" s="820"/>
      <c r="U8" s="334"/>
      <c r="V8" s="822"/>
      <c r="W8" s="823"/>
      <c r="X8" s="809"/>
      <c r="Y8" s="810"/>
    </row>
    <row r="9" spans="2:25" s="433" customFormat="1" ht="15.75">
      <c r="B9" s="824"/>
      <c r="C9" s="824"/>
      <c r="D9" s="824" t="s">
        <v>1394</v>
      </c>
      <c r="E9" s="825" t="s">
        <v>11</v>
      </c>
      <c r="F9" s="826"/>
      <c r="G9" s="826"/>
      <c r="H9" s="826"/>
      <c r="I9" s="826"/>
      <c r="J9" s="826"/>
      <c r="K9" s="813">
        <f ca="1">OFFSET('Asset Allocation Tatico'!$B$9, MATCH($E9,OFFSET('Asset Allocation Tatico'!$B$9,,,COUNTA('Asset Allocation Tatico'!$B:$B)-COUNTA('Asset Allocation Tatico'!$B$1:$B$9)),0)-1, MATCH(K$5,'Asset Allocation Tatico'!$D$5:$M$5,0)+2)</f>
        <v>1</v>
      </c>
      <c r="L9" s="818">
        <f ca="1">L11+L34+L53+L68</f>
        <v>1.0000000000000002</v>
      </c>
      <c r="M9" s="813">
        <f ca="1">OFFSET('Asset Allocation Tatico'!$B$9, MATCH($E9,OFFSET('Asset Allocation Tatico'!$B$9,,,COUNTA('Asset Allocation Tatico'!$B:$B)-COUNTA('Asset Allocation Tatico'!$B$1:$B$9)),0)-1, MATCH(M$5,'Asset Allocation Tatico'!$D$5:$M$5,0)+2)</f>
        <v>0.87000000000000011</v>
      </c>
      <c r="N9" s="818">
        <f ca="1">N11+N34+N53+N68</f>
        <v>0.87000000000000022</v>
      </c>
      <c r="O9" s="813">
        <f ca="1">OFFSET('Asset Allocation Tatico'!$B$9, MATCH($E9,OFFSET('Asset Allocation Tatico'!$B$9,,,COUNTA('Asset Allocation Tatico'!$B:$B)-COUNTA('Asset Allocation Tatico'!$B$1:$B$9)),0)-1, MATCH(O$5,'Asset Allocation Tatico'!$D$5:$M$5,0)+2)</f>
        <v>0.72499999999999998</v>
      </c>
      <c r="P9" s="818">
        <f ca="1">P11+P34+P53+P68</f>
        <v>0.7250000000000002</v>
      </c>
      <c r="Q9" s="813">
        <f ca="1">OFFSET('Asset Allocation Tatico'!$B$9, MATCH($E9,OFFSET('Asset Allocation Tatico'!$B$9,,,COUNTA('Asset Allocation Tatico'!$B:$B)-COUNTA('Asset Allocation Tatico'!$B$1:$B$9)),0)-1, MATCH(Q$5,'Asset Allocation Tatico'!$D$5:$M$5,0)+2)</f>
        <v>0.53</v>
      </c>
      <c r="R9" s="818">
        <f ca="1">R11+R34+R53+R68</f>
        <v>0.53</v>
      </c>
      <c r="S9" s="813">
        <f ca="1">OFFSET('Asset Allocation Tatico'!$B$9, MATCH($E9,OFFSET('Asset Allocation Tatico'!$B$9,,,COUNTA('Asset Allocation Tatico'!$B:$B)-COUNTA('Asset Allocation Tatico'!$B$1:$B$9)),0)-1, MATCH(S$5,'Asset Allocation Tatico'!$D$5:$M$5,0)+2)</f>
        <v>0.35500000000000004</v>
      </c>
      <c r="T9" s="818">
        <f ca="1">T11+T34+T53+T68</f>
        <v>0.35500000000000004</v>
      </c>
      <c r="U9" s="827"/>
      <c r="V9" s="818"/>
      <c r="W9" s="828"/>
      <c r="X9" s="829"/>
      <c r="Y9" s="830"/>
    </row>
    <row r="10" spans="2:25" s="347" customFormat="1" ht="7.5" customHeight="1">
      <c r="B10" s="343"/>
      <c r="C10" s="343"/>
      <c r="D10" s="343"/>
      <c r="E10" s="437"/>
      <c r="F10" s="436"/>
      <c r="G10" s="436"/>
      <c r="H10" s="436"/>
      <c r="I10" s="436"/>
      <c r="J10" s="436"/>
      <c r="K10" s="831"/>
      <c r="L10" s="832"/>
      <c r="M10" s="831"/>
      <c r="N10" s="832"/>
      <c r="O10" s="831"/>
      <c r="P10" s="832"/>
      <c r="Q10" s="831"/>
      <c r="R10" s="832"/>
      <c r="S10" s="831"/>
      <c r="T10" s="832"/>
      <c r="U10" s="833"/>
      <c r="V10" s="832"/>
      <c r="W10" s="834"/>
      <c r="X10" s="835"/>
      <c r="Y10" s="836"/>
    </row>
    <row r="11" spans="2:25" s="347" customFormat="1" ht="15">
      <c r="B11" s="343"/>
      <c r="C11" s="343" t="s">
        <v>12</v>
      </c>
      <c r="D11" s="343" t="s">
        <v>12</v>
      </c>
      <c r="E11" s="441" t="s">
        <v>620</v>
      </c>
      <c r="F11" s="442"/>
      <c r="G11" s="442"/>
      <c r="H11" s="442"/>
      <c r="I11" s="442"/>
      <c r="J11" s="442"/>
      <c r="K11" s="354">
        <f ca="1">OFFSET('Asset Allocation Tatico'!$B$9, MATCH($E11,OFFSET('Asset Allocation Tatico'!$B$9,,,COUNTA('Asset Allocation Tatico'!$B:$B)-COUNTA('Asset Allocation Tatico'!$B$1:$B$9)),0)-1, MATCH(K$5,'Asset Allocation Tatico'!$D$5:$M$5,0)+2)</f>
        <v>0.82499999999999996</v>
      </c>
      <c r="L11" s="837">
        <f ca="1">SUM(L12:L33)</f>
        <v>0.82500000000000029</v>
      </c>
      <c r="M11" s="354">
        <f ca="1">OFFSET('Asset Allocation Tatico'!$B$9, MATCH($E11,OFFSET('Asset Allocation Tatico'!$B$9,,,COUNTA('Asset Allocation Tatico'!$B:$B)-COUNTA('Asset Allocation Tatico'!$B$1:$B$9)),0)-1, MATCH(M$5,'Asset Allocation Tatico'!$D$5:$M$5,0)+2)</f>
        <v>0.67</v>
      </c>
      <c r="N11" s="837">
        <f ca="1">SUM(N12:N33)</f>
        <v>0.67000000000000015</v>
      </c>
      <c r="O11" s="354">
        <f ca="1">OFFSET('Asset Allocation Tatico'!$B$9, MATCH($E11,OFFSET('Asset Allocation Tatico'!$B$9,,,COUNTA('Asset Allocation Tatico'!$B:$B)-COUNTA('Asset Allocation Tatico'!$B$1:$B$9)),0)-1, MATCH(O$5,'Asset Allocation Tatico'!$D$5:$M$5,0)+2)</f>
        <v>0.56499999999999995</v>
      </c>
      <c r="P11" s="837">
        <f ca="1">SUM(P12:P33)</f>
        <v>0.56500000000000017</v>
      </c>
      <c r="Q11" s="354">
        <f ca="1">OFFSET('Asset Allocation Tatico'!$B$9, MATCH($E11,OFFSET('Asset Allocation Tatico'!$B$9,,,COUNTA('Asset Allocation Tatico'!$B:$B)-COUNTA('Asset Allocation Tatico'!$B$1:$B$9)),0)-1, MATCH(Q$5,'Asset Allocation Tatico'!$D$5:$M$5,0)+2)</f>
        <v>0.26500000000000001</v>
      </c>
      <c r="R11" s="837">
        <f ca="1">SUM(R12:R33)</f>
        <v>0.26500000000000001</v>
      </c>
      <c r="S11" s="354">
        <f ca="1">OFFSET('Asset Allocation Tatico'!$B$9, MATCH($E11,OFFSET('Asset Allocation Tatico'!$B$9,,,COUNTA('Asset Allocation Tatico'!$B:$B)-COUNTA('Asset Allocation Tatico'!$B$1:$B$9)),0)-1, MATCH(S$5,'Asset Allocation Tatico'!$D$5:$M$5,0)+2)</f>
        <v>0.13500000000000001</v>
      </c>
      <c r="T11" s="748">
        <f ca="1">SUM(T12:T33)</f>
        <v>0.13500000000000001</v>
      </c>
      <c r="V11" s="838"/>
      <c r="W11" s="839"/>
      <c r="X11" s="840"/>
      <c r="Y11" s="841"/>
    </row>
    <row r="12" spans="2:25" s="846" customFormat="1" ht="15">
      <c r="B12" s="357"/>
      <c r="C12" s="357"/>
      <c r="D12" s="357"/>
      <c r="E12" s="842" t="str">
        <f>'RF &amp; RV Guide'!E14</f>
        <v>Títulos Bancários - Liquidez Diária (102.5% CDI)</v>
      </c>
      <c r="F12" s="843" t="str">
        <f>IFERROR(INDEX('Produtos Selecionados'!$G:$G,MATCH($E12,'Produtos Selecionados'!$E:$E,0)),"-")</f>
        <v>-</v>
      </c>
      <c r="G12" s="843" t="str">
        <f>IFERROR(INDEX('Produtos Selecionados'!$H:$H,MATCH($E12,'Produtos Selecionados'!$E:$E,0)),"-")</f>
        <v>-</v>
      </c>
      <c r="H12" s="843">
        <f>IFERROR(INDEX('Produtos Selecionados'!$O:$O,MATCH($E12,'Produtos Selecionados'!$E:$E,0)),"-")</f>
        <v>2.9999999999999997E-4</v>
      </c>
      <c r="I12" s="844" t="str">
        <f>IFERROR(INDEX('Produtos Selecionados'!$L:$L,MATCH($E12,'Produtos Selecionados'!$E:$E,0)),"-")</f>
        <v>BRL</v>
      </c>
      <c r="J12" s="844">
        <f>IFERROR(INDEX('Produtos Selecionados'!$M:$M,MATCH($E12,'Produtos Selecionados'!$E:$E,0)),"-")</f>
        <v>0</v>
      </c>
      <c r="K12" s="845">
        <f ca="1">7%/K$11</f>
        <v>8.4848484848484867E-2</v>
      </c>
      <c r="L12" s="203">
        <f ca="1">IF(K12="","", K12*K$11)</f>
        <v>7.0000000000000007E-2</v>
      </c>
      <c r="M12" s="845">
        <f ca="1">7%/M$11</f>
        <v>0.10447761194029852</v>
      </c>
      <c r="N12" s="203">
        <f t="shared" ref="N12:N16" ca="1" si="0">IF(M12="","", M12*M$11)</f>
        <v>7.0000000000000007E-2</v>
      </c>
      <c r="O12" s="845">
        <f ca="1">6.5%/O$11</f>
        <v>0.11504424778761063</v>
      </c>
      <c r="P12" s="203">
        <f ca="1">IF(O12="","", O12*O$11)</f>
        <v>6.5000000000000002E-2</v>
      </c>
      <c r="Q12" s="845">
        <f ca="1">4%/Q$11</f>
        <v>0.15094339622641509</v>
      </c>
      <c r="R12" s="203">
        <f ca="1">IF(Q12="","", Q12*Q$11)</f>
        <v>0.04</v>
      </c>
      <c r="S12" s="845">
        <f>3.5/8</f>
        <v>0.4375</v>
      </c>
      <c r="T12" s="203">
        <f ca="1">IF(S12="","", S12*S$11)</f>
        <v>5.9062500000000004E-2</v>
      </c>
      <c r="V12" s="847" t="str">
        <f>IFERROR(IF(INDEX('Produtos Selecionados'!$G:$G,MATCH($E12,'Produtos Selecionados'!$E:$E,0))="MFO", "Evitar - ROA baixo", "OK"),"OK")</f>
        <v>OK</v>
      </c>
      <c r="W12" s="845"/>
      <c r="X12" s="848"/>
      <c r="Y12" s="849"/>
    </row>
    <row r="13" spans="2:25" s="846" customFormat="1" ht="15">
      <c r="B13" s="357"/>
      <c r="C13" s="357"/>
      <c r="D13" s="357"/>
      <c r="E13" s="842" t="str">
        <f>'RF &amp; RV Guide'!E16</f>
        <v>Títulos Bancários - 1 ano (111.5% CDI)</v>
      </c>
      <c r="F13" s="843" t="str">
        <f>IFERROR(INDEX('Produtos Selecionados'!$G:$G,MATCH($E13,'Produtos Selecionados'!$E:$E,0)),"-")</f>
        <v>-</v>
      </c>
      <c r="G13" s="843" t="str">
        <f>IFERROR(INDEX('Produtos Selecionados'!$H:$H,MATCH($E13,'Produtos Selecionados'!$E:$E,0)),"-")</f>
        <v>-</v>
      </c>
      <c r="H13" s="843" t="str">
        <f>IFERROR(INDEX('Produtos Selecionados'!$O:$O,MATCH($E13,'Produtos Selecionados'!$E:$E,0)),"-")</f>
        <v>-</v>
      </c>
      <c r="I13" s="844" t="str">
        <f>IFERROR(INDEX('Produtos Selecionados'!$L:$L,MATCH($E13,'Produtos Selecionados'!$E:$E,0)),"-")</f>
        <v>-</v>
      </c>
      <c r="J13" s="844" t="str">
        <f>IFERROR(INDEX('Produtos Selecionados'!$M:$M,MATCH($E13,'Produtos Selecionados'!$E:$E,0)),"-")</f>
        <v>-</v>
      </c>
      <c r="K13" s="845">
        <f ca="1">7.5%/K$11</f>
        <v>9.0909090909090912E-2</v>
      </c>
      <c r="L13" s="203">
        <f t="shared" ref="L13:L22" ca="1" si="1">IF(K13="","", K13*K$11)</f>
        <v>7.4999999999999997E-2</v>
      </c>
      <c r="M13" s="845">
        <f ca="1">6.25%/M$11</f>
        <v>9.3283582089552231E-2</v>
      </c>
      <c r="N13" s="203">
        <f t="shared" ca="1" si="0"/>
        <v>6.25E-2</v>
      </c>
      <c r="O13" s="845">
        <f ca="1">4.75%/O$11</f>
        <v>8.4070796460176997E-2</v>
      </c>
      <c r="P13" s="203">
        <f t="shared" ref="P13:P22" ca="1" si="2">IF(O13="","", O13*O$11)</f>
        <v>4.7500000000000001E-2</v>
      </c>
      <c r="Q13" s="845"/>
      <c r="R13" s="203" t="str">
        <f t="shared" ref="R13:R22" si="3">IF(Q13="","", Q13*Q$11)</f>
        <v/>
      </c>
      <c r="S13" s="845"/>
      <c r="T13" s="203" t="str">
        <f t="shared" ref="T13:T22" si="4">IF(S13="","", S13*S$11)</f>
        <v/>
      </c>
      <c r="V13" s="847" t="str">
        <f>IFERROR(IF(INDEX('Produtos Selecionados'!$G:$G,MATCH($E13,'Produtos Selecionados'!$E:$E,0))="MFO", "Evitar - ROA baixo", "OK"),"OK")</f>
        <v>OK</v>
      </c>
      <c r="W13" s="845"/>
      <c r="X13" s="848"/>
      <c r="Y13" s="849"/>
    </row>
    <row r="14" spans="2:25" s="846" customFormat="1" ht="15">
      <c r="B14" s="357"/>
      <c r="C14" s="357"/>
      <c r="D14" s="357"/>
      <c r="E14" s="842" t="str">
        <f>'RF &amp; RV Guide'!E17</f>
        <v>Títulos Bancários - 2 anos (115.0% CDI)</v>
      </c>
      <c r="F14" s="843" t="str">
        <f>IFERROR(INDEX('Produtos Selecionados'!$G:$G,MATCH($E14,'Produtos Selecionados'!$E:$E,0)),"-")</f>
        <v>-</v>
      </c>
      <c r="G14" s="843" t="str">
        <f>IFERROR(INDEX('Produtos Selecionados'!$H:$H,MATCH($E14,'Produtos Selecionados'!$E:$E,0)),"-")</f>
        <v>-</v>
      </c>
      <c r="H14" s="843" t="str">
        <f>IFERROR(INDEX('Produtos Selecionados'!$O:$O,MATCH($E14,'Produtos Selecionados'!$E:$E,0)),"-")</f>
        <v>-</v>
      </c>
      <c r="I14" s="844" t="str">
        <f>IFERROR(INDEX('Produtos Selecionados'!$L:$L,MATCH($E14,'Produtos Selecionados'!$E:$E,0)),"-")</f>
        <v>-</v>
      </c>
      <c r="J14" s="844" t="str">
        <f>IFERROR(INDEX('Produtos Selecionados'!$M:$M,MATCH($E14,'Produtos Selecionados'!$E:$E,0)),"-")</f>
        <v>-</v>
      </c>
      <c r="K14" s="845">
        <f t="shared" ref="K14:K16" ca="1" si="5">7.5%/K$11</f>
        <v>9.0909090909090912E-2</v>
      </c>
      <c r="L14" s="203">
        <f t="shared" ca="1" si="1"/>
        <v>7.4999999999999997E-2</v>
      </c>
      <c r="M14" s="845">
        <f t="shared" ref="M14:M16" ca="1" si="6">6.25%/M$11</f>
        <v>9.3283582089552231E-2</v>
      </c>
      <c r="N14" s="203">
        <f ca="1">IF(M14="","", M14*M$11)</f>
        <v>6.25E-2</v>
      </c>
      <c r="O14" s="845">
        <f t="shared" ref="O14:O16" ca="1" si="7">4.75%/O$11</f>
        <v>8.4070796460176997E-2</v>
      </c>
      <c r="P14" s="203">
        <f t="shared" ca="1" si="2"/>
        <v>4.7500000000000001E-2</v>
      </c>
      <c r="Q14" s="845"/>
      <c r="R14" s="203" t="str">
        <f t="shared" si="3"/>
        <v/>
      </c>
      <c r="S14" s="845"/>
      <c r="T14" s="203" t="str">
        <f t="shared" si="4"/>
        <v/>
      </c>
      <c r="V14" s="847" t="str">
        <f>IFERROR(IF(INDEX('Produtos Selecionados'!$G:$G,MATCH($E14,'Produtos Selecionados'!$E:$E,0))="MFO", "Evitar - ROA baixo", "OK"),"OK")</f>
        <v>OK</v>
      </c>
      <c r="W14" s="845"/>
      <c r="X14" s="848"/>
      <c r="Y14" s="849"/>
    </row>
    <row r="15" spans="2:25" s="846" customFormat="1" ht="15">
      <c r="B15" s="357"/>
      <c r="C15" s="357"/>
      <c r="D15" s="357"/>
      <c r="E15" s="842" t="str">
        <f>'RF &amp; RV Guide'!E19</f>
        <v>Títulos Corporativos - 2 anos (CDI+1.60%)</v>
      </c>
      <c r="F15" s="843" t="str">
        <f>IFERROR(INDEX('Produtos Selecionados'!$G:$G,MATCH($E15,'Produtos Selecionados'!$E:$E,0)),"-")</f>
        <v>-</v>
      </c>
      <c r="G15" s="843" t="str">
        <f>IFERROR(INDEX('Produtos Selecionados'!$H:$H,MATCH($E15,'Produtos Selecionados'!$E:$E,0)),"-")</f>
        <v>-</v>
      </c>
      <c r="H15" s="843" t="str">
        <f>IFERROR(INDEX('Produtos Selecionados'!$O:$O,MATCH($E15,'Produtos Selecionados'!$E:$E,0)),"-")</f>
        <v>-</v>
      </c>
      <c r="I15" s="844" t="str">
        <f>IFERROR(INDEX('Produtos Selecionados'!$L:$L,MATCH($E15,'Produtos Selecionados'!$E:$E,0)),"-")</f>
        <v>-</v>
      </c>
      <c r="J15" s="844" t="str">
        <f>IFERROR(INDEX('Produtos Selecionados'!$M:$M,MATCH($E15,'Produtos Selecionados'!$E:$E,0)),"-")</f>
        <v>-</v>
      </c>
      <c r="K15" s="845">
        <f t="shared" ca="1" si="5"/>
        <v>9.0909090909090912E-2</v>
      </c>
      <c r="L15" s="203">
        <f t="shared" ca="1" si="1"/>
        <v>7.4999999999999997E-2</v>
      </c>
      <c r="M15" s="845">
        <f t="shared" ca="1" si="6"/>
        <v>9.3283582089552231E-2</v>
      </c>
      <c r="N15" s="203">
        <f t="shared" ca="1" si="0"/>
        <v>6.25E-2</v>
      </c>
      <c r="O15" s="845">
        <f t="shared" ca="1" si="7"/>
        <v>8.4070796460176997E-2</v>
      </c>
      <c r="P15" s="203">
        <f t="shared" ca="1" si="2"/>
        <v>4.7500000000000001E-2</v>
      </c>
      <c r="Q15" s="845"/>
      <c r="R15" s="203" t="str">
        <f t="shared" si="3"/>
        <v/>
      </c>
      <c r="S15" s="845"/>
      <c r="T15" s="203" t="str">
        <f t="shared" si="4"/>
        <v/>
      </c>
      <c r="V15" s="847" t="str">
        <f>IFERROR(IF(INDEX('Produtos Selecionados'!$G:$G,MATCH($E15,'Produtos Selecionados'!$E:$E,0))="MFO", "Evitar - ROA baixo", "OK"),"OK")</f>
        <v>OK</v>
      </c>
      <c r="W15" s="845"/>
      <c r="X15" s="848"/>
      <c r="Y15" s="849"/>
    </row>
    <row r="16" spans="2:25" s="846" customFormat="1" ht="15">
      <c r="B16" s="357"/>
      <c r="C16" s="357"/>
      <c r="D16" s="357"/>
      <c r="E16" s="842" t="str">
        <f>'RF &amp; RV Guide'!E20</f>
        <v>Títulos Corporativos - 3 anos (CDI+1.95%)</v>
      </c>
      <c r="F16" s="843" t="str">
        <f>IFERROR(INDEX('Produtos Selecionados'!$G:$G,MATCH($E16,'Produtos Selecionados'!$E:$E,0)),"-")</f>
        <v>-</v>
      </c>
      <c r="G16" s="843" t="str">
        <f>IFERROR(INDEX('Produtos Selecionados'!$H:$H,MATCH($E16,'Produtos Selecionados'!$E:$E,0)),"-")</f>
        <v>-</v>
      </c>
      <c r="H16" s="843" t="str">
        <f>IFERROR(INDEX('Produtos Selecionados'!$O:$O,MATCH($E16,'Produtos Selecionados'!$E:$E,0)),"-")</f>
        <v>-</v>
      </c>
      <c r="I16" s="844" t="str">
        <f>IFERROR(INDEX('Produtos Selecionados'!$L:$L,MATCH($E16,'Produtos Selecionados'!$E:$E,0)),"-")</f>
        <v>-</v>
      </c>
      <c r="J16" s="844" t="str">
        <f>IFERROR(INDEX('Produtos Selecionados'!$M:$M,MATCH($E16,'Produtos Selecionados'!$E:$E,0)),"-")</f>
        <v>-</v>
      </c>
      <c r="K16" s="845">
        <f t="shared" ca="1" si="5"/>
        <v>9.0909090909090912E-2</v>
      </c>
      <c r="L16" s="203">
        <f t="shared" ca="1" si="1"/>
        <v>7.4999999999999997E-2</v>
      </c>
      <c r="M16" s="845">
        <f t="shared" ca="1" si="6"/>
        <v>9.3283582089552231E-2</v>
      </c>
      <c r="N16" s="203">
        <f t="shared" ca="1" si="0"/>
        <v>6.25E-2</v>
      </c>
      <c r="O16" s="845">
        <f t="shared" ca="1" si="7"/>
        <v>8.4070796460176997E-2</v>
      </c>
      <c r="P16" s="203">
        <f t="shared" ca="1" si="2"/>
        <v>4.7500000000000001E-2</v>
      </c>
      <c r="Q16" s="845"/>
      <c r="R16" s="203" t="str">
        <f t="shared" si="3"/>
        <v/>
      </c>
      <c r="S16" s="845"/>
      <c r="T16" s="203" t="str">
        <f t="shared" si="4"/>
        <v/>
      </c>
      <c r="V16" s="847" t="str">
        <f>IFERROR(IF(INDEX('Produtos Selecionados'!$G:$G,MATCH($E16,'Produtos Selecionados'!$E:$E,0))="MFO", "Evitar - ROA baixo", "OK"),"OK")</f>
        <v>OK</v>
      </c>
      <c r="W16" s="845"/>
      <c r="X16" s="848"/>
      <c r="Y16" s="849"/>
    </row>
    <row r="17" spans="2:25" s="846" customFormat="1" ht="15">
      <c r="B17" s="357"/>
      <c r="C17" s="357"/>
      <c r="D17" s="357"/>
      <c r="E17" s="842" t="s">
        <v>4386</v>
      </c>
      <c r="F17" s="843" t="str">
        <f>IFERROR(INDEX('Produtos Selecionados'!$G:$G,MATCH($E17,'Produtos Selecionados'!$E:$E,0)),"-")</f>
        <v>-</v>
      </c>
      <c r="G17" s="843" t="str">
        <f>IFERROR(INDEX('Produtos Selecionados'!$H:$H,MATCH($E17,'Produtos Selecionados'!$E:$E,0)),"-")</f>
        <v>Sim</v>
      </c>
      <c r="H17" s="843">
        <f>IFERROR(INDEX('Produtos Selecionados'!$O:$O,MATCH($E17,'Produtos Selecionados'!$E:$E,0)),"-")</f>
        <v>1.0499999999999999E-3</v>
      </c>
      <c r="I17" s="844" t="str">
        <f>IFERROR(INDEX('Produtos Selecionados'!$L:$L,MATCH($E17,'Produtos Selecionados'!$E:$E,0)),"-")</f>
        <v>BRL</v>
      </c>
      <c r="J17" s="844">
        <f>IFERROR(INDEX('Produtos Selecionados'!$M:$M,MATCH($E17,'Produtos Selecionados'!$E:$E,0)),"-")</f>
        <v>0</v>
      </c>
      <c r="K17" s="845">
        <f ca="1">8%/K$11</f>
        <v>9.6969696969696983E-2</v>
      </c>
      <c r="L17" s="203">
        <f ca="1">IF(K17="","", K17*K$11)</f>
        <v>0.08</v>
      </c>
      <c r="M17" s="845">
        <f ca="1">5%/M$11</f>
        <v>7.4626865671641784E-2</v>
      </c>
      <c r="N17" s="203">
        <f ca="1">IF(M17="","", M17*M$11)</f>
        <v>4.9999999999999996E-2</v>
      </c>
      <c r="O17" s="845">
        <f ca="1">5%/O$11</f>
        <v>8.8495575221238951E-2</v>
      </c>
      <c r="P17" s="203">
        <f ca="1">IF(O17="","", O17*O$11)</f>
        <v>0.05</v>
      </c>
      <c r="Q17" s="845">
        <f ca="1">5%/Q$11</f>
        <v>0.18867924528301888</v>
      </c>
      <c r="R17" s="203">
        <f ca="1">IF(Q17="","", Q17*Q$11)</f>
        <v>0.05</v>
      </c>
      <c r="S17" s="845"/>
      <c r="T17" s="203" t="str">
        <f>IF(S17="","", S17*S$11)</f>
        <v/>
      </c>
      <c r="V17" s="847" t="str">
        <f>IFERROR(IF(INDEX('Produtos Selecionados'!$G:$G,MATCH($E17,'Produtos Selecionados'!$E:$E,0))="MFO", "Evitar - ROA baixo", "OK"),"OK")</f>
        <v>OK</v>
      </c>
      <c r="W17" s="845" t="s">
        <v>64</v>
      </c>
      <c r="X17" s="848"/>
      <c r="Y17" s="849"/>
    </row>
    <row r="18" spans="2:25" s="846" customFormat="1" ht="15">
      <c r="B18" s="357"/>
      <c r="C18" s="357"/>
      <c r="D18" s="357"/>
      <c r="E18" s="842" t="s">
        <v>2080</v>
      </c>
      <c r="F18" s="843" t="str">
        <f>IFERROR(INDEX('Produtos Selecionados'!$G:$G,MATCH($E18,'Produtos Selecionados'!$E:$E,0)),"-")</f>
        <v>-</v>
      </c>
      <c r="G18" s="843" t="str">
        <f>IFERROR(INDEX('Produtos Selecionados'!$H:$H,MATCH($E18,'Produtos Selecionados'!$E:$E,0)),"-")</f>
        <v>Sim</v>
      </c>
      <c r="H18" s="843">
        <f>IFERROR(INDEX('Produtos Selecionados'!$O:$O,MATCH($E18,'Produtos Selecionados'!$E:$E,0)),"-")</f>
        <v>1.1199999999999999E-3</v>
      </c>
      <c r="I18" s="844" t="str">
        <f>IFERROR(INDEX('Produtos Selecionados'!$L:$L,MATCH($E18,'Produtos Selecionados'!$E:$E,0)),"-")</f>
        <v>BRL</v>
      </c>
      <c r="J18" s="844">
        <f>IFERROR(INDEX('Produtos Selecionados'!$M:$M,MATCH($E18,'Produtos Selecionados'!$E:$E,0)),"-")</f>
        <v>1</v>
      </c>
      <c r="K18" s="845"/>
      <c r="L18" s="203" t="str">
        <f>IF(K18="","", K18*K$11)</f>
        <v/>
      </c>
      <c r="M18" s="845"/>
      <c r="N18" s="203" t="str">
        <f>IF(M18="","", M18*M$11)</f>
        <v/>
      </c>
      <c r="O18" s="845"/>
      <c r="P18" s="203" t="str">
        <f>IF(O18="","", O18*O$11)</f>
        <v/>
      </c>
      <c r="Q18" s="845"/>
      <c r="R18" s="203" t="str">
        <f>IF(Q18="","", Q18*Q$11)</f>
        <v/>
      </c>
      <c r="S18" s="845"/>
      <c r="T18" s="203" t="str">
        <f>IF(S18="","", S18*S$11)</f>
        <v/>
      </c>
      <c r="V18" s="847" t="str">
        <f>IFERROR(IF(INDEX('Produtos Selecionados'!$G:$G,MATCH($E18,'Produtos Selecionados'!$E:$E,0))="MFO", "Evitar - ROA baixo", "OK"),"OK")</f>
        <v>OK</v>
      </c>
      <c r="W18" s="845" t="s">
        <v>64</v>
      </c>
      <c r="X18" s="848"/>
      <c r="Y18" s="849"/>
    </row>
    <row r="19" spans="2:25" s="846" customFormat="1" ht="15">
      <c r="B19" s="357"/>
      <c r="C19" s="357"/>
      <c r="D19" s="357"/>
      <c r="E19" s="842" t="s">
        <v>2076</v>
      </c>
      <c r="F19" s="843" t="str">
        <f>IFERROR(INDEX('Produtos Selecionados'!$G:$G,MATCH($E19,'Produtos Selecionados'!$E:$E,0)),"-")</f>
        <v>-</v>
      </c>
      <c r="G19" s="843" t="str">
        <f>IFERROR(INDEX('Produtos Selecionados'!$H:$H,MATCH($E19,'Produtos Selecionados'!$E:$E,0)),"-")</f>
        <v>Sim</v>
      </c>
      <c r="H19" s="843">
        <f>IFERROR(INDEX('Produtos Selecionados'!$O:$O,MATCH($E19,'Produtos Selecionados'!$E:$E,0)),"-")</f>
        <v>1E-3</v>
      </c>
      <c r="I19" s="844" t="str">
        <f>IFERROR(INDEX('Produtos Selecionados'!$L:$L,MATCH($E19,'Produtos Selecionados'!$E:$E,0)),"-")</f>
        <v>BRL</v>
      </c>
      <c r="J19" s="844">
        <f>IFERROR(INDEX('Produtos Selecionados'!$M:$M,MATCH($E19,'Produtos Selecionados'!$E:$E,0)),"-")</f>
        <v>1</v>
      </c>
      <c r="K19" s="845"/>
      <c r="L19" s="203" t="str">
        <f>IF(K19="","", K19*K$11)</f>
        <v/>
      </c>
      <c r="M19" s="845"/>
      <c r="N19" s="203" t="str">
        <f>IF(M19="","", M19*M$11)</f>
        <v/>
      </c>
      <c r="O19" s="845"/>
      <c r="P19" s="203" t="str">
        <f>IF(O19="","", O19*O$11)</f>
        <v/>
      </c>
      <c r="Q19" s="845"/>
      <c r="R19" s="203" t="str">
        <f>IF(Q19="","", Q19*Q$11)</f>
        <v/>
      </c>
      <c r="S19" s="845"/>
      <c r="T19" s="203" t="str">
        <f>IF(S19="","", S19*S$11)</f>
        <v/>
      </c>
      <c r="V19" s="847" t="str">
        <f>IFERROR(IF(INDEX('Produtos Selecionados'!$G:$G,MATCH($E19,'Produtos Selecionados'!$E:$E,0))="MFO", "Evitar - ROA baixo", "OK"),"OK")</f>
        <v>OK</v>
      </c>
      <c r="W19" s="845" t="s">
        <v>64</v>
      </c>
      <c r="X19" s="848"/>
      <c r="Y19" s="849"/>
    </row>
    <row r="20" spans="2:25" s="846" customFormat="1" ht="15">
      <c r="B20" s="357"/>
      <c r="C20" s="357"/>
      <c r="D20" s="357"/>
      <c r="E20" s="842" t="s">
        <v>2631</v>
      </c>
      <c r="F20" s="843" t="str">
        <f>IFERROR(INDEX('Produtos Selecionados'!$G:$G,MATCH($E20,'Produtos Selecionados'!$E:$E,0)),"-")</f>
        <v>-</v>
      </c>
      <c r="G20" s="843" t="str">
        <f>IFERROR(INDEX('Produtos Selecionados'!$H:$H,MATCH($E20,'Produtos Selecionados'!$E:$E,0)),"-")</f>
        <v>Sim</v>
      </c>
      <c r="H20" s="843">
        <f>IFERROR(INDEX('Produtos Selecionados'!$O:$O,MATCH($E20,'Produtos Selecionados'!$E:$E,0)),"-")</f>
        <v>1.6000000000000001E-3</v>
      </c>
      <c r="I20" s="844" t="str">
        <f>IFERROR(INDEX('Produtos Selecionados'!$L:$L,MATCH($E20,'Produtos Selecionados'!$E:$E,0)),"-")</f>
        <v>BRL</v>
      </c>
      <c r="J20" s="844">
        <f>IFERROR(INDEX('Produtos Selecionados'!$M:$M,MATCH($E20,'Produtos Selecionados'!$E:$E,0)),"-")</f>
        <v>2</v>
      </c>
      <c r="K20" s="845">
        <f ca="1">6%/K$11</f>
        <v>7.2727272727272724E-2</v>
      </c>
      <c r="L20" s="203">
        <f ca="1">IF(K20="","", K20*K$11)</f>
        <v>5.9999999999999991E-2</v>
      </c>
      <c r="M20" s="845">
        <f ca="1">4%/M$11</f>
        <v>5.9701492537313432E-2</v>
      </c>
      <c r="N20" s="203">
        <f ca="1">IF(M20="","", M20*M$11)</f>
        <v>0.04</v>
      </c>
      <c r="O20" s="845">
        <f ca="1">4%/O$11</f>
        <v>7.0796460176991163E-2</v>
      </c>
      <c r="P20" s="203">
        <f ca="1">IF(O20="","", O20*O$11)</f>
        <v>0.04</v>
      </c>
      <c r="Q20" s="845">
        <f ca="1">4%/Q$11</f>
        <v>0.15094339622641509</v>
      </c>
      <c r="R20" s="203">
        <f ca="1">IF(Q20="","", Q20*Q$11)</f>
        <v>0.04</v>
      </c>
      <c r="S20" s="845"/>
      <c r="T20" s="203" t="str">
        <f t="shared" si="4"/>
        <v/>
      </c>
      <c r="V20" s="847" t="str">
        <f>IFERROR(IF(INDEX('Produtos Selecionados'!$G:$G,MATCH($E20,'Produtos Selecionados'!$E:$E,0))="MFO", "Evitar - ROA baixo", "OK"),"OK")</f>
        <v>OK</v>
      </c>
      <c r="W20" s="845" t="s">
        <v>64</v>
      </c>
      <c r="X20" s="848"/>
      <c r="Y20" s="849"/>
    </row>
    <row r="21" spans="2:25" s="846" customFormat="1" ht="15">
      <c r="B21" s="357"/>
      <c r="C21" s="357"/>
      <c r="D21" s="357"/>
      <c r="E21" s="842" t="s">
        <v>2079</v>
      </c>
      <c r="F21" s="843" t="str">
        <f>IFERROR(INDEX('Produtos Selecionados'!$G:$G,MATCH($E21,'Produtos Selecionados'!$E:$E,0)),"-")</f>
        <v>-</v>
      </c>
      <c r="G21" s="843" t="str">
        <f>IFERROR(INDEX('Produtos Selecionados'!$H:$H,MATCH($E21,'Produtos Selecionados'!$E:$E,0)),"-")</f>
        <v>Sim</v>
      </c>
      <c r="H21" s="843">
        <f>IFERROR(INDEX('Produtos Selecionados'!$O:$O,MATCH($E21,'Produtos Selecionados'!$E:$E,0)),"-")</f>
        <v>4.1999999999999997E-3</v>
      </c>
      <c r="I21" s="844" t="str">
        <f>IFERROR(INDEX('Produtos Selecionados'!$L:$L,MATCH($E21,'Produtos Selecionados'!$E:$E,0)),"-")</f>
        <v>BRL</v>
      </c>
      <c r="J21" s="844">
        <f>IFERROR(INDEX('Produtos Selecionados'!$M:$M,MATCH($E21,'Produtos Selecionados'!$E:$E,0)),"-")</f>
        <v>4</v>
      </c>
      <c r="K21" s="845">
        <f ca="1">5%/K$11</f>
        <v>6.0606060606060615E-2</v>
      </c>
      <c r="L21" s="203">
        <f t="shared" ca="1" si="1"/>
        <v>0.05</v>
      </c>
      <c r="M21" s="845"/>
      <c r="N21" s="203" t="str">
        <f t="shared" ref="N21:N22" si="8">IF(M21="","", M21*M$11)</f>
        <v/>
      </c>
      <c r="O21" s="845"/>
      <c r="P21" s="203" t="str">
        <f t="shared" si="2"/>
        <v/>
      </c>
      <c r="Q21" s="845"/>
      <c r="R21" s="203" t="str">
        <f t="shared" si="3"/>
        <v/>
      </c>
      <c r="S21" s="845"/>
      <c r="T21" s="203" t="str">
        <f t="shared" si="4"/>
        <v/>
      </c>
      <c r="V21" s="847" t="str">
        <f>IFERROR(IF(INDEX('Produtos Selecionados'!$G:$G,MATCH($E21,'Produtos Selecionados'!$E:$E,0))="MFO", "Evitar - ROA baixo", "OK"),"OK")</f>
        <v>OK</v>
      </c>
      <c r="W21" s="845" t="s">
        <v>64</v>
      </c>
      <c r="X21" s="848"/>
      <c r="Y21" s="849"/>
    </row>
    <row r="22" spans="2:25" s="846" customFormat="1" ht="15">
      <c r="B22" s="357"/>
      <c r="C22" s="357"/>
      <c r="D22" s="357"/>
      <c r="E22" s="842" t="s">
        <v>2706</v>
      </c>
      <c r="F22" s="843" t="str">
        <f>IFERROR(INDEX('Produtos Selecionados'!$G:$G,MATCH($E22,'Produtos Selecionados'!$E:$E,0)),"-")</f>
        <v>-</v>
      </c>
      <c r="G22" s="843" t="str">
        <f>IFERROR(INDEX('Produtos Selecionados'!$H:$H,MATCH($E22,'Produtos Selecionados'!$E:$E,0)),"-")</f>
        <v>Sim</v>
      </c>
      <c r="H22" s="843">
        <f>IFERROR(INDEX('Produtos Selecionados'!$O:$O,MATCH($E22,'Produtos Selecionados'!$E:$E,0)),"-")</f>
        <v>1.8666666666666699E-3</v>
      </c>
      <c r="I22" s="844" t="str">
        <f>IFERROR(INDEX('Produtos Selecionados'!$L:$L,MATCH($E22,'Produtos Selecionados'!$E:$E,0)),"-")</f>
        <v>BRL</v>
      </c>
      <c r="J22" s="844">
        <f>IFERROR(INDEX('Produtos Selecionados'!$M:$M,MATCH($E22,'Produtos Selecionados'!$E:$E,0)),"-")</f>
        <v>61</v>
      </c>
      <c r="K22" s="845">
        <f ca="1">3%/K$11</f>
        <v>3.6363636363636362E-2</v>
      </c>
      <c r="L22" s="203">
        <f t="shared" ca="1" si="1"/>
        <v>2.9999999999999995E-2</v>
      </c>
      <c r="M22" s="845">
        <f ca="1">3%/M$11</f>
        <v>4.4776119402985072E-2</v>
      </c>
      <c r="N22" s="203">
        <f t="shared" ca="1" si="8"/>
        <v>0.03</v>
      </c>
      <c r="O22" s="845">
        <f ca="1">3.5%/O$11</f>
        <v>6.194690265486727E-2</v>
      </c>
      <c r="P22" s="203">
        <f t="shared" ca="1" si="2"/>
        <v>3.5000000000000003E-2</v>
      </c>
      <c r="Q22" s="845">
        <f ca="1">3%/Q$11</f>
        <v>0.11320754716981131</v>
      </c>
      <c r="R22" s="203">
        <f t="shared" ca="1" si="3"/>
        <v>0.03</v>
      </c>
      <c r="S22" s="845">
        <f>2.25/8</f>
        <v>0.28125</v>
      </c>
      <c r="T22" s="203">
        <f t="shared" ca="1" si="4"/>
        <v>3.7968750000000002E-2</v>
      </c>
      <c r="V22" s="847" t="str">
        <f>IFERROR(IF(INDEX('Produtos Selecionados'!$G:$G,MATCH($E22,'Produtos Selecionados'!$E:$E,0))="MFO", "Evitar - ROA baixo", "OK"),"OK")</f>
        <v>OK</v>
      </c>
      <c r="W22" s="845" t="s">
        <v>64</v>
      </c>
      <c r="X22" s="848"/>
      <c r="Y22" s="849"/>
    </row>
    <row r="23" spans="2:25" s="846" customFormat="1" ht="15">
      <c r="B23" s="357"/>
      <c r="C23" s="357"/>
      <c r="D23" s="357"/>
      <c r="E23" s="842" t="s">
        <v>2725</v>
      </c>
      <c r="F23" s="843" t="str">
        <f>IFERROR(INDEX('Produtos Selecionados'!$G:$G,MATCH($E23,'Produtos Selecionados'!$E:$E,0)),"-")</f>
        <v>-</v>
      </c>
      <c r="G23" s="843" t="str">
        <f>IFERROR(INDEX('Produtos Selecionados'!$H:$H,MATCH($E23,'Produtos Selecionados'!$E:$E,0)),"-")</f>
        <v>Sim</v>
      </c>
      <c r="H23" s="843">
        <f>IFERROR(INDEX('Produtos Selecionados'!$O:$O,MATCH($E23,'Produtos Selecionados'!$E:$E,0)),"-")</f>
        <v>1E-3</v>
      </c>
      <c r="I23" s="844" t="str">
        <f>IFERROR(INDEX('Produtos Selecionados'!$L:$L,MATCH($E23,'Produtos Selecionados'!$E:$E,0)),"-")</f>
        <v>BRL</v>
      </c>
      <c r="J23" s="844">
        <f>IFERROR(INDEX('Produtos Selecionados'!$M:$M,MATCH($E23,'Produtos Selecionados'!$E:$E,0)),"-")</f>
        <v>76</v>
      </c>
      <c r="K23" s="845">
        <f ca="1">2.5%/K$11</f>
        <v>3.0303030303030307E-2</v>
      </c>
      <c r="L23" s="203">
        <f t="shared" ref="L23:L33" ca="1" si="9">IF(K23="","", K23*K$11)</f>
        <v>2.5000000000000001E-2</v>
      </c>
      <c r="M23" s="845">
        <f ca="1">2.5%/M$11</f>
        <v>3.7313432835820892E-2</v>
      </c>
      <c r="N23" s="203">
        <f t="shared" ref="N23:N33" ca="1" si="10">IF(M23="","", M23*M$11)</f>
        <v>2.4999999999999998E-2</v>
      </c>
      <c r="O23" s="845">
        <f ca="1">3.5%/O$11</f>
        <v>6.194690265486727E-2</v>
      </c>
      <c r="P23" s="203">
        <f t="shared" ref="P23:P33" ca="1" si="11">IF(O23="","", O23*O$11)</f>
        <v>3.5000000000000003E-2</v>
      </c>
      <c r="Q23" s="845">
        <f ca="1">3%/Q$11</f>
        <v>0.11320754716981131</v>
      </c>
      <c r="R23" s="203">
        <f t="shared" ref="R23:R33" ca="1" si="12">IF(Q23="","", Q23*Q$11)</f>
        <v>0.03</v>
      </c>
      <c r="S23" s="845"/>
      <c r="T23" s="203" t="str">
        <f t="shared" ref="T23:T33" si="13">IF(S23="","", S23*S$11)</f>
        <v/>
      </c>
      <c r="V23" s="847" t="str">
        <f>IFERROR(IF(INDEX('Produtos Selecionados'!$G:$G,MATCH($E23,'Produtos Selecionados'!$E:$E,0))="MFO", "Evitar - ROA baixo", "OK"),"OK")</f>
        <v>OK</v>
      </c>
      <c r="W23" s="845" t="s">
        <v>64</v>
      </c>
      <c r="X23" s="848"/>
      <c r="Y23" s="849"/>
    </row>
    <row r="24" spans="2:25" s="846" customFormat="1" ht="15">
      <c r="B24" s="357"/>
      <c r="C24" s="357"/>
      <c r="D24" s="357"/>
      <c r="E24" s="842" t="s">
        <v>2601</v>
      </c>
      <c r="F24" s="843" t="str">
        <f>IFERROR(INDEX('Produtos Selecionados'!$G:$G,MATCH($E24,'Produtos Selecionados'!$E:$E,0)),"-")</f>
        <v>-</v>
      </c>
      <c r="G24" s="843" t="str">
        <f>IFERROR(INDEX('Produtos Selecionados'!$H:$H,MATCH($E24,'Produtos Selecionados'!$E:$E,0)),"-")</f>
        <v>Não</v>
      </c>
      <c r="H24" s="843">
        <f>IFERROR(INDEX('Produtos Selecionados'!$O:$O,MATCH($E24,'Produtos Selecionados'!$E:$E,0)),"-")</f>
        <v>1.5983333333333301E-3</v>
      </c>
      <c r="I24" s="844" t="str">
        <f>IFERROR(INDEX('Produtos Selecionados'!$L:$L,MATCH($E24,'Produtos Selecionados'!$E:$E,0)),"-")</f>
        <v>BRL</v>
      </c>
      <c r="J24" s="844">
        <f>IFERROR(INDEX('Produtos Selecionados'!$M:$M,MATCH($E24,'Produtos Selecionados'!$E:$E,0)),"-")</f>
        <v>31</v>
      </c>
      <c r="K24" s="845">
        <f t="shared" ref="K24:K25" ca="1" si="14">2.5%/K$11</f>
        <v>3.0303030303030307E-2</v>
      </c>
      <c r="L24" s="203">
        <f t="shared" ca="1" si="9"/>
        <v>2.5000000000000001E-2</v>
      </c>
      <c r="M24" s="845">
        <f t="shared" ref="M24:M25" ca="1" si="15">2.5%/M$11</f>
        <v>3.7313432835820892E-2</v>
      </c>
      <c r="N24" s="203">
        <f t="shared" ca="1" si="10"/>
        <v>2.4999999999999998E-2</v>
      </c>
      <c r="O24" s="845">
        <f t="shared" ref="O24" ca="1" si="16">2.5%/O$11</f>
        <v>4.4247787610619475E-2</v>
      </c>
      <c r="P24" s="203">
        <f t="shared" ca="1" si="11"/>
        <v>2.5000000000000001E-2</v>
      </c>
      <c r="Q24" s="845"/>
      <c r="R24" s="203" t="str">
        <f t="shared" si="12"/>
        <v/>
      </c>
      <c r="S24" s="845"/>
      <c r="T24" s="203" t="str">
        <f t="shared" si="13"/>
        <v/>
      </c>
      <c r="V24" s="847" t="str">
        <f>IFERROR(IF(INDEX('Produtos Selecionados'!$G:$G,MATCH($E24,'Produtos Selecionados'!$E:$E,0))="MFO", "Evitar - ROA baixo", "OK"),"OK")</f>
        <v>OK</v>
      </c>
      <c r="W24" s="845" t="s">
        <v>64</v>
      </c>
      <c r="X24" s="848"/>
      <c r="Y24" s="849">
        <v>1.4999999999999999E-2</v>
      </c>
    </row>
    <row r="25" spans="2:25" s="846" customFormat="1" ht="15">
      <c r="B25" s="357"/>
      <c r="C25" s="357"/>
      <c r="D25" s="357"/>
      <c r="E25" s="842" t="s">
        <v>2727</v>
      </c>
      <c r="F25" s="843" t="str">
        <f>IFERROR(INDEX('Produtos Selecionados'!$G:$G,MATCH($E25,'Produtos Selecionados'!$E:$E,0)),"-")</f>
        <v>-</v>
      </c>
      <c r="G25" s="843" t="str">
        <f>IFERROR(INDEX('Produtos Selecionados'!$H:$H,MATCH($E25,'Produtos Selecionados'!$E:$E,0)),"-")</f>
        <v>Sim</v>
      </c>
      <c r="H25" s="843">
        <f>IFERROR(INDEX('Produtos Selecionados'!$O:$O,MATCH($E25,'Produtos Selecionados'!$E:$E,0)),"-")</f>
        <v>1.3998000000000001E-3</v>
      </c>
      <c r="I25" s="844" t="str">
        <f>IFERROR(INDEX('Produtos Selecionados'!$L:$L,MATCH($E25,'Produtos Selecionados'!$E:$E,0)),"-")</f>
        <v>BRL</v>
      </c>
      <c r="J25" s="844">
        <f>IFERROR(INDEX('Produtos Selecionados'!$M:$M,MATCH($E25,'Produtos Selecionados'!$E:$E,0)),"-")</f>
        <v>46</v>
      </c>
      <c r="K25" s="845">
        <f t="shared" ca="1" si="14"/>
        <v>3.0303030303030307E-2</v>
      </c>
      <c r="L25" s="203">
        <f ca="1">IF(K25="","", K25*K$11)</f>
        <v>2.5000000000000001E-2</v>
      </c>
      <c r="M25" s="845">
        <f t="shared" ca="1" si="15"/>
        <v>3.7313432835820892E-2</v>
      </c>
      <c r="N25" s="203">
        <f ca="1">IF(M25="","", M25*M$11)</f>
        <v>2.4999999999999998E-2</v>
      </c>
      <c r="O25" s="845"/>
      <c r="P25" s="203" t="str">
        <f>IF(O25="","", O25*O$11)</f>
        <v/>
      </c>
      <c r="Q25" s="845"/>
      <c r="R25" s="203" t="str">
        <f>IF(Q25="","", Q25*Q$11)</f>
        <v/>
      </c>
      <c r="S25" s="845"/>
      <c r="T25" s="203" t="str">
        <f>IF(S25="","", S25*S$11)</f>
        <v/>
      </c>
      <c r="V25" s="847" t="str">
        <f>IFERROR(IF(INDEX('Produtos Selecionados'!$G:$G,MATCH($E25,'Produtos Selecionados'!$E:$E,0))="MFO", "Evitar - ROA baixo", "OK"),"OK")</f>
        <v>OK</v>
      </c>
      <c r="W25" s="845" t="s">
        <v>64</v>
      </c>
      <c r="X25" s="848"/>
      <c r="Y25" s="849">
        <v>1.4999999999999999E-2</v>
      </c>
    </row>
    <row r="26" spans="2:25" s="846" customFormat="1" ht="15">
      <c r="B26" s="357"/>
      <c r="C26" s="357"/>
      <c r="D26" s="357"/>
      <c r="E26" s="842" t="s">
        <v>2726</v>
      </c>
      <c r="F26" s="843" t="str">
        <f>IFERROR(INDEX('Produtos Selecionados'!$G:$G,MATCH($E26,'Produtos Selecionados'!$E:$E,0)),"-")</f>
        <v>-</v>
      </c>
      <c r="G26" s="843" t="str">
        <f>IFERROR(INDEX('Produtos Selecionados'!$H:$H,MATCH($E26,'Produtos Selecionados'!$E:$E,0)),"-")</f>
        <v>Sim</v>
      </c>
      <c r="H26" s="843">
        <f>IFERROR(INDEX('Produtos Selecionados'!$O:$O,MATCH($E26,'Produtos Selecionados'!$E:$E,0)),"-")</f>
        <v>3.3333333333333301E-3</v>
      </c>
      <c r="I26" s="844" t="str">
        <f>IFERROR(INDEX('Produtos Selecionados'!$L:$L,MATCH($E26,'Produtos Selecionados'!$E:$E,0)),"-")</f>
        <v>BRL</v>
      </c>
      <c r="J26" s="844">
        <f>IFERROR(INDEX('Produtos Selecionados'!$M:$M,MATCH($E26,'Produtos Selecionados'!$E:$E,0)),"-")</f>
        <v>32</v>
      </c>
      <c r="K26" s="845"/>
      <c r="L26" s="203" t="str">
        <f>IF(K26="","", K26*K$11)</f>
        <v/>
      </c>
      <c r="M26" s="845"/>
      <c r="N26" s="203" t="str">
        <f>IF(M26="","", M26*M$11)</f>
        <v/>
      </c>
      <c r="O26" s="845"/>
      <c r="P26" s="203" t="str">
        <f>IF(O26="","", O26*O$11)</f>
        <v/>
      </c>
      <c r="Q26" s="845"/>
      <c r="R26" s="203" t="str">
        <f>IF(Q26="","", Q26*Q$11)</f>
        <v/>
      </c>
      <c r="S26" s="845"/>
      <c r="T26" s="203" t="str">
        <f>IF(S26="","", S26*S$11)</f>
        <v/>
      </c>
      <c r="V26" s="847" t="str">
        <f>IFERROR(IF(INDEX('Produtos Selecionados'!$G:$G,MATCH($E26,'Produtos Selecionados'!$E:$E,0))="MFO", "Evitar - ROA baixo", "OK"),"OK")</f>
        <v>OK</v>
      </c>
      <c r="W26" s="845" t="s">
        <v>64</v>
      </c>
      <c r="X26" s="848"/>
      <c r="Y26" s="849">
        <v>1.4999999999999999E-2</v>
      </c>
    </row>
    <row r="27" spans="2:25" s="846" customFormat="1" ht="15">
      <c r="B27" s="357"/>
      <c r="C27" s="357"/>
      <c r="D27" s="357"/>
      <c r="E27" s="842" t="s">
        <v>2723</v>
      </c>
      <c r="F27" s="843" t="str">
        <f>IFERROR(INDEX('Produtos Selecionados'!$G:$G,MATCH($E27,'Produtos Selecionados'!$E:$E,0)),"-")</f>
        <v>-</v>
      </c>
      <c r="G27" s="843" t="str">
        <f>IFERROR(INDEX('Produtos Selecionados'!$H:$H,MATCH($E27,'Produtos Selecionados'!$E:$E,0)),"-")</f>
        <v>Sim</v>
      </c>
      <c r="H27" s="843">
        <f>IFERROR(INDEX('Produtos Selecionados'!$O:$O,MATCH($E27,'Produtos Selecionados'!$E:$E,0)),"-")</f>
        <v>3.0000000000000001E-3</v>
      </c>
      <c r="I27" s="844" t="str">
        <f>IFERROR(INDEX('Produtos Selecionados'!$L:$L,MATCH($E27,'Produtos Selecionados'!$E:$E,0)),"-")</f>
        <v>BRL</v>
      </c>
      <c r="J27" s="844">
        <f>IFERROR(INDEX('Produtos Selecionados'!$M:$M,MATCH($E27,'Produtos Selecionados'!$E:$E,0)),"-")</f>
        <v>61</v>
      </c>
      <c r="K27" s="845">
        <f ca="1">3.5%/K$11</f>
        <v>4.2424242424242434E-2</v>
      </c>
      <c r="L27" s="203">
        <f ca="1">IF(K27="","", K27*K$11)</f>
        <v>3.5000000000000003E-2</v>
      </c>
      <c r="M27" s="845">
        <f ca="1">3.5%/M$11</f>
        <v>5.2238805970149259E-2</v>
      </c>
      <c r="N27" s="203">
        <f ca="1">IF(M27="","", M27*M$11)</f>
        <v>3.5000000000000003E-2</v>
      </c>
      <c r="O27" s="845">
        <f ca="1">3.5%/O$11</f>
        <v>6.194690265486727E-2</v>
      </c>
      <c r="P27" s="203">
        <f ca="1">IF(O27="","", O27*O$11)</f>
        <v>3.5000000000000003E-2</v>
      </c>
      <c r="Q27" s="845"/>
      <c r="R27" s="203" t="str">
        <f>IF(Q27="","", Q27*Q$11)</f>
        <v/>
      </c>
      <c r="S27" s="845"/>
      <c r="T27" s="203" t="str">
        <f>IF(S27="","", S27*S$11)</f>
        <v/>
      </c>
      <c r="V27" s="847" t="str">
        <f>IFERROR(IF(INDEX('Produtos Selecionados'!$G:$G,MATCH($E27,'Produtos Selecionados'!$E:$E,0))="MFO", "Evitar - ROA baixo", "OK"),"OK")</f>
        <v>OK</v>
      </c>
      <c r="W27" s="845" t="s">
        <v>64</v>
      </c>
      <c r="X27" s="848"/>
      <c r="Y27" s="849">
        <v>1.4999999999999999E-2</v>
      </c>
    </row>
    <row r="28" spans="2:25" s="846" customFormat="1" ht="15">
      <c r="B28" s="357"/>
      <c r="C28" s="357"/>
      <c r="D28" s="357"/>
      <c r="E28" s="842" t="s">
        <v>2716</v>
      </c>
      <c r="F28" s="843" t="str">
        <f>IFERROR(INDEX('Produtos Selecionados'!$G:$G,MATCH($E28,'Produtos Selecionados'!$E:$E,0)),"-")</f>
        <v>-</v>
      </c>
      <c r="G28" s="843" t="str">
        <f>IFERROR(INDEX('Produtos Selecionados'!$H:$H,MATCH($E28,'Produtos Selecionados'!$E:$E,0)),"-")</f>
        <v>Sim</v>
      </c>
      <c r="H28" s="843">
        <f>IFERROR(INDEX('Produtos Selecionados'!$O:$O,MATCH($E28,'Produtos Selecionados'!$E:$E,0)),"-")</f>
        <v>3.2333333333333298E-3</v>
      </c>
      <c r="I28" s="844" t="str">
        <f>IFERROR(INDEX('Produtos Selecionados'!$L:$L,MATCH($E28,'Produtos Selecionados'!$E:$E,0)),"-")</f>
        <v>BRL</v>
      </c>
      <c r="J28" s="844">
        <f>IFERROR(INDEX('Produtos Selecionados'!$M:$M,MATCH($E28,'Produtos Selecionados'!$E:$E,0)),"-")</f>
        <v>91</v>
      </c>
      <c r="K28" s="845">
        <f ca="1">3%/K$11</f>
        <v>3.6363636363636362E-2</v>
      </c>
      <c r="L28" s="203">
        <f ca="1">IF(K28="","", K28*K$11)</f>
        <v>2.9999999999999995E-2</v>
      </c>
      <c r="M28" s="845">
        <f ca="1">3%/M$11</f>
        <v>4.4776119402985072E-2</v>
      </c>
      <c r="N28" s="203">
        <f ca="1">IF(M28="","", M28*M$11)</f>
        <v>0.03</v>
      </c>
      <c r="O28" s="845">
        <f ca="1">3%/O$11</f>
        <v>5.3097345132743369E-2</v>
      </c>
      <c r="P28" s="203">
        <f ca="1">IF(O28="","", O28*O$11)</f>
        <v>3.0000000000000002E-2</v>
      </c>
      <c r="Q28" s="845">
        <f ca="1">2.5%/Q$11</f>
        <v>9.4339622641509441E-2</v>
      </c>
      <c r="R28" s="203">
        <f ca="1">IF(Q28="","", Q28*Q$11)</f>
        <v>2.5000000000000001E-2</v>
      </c>
      <c r="S28" s="845"/>
      <c r="T28" s="203" t="str">
        <f>IF(S28="","", S28*S$11)</f>
        <v/>
      </c>
      <c r="V28" s="847" t="str">
        <f>IFERROR(IF(INDEX('Produtos Selecionados'!$G:$G,MATCH($E28,'Produtos Selecionados'!$E:$E,0))="MFO", "Evitar - ROA baixo", "OK"),"OK")</f>
        <v>OK</v>
      </c>
      <c r="W28" s="845" t="s">
        <v>64</v>
      </c>
      <c r="X28" s="848"/>
      <c r="Y28" s="849">
        <v>1.4999999999999999E-2</v>
      </c>
    </row>
    <row r="29" spans="2:25" s="846" customFormat="1" ht="15">
      <c r="B29" s="357"/>
      <c r="C29" s="357"/>
      <c r="D29" s="357"/>
      <c r="E29" s="842" t="s">
        <v>2072</v>
      </c>
      <c r="F29" s="843" t="str">
        <f>IFERROR(INDEX('Produtos Selecionados'!$G:$G,MATCH($E29,'Produtos Selecionados'!$E:$E,0)),"-")</f>
        <v>-</v>
      </c>
      <c r="G29" s="843" t="str">
        <f>IFERROR(INDEX('Produtos Selecionados'!$H:$H,MATCH($E29,'Produtos Selecionados'!$E:$E,0)),"-")</f>
        <v>Sim</v>
      </c>
      <c r="H29" s="843">
        <f>IFERROR(INDEX('Produtos Selecionados'!$O:$O,MATCH($E29,'Produtos Selecionados'!$E:$E,0)),"-")</f>
        <v>3.33333333333333E-4</v>
      </c>
      <c r="I29" s="844" t="str">
        <f>IFERROR(INDEX('Produtos Selecionados'!$L:$L,MATCH($E29,'Produtos Selecionados'!$E:$E,0)),"-")</f>
        <v>BRL</v>
      </c>
      <c r="J29" s="844">
        <f>IFERROR(INDEX('Produtos Selecionados'!$M:$M,MATCH($E29,'Produtos Selecionados'!$E:$E,0)),"-")</f>
        <v>91</v>
      </c>
      <c r="K29" s="845">
        <f ca="1">3.5%/K$11</f>
        <v>4.2424242424242434E-2</v>
      </c>
      <c r="L29" s="203">
        <f ca="1">IF(K29="","", K29*K$11)</f>
        <v>3.5000000000000003E-2</v>
      </c>
      <c r="M29" s="845">
        <f ca="1">3.5%/M$11</f>
        <v>5.2238805970149259E-2</v>
      </c>
      <c r="N29" s="203">
        <f ca="1">IF(M29="","", M29*M$11)</f>
        <v>3.5000000000000003E-2</v>
      </c>
      <c r="O29" s="845">
        <f ca="1">3.5%/O$11</f>
        <v>6.194690265486727E-2</v>
      </c>
      <c r="P29" s="203">
        <f ca="1">IF(O29="","", O29*O$11)</f>
        <v>3.5000000000000003E-2</v>
      </c>
      <c r="Q29" s="845">
        <f ca="1">2.5%/Q$11</f>
        <v>9.4339622641509441E-2</v>
      </c>
      <c r="R29" s="203">
        <f ca="1">IF(Q29="","", Q29*Q$11)</f>
        <v>2.5000000000000001E-2</v>
      </c>
      <c r="S29" s="845">
        <f>2.25/8</f>
        <v>0.28125</v>
      </c>
      <c r="T29" s="203">
        <f ca="1">IF(S29="","", S29*S$11)</f>
        <v>3.7968750000000002E-2</v>
      </c>
      <c r="V29" s="847" t="str">
        <f>IFERROR(IF(INDEX('Produtos Selecionados'!$G:$G,MATCH($E29,'Produtos Selecionados'!$E:$E,0))="MFO", "Evitar - ROA baixo", "OK"),"OK")</f>
        <v>OK</v>
      </c>
      <c r="W29" s="845" t="s">
        <v>64</v>
      </c>
      <c r="X29" s="848"/>
      <c r="Y29" s="849">
        <v>1.4999999999999999E-2</v>
      </c>
    </row>
    <row r="30" spans="2:25" s="846" customFormat="1" ht="15">
      <c r="B30" s="357"/>
      <c r="C30" s="357"/>
      <c r="D30" s="357"/>
      <c r="E30" s="842" t="s">
        <v>2729</v>
      </c>
      <c r="F30" s="843" t="str">
        <f>IFERROR(INDEX('Produtos Selecionados'!$G:$G,MATCH($E30,'Produtos Selecionados'!$E:$E,0)),"-")</f>
        <v>-</v>
      </c>
      <c r="G30" s="843" t="str">
        <f>IFERROR(INDEX('Produtos Selecionados'!$H:$H,MATCH($E30,'Produtos Selecionados'!$E:$E,0)),"-")</f>
        <v>Sim</v>
      </c>
      <c r="H30" s="843">
        <f>IFERROR(INDEX('Produtos Selecionados'!$O:$O,MATCH($E30,'Produtos Selecionados'!$E:$E,0)),"-")</f>
        <v>1.83333333333333E-3</v>
      </c>
      <c r="I30" s="844" t="str">
        <f>IFERROR(INDEX('Produtos Selecionados'!$L:$L,MATCH($E30,'Produtos Selecionados'!$E:$E,0)),"-")</f>
        <v>BRL</v>
      </c>
      <c r="J30" s="844">
        <f>IFERROR(INDEX('Produtos Selecionados'!$M:$M,MATCH($E30,'Produtos Selecionados'!$E:$E,0)),"-")</f>
        <v>179</v>
      </c>
      <c r="K30" s="845">
        <f ca="1">3%/K$11</f>
        <v>3.6363636363636362E-2</v>
      </c>
      <c r="L30" s="203">
        <f t="shared" ca="1" si="9"/>
        <v>2.9999999999999995E-2</v>
      </c>
      <c r="M30" s="845">
        <f ca="1">2.5%/M$11</f>
        <v>3.7313432835820892E-2</v>
      </c>
      <c r="N30" s="203">
        <f t="shared" ca="1" si="10"/>
        <v>2.4999999999999998E-2</v>
      </c>
      <c r="O30" s="845"/>
      <c r="P30" s="203" t="str">
        <f t="shared" si="11"/>
        <v/>
      </c>
      <c r="Q30" s="845"/>
      <c r="R30" s="203" t="str">
        <f t="shared" si="12"/>
        <v/>
      </c>
      <c r="S30" s="845"/>
      <c r="T30" s="203" t="str">
        <f t="shared" si="13"/>
        <v/>
      </c>
      <c r="V30" s="847" t="str">
        <f>IFERROR(IF(INDEX('Produtos Selecionados'!$G:$G,MATCH($E30,'Produtos Selecionados'!$E:$E,0))="MFO", "Evitar - ROA baixo", "OK"),"OK")</f>
        <v>OK</v>
      </c>
      <c r="W30" s="845" t="s">
        <v>64</v>
      </c>
      <c r="X30" s="848"/>
      <c r="Y30" s="849">
        <v>1.4999999999999999E-2</v>
      </c>
    </row>
    <row r="31" spans="2:25" s="846" customFormat="1" ht="15">
      <c r="B31" s="357"/>
      <c r="C31" s="357"/>
      <c r="D31" s="357"/>
      <c r="E31" s="842" t="s">
        <v>4650</v>
      </c>
      <c r="F31" s="843" t="str">
        <f>IFERROR(INDEX('Produtos Selecionados'!$G:$G,MATCH($E31,'Produtos Selecionados'!$E:$E,0)),"-")</f>
        <v>-</v>
      </c>
      <c r="G31" s="843" t="str">
        <f>IFERROR(INDEX('Produtos Selecionados'!$H:$H,MATCH($E31,'Produtos Selecionados'!$E:$E,0)),"-")</f>
        <v>Sim</v>
      </c>
      <c r="H31" s="843">
        <f>IFERROR(INDEX('Produtos Selecionados'!$O:$O,MATCH($E31,'Produtos Selecionados'!$E:$E,0)),"-")</f>
        <v>4.0000000000000001E-3</v>
      </c>
      <c r="I31" s="844" t="str">
        <f>IFERROR(INDEX('Produtos Selecionados'!$L:$L,MATCH($E31,'Produtos Selecionados'!$E:$E,0)),"-")</f>
        <v>BRL</v>
      </c>
      <c r="J31" s="844">
        <f>IFERROR(INDEX('Produtos Selecionados'!$M:$M,MATCH($E31,'Produtos Selecionados'!$E:$E,0)),"-")</f>
        <v>181</v>
      </c>
      <c r="K31" s="845"/>
      <c r="L31" s="203" t="str">
        <f>IF(K31="","", K31*K$11)</f>
        <v/>
      </c>
      <c r="M31" s="845"/>
      <c r="N31" s="203" t="str">
        <f>IF(M31="","", M31*M$11)</f>
        <v/>
      </c>
      <c r="O31" s="845"/>
      <c r="P31" s="203" t="str">
        <f>IF(O31="","", O31*O$11)</f>
        <v/>
      </c>
      <c r="Q31" s="845">
        <f ca="1">2.5%/Q$11</f>
        <v>9.4339622641509441E-2</v>
      </c>
      <c r="R31" s="203">
        <f ca="1">IF(Q31="","", Q31*Q$11)</f>
        <v>2.5000000000000001E-2</v>
      </c>
      <c r="S31" s="845"/>
      <c r="T31" s="203" t="str">
        <f t="shared" ref="T31" si="17">IF(S31="","", S31*S$11)</f>
        <v/>
      </c>
      <c r="V31" s="847" t="str">
        <f>IFERROR(IF(INDEX('Produtos Selecionados'!$G:$G,MATCH($E31,'Produtos Selecionados'!$E:$E,0))="MFO", "Evitar - ROA baixo", "OK"),"OK")</f>
        <v>OK</v>
      </c>
      <c r="W31" s="845" t="s">
        <v>64</v>
      </c>
      <c r="X31" s="848"/>
      <c r="Y31" s="849">
        <v>2.5000000000000001E-2</v>
      </c>
    </row>
    <row r="32" spans="2:25" s="846" customFormat="1" ht="15">
      <c r="B32" s="357"/>
      <c r="C32" s="357"/>
      <c r="D32" s="357"/>
      <c r="E32" s="842" t="s">
        <v>2082</v>
      </c>
      <c r="F32" s="843" t="str">
        <f>IFERROR(INDEX('Produtos Selecionados'!$G:$G,MATCH($E32,'Produtos Selecionados'!$E:$E,0)),"-")</f>
        <v>-</v>
      </c>
      <c r="G32" s="843" t="str">
        <f>IFERROR(INDEX('Produtos Selecionados'!$H:$H,MATCH($E32,'Produtos Selecionados'!$E:$E,0)),"-")</f>
        <v>Sim</v>
      </c>
      <c r="H32" s="843">
        <f>IFERROR(INDEX('Produtos Selecionados'!$O:$O,MATCH($E32,'Produtos Selecionados'!$E:$E,0)),"-")</f>
        <v>6.6666666666666697E-3</v>
      </c>
      <c r="I32" s="844" t="str">
        <f>IFERROR(INDEX('Produtos Selecionados'!$L:$L,MATCH($E32,'Produtos Selecionados'!$E:$E,0)),"-")</f>
        <v>BRL</v>
      </c>
      <c r="J32" s="844">
        <f>IFERROR(INDEX('Produtos Selecionados'!$M:$M,MATCH($E32,'Produtos Selecionados'!$E:$E,0)),"-")</f>
        <v>271</v>
      </c>
      <c r="K32" s="845">
        <f ca="1">3%/K$11</f>
        <v>3.6363636363636362E-2</v>
      </c>
      <c r="L32" s="203">
        <f t="shared" ref="L32" ca="1" si="18">IF(K32="","", K32*K$11)</f>
        <v>2.9999999999999995E-2</v>
      </c>
      <c r="M32" s="845">
        <f ca="1">3%/M$11</f>
        <v>4.4776119402985072E-2</v>
      </c>
      <c r="N32" s="203">
        <f t="shared" ref="N32" ca="1" si="19">IF(M32="","", M32*M$11)</f>
        <v>0.03</v>
      </c>
      <c r="O32" s="845">
        <f ca="1">2.5%/O$11</f>
        <v>4.4247787610619475E-2</v>
      </c>
      <c r="P32" s="203">
        <f t="shared" ref="P32" ca="1" si="20">IF(O32="","", O32*O$11)</f>
        <v>2.5000000000000001E-2</v>
      </c>
      <c r="Q32" s="845"/>
      <c r="R32" s="203" t="str">
        <f t="shared" ref="R32" si="21">IF(Q32="","", Q32*Q$11)</f>
        <v/>
      </c>
      <c r="S32" s="845"/>
      <c r="T32" s="203" t="str">
        <f t="shared" si="13"/>
        <v/>
      </c>
      <c r="V32" s="847" t="str">
        <f>IFERROR(IF(INDEX('Produtos Selecionados'!$G:$G,MATCH($E32,'Produtos Selecionados'!$E:$E,0))="MFO", "Evitar - ROA baixo", "OK"),"OK")</f>
        <v>OK</v>
      </c>
      <c r="W32" s="845" t="s">
        <v>64</v>
      </c>
      <c r="X32" s="848"/>
      <c r="Y32" s="849">
        <v>2.5000000000000001E-2</v>
      </c>
    </row>
    <row r="33" spans="2:25" s="347" customFormat="1" ht="8.25" customHeight="1">
      <c r="B33" s="343"/>
      <c r="C33" s="343"/>
      <c r="D33" s="343"/>
      <c r="E33" s="850"/>
      <c r="F33" s="436"/>
      <c r="G33" s="436"/>
      <c r="H33" s="436"/>
      <c r="I33" s="436"/>
      <c r="J33" s="436"/>
      <c r="K33" s="851"/>
      <c r="L33" s="852" t="str">
        <f t="shared" si="9"/>
        <v/>
      </c>
      <c r="M33" s="845"/>
      <c r="N33" s="852" t="str">
        <f t="shared" si="10"/>
        <v/>
      </c>
      <c r="O33" s="851"/>
      <c r="P33" s="852" t="str">
        <f t="shared" si="11"/>
        <v/>
      </c>
      <c r="Q33" s="851"/>
      <c r="R33" s="852" t="str">
        <f t="shared" si="12"/>
        <v/>
      </c>
      <c r="S33" s="851"/>
      <c r="T33" s="852" t="str">
        <f t="shared" si="13"/>
        <v/>
      </c>
      <c r="U33" s="846"/>
      <c r="V33" s="853"/>
      <c r="W33" s="845"/>
      <c r="X33" s="835"/>
      <c r="Y33" s="836"/>
    </row>
    <row r="34" spans="2:25" s="347" customFormat="1" ht="15">
      <c r="B34" s="343"/>
      <c r="C34" s="343" t="s">
        <v>1394</v>
      </c>
      <c r="D34" s="343" t="s">
        <v>12</v>
      </c>
      <c r="E34" s="441" t="s">
        <v>621</v>
      </c>
      <c r="F34" s="442"/>
      <c r="G34" s="442"/>
      <c r="H34" s="442"/>
      <c r="I34" s="442"/>
      <c r="J34" s="442"/>
      <c r="K34" s="354">
        <f ca="1">OFFSET('Asset Allocation Tatico'!$B$9, MATCH($E34,OFFSET('Asset Allocation Tatico'!$B$9,,,COUNTA('Asset Allocation Tatico'!$B:$B)-COUNTA('Asset Allocation Tatico'!$B$1:$B$9)),0)-1, MATCH(K$5,'Asset Allocation Tatico'!$D$5:$M$5,0)+2)</f>
        <v>0.16</v>
      </c>
      <c r="L34" s="837">
        <f ca="1">L36+L42+L49</f>
        <v>0.16</v>
      </c>
      <c r="M34" s="354">
        <f ca="1">OFFSET('Asset Allocation Tatico'!$B$9, MATCH($E34,OFFSET('Asset Allocation Tatico'!$B$9,,,COUNTA('Asset Allocation Tatico'!$B:$B)-COUNTA('Asset Allocation Tatico'!$B$1:$B$9)),0)-1, MATCH(M$5,'Asset Allocation Tatico'!$D$5:$M$5,0)+2)</f>
        <v>0.16</v>
      </c>
      <c r="N34" s="837">
        <f ca="1">N36+N42+N49</f>
        <v>0.16</v>
      </c>
      <c r="O34" s="354">
        <f ca="1">OFFSET('Asset Allocation Tatico'!$B$9, MATCH($E34,OFFSET('Asset Allocation Tatico'!$B$9,,,COUNTA('Asset Allocation Tatico'!$B:$B)-COUNTA('Asset Allocation Tatico'!$B$1:$B$9)),0)-1, MATCH(O$5,'Asset Allocation Tatico'!$D$5:$M$5,0)+2)</f>
        <v>0.11</v>
      </c>
      <c r="P34" s="837">
        <f ca="1">P36+P42+P49</f>
        <v>0.11000000000000001</v>
      </c>
      <c r="Q34" s="354">
        <f ca="1">OFFSET('Asset Allocation Tatico'!$B$9, MATCH($E34,OFFSET('Asset Allocation Tatico'!$B$9,,,COUNTA('Asset Allocation Tatico'!$B:$B)-COUNTA('Asset Allocation Tatico'!$B$1:$B$9)),0)-1, MATCH(Q$5,'Asset Allocation Tatico'!$D$5:$M$5,0)+2)</f>
        <v>0.21</v>
      </c>
      <c r="R34" s="837">
        <f ca="1">R36+R42+R49</f>
        <v>0.21000000000000002</v>
      </c>
      <c r="S34" s="354">
        <f ca="1">OFFSET('Asset Allocation Tatico'!$B$9, MATCH($E34,OFFSET('Asset Allocation Tatico'!$B$9,,,COUNTA('Asset Allocation Tatico'!$B:$B)-COUNTA('Asset Allocation Tatico'!$B$1:$B$9)),0)-1, MATCH(S$5,'Asset Allocation Tatico'!$D$5:$M$5,0)+2)</f>
        <v>0.16</v>
      </c>
      <c r="T34" s="748">
        <f ca="1">T36+T42+T49</f>
        <v>0.16</v>
      </c>
      <c r="U34" s="846"/>
      <c r="V34" s="838"/>
      <c r="W34" s="839"/>
      <c r="X34" s="840"/>
      <c r="Y34" s="841"/>
    </row>
    <row r="35" spans="2:25" s="347" customFormat="1" ht="3" customHeight="1">
      <c r="B35" s="343"/>
      <c r="C35" s="343"/>
      <c r="D35" s="343"/>
      <c r="F35" s="436"/>
      <c r="G35" s="436"/>
      <c r="H35" s="436"/>
      <c r="I35" s="436"/>
      <c r="J35" s="436"/>
      <c r="K35" s="854"/>
      <c r="L35" s="855"/>
      <c r="M35" s="854"/>
      <c r="N35" s="855"/>
      <c r="O35" s="854"/>
      <c r="P35" s="855"/>
      <c r="Q35" s="854"/>
      <c r="R35" s="855"/>
      <c r="S35" s="854"/>
      <c r="T35" s="855"/>
      <c r="U35" s="846"/>
      <c r="V35" s="855"/>
      <c r="W35" s="856"/>
      <c r="X35" s="835"/>
      <c r="Y35" s="836"/>
    </row>
    <row r="36" spans="2:25" s="347" customFormat="1" ht="15">
      <c r="B36" s="343"/>
      <c r="C36" s="343"/>
      <c r="D36" s="343" t="s">
        <v>12</v>
      </c>
      <c r="E36" s="458" t="s">
        <v>2747</v>
      </c>
      <c r="F36" s="459"/>
      <c r="G36" s="459"/>
      <c r="H36" s="459"/>
      <c r="I36" s="459"/>
      <c r="J36" s="459"/>
      <c r="K36" s="377">
        <f ca="1">OFFSET('Asset Allocation Tatico'!$B$9, MATCH($E36,OFFSET('Asset Allocation Tatico'!$B$9,,,COUNTA('Asset Allocation Tatico'!$B:$B)-COUNTA('Asset Allocation Tatico'!$B$1:$B$9)),0)-1, MATCH(K$5,'Asset Allocation Tatico'!$D$5:$M$5,0)+2)</f>
        <v>0</v>
      </c>
      <c r="L36" s="857">
        <f>SUM(L37:L41)</f>
        <v>0</v>
      </c>
      <c r="M36" s="377">
        <f ca="1">OFFSET('Asset Allocation Tatico'!$B$9, MATCH($E36,OFFSET('Asset Allocation Tatico'!$B$9,,,COUNTA('Asset Allocation Tatico'!$B:$B)-COUNTA('Asset Allocation Tatico'!$B$1:$B$9)),0)-1, MATCH(M$5,'Asset Allocation Tatico'!$D$5:$M$5,0)+2)</f>
        <v>0</v>
      </c>
      <c r="N36" s="857">
        <f>SUM(N37:N41)</f>
        <v>0</v>
      </c>
      <c r="O36" s="377">
        <f ca="1">OFFSET('Asset Allocation Tatico'!$B$9, MATCH($E36,OFFSET('Asset Allocation Tatico'!$B$9,,,COUNTA('Asset Allocation Tatico'!$B:$B)-COUNTA('Asset Allocation Tatico'!$B$1:$B$9)),0)-1, MATCH(O$5,'Asset Allocation Tatico'!$D$5:$M$5,0)+2)</f>
        <v>0</v>
      </c>
      <c r="P36" s="857">
        <f>SUM(P37:P41)</f>
        <v>0</v>
      </c>
      <c r="Q36" s="377">
        <f ca="1">OFFSET('Asset Allocation Tatico'!$B$9, MATCH($E36,OFFSET('Asset Allocation Tatico'!$B$9,,,COUNTA('Asset Allocation Tatico'!$B:$B)-COUNTA('Asset Allocation Tatico'!$B$1:$B$9)),0)-1, MATCH(Q$5,'Asset Allocation Tatico'!$D$5:$M$5,0)+2)</f>
        <v>0</v>
      </c>
      <c r="R36" s="857">
        <f>SUM(R37:R41)</f>
        <v>0</v>
      </c>
      <c r="S36" s="377">
        <f ca="1">OFFSET('Asset Allocation Tatico'!$B$9, MATCH($E36,OFFSET('Asset Allocation Tatico'!$B$9,,,COUNTA('Asset Allocation Tatico'!$B:$B)-COUNTA('Asset Allocation Tatico'!$B$1:$B$9)),0)-1, MATCH(S$5,'Asset Allocation Tatico'!$D$5:$M$5,0)+2)</f>
        <v>0</v>
      </c>
      <c r="T36" s="857">
        <f>SUM(T37:T41)</f>
        <v>0</v>
      </c>
      <c r="U36" s="846"/>
      <c r="V36" s="858"/>
      <c r="W36" s="385"/>
      <c r="X36" s="859"/>
      <c r="Y36" s="860"/>
    </row>
    <row r="37" spans="2:25" s="846" customFormat="1" ht="15">
      <c r="B37" s="357"/>
      <c r="C37" s="357"/>
      <c r="D37" s="357"/>
      <c r="E37" s="842" t="str">
        <f>'RF &amp; RV Guide'!E27</f>
        <v>NTN-B 2024 (IPCA+6.00%)</v>
      </c>
      <c r="F37" s="843" t="str">
        <f>IFERROR(INDEX('Produtos Selecionados'!$G:$G,MATCH($E37,'Produtos Selecionados'!$E:$E,0)),"-")</f>
        <v>-</v>
      </c>
      <c r="G37" s="843" t="str">
        <f>IFERROR(INDEX('Produtos Selecionados'!$H:$H,MATCH($E37,'Produtos Selecionados'!$E:$E,0)),"-")</f>
        <v>-</v>
      </c>
      <c r="H37" s="843" t="str">
        <f>IFERROR(INDEX('Produtos Selecionados'!$O:$O,MATCH($E37,'Produtos Selecionados'!$E:$E,0)),"-")</f>
        <v>-</v>
      </c>
      <c r="I37" s="844" t="str">
        <f>IFERROR(INDEX('Produtos Selecionados'!$L:$L,MATCH($E37,'Produtos Selecionados'!$E:$E,0)),"-")</f>
        <v>-</v>
      </c>
      <c r="J37" s="844" t="str">
        <f>IFERROR(INDEX('Produtos Selecionados'!$M:$M,MATCH($E37,'Produtos Selecionados'!$E:$E,0)),"-")</f>
        <v>-</v>
      </c>
      <c r="K37" s="845"/>
      <c r="L37" s="203" t="str">
        <f t="shared" ref="L37:N40" si="22">IF(K37="","", K37*K$36)</f>
        <v/>
      </c>
      <c r="M37" s="845"/>
      <c r="N37" s="203" t="str">
        <f t="shared" si="22"/>
        <v/>
      </c>
      <c r="O37" s="845"/>
      <c r="P37" s="203" t="str">
        <f>IF(O37="","", O37*O$36)</f>
        <v/>
      </c>
      <c r="Q37" s="845"/>
      <c r="R37" s="203" t="str">
        <f>IF(Q37="","", Q37*Q$36)</f>
        <v/>
      </c>
      <c r="S37" s="845"/>
      <c r="T37" s="203" t="str">
        <f>IF(S37="","", S37*S$36)</f>
        <v/>
      </c>
      <c r="V37" s="847" t="str">
        <f>IFERROR(IF(INDEX('Produtos Selecionados'!$G:$G,MATCH($E37,'Produtos Selecionados'!$E:$E,0))="MFO", "Evitar - ROA baixo", "OK"),"OK")</f>
        <v>OK</v>
      </c>
      <c r="W37" s="845"/>
      <c r="X37" s="848"/>
      <c r="Y37" s="849"/>
    </row>
    <row r="38" spans="2:25" s="846" customFormat="1" ht="15">
      <c r="B38" s="357"/>
      <c r="C38" s="357"/>
      <c r="D38" s="357"/>
      <c r="E38" s="842" t="str">
        <f>'RF &amp; RV Guide'!E33</f>
        <v>Títulos Bancários - 3 anos (IPCA+6.85%)</v>
      </c>
      <c r="F38" s="843" t="str">
        <f>IFERROR(INDEX('Produtos Selecionados'!$G:$G,MATCH($E38,'Produtos Selecionados'!$E:$E,0)),"-")</f>
        <v>-</v>
      </c>
      <c r="G38" s="843" t="str">
        <f>IFERROR(INDEX('Produtos Selecionados'!$H:$H,MATCH($E38,'Produtos Selecionados'!$E:$E,0)),"-")</f>
        <v>-</v>
      </c>
      <c r="H38" s="843" t="str">
        <f>IFERROR(INDEX('Produtos Selecionados'!$O:$O,MATCH($E38,'Produtos Selecionados'!$E:$E,0)),"-")</f>
        <v>-</v>
      </c>
      <c r="I38" s="844" t="str">
        <f>IFERROR(INDEX('Produtos Selecionados'!$L:$L,MATCH($E38,'Produtos Selecionados'!$E:$E,0)),"-")</f>
        <v>-</v>
      </c>
      <c r="J38" s="844" t="str">
        <f>IFERROR(INDEX('Produtos Selecionados'!$M:$M,MATCH($E38,'Produtos Selecionados'!$E:$E,0)),"-")</f>
        <v>-</v>
      </c>
      <c r="K38" s="845"/>
      <c r="L38" s="203" t="str">
        <f t="shared" si="22"/>
        <v/>
      </c>
      <c r="M38" s="845"/>
      <c r="N38" s="203" t="str">
        <f t="shared" si="22"/>
        <v/>
      </c>
      <c r="O38" s="845"/>
      <c r="P38" s="203" t="str">
        <f>IF(O38="","", O38*O$36)</f>
        <v/>
      </c>
      <c r="Q38" s="845"/>
      <c r="R38" s="203" t="str">
        <f>IF(Q38="","", Q38*Q$36)</f>
        <v/>
      </c>
      <c r="S38" s="845"/>
      <c r="T38" s="203" t="str">
        <f>IF(S38="","", S38*S$36)</f>
        <v/>
      </c>
      <c r="V38" s="847" t="str">
        <f>IFERROR(IF(INDEX('Produtos Selecionados'!$G:$G,MATCH($E38,'Produtos Selecionados'!$E:$E,0))="MFO", "Evitar - ROA baixo", "OK"),"OK")</f>
        <v>OK</v>
      </c>
      <c r="W38" s="845"/>
      <c r="X38" s="848"/>
      <c r="Y38" s="849"/>
    </row>
    <row r="39" spans="2:25" s="846" customFormat="1" ht="15">
      <c r="B39" s="357"/>
      <c r="C39" s="357"/>
      <c r="D39" s="357"/>
      <c r="E39" s="842" t="s">
        <v>2083</v>
      </c>
      <c r="F39" s="843" t="str">
        <f>IFERROR(INDEX('Produtos Selecionados'!$G:$G,MATCH($E39,'Produtos Selecionados'!$E:$E,0)),"-")</f>
        <v>-</v>
      </c>
      <c r="G39" s="843" t="str">
        <f>IFERROR(INDEX('Produtos Selecionados'!$H:$H,MATCH($E39,'Produtos Selecionados'!$E:$E,0)),"-")</f>
        <v>Sim</v>
      </c>
      <c r="H39" s="843">
        <f>IFERROR(INDEX('Produtos Selecionados'!$O:$O,MATCH($E39,'Produtos Selecionados'!$E:$E,0)),"-")</f>
        <v>1.9599999999999999E-3</v>
      </c>
      <c r="I39" s="844" t="str">
        <f>IFERROR(INDEX('Produtos Selecionados'!$L:$L,MATCH($E39,'Produtos Selecionados'!$E:$E,0)),"-")</f>
        <v>BRL</v>
      </c>
      <c r="J39" s="844">
        <f>IFERROR(INDEX('Produtos Selecionados'!$M:$M,MATCH($E39,'Produtos Selecionados'!$E:$E,0)),"-")</f>
        <v>31</v>
      </c>
      <c r="K39" s="845"/>
      <c r="L39" s="203" t="str">
        <f t="shared" si="22"/>
        <v/>
      </c>
      <c r="M39" s="845"/>
      <c r="N39" s="203" t="str">
        <f t="shared" si="22"/>
        <v/>
      </c>
      <c r="O39" s="845"/>
      <c r="P39" s="203" t="str">
        <f>IF(O39="","", O39*O$36)</f>
        <v/>
      </c>
      <c r="Q39" s="845"/>
      <c r="R39" s="203" t="str">
        <f>IF(Q39="","", Q39*Q$36)</f>
        <v/>
      </c>
      <c r="S39" s="845"/>
      <c r="T39" s="203" t="str">
        <f>IF(S39="","", S39*S$36)</f>
        <v/>
      </c>
      <c r="V39" s="847" t="str">
        <f>IFERROR(IF(INDEX('Produtos Selecionados'!$G:$G,MATCH($E39,'Produtos Selecionados'!$E:$E,0))="MFO", "Evitar - ROA baixo", "OK"),"OK")</f>
        <v>OK</v>
      </c>
      <c r="W39" s="845"/>
      <c r="X39" s="848"/>
      <c r="Y39" s="849"/>
    </row>
    <row r="40" spans="2:25" s="846" customFormat="1" ht="15">
      <c r="B40" s="357"/>
      <c r="C40" s="357"/>
      <c r="D40" s="357"/>
      <c r="E40" s="842" t="s">
        <v>1716</v>
      </c>
      <c r="F40" s="843" t="str">
        <f>IFERROR(INDEX('Produtos Selecionados'!$G:$G,MATCH($E40,'Produtos Selecionados'!$E:$E,0)),"-")</f>
        <v>-</v>
      </c>
      <c r="G40" s="843" t="str">
        <f>IFERROR(INDEX('Produtos Selecionados'!$H:$H,MATCH($E40,'Produtos Selecionados'!$E:$E,0)),"-")</f>
        <v>Sim</v>
      </c>
      <c r="H40" s="843">
        <f>IFERROR(INDEX('Produtos Selecionados'!$O:$O,MATCH($E40,'Produtos Selecionados'!$E:$E,0)),"-")</f>
        <v>2.8800000000000002E-3</v>
      </c>
      <c r="I40" s="844" t="str">
        <f>IFERROR(INDEX('Produtos Selecionados'!$L:$L,MATCH($E40,'Produtos Selecionados'!$E:$E,0)),"-")</f>
        <v>BRL</v>
      </c>
      <c r="J40" s="844">
        <f>IFERROR(INDEX('Produtos Selecionados'!$M:$M,MATCH($E40,'Produtos Selecionados'!$E:$E,0)),"-")</f>
        <v>2</v>
      </c>
      <c r="K40" s="845"/>
      <c r="L40" s="203" t="str">
        <f t="shared" si="22"/>
        <v/>
      </c>
      <c r="M40" s="845"/>
      <c r="N40" s="203" t="str">
        <f t="shared" si="22"/>
        <v/>
      </c>
      <c r="O40" s="845"/>
      <c r="P40" s="203" t="str">
        <f>IF(O40="","", O40*O$36)</f>
        <v/>
      </c>
      <c r="Q40" s="845"/>
      <c r="R40" s="203" t="str">
        <f>IF(Q40="","", Q40*Q$36)</f>
        <v/>
      </c>
      <c r="S40" s="845"/>
      <c r="T40" s="203" t="str">
        <f>IF(S40="","", S40*S$36)</f>
        <v/>
      </c>
      <c r="V40" s="847" t="str">
        <f>IFERROR(IF(INDEX('Produtos Selecionados'!$G:$G,MATCH($E40,'Produtos Selecionados'!$E:$E,0))="MFO", "Evitar - ROA baixo", "OK"),"OK")</f>
        <v>OK</v>
      </c>
      <c r="W40" s="845"/>
      <c r="X40" s="848"/>
      <c r="Y40" s="849"/>
    </row>
    <row r="41" spans="2:25" s="347" customFormat="1" ht="8.25" customHeight="1">
      <c r="B41" s="343"/>
      <c r="C41" s="343"/>
      <c r="D41" s="343"/>
      <c r="E41" s="850"/>
      <c r="F41" s="436"/>
      <c r="G41" s="436"/>
      <c r="H41" s="436"/>
      <c r="I41" s="436"/>
      <c r="J41" s="436"/>
      <c r="K41" s="851"/>
      <c r="L41" s="852" t="str">
        <f>IF(K41="","", K41*K$11)</f>
        <v/>
      </c>
      <c r="M41" s="861"/>
      <c r="N41" s="852" t="str">
        <f>IF(M41="","", M41*M$11)</f>
        <v/>
      </c>
      <c r="O41" s="851"/>
      <c r="P41" s="852" t="str">
        <f>IF(O41="","", O41*O$11)</f>
        <v/>
      </c>
      <c r="Q41" s="851"/>
      <c r="R41" s="852" t="str">
        <f>IF(Q41="","", Q41*Q$11)</f>
        <v/>
      </c>
      <c r="S41" s="851"/>
      <c r="T41" s="852" t="str">
        <f>IF(S41="","", S41*S$11)</f>
        <v/>
      </c>
      <c r="U41" s="846"/>
      <c r="V41" s="853"/>
      <c r="W41" s="861"/>
      <c r="X41" s="835"/>
      <c r="Y41" s="836"/>
    </row>
    <row r="42" spans="2:25" s="347" customFormat="1" ht="15">
      <c r="B42" s="343"/>
      <c r="C42" s="343"/>
      <c r="D42" s="343" t="s">
        <v>12</v>
      </c>
      <c r="E42" s="458" t="s">
        <v>2748</v>
      </c>
      <c r="F42" s="459"/>
      <c r="G42" s="459"/>
      <c r="H42" s="459"/>
      <c r="I42" s="459"/>
      <c r="J42" s="459"/>
      <c r="K42" s="377">
        <f ca="1">OFFSET('Asset Allocation Tatico'!$B$9, MATCH($E42,OFFSET('Asset Allocation Tatico'!$B$9,,,COUNTA('Asset Allocation Tatico'!$B:$B)-COUNTA('Asset Allocation Tatico'!$B$1:$B$9)),0)-1, MATCH(K$5,'Asset Allocation Tatico'!$D$5:$M$5,0)+2)</f>
        <v>0.16</v>
      </c>
      <c r="L42" s="857">
        <f ca="1">SUM(L43:L48)</f>
        <v>0.16</v>
      </c>
      <c r="M42" s="377">
        <f ca="1">OFFSET('Asset Allocation Tatico'!$B$9, MATCH($E42,OFFSET('Asset Allocation Tatico'!$B$9,,,COUNTA('Asset Allocation Tatico'!$B:$B)-COUNTA('Asset Allocation Tatico'!$B$1:$B$9)),0)-1, MATCH(M$5,'Asset Allocation Tatico'!$D$5:$M$5,0)+2)</f>
        <v>0.16</v>
      </c>
      <c r="N42" s="857">
        <f ca="1">SUM(N43:N48)</f>
        <v>0.16</v>
      </c>
      <c r="O42" s="377">
        <f ca="1">OFFSET('Asset Allocation Tatico'!$B$9, MATCH($E42,OFFSET('Asset Allocation Tatico'!$B$9,,,COUNTA('Asset Allocation Tatico'!$B:$B)-COUNTA('Asset Allocation Tatico'!$B$1:$B$9)),0)-1, MATCH(O$5,'Asset Allocation Tatico'!$D$5:$M$5,0)+2)</f>
        <v>0.11</v>
      </c>
      <c r="P42" s="857">
        <f ca="1">SUM(P43:P48)</f>
        <v>0.11000000000000001</v>
      </c>
      <c r="Q42" s="377">
        <f ca="1">OFFSET('Asset Allocation Tatico'!$B$9, MATCH($E42,OFFSET('Asset Allocation Tatico'!$B$9,,,COUNTA('Asset Allocation Tatico'!$B:$B)-COUNTA('Asset Allocation Tatico'!$B$1:$B$9)),0)-1, MATCH(Q$5,'Asset Allocation Tatico'!$D$5:$M$5,0)+2)</f>
        <v>0.21</v>
      </c>
      <c r="R42" s="857">
        <f ca="1">SUM(R43:R48)</f>
        <v>0.21000000000000002</v>
      </c>
      <c r="S42" s="377">
        <f ca="1">OFFSET('Asset Allocation Tatico'!$B$9, MATCH($E42,OFFSET('Asset Allocation Tatico'!$B$9,,,COUNTA('Asset Allocation Tatico'!$B:$B)-COUNTA('Asset Allocation Tatico'!$B$1:$B$9)),0)-1, MATCH(S$5,'Asset Allocation Tatico'!$D$5:$M$5,0)+2)</f>
        <v>0.16</v>
      </c>
      <c r="T42" s="857">
        <f ca="1">SUM(T43:T48)</f>
        <v>0.16</v>
      </c>
      <c r="U42" s="846"/>
      <c r="V42" s="858"/>
      <c r="W42" s="385"/>
      <c r="X42" s="859"/>
      <c r="Y42" s="860"/>
    </row>
    <row r="43" spans="2:25" s="846" customFormat="1" ht="15">
      <c r="B43" s="357"/>
      <c r="C43" s="357"/>
      <c r="D43" s="357"/>
      <c r="E43" s="842" t="s">
        <v>2086</v>
      </c>
      <c r="F43" s="843" t="str">
        <f>IFERROR(INDEX('Produtos Selecionados'!$G:$G,MATCH($E43,'Produtos Selecionados'!$E:$E,0)),"-")</f>
        <v>-</v>
      </c>
      <c r="G43" s="843" t="str">
        <f>IFERROR(INDEX('Produtos Selecionados'!$H:$H,MATCH($E43,'Produtos Selecionados'!$E:$E,0)),"-")</f>
        <v>Sim</v>
      </c>
      <c r="H43" s="843">
        <f>IFERROR(INDEX('Produtos Selecionados'!$O:$O,MATCH($E43,'Produtos Selecionados'!$E:$E,0)),"-")</f>
        <v>2.8E-3</v>
      </c>
      <c r="I43" s="844" t="str">
        <f>IFERROR(INDEX('Produtos Selecionados'!$L:$L,MATCH($E43,'Produtos Selecionados'!$E:$E,0)),"-")</f>
        <v>BRL</v>
      </c>
      <c r="J43" s="844">
        <f>IFERROR(INDEX('Produtos Selecionados'!$M:$M,MATCH($E43,'Produtos Selecionados'!$E:$E,0)),"-")</f>
        <v>31</v>
      </c>
      <c r="K43" s="845">
        <v>0.2</v>
      </c>
      <c r="L43" s="203">
        <f ca="1">IF(K43="","", K43*K$42)</f>
        <v>3.2000000000000001E-2</v>
      </c>
      <c r="M43" s="845">
        <v>0.2</v>
      </c>
      <c r="N43" s="203">
        <f ca="1">IF(M43="","", M43*M$42)</f>
        <v>3.2000000000000001E-2</v>
      </c>
      <c r="O43" s="845">
        <v>0.2</v>
      </c>
      <c r="P43" s="203">
        <f ca="1">IF(O43="","", O43*O$42)</f>
        <v>2.2000000000000002E-2</v>
      </c>
      <c r="Q43" s="845">
        <v>0.2</v>
      </c>
      <c r="R43" s="203">
        <f ca="1">IF(Q43="","", Q43*Q$42)</f>
        <v>4.2000000000000003E-2</v>
      </c>
      <c r="S43" s="845">
        <v>0.2</v>
      </c>
      <c r="T43" s="203">
        <f ca="1">IF(S43="","", S43*S$42)</f>
        <v>3.2000000000000001E-2</v>
      </c>
      <c r="V43" s="847" t="str">
        <f>IFERROR(IF(INDEX('Produtos Selecionados'!$G:$G,MATCH($E43,'Produtos Selecionados'!$E:$E,0))="MFO", "Evitar - ROA baixo", "OK"),"OK")</f>
        <v>OK</v>
      </c>
      <c r="W43" s="845"/>
      <c r="X43" s="848"/>
      <c r="Y43" s="849"/>
    </row>
    <row r="44" spans="2:25" s="846" customFormat="1" ht="15">
      <c r="B44" s="357"/>
      <c r="C44" s="357"/>
      <c r="D44" s="357"/>
      <c r="E44" s="842" t="s">
        <v>2083</v>
      </c>
      <c r="F44" s="843" t="str">
        <f>IFERROR(INDEX('Produtos Selecionados'!$G:$G,MATCH($E44,'Produtos Selecionados'!$E:$E,0)),"-")</f>
        <v>-</v>
      </c>
      <c r="G44" s="843" t="str">
        <f>IFERROR(INDEX('Produtos Selecionados'!$H:$H,MATCH($E44,'Produtos Selecionados'!$E:$E,0)),"-")</f>
        <v>Sim</v>
      </c>
      <c r="H44" s="843">
        <f>IFERROR(INDEX('Produtos Selecionados'!$O:$O,MATCH($E44,'Produtos Selecionados'!$E:$E,0)),"-")</f>
        <v>1.9599999999999999E-3</v>
      </c>
      <c r="I44" s="844" t="str">
        <f>IFERROR(INDEX('Produtos Selecionados'!$L:$L,MATCH($E44,'Produtos Selecionados'!$E:$E,0)),"-")</f>
        <v>BRL</v>
      </c>
      <c r="J44" s="844">
        <f>IFERROR(INDEX('Produtos Selecionados'!$M:$M,MATCH($E44,'Produtos Selecionados'!$E:$E,0)),"-")</f>
        <v>31</v>
      </c>
      <c r="K44" s="845">
        <v>0.2</v>
      </c>
      <c r="L44" s="203">
        <f ca="1">IF(K44="","", K44*K$42)</f>
        <v>3.2000000000000001E-2</v>
      </c>
      <c r="M44" s="845">
        <v>0.2</v>
      </c>
      <c r="N44" s="203">
        <f ca="1">IF(M44="","", M44*M$42)</f>
        <v>3.2000000000000001E-2</v>
      </c>
      <c r="O44" s="845">
        <v>0.2</v>
      </c>
      <c r="P44" s="203">
        <f ca="1">IF(O44="","", O44*O$42)</f>
        <v>2.2000000000000002E-2</v>
      </c>
      <c r="Q44" s="845">
        <v>0.2</v>
      </c>
      <c r="R44" s="203">
        <f ca="1">IF(Q44="","", Q44*Q$42)</f>
        <v>4.2000000000000003E-2</v>
      </c>
      <c r="S44" s="845">
        <v>0.2</v>
      </c>
      <c r="T44" s="203">
        <f ca="1">IF(S44="","", S44*S$42)</f>
        <v>3.2000000000000001E-2</v>
      </c>
      <c r="V44" s="847" t="str">
        <f>IFERROR(IF(INDEX('Produtos Selecionados'!$G:$G,MATCH($E44,'Produtos Selecionados'!$E:$E,0))="MFO", "Evitar - ROA baixo", "OK"),"OK")</f>
        <v>OK</v>
      </c>
      <c r="W44" s="845"/>
      <c r="X44" s="848"/>
      <c r="Y44" s="849"/>
    </row>
    <row r="45" spans="2:25" s="846" customFormat="1" ht="15">
      <c r="B45" s="357"/>
      <c r="C45" s="357"/>
      <c r="D45" s="357"/>
      <c r="E45" s="842" t="str">
        <f>'RF &amp; RV Guide'!E40</f>
        <v>Títulos Corporativos - 4 anos (IPCA+8.20%)</v>
      </c>
      <c r="F45" s="843" t="str">
        <f>IFERROR(INDEX('Produtos Selecionados'!$G:$G,MATCH($E45,'Produtos Selecionados'!$E:$E,0)),"-")</f>
        <v>-</v>
      </c>
      <c r="G45" s="843" t="str">
        <f>IFERROR(INDEX('Produtos Selecionados'!$H:$H,MATCH($E45,'Produtos Selecionados'!$E:$E,0)),"-")</f>
        <v>-</v>
      </c>
      <c r="H45" s="843" t="str">
        <f>IFERROR(INDEX('Produtos Selecionados'!$O:$O,MATCH($E45,'Produtos Selecionados'!$E:$E,0)),"-")</f>
        <v>-</v>
      </c>
      <c r="I45" s="844" t="str">
        <f>IFERROR(INDEX('Produtos Selecionados'!$L:$L,MATCH($E45,'Produtos Selecionados'!$E:$E,0)),"-")</f>
        <v>-</v>
      </c>
      <c r="J45" s="844" t="str">
        <f>IFERROR(INDEX('Produtos Selecionados'!$M:$M,MATCH($E45,'Produtos Selecionados'!$E:$E,0)),"-")</f>
        <v>-</v>
      </c>
      <c r="K45" s="845">
        <v>0.2</v>
      </c>
      <c r="L45" s="203">
        <f ca="1">IF(K45="","", K45*K$42)</f>
        <v>3.2000000000000001E-2</v>
      </c>
      <c r="M45" s="845">
        <v>0.2</v>
      </c>
      <c r="N45" s="203">
        <f ca="1">IF(M45="","", M45*M$42)</f>
        <v>3.2000000000000001E-2</v>
      </c>
      <c r="O45" s="845">
        <v>0.2</v>
      </c>
      <c r="P45" s="203">
        <f ca="1">IF(O45="","", O45*O$42)</f>
        <v>2.2000000000000002E-2</v>
      </c>
      <c r="Q45" s="845">
        <v>0.2</v>
      </c>
      <c r="R45" s="203">
        <f ca="1">IF(Q45="","", Q45*Q$42)</f>
        <v>4.2000000000000003E-2</v>
      </c>
      <c r="S45" s="845">
        <v>0.2</v>
      </c>
      <c r="T45" s="203">
        <f ca="1">IF(S45="","", S45*S$42)</f>
        <v>3.2000000000000001E-2</v>
      </c>
      <c r="V45" s="847" t="str">
        <f>IFERROR(IF(INDEX('Produtos Selecionados'!$G:$G,MATCH($E45,'Produtos Selecionados'!$E:$E,0))="MFO", "Evitar - ROA baixo", "OK"),"OK")</f>
        <v>OK</v>
      </c>
      <c r="W45" s="845"/>
      <c r="X45" s="848"/>
      <c r="Y45" s="849"/>
    </row>
    <row r="46" spans="2:25" s="846" customFormat="1" ht="15">
      <c r="B46" s="357"/>
      <c r="C46" s="357"/>
      <c r="D46" s="357"/>
      <c r="E46" s="842" t="str">
        <f>'RF &amp; RV Guide'!E41</f>
        <v>Títulos Corporativos - 5 anos (IPCA+8.80%)</v>
      </c>
      <c r="F46" s="843" t="str">
        <f>IFERROR(INDEX('Produtos Selecionados'!$G:$G,MATCH($E46,'Produtos Selecionados'!$E:$E,0)),"-")</f>
        <v>-</v>
      </c>
      <c r="G46" s="843" t="str">
        <f>IFERROR(INDEX('Produtos Selecionados'!$H:$H,MATCH($E46,'Produtos Selecionados'!$E:$E,0)),"-")</f>
        <v>-</v>
      </c>
      <c r="H46" s="843" t="str">
        <f>IFERROR(INDEX('Produtos Selecionados'!$O:$O,MATCH($E46,'Produtos Selecionados'!$E:$E,0)),"-")</f>
        <v>-</v>
      </c>
      <c r="I46" s="844" t="str">
        <f>IFERROR(INDEX('Produtos Selecionados'!$L:$L,MATCH($E46,'Produtos Selecionados'!$E:$E,0)),"-")</f>
        <v>-</v>
      </c>
      <c r="J46" s="844" t="str">
        <f>IFERROR(INDEX('Produtos Selecionados'!$M:$M,MATCH($E46,'Produtos Selecionados'!$E:$E,0)),"-")</f>
        <v>-</v>
      </c>
      <c r="K46" s="845">
        <v>0.2</v>
      </c>
      <c r="L46" s="203">
        <f ca="1">IF(K46="","", K46*K$42)</f>
        <v>3.2000000000000001E-2</v>
      </c>
      <c r="M46" s="845">
        <v>0.2</v>
      </c>
      <c r="N46" s="203">
        <f ca="1">IF(M46="","", M46*M$42)</f>
        <v>3.2000000000000001E-2</v>
      </c>
      <c r="O46" s="845">
        <v>0.2</v>
      </c>
      <c r="P46" s="203">
        <f ca="1">IF(O46="","", O46*O$42)</f>
        <v>2.2000000000000002E-2</v>
      </c>
      <c r="Q46" s="845">
        <v>0.2</v>
      </c>
      <c r="R46" s="203">
        <f ca="1">IF(Q46="","", Q46*Q$42)</f>
        <v>4.2000000000000003E-2</v>
      </c>
      <c r="S46" s="845">
        <v>0.2</v>
      </c>
      <c r="T46" s="203">
        <f ca="1">IF(S46="","", S46*S$42)</f>
        <v>3.2000000000000001E-2</v>
      </c>
      <c r="V46" s="847" t="str">
        <f>IFERROR(IF(INDEX('Produtos Selecionados'!$G:$G,MATCH($E46,'Produtos Selecionados'!$E:$E,0))="MFO", "Evitar - ROA baixo", "OK"),"OK")</f>
        <v>OK</v>
      </c>
      <c r="W46" s="845"/>
      <c r="X46" s="848"/>
      <c r="Y46" s="849"/>
    </row>
    <row r="47" spans="2:25" s="846" customFormat="1" ht="15">
      <c r="B47" s="357"/>
      <c r="C47" s="357"/>
      <c r="D47" s="357"/>
      <c r="E47" s="842" t="str">
        <f>'RF &amp; RV Guide'!E42</f>
        <v>Títulos Corporativos - 6 anos (IPCA+9.00%)</v>
      </c>
      <c r="F47" s="843" t="str">
        <f>IFERROR(INDEX('Produtos Selecionados'!$G:$G,MATCH($E47,'Produtos Selecionados'!$E:$E,0)),"-")</f>
        <v>-</v>
      </c>
      <c r="G47" s="843" t="str">
        <f>IFERROR(INDEX('Produtos Selecionados'!$H:$H,MATCH($E47,'Produtos Selecionados'!$E:$E,0)),"-")</f>
        <v>-</v>
      </c>
      <c r="H47" s="843" t="str">
        <f>IFERROR(INDEX('Produtos Selecionados'!$O:$O,MATCH($E47,'Produtos Selecionados'!$E:$E,0)),"-")</f>
        <v>-</v>
      </c>
      <c r="I47" s="844" t="str">
        <f>IFERROR(INDEX('Produtos Selecionados'!$L:$L,MATCH($E47,'Produtos Selecionados'!$E:$E,0)),"-")</f>
        <v>-</v>
      </c>
      <c r="J47" s="844" t="str">
        <f>IFERROR(INDEX('Produtos Selecionados'!$M:$M,MATCH($E47,'Produtos Selecionados'!$E:$E,0)),"-")</f>
        <v>-</v>
      </c>
      <c r="K47" s="845">
        <v>0.2</v>
      </c>
      <c r="L47" s="203">
        <f ca="1">IF(K47="","", K47*K$42)</f>
        <v>3.2000000000000001E-2</v>
      </c>
      <c r="M47" s="845">
        <v>0.2</v>
      </c>
      <c r="N47" s="203">
        <f ca="1">IF(M47="","", M47*M$42)</f>
        <v>3.2000000000000001E-2</v>
      </c>
      <c r="O47" s="845">
        <v>0.2</v>
      </c>
      <c r="P47" s="203">
        <f ca="1">IF(O47="","", O47*O$42)</f>
        <v>2.2000000000000002E-2</v>
      </c>
      <c r="Q47" s="845">
        <v>0.2</v>
      </c>
      <c r="R47" s="203">
        <f ca="1">IF(Q47="","", Q47*Q$42)</f>
        <v>4.2000000000000003E-2</v>
      </c>
      <c r="S47" s="845">
        <v>0.2</v>
      </c>
      <c r="T47" s="203">
        <f ca="1">IF(S47="","", S47*S$42)</f>
        <v>3.2000000000000001E-2</v>
      </c>
      <c r="V47" s="847" t="str">
        <f>IFERROR(IF(INDEX('Produtos Selecionados'!$G:$G,MATCH($E47,'Produtos Selecionados'!$E:$E,0))="MFO", "Evitar - ROA baixo", "OK"),"OK")</f>
        <v>OK</v>
      </c>
      <c r="W47" s="845"/>
      <c r="X47" s="848"/>
      <c r="Y47" s="849"/>
    </row>
    <row r="48" spans="2:25" s="347" customFormat="1" ht="8.25" customHeight="1">
      <c r="B48" s="343"/>
      <c r="C48" s="343"/>
      <c r="D48" s="343"/>
      <c r="E48" s="850"/>
      <c r="F48" s="436"/>
      <c r="G48" s="436"/>
      <c r="H48" s="436"/>
      <c r="I48" s="436"/>
      <c r="J48" s="436"/>
      <c r="K48" s="851"/>
      <c r="L48" s="852" t="str">
        <f>IF(K48="","", K48*K$11)</f>
        <v/>
      </c>
      <c r="M48" s="861"/>
      <c r="N48" s="852" t="str">
        <f>IF(M48="","", M48*M$11)</f>
        <v/>
      </c>
      <c r="O48" s="851"/>
      <c r="P48" s="852" t="str">
        <f>IF(O48="","", O48*O$11)</f>
        <v/>
      </c>
      <c r="Q48" s="851"/>
      <c r="R48" s="852" t="str">
        <f>IF(Q48="","", Q48*Q$11)</f>
        <v/>
      </c>
      <c r="S48" s="851"/>
      <c r="T48" s="852" t="str">
        <f>IF(S48="","", S48*S$11)</f>
        <v/>
      </c>
      <c r="U48" s="846"/>
      <c r="V48" s="853"/>
      <c r="W48" s="861"/>
      <c r="X48" s="835"/>
      <c r="Y48" s="836"/>
    </row>
    <row r="49" spans="2:25" s="347" customFormat="1" ht="15">
      <c r="B49" s="343"/>
      <c r="C49" s="343"/>
      <c r="D49" s="343" t="s">
        <v>12</v>
      </c>
      <c r="E49" s="458" t="s">
        <v>1369</v>
      </c>
      <c r="F49" s="459"/>
      <c r="G49" s="459"/>
      <c r="H49" s="459"/>
      <c r="I49" s="459"/>
      <c r="J49" s="459"/>
      <c r="K49" s="377">
        <f ca="1">OFFSET('Asset Allocation Tatico'!$B$9, MATCH($E49,OFFSET('Asset Allocation Tatico'!$B$9,,,COUNTA('Asset Allocation Tatico'!$B:$B)-COUNTA('Asset Allocation Tatico'!$B$1:$B$9)),0)-1, MATCH(K$5,'Asset Allocation Tatico'!$D$5:$M$5,0)+2)</f>
        <v>0</v>
      </c>
      <c r="L49" s="857">
        <f>SUM(L50:L52)</f>
        <v>0</v>
      </c>
      <c r="M49" s="377">
        <f ca="1">OFFSET('Asset Allocation Tatico'!$B$9, MATCH($E49,OFFSET('Asset Allocation Tatico'!$B$9,,,COUNTA('Asset Allocation Tatico'!$B:$B)-COUNTA('Asset Allocation Tatico'!$B$1:$B$9)),0)-1, MATCH(M$5,'Asset Allocation Tatico'!$D$5:$M$5,0)+2)</f>
        <v>0</v>
      </c>
      <c r="N49" s="857">
        <f>SUM(N50:N52)</f>
        <v>0</v>
      </c>
      <c r="O49" s="377">
        <f ca="1">OFFSET('Asset Allocation Tatico'!$B$9, MATCH($E49,OFFSET('Asset Allocation Tatico'!$B$9,,,COUNTA('Asset Allocation Tatico'!$B:$B)-COUNTA('Asset Allocation Tatico'!$B$1:$B$9)),0)-1, MATCH(O$5,'Asset Allocation Tatico'!$D$5:$M$5,0)+2)</f>
        <v>0</v>
      </c>
      <c r="P49" s="857">
        <f>SUM(P50:P52)</f>
        <v>0</v>
      </c>
      <c r="Q49" s="377">
        <f ca="1">OFFSET('Asset Allocation Tatico'!$B$9, MATCH($E49,OFFSET('Asset Allocation Tatico'!$B$9,,,COUNTA('Asset Allocation Tatico'!$B:$B)-COUNTA('Asset Allocation Tatico'!$B$1:$B$9)),0)-1, MATCH(Q$5,'Asset Allocation Tatico'!$D$5:$M$5,0)+2)</f>
        <v>0</v>
      </c>
      <c r="R49" s="857">
        <f>SUM(R50:R52)</f>
        <v>0</v>
      </c>
      <c r="S49" s="377">
        <f ca="1">OFFSET('Asset Allocation Tatico'!$B$9, MATCH($E49,OFFSET('Asset Allocation Tatico'!$B$9,,,COUNTA('Asset Allocation Tatico'!$B:$B)-COUNTA('Asset Allocation Tatico'!$B$1:$B$9)),0)-1, MATCH(S$5,'Asset Allocation Tatico'!$D$5:$M$5,0)+2)</f>
        <v>0</v>
      </c>
      <c r="T49" s="857">
        <f>SUM(T50:T52)</f>
        <v>0</v>
      </c>
      <c r="U49" s="846"/>
      <c r="V49" s="858"/>
      <c r="W49" s="385"/>
      <c r="X49" s="859"/>
      <c r="Y49" s="860"/>
    </row>
    <row r="50" spans="2:25" s="846" customFormat="1" ht="15">
      <c r="B50" s="357"/>
      <c r="C50" s="357"/>
      <c r="D50" s="357"/>
      <c r="E50" s="842" t="str">
        <f>'RF &amp; RV Guide'!E53</f>
        <v>Títulos Corporativos - 8 anos (IPCA+9.10%)</v>
      </c>
      <c r="F50" s="843" t="str">
        <f>IFERROR(INDEX('Produtos Selecionados'!$G:$G,MATCH($E50,'Produtos Selecionados'!$E:$E,0)),"-")</f>
        <v>-</v>
      </c>
      <c r="G50" s="843" t="str">
        <f>IFERROR(INDEX('Produtos Selecionados'!$H:$H,MATCH($E50,'Produtos Selecionados'!$E:$E,0)),"-")</f>
        <v>-</v>
      </c>
      <c r="H50" s="843" t="str">
        <f>IFERROR(INDEX('Produtos Selecionados'!$O:$O,MATCH($E50,'Produtos Selecionados'!$E:$E,0)),"-")</f>
        <v>-</v>
      </c>
      <c r="I50" s="844" t="str">
        <f>IFERROR(INDEX('Produtos Selecionados'!$L:$L,MATCH($E50,'Produtos Selecionados'!$E:$E,0)),"-")</f>
        <v>-</v>
      </c>
      <c r="J50" s="844" t="str">
        <f>IFERROR(INDEX('Produtos Selecionados'!$M:$M,MATCH($E50,'Produtos Selecionados'!$E:$E,0)),"-")</f>
        <v>-</v>
      </c>
      <c r="K50" s="845"/>
      <c r="L50" s="203" t="str">
        <f>IF(K50="","", K50*K$49)</f>
        <v/>
      </c>
      <c r="M50" s="845"/>
      <c r="N50" s="203" t="str">
        <f>IF(M50="","", M50*M$49)</f>
        <v/>
      </c>
      <c r="O50" s="845"/>
      <c r="P50" s="203" t="str">
        <f>IF(O50="","", O50*O$49)</f>
        <v/>
      </c>
      <c r="Q50" s="845"/>
      <c r="R50" s="203" t="str">
        <f>IF(Q50="","", Q50*Q$49)</f>
        <v/>
      </c>
      <c r="S50" s="845"/>
      <c r="T50" s="203" t="str">
        <f>IF(S50="","", S50*S$49)</f>
        <v/>
      </c>
      <c r="V50" s="847" t="str">
        <f>IFERROR(IF(INDEX('Produtos Selecionados'!$G:$G,MATCH($E50,'Produtos Selecionados'!$E:$E,0))="MFO", "Evitar - ROA baixo", "OK"),"OK")</f>
        <v>OK</v>
      </c>
      <c r="W50" s="845"/>
      <c r="X50" s="848"/>
      <c r="Y50" s="849"/>
    </row>
    <row r="51" spans="2:25" s="846" customFormat="1" ht="15">
      <c r="B51" s="357"/>
      <c r="C51" s="357"/>
      <c r="D51" s="357"/>
      <c r="E51" s="842" t="str">
        <f>'RF &amp; RV Guide'!E54</f>
        <v>Títulos Corporativos - 9 anos (IPCA+9.10%)</v>
      </c>
      <c r="F51" s="843" t="str">
        <f>IFERROR(INDEX('Produtos Selecionados'!$G:$G,MATCH($E51,'Produtos Selecionados'!$E:$E,0)),"-")</f>
        <v>-</v>
      </c>
      <c r="G51" s="843" t="str">
        <f>IFERROR(INDEX('Produtos Selecionados'!$H:$H,MATCH($E51,'Produtos Selecionados'!$E:$E,0)),"-")</f>
        <v>-</v>
      </c>
      <c r="H51" s="843" t="str">
        <f>IFERROR(INDEX('Produtos Selecionados'!$O:$O,MATCH($E51,'Produtos Selecionados'!$E:$E,0)),"-")</f>
        <v>-</v>
      </c>
      <c r="I51" s="844" t="str">
        <f>IFERROR(INDEX('Produtos Selecionados'!$L:$L,MATCH($E51,'Produtos Selecionados'!$E:$E,0)),"-")</f>
        <v>-</v>
      </c>
      <c r="J51" s="844" t="str">
        <f>IFERROR(INDEX('Produtos Selecionados'!$M:$M,MATCH($E51,'Produtos Selecionados'!$E:$E,0)),"-")</f>
        <v>-</v>
      </c>
      <c r="K51" s="845"/>
      <c r="L51" s="203" t="str">
        <f>IF(K51="","", K51*K$49)</f>
        <v/>
      </c>
      <c r="M51" s="845"/>
      <c r="N51" s="203" t="str">
        <f>IF(M51="","", M51*M$49)</f>
        <v/>
      </c>
      <c r="O51" s="845"/>
      <c r="P51" s="203" t="str">
        <f>IF(O51="","", O51*O$49)</f>
        <v/>
      </c>
      <c r="Q51" s="845"/>
      <c r="R51" s="203" t="str">
        <f>IF(Q51="","", Q51*Q$49)</f>
        <v/>
      </c>
      <c r="S51" s="845"/>
      <c r="T51" s="203" t="str">
        <f>IF(S51="","", S51*S$49)</f>
        <v/>
      </c>
      <c r="V51" s="847" t="str">
        <f>IFERROR(IF(INDEX('Produtos Selecionados'!$G:$G,MATCH($E51,'Produtos Selecionados'!$E:$E,0))="MFO", "Evitar - ROA baixo", "OK"),"OK")</f>
        <v>OK</v>
      </c>
      <c r="W51" s="845"/>
      <c r="X51" s="848"/>
      <c r="Y51" s="849"/>
    </row>
    <row r="52" spans="2:25" s="347" customFormat="1" ht="8.25" customHeight="1">
      <c r="B52" s="343"/>
      <c r="C52" s="343"/>
      <c r="D52" s="343"/>
      <c r="E52" s="850"/>
      <c r="F52" s="436"/>
      <c r="G52" s="436"/>
      <c r="H52" s="436"/>
      <c r="I52" s="436"/>
      <c r="J52" s="436"/>
      <c r="K52" s="851"/>
      <c r="L52" s="852" t="str">
        <f>IF(K52="","", K52*K$11)</f>
        <v/>
      </c>
      <c r="M52" s="845"/>
      <c r="N52" s="852" t="str">
        <f>IF(M52="","", M52*M$11)</f>
        <v/>
      </c>
      <c r="O52" s="851"/>
      <c r="P52" s="852" t="str">
        <f>IF(O52="","", O52*O$11)</f>
        <v/>
      </c>
      <c r="Q52" s="851"/>
      <c r="R52" s="852" t="str">
        <f>IF(Q52="","", Q52*Q$11)</f>
        <v/>
      </c>
      <c r="S52" s="851"/>
      <c r="T52" s="852" t="str">
        <f>IF(S52="","", S52*S$11)</f>
        <v/>
      </c>
      <c r="U52" s="846"/>
      <c r="V52" s="853"/>
      <c r="W52" s="845"/>
      <c r="X52" s="835"/>
      <c r="Y52" s="836"/>
    </row>
    <row r="53" spans="2:25" s="347" customFormat="1" ht="15">
      <c r="B53" s="343"/>
      <c r="C53" s="343" t="s">
        <v>1394</v>
      </c>
      <c r="D53" s="343" t="s">
        <v>12</v>
      </c>
      <c r="E53" s="441" t="s">
        <v>661</v>
      </c>
      <c r="F53" s="442"/>
      <c r="G53" s="442"/>
      <c r="H53" s="442"/>
      <c r="I53" s="442"/>
      <c r="J53" s="442"/>
      <c r="K53" s="354">
        <f ca="1">OFFSET('Asset Allocation Tatico'!$B$9, MATCH($E53,OFFSET('Asset Allocation Tatico'!$B$9,,,COUNTA('Asset Allocation Tatico'!$B:$B)-COUNTA('Asset Allocation Tatico'!$B$1:$B$9)),0)-1, MATCH(K$5,'Asset Allocation Tatico'!$D$5:$M$5,0)+2)</f>
        <v>0.01</v>
      </c>
      <c r="L53" s="837">
        <f ca="1">L55+L60+L64</f>
        <v>9.9999999999999985E-3</v>
      </c>
      <c r="M53" s="354">
        <f ca="1">OFFSET('Asset Allocation Tatico'!$B$9, MATCH($E53,OFFSET('Asset Allocation Tatico'!$B$9,,,COUNTA('Asset Allocation Tatico'!$B:$B)-COUNTA('Asset Allocation Tatico'!$B$1:$B$9)),0)-1, MATCH(M$5,'Asset Allocation Tatico'!$D$5:$M$5,0)+2)</f>
        <v>0.03</v>
      </c>
      <c r="N53" s="837">
        <f ca="1">N55+N60+N64</f>
        <v>2.9999999999999995E-2</v>
      </c>
      <c r="O53" s="354">
        <f ca="1">OFFSET('Asset Allocation Tatico'!$B$9, MATCH($E53,OFFSET('Asset Allocation Tatico'!$B$9,,,COUNTA('Asset Allocation Tatico'!$B:$B)-COUNTA('Asset Allocation Tatico'!$B$1:$B$9)),0)-1, MATCH(O$5,'Asset Allocation Tatico'!$D$5:$M$5,0)+2)</f>
        <v>3.5000000000000003E-2</v>
      </c>
      <c r="P53" s="837">
        <f ca="1">P55+P60+P64</f>
        <v>3.5000000000000003E-2</v>
      </c>
      <c r="Q53" s="354">
        <f ca="1">OFFSET('Asset Allocation Tatico'!$B$9, MATCH($E53,OFFSET('Asset Allocation Tatico'!$B$9,,,COUNTA('Asset Allocation Tatico'!$B:$B)-COUNTA('Asset Allocation Tatico'!$B$1:$B$9)),0)-1, MATCH(Q$5,'Asset Allocation Tatico'!$D$5:$M$5,0)+2)</f>
        <v>0.04</v>
      </c>
      <c r="R53" s="837">
        <f ca="1">R55+R60+R64</f>
        <v>3.9999999999999994E-2</v>
      </c>
      <c r="S53" s="354">
        <f ca="1">OFFSET('Asset Allocation Tatico'!$B$9, MATCH($E53,OFFSET('Asset Allocation Tatico'!$B$9,,,COUNTA('Asset Allocation Tatico'!$B:$B)-COUNTA('Asset Allocation Tatico'!$B$1:$B$9)),0)-1, MATCH(S$5,'Asset Allocation Tatico'!$D$5:$M$5,0)+2)</f>
        <v>0.05</v>
      </c>
      <c r="T53" s="748">
        <f ca="1">T55+T60+T64</f>
        <v>0.05</v>
      </c>
      <c r="U53" s="846"/>
      <c r="V53" s="838"/>
      <c r="W53" s="839"/>
      <c r="X53" s="840"/>
      <c r="Y53" s="841"/>
    </row>
    <row r="54" spans="2:25" s="347" customFormat="1" ht="3" customHeight="1">
      <c r="B54" s="343"/>
      <c r="C54" s="343"/>
      <c r="D54" s="343"/>
      <c r="F54" s="436"/>
      <c r="G54" s="436"/>
      <c r="H54" s="436"/>
      <c r="I54" s="436"/>
      <c r="J54" s="436"/>
      <c r="K54" s="854"/>
      <c r="L54" s="855"/>
      <c r="M54" s="854"/>
      <c r="N54" s="855"/>
      <c r="O54" s="854"/>
      <c r="P54" s="855"/>
      <c r="Q54" s="854"/>
      <c r="R54" s="855"/>
      <c r="S54" s="854"/>
      <c r="T54" s="855"/>
      <c r="U54" s="846"/>
      <c r="V54" s="855"/>
      <c r="W54" s="856"/>
      <c r="X54" s="835"/>
      <c r="Y54" s="836"/>
    </row>
    <row r="55" spans="2:25" s="347" customFormat="1" ht="15">
      <c r="B55" s="343"/>
      <c r="C55" s="343"/>
      <c r="D55" s="343" t="s">
        <v>12</v>
      </c>
      <c r="E55" s="458" t="s">
        <v>1372</v>
      </c>
      <c r="F55" s="459"/>
      <c r="G55" s="459"/>
      <c r="H55" s="459"/>
      <c r="I55" s="459"/>
      <c r="J55" s="459"/>
      <c r="K55" s="377">
        <f ca="1">OFFSET('Asset Allocation Tatico'!$B$9, MATCH($E55,OFFSET('Asset Allocation Tatico'!$B$9,,,COUNTA('Asset Allocation Tatico'!$B:$B)-COUNTA('Asset Allocation Tatico'!$B$1:$B$9)),0)-1, MATCH(K$5,'Asset Allocation Tatico'!$D$5:$M$5,0)+2)</f>
        <v>0.01</v>
      </c>
      <c r="L55" s="857">
        <f ca="1">SUM(L56:L59)</f>
        <v>9.9999999999999985E-3</v>
      </c>
      <c r="M55" s="377">
        <f ca="1">OFFSET('Asset Allocation Tatico'!$B$9, MATCH($E55,OFFSET('Asset Allocation Tatico'!$B$9,,,COUNTA('Asset Allocation Tatico'!$B:$B)-COUNTA('Asset Allocation Tatico'!$B$1:$B$9)),0)-1, MATCH(M$5,'Asset Allocation Tatico'!$D$5:$M$5,0)+2)</f>
        <v>0.03</v>
      </c>
      <c r="N55" s="857">
        <f ca="1">SUM(N56:N59)</f>
        <v>2.9999999999999995E-2</v>
      </c>
      <c r="O55" s="377">
        <f ca="1">OFFSET('Asset Allocation Tatico'!$B$9, MATCH($E55,OFFSET('Asset Allocation Tatico'!$B$9,,,COUNTA('Asset Allocation Tatico'!$B:$B)-COUNTA('Asset Allocation Tatico'!$B$1:$B$9)),0)-1, MATCH(O$5,'Asset Allocation Tatico'!$D$5:$M$5,0)+2)</f>
        <v>3.5000000000000003E-2</v>
      </c>
      <c r="P55" s="857">
        <f ca="1">SUM(P56:P59)</f>
        <v>3.5000000000000003E-2</v>
      </c>
      <c r="Q55" s="377">
        <f ca="1">OFFSET('Asset Allocation Tatico'!$B$9, MATCH($E55,OFFSET('Asset Allocation Tatico'!$B$9,,,COUNTA('Asset Allocation Tatico'!$B:$B)-COUNTA('Asset Allocation Tatico'!$B$1:$B$9)),0)-1, MATCH(Q$5,'Asset Allocation Tatico'!$D$5:$M$5,0)+2)</f>
        <v>0.04</v>
      </c>
      <c r="R55" s="857">
        <f ca="1">SUM(R56:R59)</f>
        <v>3.9999999999999994E-2</v>
      </c>
      <c r="S55" s="377">
        <f ca="1">OFFSET('Asset Allocation Tatico'!$B$9, MATCH($E55,OFFSET('Asset Allocation Tatico'!$B$9,,,COUNTA('Asset Allocation Tatico'!$B:$B)-COUNTA('Asset Allocation Tatico'!$B$1:$B$9)),0)-1, MATCH(S$5,'Asset Allocation Tatico'!$D$5:$M$5,0)+2)</f>
        <v>0.05</v>
      </c>
      <c r="T55" s="857">
        <f ca="1">SUM(T56:T59)</f>
        <v>0.05</v>
      </c>
      <c r="U55" s="846"/>
      <c r="V55" s="858"/>
      <c r="W55" s="385"/>
      <c r="X55" s="859"/>
      <c r="Y55" s="860"/>
    </row>
    <row r="56" spans="2:25" s="846" customFormat="1" ht="15">
      <c r="B56" s="357"/>
      <c r="C56" s="357"/>
      <c r="D56" s="357"/>
      <c r="E56" s="842" t="str">
        <f>'RF &amp; RV Guide'!E66</f>
        <v>Títulos Bancários - 1 ano (14.60%)</v>
      </c>
      <c r="F56" s="843" t="str">
        <f>IFERROR(INDEX('Produtos Selecionados'!$G:$G,MATCH($E56,'Produtos Selecionados'!$E:$E,0)),"-")</f>
        <v>-</v>
      </c>
      <c r="G56" s="843" t="str">
        <f>IFERROR(INDEX('Produtos Selecionados'!$H:$H,MATCH($E56,'Produtos Selecionados'!$E:$E,0)),"-")</f>
        <v>-</v>
      </c>
      <c r="H56" s="843" t="str">
        <f>IFERROR(INDEX('Produtos Selecionados'!$O:$O,MATCH($E56,'Produtos Selecionados'!$E:$E,0)),"-")</f>
        <v>-</v>
      </c>
      <c r="I56" s="844" t="str">
        <f>IFERROR(INDEX('Produtos Selecionados'!$L:$L,MATCH($E56,'Produtos Selecionados'!$E:$E,0)),"-")</f>
        <v>-</v>
      </c>
      <c r="J56" s="844" t="str">
        <f>IFERROR(INDEX('Produtos Selecionados'!$M:$M,MATCH($E56,'Produtos Selecionados'!$E:$E,0)),"-")</f>
        <v>-</v>
      </c>
      <c r="K56" s="845">
        <v>0.3</v>
      </c>
      <c r="L56" s="203">
        <f ca="1">IF(K56="","", K56*K$55)</f>
        <v>3.0000000000000001E-3</v>
      </c>
      <c r="M56" s="845">
        <v>0.3</v>
      </c>
      <c r="N56" s="203">
        <f ca="1">IF(M56="","", M56*M$55)</f>
        <v>8.9999999999999993E-3</v>
      </c>
      <c r="O56" s="845">
        <v>0.3</v>
      </c>
      <c r="P56" s="203">
        <f ca="1">IF(O56="","", O56*O$55)</f>
        <v>1.0500000000000001E-2</v>
      </c>
      <c r="Q56" s="845">
        <v>0.3</v>
      </c>
      <c r="R56" s="203">
        <f ca="1">IF(Q56="","", Q56*Q$55)</f>
        <v>1.2E-2</v>
      </c>
      <c r="S56" s="845">
        <v>0.3</v>
      </c>
      <c r="T56" s="203">
        <f ca="1">IF(S56="","", S56*S$55)</f>
        <v>1.4999999999999999E-2</v>
      </c>
      <c r="V56" s="847" t="str">
        <f>IFERROR(IF(INDEX('Produtos Selecionados'!$G:$G,MATCH($E56,'Produtos Selecionados'!$E:$E,0))="MFO", "Evitar - ROA baixo", "OK"),"OK")</f>
        <v>OK</v>
      </c>
      <c r="W56" s="845"/>
      <c r="X56" s="848"/>
      <c r="Y56" s="849"/>
    </row>
    <row r="57" spans="2:25" s="846" customFormat="1" ht="15">
      <c r="B57" s="357"/>
      <c r="C57" s="357"/>
      <c r="D57" s="357"/>
      <c r="E57" s="842" t="str">
        <f>'RF &amp; RV Guide'!E67</f>
        <v>Títulos Bancários - 2 anos (13.70%)</v>
      </c>
      <c r="F57" s="843" t="str">
        <f>IFERROR(INDEX('Produtos Selecionados'!$G:$G,MATCH($E57,'Produtos Selecionados'!$E:$E,0)),"-")</f>
        <v>-</v>
      </c>
      <c r="G57" s="843" t="str">
        <f>IFERROR(INDEX('Produtos Selecionados'!$H:$H,MATCH($E57,'Produtos Selecionados'!$E:$E,0)),"-")</f>
        <v>-</v>
      </c>
      <c r="H57" s="843" t="str">
        <f>IFERROR(INDEX('Produtos Selecionados'!$O:$O,MATCH($E57,'Produtos Selecionados'!$E:$E,0)),"-")</f>
        <v>-</v>
      </c>
      <c r="I57" s="844" t="str">
        <f>IFERROR(INDEX('Produtos Selecionados'!$L:$L,MATCH($E57,'Produtos Selecionados'!$E:$E,0)),"-")</f>
        <v>-</v>
      </c>
      <c r="J57" s="844" t="str">
        <f>IFERROR(INDEX('Produtos Selecionados'!$M:$M,MATCH($E57,'Produtos Selecionados'!$E:$E,0)),"-")</f>
        <v>-</v>
      </c>
      <c r="K57" s="845">
        <v>0.35</v>
      </c>
      <c r="L57" s="203">
        <f ca="1">IF(K57="","", K57*K$55)</f>
        <v>3.4999999999999996E-3</v>
      </c>
      <c r="M57" s="845">
        <v>0.35</v>
      </c>
      <c r="N57" s="203">
        <f ca="1">IF(M57="","", M57*M$55)</f>
        <v>1.0499999999999999E-2</v>
      </c>
      <c r="O57" s="845">
        <v>0.35</v>
      </c>
      <c r="P57" s="203">
        <f ca="1">IF(O57="","", O57*O$55)</f>
        <v>1.225E-2</v>
      </c>
      <c r="Q57" s="845">
        <v>0.35</v>
      </c>
      <c r="R57" s="203">
        <f ca="1">IF(Q57="","", Q57*Q$55)</f>
        <v>1.3999999999999999E-2</v>
      </c>
      <c r="S57" s="845">
        <v>0.35</v>
      </c>
      <c r="T57" s="203">
        <f ca="1">IF(S57="","", S57*S$55)</f>
        <v>1.7499999999999998E-2</v>
      </c>
      <c r="V57" s="847" t="str">
        <f>IFERROR(IF(INDEX('Produtos Selecionados'!$G:$G,MATCH($E57,'Produtos Selecionados'!$E:$E,0))="MFO", "Evitar - ROA baixo", "OK"),"OK")</f>
        <v>OK</v>
      </c>
      <c r="W57" s="845"/>
      <c r="X57" s="848"/>
      <c r="Y57" s="849"/>
    </row>
    <row r="58" spans="2:25" s="846" customFormat="1" ht="15">
      <c r="B58" s="357"/>
      <c r="C58" s="357"/>
      <c r="D58" s="357"/>
      <c r="E58" s="842" t="str">
        <f>'RF &amp; RV Guide'!E68</f>
        <v>Títulos Bancários - 3 anos (14.30%)</v>
      </c>
      <c r="F58" s="843" t="str">
        <f>IFERROR(INDEX('Produtos Selecionados'!$G:$G,MATCH($E58,'Produtos Selecionados'!$E:$E,0)),"-")</f>
        <v>-</v>
      </c>
      <c r="G58" s="843" t="str">
        <f>IFERROR(INDEX('Produtos Selecionados'!$H:$H,MATCH($E58,'Produtos Selecionados'!$E:$E,0)),"-")</f>
        <v>-</v>
      </c>
      <c r="H58" s="843" t="str">
        <f>IFERROR(INDEX('Produtos Selecionados'!$O:$O,MATCH($E58,'Produtos Selecionados'!$E:$E,0)),"-")</f>
        <v>-</v>
      </c>
      <c r="I58" s="844" t="str">
        <f>IFERROR(INDEX('Produtos Selecionados'!$L:$L,MATCH($E58,'Produtos Selecionados'!$E:$E,0)),"-")</f>
        <v>-</v>
      </c>
      <c r="J58" s="844" t="str">
        <f>IFERROR(INDEX('Produtos Selecionados'!$M:$M,MATCH($E58,'Produtos Selecionados'!$E:$E,0)),"-")</f>
        <v>-</v>
      </c>
      <c r="K58" s="845">
        <v>0.35</v>
      </c>
      <c r="L58" s="203">
        <f t="shared" ref="L58:N59" ca="1" si="23">IF(K58="","", K58*K$55)</f>
        <v>3.4999999999999996E-3</v>
      </c>
      <c r="M58" s="845">
        <v>0.35</v>
      </c>
      <c r="N58" s="203">
        <f t="shared" ca="1" si="23"/>
        <v>1.0499999999999999E-2</v>
      </c>
      <c r="O58" s="845">
        <v>0.35</v>
      </c>
      <c r="P58" s="203">
        <f ca="1">IF(O58="","", O58*O$55)</f>
        <v>1.225E-2</v>
      </c>
      <c r="Q58" s="845">
        <v>0.35</v>
      </c>
      <c r="R58" s="203">
        <f ca="1">IF(Q58="","", Q58*Q$55)</f>
        <v>1.3999999999999999E-2</v>
      </c>
      <c r="S58" s="845">
        <v>0.35</v>
      </c>
      <c r="T58" s="203">
        <f ca="1">IF(S58="","", S58*S$55)</f>
        <v>1.7499999999999998E-2</v>
      </c>
      <c r="V58" s="847" t="str">
        <f>IFERROR(IF(INDEX('Produtos Selecionados'!$G:$G,MATCH($E58,'Produtos Selecionados'!$E:$E,0))="MFO", "Evitar - ROA baixo", "OK"),"OK")</f>
        <v>OK</v>
      </c>
      <c r="W58" s="845"/>
      <c r="X58" s="848"/>
      <c r="Y58" s="849"/>
    </row>
    <row r="59" spans="2:25" s="846" customFormat="1" ht="5.25" customHeight="1">
      <c r="B59" s="357"/>
      <c r="C59" s="357"/>
      <c r="D59" s="357"/>
      <c r="E59" s="453"/>
      <c r="F59" s="862" t="str">
        <f>IFERROR(INDEX('Produtos Selecionados'!$M:$M,MATCH(A59,'Produtos Selecionados'!$E:$E,0)),"-")</f>
        <v>-</v>
      </c>
      <c r="G59" s="862" t="str">
        <f>IFERROR(INDEX('Produtos Selecionados'!$M:$M,MATCH(B59,'Produtos Selecionados'!$E:$E,0)),"-")</f>
        <v>-</v>
      </c>
      <c r="H59" s="862" t="str">
        <f>IFERROR(INDEX('Produtos Selecionados'!$M:$M,MATCH(C59,'Produtos Selecionados'!$E:$E,0)),"-")</f>
        <v>-</v>
      </c>
      <c r="I59" s="862" t="str">
        <f>IFERROR(INDEX('Produtos Selecionados'!$M:$M,MATCH(D59,'Produtos Selecionados'!$E:$E,0)),"-")</f>
        <v>-</v>
      </c>
      <c r="J59" s="862" t="str">
        <f>IFERROR(INDEX('Produtos Selecionados'!$M:$M,MATCH(D59,'Produtos Selecionados'!$E:$E,0)),"-")</f>
        <v>-</v>
      </c>
      <c r="K59" s="851"/>
      <c r="L59" s="852" t="str">
        <f t="shared" si="23"/>
        <v/>
      </c>
      <c r="M59" s="851"/>
      <c r="N59" s="852" t="str">
        <f t="shared" si="23"/>
        <v/>
      </c>
      <c r="O59" s="851"/>
      <c r="P59" s="852" t="str">
        <f>IF(O59="","", O59*O$55)</f>
        <v/>
      </c>
      <c r="Q59" s="851"/>
      <c r="R59" s="852" t="str">
        <f>IF(Q59="","", Q59*Q$55)</f>
        <v/>
      </c>
      <c r="S59" s="851"/>
      <c r="T59" s="852" t="str">
        <f>IF(S59="","", S59*S$55)</f>
        <v/>
      </c>
      <c r="V59" s="853"/>
      <c r="W59" s="861"/>
      <c r="X59" s="863"/>
      <c r="Y59" s="864"/>
    </row>
    <row r="60" spans="2:25" s="347" customFormat="1" ht="15">
      <c r="B60" s="343"/>
      <c r="C60" s="343"/>
      <c r="D60" s="343" t="s">
        <v>12</v>
      </c>
      <c r="E60" s="458" t="s">
        <v>2746</v>
      </c>
      <c r="F60" s="459"/>
      <c r="G60" s="459"/>
      <c r="H60" s="459"/>
      <c r="I60" s="459"/>
      <c r="J60" s="459"/>
      <c r="K60" s="377">
        <f ca="1">OFFSET('Asset Allocation Tatico'!$B$9, MATCH($E60,OFFSET('Asset Allocation Tatico'!$B$9,,,COUNTA('Asset Allocation Tatico'!$B:$B)-COUNTA('Asset Allocation Tatico'!$B$1:$B$9)),0)-1, MATCH(K$5,'Asset Allocation Tatico'!$D$5:$M$5,0)+2)</f>
        <v>0</v>
      </c>
      <c r="L60" s="857">
        <f>SUM(L61:L63)</f>
        <v>0</v>
      </c>
      <c r="M60" s="377">
        <f ca="1">OFFSET('Asset Allocation Tatico'!$B$9, MATCH($E60,OFFSET('Asset Allocation Tatico'!$B$9,,,COUNTA('Asset Allocation Tatico'!$B:$B)-COUNTA('Asset Allocation Tatico'!$B$1:$B$9)),0)-1, MATCH(M$5,'Asset Allocation Tatico'!$D$5:$M$5,0)+2)</f>
        <v>0</v>
      </c>
      <c r="N60" s="857">
        <f>SUM(N61:N63)</f>
        <v>0</v>
      </c>
      <c r="O60" s="377">
        <f ca="1">OFFSET('Asset Allocation Tatico'!$B$9, MATCH($E60,OFFSET('Asset Allocation Tatico'!$B$9,,,COUNTA('Asset Allocation Tatico'!$B:$B)-COUNTA('Asset Allocation Tatico'!$B$1:$B$9)),0)-1, MATCH(O$5,'Asset Allocation Tatico'!$D$5:$M$5,0)+2)</f>
        <v>0</v>
      </c>
      <c r="P60" s="857">
        <f>SUM(P61:P63)</f>
        <v>0</v>
      </c>
      <c r="Q60" s="377">
        <f ca="1">OFFSET('Asset Allocation Tatico'!$B$9, MATCH($E60,OFFSET('Asset Allocation Tatico'!$B$9,,,COUNTA('Asset Allocation Tatico'!$B:$B)-COUNTA('Asset Allocation Tatico'!$B$1:$B$9)),0)-1, MATCH(Q$5,'Asset Allocation Tatico'!$D$5:$M$5,0)+2)</f>
        <v>0</v>
      </c>
      <c r="R60" s="857">
        <f>SUM(R61:R63)</f>
        <v>0</v>
      </c>
      <c r="S60" s="377">
        <f ca="1">OFFSET('Asset Allocation Tatico'!$B$9, MATCH($E60,OFFSET('Asset Allocation Tatico'!$B$9,,,COUNTA('Asset Allocation Tatico'!$B:$B)-COUNTA('Asset Allocation Tatico'!$B$1:$B$9)),0)-1, MATCH(S$5,'Asset Allocation Tatico'!$D$5:$M$5,0)+2)</f>
        <v>0</v>
      </c>
      <c r="T60" s="857">
        <f>SUM(T61:T63)</f>
        <v>0</v>
      </c>
      <c r="U60" s="846"/>
      <c r="V60" s="858"/>
      <c r="W60" s="385"/>
      <c r="X60" s="859"/>
      <c r="Y60" s="860"/>
    </row>
    <row r="61" spans="2:25" s="846" customFormat="1" ht="15">
      <c r="B61" s="357"/>
      <c r="C61" s="357"/>
      <c r="D61" s="357"/>
      <c r="E61" s="842" t="str">
        <f>'RF &amp; RV Guide'!E75</f>
        <v>Títulos Bancários - 4 anos (14.65%)</v>
      </c>
      <c r="F61" s="843" t="str">
        <f>IFERROR(INDEX('Produtos Selecionados'!$G:$G,MATCH($E61,'Produtos Selecionados'!$E:$E,0)),"-")</f>
        <v>-</v>
      </c>
      <c r="G61" s="843" t="str">
        <f>IFERROR(INDEX('Produtos Selecionados'!$H:$H,MATCH($E61,'Produtos Selecionados'!$E:$E,0)),"-")</f>
        <v>-</v>
      </c>
      <c r="H61" s="843" t="str">
        <f>IFERROR(INDEX('Produtos Selecionados'!$O:$O,MATCH($E61,'Produtos Selecionados'!$E:$E,0)),"-")</f>
        <v>-</v>
      </c>
      <c r="I61" s="844" t="str">
        <f>IFERROR(INDEX('Produtos Selecionados'!$L:$L,MATCH($E61,'Produtos Selecionados'!$E:$E,0)),"-")</f>
        <v>-</v>
      </c>
      <c r="J61" s="844" t="str">
        <f>IFERROR(INDEX('Produtos Selecionados'!$M:$M,MATCH($E61,'Produtos Selecionados'!$E:$E,0)),"-")</f>
        <v>-</v>
      </c>
      <c r="K61" s="845"/>
      <c r="L61" s="203" t="str">
        <f>IF(K61="","", K61*K$60)</f>
        <v/>
      </c>
      <c r="M61" s="845"/>
      <c r="N61" s="203" t="str">
        <f>IF(M61="","", M61*M$60)</f>
        <v/>
      </c>
      <c r="O61" s="845"/>
      <c r="P61" s="203" t="str">
        <f>IF(O61="","", O61*O$60)</f>
        <v/>
      </c>
      <c r="Q61" s="845"/>
      <c r="R61" s="203" t="str">
        <f>IF(Q61="","", Q61*Q$60)</f>
        <v/>
      </c>
      <c r="S61" s="845"/>
      <c r="T61" s="203" t="str">
        <f>IF(S61="","", S61*S$60)</f>
        <v/>
      </c>
      <c r="V61" s="847" t="str">
        <f>IFERROR(IF(INDEX('Produtos Selecionados'!$G:$G,MATCH($E61,'Produtos Selecionados'!$E:$E,0))="MFO", "Evitar - ROA baixo", "OK"),"OK")</f>
        <v>OK</v>
      </c>
      <c r="W61" s="845"/>
      <c r="X61" s="848"/>
      <c r="Y61" s="849"/>
    </row>
    <row r="62" spans="2:25" s="846" customFormat="1" ht="15">
      <c r="B62" s="357"/>
      <c r="C62" s="357"/>
      <c r="D62" s="357"/>
      <c r="E62" s="842" t="str">
        <f>'RF &amp; RV Guide'!E76</f>
        <v>Títulos Bancários - 5 anos (14.40%)</v>
      </c>
      <c r="F62" s="843" t="str">
        <f>IFERROR(INDEX('Produtos Selecionados'!$G:$G,MATCH($E62,'Produtos Selecionados'!$E:$E,0)),"-")</f>
        <v>-</v>
      </c>
      <c r="G62" s="843" t="str">
        <f>IFERROR(INDEX('Produtos Selecionados'!$H:$H,MATCH($E62,'Produtos Selecionados'!$E:$E,0)),"-")</f>
        <v>-</v>
      </c>
      <c r="H62" s="843" t="str">
        <f>IFERROR(INDEX('Produtos Selecionados'!$O:$O,MATCH($E62,'Produtos Selecionados'!$E:$E,0)),"-")</f>
        <v>-</v>
      </c>
      <c r="I62" s="844" t="str">
        <f>IFERROR(INDEX('Produtos Selecionados'!$L:$L,MATCH($E62,'Produtos Selecionados'!$E:$E,0)),"-")</f>
        <v>-</v>
      </c>
      <c r="J62" s="844" t="str">
        <f>IFERROR(INDEX('Produtos Selecionados'!$M:$M,MATCH($E62,'Produtos Selecionados'!$E:$E,0)),"-")</f>
        <v>-</v>
      </c>
      <c r="K62" s="845"/>
      <c r="L62" s="203" t="str">
        <f t="shared" ref="L62:N63" si="24">IF(K62="","", K62*K$60)</f>
        <v/>
      </c>
      <c r="M62" s="845"/>
      <c r="N62" s="203" t="str">
        <f t="shared" si="24"/>
        <v/>
      </c>
      <c r="O62" s="845"/>
      <c r="P62" s="203" t="str">
        <f>IF(O62="","", O62*O$60)</f>
        <v/>
      </c>
      <c r="Q62" s="845"/>
      <c r="R62" s="203" t="str">
        <f>IF(Q62="","", Q62*Q$60)</f>
        <v/>
      </c>
      <c r="S62" s="845"/>
      <c r="T62" s="203" t="str">
        <f>IF(S62="","", S62*S$60)</f>
        <v/>
      </c>
      <c r="V62" s="847" t="str">
        <f>IFERROR(IF(INDEX('Produtos Selecionados'!$G:$G,MATCH($E62,'Produtos Selecionados'!$E:$E,0))="MFO", "Evitar - ROA baixo", "OK"),"OK")</f>
        <v>OK</v>
      </c>
      <c r="W62" s="845"/>
      <c r="X62" s="848"/>
      <c r="Y62" s="849"/>
    </row>
    <row r="63" spans="2:25" s="846" customFormat="1" ht="5.25" customHeight="1">
      <c r="B63" s="357"/>
      <c r="C63" s="357"/>
      <c r="D63" s="357"/>
      <c r="E63" s="453"/>
      <c r="F63" s="862" t="str">
        <f>IFERROR(INDEX('Produtos Selecionados'!$M:$M,MATCH(A63,'Produtos Selecionados'!$E:$E,0)),"-")</f>
        <v>-</v>
      </c>
      <c r="G63" s="862" t="str">
        <f>IFERROR(INDEX('Produtos Selecionados'!$M:$M,MATCH(B63,'Produtos Selecionados'!$E:$E,0)),"-")</f>
        <v>-</v>
      </c>
      <c r="H63" s="862" t="str">
        <f>IFERROR(INDEX('Produtos Selecionados'!$M:$M,MATCH(C63,'Produtos Selecionados'!$E:$E,0)),"-")</f>
        <v>-</v>
      </c>
      <c r="I63" s="862" t="str">
        <f>IFERROR(INDEX('Produtos Selecionados'!$M:$M,MATCH(D63,'Produtos Selecionados'!$E:$E,0)),"-")</f>
        <v>-</v>
      </c>
      <c r="J63" s="862" t="str">
        <f>IFERROR(INDEX('Produtos Selecionados'!$M:$M,MATCH(D63,'Produtos Selecionados'!$E:$E,0)),"-")</f>
        <v>-</v>
      </c>
      <c r="K63" s="851"/>
      <c r="L63" s="852" t="str">
        <f t="shared" si="24"/>
        <v/>
      </c>
      <c r="M63" s="851"/>
      <c r="N63" s="852" t="str">
        <f t="shared" si="24"/>
        <v/>
      </c>
      <c r="O63" s="851"/>
      <c r="P63" s="852" t="str">
        <f>IF(O63="","", O63*O$60)</f>
        <v/>
      </c>
      <c r="Q63" s="851"/>
      <c r="R63" s="852" t="str">
        <f>IF(Q63="","", Q63*Q$60)</f>
        <v/>
      </c>
      <c r="S63" s="851"/>
      <c r="T63" s="852" t="str">
        <f>IF(S63="","", S63*S$60)</f>
        <v/>
      </c>
      <c r="V63" s="853"/>
      <c r="W63" s="861"/>
      <c r="X63" s="863"/>
      <c r="Y63" s="864"/>
    </row>
    <row r="64" spans="2:25" s="347" customFormat="1" ht="15">
      <c r="B64" s="343"/>
      <c r="C64" s="343"/>
      <c r="D64" s="343" t="s">
        <v>12</v>
      </c>
      <c r="E64" s="458" t="s">
        <v>1370</v>
      </c>
      <c r="F64" s="459"/>
      <c r="G64" s="459"/>
      <c r="H64" s="459"/>
      <c r="I64" s="459"/>
      <c r="J64" s="459"/>
      <c r="K64" s="377">
        <f ca="1">OFFSET('Asset Allocation Tatico'!$B$9, MATCH($E64,OFFSET('Asset Allocation Tatico'!$B$9,,,COUNTA('Asset Allocation Tatico'!$B:$B)-COUNTA('Asset Allocation Tatico'!$B$1:$B$9)),0)-1, MATCH(K$5,'Asset Allocation Tatico'!$D$5:$M$5,0)+2)</f>
        <v>0</v>
      </c>
      <c r="L64" s="857">
        <f>SUM(L65:L67)</f>
        <v>0</v>
      </c>
      <c r="M64" s="377">
        <f ca="1">OFFSET('Asset Allocation Tatico'!$B$9, MATCH($E64,OFFSET('Asset Allocation Tatico'!$B$9,,,COUNTA('Asset Allocation Tatico'!$B:$B)-COUNTA('Asset Allocation Tatico'!$B$1:$B$9)),0)-1, MATCH(M$5,'Asset Allocation Tatico'!$D$5:$M$5,0)+2)</f>
        <v>0</v>
      </c>
      <c r="N64" s="857">
        <f>SUM(N65:N67)</f>
        <v>0</v>
      </c>
      <c r="O64" s="377">
        <f ca="1">OFFSET('Asset Allocation Tatico'!$B$9, MATCH($E64,OFFSET('Asset Allocation Tatico'!$B$9,,,COUNTA('Asset Allocation Tatico'!$B:$B)-COUNTA('Asset Allocation Tatico'!$B$1:$B$9)),0)-1, MATCH(O$5,'Asset Allocation Tatico'!$D$5:$M$5,0)+2)</f>
        <v>0</v>
      </c>
      <c r="P64" s="857">
        <f>SUM(P65:P67)</f>
        <v>0</v>
      </c>
      <c r="Q64" s="377">
        <f ca="1">OFFSET('Asset Allocation Tatico'!$B$9, MATCH($E64,OFFSET('Asset Allocation Tatico'!$B$9,,,COUNTA('Asset Allocation Tatico'!$B:$B)-COUNTA('Asset Allocation Tatico'!$B$1:$B$9)),0)-1, MATCH(Q$5,'Asset Allocation Tatico'!$D$5:$M$5,0)+2)</f>
        <v>0</v>
      </c>
      <c r="R64" s="857">
        <f>SUM(R65:R67)</f>
        <v>0</v>
      </c>
      <c r="S64" s="377">
        <f ca="1">OFFSET('Asset Allocation Tatico'!$B$9, MATCH($E64,OFFSET('Asset Allocation Tatico'!$B$9,,,COUNTA('Asset Allocation Tatico'!$B:$B)-COUNTA('Asset Allocation Tatico'!$B$1:$B$9)),0)-1, MATCH(S$5,'Asset Allocation Tatico'!$D$5:$M$5,0)+2)</f>
        <v>0</v>
      </c>
      <c r="T64" s="857">
        <f>SUM(T65:T67)</f>
        <v>0</v>
      </c>
      <c r="U64" s="846"/>
      <c r="V64" s="858"/>
      <c r="W64" s="385"/>
      <c r="X64" s="859"/>
      <c r="Y64" s="860"/>
    </row>
    <row r="65" spans="2:25" s="846" customFormat="1" ht="15">
      <c r="B65" s="357"/>
      <c r="C65" s="357"/>
      <c r="D65" s="357"/>
      <c r="E65" s="842"/>
      <c r="F65" s="843" t="str">
        <f>IFERROR(INDEX('Produtos Selecionados'!$G:$G,MATCH($E65,'Produtos Selecionados'!$E:$E,0)),"-")</f>
        <v>-</v>
      </c>
      <c r="G65" s="843" t="str">
        <f>IFERROR(INDEX('Produtos Selecionados'!$H:$H,MATCH($E65,'Produtos Selecionados'!$E:$E,0)),"-")</f>
        <v>-</v>
      </c>
      <c r="H65" s="843" t="str">
        <f>IFERROR(INDEX('Produtos Selecionados'!$O:$O,MATCH($E65,'Produtos Selecionados'!$E:$E,0)),"-")</f>
        <v>-</v>
      </c>
      <c r="I65" s="844" t="str">
        <f>IFERROR(INDEX('Produtos Selecionados'!$L:$L,MATCH($E65,'Produtos Selecionados'!$E:$E,0)),"-")</f>
        <v>-</v>
      </c>
      <c r="J65" s="844" t="str">
        <f>IFERROR(INDEX('Produtos Selecionados'!$M:$M,MATCH($E65,'Produtos Selecionados'!$E:$E,0)),"-")</f>
        <v>-</v>
      </c>
      <c r="K65" s="845"/>
      <c r="L65" s="203" t="str">
        <f>IF(K65="","", K65*K$64)</f>
        <v/>
      </c>
      <c r="M65" s="845"/>
      <c r="N65" s="203" t="str">
        <f>IF(M65="","", M65*M$64)</f>
        <v/>
      </c>
      <c r="O65" s="845"/>
      <c r="P65" s="203" t="str">
        <f>IF(O65="","", O65*O$64)</f>
        <v/>
      </c>
      <c r="Q65" s="845"/>
      <c r="R65" s="203" t="str">
        <f>IF(Q65="","", Q65*Q$64)</f>
        <v/>
      </c>
      <c r="S65" s="845"/>
      <c r="T65" s="203" t="str">
        <f>IF(S65="","", S65*S$64)</f>
        <v/>
      </c>
      <c r="V65" s="847" t="str">
        <f>IFERROR(IF(INDEX('Produtos Selecionados'!$G:$G,MATCH($E65,'Produtos Selecionados'!$E:$E,0))="MFO", "Evitar - ROA baixo", "OK"),"OK")</f>
        <v>OK</v>
      </c>
      <c r="W65" s="845"/>
      <c r="X65" s="848"/>
      <c r="Y65" s="849"/>
    </row>
    <row r="66" spans="2:25" s="846" customFormat="1" ht="15">
      <c r="B66" s="357"/>
      <c r="C66" s="357"/>
      <c r="D66" s="357"/>
      <c r="E66" s="842"/>
      <c r="F66" s="843" t="str">
        <f>IFERROR(INDEX('Produtos Selecionados'!$G:$G,MATCH($E66,'Produtos Selecionados'!$E:$E,0)),"-")</f>
        <v>-</v>
      </c>
      <c r="G66" s="843" t="str">
        <f>IFERROR(INDEX('Produtos Selecionados'!$H:$H,MATCH($E66,'Produtos Selecionados'!$E:$E,0)),"-")</f>
        <v>-</v>
      </c>
      <c r="H66" s="843" t="str">
        <f>IFERROR(INDEX('Produtos Selecionados'!$O:$O,MATCH($E66,'Produtos Selecionados'!$E:$E,0)),"-")</f>
        <v>-</v>
      </c>
      <c r="I66" s="844" t="str">
        <f>IFERROR(INDEX('Produtos Selecionados'!$L:$L,MATCH($E66,'Produtos Selecionados'!$E:$E,0)),"-")</f>
        <v>-</v>
      </c>
      <c r="J66" s="844" t="str">
        <f>IFERROR(INDEX('Produtos Selecionados'!$M:$M,MATCH($E66,'Produtos Selecionados'!$E:$E,0)),"-")</f>
        <v>-</v>
      </c>
      <c r="K66" s="845"/>
      <c r="L66" s="203" t="str">
        <f>IF(K66="","", K66*K$64)</f>
        <v/>
      </c>
      <c r="M66" s="845"/>
      <c r="N66" s="203" t="str">
        <f>IF(M66="","", M66*M$64)</f>
        <v/>
      </c>
      <c r="O66" s="845"/>
      <c r="P66" s="203" t="str">
        <f>IF(O66="","", O66*O$64)</f>
        <v/>
      </c>
      <c r="Q66" s="845"/>
      <c r="R66" s="203" t="str">
        <f>IF(Q66="","", Q66*Q$64)</f>
        <v/>
      </c>
      <c r="S66" s="845"/>
      <c r="T66" s="203" t="str">
        <f>IF(S66="","", S66*S$64)</f>
        <v/>
      </c>
      <c r="V66" s="847" t="str">
        <f>IFERROR(IF(INDEX('Produtos Selecionados'!$G:$G,MATCH($E66,'Produtos Selecionados'!$E:$E,0))="MFO", "Evitar - ROA baixo", "OK"),"OK")</f>
        <v>OK</v>
      </c>
      <c r="W66" s="845"/>
      <c r="X66" s="848"/>
      <c r="Y66" s="849"/>
    </row>
    <row r="67" spans="2:25" s="347" customFormat="1" ht="7.5" customHeight="1">
      <c r="B67" s="343"/>
      <c r="C67" s="343"/>
      <c r="D67" s="343"/>
      <c r="E67" s="437"/>
      <c r="F67" s="436"/>
      <c r="G67" s="436"/>
      <c r="H67" s="436"/>
      <c r="I67" s="436"/>
      <c r="J67" s="436"/>
      <c r="K67" s="831"/>
      <c r="L67" s="832"/>
      <c r="M67" s="831"/>
      <c r="N67" s="832"/>
      <c r="O67" s="831"/>
      <c r="P67" s="832"/>
      <c r="Q67" s="831"/>
      <c r="R67" s="832"/>
      <c r="S67" s="831"/>
      <c r="T67" s="832"/>
      <c r="U67" s="833"/>
      <c r="V67" s="832"/>
      <c r="W67" s="834"/>
      <c r="X67" s="835"/>
      <c r="Y67" s="836"/>
    </row>
    <row r="68" spans="2:25" s="347" customFormat="1" ht="15">
      <c r="B68" s="343"/>
      <c r="C68" s="343" t="s">
        <v>12</v>
      </c>
      <c r="D68" s="343" t="s">
        <v>12</v>
      </c>
      <c r="E68" s="441" t="s">
        <v>628</v>
      </c>
      <c r="F68" s="442"/>
      <c r="G68" s="442"/>
      <c r="H68" s="442"/>
      <c r="I68" s="442"/>
      <c r="J68" s="442"/>
      <c r="K68" s="354">
        <f ca="1">OFFSET('Asset Allocation Tatico'!$B$9, MATCH($E68,OFFSET('Asset Allocation Tatico'!$B$9,,,COUNTA('Asset Allocation Tatico'!$B:$B)-COUNTA('Asset Allocation Tatico'!$B$1:$B$9)),0)-1, MATCH(K$5,'Asset Allocation Tatico'!$D$5:$M$5,0)+2)</f>
        <v>5.0000000000000001E-3</v>
      </c>
      <c r="L68" s="837">
        <f ca="1">SUM(L69:L71)</f>
        <v>5.0000000000000001E-3</v>
      </c>
      <c r="M68" s="354">
        <f ca="1">OFFSET('Asset Allocation Tatico'!$B$9, MATCH($E68,OFFSET('Asset Allocation Tatico'!$B$9,,,COUNTA('Asset Allocation Tatico'!$B:$B)-COUNTA('Asset Allocation Tatico'!$B$1:$B$9)),0)-1, MATCH(M$5,'Asset Allocation Tatico'!$D$5:$M$5,0)+2)</f>
        <v>0.01</v>
      </c>
      <c r="N68" s="837">
        <f ca="1">SUM(N69:N71)</f>
        <v>0.01</v>
      </c>
      <c r="O68" s="354">
        <f ca="1">OFFSET('Asset Allocation Tatico'!$B$9, MATCH($E68,OFFSET('Asset Allocation Tatico'!$B$9,,,COUNTA('Asset Allocation Tatico'!$B:$B)-COUNTA('Asset Allocation Tatico'!$B$1:$B$9)),0)-1, MATCH(O$5,'Asset Allocation Tatico'!$D$5:$M$5,0)+2)</f>
        <v>1.4999999999999999E-2</v>
      </c>
      <c r="P68" s="837">
        <f ca="1">SUM(P69:P71)</f>
        <v>1.4999999999999999E-2</v>
      </c>
      <c r="Q68" s="354">
        <f ca="1">OFFSET('Asset Allocation Tatico'!$B$9, MATCH($E68,OFFSET('Asset Allocation Tatico'!$B$9,,,COUNTA('Asset Allocation Tatico'!$B:$B)-COUNTA('Asset Allocation Tatico'!$B$1:$B$9)),0)-1, MATCH(Q$5,'Asset Allocation Tatico'!$D$5:$M$5,0)+2)</f>
        <v>1.4999999999999999E-2</v>
      </c>
      <c r="R68" s="837">
        <f ca="1">SUM(R69:R71)</f>
        <v>1.4999999999999999E-2</v>
      </c>
      <c r="S68" s="354">
        <f ca="1">OFFSET('Asset Allocation Tatico'!$B$9, MATCH($E68,OFFSET('Asset Allocation Tatico'!$B$9,,,COUNTA('Asset Allocation Tatico'!$B:$B)-COUNTA('Asset Allocation Tatico'!$B$1:$B$9)),0)-1, MATCH(S$5,'Asset Allocation Tatico'!$D$5:$M$5,0)+2)</f>
        <v>0.01</v>
      </c>
      <c r="T68" s="748">
        <f ca="1">SUM(T69:T71)</f>
        <v>0.01</v>
      </c>
      <c r="V68" s="838"/>
      <c r="W68" s="839"/>
      <c r="X68" s="840"/>
      <c r="Y68" s="841"/>
    </row>
    <row r="69" spans="2:25" s="846" customFormat="1" ht="15">
      <c r="B69" s="357"/>
      <c r="C69" s="357"/>
      <c r="D69" s="357"/>
      <c r="E69" s="842" t="s">
        <v>2720</v>
      </c>
      <c r="F69" s="843" t="str">
        <f>IFERROR(INDEX('Produtos Selecionados'!$G:$G,MATCH($E69,'Produtos Selecionados'!$E:$E,0)),"-")</f>
        <v>-</v>
      </c>
      <c r="G69" s="843" t="str">
        <f>IFERROR(INDEX('Produtos Selecionados'!$H:$H,MATCH($E69,'Produtos Selecionados'!$E:$E,0)),"-")</f>
        <v>Sim</v>
      </c>
      <c r="H69" s="843">
        <f>IFERROR(INDEX('Produtos Selecionados'!$O:$O,MATCH($E69,'Produtos Selecionados'!$E:$E,0)),"-")</f>
        <v>4.3499200000000002E-3</v>
      </c>
      <c r="I69" s="844" t="str">
        <f>IFERROR(INDEX('Produtos Selecionados'!$L:$L,MATCH($E69,'Produtos Selecionados'!$E:$E,0)),"-")</f>
        <v>BRL</v>
      </c>
      <c r="J69" s="844">
        <f>IFERROR(INDEX('Produtos Selecionados'!$M:$M,MATCH($E69,'Produtos Selecionados'!$E:$E,0)),"-")</f>
        <v>6</v>
      </c>
      <c r="K69" s="845">
        <v>1</v>
      </c>
      <c r="L69" s="203">
        <f ca="1">IF(K69="","", K69*K$68)</f>
        <v>5.0000000000000001E-3</v>
      </c>
      <c r="M69" s="845">
        <v>1</v>
      </c>
      <c r="N69" s="203">
        <f ca="1">IF(M69="","", M69*M$68)</f>
        <v>0.01</v>
      </c>
      <c r="O69" s="845">
        <v>1</v>
      </c>
      <c r="P69" s="203">
        <f ca="1">IF(O69="","", O69*O$68)</f>
        <v>1.4999999999999999E-2</v>
      </c>
      <c r="Q69" s="845">
        <v>1</v>
      </c>
      <c r="R69" s="203">
        <f ca="1">IF(Q69="","", Q69*Q$68)</f>
        <v>1.4999999999999999E-2</v>
      </c>
      <c r="S69" s="845">
        <v>1</v>
      </c>
      <c r="T69" s="203">
        <f ca="1">IF(S69="","", S69*S$68)</f>
        <v>0.01</v>
      </c>
      <c r="V69" s="847" t="str">
        <f>IFERROR(IF(INDEX('Produtos Selecionados'!$G:$G,MATCH($E69,'Produtos Selecionados'!$E:$E,0))="MFO", "Evitar - ROA baixo", "OK"),"OK")</f>
        <v>OK</v>
      </c>
      <c r="W69" s="845"/>
      <c r="X69" s="848"/>
      <c r="Y69" s="849"/>
    </row>
    <row r="70" spans="2:25" s="846" customFormat="1" ht="15">
      <c r="B70" s="357"/>
      <c r="C70" s="357"/>
      <c r="D70" s="357"/>
      <c r="E70" s="842"/>
      <c r="F70" s="843" t="str">
        <f>IFERROR(INDEX('Produtos Selecionados'!$G:$G,MATCH($E70,'Produtos Selecionados'!$E:$E,0)),"-")</f>
        <v>-</v>
      </c>
      <c r="G70" s="843" t="str">
        <f>IFERROR(INDEX('Produtos Selecionados'!$H:$H,MATCH($E70,'Produtos Selecionados'!$E:$E,0)),"-")</f>
        <v>-</v>
      </c>
      <c r="H70" s="843" t="str">
        <f>IFERROR(INDEX('Produtos Selecionados'!$O:$O,MATCH($E70,'Produtos Selecionados'!$E:$E,0)),"-")</f>
        <v>-</v>
      </c>
      <c r="I70" s="844" t="str">
        <f>IFERROR(INDEX('Produtos Selecionados'!$L:$L,MATCH($E70,'Produtos Selecionados'!$E:$E,0)),"-")</f>
        <v>-</v>
      </c>
      <c r="J70" s="844" t="str">
        <f>IFERROR(INDEX('Produtos Selecionados'!$M:$M,MATCH($E70,'Produtos Selecionados'!$E:$E,0)),"-")</f>
        <v>-</v>
      </c>
      <c r="K70" s="845"/>
      <c r="L70" s="203" t="str">
        <f>IF(K70="","", K70*K$68)</f>
        <v/>
      </c>
      <c r="M70" s="845"/>
      <c r="N70" s="203" t="str">
        <f>IF(M70="","", M70*M$68)</f>
        <v/>
      </c>
      <c r="O70" s="845"/>
      <c r="P70" s="203" t="str">
        <f>IF(O70="","", O70*O$68)</f>
        <v/>
      </c>
      <c r="Q70" s="845"/>
      <c r="R70" s="203" t="str">
        <f>IF(Q70="","", Q70*Q$68)</f>
        <v/>
      </c>
      <c r="S70" s="845"/>
      <c r="T70" s="203" t="str">
        <f>IF(S70="","", S70*S$68)</f>
        <v/>
      </c>
      <c r="V70" s="847" t="str">
        <f>IFERROR(IF(INDEX('Produtos Selecionados'!$G:$G,MATCH($E70,'Produtos Selecionados'!$E:$E,0))="MFO", "Evitar - ROA baixo", "OK"),"OK")</f>
        <v>OK</v>
      </c>
      <c r="W70" s="845"/>
      <c r="X70" s="848"/>
      <c r="Y70" s="849"/>
    </row>
    <row r="71" spans="2:25" s="347" customFormat="1" ht="9" customHeight="1">
      <c r="B71" s="343"/>
      <c r="C71" s="343"/>
      <c r="D71" s="343"/>
      <c r="E71" s="865"/>
      <c r="F71" s="866"/>
      <c r="G71" s="866"/>
      <c r="H71" s="866"/>
      <c r="I71" s="866"/>
      <c r="J71" s="866"/>
      <c r="K71" s="851"/>
      <c r="L71" s="852" t="str">
        <f>IF(K71="","", K71*K$11)</f>
        <v/>
      </c>
      <c r="M71" s="861"/>
      <c r="N71" s="852" t="str">
        <f>IF(M71="","", M71*M$11)</f>
        <v/>
      </c>
      <c r="O71" s="851"/>
      <c r="P71" s="852" t="str">
        <f>IF(O71="","", O71*O$11)</f>
        <v/>
      </c>
      <c r="Q71" s="851"/>
      <c r="R71" s="852" t="str">
        <f>IF(Q71="","", Q71*Q$11)</f>
        <v/>
      </c>
      <c r="S71" s="851"/>
      <c r="T71" s="852" t="str">
        <f>IF(S71="","", S71*S$11)</f>
        <v/>
      </c>
      <c r="U71" s="846"/>
      <c r="V71" s="853"/>
      <c r="W71" s="861"/>
      <c r="X71" s="867"/>
      <c r="Y71" s="868"/>
    </row>
    <row r="72" spans="2:25" s="433" customFormat="1" ht="15.75">
      <c r="B72" s="824"/>
      <c r="C72" s="824"/>
      <c r="D72" s="343" t="s">
        <v>1394</v>
      </c>
      <c r="E72" s="825" t="s">
        <v>13</v>
      </c>
      <c r="F72" s="826"/>
      <c r="G72" s="826"/>
      <c r="H72" s="826"/>
      <c r="I72" s="826"/>
      <c r="J72" s="826"/>
      <c r="K72" s="813">
        <f ca="1">OFFSET('Asset Allocation Tatico'!$B$9, MATCH($E72,OFFSET('Asset Allocation Tatico'!$B$9,,,COUNTA('Asset Allocation Tatico'!$B:$B)-COUNTA('Asset Allocation Tatico'!$B$1:$B$9)),0)-1, MATCH(K$5,'Asset Allocation Tatico'!$D$5:$M$5,0)+2)</f>
        <v>0</v>
      </c>
      <c r="L72" s="818">
        <f>L74+L87</f>
        <v>0</v>
      </c>
      <c r="M72" s="813">
        <f ca="1">OFFSET('Asset Allocation Tatico'!$B$9, MATCH($E72,OFFSET('Asset Allocation Tatico'!$B$9,,,COUNTA('Asset Allocation Tatico'!$B:$B)-COUNTA('Asset Allocation Tatico'!$B$1:$B$9)),0)-1, MATCH(M$5,'Asset Allocation Tatico'!$D$5:$M$5,0)+2)</f>
        <v>0.1</v>
      </c>
      <c r="N72" s="818">
        <f>N74+N87</f>
        <v>0.1</v>
      </c>
      <c r="O72" s="813">
        <f ca="1">OFFSET('Asset Allocation Tatico'!$B$9, MATCH($E72,OFFSET('Asset Allocation Tatico'!$B$9,,,COUNTA('Asset Allocation Tatico'!$B:$B)-COUNTA('Asset Allocation Tatico'!$B$1:$B$9)),0)-1, MATCH(O$5,'Asset Allocation Tatico'!$D$5:$M$5,0)+2)</f>
        <v>0.2</v>
      </c>
      <c r="P72" s="818">
        <f>P74+P87</f>
        <v>0.2</v>
      </c>
      <c r="Q72" s="813">
        <f ca="1">OFFSET('Asset Allocation Tatico'!$B$9, MATCH($E72,OFFSET('Asset Allocation Tatico'!$B$9,,,COUNTA('Asset Allocation Tatico'!$B:$B)-COUNTA('Asset Allocation Tatico'!$B$1:$B$9)),0)-1, MATCH(Q$5,'Asset Allocation Tatico'!$D$5:$M$5,0)+2)</f>
        <v>0.3</v>
      </c>
      <c r="R72" s="818">
        <f>R74+R87</f>
        <v>0.30000000000000004</v>
      </c>
      <c r="S72" s="813">
        <f ca="1">OFFSET('Asset Allocation Tatico'!$B$9, MATCH($E72,OFFSET('Asset Allocation Tatico'!$B$9,,,COUNTA('Asset Allocation Tatico'!$B:$B)-COUNTA('Asset Allocation Tatico'!$B$1:$B$9)),0)-1, MATCH(S$5,'Asset Allocation Tatico'!$D$5:$M$5,0)+2)</f>
        <v>0.35</v>
      </c>
      <c r="T72" s="818">
        <f>T74+T87</f>
        <v>0.34999999999999992</v>
      </c>
      <c r="U72" s="846"/>
      <c r="V72" s="818"/>
      <c r="W72" s="828"/>
      <c r="X72" s="829"/>
      <c r="Y72" s="830"/>
    </row>
    <row r="73" spans="2:25" s="347" customFormat="1" ht="5.25" customHeight="1">
      <c r="B73" s="343"/>
      <c r="C73" s="343"/>
      <c r="D73" s="343"/>
      <c r="F73" s="436"/>
      <c r="G73" s="436"/>
      <c r="H73" s="436"/>
      <c r="I73" s="436"/>
      <c r="J73" s="436"/>
      <c r="K73" s="869"/>
      <c r="L73" s="870"/>
      <c r="M73" s="869"/>
      <c r="N73" s="870"/>
      <c r="O73" s="869"/>
      <c r="P73" s="870"/>
      <c r="Q73" s="869"/>
      <c r="R73" s="870"/>
      <c r="S73" s="869"/>
      <c r="T73" s="870"/>
      <c r="U73" s="846"/>
      <c r="V73" s="870"/>
      <c r="W73" s="871"/>
      <c r="X73" s="835"/>
      <c r="Y73" s="836"/>
    </row>
    <row r="74" spans="2:25" s="347" customFormat="1" ht="15">
      <c r="B74" s="343"/>
      <c r="C74" s="343" t="s">
        <v>12</v>
      </c>
      <c r="D74" s="343" t="s">
        <v>12</v>
      </c>
      <c r="E74" s="441" t="s">
        <v>615</v>
      </c>
      <c r="F74" s="442"/>
      <c r="G74" s="442"/>
      <c r="H74" s="442"/>
      <c r="I74" s="442"/>
      <c r="J74" s="442"/>
      <c r="K74" s="839">
        <v>0</v>
      </c>
      <c r="L74" s="837">
        <f>SUM(L75:L86)</f>
        <v>0</v>
      </c>
      <c r="M74" s="839">
        <v>0.09</v>
      </c>
      <c r="N74" s="837">
        <f>SUM(N75:N86)</f>
        <v>9.0000000000000011E-2</v>
      </c>
      <c r="O74" s="839">
        <v>0.18</v>
      </c>
      <c r="P74" s="837">
        <f>SUM(P75:P86)</f>
        <v>0.18000000000000002</v>
      </c>
      <c r="Q74" s="839">
        <v>0.26500000000000001</v>
      </c>
      <c r="R74" s="837">
        <f>SUM(R75:R86)</f>
        <v>0.26500000000000001</v>
      </c>
      <c r="S74" s="839">
        <v>0.30499999999999999</v>
      </c>
      <c r="T74" s="748">
        <f>SUM(T75:T86)</f>
        <v>0.30499999999999994</v>
      </c>
      <c r="U74" s="846"/>
      <c r="V74" s="838"/>
      <c r="W74" s="839"/>
      <c r="X74" s="840"/>
      <c r="Y74" s="841"/>
    </row>
    <row r="75" spans="2:25" s="846" customFormat="1" ht="15">
      <c r="B75" s="357"/>
      <c r="C75" s="357"/>
      <c r="D75" s="357"/>
      <c r="E75" s="842" t="s">
        <v>1720</v>
      </c>
      <c r="F75" s="843" t="str">
        <f>IFERROR(INDEX('Produtos Selecionados'!$G:$G,MATCH($E75,'Produtos Selecionados'!$E:$E,0)),"-")</f>
        <v>-</v>
      </c>
      <c r="G75" s="843" t="str">
        <f>IFERROR(INDEX('Produtos Selecionados'!$H:$H,MATCH($E75,'Produtos Selecionados'!$E:$E,0)),"-")</f>
        <v>Sim</v>
      </c>
      <c r="H75" s="843">
        <f>IFERROR(INDEX('Produtos Selecionados'!$O:$O,MATCH($E75,'Produtos Selecionados'!$E:$E,0)),"-")</f>
        <v>4.0000000000000001E-3</v>
      </c>
      <c r="I75" s="844" t="str">
        <f>IFERROR(INDEX('Produtos Selecionados'!$L:$L,MATCH($E75,'Produtos Selecionados'!$E:$E,0)),"-")</f>
        <v>BRL</v>
      </c>
      <c r="J75" s="844">
        <f>IFERROR(INDEX('Produtos Selecionados'!$M:$M,MATCH($E75,'Produtos Selecionados'!$E:$E,0)),"-")</f>
        <v>31</v>
      </c>
      <c r="K75" s="845"/>
      <c r="L75" s="203" t="str">
        <f t="shared" ref="L75:L85" si="25">IF(K75="","", K75*K$74)</f>
        <v/>
      </c>
      <c r="M75" s="845"/>
      <c r="N75" s="203" t="str">
        <f t="shared" ref="N75:N83" si="26">IF(M75="","", M75*M$74)</f>
        <v/>
      </c>
      <c r="O75" s="845"/>
      <c r="P75" s="203" t="str">
        <f t="shared" ref="P75:P83" si="27">IF(O75="","", O75*O$74)</f>
        <v/>
      </c>
      <c r="Q75" s="845"/>
      <c r="R75" s="203" t="str">
        <f t="shared" ref="R75:R83" si="28">IF(Q75="","", Q75*Q$74)</f>
        <v/>
      </c>
      <c r="S75" s="845"/>
      <c r="T75" s="203" t="str">
        <f t="shared" ref="T75:T83" si="29">IF(S75="","", S75*S$74)</f>
        <v/>
      </c>
      <c r="V75" s="847" t="str">
        <f>IFERROR(IF(INDEX('Produtos Selecionados'!$G:$G,MATCH($E75,'Produtos Selecionados'!$E:$E,0))="MFO", "Evitar - ROA baixo", "OK"),"OK")</f>
        <v>OK</v>
      </c>
      <c r="W75" s="845" t="s">
        <v>630</v>
      </c>
      <c r="X75" s="848"/>
      <c r="Y75" s="849"/>
    </row>
    <row r="76" spans="2:25" s="846" customFormat="1" ht="15">
      <c r="B76" s="357"/>
      <c r="C76" s="357"/>
      <c r="D76" s="357"/>
      <c r="E76" s="842" t="s">
        <v>1719</v>
      </c>
      <c r="F76" s="843" t="str">
        <f>IFERROR(INDEX('Produtos Selecionados'!$G:$G,MATCH($E76,'Produtos Selecionados'!$E:$E,0)),"-")</f>
        <v>-</v>
      </c>
      <c r="G76" s="843" t="str">
        <f>IFERROR(INDEX('Produtos Selecionados'!$H:$H,MATCH($E76,'Produtos Selecionados'!$E:$E,0)),"-")</f>
        <v>Não</v>
      </c>
      <c r="H76" s="843">
        <f>IFERROR(INDEX('Produtos Selecionados'!$O:$O,MATCH($E76,'Produtos Selecionados'!$E:$E,0)),"-")</f>
        <v>4.8937499999999997E-3</v>
      </c>
      <c r="I76" s="844" t="str">
        <f>IFERROR(INDEX('Produtos Selecionados'!$L:$L,MATCH($E76,'Produtos Selecionados'!$E:$E,0)),"-")</f>
        <v>BRL</v>
      </c>
      <c r="J76" s="844">
        <f>IFERROR(INDEX('Produtos Selecionados'!$M:$M,MATCH($E76,'Produtos Selecionados'!$E:$E,0)),"-")</f>
        <v>31</v>
      </c>
      <c r="K76" s="845"/>
      <c r="L76" s="203" t="str">
        <f t="shared" si="25"/>
        <v/>
      </c>
      <c r="M76" s="845"/>
      <c r="N76" s="203" t="str">
        <f t="shared" si="26"/>
        <v/>
      </c>
      <c r="O76" s="845"/>
      <c r="P76" s="203" t="str">
        <f t="shared" si="27"/>
        <v/>
      </c>
      <c r="Q76" s="845"/>
      <c r="R76" s="203" t="str">
        <f t="shared" si="28"/>
        <v/>
      </c>
      <c r="S76" s="845"/>
      <c r="T76" s="203" t="str">
        <f t="shared" si="29"/>
        <v/>
      </c>
      <c r="V76" s="847" t="str">
        <f>IFERROR(IF(INDEX('Produtos Selecionados'!$G:$G,MATCH($E76,'Produtos Selecionados'!$E:$E,0))="MFO", "Evitar - ROA baixo", "OK"),"OK")</f>
        <v>OK</v>
      </c>
      <c r="W76" s="845" t="s">
        <v>630</v>
      </c>
      <c r="X76" s="848"/>
      <c r="Y76" s="849"/>
    </row>
    <row r="77" spans="2:25" s="846" customFormat="1" ht="15">
      <c r="B77" s="357"/>
      <c r="C77" s="357"/>
      <c r="D77" s="357"/>
      <c r="E77" s="842" t="s">
        <v>1718</v>
      </c>
      <c r="F77" s="843" t="str">
        <f>IFERROR(INDEX('Produtos Selecionados'!$G:$G,MATCH($E77,'Produtos Selecionados'!$E:$E,0)),"-")</f>
        <v>-</v>
      </c>
      <c r="G77" s="843" t="str">
        <f>IFERROR(INDEX('Produtos Selecionados'!$H:$H,MATCH($E77,'Produtos Selecionados'!$E:$E,0)),"-")</f>
        <v>Sim</v>
      </c>
      <c r="H77" s="843">
        <f>IFERROR(INDEX('Produtos Selecionados'!$O:$O,MATCH($E77,'Produtos Selecionados'!$E:$E,0)),"-")</f>
        <v>5.0673000000000003E-3</v>
      </c>
      <c r="I77" s="844" t="str">
        <f>IFERROR(INDEX('Produtos Selecionados'!$L:$L,MATCH($E77,'Produtos Selecionados'!$E:$E,0)),"-")</f>
        <v>BRL</v>
      </c>
      <c r="J77" s="844">
        <f>IFERROR(INDEX('Produtos Selecionados'!$M:$M,MATCH($E77,'Produtos Selecionados'!$E:$E,0)),"-")</f>
        <v>31</v>
      </c>
      <c r="K77" s="845"/>
      <c r="L77" s="203" t="str">
        <f>IF(K77="","", K77*K$74)</f>
        <v/>
      </c>
      <c r="M77" s="845"/>
      <c r="N77" s="203" t="str">
        <f>IF(M77="","", M77*M$74)</f>
        <v/>
      </c>
      <c r="O77" s="845"/>
      <c r="P77" s="203" t="str">
        <f>IF(O77="","", O77*O$74)</f>
        <v/>
      </c>
      <c r="Q77" s="845"/>
      <c r="R77" s="203" t="str">
        <f>IF(Q77="","", Q77*Q$74)</f>
        <v/>
      </c>
      <c r="S77" s="845"/>
      <c r="T77" s="203" t="str">
        <f>IF(S77="","", S77*S$74)</f>
        <v/>
      </c>
      <c r="V77" s="847" t="str">
        <f>IFERROR(IF(INDEX('Produtos Selecionados'!$G:$G,MATCH($E77,'Produtos Selecionados'!$E:$E,0))="MFO", "Evitar - ROA baixo", "OK"),"OK")</f>
        <v>OK</v>
      </c>
      <c r="W77" s="845" t="s">
        <v>630</v>
      </c>
      <c r="X77" s="848"/>
      <c r="Y77" s="849"/>
    </row>
    <row r="78" spans="2:25" s="846" customFormat="1" ht="15">
      <c r="B78" s="357"/>
      <c r="C78" s="357"/>
      <c r="D78" s="357"/>
      <c r="E78" s="842" t="s">
        <v>2708</v>
      </c>
      <c r="F78" s="843" t="str">
        <f>IFERROR(INDEX('Produtos Selecionados'!$G:$G,MATCH($E78,'Produtos Selecionados'!$E:$E,0)),"-")</f>
        <v>MFO</v>
      </c>
      <c r="G78" s="843" t="str">
        <f>IFERROR(INDEX('Produtos Selecionados'!$H:$H,MATCH($E78,'Produtos Selecionados'!$E:$E,0)),"-")</f>
        <v>Sim</v>
      </c>
      <c r="H78" s="843">
        <f>IFERROR(INDEX('Produtos Selecionados'!$O:$O,MATCH($E78,'Produtos Selecionados'!$E:$E,0)),"-")</f>
        <v>3.16666E-3</v>
      </c>
      <c r="I78" s="844" t="str">
        <f>IFERROR(INDEX('Produtos Selecionados'!$L:$L,MATCH($E78,'Produtos Selecionados'!$E:$E,0)),"-")</f>
        <v>BRL</v>
      </c>
      <c r="J78" s="844">
        <f>IFERROR(INDEX('Produtos Selecionados'!$M:$M,MATCH($E78,'Produtos Selecionados'!$E:$E,0)),"-")</f>
        <v>61</v>
      </c>
      <c r="K78" s="845"/>
      <c r="L78" s="203" t="str">
        <f t="shared" si="25"/>
        <v/>
      </c>
      <c r="M78" s="845">
        <f>2.5%/M$74</f>
        <v>0.27777777777777779</v>
      </c>
      <c r="N78" s="203">
        <f>IF(M78="","", M78*M$74)</f>
        <v>2.5000000000000001E-2</v>
      </c>
      <c r="O78" s="845">
        <f>5%/O$74</f>
        <v>0.27777777777777779</v>
      </c>
      <c r="P78" s="203">
        <f>IF(O78="","", O78*O$74)</f>
        <v>0.05</v>
      </c>
      <c r="Q78" s="845">
        <f>5.25%/Q$74</f>
        <v>0.1981132075471698</v>
      </c>
      <c r="R78" s="203">
        <f>IF(Q78="","", Q78*Q$74)</f>
        <v>5.2499999999999998E-2</v>
      </c>
      <c r="S78" s="845">
        <f>5.6%/S$74</f>
        <v>0.18360655737704917</v>
      </c>
      <c r="T78" s="203">
        <f>IF(S78="","", S78*S$74)</f>
        <v>5.5999999999999994E-2</v>
      </c>
      <c r="V78" s="847" t="str">
        <f>IFERROR(IF(INDEX('Produtos Selecionados'!$G:$G,MATCH($E78,'Produtos Selecionados'!$E:$E,0))="MFO", "Evitar - ROA baixo", "OK"),"OK")</f>
        <v>Evitar - ROA baixo</v>
      </c>
      <c r="W78" s="845" t="s">
        <v>630</v>
      </c>
      <c r="X78" s="848"/>
      <c r="Y78" s="849"/>
    </row>
    <row r="79" spans="2:25" s="846" customFormat="1" ht="15">
      <c r="B79" s="357"/>
      <c r="C79" s="357"/>
      <c r="D79" s="357"/>
      <c r="E79" s="842" t="s">
        <v>2084</v>
      </c>
      <c r="F79" s="843" t="str">
        <f>IFERROR(INDEX('Produtos Selecionados'!$G:$G,MATCH($E79,'Produtos Selecionados'!$E:$E,0)),"-")</f>
        <v>-</v>
      </c>
      <c r="G79" s="843" t="str">
        <f>IFERROR(INDEX('Produtos Selecionados'!$H:$H,MATCH($E79,'Produtos Selecionados'!$E:$E,0)),"-")</f>
        <v>Sim</v>
      </c>
      <c r="H79" s="843">
        <f>IFERROR(INDEX('Produtos Selecionados'!$O:$O,MATCH($E79,'Produtos Selecionados'!$E:$E,0)),"-")</f>
        <v>3.9500000000000004E-3</v>
      </c>
      <c r="I79" s="844" t="str">
        <f>IFERROR(INDEX('Produtos Selecionados'!$L:$L,MATCH($E79,'Produtos Selecionados'!$E:$E,0)),"-")</f>
        <v>BRL</v>
      </c>
      <c r="J79" s="844">
        <f>IFERROR(INDEX('Produtos Selecionados'!$M:$M,MATCH($E79,'Produtos Selecionados'!$E:$E,0)),"-")</f>
        <v>90</v>
      </c>
      <c r="K79" s="845"/>
      <c r="L79" s="203" t="str">
        <f t="shared" si="25"/>
        <v/>
      </c>
      <c r="M79" s="845">
        <f>2.5%/M$74</f>
        <v>0.27777777777777779</v>
      </c>
      <c r="N79" s="203">
        <f>IF(M79="","", M79*M$74)</f>
        <v>2.5000000000000001E-2</v>
      </c>
      <c r="O79" s="845">
        <f>5%/O$74</f>
        <v>0.27777777777777779</v>
      </c>
      <c r="P79" s="203">
        <f>IF(O79="","", O79*O$74)</f>
        <v>0.05</v>
      </c>
      <c r="Q79" s="845">
        <f>5.25%/Q$74</f>
        <v>0.1981132075471698</v>
      </c>
      <c r="R79" s="203">
        <f>IF(Q79="","", Q79*Q$74)</f>
        <v>5.2499999999999998E-2</v>
      </c>
      <c r="S79" s="845">
        <f>5.6%/S$74</f>
        <v>0.18360655737704917</v>
      </c>
      <c r="T79" s="203">
        <f>IF(S79="","", S79*S$74)</f>
        <v>5.5999999999999994E-2</v>
      </c>
      <c r="V79" s="847" t="str">
        <f>IFERROR(IF(INDEX('Produtos Selecionados'!$G:$G,MATCH($E79,'Produtos Selecionados'!$E:$E,0))="MFO", "Evitar - ROA baixo", "OK"),"OK")</f>
        <v>OK</v>
      </c>
      <c r="W79" s="845" t="s">
        <v>630</v>
      </c>
      <c r="X79" s="848"/>
      <c r="Y79" s="849"/>
    </row>
    <row r="80" spans="2:25" s="846" customFormat="1" ht="15">
      <c r="B80" s="357"/>
      <c r="C80" s="357"/>
      <c r="D80" s="357"/>
      <c r="E80" s="842" t="s">
        <v>2073</v>
      </c>
      <c r="F80" s="843" t="str">
        <f>IFERROR(INDEX('Produtos Selecionados'!$G:$G,MATCH($E80,'Produtos Selecionados'!$E:$E,0)),"-")</f>
        <v>-</v>
      </c>
      <c r="G80" s="843" t="str">
        <f>IFERROR(INDEX('Produtos Selecionados'!$H:$H,MATCH($E80,'Produtos Selecionados'!$E:$E,0)),"-")</f>
        <v>Sim</v>
      </c>
      <c r="H80" s="843">
        <f>IFERROR(INDEX('Produtos Selecionados'!$O:$O,MATCH($E80,'Produtos Selecionados'!$E:$E,0)),"-")</f>
        <v>4.7499999999999999E-3</v>
      </c>
      <c r="I80" s="844" t="str">
        <f>IFERROR(INDEX('Produtos Selecionados'!$L:$L,MATCH($E80,'Produtos Selecionados'!$E:$E,0)),"-")</f>
        <v>BRL</v>
      </c>
      <c r="J80" s="844">
        <f>IFERROR(INDEX('Produtos Selecionados'!$M:$M,MATCH($E80,'Produtos Selecionados'!$E:$E,0)),"-")</f>
        <v>31</v>
      </c>
      <c r="K80" s="845"/>
      <c r="L80" s="203" t="str">
        <f t="shared" si="25"/>
        <v/>
      </c>
      <c r="M80" s="845">
        <f>2%/M$74</f>
        <v>0.22222222222222224</v>
      </c>
      <c r="N80" s="203">
        <f t="shared" si="26"/>
        <v>0.02</v>
      </c>
      <c r="O80" s="845">
        <f>4%/O$74</f>
        <v>0.22222222222222224</v>
      </c>
      <c r="P80" s="203">
        <f t="shared" si="27"/>
        <v>0.04</v>
      </c>
      <c r="Q80" s="845">
        <f>4.25%/Q$74</f>
        <v>0.16037735849056603</v>
      </c>
      <c r="R80" s="203">
        <f t="shared" si="28"/>
        <v>4.2500000000000003E-2</v>
      </c>
      <c r="S80" s="845">
        <f>5%/S$74</f>
        <v>0.16393442622950821</v>
      </c>
      <c r="T80" s="203">
        <f t="shared" si="29"/>
        <v>0.05</v>
      </c>
      <c r="V80" s="847" t="str">
        <f>IFERROR(IF(INDEX('Produtos Selecionados'!$G:$G,MATCH($E80,'Produtos Selecionados'!$E:$E,0))="MFO", "Evitar - ROA baixo", "OK"),"OK")</f>
        <v>OK</v>
      </c>
      <c r="W80" s="845" t="s">
        <v>630</v>
      </c>
      <c r="X80" s="848"/>
      <c r="Y80" s="849"/>
    </row>
    <row r="81" spans="2:25" s="846" customFormat="1" ht="15">
      <c r="B81" s="357"/>
      <c r="C81" s="357"/>
      <c r="D81" s="357"/>
      <c r="E81" s="842" t="s">
        <v>4568</v>
      </c>
      <c r="F81" s="843" t="str">
        <f>IFERROR(INDEX('Produtos Selecionados'!$G:$G,MATCH($E81,'Produtos Selecionados'!$E:$E,0)),"-")</f>
        <v>-</v>
      </c>
      <c r="G81" s="843" t="str">
        <f>IFERROR(INDEX('Produtos Selecionados'!$H:$H,MATCH($E81,'Produtos Selecionados'!$E:$E,0)),"-")</f>
        <v>Sim</v>
      </c>
      <c r="H81" s="843">
        <f>IFERROR(INDEX('Produtos Selecionados'!$O:$O,MATCH($E81,'Produtos Selecionados'!$E:$E,0)),"-")</f>
        <v>3.8E-3</v>
      </c>
      <c r="I81" s="844" t="str">
        <f>IFERROR(INDEX('Produtos Selecionados'!$L:$L,MATCH($E81,'Produtos Selecionados'!$E:$E,0)),"-")</f>
        <v>BRL</v>
      </c>
      <c r="J81" s="844">
        <f>IFERROR(INDEX('Produtos Selecionados'!$M:$M,MATCH($E81,'Produtos Selecionados'!$E:$E,0)),"-")</f>
        <v>30</v>
      </c>
      <c r="K81" s="845"/>
      <c r="L81" s="203" t="str">
        <f t="shared" si="25"/>
        <v/>
      </c>
      <c r="M81" s="845">
        <f>2%/M$74</f>
        <v>0.22222222222222224</v>
      </c>
      <c r="N81" s="203">
        <f>IF(M81="","", M81*M$74)</f>
        <v>0.02</v>
      </c>
      <c r="O81" s="845">
        <f>4%/O$74</f>
        <v>0.22222222222222224</v>
      </c>
      <c r="P81" s="203">
        <f>IF(O81="","", O81*O$74)</f>
        <v>0.04</v>
      </c>
      <c r="Q81" s="845">
        <f>4.25%/Q$74</f>
        <v>0.16037735849056603</v>
      </c>
      <c r="R81" s="203">
        <f>IF(Q81="","", Q81*Q$74)</f>
        <v>4.2500000000000003E-2</v>
      </c>
      <c r="S81" s="845">
        <f>5%/S$74</f>
        <v>0.16393442622950821</v>
      </c>
      <c r="T81" s="203">
        <f>IF(S81="","", S81*S$74)</f>
        <v>0.05</v>
      </c>
      <c r="V81" s="847" t="str">
        <f>IFERROR(IF(INDEX('Produtos Selecionados'!$G:$G,MATCH($E81,'Produtos Selecionados'!$E:$E,0))="MFO", "Evitar - ROA baixo", "OK"),"OK")</f>
        <v>OK</v>
      </c>
      <c r="W81" s="845" t="s">
        <v>630</v>
      </c>
      <c r="X81" s="848"/>
      <c r="Y81" s="849"/>
    </row>
    <row r="82" spans="2:25" s="846" customFormat="1" ht="15">
      <c r="B82" s="357"/>
      <c r="C82" s="357"/>
      <c r="D82" s="357"/>
      <c r="E82" s="842" t="s">
        <v>1721</v>
      </c>
      <c r="F82" s="843" t="str">
        <f>IFERROR(INDEX('Produtos Selecionados'!$G:$G,MATCH($E82,'Produtos Selecionados'!$E:$E,0)),"-")</f>
        <v>-</v>
      </c>
      <c r="G82" s="843" t="str">
        <f>IFERROR(INDEX('Produtos Selecionados'!$H:$H,MATCH($E82,'Produtos Selecionados'!$E:$E,0)),"-")</f>
        <v>Sim</v>
      </c>
      <c r="H82" s="843">
        <f>IFERROR(INDEX('Produtos Selecionados'!$O:$O,MATCH($E82,'Produtos Selecionados'!$E:$E,0)),"-")</f>
        <v>4.7499999999999999E-3</v>
      </c>
      <c r="I82" s="844" t="str">
        <f>IFERROR(INDEX('Produtos Selecionados'!$L:$L,MATCH($E82,'Produtos Selecionados'!$E:$E,0)),"-")</f>
        <v>BRL</v>
      </c>
      <c r="J82" s="844">
        <f>IFERROR(INDEX('Produtos Selecionados'!$M:$M,MATCH($E82,'Produtos Selecionados'!$E:$E,0)),"-")</f>
        <v>31</v>
      </c>
      <c r="K82" s="845"/>
      <c r="L82" s="203" t="str">
        <f>IF(K82="","", K82*K$74)</f>
        <v/>
      </c>
      <c r="M82" s="845"/>
      <c r="N82" s="203" t="str">
        <f t="shared" si="26"/>
        <v/>
      </c>
      <c r="O82" s="845"/>
      <c r="P82" s="203" t="str">
        <f t="shared" si="27"/>
        <v/>
      </c>
      <c r="Q82" s="845">
        <f>4.25%/Q$74</f>
        <v>0.16037735849056603</v>
      </c>
      <c r="R82" s="203">
        <f t="shared" si="28"/>
        <v>4.2500000000000003E-2</v>
      </c>
      <c r="S82" s="845">
        <f>5%/S$74</f>
        <v>0.16393442622950821</v>
      </c>
      <c r="T82" s="203">
        <f t="shared" si="29"/>
        <v>0.05</v>
      </c>
      <c r="V82" s="847" t="str">
        <f>IFERROR(IF(INDEX('Produtos Selecionados'!$G:$G,MATCH($E82,'Produtos Selecionados'!$E:$E,0))="MFO", "Evitar - ROA baixo", "OK"),"OK")</f>
        <v>OK</v>
      </c>
      <c r="W82" s="845" t="s">
        <v>630</v>
      </c>
      <c r="X82" s="848"/>
      <c r="Y82" s="849"/>
    </row>
    <row r="83" spans="2:25" s="846" customFormat="1" ht="15">
      <c r="B83" s="357"/>
      <c r="C83" s="357"/>
      <c r="D83" s="357"/>
      <c r="E83" s="842" t="s">
        <v>2718</v>
      </c>
      <c r="F83" s="843" t="str">
        <f>IFERROR(INDEX('Produtos Selecionados'!$G:$G,MATCH($E83,'Produtos Selecionados'!$E:$E,0)),"-")</f>
        <v>-</v>
      </c>
      <c r="G83" s="843" t="str">
        <f>IFERROR(INDEX('Produtos Selecionados'!$H:$H,MATCH($E83,'Produtos Selecionados'!$E:$E,0)),"-")</f>
        <v>Não</v>
      </c>
      <c r="H83" s="843">
        <f>IFERROR(INDEX('Produtos Selecionados'!$O:$O,MATCH($E83,'Produtos Selecionados'!$E:$E,0)),"-")</f>
        <v>4.0000000000000001E-3</v>
      </c>
      <c r="I83" s="844" t="str">
        <f>IFERROR(INDEX('Produtos Selecionados'!$L:$L,MATCH($E83,'Produtos Selecionados'!$E:$E,0)),"-")</f>
        <v>BRL</v>
      </c>
      <c r="J83" s="844">
        <f>IFERROR(INDEX('Produtos Selecionados'!$M:$M,MATCH($E83,'Produtos Selecionados'!$E:$E,0)),"-")</f>
        <v>31</v>
      </c>
      <c r="K83" s="845"/>
      <c r="L83" s="203" t="str">
        <f>IF(K83="","", K83*K$74)</f>
        <v/>
      </c>
      <c r="M83" s="845"/>
      <c r="N83" s="203" t="str">
        <f t="shared" si="26"/>
        <v/>
      </c>
      <c r="O83" s="845"/>
      <c r="P83" s="203" t="str">
        <f t="shared" si="27"/>
        <v/>
      </c>
      <c r="Q83" s="845"/>
      <c r="R83" s="203" t="str">
        <f t="shared" si="28"/>
        <v/>
      </c>
      <c r="S83" s="845"/>
      <c r="T83" s="203" t="str">
        <f t="shared" si="29"/>
        <v/>
      </c>
      <c r="V83" s="847" t="str">
        <f>IFERROR(IF(INDEX('Produtos Selecionados'!$G:$G,MATCH($E83,'Produtos Selecionados'!$E:$E,0))="MFO", "Evitar - ROA baixo", "OK"),"OK")</f>
        <v>OK</v>
      </c>
      <c r="W83" s="845" t="s">
        <v>630</v>
      </c>
      <c r="X83" s="848"/>
      <c r="Y83" s="849"/>
    </row>
    <row r="84" spans="2:25" s="846" customFormat="1" ht="15">
      <c r="B84" s="357"/>
      <c r="C84" s="357"/>
      <c r="D84" s="357"/>
      <c r="E84" s="842" t="s">
        <v>1727</v>
      </c>
      <c r="F84" s="843" t="str">
        <f>IFERROR(INDEX('Produtos Selecionados'!$G:$G,MATCH($E84,'Produtos Selecionados'!$E:$E,0)),"-")</f>
        <v>-</v>
      </c>
      <c r="G84" s="843" t="str">
        <f>IFERROR(INDEX('Produtos Selecionados'!$H:$H,MATCH($E84,'Produtos Selecionados'!$E:$E,0)),"-")</f>
        <v>Sim</v>
      </c>
      <c r="H84" s="843">
        <f>IFERROR(INDEX('Produtos Selecionados'!$O:$O,MATCH($E84,'Produtos Selecionados'!$E:$E,0)),"-")</f>
        <v>4.7999999999999996E-3</v>
      </c>
      <c r="I84" s="844" t="str">
        <f>IFERROR(INDEX('Produtos Selecionados'!$L:$L,MATCH($E84,'Produtos Selecionados'!$E:$E,0)),"-")</f>
        <v>BRL</v>
      </c>
      <c r="J84" s="844">
        <f>IFERROR(INDEX('Produtos Selecionados'!$M:$M,MATCH($E84,'Produtos Selecionados'!$E:$E,0)),"-")</f>
        <v>31</v>
      </c>
      <c r="K84" s="845"/>
      <c r="L84" s="203" t="str">
        <f>IF(K84="","", K84*K$74)</f>
        <v/>
      </c>
      <c r="M84" s="845"/>
      <c r="N84" s="203" t="str">
        <f>IF(M84="","", M84*M$74)</f>
        <v/>
      </c>
      <c r="O84" s="845"/>
      <c r="P84" s="203" t="str">
        <f>IF(O84="","", O84*O$74)</f>
        <v/>
      </c>
      <c r="Q84" s="845">
        <f>3.25%/Q$74</f>
        <v>0.12264150943396226</v>
      </c>
      <c r="R84" s="203">
        <f>IF(Q84="","", Q84*Q$74)</f>
        <v>3.2500000000000001E-2</v>
      </c>
      <c r="S84" s="845">
        <f>4.3%/S$74</f>
        <v>0.14098360655737704</v>
      </c>
      <c r="T84" s="203">
        <f>IF(S84="","", S84*S$74)</f>
        <v>4.2999999999999997E-2</v>
      </c>
      <c r="V84" s="847" t="str">
        <f>IFERROR(IF(INDEX('Produtos Selecionados'!$G:$G,MATCH($E84,'Produtos Selecionados'!$E:$E,0))="MFO", "Evitar - ROA baixo", "OK"),"OK")</f>
        <v>OK</v>
      </c>
      <c r="W84" s="845" t="s">
        <v>630</v>
      </c>
      <c r="X84" s="848"/>
      <c r="Y84" s="849"/>
    </row>
    <row r="85" spans="2:25" s="846" customFormat="1" ht="15">
      <c r="B85" s="357"/>
      <c r="C85" s="357"/>
      <c r="D85" s="357"/>
      <c r="E85" s="842" t="s">
        <v>2717</v>
      </c>
      <c r="F85" s="843" t="str">
        <f>IFERROR(INDEX('Produtos Selecionados'!$G:$G,MATCH($E85,'Produtos Selecionados'!$E:$E,0)),"-")</f>
        <v>-</v>
      </c>
      <c r="G85" s="843" t="str">
        <f>IFERROR(INDEX('Produtos Selecionados'!$H:$H,MATCH($E85,'Produtos Selecionados'!$E:$E,0)),"-")</f>
        <v>Sim</v>
      </c>
      <c r="H85" s="843">
        <f>IFERROR(INDEX('Produtos Selecionados'!$O:$O,MATCH($E85,'Produtos Selecionados'!$E:$E,0)),"-")</f>
        <v>5.0666666666666698E-3</v>
      </c>
      <c r="I85" s="844" t="str">
        <f>IFERROR(INDEX('Produtos Selecionados'!$L:$L,MATCH($E85,'Produtos Selecionados'!$E:$E,0)),"-")</f>
        <v>BRL</v>
      </c>
      <c r="J85" s="844">
        <f>IFERROR(INDEX('Produtos Selecionados'!$M:$M,MATCH($E85,'Produtos Selecionados'!$E:$E,0)),"-")</f>
        <v>30</v>
      </c>
      <c r="K85" s="845"/>
      <c r="L85" s="203" t="str">
        <f t="shared" si="25"/>
        <v/>
      </c>
      <c r="M85" s="845"/>
      <c r="N85" s="203" t="str">
        <f t="shared" ref="N85" si="30">IF(M85="","", M85*M$74)</f>
        <v/>
      </c>
      <c r="O85" s="845"/>
      <c r="P85" s="203" t="str">
        <f t="shared" ref="P85" si="31">IF(O85="","", O85*O$74)</f>
        <v/>
      </c>
      <c r="Q85" s="845"/>
      <c r="R85" s="203" t="str">
        <f t="shared" ref="R85" si="32">IF(Q85="","", Q85*Q$74)</f>
        <v/>
      </c>
      <c r="S85" s="845"/>
      <c r="T85" s="203" t="str">
        <f t="shared" ref="T85" si="33">IF(S85="","", S85*S$74)</f>
        <v/>
      </c>
      <c r="V85" s="847" t="str">
        <f>IFERROR(IF(INDEX('Produtos Selecionados'!$G:$G,MATCH($E85,'Produtos Selecionados'!$E:$E,0))="MFO", "Evitar - ROA baixo", "OK"),"OK")</f>
        <v>OK</v>
      </c>
      <c r="W85" s="845" t="s">
        <v>630</v>
      </c>
      <c r="X85" s="848"/>
      <c r="Y85" s="849"/>
    </row>
    <row r="86" spans="2:25" s="347" customFormat="1" ht="8.25" customHeight="1">
      <c r="B86" s="343"/>
      <c r="C86" s="343"/>
      <c r="D86" s="343"/>
      <c r="E86" s="850"/>
      <c r="F86" s="436"/>
      <c r="G86" s="436"/>
      <c r="H86" s="436"/>
      <c r="I86" s="436"/>
      <c r="J86" s="436"/>
      <c r="K86" s="851"/>
      <c r="L86" s="852" t="str">
        <f>IF(K86="","", K86*K$11)</f>
        <v/>
      </c>
      <c r="M86" s="845"/>
      <c r="N86" s="852" t="str">
        <f>IF(M86="","", M86*M$11)</f>
        <v/>
      </c>
      <c r="O86" s="851"/>
      <c r="P86" s="852" t="str">
        <f>IF(O86="","", O86*O$11)</f>
        <v/>
      </c>
      <c r="Q86" s="851"/>
      <c r="R86" s="852" t="str">
        <f>IF(Q86="","", Q86*Q$11)</f>
        <v/>
      </c>
      <c r="S86" s="851"/>
      <c r="T86" s="852" t="str">
        <f>IF(S86="","", S86*S$11)</f>
        <v/>
      </c>
      <c r="U86" s="846"/>
      <c r="V86" s="853"/>
      <c r="W86" s="845"/>
      <c r="X86" s="835"/>
      <c r="Y86" s="836"/>
    </row>
    <row r="87" spans="2:25" s="347" customFormat="1" ht="15">
      <c r="B87" s="343"/>
      <c r="C87" s="343" t="s">
        <v>1394</v>
      </c>
      <c r="D87" s="343" t="s">
        <v>12</v>
      </c>
      <c r="E87" s="441" t="s">
        <v>616</v>
      </c>
      <c r="F87" s="442"/>
      <c r="G87" s="442"/>
      <c r="H87" s="442"/>
      <c r="I87" s="442"/>
      <c r="J87" s="442"/>
      <c r="K87" s="354">
        <f>K89+K93+K98</f>
        <v>0</v>
      </c>
      <c r="L87" s="837">
        <f t="shared" ref="L87:T87" si="34">L89+L93+L98</f>
        <v>0</v>
      </c>
      <c r="M87" s="354">
        <f t="shared" si="34"/>
        <v>0.01</v>
      </c>
      <c r="N87" s="837">
        <f t="shared" si="34"/>
        <v>0.01</v>
      </c>
      <c r="O87" s="354">
        <f t="shared" si="34"/>
        <v>0.02</v>
      </c>
      <c r="P87" s="837">
        <f t="shared" si="34"/>
        <v>0.02</v>
      </c>
      <c r="Q87" s="354">
        <f t="shared" si="34"/>
        <v>3.5000000000000003E-2</v>
      </c>
      <c r="R87" s="837">
        <f t="shared" si="34"/>
        <v>3.5000000000000003E-2</v>
      </c>
      <c r="S87" s="354">
        <f t="shared" si="34"/>
        <v>4.4999999999999998E-2</v>
      </c>
      <c r="T87" s="748">
        <f t="shared" si="34"/>
        <v>4.4999999999999998E-2</v>
      </c>
      <c r="U87" s="846"/>
      <c r="V87" s="838"/>
      <c r="W87" s="839"/>
      <c r="X87" s="840"/>
      <c r="Y87" s="841"/>
    </row>
    <row r="88" spans="2:25" s="347" customFormat="1" ht="3" customHeight="1">
      <c r="B88" s="343"/>
      <c r="C88" s="343"/>
      <c r="D88" s="343"/>
      <c r="F88" s="436"/>
      <c r="G88" s="436"/>
      <c r="H88" s="436"/>
      <c r="I88" s="436"/>
      <c r="J88" s="436"/>
      <c r="K88" s="854"/>
      <c r="L88" s="855"/>
      <c r="M88" s="854"/>
      <c r="N88" s="855"/>
      <c r="O88" s="854"/>
      <c r="P88" s="855"/>
      <c r="Q88" s="854"/>
      <c r="R88" s="855"/>
      <c r="S88" s="854"/>
      <c r="T88" s="855"/>
      <c r="U88" s="846"/>
      <c r="V88" s="855"/>
      <c r="W88" s="856"/>
      <c r="X88" s="835"/>
      <c r="Y88" s="836"/>
    </row>
    <row r="89" spans="2:25" s="347" customFormat="1" ht="15">
      <c r="B89" s="343"/>
      <c r="C89" s="343"/>
      <c r="D89" s="343" t="s">
        <v>12</v>
      </c>
      <c r="E89" s="458" t="s">
        <v>610</v>
      </c>
      <c r="F89" s="459"/>
      <c r="G89" s="459"/>
      <c r="H89" s="459"/>
      <c r="I89" s="459"/>
      <c r="J89" s="459"/>
      <c r="K89" s="385">
        <v>0</v>
      </c>
      <c r="L89" s="857">
        <f>SUM(L90:L92)</f>
        <v>0</v>
      </c>
      <c r="M89" s="385">
        <v>0</v>
      </c>
      <c r="N89" s="857">
        <f>SUM(N90:N92)</f>
        <v>0</v>
      </c>
      <c r="O89" s="385">
        <v>0</v>
      </c>
      <c r="P89" s="857">
        <f>SUM(P90:P92)</f>
        <v>0</v>
      </c>
      <c r="Q89" s="385">
        <v>1.4999999999999999E-2</v>
      </c>
      <c r="R89" s="857">
        <f>SUM(R90:R92)</f>
        <v>1.4999999999999999E-2</v>
      </c>
      <c r="S89" s="385">
        <v>0.02</v>
      </c>
      <c r="T89" s="857">
        <f>SUM(T90:T92)</f>
        <v>0.02</v>
      </c>
      <c r="U89" s="846"/>
      <c r="V89" s="858"/>
      <c r="W89" s="385"/>
      <c r="X89" s="859"/>
      <c r="Y89" s="860"/>
    </row>
    <row r="90" spans="2:25" s="846" customFormat="1" ht="15">
      <c r="B90" s="357"/>
      <c r="C90" s="357"/>
      <c r="D90" s="357"/>
      <c r="E90" s="842" t="s">
        <v>1717</v>
      </c>
      <c r="F90" s="843" t="str">
        <f>IFERROR(INDEX('Produtos Selecionados'!$G:$G,MATCH($E90,'Produtos Selecionados'!$E:$E,0)),"-")</f>
        <v>-</v>
      </c>
      <c r="G90" s="843" t="str">
        <f>IFERROR(INDEX('Produtos Selecionados'!$H:$H,MATCH($E90,'Produtos Selecionados'!$E:$E,0)),"-")</f>
        <v>Sim</v>
      </c>
      <c r="H90" s="843">
        <f>IFERROR(INDEX('Produtos Selecionados'!$O:$O,MATCH($E90,'Produtos Selecionados'!$E:$E,0)),"-")</f>
        <v>4.0000000000000001E-3</v>
      </c>
      <c r="I90" s="844" t="str">
        <f>IFERROR(INDEX('Produtos Selecionados'!$L:$L,MATCH($E90,'Produtos Selecionados'!$E:$E,0)),"-")</f>
        <v>BRL</v>
      </c>
      <c r="J90" s="844">
        <f>IFERROR(INDEX('Produtos Selecionados'!$M:$M,MATCH($E90,'Produtos Selecionados'!$E:$E,0)),"-")</f>
        <v>18</v>
      </c>
      <c r="K90" s="845"/>
      <c r="L90" s="203" t="str">
        <f t="shared" ref="L90:N92" si="35">IF(K90="","", K90*K$89)</f>
        <v/>
      </c>
      <c r="M90" s="845"/>
      <c r="N90" s="203" t="str">
        <f t="shared" si="35"/>
        <v/>
      </c>
      <c r="O90" s="845"/>
      <c r="P90" s="203" t="str">
        <f>IF(O90="","", O90*O$89)</f>
        <v/>
      </c>
      <c r="Q90" s="845"/>
      <c r="R90" s="203" t="str">
        <f>IF(Q90="","", Q90*Q$89)</f>
        <v/>
      </c>
      <c r="S90" s="845"/>
      <c r="T90" s="203" t="str">
        <f>IF(S90="","", S90*S$89)</f>
        <v/>
      </c>
      <c r="V90" s="847" t="str">
        <f>IFERROR(IF(INDEX('Produtos Selecionados'!$G:$G,MATCH($E90,'Produtos Selecionados'!$E:$E,0))="MFO", "Evitar - ROA baixo", "OK"),"OK")</f>
        <v>OK</v>
      </c>
      <c r="W90" s="845" t="s">
        <v>630</v>
      </c>
      <c r="X90" s="848"/>
      <c r="Y90" s="849"/>
    </row>
    <row r="91" spans="2:25" s="846" customFormat="1" ht="15">
      <c r="B91" s="357"/>
      <c r="C91" s="357"/>
      <c r="D91" s="357"/>
      <c r="E91" s="842" t="s">
        <v>1724</v>
      </c>
      <c r="F91" s="843" t="str">
        <f>IFERROR(INDEX('Produtos Selecionados'!$G:$G,MATCH($E91,'Produtos Selecionados'!$E:$E,0)),"-")</f>
        <v>MFO</v>
      </c>
      <c r="G91" s="843" t="str">
        <f>IFERROR(INDEX('Produtos Selecionados'!$H:$H,MATCH($E91,'Produtos Selecionados'!$E:$E,0)),"-")</f>
        <v>Sim</v>
      </c>
      <c r="H91" s="843">
        <f>IFERROR(INDEX('Produtos Selecionados'!$O:$O,MATCH($E91,'Produtos Selecionados'!$E:$E,0)),"-")</f>
        <v>1.9E-3</v>
      </c>
      <c r="I91" s="844" t="str">
        <f>IFERROR(INDEX('Produtos Selecionados'!$L:$L,MATCH($E91,'Produtos Selecionados'!$E:$E,0)),"-")</f>
        <v>BRL</v>
      </c>
      <c r="J91" s="844">
        <f>IFERROR(INDEX('Produtos Selecionados'!$M:$M,MATCH($E91,'Produtos Selecionados'!$E:$E,0)),"-")</f>
        <v>33</v>
      </c>
      <c r="K91" s="845"/>
      <c r="L91" s="203" t="str">
        <f>IF(K91="","", K91*K$89)</f>
        <v/>
      </c>
      <c r="M91" s="845"/>
      <c r="N91" s="203" t="str">
        <f>IF(M91="","", M91*M$89)</f>
        <v/>
      </c>
      <c r="O91" s="845"/>
      <c r="P91" s="203" t="str">
        <f>IF(O91="","", O91*O$89)</f>
        <v/>
      </c>
      <c r="Q91" s="845">
        <v>1</v>
      </c>
      <c r="R91" s="203">
        <f>IF(Q91="","", Q91*Q$89)</f>
        <v>1.4999999999999999E-2</v>
      </c>
      <c r="S91" s="845">
        <v>1</v>
      </c>
      <c r="T91" s="203">
        <f>IF(S91="","", S91*S$89)</f>
        <v>0.02</v>
      </c>
      <c r="V91" s="847" t="str">
        <f>IFERROR(IF(INDEX('Produtos Selecionados'!$G:$G,MATCH($E91,'Produtos Selecionados'!$E:$E,0))="MFO", "Evitar - ROA baixo", "OK"),"OK")</f>
        <v>Evitar - ROA baixo</v>
      </c>
      <c r="W91" s="845" t="s">
        <v>630</v>
      </c>
      <c r="X91" s="848"/>
      <c r="Y91" s="849"/>
    </row>
    <row r="92" spans="2:25" s="846" customFormat="1" ht="5.25" customHeight="1">
      <c r="B92" s="357"/>
      <c r="C92" s="357"/>
      <c r="D92" s="357"/>
      <c r="E92" s="453"/>
      <c r="F92" s="862" t="str">
        <f>IFERROR(INDEX('Produtos Selecionados'!$M:$M,MATCH(A92,'Produtos Selecionados'!$E:$E,0)),"-")</f>
        <v>-</v>
      </c>
      <c r="G92" s="862" t="str">
        <f>IFERROR(INDEX('Produtos Selecionados'!$M:$M,MATCH(B92,'Produtos Selecionados'!$E:$E,0)),"-")</f>
        <v>-</v>
      </c>
      <c r="H92" s="862" t="str">
        <f>IFERROR(INDEX('Produtos Selecionados'!$M:$M,MATCH(C92,'Produtos Selecionados'!$E:$E,0)),"-")</f>
        <v>-</v>
      </c>
      <c r="I92" s="862" t="str">
        <f>IFERROR(INDEX('Produtos Selecionados'!$M:$M,MATCH(D92,'Produtos Selecionados'!$E:$E,0)),"-")</f>
        <v>-</v>
      </c>
      <c r="J92" s="862" t="str">
        <f>IFERROR(INDEX('Produtos Selecionados'!$M:$M,MATCH(D92,'Produtos Selecionados'!$E:$E,0)),"-")</f>
        <v>-</v>
      </c>
      <c r="K92" s="851"/>
      <c r="L92" s="852" t="str">
        <f t="shared" si="35"/>
        <v/>
      </c>
      <c r="M92" s="851"/>
      <c r="N92" s="852" t="str">
        <f t="shared" si="35"/>
        <v/>
      </c>
      <c r="O92" s="851"/>
      <c r="P92" s="852" t="str">
        <f>IF(O92="","", O92*O$89)</f>
        <v/>
      </c>
      <c r="Q92" s="851"/>
      <c r="R92" s="852" t="str">
        <f>IF(Q92="","", Q92*Q$89)</f>
        <v/>
      </c>
      <c r="S92" s="851"/>
      <c r="T92" s="852" t="str">
        <f>IF(S92="","", S92*S$89)</f>
        <v/>
      </c>
      <c r="V92" s="853"/>
      <c r="W92" s="861"/>
      <c r="X92" s="863"/>
      <c r="Y92" s="864"/>
    </row>
    <row r="93" spans="2:25" s="347" customFormat="1" ht="15">
      <c r="B93" s="343"/>
      <c r="C93" s="343"/>
      <c r="D93" s="343" t="s">
        <v>12</v>
      </c>
      <c r="E93" s="458" t="s">
        <v>617</v>
      </c>
      <c r="F93" s="459"/>
      <c r="G93" s="459"/>
      <c r="H93" s="459"/>
      <c r="I93" s="459"/>
      <c r="J93" s="459"/>
      <c r="K93" s="385">
        <v>0</v>
      </c>
      <c r="L93" s="857">
        <f>SUM(L94:L97)</f>
        <v>0</v>
      </c>
      <c r="M93" s="385">
        <v>0.01</v>
      </c>
      <c r="N93" s="857">
        <f>SUM(N94:N97)</f>
        <v>0.01</v>
      </c>
      <c r="O93" s="385">
        <v>0.02</v>
      </c>
      <c r="P93" s="857">
        <f>SUM(P94:P97)</f>
        <v>0.02</v>
      </c>
      <c r="Q93" s="385">
        <v>0.02</v>
      </c>
      <c r="R93" s="857">
        <f>SUM(R94:R97)</f>
        <v>0.02</v>
      </c>
      <c r="S93" s="385">
        <v>2.5000000000000001E-2</v>
      </c>
      <c r="T93" s="857">
        <f>SUM(T94:T97)</f>
        <v>2.5000000000000001E-2</v>
      </c>
      <c r="U93" s="846"/>
      <c r="V93" s="858"/>
      <c r="W93" s="385"/>
      <c r="X93" s="859"/>
      <c r="Y93" s="860"/>
    </row>
    <row r="94" spans="2:25" s="846" customFormat="1" ht="15">
      <c r="B94" s="357"/>
      <c r="C94" s="357"/>
      <c r="D94" s="357"/>
      <c r="E94" s="842" t="s">
        <v>2085</v>
      </c>
      <c r="F94" s="843" t="str">
        <f>IFERROR(INDEX('Produtos Selecionados'!$G:$G,MATCH($E94,'Produtos Selecionados'!$E:$E,0)),"-")</f>
        <v>-</v>
      </c>
      <c r="G94" s="843" t="str">
        <f>IFERROR(INDEX('Produtos Selecionados'!$H:$H,MATCH($E94,'Produtos Selecionados'!$E:$E,0)),"-")</f>
        <v>Sim</v>
      </c>
      <c r="H94" s="843">
        <f>IFERROR(INDEX('Produtos Selecionados'!$O:$O,MATCH($E94,'Produtos Selecionados'!$E:$E,0)),"-")</f>
        <v>4.6249999999999998E-3</v>
      </c>
      <c r="I94" s="844" t="str">
        <f>IFERROR(INDEX('Produtos Selecionados'!$L:$L,MATCH($E94,'Produtos Selecionados'!$E:$E,0)),"-")</f>
        <v>BRL</v>
      </c>
      <c r="J94" s="844">
        <f>IFERROR(INDEX('Produtos Selecionados'!$M:$M,MATCH($E94,'Produtos Selecionados'!$E:$E,0)),"-")</f>
        <v>15</v>
      </c>
      <c r="K94" s="845"/>
      <c r="L94" s="203" t="str">
        <f>IF(K94="","", K94*K$93)</f>
        <v/>
      </c>
      <c r="M94" s="845">
        <v>1</v>
      </c>
      <c r="N94" s="203">
        <f>IF(M94="","", M94*M$93)</f>
        <v>0.01</v>
      </c>
      <c r="O94" s="845">
        <v>1</v>
      </c>
      <c r="P94" s="203">
        <f>IF(O94="","", O94*O$93)</f>
        <v>0.02</v>
      </c>
      <c r="Q94" s="845">
        <v>1</v>
      </c>
      <c r="R94" s="203">
        <f>IF(Q94="","", Q94*Q$93)</f>
        <v>0.02</v>
      </c>
      <c r="S94" s="845">
        <v>1</v>
      </c>
      <c r="T94" s="203">
        <f>IF(S94="","", S94*S$93)</f>
        <v>2.5000000000000001E-2</v>
      </c>
      <c r="V94" s="847" t="str">
        <f>IFERROR(IF(INDEX('Produtos Selecionados'!$G:$G,MATCH($E94,'Produtos Selecionados'!$E:$E,0))="MFO", "Evitar - ROA baixo", "OK"),"OK")</f>
        <v>OK</v>
      </c>
      <c r="W94" s="845" t="s">
        <v>630</v>
      </c>
      <c r="X94" s="848"/>
      <c r="Y94" s="849"/>
    </row>
    <row r="95" spans="2:25" s="846" customFormat="1" ht="15">
      <c r="B95" s="357"/>
      <c r="C95" s="357"/>
      <c r="D95" s="357"/>
      <c r="E95" s="842" t="s">
        <v>2674</v>
      </c>
      <c r="F95" s="843" t="str">
        <f>IFERROR(INDEX('Produtos Selecionados'!$G:$G,MATCH($E95,'Produtos Selecionados'!$E:$E,0)),"-")</f>
        <v>-</v>
      </c>
      <c r="G95" s="843" t="str">
        <f>IFERROR(INDEX('Produtos Selecionados'!$H:$H,MATCH($E95,'Produtos Selecionados'!$E:$E,0)),"-")</f>
        <v>Sim</v>
      </c>
      <c r="H95" s="843">
        <f>IFERROR(INDEX('Produtos Selecionados'!$O:$O,MATCH($E95,'Produtos Selecionados'!$E:$E,0)),"-")</f>
        <v>5.3333333333333297E-3</v>
      </c>
      <c r="I95" s="844" t="str">
        <f>IFERROR(INDEX('Produtos Selecionados'!$L:$L,MATCH($E95,'Produtos Selecionados'!$E:$E,0)),"-")</f>
        <v>BRL</v>
      </c>
      <c r="J95" s="844">
        <f>IFERROR(INDEX('Produtos Selecionados'!$M:$M,MATCH($E95,'Produtos Selecionados'!$E:$E,0)),"-")</f>
        <v>32</v>
      </c>
      <c r="K95" s="845"/>
      <c r="L95" s="203" t="str">
        <f>IF(K95="","", K95*K$93)</f>
        <v/>
      </c>
      <c r="M95" s="845"/>
      <c r="N95" s="203" t="str">
        <f>IF(M95="","", M95*M$93)</f>
        <v/>
      </c>
      <c r="O95" s="845"/>
      <c r="P95" s="203" t="str">
        <f>IF(O95="","", O95*O$93)</f>
        <v/>
      </c>
      <c r="Q95" s="845"/>
      <c r="R95" s="203" t="str">
        <f>IF(Q95="","", Q95*Q$93)</f>
        <v/>
      </c>
      <c r="S95" s="845"/>
      <c r="T95" s="203" t="str">
        <f>IF(S95="","", S95*S$93)</f>
        <v/>
      </c>
      <c r="V95" s="847" t="str">
        <f>IFERROR(IF(INDEX('Produtos Selecionados'!$G:$G,MATCH($E95,'Produtos Selecionados'!$E:$E,0))="MFO", "Evitar - ROA baixo", "OK"),"OK")</f>
        <v>OK</v>
      </c>
      <c r="W95" s="845" t="s">
        <v>630</v>
      </c>
      <c r="X95" s="848"/>
      <c r="Y95" s="849"/>
    </row>
    <row r="96" spans="2:25" s="846" customFormat="1" ht="15">
      <c r="B96" s="357"/>
      <c r="C96" s="357"/>
      <c r="D96" s="357"/>
      <c r="E96" s="842" t="s">
        <v>2630</v>
      </c>
      <c r="F96" s="843" t="str">
        <f>IFERROR(INDEX('Produtos Selecionados'!$G:$G,MATCH($E96,'Produtos Selecionados'!$E:$E,0)),"-")</f>
        <v>-</v>
      </c>
      <c r="G96" s="843" t="str">
        <f>IFERROR(INDEX('Produtos Selecionados'!$H:$H,MATCH($E96,'Produtos Selecionados'!$E:$E,0)),"-")</f>
        <v>-</v>
      </c>
      <c r="H96" s="843" t="str">
        <f>IFERROR(INDEX('Produtos Selecionados'!$O:$O,MATCH($E96,'Produtos Selecionados'!$E:$E,0)),"-")</f>
        <v>-</v>
      </c>
      <c r="I96" s="844" t="str">
        <f>IFERROR(INDEX('Produtos Selecionados'!$L:$L,MATCH($E96,'Produtos Selecionados'!$E:$E,0)),"-")</f>
        <v>-</v>
      </c>
      <c r="J96" s="844" t="str">
        <f>IFERROR(INDEX('Produtos Selecionados'!$M:$M,MATCH($E96,'Produtos Selecionados'!$E:$E,0)),"-")</f>
        <v>-</v>
      </c>
      <c r="K96" s="845"/>
      <c r="L96" s="203" t="str">
        <f>IF(K96="","", K96*K$93)</f>
        <v/>
      </c>
      <c r="M96" s="845"/>
      <c r="N96" s="203" t="str">
        <f t="shared" ref="N96:P97" si="36">IF(M96="","", M96*M$93)</f>
        <v/>
      </c>
      <c r="O96" s="845"/>
      <c r="P96" s="203" t="str">
        <f>IF(O96="","", O96*O$93)</f>
        <v/>
      </c>
      <c r="Q96" s="845"/>
      <c r="R96" s="203" t="str">
        <f>IF(Q96="","", Q96*Q$93)</f>
        <v/>
      </c>
      <c r="S96" s="845"/>
      <c r="T96" s="203" t="str">
        <f>IF(S96="","", S96*S$93)</f>
        <v/>
      </c>
      <c r="V96" s="847" t="str">
        <f>IFERROR(IF(INDEX('Produtos Selecionados'!$G:$G,MATCH($E96,'Produtos Selecionados'!$E:$E,0))="MFO", "Evitar - ROA baixo", "OK"),"OK")</f>
        <v>OK</v>
      </c>
      <c r="W96" s="845" t="s">
        <v>630</v>
      </c>
      <c r="X96" s="848"/>
      <c r="Y96" s="849"/>
    </row>
    <row r="97" spans="2:25" s="846" customFormat="1" ht="5.25" customHeight="1">
      <c r="B97" s="357"/>
      <c r="C97" s="357"/>
      <c r="D97" s="357"/>
      <c r="E97" s="453"/>
      <c r="F97" s="862" t="str">
        <f>IFERROR(INDEX('Produtos Selecionados'!$M:$M,MATCH(A97,'Produtos Selecionados'!$E:$E,0)),"-")</f>
        <v>-</v>
      </c>
      <c r="G97" s="862" t="str">
        <f>IFERROR(INDEX('Produtos Selecionados'!$M:$M,MATCH(B97,'Produtos Selecionados'!$E:$E,0)),"-")</f>
        <v>-</v>
      </c>
      <c r="H97" s="862" t="str">
        <f>IFERROR(INDEX('Produtos Selecionados'!$M:$M,MATCH(C97,'Produtos Selecionados'!$E:$E,0)),"-")</f>
        <v>-</v>
      </c>
      <c r="I97" s="862" t="str">
        <f>IFERROR(INDEX('Produtos Selecionados'!$M:$M,MATCH(D97,'Produtos Selecionados'!$E:$E,0)),"-")</f>
        <v>-</v>
      </c>
      <c r="J97" s="862" t="str">
        <f>IFERROR(INDEX('Produtos Selecionados'!$M:$M,MATCH(D97,'Produtos Selecionados'!$E:$E,0)),"-")</f>
        <v>-</v>
      </c>
      <c r="K97" s="851"/>
      <c r="L97" s="852" t="str">
        <f>IF(K97="","", K97*K$93)</f>
        <v/>
      </c>
      <c r="M97" s="851"/>
      <c r="N97" s="852" t="str">
        <f t="shared" si="36"/>
        <v/>
      </c>
      <c r="O97" s="851"/>
      <c r="P97" s="852" t="str">
        <f t="shared" si="36"/>
        <v/>
      </c>
      <c r="Q97" s="851"/>
      <c r="R97" s="852" t="str">
        <f>IF(Q97="","", Q97*Q$93)</f>
        <v/>
      </c>
      <c r="S97" s="851"/>
      <c r="T97" s="852" t="str">
        <f>IF(S97="","", S97*S$93)</f>
        <v/>
      </c>
      <c r="V97" s="853"/>
      <c r="W97" s="861"/>
      <c r="X97" s="863"/>
      <c r="Y97" s="864"/>
    </row>
    <row r="98" spans="2:25" s="347" customFormat="1" ht="15">
      <c r="B98" s="343"/>
      <c r="C98" s="343"/>
      <c r="D98" s="343" t="s">
        <v>12</v>
      </c>
      <c r="E98" s="458" t="s">
        <v>619</v>
      </c>
      <c r="F98" s="459"/>
      <c r="G98" s="459"/>
      <c r="H98" s="459"/>
      <c r="I98" s="459"/>
      <c r="J98" s="459"/>
      <c r="K98" s="385">
        <v>0</v>
      </c>
      <c r="L98" s="857">
        <f>SUM(L99:L101)</f>
        <v>0</v>
      </c>
      <c r="M98" s="385">
        <v>0</v>
      </c>
      <c r="N98" s="857">
        <f>SUM(N99:N101)</f>
        <v>0</v>
      </c>
      <c r="O98" s="385">
        <v>0</v>
      </c>
      <c r="P98" s="857">
        <f>SUM(P99:P101)</f>
        <v>0</v>
      </c>
      <c r="Q98" s="385">
        <v>0</v>
      </c>
      <c r="R98" s="857">
        <f>SUM(R99:R101)</f>
        <v>0</v>
      </c>
      <c r="S98" s="385">
        <v>0</v>
      </c>
      <c r="T98" s="857">
        <f>SUM(T99:T101)</f>
        <v>0</v>
      </c>
      <c r="U98" s="846"/>
      <c r="V98" s="858"/>
      <c r="W98" s="385"/>
      <c r="X98" s="859"/>
      <c r="Y98" s="860"/>
    </row>
    <row r="99" spans="2:25" s="846" customFormat="1" ht="15">
      <c r="B99" s="357"/>
      <c r="C99" s="357"/>
      <c r="D99" s="357"/>
      <c r="E99" s="842" t="s">
        <v>4287</v>
      </c>
      <c r="F99" s="843" t="str">
        <f>IFERROR(INDEX('Produtos Selecionados'!$G:$G,MATCH($E99,'Produtos Selecionados'!$E:$E,0)),"-")</f>
        <v>AAI</v>
      </c>
      <c r="G99" s="843" t="str">
        <f>IFERROR(INDEX('Produtos Selecionados'!$H:$H,MATCH($E99,'Produtos Selecionados'!$E:$E,0)),"-")</f>
        <v>Sim</v>
      </c>
      <c r="H99" s="843">
        <f>IFERROR(INDEX('Produtos Selecionados'!$O:$O,MATCH($E99,'Produtos Selecionados'!$E:$E,0)),"-")</f>
        <v>0.01</v>
      </c>
      <c r="I99" s="844" t="str">
        <f>IFERROR(INDEX('Produtos Selecionados'!$L:$L,MATCH($E99,'Produtos Selecionados'!$E:$E,0)),"-")</f>
        <v>BRL</v>
      </c>
      <c r="J99" s="844">
        <f>IFERROR(INDEX('Produtos Selecionados'!$M:$M,MATCH($E99,'Produtos Selecionados'!$E:$E,0)),"-")</f>
        <v>504</v>
      </c>
      <c r="K99" s="845"/>
      <c r="L99" s="203" t="str">
        <f>IF(K99="","", K99*K$98)</f>
        <v/>
      </c>
      <c r="M99" s="845"/>
      <c r="N99" s="203" t="str">
        <f>IF(M99="","", M99*M$98)</f>
        <v/>
      </c>
      <c r="O99" s="845"/>
      <c r="P99" s="203" t="str">
        <f>IF(O99="","", O99*O$98)</f>
        <v/>
      </c>
      <c r="Q99" s="845"/>
      <c r="R99" s="203" t="str">
        <f>IF(Q99="","", Q99*Q$98)</f>
        <v/>
      </c>
      <c r="S99" s="845"/>
      <c r="T99" s="203" t="str">
        <f>IF(S99="","", S99*S$98)</f>
        <v/>
      </c>
      <c r="V99" s="847" t="str">
        <f>IFERROR(IF(INDEX('Produtos Selecionados'!$G:$G,MATCH($E99,'Produtos Selecionados'!$E:$E,0))="MFO", "Evitar - ROA baixo", "OK"),"OK")</f>
        <v>OK</v>
      </c>
      <c r="W99" s="845" t="s">
        <v>64</v>
      </c>
      <c r="X99" s="848"/>
      <c r="Y99" s="849"/>
    </row>
    <row r="100" spans="2:25" s="846" customFormat="1" ht="15">
      <c r="B100" s="357"/>
      <c r="C100" s="357"/>
      <c r="D100" s="357"/>
      <c r="E100" s="842" t="s">
        <v>2730</v>
      </c>
      <c r="F100" s="843" t="str">
        <f>IFERROR(INDEX('Produtos Selecionados'!$G:$G,MATCH($E100,'Produtos Selecionados'!$E:$E,0)),"-")</f>
        <v>MFO</v>
      </c>
      <c r="G100" s="843" t="str">
        <f>IFERROR(INDEX('Produtos Selecionados'!$H:$H,MATCH($E100,'Produtos Selecionados'!$E:$E,0)),"-")</f>
        <v>Sim</v>
      </c>
      <c r="H100" s="843">
        <f>IFERROR(INDEX('Produtos Selecionados'!$O:$O,MATCH($E100,'Produtos Selecionados'!$E:$E,0)),"-")</f>
        <v>3.5E-4</v>
      </c>
      <c r="I100" s="844" t="str">
        <f>IFERROR(INDEX('Produtos Selecionados'!$L:$L,MATCH($E100,'Produtos Selecionados'!$E:$E,0)),"-")</f>
        <v>USD</v>
      </c>
      <c r="J100" s="844">
        <f>IFERROR(INDEX('Produtos Selecionados'!$M:$M,MATCH($E100,'Produtos Selecionados'!$E:$E,0)),"-")</f>
        <v>1</v>
      </c>
      <c r="K100" s="845"/>
      <c r="L100" s="203" t="str">
        <f>IF(K100="","", K100*K$98)</f>
        <v/>
      </c>
      <c r="M100" s="845"/>
      <c r="N100" s="203" t="str">
        <f>IF(M100="","", M100*M$98)</f>
        <v/>
      </c>
      <c r="O100" s="845"/>
      <c r="P100" s="203" t="str">
        <f>IF(O100="","", O100*O$98)</f>
        <v/>
      </c>
      <c r="Q100" s="845"/>
      <c r="R100" s="203" t="str">
        <f>IF(Q100="","", Q100*Q$98)</f>
        <v/>
      </c>
      <c r="S100" s="845"/>
      <c r="T100" s="203" t="str">
        <f>IF(S100="","", S100*S$98)</f>
        <v/>
      </c>
      <c r="V100" s="847" t="str">
        <f>IFERROR(IF(INDEX('Produtos Selecionados'!$G:$G,MATCH($E100,'Produtos Selecionados'!$E:$E,0))="MFO", "Evitar - ROA baixo", "OK"),"OK")</f>
        <v>Evitar - ROA baixo</v>
      </c>
      <c r="W100" s="845" t="s">
        <v>4291</v>
      </c>
      <c r="X100" s="848"/>
      <c r="Y100" s="849"/>
    </row>
    <row r="101" spans="2:25" s="846" customFormat="1" ht="15">
      <c r="B101" s="357"/>
      <c r="C101" s="357"/>
      <c r="D101" s="357"/>
      <c r="E101" s="842" t="s">
        <v>2731</v>
      </c>
      <c r="F101" s="843" t="str">
        <f>IFERROR(INDEX('Produtos Selecionados'!$G:$G,MATCH($E101,'Produtos Selecionados'!$E:$E,0)),"-")</f>
        <v>MFO</v>
      </c>
      <c r="G101" s="843" t="str">
        <f>IFERROR(INDEX('Produtos Selecionados'!$H:$H,MATCH($E101,'Produtos Selecionados'!$E:$E,0)),"-")</f>
        <v>Sim</v>
      </c>
      <c r="H101" s="843">
        <f>IFERROR(INDEX('Produtos Selecionados'!$O:$O,MATCH($E101,'Produtos Selecionados'!$E:$E,0)),"-")</f>
        <v>3.5E-4</v>
      </c>
      <c r="I101" s="844" t="str">
        <f>IFERROR(INDEX('Produtos Selecionados'!$L:$L,MATCH($E101,'Produtos Selecionados'!$E:$E,0)),"-")</f>
        <v>USD</v>
      </c>
      <c r="J101" s="844">
        <f>IFERROR(INDEX('Produtos Selecionados'!$M:$M,MATCH($E101,'Produtos Selecionados'!$E:$E,0)),"-")</f>
        <v>5</v>
      </c>
      <c r="K101" s="845"/>
      <c r="L101" s="203" t="str">
        <f>IF(K101="","", K101*K$98)</f>
        <v/>
      </c>
      <c r="M101" s="845"/>
      <c r="N101" s="203" t="str">
        <f>IF(M101="","", M101*M$98)</f>
        <v/>
      </c>
      <c r="O101" s="845"/>
      <c r="P101" s="203" t="str">
        <f>IF(O101="","", O101*O$98)</f>
        <v/>
      </c>
      <c r="Q101" s="845"/>
      <c r="R101" s="203" t="str">
        <f>IF(Q101="","", Q101*Q$98)</f>
        <v/>
      </c>
      <c r="S101" s="845"/>
      <c r="T101" s="203" t="str">
        <f>IF(S101="","", S101*S$98)</f>
        <v/>
      </c>
      <c r="V101" s="847" t="str">
        <f>IFERROR(IF(INDEX('Produtos Selecionados'!$G:$G,MATCH($E101,'Produtos Selecionados'!$E:$E,0))="MFO", "Evitar - ROA baixo", "OK"),"OK")</f>
        <v>Evitar - ROA baixo</v>
      </c>
      <c r="W101" s="845" t="s">
        <v>2350</v>
      </c>
      <c r="X101" s="848"/>
      <c r="Y101" s="849"/>
    </row>
    <row r="102" spans="2:25" s="846" customFormat="1" ht="15">
      <c r="B102" s="357"/>
      <c r="C102" s="357"/>
      <c r="D102" s="357"/>
      <c r="E102" s="842" t="s">
        <v>2732</v>
      </c>
      <c r="F102" s="843" t="str">
        <f>IFERROR(INDEX('Produtos Selecionados'!$G:$G,MATCH($E102,'Produtos Selecionados'!$E:$E,0)),"-")</f>
        <v>MFO</v>
      </c>
      <c r="G102" s="843" t="str">
        <f>IFERROR(INDEX('Produtos Selecionados'!$H:$H,MATCH($E102,'Produtos Selecionados'!$E:$E,0)),"-")</f>
        <v>Sim</v>
      </c>
      <c r="H102" s="843">
        <f>IFERROR(INDEX('Produtos Selecionados'!$O:$O,MATCH($E102,'Produtos Selecionados'!$E:$E,0)),"-")</f>
        <v>3.5E-4</v>
      </c>
      <c r="I102" s="844" t="str">
        <f>IFERROR(INDEX('Produtos Selecionados'!$L:$L,MATCH($E102,'Produtos Selecionados'!$E:$E,0)),"-")</f>
        <v>BRL</v>
      </c>
      <c r="J102" s="844">
        <f>IFERROR(INDEX('Produtos Selecionados'!$M:$M,MATCH($E102,'Produtos Selecionados'!$E:$E,0)),"-")</f>
        <v>8</v>
      </c>
      <c r="K102" s="845"/>
      <c r="L102" s="203" t="str">
        <f>IF(K102="","", K102*#REF!)</f>
        <v/>
      </c>
      <c r="M102" s="845"/>
      <c r="N102" s="203" t="str">
        <f>IF(M102="","", M102*#REF!)</f>
        <v/>
      </c>
      <c r="O102" s="845"/>
      <c r="P102" s="203" t="str">
        <f>IF(O102="","", O102*#REF!)</f>
        <v/>
      </c>
      <c r="Q102" s="845"/>
      <c r="R102" s="203" t="str">
        <f>IF(Q102="","", Q102*Q$98)</f>
        <v/>
      </c>
      <c r="S102" s="845"/>
      <c r="T102" s="203" t="str">
        <f>IF(S102="","", S102*S$98)</f>
        <v/>
      </c>
      <c r="V102" s="847" t="str">
        <f>IFERROR(IF(INDEX('Produtos Selecionados'!$G:$G,MATCH($E102,'Produtos Selecionados'!$E:$E,0))="MFO", "Evitar - ROA baixo", "OK"),"OK")</f>
        <v>Evitar - ROA baixo</v>
      </c>
      <c r="W102" s="845" t="s">
        <v>2350</v>
      </c>
      <c r="X102" s="848"/>
      <c r="Y102" s="849"/>
    </row>
    <row r="103" spans="2:25" s="846" customFormat="1" ht="15">
      <c r="B103" s="357"/>
      <c r="C103" s="357"/>
      <c r="D103" s="357"/>
      <c r="E103" s="842" t="s">
        <v>1726</v>
      </c>
      <c r="F103" s="843" t="str">
        <f>IFERROR(INDEX('Produtos Selecionados'!$G:$G,MATCH($E103,'Produtos Selecionados'!$E:$E,0)),"-")</f>
        <v>-</v>
      </c>
      <c r="G103" s="843" t="str">
        <f>IFERROR(INDEX('Produtos Selecionados'!$H:$H,MATCH($E103,'Produtos Selecionados'!$E:$E,0)),"-")</f>
        <v>Sim</v>
      </c>
      <c r="H103" s="843">
        <f>IFERROR(INDEX('Produtos Selecionados'!$O:$O,MATCH($E103,'Produtos Selecionados'!$E:$E,0)),"-")</f>
        <v>3.8E-3</v>
      </c>
      <c r="I103" s="844" t="str">
        <f>IFERROR(INDEX('Produtos Selecionados'!$L:$L,MATCH($E103,'Produtos Selecionados'!$E:$E,0)),"-")</f>
        <v>BRL</v>
      </c>
      <c r="J103" s="844">
        <f>IFERROR(INDEX('Produtos Selecionados'!$M:$M,MATCH($E103,'Produtos Selecionados'!$E:$E,0)),"-")</f>
        <v>18</v>
      </c>
      <c r="K103" s="845"/>
      <c r="L103" s="203" t="str">
        <f>IF(K103="","", K103*#REF!)</f>
        <v/>
      </c>
      <c r="M103" s="845"/>
      <c r="N103" s="203" t="str">
        <f>IF(M103="","", M103*#REF!)</f>
        <v/>
      </c>
      <c r="O103" s="845"/>
      <c r="P103" s="203" t="str">
        <f>IF(O103="","", O103*#REF!)</f>
        <v/>
      </c>
      <c r="Q103" s="845"/>
      <c r="R103" s="203" t="str">
        <f>IF(Q103="","", Q103*Q$98)</f>
        <v/>
      </c>
      <c r="S103" s="845"/>
      <c r="T103" s="203" t="str">
        <f>IF(S103="","", S103*S$98)</f>
        <v/>
      </c>
      <c r="V103" s="847" t="str">
        <f>IFERROR(IF(INDEX('Produtos Selecionados'!$G:$G,MATCH($E103,'Produtos Selecionados'!$E:$E,0))="MFO", "Evitar - ROA baixo", "OK"),"OK")</f>
        <v>OK</v>
      </c>
      <c r="W103" s="845" t="s">
        <v>630</v>
      </c>
      <c r="X103" s="848"/>
      <c r="Y103" s="849"/>
    </row>
    <row r="104" spans="2:25" s="347" customFormat="1" ht="9" customHeight="1">
      <c r="B104" s="343"/>
      <c r="C104" s="343"/>
      <c r="D104" s="343"/>
      <c r="E104" s="850"/>
      <c r="F104" s="436"/>
      <c r="G104" s="436"/>
      <c r="H104" s="436"/>
      <c r="I104" s="436"/>
      <c r="J104" s="436"/>
      <c r="K104" s="851"/>
      <c r="L104" s="852" t="str">
        <f>IF(K104="","", K104*K$11)</f>
        <v/>
      </c>
      <c r="M104" s="872"/>
      <c r="N104" s="852" t="str">
        <f>IF(M104="","", M104*M$11)</f>
        <v/>
      </c>
      <c r="O104" s="851"/>
      <c r="P104" s="852" t="str">
        <f>IF(O104="","", O104*O$11)</f>
        <v/>
      </c>
      <c r="Q104" s="851"/>
      <c r="R104" s="852" t="str">
        <f>IF(Q104="","", Q104*Q$11)</f>
        <v/>
      </c>
      <c r="S104" s="851"/>
      <c r="T104" s="852" t="str">
        <f>IF(S104="","", S104*S$11)</f>
        <v/>
      </c>
      <c r="U104" s="846"/>
      <c r="V104" s="853"/>
      <c r="W104" s="872"/>
      <c r="X104" s="835"/>
      <c r="Y104" s="836"/>
    </row>
    <row r="105" spans="2:25" s="433" customFormat="1" ht="15.75">
      <c r="B105" s="824"/>
      <c r="C105" s="824"/>
      <c r="D105" s="343" t="s">
        <v>1394</v>
      </c>
      <c r="E105" s="825" t="s">
        <v>14</v>
      </c>
      <c r="F105" s="826"/>
      <c r="G105" s="826"/>
      <c r="H105" s="826"/>
      <c r="I105" s="826"/>
      <c r="J105" s="826"/>
      <c r="K105" s="813">
        <f ca="1">OFFSET('Asset Allocation Tatico'!$B$9, MATCH($E105,OFFSET('Asset Allocation Tatico'!$B$9,,,COUNTA('Asset Allocation Tatico'!$B:$B)-COUNTA('Asset Allocation Tatico'!$B$1:$B$9)),0)-1, MATCH(K$5,'Asset Allocation Tatico'!$D$5:$M$5,0)+2)</f>
        <v>0</v>
      </c>
      <c r="L105" s="818">
        <f>L107+L132</f>
        <v>0</v>
      </c>
      <c r="M105" s="813">
        <f ca="1">OFFSET('Asset Allocation Tatico'!$B$9, MATCH($E105,OFFSET('Asset Allocation Tatico'!$B$9,,,COUNTA('Asset Allocation Tatico'!$B:$B)-COUNTA('Asset Allocation Tatico'!$B$1:$B$9)),0)-1, MATCH(M$5,'Asset Allocation Tatico'!$D$5:$M$5,0)+2)</f>
        <v>0.03</v>
      </c>
      <c r="N105" s="818">
        <f ca="1">N107+N132</f>
        <v>0.03</v>
      </c>
      <c r="O105" s="813">
        <f ca="1">OFFSET('Asset Allocation Tatico'!$B$9, MATCH($E105,OFFSET('Asset Allocation Tatico'!$B$9,,,COUNTA('Asset Allocation Tatico'!$B:$B)-COUNTA('Asset Allocation Tatico'!$B$1:$B$9)),0)-1, MATCH(O$5,'Asset Allocation Tatico'!$D$5:$M$5,0)+2)</f>
        <v>7.4999999999999997E-2</v>
      </c>
      <c r="P105" s="818">
        <f ca="1">P107+P132</f>
        <v>7.4999999999999997E-2</v>
      </c>
      <c r="Q105" s="813">
        <f ca="1">OFFSET('Asset Allocation Tatico'!$B$9, MATCH($E105,OFFSET('Asset Allocation Tatico'!$B$9,,,COUNTA('Asset Allocation Tatico'!$B:$B)-COUNTA('Asset Allocation Tatico'!$B$1:$B$9)),0)-1, MATCH(Q$5,'Asset Allocation Tatico'!$D$5:$M$5,0)+2)</f>
        <v>0.17</v>
      </c>
      <c r="R105" s="818">
        <f ca="1">R107+R132</f>
        <v>0.17</v>
      </c>
      <c r="S105" s="813">
        <f ca="1">OFFSET('Asset Allocation Tatico'!$B$9, MATCH($E105,OFFSET('Asset Allocation Tatico'!$B$9,,,COUNTA('Asset Allocation Tatico'!$B:$B)-COUNTA('Asset Allocation Tatico'!$B$1:$B$9)),0)-1, MATCH(S$5,'Asset Allocation Tatico'!$D$5:$M$5,0)+2)</f>
        <v>0.29499999999999998</v>
      </c>
      <c r="T105" s="818">
        <f ca="1">T107+T132</f>
        <v>0.29499999999999998</v>
      </c>
      <c r="U105" s="846"/>
      <c r="V105" s="818"/>
      <c r="W105" s="828"/>
      <c r="X105" s="829"/>
      <c r="Y105" s="830"/>
    </row>
    <row r="106" spans="2:25" s="347" customFormat="1" ht="5.25" customHeight="1">
      <c r="B106" s="343"/>
      <c r="C106" s="343"/>
      <c r="D106" s="343"/>
      <c r="F106" s="436"/>
      <c r="G106" s="436"/>
      <c r="H106" s="436"/>
      <c r="I106" s="436"/>
      <c r="J106" s="436"/>
      <c r="K106" s="854"/>
      <c r="L106" s="855"/>
      <c r="M106" s="854"/>
      <c r="N106" s="855"/>
      <c r="O106" s="854"/>
      <c r="P106" s="855"/>
      <c r="Q106" s="854"/>
      <c r="R106" s="855"/>
      <c r="S106" s="854"/>
      <c r="T106" s="855"/>
      <c r="U106" s="846"/>
      <c r="V106" s="855"/>
      <c r="W106" s="856"/>
      <c r="X106" s="835"/>
      <c r="Y106" s="836"/>
    </row>
    <row r="107" spans="2:25" s="347" customFormat="1" ht="15">
      <c r="B107" s="343"/>
      <c r="C107" s="343" t="s">
        <v>1394</v>
      </c>
      <c r="D107" s="343" t="s">
        <v>12</v>
      </c>
      <c r="E107" s="441" t="s">
        <v>608</v>
      </c>
      <c r="F107" s="442"/>
      <c r="G107" s="442"/>
      <c r="H107" s="442"/>
      <c r="I107" s="442"/>
      <c r="J107" s="442"/>
      <c r="K107" s="354">
        <f ca="1">OFFSET('Asset Allocation Tatico'!$B$9, MATCH($E107,OFFSET('Asset Allocation Tatico'!$B$9,,,COUNTA('Asset Allocation Tatico'!$B:$B)-COUNTA('Asset Allocation Tatico'!$B$1:$B$9)),0)-1, MATCH(K$5,'Asset Allocation Tatico'!$D$5:$M$5,0)+2)</f>
        <v>0</v>
      </c>
      <c r="L107" s="837">
        <f>L109+L120+L129</f>
        <v>0</v>
      </c>
      <c r="M107" s="354">
        <f ca="1">OFFSET('Asset Allocation Tatico'!$B$9, MATCH($E107,OFFSET('Asset Allocation Tatico'!$B$9,,,COUNTA('Asset Allocation Tatico'!$B:$B)-COUNTA('Asset Allocation Tatico'!$B$1:$B$9)),0)-1, MATCH(M$5,'Asset Allocation Tatico'!$D$5:$M$5,0)+2)</f>
        <v>0.02</v>
      </c>
      <c r="N107" s="837">
        <f>N109+N120+N129</f>
        <v>0.02</v>
      </c>
      <c r="O107" s="354">
        <f ca="1">OFFSET('Asset Allocation Tatico'!$B$9, MATCH($E107,OFFSET('Asset Allocation Tatico'!$B$9,,,COUNTA('Asset Allocation Tatico'!$B:$B)-COUNTA('Asset Allocation Tatico'!$B$1:$B$9)),0)-1, MATCH(O$5,'Asset Allocation Tatico'!$D$5:$M$5,0)+2)</f>
        <v>5.5E-2</v>
      </c>
      <c r="P107" s="837">
        <f>P109+P120+P129</f>
        <v>5.5E-2</v>
      </c>
      <c r="Q107" s="354">
        <f ca="1">OFFSET('Asset Allocation Tatico'!$B$9, MATCH($E107,OFFSET('Asset Allocation Tatico'!$B$9,,,COUNTA('Asset Allocation Tatico'!$B:$B)-COUNTA('Asset Allocation Tatico'!$B$1:$B$9)),0)-1, MATCH(Q$5,'Asset Allocation Tatico'!$D$5:$M$5,0)+2)</f>
        <v>0.14000000000000001</v>
      </c>
      <c r="R107" s="837">
        <f>R109+R120+R129</f>
        <v>0.14000000000000001</v>
      </c>
      <c r="S107" s="354">
        <f ca="1">OFFSET('Asset Allocation Tatico'!$B$9, MATCH($E107,OFFSET('Asset Allocation Tatico'!$B$9,,,COUNTA('Asset Allocation Tatico'!$B:$B)-COUNTA('Asset Allocation Tatico'!$B$1:$B$9)),0)-1, MATCH(S$5,'Asset Allocation Tatico'!$D$5:$M$5,0)+2)</f>
        <v>0.24</v>
      </c>
      <c r="T107" s="748">
        <f>T109+T120+T129</f>
        <v>0.24</v>
      </c>
      <c r="U107" s="846"/>
      <c r="V107" s="838"/>
      <c r="W107" s="839"/>
      <c r="X107" s="840"/>
      <c r="Y107" s="841"/>
    </row>
    <row r="108" spans="2:25" s="347" customFormat="1" ht="3" customHeight="1">
      <c r="B108" s="343"/>
      <c r="C108" s="343"/>
      <c r="D108" s="343"/>
      <c r="F108" s="436"/>
      <c r="G108" s="436"/>
      <c r="H108" s="436"/>
      <c r="I108" s="436"/>
      <c r="J108" s="436"/>
      <c r="K108" s="854"/>
      <c r="L108" s="855"/>
      <c r="M108" s="854"/>
      <c r="N108" s="855"/>
      <c r="O108" s="854"/>
      <c r="P108" s="855"/>
      <c r="Q108" s="854"/>
      <c r="R108" s="855"/>
      <c r="S108" s="854"/>
      <c r="T108" s="855"/>
      <c r="U108" s="846"/>
      <c r="V108" s="855"/>
      <c r="W108" s="856"/>
      <c r="X108" s="835"/>
      <c r="Y108" s="836"/>
    </row>
    <row r="109" spans="2:25" s="347" customFormat="1" ht="15">
      <c r="B109" s="343"/>
      <c r="C109" s="343"/>
      <c r="D109" s="343" t="s">
        <v>12</v>
      </c>
      <c r="E109" s="458" t="s">
        <v>607</v>
      </c>
      <c r="F109" s="459"/>
      <c r="G109" s="459"/>
      <c r="H109" s="459"/>
      <c r="I109" s="459"/>
      <c r="J109" s="459"/>
      <c r="K109" s="385">
        <v>0</v>
      </c>
      <c r="L109" s="857">
        <f>SUM(L110:L119)</f>
        <v>0</v>
      </c>
      <c r="M109" s="385">
        <v>0</v>
      </c>
      <c r="N109" s="857">
        <f>SUM(N110:N119)</f>
        <v>0</v>
      </c>
      <c r="O109" s="385">
        <v>1.4999999999999999E-2</v>
      </c>
      <c r="P109" s="857">
        <f>SUM(P110:P119)</f>
        <v>1.4999999999999999E-2</v>
      </c>
      <c r="Q109" s="385">
        <v>0.04</v>
      </c>
      <c r="R109" s="857">
        <f>SUM(R110:R119)</f>
        <v>0.04</v>
      </c>
      <c r="S109" s="385">
        <v>0.06</v>
      </c>
      <c r="T109" s="857">
        <f>SUM(T110:T119)</f>
        <v>0.06</v>
      </c>
      <c r="U109" s="846"/>
      <c r="V109" s="858"/>
      <c r="W109" s="385"/>
      <c r="X109" s="859"/>
      <c r="Y109" s="860"/>
    </row>
    <row r="110" spans="2:25" s="846" customFormat="1" ht="15">
      <c r="B110" s="357"/>
      <c r="C110" s="357"/>
      <c r="D110" s="357"/>
      <c r="E110" s="842" t="s">
        <v>4387</v>
      </c>
      <c r="F110" s="843" t="str">
        <f>IFERROR(INDEX('Produtos Selecionados'!$G:$G,MATCH($E110,'Produtos Selecionados'!$E:$E,0)),"-")</f>
        <v>-</v>
      </c>
      <c r="G110" s="843" t="str">
        <f>IFERROR(INDEX('Produtos Selecionados'!$H:$H,MATCH($E110,'Produtos Selecionados'!$E:$E,0)),"-")</f>
        <v>Sim</v>
      </c>
      <c r="H110" s="843">
        <f>IFERROR(INDEX('Produtos Selecionados'!$O:$O,MATCH($E110,'Produtos Selecionados'!$E:$E,0)),"-")</f>
        <v>5.0000000000000001E-3</v>
      </c>
      <c r="I110" s="844" t="str">
        <f>IFERROR(INDEX('Produtos Selecionados'!$L:$L,MATCH($E110,'Produtos Selecionados'!$E:$E,0)),"-")</f>
        <v>BRL</v>
      </c>
      <c r="J110" s="844">
        <f>IFERROR(INDEX('Produtos Selecionados'!$M:$M,MATCH($E110,'Produtos Selecionados'!$E:$E,0)),"-")</f>
        <v>2</v>
      </c>
      <c r="K110" s="845"/>
      <c r="L110" s="203" t="str">
        <f t="shared" ref="L110:L119" si="37">IF(K110="","", K110*K$109)</f>
        <v/>
      </c>
      <c r="M110" s="845">
        <v>0</v>
      </c>
      <c r="N110" s="203">
        <f t="shared" ref="N110:N119" si="38">IF(M110="","", M110*M$109)</f>
        <v>0</v>
      </c>
      <c r="O110" s="845"/>
      <c r="P110" s="203" t="str">
        <f t="shared" ref="P110:P119" si="39">IF(O110="","", O110*O$109)</f>
        <v/>
      </c>
      <c r="Q110" s="845"/>
      <c r="R110" s="203" t="str">
        <f t="shared" ref="R110:R119" si="40">IF(Q110="","", Q110*Q$109)</f>
        <v/>
      </c>
      <c r="S110" s="998">
        <f>1-SUM(S111:S119)</f>
        <v>0.19999999999999996</v>
      </c>
      <c r="T110" s="203">
        <f t="shared" ref="T110:T119" si="41">IF(S110="","", S110*S$109)</f>
        <v>1.1999999999999997E-2</v>
      </c>
      <c r="V110" s="847" t="str">
        <f>IFERROR(IF(INDEX('Produtos Selecionados'!$G:$G,MATCH($E110,'Produtos Selecionados'!$E:$E,0))="MFO", "Evitar - ROA baixo", "OK"),"OK")</f>
        <v>OK</v>
      </c>
      <c r="W110" s="845" t="s">
        <v>666</v>
      </c>
      <c r="X110" s="848"/>
      <c r="Y110" s="849"/>
    </row>
    <row r="111" spans="2:25" s="846" customFormat="1" ht="15">
      <c r="B111" s="357"/>
      <c r="C111" s="357"/>
      <c r="D111" s="357"/>
      <c r="E111" s="842" t="s">
        <v>2106</v>
      </c>
      <c r="F111" s="843" t="str">
        <f>IFERROR(INDEX('Produtos Selecionados'!$G:$G,MATCH($E111,'Produtos Selecionados'!$E:$E,0)),"-")</f>
        <v>-</v>
      </c>
      <c r="G111" s="843" t="str">
        <f>IFERROR(INDEX('Produtos Selecionados'!$H:$H,MATCH($E111,'Produtos Selecionados'!$E:$E,0)),"-")</f>
        <v>Sim</v>
      </c>
      <c r="H111" s="843">
        <f>IFERROR(INDEX('Produtos Selecionados'!$O:$O,MATCH($E111,'Produtos Selecionados'!$E:$E,0)),"-")</f>
        <v>4.6666666666666697E-3</v>
      </c>
      <c r="I111" s="844" t="str">
        <f>IFERROR(INDEX('Produtos Selecionados'!$L:$L,MATCH($E111,'Produtos Selecionados'!$E:$E,0)),"-")</f>
        <v>BRL</v>
      </c>
      <c r="J111" s="844">
        <f>IFERROR(INDEX('Produtos Selecionados'!$M:$M,MATCH($E111,'Produtos Selecionados'!$E:$E,0)),"-")</f>
        <v>17</v>
      </c>
      <c r="K111" s="845"/>
      <c r="L111" s="203" t="str">
        <f t="shared" si="37"/>
        <v/>
      </c>
      <c r="M111" s="845"/>
      <c r="N111" s="203" t="str">
        <f t="shared" si="38"/>
        <v/>
      </c>
      <c r="O111" s="845">
        <v>1</v>
      </c>
      <c r="P111" s="203">
        <f t="shared" si="39"/>
        <v>1.4999999999999999E-2</v>
      </c>
      <c r="Q111" s="845">
        <f>2%/Q$109</f>
        <v>0.5</v>
      </c>
      <c r="R111" s="203">
        <f t="shared" si="40"/>
        <v>0.02</v>
      </c>
      <c r="S111" s="998">
        <v>0.4</v>
      </c>
      <c r="T111" s="203">
        <f t="shared" si="41"/>
        <v>2.4E-2</v>
      </c>
      <c r="V111" s="847" t="str">
        <f>IFERROR(IF(INDEX('Produtos Selecionados'!$G:$G,MATCH($E111,'Produtos Selecionados'!$E:$E,0))="MFO", "Evitar - ROA baixo", "OK"),"OK")</f>
        <v>OK</v>
      </c>
      <c r="W111" s="845" t="s">
        <v>666</v>
      </c>
      <c r="X111" s="848"/>
      <c r="Y111" s="849"/>
    </row>
    <row r="112" spans="2:25" s="846" customFormat="1" ht="15">
      <c r="B112" s="357"/>
      <c r="C112" s="357"/>
      <c r="D112" s="357"/>
      <c r="E112" s="842" t="s">
        <v>2074</v>
      </c>
      <c r="F112" s="843" t="str">
        <f>IFERROR(INDEX('Produtos Selecionados'!$G:$G,MATCH($E112,'Produtos Selecionados'!$E:$E,0)),"-")</f>
        <v>-</v>
      </c>
      <c r="G112" s="843" t="str">
        <f>IFERROR(INDEX('Produtos Selecionados'!$H:$H,MATCH($E112,'Produtos Selecionados'!$E:$E,0)),"-")</f>
        <v>Não</v>
      </c>
      <c r="H112" s="843">
        <f>IFERROR(INDEX('Produtos Selecionados'!$O:$O,MATCH($E112,'Produtos Selecionados'!$E:$E,0)),"-")</f>
        <v>5.3333333333333297E-3</v>
      </c>
      <c r="I112" s="844" t="str">
        <f>IFERROR(INDEX('Produtos Selecionados'!$L:$L,MATCH($E112,'Produtos Selecionados'!$E:$E,0)),"-")</f>
        <v>BRL</v>
      </c>
      <c r="J112" s="844">
        <f>IFERROR(INDEX('Produtos Selecionados'!$M:$M,MATCH($E112,'Produtos Selecionados'!$E:$E,0)),"-")</f>
        <v>32</v>
      </c>
      <c r="K112" s="845"/>
      <c r="L112" s="203" t="str">
        <f t="shared" si="37"/>
        <v/>
      </c>
      <c r="M112" s="845"/>
      <c r="N112" s="203" t="str">
        <f t="shared" si="38"/>
        <v/>
      </c>
      <c r="O112" s="845"/>
      <c r="P112" s="203" t="str">
        <f t="shared" si="39"/>
        <v/>
      </c>
      <c r="Q112" s="845">
        <f>2%/Q$109</f>
        <v>0.5</v>
      </c>
      <c r="R112" s="203">
        <f t="shared" si="40"/>
        <v>0.02</v>
      </c>
      <c r="S112" s="998">
        <v>0.4</v>
      </c>
      <c r="T112" s="203">
        <f t="shared" si="41"/>
        <v>2.4E-2</v>
      </c>
      <c r="V112" s="847" t="str">
        <f>IFERROR(IF(INDEX('Produtos Selecionados'!$G:$G,MATCH($E112,'Produtos Selecionados'!$E:$E,0))="MFO", "Evitar - ROA baixo", "OK"),"OK")</f>
        <v>OK</v>
      </c>
      <c r="W112" s="845" t="s">
        <v>666</v>
      </c>
      <c r="X112" s="848"/>
      <c r="Y112" s="849"/>
    </row>
    <row r="113" spans="2:25" s="846" customFormat="1" ht="15">
      <c r="B113" s="357"/>
      <c r="C113" s="357"/>
      <c r="D113" s="357"/>
      <c r="E113" s="842" t="s">
        <v>2078</v>
      </c>
      <c r="F113" s="843" t="str">
        <f>IFERROR(INDEX('Produtos Selecionados'!$G:$G,MATCH($E113,'Produtos Selecionados'!$E:$E,0)),"-")</f>
        <v>-</v>
      </c>
      <c r="G113" s="843" t="str">
        <f>IFERROR(INDEX('Produtos Selecionados'!$H:$H,MATCH($E113,'Produtos Selecionados'!$E:$E,0)),"-")</f>
        <v>Sim</v>
      </c>
      <c r="H113" s="843">
        <f>IFERROR(INDEX('Produtos Selecionados'!$O:$O,MATCH($E113,'Produtos Selecionados'!$E:$E,0)),"-")</f>
        <v>4.7499999999999999E-3</v>
      </c>
      <c r="I113" s="844" t="str">
        <f>IFERROR(INDEX('Produtos Selecionados'!$L:$L,MATCH($E113,'Produtos Selecionados'!$E:$E,0)),"-")</f>
        <v>BRL</v>
      </c>
      <c r="J113" s="844">
        <f>IFERROR(INDEX('Produtos Selecionados'!$M:$M,MATCH($E113,'Produtos Selecionados'!$E:$E,0)),"-")</f>
        <v>17</v>
      </c>
      <c r="K113" s="845"/>
      <c r="L113" s="203" t="str">
        <f t="shared" si="37"/>
        <v/>
      </c>
      <c r="M113" s="845"/>
      <c r="N113" s="203" t="str">
        <f t="shared" si="38"/>
        <v/>
      </c>
      <c r="O113" s="845"/>
      <c r="P113" s="203" t="str">
        <f t="shared" si="39"/>
        <v/>
      </c>
      <c r="Q113" s="845"/>
      <c r="R113" s="203" t="str">
        <f t="shared" si="40"/>
        <v/>
      </c>
      <c r="S113" s="998"/>
      <c r="T113" s="203" t="str">
        <f t="shared" si="41"/>
        <v/>
      </c>
      <c r="V113" s="847" t="str">
        <f>IFERROR(IF(INDEX('Produtos Selecionados'!$G:$G,MATCH($E113,'Produtos Selecionados'!$E:$E,0))="MFO", "Evitar - ROA baixo", "OK"),"OK")</f>
        <v>OK</v>
      </c>
      <c r="W113" s="845" t="s">
        <v>666</v>
      </c>
      <c r="X113" s="848"/>
      <c r="Y113" s="849"/>
    </row>
    <row r="114" spans="2:25" s="846" customFormat="1" ht="15">
      <c r="B114" s="357"/>
      <c r="C114" s="357"/>
      <c r="D114" s="357"/>
      <c r="E114" s="842" t="s">
        <v>2728</v>
      </c>
      <c r="F114" s="843" t="str">
        <f>IFERROR(INDEX('Produtos Selecionados'!$G:$G,MATCH($E114,'Produtos Selecionados'!$E:$E,0)),"-")</f>
        <v>MFO</v>
      </c>
      <c r="G114" s="843" t="str">
        <f>IFERROR(INDEX('Produtos Selecionados'!$H:$H,MATCH($E114,'Produtos Selecionados'!$E:$E,0)),"-")</f>
        <v>Sim</v>
      </c>
      <c r="H114" s="843">
        <f>IFERROR(INDEX('Produtos Selecionados'!$O:$O,MATCH($E114,'Produtos Selecionados'!$E:$E,0)),"-")</f>
        <v>3.16666E-3</v>
      </c>
      <c r="I114" s="844" t="str">
        <f>IFERROR(INDEX('Produtos Selecionados'!$L:$L,MATCH($E114,'Produtos Selecionados'!$E:$E,0)),"-")</f>
        <v>BRL</v>
      </c>
      <c r="J114" s="844">
        <f>IFERROR(INDEX('Produtos Selecionados'!$M:$M,MATCH($E114,'Produtos Selecionados'!$E:$E,0)),"-")</f>
        <v>32</v>
      </c>
      <c r="K114" s="845"/>
      <c r="L114" s="203" t="str">
        <f t="shared" si="37"/>
        <v/>
      </c>
      <c r="M114" s="845"/>
      <c r="N114" s="203" t="str">
        <f t="shared" si="38"/>
        <v/>
      </c>
      <c r="O114" s="845"/>
      <c r="P114" s="203" t="str">
        <f t="shared" si="39"/>
        <v/>
      </c>
      <c r="Q114" s="845"/>
      <c r="R114" s="203" t="str">
        <f t="shared" si="40"/>
        <v/>
      </c>
      <c r="S114" s="845"/>
      <c r="T114" s="203" t="str">
        <f t="shared" si="41"/>
        <v/>
      </c>
      <c r="V114" s="847" t="str">
        <f>IFERROR(IF(INDEX('Produtos Selecionados'!$G:$G,MATCH($E114,'Produtos Selecionados'!$E:$E,0))="MFO", "Evitar - ROA baixo", "OK"),"OK")</f>
        <v>Evitar - ROA baixo</v>
      </c>
      <c r="W114" s="845" t="s">
        <v>666</v>
      </c>
      <c r="X114" s="848"/>
      <c r="Y114" s="849"/>
    </row>
    <row r="115" spans="2:25" s="846" customFormat="1" ht="15">
      <c r="B115" s="357"/>
      <c r="C115" s="357"/>
      <c r="D115" s="357"/>
      <c r="E115" s="842" t="s">
        <v>2714</v>
      </c>
      <c r="F115" s="843" t="str">
        <f>IFERROR(INDEX('Produtos Selecionados'!$G:$G,MATCH($E115,'Produtos Selecionados'!$E:$E,0)),"-")</f>
        <v>MFO</v>
      </c>
      <c r="G115" s="843" t="str">
        <f>IFERROR(INDEX('Produtos Selecionados'!$H:$H,MATCH($E115,'Produtos Selecionados'!$E:$E,0)),"-")</f>
        <v>Sim</v>
      </c>
      <c r="H115" s="843">
        <f>IFERROR(INDEX('Produtos Selecionados'!$O:$O,MATCH($E115,'Produtos Selecionados'!$E:$E,0)),"-")</f>
        <v>3.1666666666666701E-3</v>
      </c>
      <c r="I115" s="844" t="str">
        <f>IFERROR(INDEX('Produtos Selecionados'!$L:$L,MATCH($E115,'Produtos Selecionados'!$E:$E,0)),"-")</f>
        <v>BRL</v>
      </c>
      <c r="J115" s="844">
        <f>IFERROR(INDEX('Produtos Selecionados'!$M:$M,MATCH($E115,'Produtos Selecionados'!$E:$E,0)),"-")</f>
        <v>32</v>
      </c>
      <c r="K115" s="845"/>
      <c r="L115" s="203" t="str">
        <f t="shared" si="37"/>
        <v/>
      </c>
      <c r="M115" s="845"/>
      <c r="N115" s="203" t="str">
        <f t="shared" si="38"/>
        <v/>
      </c>
      <c r="O115" s="845"/>
      <c r="P115" s="203" t="str">
        <f t="shared" si="39"/>
        <v/>
      </c>
      <c r="Q115" s="845"/>
      <c r="R115" s="203" t="str">
        <f t="shared" si="40"/>
        <v/>
      </c>
      <c r="S115" s="845"/>
      <c r="T115" s="203" t="str">
        <f t="shared" si="41"/>
        <v/>
      </c>
      <c r="V115" s="847" t="str">
        <f>IFERROR(IF(INDEX('Produtos Selecionados'!$G:$G,MATCH($E115,'Produtos Selecionados'!$E:$E,0))="MFO", "Evitar - ROA baixo", "OK"),"OK")</f>
        <v>Evitar - ROA baixo</v>
      </c>
      <c r="W115" s="845" t="s">
        <v>666</v>
      </c>
      <c r="X115" s="848"/>
      <c r="Y115" s="849"/>
    </row>
    <row r="116" spans="2:25" s="846" customFormat="1" ht="15">
      <c r="B116" s="357"/>
      <c r="C116" s="357"/>
      <c r="D116" s="357"/>
      <c r="E116" s="842" t="s">
        <v>2104</v>
      </c>
      <c r="F116" s="843" t="str">
        <f>IFERROR(INDEX('Produtos Selecionados'!$G:$G,MATCH($E116,'Produtos Selecionados'!$E:$E,0)),"-")</f>
        <v>-</v>
      </c>
      <c r="G116" s="843" t="str">
        <f>IFERROR(INDEX('Produtos Selecionados'!$H:$H,MATCH($E116,'Produtos Selecionados'!$E:$E,0)),"-")</f>
        <v>Sim</v>
      </c>
      <c r="H116" s="843">
        <f>IFERROR(INDEX('Produtos Selecionados'!$O:$O,MATCH($E116,'Produtos Selecionados'!$E:$E,0)),"-")</f>
        <v>5.3333333333333297E-3</v>
      </c>
      <c r="I116" s="844" t="str">
        <f>IFERROR(INDEX('Produtos Selecionados'!$L:$L,MATCH($E116,'Produtos Selecionados'!$E:$E,0)),"-")</f>
        <v>BRL</v>
      </c>
      <c r="J116" s="844">
        <f>IFERROR(INDEX('Produtos Selecionados'!$M:$M,MATCH($E116,'Produtos Selecionados'!$E:$E,0)),"-")</f>
        <v>29</v>
      </c>
      <c r="K116" s="845"/>
      <c r="L116" s="203" t="str">
        <f t="shared" si="37"/>
        <v/>
      </c>
      <c r="M116" s="845"/>
      <c r="N116" s="203" t="str">
        <f t="shared" si="38"/>
        <v/>
      </c>
      <c r="O116" s="845"/>
      <c r="P116" s="203" t="str">
        <f t="shared" si="39"/>
        <v/>
      </c>
      <c r="Q116" s="845"/>
      <c r="R116" s="203" t="str">
        <f t="shared" si="40"/>
        <v/>
      </c>
      <c r="S116" s="845"/>
      <c r="T116" s="203" t="str">
        <f t="shared" si="41"/>
        <v/>
      </c>
      <c r="V116" s="847" t="str">
        <f>IFERROR(IF(INDEX('Produtos Selecionados'!$G:$G,MATCH($E116,'Produtos Selecionados'!$E:$E,0))="MFO", "Evitar - ROA baixo", "OK"),"OK")</f>
        <v>OK</v>
      </c>
      <c r="W116" s="845" t="s">
        <v>666</v>
      </c>
      <c r="X116" s="848"/>
      <c r="Y116" s="849"/>
    </row>
    <row r="117" spans="2:25" s="846" customFormat="1" ht="15">
      <c r="B117" s="357"/>
      <c r="C117" s="357"/>
      <c r="D117" s="357"/>
      <c r="E117" s="842" t="s">
        <v>2075</v>
      </c>
      <c r="F117" s="843" t="str">
        <f>IFERROR(INDEX('Produtos Selecionados'!$G:$G,MATCH($E117,'Produtos Selecionados'!$E:$E,0)),"-")</f>
        <v>-</v>
      </c>
      <c r="G117" s="843" t="str">
        <f>IFERROR(INDEX('Produtos Selecionados'!$H:$H,MATCH($E117,'Produtos Selecionados'!$E:$E,0)),"-")</f>
        <v>Sim</v>
      </c>
      <c r="H117" s="843">
        <f>IFERROR(INDEX('Produtos Selecionados'!$O:$O,MATCH($E117,'Produtos Selecionados'!$E:$E,0)),"-")</f>
        <v>5.3333333333333297E-3</v>
      </c>
      <c r="I117" s="844" t="str">
        <f>IFERROR(INDEX('Produtos Selecionados'!$L:$L,MATCH($E117,'Produtos Selecionados'!$E:$E,0)),"-")</f>
        <v>BRL</v>
      </c>
      <c r="J117" s="844">
        <f>IFERROR(INDEX('Produtos Selecionados'!$M:$M,MATCH($E117,'Produtos Selecionados'!$E:$E,0)),"-")</f>
        <v>32</v>
      </c>
      <c r="K117" s="845"/>
      <c r="L117" s="203" t="str">
        <f t="shared" si="37"/>
        <v/>
      </c>
      <c r="M117" s="845"/>
      <c r="N117" s="203" t="str">
        <f t="shared" si="38"/>
        <v/>
      </c>
      <c r="O117" s="845"/>
      <c r="P117" s="203" t="str">
        <f t="shared" si="39"/>
        <v/>
      </c>
      <c r="Q117" s="845"/>
      <c r="R117" s="203" t="str">
        <f t="shared" si="40"/>
        <v/>
      </c>
      <c r="S117" s="845"/>
      <c r="T117" s="203" t="str">
        <f t="shared" si="41"/>
        <v/>
      </c>
      <c r="V117" s="847" t="str">
        <f>IFERROR(IF(INDEX('Produtos Selecionados'!$G:$G,MATCH($E117,'Produtos Selecionados'!$E:$E,0))="MFO", "Evitar - ROA baixo", "OK"),"OK")</f>
        <v>OK</v>
      </c>
      <c r="W117" s="845" t="s">
        <v>666</v>
      </c>
      <c r="X117" s="848"/>
      <c r="Y117" s="849"/>
    </row>
    <row r="118" spans="2:25" s="846" customFormat="1" ht="15">
      <c r="B118" s="357"/>
      <c r="C118" s="357"/>
      <c r="D118" s="357"/>
      <c r="E118" s="842" t="s">
        <v>2077</v>
      </c>
      <c r="F118" s="843" t="str">
        <f>IFERROR(INDEX('Produtos Selecionados'!$G:$G,MATCH($E118,'Produtos Selecionados'!$E:$E,0)),"-")</f>
        <v>-</v>
      </c>
      <c r="G118" s="843" t="str">
        <f>IFERROR(INDEX('Produtos Selecionados'!$H:$H,MATCH($E118,'Produtos Selecionados'!$E:$E,0)),"-")</f>
        <v>Não</v>
      </c>
      <c r="H118" s="843">
        <f>IFERROR(INDEX('Produtos Selecionados'!$O:$O,MATCH($E118,'Produtos Selecionados'!$E:$E,0)),"-")</f>
        <v>3.7499999999999999E-3</v>
      </c>
      <c r="I118" s="844" t="str">
        <f>IFERROR(INDEX('Produtos Selecionados'!$L:$L,MATCH($E118,'Produtos Selecionados'!$E:$E,0)),"-")</f>
        <v>BRL</v>
      </c>
      <c r="J118" s="844">
        <f>IFERROR(INDEX('Produtos Selecionados'!$M:$M,MATCH($E118,'Produtos Selecionados'!$E:$E,0)),"-")</f>
        <v>33</v>
      </c>
      <c r="K118" s="845"/>
      <c r="L118" s="203" t="str">
        <f t="shared" si="37"/>
        <v/>
      </c>
      <c r="M118" s="845"/>
      <c r="N118" s="203" t="str">
        <f t="shared" si="38"/>
        <v/>
      </c>
      <c r="O118" s="845"/>
      <c r="P118" s="203" t="str">
        <f t="shared" si="39"/>
        <v/>
      </c>
      <c r="Q118" s="845"/>
      <c r="R118" s="203" t="str">
        <f t="shared" si="40"/>
        <v/>
      </c>
      <c r="S118" s="845"/>
      <c r="T118" s="203" t="str">
        <f t="shared" si="41"/>
        <v/>
      </c>
      <c r="V118" s="847" t="str">
        <f>IFERROR(IF(INDEX('Produtos Selecionados'!$G:$G,MATCH($E118,'Produtos Selecionados'!$E:$E,0))="MFO", "Evitar - ROA baixo", "OK"),"OK")</f>
        <v>OK</v>
      </c>
      <c r="W118" s="845" t="s">
        <v>666</v>
      </c>
      <c r="X118" s="848"/>
      <c r="Y118" s="849"/>
    </row>
    <row r="119" spans="2:25" s="846" customFormat="1" ht="5.25" customHeight="1">
      <c r="B119" s="357"/>
      <c r="C119" s="357"/>
      <c r="D119" s="357"/>
      <c r="E119" s="453"/>
      <c r="F119" s="862" t="str">
        <f>IFERROR(INDEX('Produtos Selecionados'!$M:$M,MATCH(A119,'Produtos Selecionados'!$E:$E,0)),"-")</f>
        <v>-</v>
      </c>
      <c r="G119" s="862" t="str">
        <f>IFERROR(INDEX('Produtos Selecionados'!$M:$M,MATCH(B119,'Produtos Selecionados'!$E:$E,0)),"-")</f>
        <v>-</v>
      </c>
      <c r="H119" s="862" t="str">
        <f>IFERROR(INDEX('Produtos Selecionados'!$M:$M,MATCH(C119,'Produtos Selecionados'!$E:$E,0)),"-")</f>
        <v>-</v>
      </c>
      <c r="I119" s="862" t="str">
        <f>IFERROR(INDEX('Produtos Selecionados'!$M:$M,MATCH(D119,'Produtos Selecionados'!$E:$E,0)),"-")</f>
        <v>-</v>
      </c>
      <c r="J119" s="862" t="str">
        <f>IFERROR(INDEX('Produtos Selecionados'!$M:$M,MATCH(D119,'Produtos Selecionados'!$E:$E,0)),"-")</f>
        <v>-</v>
      </c>
      <c r="K119" s="851"/>
      <c r="L119" s="852" t="str">
        <f t="shared" si="37"/>
        <v/>
      </c>
      <c r="M119" s="851"/>
      <c r="N119" s="852" t="str">
        <f t="shared" si="38"/>
        <v/>
      </c>
      <c r="O119" s="851"/>
      <c r="P119" s="852" t="str">
        <f t="shared" si="39"/>
        <v/>
      </c>
      <c r="Q119" s="851"/>
      <c r="R119" s="852" t="str">
        <f t="shared" si="40"/>
        <v/>
      </c>
      <c r="S119" s="851"/>
      <c r="T119" s="852" t="str">
        <f t="shared" si="41"/>
        <v/>
      </c>
      <c r="V119" s="853"/>
      <c r="W119" s="861"/>
      <c r="X119" s="863"/>
      <c r="Y119" s="864"/>
    </row>
    <row r="120" spans="2:25" s="347" customFormat="1" ht="15">
      <c r="B120" s="343"/>
      <c r="C120" s="343"/>
      <c r="D120" s="343" t="s">
        <v>12</v>
      </c>
      <c r="E120" s="458" t="s">
        <v>614</v>
      </c>
      <c r="F120" s="459"/>
      <c r="G120" s="459"/>
      <c r="H120" s="459"/>
      <c r="I120" s="459"/>
      <c r="J120" s="459"/>
      <c r="K120" s="385">
        <v>0</v>
      </c>
      <c r="L120" s="857">
        <f>SUM(L121:L128)</f>
        <v>0</v>
      </c>
      <c r="M120" s="385">
        <v>0.02</v>
      </c>
      <c r="N120" s="857">
        <f>SUM(N121:N128)</f>
        <v>0.02</v>
      </c>
      <c r="O120" s="385">
        <v>0.04</v>
      </c>
      <c r="P120" s="857">
        <f>SUM(P121:P128)</f>
        <v>0.04</v>
      </c>
      <c r="Q120" s="385">
        <v>0.1</v>
      </c>
      <c r="R120" s="857">
        <f>SUM(R121:R128)</f>
        <v>0.1</v>
      </c>
      <c r="S120" s="385">
        <v>0.18</v>
      </c>
      <c r="T120" s="857">
        <f>SUM(T121:T128)</f>
        <v>0.18</v>
      </c>
      <c r="U120" s="846"/>
      <c r="V120" s="858"/>
      <c r="W120" s="385"/>
      <c r="X120" s="859"/>
      <c r="Y120" s="860"/>
    </row>
    <row r="121" spans="2:25" s="846" customFormat="1" ht="15">
      <c r="B121" s="357"/>
      <c r="C121" s="357"/>
      <c r="D121" s="357"/>
      <c r="E121" s="842" t="s">
        <v>2105</v>
      </c>
      <c r="F121" s="843" t="str">
        <f>IFERROR(INDEX('Produtos Selecionados'!$G:$G,MATCH($E121,'Produtos Selecionados'!$E:$E,0)),"-")</f>
        <v>-</v>
      </c>
      <c r="G121" s="843" t="str">
        <f>IFERROR(INDEX('Produtos Selecionados'!$H:$H,MATCH($E121,'Produtos Selecionados'!$E:$E,0)),"-")</f>
        <v>Sim</v>
      </c>
      <c r="H121" s="843">
        <f>IFERROR(INDEX('Produtos Selecionados'!$O:$O,MATCH($E121,'Produtos Selecionados'!$E:$E,0)),"-")</f>
        <v>7.9333333333333304E-3</v>
      </c>
      <c r="I121" s="844" t="str">
        <f>IFERROR(INDEX('Produtos Selecionados'!$L:$L,MATCH($E121,'Produtos Selecionados'!$E:$E,0)),"-")</f>
        <v>BRL</v>
      </c>
      <c r="J121" s="844">
        <f>IFERROR(INDEX('Produtos Selecionados'!$M:$M,MATCH($E121,'Produtos Selecionados'!$E:$E,0)),"-")</f>
        <v>61</v>
      </c>
      <c r="K121" s="845"/>
      <c r="L121" s="203" t="str">
        <f t="shared" ref="L121:L128" si="42">IF(K121="","", K121*K$120)</f>
        <v/>
      </c>
      <c r="M121" s="845">
        <v>0.5</v>
      </c>
      <c r="N121" s="203">
        <f t="shared" ref="N121:N122" si="43">IF(M121="","", M121*M$120)</f>
        <v>0.01</v>
      </c>
      <c r="O121" s="845">
        <v>0.5</v>
      </c>
      <c r="P121" s="203">
        <f t="shared" ref="P121:P122" si="44">IF(O121="","", O121*O$120)</f>
        <v>0.02</v>
      </c>
      <c r="Q121" s="845">
        <v>0.3</v>
      </c>
      <c r="R121" s="203">
        <f t="shared" ref="R121:R122" si="45">IF(Q121="","", Q121*Q$120)</f>
        <v>0.03</v>
      </c>
      <c r="S121" s="998">
        <f>4%/S$120</f>
        <v>0.22222222222222224</v>
      </c>
      <c r="T121" s="203">
        <f t="shared" ref="T121:T122" si="46">IF(S121="","", S121*S$120)</f>
        <v>0.04</v>
      </c>
      <c r="V121" s="847" t="str">
        <f>IFERROR(IF(INDEX('Produtos Selecionados'!$G:$G,MATCH($E121,'Produtos Selecionados'!$E:$E,0))="MFO", "Evitar - ROA baixo", "OK"),"OK")</f>
        <v>OK</v>
      </c>
      <c r="W121" s="845" t="s">
        <v>666</v>
      </c>
      <c r="X121" s="848">
        <v>0.7</v>
      </c>
      <c r="Y121" s="849"/>
    </row>
    <row r="122" spans="2:25" s="846" customFormat="1" ht="15">
      <c r="B122" s="357"/>
      <c r="C122" s="357"/>
      <c r="D122" s="357"/>
      <c r="E122" s="842" t="s">
        <v>1722</v>
      </c>
      <c r="F122" s="843" t="str">
        <f>IFERROR(INDEX('Produtos Selecionados'!$G:$G,MATCH($E122,'Produtos Selecionados'!$E:$E,0)),"-")</f>
        <v>MFO</v>
      </c>
      <c r="G122" s="843" t="str">
        <f>IFERROR(INDEX('Produtos Selecionados'!$H:$H,MATCH($E122,'Produtos Selecionados'!$E:$E,0)),"-")</f>
        <v>Sim</v>
      </c>
      <c r="H122" s="843">
        <f>IFERROR(INDEX('Produtos Selecionados'!$O:$O,MATCH($E122,'Produtos Selecionados'!$E:$E,0)),"-")</f>
        <v>3.5999999999999999E-3</v>
      </c>
      <c r="I122" s="844" t="str">
        <f>IFERROR(INDEX('Produtos Selecionados'!$L:$L,MATCH($E122,'Produtos Selecionados'!$E:$E,0)),"-")</f>
        <v>BRL</v>
      </c>
      <c r="J122" s="844">
        <f>IFERROR(INDEX('Produtos Selecionados'!$M:$M,MATCH($E122,'Produtos Selecionados'!$E:$E,0)),"-")</f>
        <v>32</v>
      </c>
      <c r="K122" s="845"/>
      <c r="L122" s="203" t="str">
        <f t="shared" si="42"/>
        <v/>
      </c>
      <c r="M122" s="845">
        <v>0.5</v>
      </c>
      <c r="N122" s="203">
        <f t="shared" si="43"/>
        <v>0.01</v>
      </c>
      <c r="O122" s="845">
        <v>0.5</v>
      </c>
      <c r="P122" s="203">
        <f t="shared" si="44"/>
        <v>0.02</v>
      </c>
      <c r="Q122" s="845">
        <v>0.3</v>
      </c>
      <c r="R122" s="203">
        <f t="shared" si="45"/>
        <v>0.03</v>
      </c>
      <c r="S122" s="998">
        <f>4%/S$120</f>
        <v>0.22222222222222224</v>
      </c>
      <c r="T122" s="203">
        <f t="shared" si="46"/>
        <v>0.04</v>
      </c>
      <c r="V122" s="847" t="str">
        <f>IFERROR(IF(INDEX('Produtos Selecionados'!$G:$G,MATCH($E122,'Produtos Selecionados'!$E:$E,0))="MFO", "Evitar - ROA baixo", "OK"),"OK")</f>
        <v>Evitar - ROA baixo</v>
      </c>
      <c r="W122" s="845" t="s">
        <v>666</v>
      </c>
      <c r="X122" s="848">
        <v>0.7</v>
      </c>
      <c r="Y122" s="849"/>
    </row>
    <row r="123" spans="2:25" s="846" customFormat="1" ht="15">
      <c r="B123" s="357"/>
      <c r="C123" s="357"/>
      <c r="D123" s="357"/>
      <c r="E123" s="842" t="s">
        <v>2107</v>
      </c>
      <c r="F123" s="843" t="str">
        <f>IFERROR(INDEX('Produtos Selecionados'!$G:$G,MATCH($E123,'Produtos Selecionados'!$E:$E,0)),"-")</f>
        <v>-</v>
      </c>
      <c r="G123" s="843" t="str">
        <f>IFERROR(INDEX('Produtos Selecionados'!$H:$H,MATCH($E123,'Produtos Selecionados'!$E:$E,0)),"-")</f>
        <v>Sim</v>
      </c>
      <c r="H123" s="843">
        <f>IFERROR(INDEX('Produtos Selecionados'!$O:$O,MATCH($E123,'Produtos Selecionados'!$E:$E,0)),"-")</f>
        <v>4.7499999999999999E-3</v>
      </c>
      <c r="I123" s="844" t="str">
        <f>IFERROR(INDEX('Produtos Selecionados'!$L:$L,MATCH($E123,'Produtos Selecionados'!$E:$E,0)),"-")</f>
        <v>BRL</v>
      </c>
      <c r="J123" s="844">
        <f>IFERROR(INDEX('Produtos Selecionados'!$M:$M,MATCH($E123,'Produtos Selecionados'!$E:$E,0)),"-")</f>
        <v>32</v>
      </c>
      <c r="K123" s="845"/>
      <c r="L123" s="203" t="str">
        <f>IF(K123="","", K123*K$120)</f>
        <v/>
      </c>
      <c r="M123" s="845"/>
      <c r="N123" s="203" t="str">
        <f>IF(M123="","", M123*M$120)</f>
        <v/>
      </c>
      <c r="O123" s="845"/>
      <c r="P123" s="203" t="str">
        <f>IF(O123="","", O123*O$120)</f>
        <v/>
      </c>
      <c r="Q123" s="845">
        <v>0.2</v>
      </c>
      <c r="R123" s="203">
        <f>IF(Q123="","", Q123*Q$120)</f>
        <v>2.0000000000000004E-2</v>
      </c>
      <c r="S123" s="998">
        <f>3%/S$120</f>
        <v>0.16666666666666666</v>
      </c>
      <c r="T123" s="203">
        <f>IF(S123="","", S123*S$120)</f>
        <v>0.03</v>
      </c>
      <c r="V123" s="847" t="str">
        <f>IFERROR(IF(INDEX('Produtos Selecionados'!$G:$G,MATCH($E123,'Produtos Selecionados'!$E:$E,0))="MFO", "Evitar - ROA baixo", "OK"),"OK")</f>
        <v>OK</v>
      </c>
      <c r="W123" s="845" t="s">
        <v>666</v>
      </c>
      <c r="X123" s="848">
        <v>0.7</v>
      </c>
      <c r="Y123" s="849"/>
    </row>
    <row r="124" spans="2:25" s="846" customFormat="1" ht="15">
      <c r="B124" s="357"/>
      <c r="C124" s="357"/>
      <c r="D124" s="357"/>
      <c r="E124" s="842" t="s">
        <v>2719</v>
      </c>
      <c r="F124" s="843" t="str">
        <f>IFERROR(INDEX('Produtos Selecionados'!$G:$G,MATCH($E124,'Produtos Selecionados'!$E:$E,0)),"-")</f>
        <v>MFO</v>
      </c>
      <c r="G124" s="843" t="str">
        <f>IFERROR(INDEX('Produtos Selecionados'!$H:$H,MATCH($E124,'Produtos Selecionados'!$E:$E,0)),"-")</f>
        <v>Sim</v>
      </c>
      <c r="H124" s="843">
        <f>IFERROR(INDEX('Produtos Selecionados'!$O:$O,MATCH($E124,'Produtos Selecionados'!$E:$E,0)),"-")</f>
        <v>3.3333333333333301E-3</v>
      </c>
      <c r="I124" s="844" t="str">
        <f>IFERROR(INDEX('Produtos Selecionados'!$L:$L,MATCH($E124,'Produtos Selecionados'!$E:$E,0)),"-")</f>
        <v>BRL</v>
      </c>
      <c r="J124" s="844">
        <f>IFERROR(INDEX('Produtos Selecionados'!$M:$M,MATCH($E124,'Produtos Selecionados'!$E:$E,0)),"-")</f>
        <v>62</v>
      </c>
      <c r="K124" s="845"/>
      <c r="L124" s="203" t="str">
        <f t="shared" ref="L124" si="47">IF(K124="","", K124*K$120)</f>
        <v/>
      </c>
      <c r="M124" s="845"/>
      <c r="N124" s="203" t="str">
        <f>IF(M124="","", M124*M$120)</f>
        <v/>
      </c>
      <c r="O124" s="845"/>
      <c r="P124" s="203" t="str">
        <f>IF(O124="","", O124*O$120)</f>
        <v/>
      </c>
      <c r="Q124" s="845">
        <v>0.2</v>
      </c>
      <c r="R124" s="203">
        <f>IF(Q124="","", Q124*Q$120)</f>
        <v>2.0000000000000004E-2</v>
      </c>
      <c r="S124" s="998">
        <f>3%/S$120</f>
        <v>0.16666666666666666</v>
      </c>
      <c r="T124" s="203">
        <f>IF(S124="","", S124*S$120)</f>
        <v>0.03</v>
      </c>
      <c r="V124" s="847" t="str">
        <f>IFERROR(IF(INDEX('Produtos Selecionados'!$G:$G,MATCH($E124,'Produtos Selecionados'!$E:$E,0))="MFO", "Evitar - ROA baixo", "OK"),"OK")</f>
        <v>Evitar - ROA baixo</v>
      </c>
      <c r="W124" s="845" t="s">
        <v>666</v>
      </c>
      <c r="X124" s="848">
        <v>0.7</v>
      </c>
      <c r="Y124" s="849"/>
    </row>
    <row r="125" spans="2:25" s="846" customFormat="1" ht="15">
      <c r="B125" s="357"/>
      <c r="C125" s="357"/>
      <c r="D125" s="357"/>
      <c r="E125" s="842" t="s">
        <v>4772</v>
      </c>
      <c r="F125" s="843" t="str">
        <f>IFERROR(INDEX('Produtos Selecionados'!$G:$G,MATCH($E125,'Produtos Selecionados'!$E:$E,0)),"-")</f>
        <v>-</v>
      </c>
      <c r="G125" s="843" t="str">
        <f>IFERROR(INDEX('Produtos Selecionados'!$H:$H,MATCH($E125,'Produtos Selecionados'!$E:$E,0)),"-")</f>
        <v>Sim</v>
      </c>
      <c r="H125" s="843">
        <f>IFERROR(INDEX('Produtos Selecionados'!$O:$O,MATCH($E125,'Produtos Selecionados'!$E:$E,0)),"-")</f>
        <v>4.8937499999999997E-3</v>
      </c>
      <c r="I125" s="844" t="str">
        <f>IFERROR(INDEX('Produtos Selecionados'!$L:$L,MATCH($E125,'Produtos Selecionados'!$E:$E,0)),"-")</f>
        <v>BRL</v>
      </c>
      <c r="J125" s="844">
        <f>IFERROR(INDEX('Produtos Selecionados'!$M:$M,MATCH($E125,'Produtos Selecionados'!$E:$E,0)),"-")</f>
        <v>32</v>
      </c>
      <c r="K125" s="845"/>
      <c r="L125" s="203" t="str">
        <f>IF(K125="","", K125*K$120)</f>
        <v/>
      </c>
      <c r="M125" s="845"/>
      <c r="N125" s="203" t="str">
        <f>IF(M125="","", M125*M$120)</f>
        <v/>
      </c>
      <c r="O125" s="845"/>
      <c r="P125" s="203" t="str">
        <f>IF(O125="","", O125*O$120)</f>
        <v/>
      </c>
      <c r="Q125" s="845"/>
      <c r="R125" s="203" t="str">
        <f>IF(Q125="","", Q125*Q$120)</f>
        <v/>
      </c>
      <c r="S125" s="998">
        <f>2%/S$120</f>
        <v>0.11111111111111112</v>
      </c>
      <c r="T125" s="203">
        <f>IF(S125="","", S125*S$120)</f>
        <v>0.02</v>
      </c>
      <c r="V125" s="847" t="str">
        <f>IFERROR(IF(INDEX('Produtos Selecionados'!$G:$G,MATCH($E125,'Produtos Selecionados'!$E:$E,0))="MFO", "Evitar - ROA baixo", "OK"),"OK")</f>
        <v>OK</v>
      </c>
      <c r="W125" s="845" t="s">
        <v>666</v>
      </c>
      <c r="X125" s="848">
        <v>0.7</v>
      </c>
      <c r="Y125" s="849"/>
    </row>
    <row r="126" spans="2:25" s="846" customFormat="1" ht="15">
      <c r="B126" s="357"/>
      <c r="C126" s="357"/>
      <c r="D126" s="357"/>
      <c r="E126" s="842" t="s">
        <v>1725</v>
      </c>
      <c r="F126" s="843" t="str">
        <f>IFERROR(INDEX('Produtos Selecionados'!$G:$G,MATCH($E126,'Produtos Selecionados'!$E:$E,0)),"-")</f>
        <v>-</v>
      </c>
      <c r="G126" s="843" t="str">
        <f>IFERROR(INDEX('Produtos Selecionados'!$H:$H,MATCH($E126,'Produtos Selecionados'!$E:$E,0)),"-")</f>
        <v>Sim</v>
      </c>
      <c r="H126" s="843">
        <f>IFERROR(INDEX('Produtos Selecionados'!$O:$O,MATCH($E126,'Produtos Selecionados'!$E:$E,0)),"-")</f>
        <v>4.7499999999999999E-3</v>
      </c>
      <c r="I126" s="844" t="str">
        <f>IFERROR(INDEX('Produtos Selecionados'!$L:$L,MATCH($E126,'Produtos Selecionados'!$E:$E,0)),"-")</f>
        <v>BRL</v>
      </c>
      <c r="J126" s="844">
        <f>IFERROR(INDEX('Produtos Selecionados'!$M:$M,MATCH($E126,'Produtos Selecionados'!$E:$E,0)),"-")</f>
        <v>33</v>
      </c>
      <c r="K126" s="845"/>
      <c r="L126" s="203" t="str">
        <f>IF(K126="","", K126*K$120)</f>
        <v/>
      </c>
      <c r="M126" s="845"/>
      <c r="N126" s="203" t="str">
        <f>IF(M126="","", M126*M$120)</f>
        <v/>
      </c>
      <c r="O126" s="845"/>
      <c r="P126" s="203" t="str">
        <f>IF(O126="","", O126*O$120)</f>
        <v/>
      </c>
      <c r="Q126" s="845"/>
      <c r="R126" s="203" t="str">
        <f>IF(Q126="","", Q126*Q$120)</f>
        <v/>
      </c>
      <c r="S126" s="998">
        <f>2%/S$120</f>
        <v>0.11111111111111112</v>
      </c>
      <c r="T126" s="203">
        <f>IF(S126="","", S126*S$120)</f>
        <v>0.02</v>
      </c>
      <c r="V126" s="847" t="str">
        <f>IFERROR(IF(INDEX('Produtos Selecionados'!$G:$G,MATCH($E126,'Produtos Selecionados'!$E:$E,0))="MFO", "Evitar - ROA baixo", "OK"),"OK")</f>
        <v>OK</v>
      </c>
      <c r="W126" s="845" t="s">
        <v>666</v>
      </c>
      <c r="X126" s="848">
        <v>0.7</v>
      </c>
      <c r="Y126" s="849"/>
    </row>
    <row r="127" spans="2:25" s="846" customFormat="1" ht="15">
      <c r="B127" s="357"/>
      <c r="C127" s="357"/>
      <c r="D127" s="357"/>
      <c r="E127" s="842" t="s">
        <v>1723</v>
      </c>
      <c r="F127" s="843" t="str">
        <f>IFERROR(INDEX('Produtos Selecionados'!$G:$G,MATCH($E127,'Produtos Selecionados'!$E:$E,0)),"-")</f>
        <v>-</v>
      </c>
      <c r="G127" s="843" t="str">
        <f>IFERROR(INDEX('Produtos Selecionados'!$H:$H,MATCH($E127,'Produtos Selecionados'!$E:$E,0)),"-")</f>
        <v>Sim</v>
      </c>
      <c r="H127" s="843">
        <f>IFERROR(INDEX('Produtos Selecionados'!$O:$O,MATCH($E127,'Produtos Selecionados'!$E:$E,0)),"-")</f>
        <v>5.0673000000000003E-3</v>
      </c>
      <c r="I127" s="844" t="str">
        <f>IFERROR(INDEX('Produtos Selecionados'!$L:$L,MATCH($E127,'Produtos Selecionados'!$E:$E,0)),"-")</f>
        <v>BRL</v>
      </c>
      <c r="J127" s="844">
        <f>IFERROR(INDEX('Produtos Selecionados'!$M:$M,MATCH($E127,'Produtos Selecionados'!$E:$E,0)),"-")</f>
        <v>32</v>
      </c>
      <c r="K127" s="845"/>
      <c r="L127" s="203" t="str">
        <f t="shared" si="42"/>
        <v/>
      </c>
      <c r="M127" s="845"/>
      <c r="N127" s="203" t="str">
        <f t="shared" ref="N127:N128" si="48">IF(M127="","", M127*M$120)</f>
        <v/>
      </c>
      <c r="O127" s="845"/>
      <c r="P127" s="203" t="str">
        <f t="shared" ref="P127:P128" si="49">IF(O127="","", O127*O$120)</f>
        <v/>
      </c>
      <c r="Q127" s="845"/>
      <c r="R127" s="203" t="str">
        <f t="shared" ref="R127:R128" si="50">IF(Q127="","", Q127*Q$120)</f>
        <v/>
      </c>
      <c r="S127" s="845"/>
      <c r="T127" s="203" t="str">
        <f t="shared" ref="T127:T128" si="51">IF(S127="","", S127*S$120)</f>
        <v/>
      </c>
      <c r="V127" s="847" t="str">
        <f>IFERROR(IF(INDEX('Produtos Selecionados'!$G:$G,MATCH($E127,'Produtos Selecionados'!$E:$E,0))="MFO", "Evitar - ROA baixo", "OK"),"OK")</f>
        <v>OK</v>
      </c>
      <c r="W127" s="845" t="s">
        <v>666</v>
      </c>
      <c r="X127" s="848">
        <v>0.7</v>
      </c>
      <c r="Y127" s="849"/>
    </row>
    <row r="128" spans="2:25" s="846" customFormat="1" ht="5.25" customHeight="1">
      <c r="B128" s="357"/>
      <c r="C128" s="357"/>
      <c r="D128" s="357"/>
      <c r="E128" s="453"/>
      <c r="F128" s="862" t="str">
        <f>IFERROR(INDEX('Produtos Selecionados'!$M:$M,MATCH(A128,'Produtos Selecionados'!$E:$E,0)),"-")</f>
        <v>-</v>
      </c>
      <c r="G128" s="862" t="str">
        <f>IFERROR(INDEX('Produtos Selecionados'!$M:$M,MATCH(B128,'Produtos Selecionados'!$E:$E,0)),"-")</f>
        <v>-</v>
      </c>
      <c r="H128" s="862" t="str">
        <f>IFERROR(INDEX('Produtos Selecionados'!$M:$M,MATCH(C128,'Produtos Selecionados'!$E:$E,0)),"-")</f>
        <v>-</v>
      </c>
      <c r="I128" s="862" t="str">
        <f>IFERROR(INDEX('Produtos Selecionados'!$M:$M,MATCH(D128,'Produtos Selecionados'!$E:$E,0)),"-")</f>
        <v>-</v>
      </c>
      <c r="J128" s="862" t="str">
        <f>IFERROR(INDEX('Produtos Selecionados'!$M:$M,MATCH(D128,'Produtos Selecionados'!$E:$E,0)),"-")</f>
        <v>-</v>
      </c>
      <c r="K128" s="851"/>
      <c r="L128" s="852" t="str">
        <f t="shared" si="42"/>
        <v/>
      </c>
      <c r="M128" s="851"/>
      <c r="N128" s="852" t="str">
        <f t="shared" si="48"/>
        <v/>
      </c>
      <c r="O128" s="851"/>
      <c r="P128" s="852" t="str">
        <f t="shared" si="49"/>
        <v/>
      </c>
      <c r="Q128" s="851"/>
      <c r="R128" s="852" t="str">
        <f t="shared" si="50"/>
        <v/>
      </c>
      <c r="S128" s="851"/>
      <c r="T128" s="852" t="str">
        <f t="shared" si="51"/>
        <v/>
      </c>
      <c r="V128" s="853"/>
      <c r="W128" s="861"/>
      <c r="X128" s="863"/>
      <c r="Y128" s="864"/>
    </row>
    <row r="129" spans="2:25" s="347" customFormat="1" ht="15">
      <c r="B129" s="343"/>
      <c r="C129" s="343"/>
      <c r="D129" s="343" t="s">
        <v>12</v>
      </c>
      <c r="E129" s="458" t="s">
        <v>15</v>
      </c>
      <c r="F129" s="459"/>
      <c r="G129" s="459"/>
      <c r="H129" s="459"/>
      <c r="I129" s="459"/>
      <c r="J129" s="459"/>
      <c r="K129" s="385">
        <v>0</v>
      </c>
      <c r="L129" s="857">
        <f>SUM(L130:L131)</f>
        <v>0</v>
      </c>
      <c r="M129" s="385">
        <v>0</v>
      </c>
      <c r="N129" s="857">
        <f>SUM(N130:N131)</f>
        <v>0</v>
      </c>
      <c r="O129" s="385">
        <v>0</v>
      </c>
      <c r="P129" s="857">
        <f>SUM(P130:P131)</f>
        <v>0</v>
      </c>
      <c r="Q129" s="385">
        <v>0</v>
      </c>
      <c r="R129" s="857">
        <f>SUM(R130:R131)</f>
        <v>0</v>
      </c>
      <c r="S129" s="385">
        <v>0</v>
      </c>
      <c r="T129" s="857">
        <f>SUM(T130:T131)</f>
        <v>0</v>
      </c>
      <c r="U129" s="846"/>
      <c r="V129" s="858"/>
      <c r="W129" s="385"/>
      <c r="X129" s="859"/>
      <c r="Y129" s="860"/>
    </row>
    <row r="130" spans="2:25" s="846" customFormat="1" ht="15">
      <c r="B130" s="357"/>
      <c r="C130" s="357"/>
      <c r="D130" s="357"/>
      <c r="E130" s="842"/>
      <c r="F130" s="843" t="str">
        <f>IFERROR(INDEX('Produtos Selecionados'!$G:$G,MATCH($E130,'Produtos Selecionados'!$E:$E,0)),"-")</f>
        <v>-</v>
      </c>
      <c r="G130" s="843" t="str">
        <f>IFERROR(INDEX('Produtos Selecionados'!$H:$H,MATCH($E130,'Produtos Selecionados'!$E:$E,0)),"-")</f>
        <v>-</v>
      </c>
      <c r="H130" s="843" t="str">
        <f>IFERROR(INDEX('Produtos Selecionados'!$O:$O,MATCH($E130,'Produtos Selecionados'!$E:$E,0)),"-")</f>
        <v>-</v>
      </c>
      <c r="I130" s="844" t="str">
        <f>IFERROR(INDEX('Produtos Selecionados'!$L:$L,MATCH($E130,'Produtos Selecionados'!$E:$E,0)),"-")</f>
        <v>-</v>
      </c>
      <c r="J130" s="844" t="str">
        <f>IFERROR(INDEX('Produtos Selecionados'!$M:$M,MATCH($E130,'Produtos Selecionados'!$E:$E,0)),"-")</f>
        <v>-</v>
      </c>
      <c r="K130" s="845"/>
      <c r="L130" s="203" t="str">
        <f>IF(K130="","", K130*K$129)</f>
        <v/>
      </c>
      <c r="M130" s="845"/>
      <c r="N130" s="203" t="str">
        <f>IF(M130="","", M130*M$129)</f>
        <v/>
      </c>
      <c r="O130" s="845"/>
      <c r="P130" s="203" t="str">
        <f>IF(O130="","", O130*O$129)</f>
        <v/>
      </c>
      <c r="Q130" s="845"/>
      <c r="R130" s="203" t="str">
        <f>IF(Q130="","", Q130*Q$129)</f>
        <v/>
      </c>
      <c r="S130" s="845"/>
      <c r="T130" s="203" t="str">
        <f>IF(S130="","", S130*S$129)</f>
        <v/>
      </c>
      <c r="V130" s="847" t="str">
        <f>IFERROR(IF(INDEX('Produtos Selecionados'!$G:$G,MATCH($E130,'Produtos Selecionados'!$E:$E,0))="MFO", "Evitar - ROA baixo", "OK"),"OK")</f>
        <v>OK</v>
      </c>
      <c r="W130" s="845"/>
      <c r="X130" s="848"/>
      <c r="Y130" s="849"/>
    </row>
    <row r="131" spans="2:25" s="347" customFormat="1" ht="8.25" customHeight="1">
      <c r="B131" s="343"/>
      <c r="C131" s="343"/>
      <c r="D131" s="343"/>
      <c r="E131" s="850"/>
      <c r="F131" s="436"/>
      <c r="G131" s="436"/>
      <c r="H131" s="436"/>
      <c r="I131" s="436"/>
      <c r="J131" s="436"/>
      <c r="K131" s="851"/>
      <c r="L131" s="852" t="str">
        <f>IF(K131="","", K131*K$11)</f>
        <v/>
      </c>
      <c r="M131" s="845"/>
      <c r="N131" s="852" t="str">
        <f>IF(M131="","", M131*M$11)</f>
        <v/>
      </c>
      <c r="O131" s="851"/>
      <c r="P131" s="852" t="str">
        <f>IF(O131="","", O131*O$11)</f>
        <v/>
      </c>
      <c r="Q131" s="851"/>
      <c r="R131" s="852" t="str">
        <f>IF(Q131="","", Q131*Q$11)</f>
        <v/>
      </c>
      <c r="S131" s="851"/>
      <c r="T131" s="852" t="str">
        <f>IF(S131="","", S131*S$11)</f>
        <v/>
      </c>
      <c r="U131" s="846"/>
      <c r="V131" s="853"/>
      <c r="W131" s="845"/>
      <c r="X131" s="835"/>
      <c r="Y131" s="836"/>
    </row>
    <row r="132" spans="2:25" s="347" customFormat="1" ht="15">
      <c r="B132" s="343"/>
      <c r="C132" s="343" t="s">
        <v>1394</v>
      </c>
      <c r="D132" s="343" t="s">
        <v>12</v>
      </c>
      <c r="E132" s="441" t="s">
        <v>628</v>
      </c>
      <c r="F132" s="442"/>
      <c r="G132" s="442"/>
      <c r="H132" s="442"/>
      <c r="I132" s="442"/>
      <c r="J132" s="442"/>
      <c r="K132" s="354">
        <f ca="1">K134+K138+K142+K146+K150</f>
        <v>0</v>
      </c>
      <c r="L132" s="837">
        <f>L134+L138+L142+L146</f>
        <v>0</v>
      </c>
      <c r="M132" s="354">
        <f t="shared" ref="M132:T132" ca="1" si="52">M134+M138+M142+M146+M150</f>
        <v>0.01</v>
      </c>
      <c r="N132" s="837">
        <f t="shared" ca="1" si="52"/>
        <v>0.01</v>
      </c>
      <c r="O132" s="354">
        <f t="shared" ca="1" si="52"/>
        <v>0.02</v>
      </c>
      <c r="P132" s="837">
        <f t="shared" ca="1" si="52"/>
        <v>0.02</v>
      </c>
      <c r="Q132" s="354">
        <f t="shared" ca="1" si="52"/>
        <v>3.0000000000000002E-2</v>
      </c>
      <c r="R132" s="837">
        <f t="shared" ca="1" si="52"/>
        <v>3.0000000000000002E-2</v>
      </c>
      <c r="S132" s="354">
        <f t="shared" ca="1" si="52"/>
        <v>5.5000000000000007E-2</v>
      </c>
      <c r="T132" s="837">
        <f t="shared" ca="1" si="52"/>
        <v>5.5000000000000007E-2</v>
      </c>
      <c r="U132" s="846"/>
      <c r="V132" s="838"/>
      <c r="W132" s="839"/>
      <c r="X132" s="840"/>
      <c r="Y132" s="841"/>
    </row>
    <row r="133" spans="2:25" s="347" customFormat="1" ht="3" customHeight="1">
      <c r="B133" s="343"/>
      <c r="C133" s="343"/>
      <c r="D133" s="343"/>
      <c r="F133" s="436"/>
      <c r="G133" s="436"/>
      <c r="H133" s="436"/>
      <c r="I133" s="436"/>
      <c r="J133" s="436"/>
      <c r="K133" s="854"/>
      <c r="L133" s="855"/>
      <c r="M133" s="854"/>
      <c r="N133" s="855"/>
      <c r="O133" s="854"/>
      <c r="P133" s="855"/>
      <c r="Q133" s="854"/>
      <c r="R133" s="855"/>
      <c r="S133" s="854"/>
      <c r="T133" s="855"/>
      <c r="U133" s="846"/>
      <c r="V133" s="855"/>
      <c r="W133" s="856"/>
      <c r="X133" s="835"/>
      <c r="Y133" s="836"/>
    </row>
    <row r="134" spans="2:25" s="347" customFormat="1" ht="15">
      <c r="B134" s="343"/>
      <c r="C134" s="343"/>
      <c r="D134" s="343" t="s">
        <v>12</v>
      </c>
      <c r="E134" s="458" t="s">
        <v>609</v>
      </c>
      <c r="F134" s="459"/>
      <c r="G134" s="459"/>
      <c r="H134" s="459"/>
      <c r="I134" s="459"/>
      <c r="J134" s="459"/>
      <c r="K134" s="377">
        <f ca="1">OFFSET('Asset Allocation Tatico'!$B$9, MATCH($E134,OFFSET('Asset Allocation Tatico'!$B$9,,,COUNTA('Asset Allocation Tatico'!$B:$B)-COUNTA('Asset Allocation Tatico'!$B$1:$B$9)),0)-1, MATCH(K$5,'Asset Allocation Tatico'!$D$5:$M$5,0)+2)</f>
        <v>0</v>
      </c>
      <c r="L134" s="857">
        <f>SUM(L135:L137)</f>
        <v>0</v>
      </c>
      <c r="M134" s="377">
        <f ca="1">OFFSET('Asset Allocation Tatico'!$B$9, MATCH($E134,OFFSET('Asset Allocation Tatico'!$B$9,,,COUNTA('Asset Allocation Tatico'!$B:$B)-COUNTA('Asset Allocation Tatico'!$B$1:$B$9)),0)-1, MATCH(M$5,'Asset Allocation Tatico'!$D$5:$M$5,0)+2)</f>
        <v>5.0000000000000001E-3</v>
      </c>
      <c r="N134" s="857">
        <f ca="1">SUM(N135:N137)</f>
        <v>5.0000000000000001E-3</v>
      </c>
      <c r="O134" s="377">
        <f ca="1">OFFSET('Asset Allocation Tatico'!$B$9, MATCH($E134,OFFSET('Asset Allocation Tatico'!$B$9,,,COUNTA('Asset Allocation Tatico'!$B:$B)-COUNTA('Asset Allocation Tatico'!$B$1:$B$9)),0)-1, MATCH(O$5,'Asset Allocation Tatico'!$D$5:$M$5,0)+2)</f>
        <v>0.01</v>
      </c>
      <c r="P134" s="857">
        <f ca="1">SUM(P135:P137)</f>
        <v>0.01</v>
      </c>
      <c r="Q134" s="377">
        <f ca="1">OFFSET('Asset Allocation Tatico'!$B$9, MATCH($E134,OFFSET('Asset Allocation Tatico'!$B$9,,,COUNTA('Asset Allocation Tatico'!$B:$B)-COUNTA('Asset Allocation Tatico'!$B$1:$B$9)),0)-1, MATCH(Q$5,'Asset Allocation Tatico'!$D$5:$M$5,0)+2)</f>
        <v>1.4999999999999999E-2</v>
      </c>
      <c r="R134" s="857">
        <f ca="1">SUM(R135:R137)</f>
        <v>1.4999999999999999E-2</v>
      </c>
      <c r="S134" s="377">
        <f ca="1">OFFSET('Asset Allocation Tatico'!$B$9, MATCH($E134,OFFSET('Asset Allocation Tatico'!$B$9,,,COUNTA('Asset Allocation Tatico'!$B:$B)-COUNTA('Asset Allocation Tatico'!$B$1:$B$9)),0)-1, MATCH(S$5,'Asset Allocation Tatico'!$D$5:$M$5,0)+2)</f>
        <v>3.5000000000000003E-2</v>
      </c>
      <c r="T134" s="857">
        <f ca="1">SUM(T135:T137)</f>
        <v>3.5000000000000003E-2</v>
      </c>
      <c r="U134" s="846"/>
      <c r="V134" s="858"/>
      <c r="W134" s="385"/>
      <c r="X134" s="859"/>
      <c r="Y134" s="860"/>
    </row>
    <row r="135" spans="2:25" s="846" customFormat="1" ht="15">
      <c r="B135" s="357"/>
      <c r="C135" s="357"/>
      <c r="D135" s="357"/>
      <c r="E135" s="842" t="s">
        <v>464</v>
      </c>
      <c r="F135" s="843" t="str">
        <f>IFERROR(INDEX('Produtos Selecionados'!$G:$G,MATCH($E135,'Produtos Selecionados'!$E:$E,0)),"-")</f>
        <v>MFO</v>
      </c>
      <c r="G135" s="843" t="str">
        <f>IFERROR(INDEX('Produtos Selecionados'!$H:$H,MATCH($E135,'Produtos Selecionados'!$E:$E,0)),"-")</f>
        <v>Sim</v>
      </c>
      <c r="H135" s="843">
        <f>IFERROR(INDEX('Produtos Selecionados'!$O:$O,MATCH($E135,'Produtos Selecionados'!$E:$E,0)),"-")</f>
        <v>2.5000000000000001E-3</v>
      </c>
      <c r="I135" s="844" t="str">
        <f>IFERROR(INDEX('Produtos Selecionados'!$L:$L,MATCH($E135,'Produtos Selecionados'!$E:$E,0)),"-")</f>
        <v>USD</v>
      </c>
      <c r="J135" s="844">
        <f>IFERROR(INDEX('Produtos Selecionados'!$M:$M,MATCH($E135,'Produtos Selecionados'!$E:$E,0)),"-")</f>
        <v>2</v>
      </c>
      <c r="K135" s="845"/>
      <c r="L135" s="203" t="str">
        <f>IF(K135="","", K135*K$134)</f>
        <v/>
      </c>
      <c r="M135" s="845">
        <v>1</v>
      </c>
      <c r="N135" s="203">
        <f ca="1">IF(M135="","", M135*M$134)</f>
        <v>5.0000000000000001E-3</v>
      </c>
      <c r="O135" s="845">
        <v>1</v>
      </c>
      <c r="P135" s="203">
        <f ca="1">IF(O135="","", O135*O$134)</f>
        <v>0.01</v>
      </c>
      <c r="Q135" s="845">
        <v>1</v>
      </c>
      <c r="R135" s="203">
        <f ca="1">IF(Q135="","", Q135*Q$134)</f>
        <v>1.4999999999999999E-2</v>
      </c>
      <c r="S135" s="845">
        <v>1</v>
      </c>
      <c r="T135" s="203">
        <f ca="1">IF(S135="","", S135*S$134)</f>
        <v>3.5000000000000003E-2</v>
      </c>
      <c r="V135" s="847" t="str">
        <f>IFERROR(IF(INDEX('Produtos Selecionados'!$G:$G,MATCH($E135,'Produtos Selecionados'!$E:$E,0))="MFO", "Evitar - ROA baixo", "OK"),"OK")</f>
        <v>Evitar - ROA baixo</v>
      </c>
      <c r="W135" s="845" t="s">
        <v>4292</v>
      </c>
      <c r="X135" s="848"/>
      <c r="Y135" s="849"/>
    </row>
    <row r="136" spans="2:25" s="846" customFormat="1" ht="15">
      <c r="B136" s="357"/>
      <c r="C136" s="357"/>
      <c r="D136" s="357"/>
      <c r="E136" s="842" t="s">
        <v>2704</v>
      </c>
      <c r="F136" s="843" t="str">
        <f>IFERROR(INDEX('Produtos Selecionados'!$G:$G,MATCH($E136,'Produtos Selecionados'!$E:$E,0)),"-")</f>
        <v>MFO</v>
      </c>
      <c r="G136" s="843" t="str">
        <f>IFERROR(INDEX('Produtos Selecionados'!$H:$H,MATCH($E136,'Produtos Selecionados'!$E:$E,0)),"-")</f>
        <v>Sim</v>
      </c>
      <c r="H136" s="843">
        <f>IFERROR(INDEX('Produtos Selecionados'!$O:$O,MATCH($E136,'Produtos Selecionados'!$E:$E,0)),"-")</f>
        <v>2.66666666666667E-3</v>
      </c>
      <c r="I136" s="844" t="str">
        <f>IFERROR(INDEX('Produtos Selecionados'!$L:$L,MATCH($E136,'Produtos Selecionados'!$E:$E,0)),"-")</f>
        <v>BRL</v>
      </c>
      <c r="J136" s="844">
        <f>IFERROR(INDEX('Produtos Selecionados'!$M:$M,MATCH($E136,'Produtos Selecionados'!$E:$E,0)),"-")</f>
        <v>1</v>
      </c>
      <c r="K136" s="845"/>
      <c r="L136" s="203" t="str">
        <f>IF(K136="","", K136*K$134)</f>
        <v/>
      </c>
      <c r="M136" s="845"/>
      <c r="N136" s="203" t="str">
        <f>IF(M136="","", M136*M$134)</f>
        <v/>
      </c>
      <c r="O136" s="845"/>
      <c r="P136" s="203" t="str">
        <f>IF(O136="","", O136*O$134)</f>
        <v/>
      </c>
      <c r="Q136" s="845"/>
      <c r="R136" s="203" t="str">
        <f>IF(Q136="","", Q136*Q$134)</f>
        <v/>
      </c>
      <c r="S136" s="845"/>
      <c r="T136" s="203" t="str">
        <f>IF(S136="","", S136*S$134)</f>
        <v/>
      </c>
      <c r="V136" s="847" t="str">
        <f>IFERROR(IF(INDEX('Produtos Selecionados'!$G:$G,MATCH($E136,'Produtos Selecionados'!$E:$E,0))="MFO", "Evitar - ROA baixo", "OK"),"OK")</f>
        <v>Evitar - ROA baixo</v>
      </c>
      <c r="W136" s="845" t="s">
        <v>4292</v>
      </c>
      <c r="X136" s="848"/>
      <c r="Y136" s="849"/>
    </row>
    <row r="137" spans="2:25" s="846" customFormat="1" ht="5.25" customHeight="1">
      <c r="B137" s="357"/>
      <c r="C137" s="357"/>
      <c r="D137" s="357"/>
      <c r="E137" s="453"/>
      <c r="F137" s="862" t="str">
        <f>IFERROR(INDEX('Produtos Selecionados'!$M:$M,MATCH(A137,'Produtos Selecionados'!$E:$E,0)),"-")</f>
        <v>-</v>
      </c>
      <c r="G137" s="862" t="str">
        <f>IFERROR(INDEX('Produtos Selecionados'!$M:$M,MATCH(B137,'Produtos Selecionados'!$E:$E,0)),"-")</f>
        <v>-</v>
      </c>
      <c r="H137" s="862" t="str">
        <f>IFERROR(INDEX('Produtos Selecionados'!$M:$M,MATCH(C137,'Produtos Selecionados'!$E:$E,0)),"-")</f>
        <v>-</v>
      </c>
      <c r="I137" s="862" t="str">
        <f>IFERROR(INDEX('Produtos Selecionados'!$M:$M,MATCH(D137,'Produtos Selecionados'!$E:$E,0)),"-")</f>
        <v>-</v>
      </c>
      <c r="J137" s="862" t="str">
        <f>IFERROR(INDEX('Produtos Selecionados'!$M:$M,MATCH(D137,'Produtos Selecionados'!$E:$E,0)),"-")</f>
        <v>-</v>
      </c>
      <c r="K137" s="851"/>
      <c r="L137" s="852" t="str">
        <f>IF(K137="","", K137*K$134)</f>
        <v/>
      </c>
      <c r="M137" s="851"/>
      <c r="N137" s="852" t="str">
        <f>IF(M137="","", M137*M$134)</f>
        <v/>
      </c>
      <c r="O137" s="851"/>
      <c r="P137" s="852" t="str">
        <f>IF(O137="","", O137*O$134)</f>
        <v/>
      </c>
      <c r="Q137" s="851"/>
      <c r="R137" s="852" t="str">
        <f>IF(Q137="","", Q137*Q$134)</f>
        <v/>
      </c>
      <c r="S137" s="851"/>
      <c r="T137" s="852" t="str">
        <f>IF(S137="","", S137*S$134)</f>
        <v/>
      </c>
      <c r="V137" s="853"/>
      <c r="W137" s="861"/>
      <c r="X137" s="863"/>
      <c r="Y137" s="864"/>
    </row>
    <row r="138" spans="2:25" s="347" customFormat="1" ht="15">
      <c r="B138" s="343"/>
      <c r="C138" s="343"/>
      <c r="D138" s="343" t="s">
        <v>12</v>
      </c>
      <c r="E138" s="458" t="s">
        <v>612</v>
      </c>
      <c r="F138" s="459"/>
      <c r="G138" s="459"/>
      <c r="H138" s="459"/>
      <c r="I138" s="459"/>
      <c r="J138" s="459"/>
      <c r="K138" s="377">
        <f ca="1">OFFSET('Asset Allocation Tatico'!$B$9, MATCH($E138,OFFSET('Asset Allocation Tatico'!$B$9,,,COUNTA('Asset Allocation Tatico'!$B:$B)-COUNTA('Asset Allocation Tatico'!$B$1:$B$9)),0)-1, MATCH(K$5,'Asset Allocation Tatico'!$D$5:$M$5,0)+2)</f>
        <v>0</v>
      </c>
      <c r="L138" s="857">
        <f>SUM(L139:L141)</f>
        <v>0</v>
      </c>
      <c r="M138" s="377">
        <f ca="1">OFFSET('Asset Allocation Tatico'!$B$9, MATCH($E138,OFFSET('Asset Allocation Tatico'!$B$9,,,COUNTA('Asset Allocation Tatico'!$B:$B)-COUNTA('Asset Allocation Tatico'!$B$1:$B$9)),0)-1, MATCH(M$5,'Asset Allocation Tatico'!$D$5:$M$5,0)+2)</f>
        <v>0</v>
      </c>
      <c r="N138" s="857">
        <f>SUM(N139:N141)</f>
        <v>0</v>
      </c>
      <c r="O138" s="377">
        <f ca="1">OFFSET('Asset Allocation Tatico'!$B$9, MATCH($E138,OFFSET('Asset Allocation Tatico'!$B$9,,,COUNTA('Asset Allocation Tatico'!$B:$B)-COUNTA('Asset Allocation Tatico'!$B$1:$B$9)),0)-1, MATCH(O$5,'Asset Allocation Tatico'!$D$5:$M$5,0)+2)</f>
        <v>5.0000000000000001E-3</v>
      </c>
      <c r="P138" s="857">
        <f ca="1">SUM(P139:P141)</f>
        <v>5.0000000000000001E-3</v>
      </c>
      <c r="Q138" s="377">
        <f ca="1">OFFSET('Asset Allocation Tatico'!$B$9, MATCH($E138,OFFSET('Asset Allocation Tatico'!$B$9,,,COUNTA('Asset Allocation Tatico'!$B:$B)-COUNTA('Asset Allocation Tatico'!$B$1:$B$9)),0)-1, MATCH(Q$5,'Asset Allocation Tatico'!$D$5:$M$5,0)+2)</f>
        <v>0.01</v>
      </c>
      <c r="R138" s="857">
        <f ca="1">SUM(R139:R141)</f>
        <v>0.01</v>
      </c>
      <c r="S138" s="377">
        <f ca="1">OFFSET('Asset Allocation Tatico'!$B$9, MATCH($E138,OFFSET('Asset Allocation Tatico'!$B$9,,,COUNTA('Asset Allocation Tatico'!$B:$B)-COUNTA('Asset Allocation Tatico'!$B$1:$B$9)),0)-1, MATCH(S$5,'Asset Allocation Tatico'!$D$5:$M$5,0)+2)</f>
        <v>0.01</v>
      </c>
      <c r="T138" s="857">
        <f ca="1">SUM(T139:T141)</f>
        <v>0.01</v>
      </c>
      <c r="U138" s="846"/>
      <c r="V138" s="858"/>
      <c r="W138" s="385"/>
      <c r="X138" s="859"/>
      <c r="Y138" s="860"/>
    </row>
    <row r="139" spans="2:25" s="846" customFormat="1" ht="15">
      <c r="B139" s="357"/>
      <c r="C139" s="357"/>
      <c r="D139" s="357"/>
      <c r="E139" s="842" t="s">
        <v>2087</v>
      </c>
      <c r="F139" s="843" t="str">
        <f>IFERROR(INDEX('Produtos Selecionados'!$G:$G,MATCH($E139,'Produtos Selecionados'!$E:$E,0)),"-")</f>
        <v>-</v>
      </c>
      <c r="G139" s="843" t="str">
        <f>IFERROR(INDEX('Produtos Selecionados'!$H:$H,MATCH($E139,'Produtos Selecionados'!$E:$E,0)),"-")</f>
        <v>Sim</v>
      </c>
      <c r="H139" s="843">
        <f>IFERROR(INDEX('Produtos Selecionados'!$O:$O,MATCH($E139,'Produtos Selecionados'!$E:$E,0)),"-")</f>
        <v>8.0000000000000002E-3</v>
      </c>
      <c r="I139" s="844" t="str">
        <f>IFERROR(INDEX('Produtos Selecionados'!$L:$L,MATCH($E139,'Produtos Selecionados'!$E:$E,0)),"-")</f>
        <v>USD</v>
      </c>
      <c r="J139" s="844">
        <f>IFERROR(INDEX('Produtos Selecionados'!$M:$M,MATCH($E139,'Produtos Selecionados'!$E:$E,0)),"-")</f>
        <v>5</v>
      </c>
      <c r="K139" s="845"/>
      <c r="L139" s="203" t="str">
        <f>IF(K139="","", K139*K$138)</f>
        <v/>
      </c>
      <c r="M139" s="845"/>
      <c r="N139" s="203" t="str">
        <f>IF(M139="","", M139*M$138)</f>
        <v/>
      </c>
      <c r="O139" s="845">
        <v>1</v>
      </c>
      <c r="P139" s="203">
        <f ca="1">IF(O139="","", O139*O$138)</f>
        <v>5.0000000000000001E-3</v>
      </c>
      <c r="Q139" s="845">
        <v>1</v>
      </c>
      <c r="R139" s="203">
        <f ca="1">IF(Q139="","", Q139*Q$138)</f>
        <v>0.01</v>
      </c>
      <c r="S139" s="845">
        <v>1</v>
      </c>
      <c r="T139" s="203">
        <f ca="1">IF(S139="","", S139*S$138)</f>
        <v>0.01</v>
      </c>
      <c r="V139" s="847" t="str">
        <f>IFERROR(IF(INDEX('Produtos Selecionados'!$G:$G,MATCH($E139,'Produtos Selecionados'!$E:$E,0))="MFO", "Evitar - ROA baixo", "OK"),"OK")</f>
        <v>OK</v>
      </c>
      <c r="W139" s="845" t="s">
        <v>2697</v>
      </c>
      <c r="X139" s="848"/>
      <c r="Y139" s="849"/>
    </row>
    <row r="140" spans="2:25" s="846" customFormat="1" ht="15">
      <c r="B140" s="357"/>
      <c r="C140" s="357"/>
      <c r="D140" s="357"/>
      <c r="E140" s="842"/>
      <c r="F140" s="843" t="str">
        <f>IFERROR(INDEX('Produtos Selecionados'!$G:$G,MATCH($E140,'Produtos Selecionados'!$E:$E,0)),"-")</f>
        <v>-</v>
      </c>
      <c r="G140" s="843" t="str">
        <f>IFERROR(INDEX('Produtos Selecionados'!$H:$H,MATCH($E140,'Produtos Selecionados'!$E:$E,0)),"-")</f>
        <v>-</v>
      </c>
      <c r="H140" s="843" t="str">
        <f>IFERROR(INDEX('Produtos Selecionados'!$O:$O,MATCH($E140,'Produtos Selecionados'!$E:$E,0)),"-")</f>
        <v>-</v>
      </c>
      <c r="I140" s="844" t="str">
        <f>IFERROR(INDEX('Produtos Selecionados'!$L:$L,MATCH($E140,'Produtos Selecionados'!$E:$E,0)),"-")</f>
        <v>-</v>
      </c>
      <c r="J140" s="844" t="str">
        <f>IFERROR(INDEX('Produtos Selecionados'!$M:$M,MATCH($E140,'Produtos Selecionados'!$E:$E,0)),"-")</f>
        <v>-</v>
      </c>
      <c r="K140" s="845"/>
      <c r="L140" s="203" t="str">
        <f t="shared" ref="L140:N141" si="53">IF(K140="","", K140*K$138)</f>
        <v/>
      </c>
      <c r="M140" s="845"/>
      <c r="N140" s="203" t="str">
        <f t="shared" si="53"/>
        <v/>
      </c>
      <c r="O140" s="845"/>
      <c r="P140" s="203" t="str">
        <f>IF(O140="","", O140*O$138)</f>
        <v/>
      </c>
      <c r="Q140" s="845"/>
      <c r="R140" s="203" t="str">
        <f>IF(Q140="","", Q140*Q$138)</f>
        <v/>
      </c>
      <c r="S140" s="845"/>
      <c r="T140" s="203" t="str">
        <f>IF(S140="","", S140*S$138)</f>
        <v/>
      </c>
      <c r="V140" s="847" t="str">
        <f>IFERROR(IF(INDEX('Produtos Selecionados'!$G:$G,MATCH($E140,'Produtos Selecionados'!$E:$E,0))="MFO", "Evitar - ROA baixo", "OK"),"OK")</f>
        <v>OK</v>
      </c>
      <c r="W140" s="845"/>
      <c r="X140" s="848"/>
      <c r="Y140" s="849"/>
    </row>
    <row r="141" spans="2:25" s="846" customFormat="1" ht="5.25" customHeight="1">
      <c r="B141" s="357"/>
      <c r="C141" s="357"/>
      <c r="D141" s="357"/>
      <c r="E141" s="453"/>
      <c r="F141" s="862" t="str">
        <f>IFERROR(INDEX('Produtos Selecionados'!$M:$M,MATCH(A141,'Produtos Selecionados'!$E:$E,0)),"-")</f>
        <v>-</v>
      </c>
      <c r="G141" s="862" t="str">
        <f>IFERROR(INDEX('Produtos Selecionados'!$M:$M,MATCH(B141,'Produtos Selecionados'!$E:$E,0)),"-")</f>
        <v>-</v>
      </c>
      <c r="H141" s="862" t="str">
        <f>IFERROR(INDEX('Produtos Selecionados'!$M:$M,MATCH(C141,'Produtos Selecionados'!$E:$E,0)),"-")</f>
        <v>-</v>
      </c>
      <c r="I141" s="862" t="str">
        <f>IFERROR(INDEX('Produtos Selecionados'!$M:$M,MATCH(D141,'Produtos Selecionados'!$E:$E,0)),"-")</f>
        <v>-</v>
      </c>
      <c r="J141" s="862" t="str">
        <f>IFERROR(INDEX('Produtos Selecionados'!$M:$M,MATCH(D141,'Produtos Selecionados'!$E:$E,0)),"-")</f>
        <v>-</v>
      </c>
      <c r="K141" s="851"/>
      <c r="L141" s="852" t="str">
        <f t="shared" si="53"/>
        <v/>
      </c>
      <c r="M141" s="851"/>
      <c r="N141" s="852" t="str">
        <f t="shared" si="53"/>
        <v/>
      </c>
      <c r="O141" s="851"/>
      <c r="P141" s="852" t="str">
        <f>IF(O141="","", O141*O$138)</f>
        <v/>
      </c>
      <c r="Q141" s="851"/>
      <c r="R141" s="852" t="str">
        <f>IF(Q141="","", Q141*Q$138)</f>
        <v/>
      </c>
      <c r="S141" s="851"/>
      <c r="T141" s="852" t="str">
        <f>IF(S141="","", S141*S$138)</f>
        <v/>
      </c>
      <c r="V141" s="853"/>
      <c r="W141" s="861"/>
      <c r="X141" s="863"/>
      <c r="Y141" s="864"/>
    </row>
    <row r="142" spans="2:25" s="347" customFormat="1" ht="15">
      <c r="B142" s="343"/>
      <c r="C142" s="343"/>
      <c r="D142" s="343" t="s">
        <v>12</v>
      </c>
      <c r="E142" s="458" t="s">
        <v>613</v>
      </c>
      <c r="F142" s="459"/>
      <c r="G142" s="459"/>
      <c r="H142" s="459"/>
      <c r="I142" s="459"/>
      <c r="J142" s="459"/>
      <c r="K142" s="377">
        <f ca="1">OFFSET('Asset Allocation Tatico'!$B$9, MATCH($E142,OFFSET('Asset Allocation Tatico'!$B$9,,,COUNTA('Asset Allocation Tatico'!$B:$B)-COUNTA('Asset Allocation Tatico'!$B$1:$B$9)),0)-1, MATCH(K$5,'Asset Allocation Tatico'!$D$5:$M$5,0)+2)</f>
        <v>0</v>
      </c>
      <c r="L142" s="857">
        <f>SUM(L143:L145)</f>
        <v>0</v>
      </c>
      <c r="M142" s="377">
        <f ca="1">OFFSET('Asset Allocation Tatico'!$B$9, MATCH($E142,OFFSET('Asset Allocation Tatico'!$B$9,,,COUNTA('Asset Allocation Tatico'!$B:$B)-COUNTA('Asset Allocation Tatico'!$B$1:$B$9)),0)-1, MATCH(M$5,'Asset Allocation Tatico'!$D$5:$M$5,0)+2)</f>
        <v>0</v>
      </c>
      <c r="N142" s="857">
        <f>SUM(N143:N145)</f>
        <v>0</v>
      </c>
      <c r="O142" s="377">
        <f ca="1">OFFSET('Asset Allocation Tatico'!$B$9, MATCH($E142,OFFSET('Asset Allocation Tatico'!$B$9,,,COUNTA('Asset Allocation Tatico'!$B:$B)-COUNTA('Asset Allocation Tatico'!$B$1:$B$9)),0)-1, MATCH(O$5,'Asset Allocation Tatico'!$D$5:$M$5,0)+2)</f>
        <v>0</v>
      </c>
      <c r="P142" s="857">
        <f>SUM(P143:P145)</f>
        <v>0</v>
      </c>
      <c r="Q142" s="377">
        <f ca="1">OFFSET('Asset Allocation Tatico'!$B$9, MATCH($E142,OFFSET('Asset Allocation Tatico'!$B$9,,,COUNTA('Asset Allocation Tatico'!$B:$B)-COUNTA('Asset Allocation Tatico'!$B$1:$B$9)),0)-1, MATCH(Q$5,'Asset Allocation Tatico'!$D$5:$M$5,0)+2)</f>
        <v>0</v>
      </c>
      <c r="R142" s="857">
        <f>SUM(R143:R145)</f>
        <v>0</v>
      </c>
      <c r="S142" s="377">
        <f ca="1">OFFSET('Asset Allocation Tatico'!$B$9, MATCH($E142,OFFSET('Asset Allocation Tatico'!$B$9,,,COUNTA('Asset Allocation Tatico'!$B:$B)-COUNTA('Asset Allocation Tatico'!$B$1:$B$9)),0)-1, MATCH(S$5,'Asset Allocation Tatico'!$D$5:$M$5,0)+2)</f>
        <v>0</v>
      </c>
      <c r="T142" s="857">
        <f>SUM(T143:T145)</f>
        <v>0</v>
      </c>
      <c r="U142" s="846"/>
      <c r="V142" s="858"/>
      <c r="W142" s="385"/>
      <c r="X142" s="859"/>
      <c r="Y142" s="860"/>
    </row>
    <row r="143" spans="2:25" s="846" customFormat="1" ht="15">
      <c r="B143" s="357"/>
      <c r="C143" s="357"/>
      <c r="D143" s="357"/>
      <c r="E143" s="842"/>
      <c r="F143" s="843" t="str">
        <f>IFERROR(INDEX('Produtos Selecionados'!$G:$G,MATCH($E143,'Produtos Selecionados'!$E:$E,0)),"-")</f>
        <v>-</v>
      </c>
      <c r="G143" s="843" t="str">
        <f>IFERROR(INDEX('Produtos Selecionados'!$H:$H,MATCH($E143,'Produtos Selecionados'!$E:$E,0)),"-")</f>
        <v>-</v>
      </c>
      <c r="H143" s="843" t="str">
        <f>IFERROR(INDEX('Produtos Selecionados'!$O:$O,MATCH($E143,'Produtos Selecionados'!$E:$E,0)),"-")</f>
        <v>-</v>
      </c>
      <c r="I143" s="844" t="str">
        <f>IFERROR(INDEX('Produtos Selecionados'!$L:$L,MATCH($E143,'Produtos Selecionados'!$E:$E,0)),"-")</f>
        <v>-</v>
      </c>
      <c r="J143" s="844" t="str">
        <f>IFERROR(INDEX('Produtos Selecionados'!$M:$M,MATCH($E143,'Produtos Selecionados'!$E:$E,0)),"-")</f>
        <v>-</v>
      </c>
      <c r="K143" s="845"/>
      <c r="L143" s="203" t="str">
        <f>IF(K143="","", K143*K$142)</f>
        <v/>
      </c>
      <c r="M143" s="845"/>
      <c r="N143" s="203" t="str">
        <f>IF(M143="","", M143*M$142)</f>
        <v/>
      </c>
      <c r="O143" s="845"/>
      <c r="P143" s="203" t="str">
        <f>IF(O143="","", O143*O$142)</f>
        <v/>
      </c>
      <c r="Q143" s="845"/>
      <c r="R143" s="203" t="str">
        <f>IF(Q143="","", Q143*Q$142)</f>
        <v/>
      </c>
      <c r="S143" s="845"/>
      <c r="T143" s="203" t="str">
        <f>IF(S143="","", S143*S$142)</f>
        <v/>
      </c>
      <c r="V143" s="847" t="str">
        <f>IFERROR(IF(INDEX('Produtos Selecionados'!$G:$G,MATCH($E143,'Produtos Selecionados'!$E:$E,0))="MFO", "Evitar - ROA baixo", "OK"),"OK")</f>
        <v>OK</v>
      </c>
      <c r="W143" s="845"/>
      <c r="X143" s="848"/>
      <c r="Y143" s="849"/>
    </row>
    <row r="144" spans="2:25" s="846" customFormat="1" ht="15">
      <c r="B144" s="357"/>
      <c r="C144" s="357"/>
      <c r="D144" s="357"/>
      <c r="E144" s="842"/>
      <c r="F144" s="843" t="str">
        <f>IFERROR(INDEX('Produtos Selecionados'!$G:$G,MATCH($E144,'Produtos Selecionados'!$E:$E,0)),"-")</f>
        <v>-</v>
      </c>
      <c r="G144" s="843" t="str">
        <f>IFERROR(INDEX('Produtos Selecionados'!$H:$H,MATCH($E144,'Produtos Selecionados'!$E:$E,0)),"-")</f>
        <v>-</v>
      </c>
      <c r="H144" s="843" t="str">
        <f>IFERROR(INDEX('Produtos Selecionados'!$O:$O,MATCH($E144,'Produtos Selecionados'!$E:$E,0)),"-")</f>
        <v>-</v>
      </c>
      <c r="I144" s="844" t="str">
        <f>IFERROR(INDEX('Produtos Selecionados'!$L:$L,MATCH($E144,'Produtos Selecionados'!$E:$E,0)),"-")</f>
        <v>-</v>
      </c>
      <c r="J144" s="844" t="str">
        <f>IFERROR(INDEX('Produtos Selecionados'!$M:$M,MATCH($E144,'Produtos Selecionados'!$E:$E,0)),"-")</f>
        <v>-</v>
      </c>
      <c r="K144" s="845"/>
      <c r="L144" s="203" t="str">
        <f>IF(K144="","", K144*K$142)</f>
        <v/>
      </c>
      <c r="M144" s="845"/>
      <c r="N144" s="203" t="str">
        <f>IF(M144="","", M144*M$142)</f>
        <v/>
      </c>
      <c r="O144" s="845"/>
      <c r="P144" s="203" t="str">
        <f>IF(O144="","", O144*O$142)</f>
        <v/>
      </c>
      <c r="Q144" s="845"/>
      <c r="R144" s="203" t="str">
        <f>IF(Q144="","", Q144*Q$142)</f>
        <v/>
      </c>
      <c r="S144" s="845"/>
      <c r="T144" s="203" t="str">
        <f>IF(S144="","", S144*S$142)</f>
        <v/>
      </c>
      <c r="V144" s="847" t="str">
        <f>IFERROR(IF(INDEX('Produtos Selecionados'!$G:$G,MATCH($E144,'Produtos Selecionados'!$E:$E,0))="MFO", "Evitar - ROA baixo", "OK"),"OK")</f>
        <v>OK</v>
      </c>
      <c r="W144" s="845"/>
      <c r="X144" s="848"/>
      <c r="Y144" s="849"/>
    </row>
    <row r="145" spans="2:25" s="846" customFormat="1" ht="5.25" customHeight="1">
      <c r="B145" s="357"/>
      <c r="C145" s="357"/>
      <c r="D145" s="357"/>
      <c r="E145" s="453"/>
      <c r="F145" s="862" t="str">
        <f>IFERROR(INDEX('Produtos Selecionados'!$M:$M,MATCH(A145,'Produtos Selecionados'!$E:$E,0)),"-")</f>
        <v>-</v>
      </c>
      <c r="G145" s="862" t="str">
        <f>IFERROR(INDEX('Produtos Selecionados'!$M:$M,MATCH(B145,'Produtos Selecionados'!$E:$E,0)),"-")</f>
        <v>-</v>
      </c>
      <c r="H145" s="862" t="str">
        <f>IFERROR(INDEX('Produtos Selecionados'!$M:$M,MATCH(C145,'Produtos Selecionados'!$E:$E,0)),"-")</f>
        <v>-</v>
      </c>
      <c r="I145" s="862" t="str">
        <f>IFERROR(INDEX('Produtos Selecionados'!$M:$M,MATCH(D145,'Produtos Selecionados'!$E:$E,0)),"-")</f>
        <v>-</v>
      </c>
      <c r="J145" s="862" t="str">
        <f>IFERROR(INDEX('Produtos Selecionados'!$M:$M,MATCH(D145,'Produtos Selecionados'!$E:$E,0)),"-")</f>
        <v>-</v>
      </c>
      <c r="K145" s="851"/>
      <c r="L145" s="852" t="str">
        <f>IF(K145="","", K145*K$142)</f>
        <v/>
      </c>
      <c r="M145" s="851"/>
      <c r="N145" s="852" t="str">
        <f>IF(M145="","", M145*M$142)</f>
        <v/>
      </c>
      <c r="O145" s="851"/>
      <c r="P145" s="852" t="str">
        <f>IF(O145="","", O145*O$142)</f>
        <v/>
      </c>
      <c r="Q145" s="851"/>
      <c r="R145" s="852" t="str">
        <f>IF(Q145="","", Q145*Q$142)</f>
        <v/>
      </c>
      <c r="S145" s="851"/>
      <c r="T145" s="852" t="str">
        <f>IF(S145="","", S145*S$142)</f>
        <v/>
      </c>
      <c r="V145" s="853"/>
      <c r="W145" s="861"/>
      <c r="X145" s="863"/>
      <c r="Y145" s="864"/>
    </row>
    <row r="146" spans="2:25" s="347" customFormat="1" ht="15">
      <c r="B146" s="343"/>
      <c r="C146" s="343"/>
      <c r="D146" s="343" t="s">
        <v>12</v>
      </c>
      <c r="E146" s="458" t="s">
        <v>611</v>
      </c>
      <c r="F146" s="459"/>
      <c r="G146" s="459"/>
      <c r="H146" s="459"/>
      <c r="I146" s="459"/>
      <c r="J146" s="459"/>
      <c r="K146" s="377">
        <f ca="1">OFFSET('Asset Allocation Tatico'!$B$9, MATCH($E146,OFFSET('Asset Allocation Tatico'!$B$9,,,COUNTA('Asset Allocation Tatico'!$B:$B)-COUNTA('Asset Allocation Tatico'!$B$1:$B$9)),0)-1, MATCH(K$5,'Asset Allocation Tatico'!$D$5:$M$5,0)+2)</f>
        <v>0</v>
      </c>
      <c r="L146" s="857">
        <f>SUM(L147:L149)</f>
        <v>0</v>
      </c>
      <c r="M146" s="377">
        <f ca="1">OFFSET('Asset Allocation Tatico'!$B$9, MATCH($E146,OFFSET('Asset Allocation Tatico'!$B$9,,,COUNTA('Asset Allocation Tatico'!$B:$B)-COUNTA('Asset Allocation Tatico'!$B$1:$B$9)),0)-1, MATCH(M$5,'Asset Allocation Tatico'!$D$5:$M$5,0)+2)</f>
        <v>0</v>
      </c>
      <c r="N146" s="857">
        <f>SUM(N147:N149)</f>
        <v>0</v>
      </c>
      <c r="O146" s="377">
        <f ca="1">OFFSET('Asset Allocation Tatico'!$B$9, MATCH($E146,OFFSET('Asset Allocation Tatico'!$B$9,,,COUNTA('Asset Allocation Tatico'!$B:$B)-COUNTA('Asset Allocation Tatico'!$B$1:$B$9)),0)-1, MATCH(O$5,'Asset Allocation Tatico'!$D$5:$M$5,0)+2)</f>
        <v>0</v>
      </c>
      <c r="P146" s="857">
        <f>SUM(P147:P149)</f>
        <v>0</v>
      </c>
      <c r="Q146" s="377">
        <f ca="1">OFFSET('Asset Allocation Tatico'!$B$9, MATCH($E146,OFFSET('Asset Allocation Tatico'!$B$9,,,COUNTA('Asset Allocation Tatico'!$B:$B)-COUNTA('Asset Allocation Tatico'!$B$1:$B$9)),0)-1, MATCH(Q$5,'Asset Allocation Tatico'!$D$5:$M$5,0)+2)</f>
        <v>0</v>
      </c>
      <c r="R146" s="857">
        <f>SUM(R147:R149)</f>
        <v>0</v>
      </c>
      <c r="S146" s="377">
        <f ca="1">OFFSET('Asset Allocation Tatico'!$B$9, MATCH($E146,OFFSET('Asset Allocation Tatico'!$B$9,,,COUNTA('Asset Allocation Tatico'!$B:$B)-COUNTA('Asset Allocation Tatico'!$B$1:$B$9)),0)-1, MATCH(S$5,'Asset Allocation Tatico'!$D$5:$M$5,0)+2)</f>
        <v>0</v>
      </c>
      <c r="T146" s="857">
        <f>SUM(T147:T149)</f>
        <v>0</v>
      </c>
      <c r="U146" s="846"/>
      <c r="V146" s="858"/>
      <c r="W146" s="385"/>
      <c r="X146" s="859"/>
      <c r="Y146" s="860"/>
    </row>
    <row r="147" spans="2:25" s="846" customFormat="1" ht="15">
      <c r="B147" s="357"/>
      <c r="C147" s="357"/>
      <c r="D147" s="357"/>
      <c r="E147" s="842" t="s">
        <v>2673</v>
      </c>
      <c r="F147" s="843" t="str">
        <f>IFERROR(INDEX('Produtos Selecionados'!$G:$G,MATCH($E147,'Produtos Selecionados'!$E:$E,0)),"-")</f>
        <v>-</v>
      </c>
      <c r="G147" s="843" t="str">
        <f>IFERROR(INDEX('Produtos Selecionados'!$H:$H,MATCH($E147,'Produtos Selecionados'!$E:$E,0)),"-")</f>
        <v>Sim</v>
      </c>
      <c r="H147" s="843">
        <f>IFERROR(INDEX('Produtos Selecionados'!$O:$O,MATCH($E147,'Produtos Selecionados'!$E:$E,0)),"-")</f>
        <v>4.0000000000000001E-3</v>
      </c>
      <c r="I147" s="844" t="str">
        <f>IFERROR(INDEX('Produtos Selecionados'!$L:$L,MATCH($E147,'Produtos Selecionados'!$E:$E,0)),"-")</f>
        <v>USD</v>
      </c>
      <c r="J147" s="844">
        <f>IFERROR(INDEX('Produtos Selecionados'!$M:$M,MATCH($E147,'Produtos Selecionados'!$E:$E,0)),"-")</f>
        <v>4</v>
      </c>
      <c r="K147" s="845"/>
      <c r="L147" s="203" t="str">
        <f>IF(K147="","", K147*K$146)</f>
        <v/>
      </c>
      <c r="M147" s="845"/>
      <c r="N147" s="203" t="str">
        <f>IF(M147="","", M147*M$146)</f>
        <v/>
      </c>
      <c r="O147" s="845"/>
      <c r="P147" s="203" t="str">
        <f>IF(O147="","", O147*O$146)</f>
        <v/>
      </c>
      <c r="Q147" s="845"/>
      <c r="R147" s="203" t="str">
        <f>IF(Q147="","", Q147*Q$146)</f>
        <v/>
      </c>
      <c r="S147" s="845"/>
      <c r="T147" s="203" t="str">
        <f>IF(S147="","", S147*S$146)</f>
        <v/>
      </c>
      <c r="V147" s="847" t="str">
        <f>IFERROR(IF(INDEX('Produtos Selecionados'!$G:$G,MATCH($E147,'Produtos Selecionados'!$E:$E,0))="MFO", "Evitar - ROA baixo", "OK"),"OK")</f>
        <v>OK</v>
      </c>
      <c r="W147" s="845" t="s">
        <v>4292</v>
      </c>
      <c r="X147" s="848"/>
      <c r="Y147" s="849"/>
    </row>
    <row r="148" spans="2:25" s="846" customFormat="1" ht="15">
      <c r="B148" s="357"/>
      <c r="C148" s="357"/>
      <c r="D148" s="357"/>
      <c r="E148" s="842"/>
      <c r="F148" s="843" t="str">
        <f>IFERROR(INDEX('Produtos Selecionados'!$G:$G,MATCH($E148,'Produtos Selecionados'!$E:$E,0)),"-")</f>
        <v>-</v>
      </c>
      <c r="G148" s="843" t="str">
        <f>IFERROR(INDEX('Produtos Selecionados'!$H:$H,MATCH($E148,'Produtos Selecionados'!$E:$E,0)),"-")</f>
        <v>-</v>
      </c>
      <c r="H148" s="843" t="str">
        <f>IFERROR(INDEX('Produtos Selecionados'!$O:$O,MATCH($E148,'Produtos Selecionados'!$E:$E,0)),"-")</f>
        <v>-</v>
      </c>
      <c r="I148" s="844" t="str">
        <f>IFERROR(INDEX('Produtos Selecionados'!$L:$L,MATCH($E148,'Produtos Selecionados'!$E:$E,0)),"-")</f>
        <v>-</v>
      </c>
      <c r="J148" s="844" t="str">
        <f>IFERROR(INDEX('Produtos Selecionados'!$M:$M,MATCH($E148,'Produtos Selecionados'!$E:$E,0)),"-")</f>
        <v>-</v>
      </c>
      <c r="K148" s="845"/>
      <c r="L148" s="203" t="str">
        <f>IF(K148="","", K148*K$146)</f>
        <v/>
      </c>
      <c r="M148" s="845"/>
      <c r="N148" s="203" t="str">
        <f>IF(M148="","", M148*M$146)</f>
        <v/>
      </c>
      <c r="O148" s="845"/>
      <c r="P148" s="203" t="str">
        <f>IF(O148="","", O148*O$146)</f>
        <v/>
      </c>
      <c r="Q148" s="845"/>
      <c r="R148" s="203" t="str">
        <f>IF(Q148="","", Q148*Q$146)</f>
        <v/>
      </c>
      <c r="S148" s="845"/>
      <c r="T148" s="203" t="str">
        <f>IF(S148="","", S148*S$146)</f>
        <v/>
      </c>
      <c r="V148" s="847" t="str">
        <f>IFERROR(IF(INDEX('Produtos Selecionados'!$G:$G,MATCH($E148,'Produtos Selecionados'!$E:$E,0))="MFO", "Evitar - ROA baixo", "OK"),"OK")</f>
        <v>OK</v>
      </c>
      <c r="W148" s="845"/>
      <c r="X148" s="848"/>
      <c r="Y148" s="849"/>
    </row>
    <row r="149" spans="2:25" s="347" customFormat="1" ht="5.25" customHeight="1">
      <c r="B149" s="343"/>
      <c r="C149" s="343"/>
      <c r="D149" s="343"/>
      <c r="F149" s="436"/>
      <c r="G149" s="436"/>
      <c r="H149" s="436"/>
      <c r="I149" s="436"/>
      <c r="J149" s="436"/>
      <c r="K149" s="851"/>
      <c r="L149" s="852" t="str">
        <f>IF(K149="","", K149*K$146)</f>
        <v/>
      </c>
      <c r="M149" s="851"/>
      <c r="N149" s="852" t="str">
        <f>IF(M149="","", M149*M$146)</f>
        <v/>
      </c>
      <c r="O149" s="851"/>
      <c r="P149" s="852" t="str">
        <f>IF(O149="","", O149*O$146)</f>
        <v/>
      </c>
      <c r="Q149" s="851"/>
      <c r="R149" s="852" t="str">
        <f>IF(Q149="","", Q149*Q$146)</f>
        <v/>
      </c>
      <c r="S149" s="851"/>
      <c r="T149" s="852" t="str">
        <f>IF(S149="","", S149*S$146)</f>
        <v/>
      </c>
      <c r="U149" s="846"/>
      <c r="V149" s="853"/>
      <c r="W149" s="861"/>
      <c r="X149" s="835"/>
      <c r="Y149" s="836"/>
    </row>
    <row r="150" spans="2:25" s="347" customFormat="1" ht="15">
      <c r="B150" s="343"/>
      <c r="C150" s="343"/>
      <c r="D150" s="343" t="s">
        <v>12</v>
      </c>
      <c r="E150" s="458" t="s">
        <v>696</v>
      </c>
      <c r="F150" s="459"/>
      <c r="G150" s="459"/>
      <c r="H150" s="459"/>
      <c r="I150" s="459"/>
      <c r="J150" s="459"/>
      <c r="K150" s="377">
        <f ca="1">OFFSET('Asset Allocation Tatico'!$B$9, MATCH($E150,OFFSET('Asset Allocation Tatico'!$B$9,,,COUNTA('Asset Allocation Tatico'!$B:$B)-COUNTA('Asset Allocation Tatico'!$B$1:$B$9)),0)-1, MATCH(K$5,'Asset Allocation Tatico'!$D$5:$M$5,0)+2)</f>
        <v>0</v>
      </c>
      <c r="L150" s="857">
        <f>SUM(L151:L153)</f>
        <v>0</v>
      </c>
      <c r="M150" s="377">
        <f ca="1">OFFSET('Asset Allocation Tatico'!$B$9, MATCH($E150,OFFSET('Asset Allocation Tatico'!$B$9,,,COUNTA('Asset Allocation Tatico'!$B:$B)-COUNTA('Asset Allocation Tatico'!$B$1:$B$9)),0)-1, MATCH(M$5,'Asset Allocation Tatico'!$D$5:$M$5,0)+2)</f>
        <v>5.0000000000000001E-3</v>
      </c>
      <c r="N150" s="857">
        <f ca="1">SUM(N151:N153)</f>
        <v>5.0000000000000001E-3</v>
      </c>
      <c r="O150" s="377">
        <f ca="1">OFFSET('Asset Allocation Tatico'!$B$9, MATCH($E150,OFFSET('Asset Allocation Tatico'!$B$9,,,COUNTA('Asset Allocation Tatico'!$B:$B)-COUNTA('Asset Allocation Tatico'!$B$1:$B$9)),0)-1, MATCH(O$5,'Asset Allocation Tatico'!$D$5:$M$5,0)+2)</f>
        <v>5.0000000000000001E-3</v>
      </c>
      <c r="P150" s="857">
        <f ca="1">SUM(P151:P153)</f>
        <v>5.0000000000000001E-3</v>
      </c>
      <c r="Q150" s="377">
        <f ca="1">OFFSET('Asset Allocation Tatico'!$B$9, MATCH($E150,OFFSET('Asset Allocation Tatico'!$B$9,,,COUNTA('Asset Allocation Tatico'!$B:$B)-COUNTA('Asset Allocation Tatico'!$B$1:$B$9)),0)-1, MATCH(Q$5,'Asset Allocation Tatico'!$D$5:$M$5,0)+2)</f>
        <v>5.0000000000000001E-3</v>
      </c>
      <c r="R150" s="857">
        <f ca="1">SUM(R151:R153)</f>
        <v>5.0000000000000001E-3</v>
      </c>
      <c r="S150" s="377">
        <f ca="1">OFFSET('Asset Allocation Tatico'!$B$9, MATCH($E150,OFFSET('Asset Allocation Tatico'!$B$9,,,COUNTA('Asset Allocation Tatico'!$B:$B)-COUNTA('Asset Allocation Tatico'!$B$1:$B$9)),0)-1, MATCH(S$5,'Asset Allocation Tatico'!$D$5:$M$5,0)+2)</f>
        <v>0.01</v>
      </c>
      <c r="T150" s="857">
        <f ca="1">SUM(T151:T153)</f>
        <v>0.01</v>
      </c>
      <c r="U150" s="846"/>
      <c r="V150" s="858"/>
      <c r="W150" s="385"/>
      <c r="X150" s="859"/>
      <c r="Y150" s="860"/>
    </row>
    <row r="151" spans="2:25" s="846" customFormat="1" ht="15">
      <c r="B151" s="357"/>
      <c r="C151" s="357"/>
      <c r="D151" s="357"/>
      <c r="E151" s="842" t="s">
        <v>2721</v>
      </c>
      <c r="F151" s="843" t="str">
        <f>IFERROR(INDEX('Produtos Selecionados'!$G:$G,MATCH($E151,'Produtos Selecionados'!$E:$E,0)),"-")</f>
        <v>-</v>
      </c>
      <c r="G151" s="843" t="str">
        <f>IFERROR(INDEX('Produtos Selecionados'!$H:$H,MATCH($E151,'Produtos Selecionados'!$E:$E,0)),"-")</f>
        <v>Sim</v>
      </c>
      <c r="H151" s="843">
        <f>IFERROR(INDEX('Produtos Selecionados'!$O:$O,MATCH($E151,'Produtos Selecionados'!$E:$E,0)),"-")</f>
        <v>4.0000000000000001E-3</v>
      </c>
      <c r="I151" s="844" t="str">
        <f>IFERROR(INDEX('Produtos Selecionados'!$L:$L,MATCH($E151,'Produtos Selecionados'!$E:$E,0)),"-")</f>
        <v>-</v>
      </c>
      <c r="J151" s="844">
        <f>IFERROR(INDEX('Produtos Selecionados'!$M:$M,MATCH($E151,'Produtos Selecionados'!$E:$E,0)),"-")</f>
        <v>5</v>
      </c>
      <c r="K151" s="845"/>
      <c r="L151" s="203" t="str">
        <f>IF(K151="","", K151*K$150)</f>
        <v/>
      </c>
      <c r="M151" s="845">
        <v>1</v>
      </c>
      <c r="N151" s="203">
        <f ca="1">IF(M151="","", M151*M$150)</f>
        <v>5.0000000000000001E-3</v>
      </c>
      <c r="O151" s="845">
        <v>1</v>
      </c>
      <c r="P151" s="203">
        <f t="shared" ref="P151" ca="1" si="54">IF(O151="","", O151*O$150)</f>
        <v>5.0000000000000001E-3</v>
      </c>
      <c r="Q151" s="845">
        <v>1</v>
      </c>
      <c r="R151" s="203">
        <f t="shared" ref="R151" ca="1" si="55">IF(Q151="","", Q151*Q$150)</f>
        <v>5.0000000000000001E-3</v>
      </c>
      <c r="S151" s="845">
        <v>1</v>
      </c>
      <c r="T151" s="203">
        <f t="shared" ref="T151" ca="1" si="56">IF(S151="","", S151*S$150)</f>
        <v>0.01</v>
      </c>
      <c r="V151" s="847" t="str">
        <f>IFERROR(IF(INDEX('Produtos Selecionados'!$G:$G,MATCH($E151,'Produtos Selecionados'!$E:$E,0))="MFO", "Evitar - ROA baixo", "OK"),"OK")</f>
        <v>OK</v>
      </c>
      <c r="W151" s="845" t="s">
        <v>2700</v>
      </c>
      <c r="X151" s="848"/>
      <c r="Y151" s="849"/>
    </row>
    <row r="152" spans="2:25" s="846" customFormat="1" ht="15">
      <c r="B152" s="357"/>
      <c r="C152" s="357"/>
      <c r="D152" s="357"/>
      <c r="E152" s="842"/>
      <c r="F152" s="843" t="str">
        <f>IFERROR(INDEX('Produtos Selecionados'!$G:$G,MATCH($E152,'Produtos Selecionados'!$E:$E,0)),"-")</f>
        <v>-</v>
      </c>
      <c r="G152" s="843" t="str">
        <f>IFERROR(INDEX('Produtos Selecionados'!$H:$H,MATCH($E152,'Produtos Selecionados'!$E:$E,0)),"-")</f>
        <v>-</v>
      </c>
      <c r="H152" s="843" t="str">
        <f>IFERROR(INDEX('Produtos Selecionados'!$O:$O,MATCH($E152,'Produtos Selecionados'!$E:$E,0)),"-")</f>
        <v>-</v>
      </c>
      <c r="I152" s="844" t="str">
        <f>IFERROR(INDEX('Produtos Selecionados'!$L:$L,MATCH($E152,'Produtos Selecionados'!$E:$E,0)),"-")</f>
        <v>-</v>
      </c>
      <c r="J152" s="844" t="str">
        <f>IFERROR(INDEX('Produtos Selecionados'!$M:$M,MATCH($E152,'Produtos Selecionados'!$E:$E,0)),"-")</f>
        <v>-</v>
      </c>
      <c r="K152" s="845"/>
      <c r="L152" s="203" t="str">
        <f>IF(K152="","", K152*K$146)</f>
        <v/>
      </c>
      <c r="M152" s="845"/>
      <c r="N152" s="203" t="str">
        <f>IF(M152="","", M152*M$146)</f>
        <v/>
      </c>
      <c r="O152" s="845"/>
      <c r="P152" s="203" t="str">
        <f>IF(O152="","", O152*O$146)</f>
        <v/>
      </c>
      <c r="Q152" s="845"/>
      <c r="R152" s="203" t="str">
        <f>IF(Q152="","", Q152*Q$146)</f>
        <v/>
      </c>
      <c r="S152" s="845"/>
      <c r="T152" s="203" t="str">
        <f>IF(S152="","", S152*S$146)</f>
        <v/>
      </c>
      <c r="V152" s="847" t="str">
        <f>IFERROR(IF(INDEX('Produtos Selecionados'!$G:$G,MATCH($E152,'Produtos Selecionados'!$E:$E,0))="MFO", "Evitar - ROA baixo", "OK"),"OK")</f>
        <v>OK</v>
      </c>
      <c r="W152" s="845"/>
      <c r="X152" s="848"/>
      <c r="Y152" s="849"/>
    </row>
    <row r="153" spans="2:25" s="347" customFormat="1" ht="5.25" customHeight="1">
      <c r="B153" s="343"/>
      <c r="C153" s="343"/>
      <c r="D153" s="343"/>
      <c r="F153" s="436"/>
      <c r="G153" s="436"/>
      <c r="H153" s="436"/>
      <c r="I153" s="436"/>
      <c r="J153" s="436"/>
      <c r="K153" s="851"/>
      <c r="L153" s="852" t="str">
        <f>IF(K153="","", K153*K$146)</f>
        <v/>
      </c>
      <c r="M153" s="851"/>
      <c r="N153" s="852" t="str">
        <f>IF(M153="","", M153*M$146)</f>
        <v/>
      </c>
      <c r="O153" s="851"/>
      <c r="P153" s="852" t="str">
        <f>IF(O153="","", O153*O$146)</f>
        <v/>
      </c>
      <c r="Q153" s="851"/>
      <c r="R153" s="852" t="str">
        <f>IF(Q153="","", Q153*Q$146)</f>
        <v/>
      </c>
      <c r="S153" s="851"/>
      <c r="T153" s="852" t="str">
        <f>IF(S153="","", S153*S$146)</f>
        <v/>
      </c>
      <c r="U153" s="846"/>
      <c r="V153" s="853"/>
      <c r="W153" s="861"/>
      <c r="X153" s="835"/>
      <c r="Y153" s="836"/>
    </row>
    <row r="154" spans="2:25" s="873" customFormat="1" ht="7.5" customHeight="1">
      <c r="B154" s="343" t="s">
        <v>1343</v>
      </c>
      <c r="C154" s="343" t="s">
        <v>1343</v>
      </c>
      <c r="D154" s="343" t="s">
        <v>1343</v>
      </c>
      <c r="F154" s="874"/>
      <c r="G154" s="874"/>
      <c r="H154" s="874"/>
      <c r="I154" s="874"/>
      <c r="J154" s="874"/>
      <c r="K154" s="875"/>
      <c r="L154" s="876"/>
      <c r="M154" s="877"/>
      <c r="N154" s="878"/>
      <c r="O154" s="879"/>
      <c r="P154" s="876"/>
      <c r="Q154" s="880"/>
      <c r="R154" s="878"/>
      <c r="S154" s="879"/>
      <c r="T154" s="347"/>
      <c r="U154" s="881"/>
      <c r="V154" s="882"/>
      <c r="W154" s="883"/>
      <c r="X154" s="884"/>
      <c r="Y154" s="885"/>
    </row>
    <row r="155" spans="2:25" s="433" customFormat="1" ht="15.75">
      <c r="B155" s="824"/>
      <c r="C155" s="824"/>
      <c r="D155" s="343"/>
      <c r="E155" s="886" t="s">
        <v>1407</v>
      </c>
      <c r="F155" s="887"/>
      <c r="G155" s="887"/>
      <c r="H155" s="887"/>
      <c r="I155" s="887"/>
      <c r="J155" s="887"/>
      <c r="K155" s="888">
        <f t="shared" ref="K155:T155" ca="1" si="57">K105+K72+K9</f>
        <v>1</v>
      </c>
      <c r="L155" s="889">
        <f t="shared" ca="1" si="57"/>
        <v>1.0000000000000002</v>
      </c>
      <c r="M155" s="888">
        <f t="shared" ca="1" si="57"/>
        <v>1</v>
      </c>
      <c r="N155" s="889">
        <f t="shared" ca="1" si="57"/>
        <v>1.0000000000000002</v>
      </c>
      <c r="O155" s="888">
        <f t="shared" ca="1" si="57"/>
        <v>1</v>
      </c>
      <c r="P155" s="889">
        <f t="shared" ca="1" si="57"/>
        <v>1.0000000000000002</v>
      </c>
      <c r="Q155" s="888">
        <f t="shared" ca="1" si="57"/>
        <v>1</v>
      </c>
      <c r="R155" s="889">
        <f t="shared" ca="1" si="57"/>
        <v>1</v>
      </c>
      <c r="S155" s="888">
        <f t="shared" ca="1" si="57"/>
        <v>1</v>
      </c>
      <c r="T155" s="889">
        <f t="shared" ca="1" si="57"/>
        <v>1</v>
      </c>
      <c r="U155" s="827"/>
      <c r="V155" s="889"/>
      <c r="W155" s="890"/>
      <c r="X155" s="891"/>
      <c r="Y155" s="892"/>
    </row>
    <row r="156" spans="2:25" s="873" customFormat="1" ht="7.5" customHeight="1">
      <c r="B156" s="343"/>
      <c r="C156" s="343"/>
      <c r="D156" s="343"/>
      <c r="F156" s="874"/>
      <c r="G156" s="874"/>
      <c r="H156" s="874"/>
      <c r="I156" s="874"/>
      <c r="J156" s="874"/>
      <c r="K156" s="875"/>
      <c r="L156" s="876"/>
      <c r="M156" s="877"/>
      <c r="N156" s="878"/>
      <c r="O156" s="879"/>
      <c r="P156" s="876"/>
      <c r="Q156" s="880"/>
      <c r="R156" s="878"/>
      <c r="S156" s="879"/>
      <c r="T156" s="347"/>
      <c r="U156" s="881"/>
      <c r="V156" s="882"/>
      <c r="W156" s="883"/>
      <c r="X156" s="884"/>
      <c r="Y156" s="885"/>
    </row>
    <row r="157" spans="2:25" s="347" customFormat="1" ht="15">
      <c r="B157" s="343"/>
      <c r="C157" s="343"/>
      <c r="D157" s="343"/>
      <c r="E157" s="458" t="s">
        <v>1410</v>
      </c>
      <c r="F157" s="459"/>
      <c r="G157" s="459"/>
      <c r="H157" s="459"/>
      <c r="I157" s="459"/>
      <c r="J157" s="459"/>
      <c r="K157" s="377"/>
      <c r="L157" s="857">
        <f ca="1">SUMPRODUCT($H$11:$H$154, L$11:L$154)</f>
        <v>1.2096895999999999E-3</v>
      </c>
      <c r="M157" s="377"/>
      <c r="N157" s="857">
        <f ca="1">SUMPRODUCT($H$11:$H$154, N$11:N$154)</f>
        <v>1.4917723666666668E-3</v>
      </c>
      <c r="O157" s="377"/>
      <c r="P157" s="857">
        <f ca="1">SUMPRODUCT($H$11:$H$154, P$11:P$154)</f>
        <v>2.0025934666666667E-3</v>
      </c>
      <c r="Q157" s="377"/>
      <c r="R157" s="857">
        <f ca="1">SUMPRODUCT($H$11:$H$154, R$11:R$154)</f>
        <v>2.729876783333334E-3</v>
      </c>
      <c r="S157" s="377"/>
      <c r="T157" s="857">
        <f ca="1">SUMPRODUCT($H$11:$H$154, T$11:T$154)</f>
        <v>3.1248354933333332E-3</v>
      </c>
      <c r="U157" s="456"/>
      <c r="V157" s="858"/>
      <c r="W157" s="385"/>
      <c r="X157" s="859"/>
      <c r="Y157" s="860"/>
    </row>
    <row r="158" spans="2:25" s="873" customFormat="1" ht="7.5" customHeight="1">
      <c r="B158" s="343"/>
      <c r="C158" s="343"/>
      <c r="D158" s="343"/>
      <c r="F158" s="874"/>
      <c r="G158" s="874"/>
      <c r="H158" s="874"/>
      <c r="I158" s="874"/>
      <c r="J158" s="874"/>
      <c r="K158" s="875"/>
      <c r="L158" s="876"/>
      <c r="M158" s="877"/>
      <c r="N158" s="878"/>
      <c r="O158" s="879"/>
      <c r="P158" s="876"/>
      <c r="Q158" s="880"/>
      <c r="R158" s="878"/>
      <c r="S158" s="879"/>
      <c r="T158" s="347"/>
      <c r="U158" s="881"/>
      <c r="V158" s="882"/>
      <c r="W158" s="883"/>
      <c r="X158" s="884"/>
      <c r="Y158" s="885"/>
    </row>
    <row r="159" spans="2:25" s="347" customFormat="1" ht="15">
      <c r="B159" s="343"/>
      <c r="C159" s="343"/>
      <c r="D159" s="343"/>
      <c r="E159" s="458" t="s">
        <v>443</v>
      </c>
      <c r="F159" s="459"/>
      <c r="G159" s="459"/>
      <c r="H159" s="459"/>
      <c r="I159" s="459"/>
      <c r="J159" s="459"/>
      <c r="K159" s="893">
        <f ca="1">OFFSET('Asset Allocation Tatico'!$B$9, MATCH($E159,OFFSET('Asset Allocation Tatico'!$B$9,,,COUNTA('Asset Allocation Tatico'!$B:$B)-COUNTA('Asset Allocation Tatico'!$B$1:$B$9)),0)-1, MATCH(K$5,'Asset Allocation Tatico'!$D$5:$M$5,0)+2)</f>
        <v>0</v>
      </c>
      <c r="L159" s="857" cm="1">
        <f t="array" aca="1" ref="L159" ca="1">SUM(IF($I$11:$I$154="USD", L$11:L$154))</f>
        <v>0</v>
      </c>
      <c r="M159" s="893">
        <f ca="1">OFFSET('Asset Allocation Tatico'!$B$9, MATCH($E159,OFFSET('Asset Allocation Tatico'!$B$9,,,COUNTA('Asset Allocation Tatico'!$B:$B)-COUNTA('Asset Allocation Tatico'!$B$1:$B$9)),0)-1, MATCH(M$5,'Asset Allocation Tatico'!$D$5:$M$5,0)+2)</f>
        <v>5.0000000000000001E-3</v>
      </c>
      <c r="N159" s="857" cm="1">
        <f t="array" aca="1" ref="N159" ca="1">SUM(IF($I$11:$I$154="USD", N$11:N$154))</f>
        <v>5.0000000000000001E-3</v>
      </c>
      <c r="O159" s="893">
        <f ca="1">OFFSET('Asset Allocation Tatico'!$B$9, MATCH($E159,OFFSET('Asset Allocation Tatico'!$B$9,,,COUNTA('Asset Allocation Tatico'!$B:$B)-COUNTA('Asset Allocation Tatico'!$B$1:$B$9)),0)-1, MATCH(O$5,'Asset Allocation Tatico'!$D$5:$M$5,0)+2)</f>
        <v>1.4999999999999999E-2</v>
      </c>
      <c r="P159" s="857" cm="1">
        <f t="array" aca="1" ref="P159" ca="1">SUM(IF($I$11:$I$154="USD", P$11:P$154))</f>
        <v>1.4999999999999999E-2</v>
      </c>
      <c r="Q159" s="893">
        <f ca="1">OFFSET('Asset Allocation Tatico'!$B$9, MATCH($E159,OFFSET('Asset Allocation Tatico'!$B$9,,,COUNTA('Asset Allocation Tatico'!$B:$B)-COUNTA('Asset Allocation Tatico'!$B$1:$B$9)),0)-1, MATCH(Q$5,'Asset Allocation Tatico'!$D$5:$M$5,0)+2)</f>
        <v>0.03</v>
      </c>
      <c r="R159" s="857" cm="1">
        <f t="array" aca="1" ref="R159" ca="1">SUM(IF($I$11:$I$154="USD", R$11:R$154))</f>
        <v>2.5000000000000001E-2</v>
      </c>
      <c r="S159" s="893">
        <f ca="1">OFFSET('Asset Allocation Tatico'!$B$9, MATCH($E159,OFFSET('Asset Allocation Tatico'!$B$9,,,COUNTA('Asset Allocation Tatico'!$B:$B)-COUNTA('Asset Allocation Tatico'!$B$1:$B$9)),0)-1, MATCH(S$5,'Asset Allocation Tatico'!$D$5:$M$5,0)+2)</f>
        <v>0.05</v>
      </c>
      <c r="T159" s="857" cm="1">
        <f t="array" aca="1" ref="T159" ca="1">SUM(IF($I$11:$I$154="USD", T$11:T$154))</f>
        <v>4.5000000000000005E-2</v>
      </c>
      <c r="U159" s="456"/>
      <c r="V159" s="858"/>
      <c r="W159" s="894"/>
      <c r="X159" s="859"/>
      <c r="Y159" s="860"/>
    </row>
    <row r="160" spans="2:25" s="873" customFormat="1" ht="15">
      <c r="B160" s="368"/>
      <c r="C160" s="368"/>
      <c r="D160" s="368"/>
      <c r="F160" s="874"/>
      <c r="G160" s="874"/>
      <c r="H160" s="874"/>
      <c r="I160" s="874"/>
      <c r="J160" s="874"/>
      <c r="K160" s="879"/>
      <c r="L160" s="895"/>
      <c r="M160" s="880"/>
      <c r="O160" s="879"/>
      <c r="P160" s="895"/>
      <c r="Q160" s="880"/>
      <c r="S160" s="879"/>
      <c r="T160" s="347"/>
      <c r="U160" s="881"/>
      <c r="V160" s="896"/>
      <c r="W160" s="897"/>
      <c r="X160" s="884"/>
      <c r="Y160" s="885"/>
    </row>
    <row r="161" spans="2:25" s="873" customFormat="1" ht="15">
      <c r="B161" s="368"/>
      <c r="C161" s="368"/>
      <c r="D161" s="368"/>
      <c r="F161" s="874"/>
      <c r="G161" s="874"/>
      <c r="H161" s="874"/>
      <c r="I161" s="874"/>
      <c r="J161" s="874"/>
      <c r="K161" s="879"/>
      <c r="L161" s="895"/>
      <c r="M161" s="880"/>
      <c r="O161" s="879"/>
      <c r="P161" s="895"/>
      <c r="Q161" s="880"/>
      <c r="S161" s="879"/>
      <c r="T161" s="347"/>
      <c r="U161" s="881"/>
      <c r="V161" s="896"/>
      <c r="W161" s="897"/>
      <c r="X161" s="884"/>
      <c r="Y161" s="885"/>
    </row>
    <row r="162" spans="2:25" s="846" customFormat="1" ht="21.75" hidden="1" customHeight="1">
      <c r="B162" s="357"/>
      <c r="C162" s="357"/>
      <c r="D162" s="357"/>
      <c r="E162" s="476" t="s">
        <v>444</v>
      </c>
      <c r="F162" s="421"/>
      <c r="G162" s="421"/>
      <c r="H162" s="421"/>
      <c r="I162" s="421"/>
      <c r="J162" s="421"/>
      <c r="K162" s="831"/>
      <c r="L162" s="898"/>
      <c r="M162" s="831"/>
      <c r="N162" s="898"/>
      <c r="O162" s="831"/>
      <c r="P162" s="898"/>
      <c r="Q162" s="831"/>
      <c r="R162" s="898"/>
      <c r="S162" s="831"/>
      <c r="T162" s="832"/>
      <c r="U162" s="899"/>
      <c r="V162" s="898"/>
      <c r="W162" s="834"/>
      <c r="X162" s="900"/>
      <c r="Y162" s="901"/>
    </row>
    <row r="163" spans="2:25" s="846" customFormat="1" ht="18.75" hidden="1" customHeight="1">
      <c r="B163" s="357"/>
      <c r="C163" s="357"/>
      <c r="D163" s="357"/>
      <c r="E163" s="478" t="s">
        <v>445</v>
      </c>
      <c r="F163" s="902"/>
      <c r="G163" s="902"/>
      <c r="H163" s="902"/>
      <c r="I163" s="902"/>
      <c r="J163" s="902"/>
      <c r="K163" s="903">
        <f>K170</f>
        <v>0</v>
      </c>
      <c r="L163" s="904"/>
      <c r="M163" s="903">
        <f>M170</f>
        <v>0</v>
      </c>
      <c r="N163" s="904"/>
      <c r="O163" s="903">
        <f>O170</f>
        <v>0</v>
      </c>
      <c r="P163" s="904"/>
      <c r="Q163" s="903">
        <f>Q170</f>
        <v>0</v>
      </c>
      <c r="R163" s="904"/>
      <c r="S163" s="903">
        <f>S170</f>
        <v>0</v>
      </c>
      <c r="T163" s="905"/>
      <c r="U163" s="899"/>
      <c r="V163" s="906"/>
      <c r="W163" s="907"/>
      <c r="X163" s="908"/>
      <c r="Y163" s="909"/>
    </row>
    <row r="164" spans="2:25" s="846" customFormat="1" ht="18.75" hidden="1" customHeight="1">
      <c r="B164" s="357"/>
      <c r="C164" s="357"/>
      <c r="D164" s="357"/>
      <c r="E164" s="478" t="s">
        <v>446</v>
      </c>
      <c r="F164" s="902"/>
      <c r="G164" s="902"/>
      <c r="H164" s="902"/>
      <c r="I164" s="902"/>
      <c r="J164" s="902"/>
      <c r="K164" s="831"/>
      <c r="L164" s="898"/>
      <c r="M164" s="831"/>
      <c r="N164" s="898"/>
      <c r="O164" s="831"/>
      <c r="P164" s="898"/>
      <c r="Q164" s="831"/>
      <c r="R164" s="898"/>
      <c r="S164" s="831"/>
      <c r="T164" s="832"/>
      <c r="U164" s="899"/>
      <c r="V164" s="898"/>
      <c r="W164" s="834"/>
      <c r="X164" s="908"/>
      <c r="Y164" s="909"/>
    </row>
    <row r="165" spans="2:25" s="846" customFormat="1" ht="18.75" hidden="1" customHeight="1">
      <c r="B165" s="357"/>
      <c r="C165" s="357"/>
      <c r="D165" s="357"/>
      <c r="E165" s="478" t="s">
        <v>447</v>
      </c>
      <c r="F165" s="902"/>
      <c r="G165" s="902"/>
      <c r="H165" s="902"/>
      <c r="I165" s="902"/>
      <c r="J165" s="902"/>
      <c r="K165" s="903">
        <f>K172</f>
        <v>0</v>
      </c>
      <c r="L165" s="904"/>
      <c r="M165" s="903">
        <f>M172</f>
        <v>0</v>
      </c>
      <c r="N165" s="904"/>
      <c r="O165" s="903">
        <f>O172</f>
        <v>0</v>
      </c>
      <c r="P165" s="904"/>
      <c r="Q165" s="903">
        <f>Q172</f>
        <v>0</v>
      </c>
      <c r="R165" s="904"/>
      <c r="S165" s="903">
        <f>S172</f>
        <v>0</v>
      </c>
      <c r="T165" s="905"/>
      <c r="U165" s="899"/>
      <c r="V165" s="906"/>
      <c r="W165" s="907"/>
      <c r="X165" s="908"/>
      <c r="Y165" s="909"/>
    </row>
    <row r="166" spans="2:25" s="846" customFormat="1" ht="18.75" hidden="1" customHeight="1">
      <c r="B166" s="357"/>
      <c r="C166" s="357"/>
      <c r="D166" s="357"/>
      <c r="E166" s="478" t="s">
        <v>448</v>
      </c>
      <c r="F166" s="902"/>
      <c r="G166" s="902"/>
      <c r="H166" s="902"/>
      <c r="I166" s="902"/>
      <c r="J166" s="902"/>
      <c r="K166" s="831"/>
      <c r="L166" s="898"/>
      <c r="M166" s="831"/>
      <c r="N166" s="898"/>
      <c r="O166" s="831"/>
      <c r="P166" s="898"/>
      <c r="Q166" s="831"/>
      <c r="R166" s="898"/>
      <c r="S166" s="831"/>
      <c r="T166" s="832"/>
      <c r="U166" s="899"/>
      <c r="V166" s="898"/>
      <c r="W166" s="834"/>
      <c r="X166" s="908"/>
      <c r="Y166" s="909"/>
    </row>
    <row r="167" spans="2:25" s="846" customFormat="1" ht="18.75" hidden="1" customHeight="1">
      <c r="B167" s="357"/>
      <c r="C167" s="357"/>
      <c r="D167" s="357"/>
      <c r="E167" s="478" t="s">
        <v>449</v>
      </c>
      <c r="F167" s="902"/>
      <c r="G167" s="902"/>
      <c r="H167" s="902"/>
      <c r="I167" s="902"/>
      <c r="J167" s="902"/>
      <c r="K167" s="903">
        <f>K174</f>
        <v>0</v>
      </c>
      <c r="L167" s="904"/>
      <c r="M167" s="903">
        <f>M174</f>
        <v>0</v>
      </c>
      <c r="N167" s="904"/>
      <c r="O167" s="903">
        <f>O174</f>
        <v>0</v>
      </c>
      <c r="P167" s="904"/>
      <c r="Q167" s="903">
        <f>Q174</f>
        <v>0</v>
      </c>
      <c r="R167" s="904"/>
      <c r="S167" s="903">
        <f>S174</f>
        <v>0</v>
      </c>
      <c r="T167" s="905"/>
      <c r="U167" s="899"/>
      <c r="V167" s="906"/>
      <c r="W167" s="907"/>
      <c r="X167" s="908"/>
      <c r="Y167" s="909"/>
    </row>
    <row r="168" spans="2:25" s="846" customFormat="1" ht="18.75" hidden="1" customHeight="1">
      <c r="B168" s="357"/>
      <c r="C168" s="357"/>
      <c r="D168" s="357"/>
      <c r="E168" s="910" t="s">
        <v>450</v>
      </c>
      <c r="F168" s="911"/>
      <c r="G168" s="911"/>
      <c r="H168" s="911"/>
      <c r="I168" s="911"/>
      <c r="J168" s="911"/>
      <c r="K168" s="831"/>
      <c r="L168" s="898"/>
      <c r="M168" s="831"/>
      <c r="N168" s="898"/>
      <c r="O168" s="831"/>
      <c r="P168" s="898"/>
      <c r="Q168" s="831"/>
      <c r="R168" s="898"/>
      <c r="S168" s="831"/>
      <c r="T168" s="832"/>
      <c r="U168" s="899"/>
      <c r="V168" s="898"/>
      <c r="W168" s="834"/>
      <c r="X168" s="912"/>
      <c r="Y168" s="913"/>
    </row>
    <row r="169" spans="2:25" s="846" customFormat="1" ht="18.75" hidden="1" customHeight="1">
      <c r="B169" s="357"/>
      <c r="C169" s="357"/>
      <c r="D169" s="357"/>
      <c r="E169" s="914" t="s">
        <v>451</v>
      </c>
      <c r="F169" s="911"/>
      <c r="G169" s="911"/>
      <c r="H169" s="911"/>
      <c r="I169" s="911"/>
      <c r="J169" s="911"/>
      <c r="K169" s="903">
        <f>K176</f>
        <v>0</v>
      </c>
      <c r="L169" s="904"/>
      <c r="M169" s="903">
        <f>M176</f>
        <v>0</v>
      </c>
      <c r="N169" s="904"/>
      <c r="O169" s="903">
        <f>O176</f>
        <v>0</v>
      </c>
      <c r="P169" s="904"/>
      <c r="Q169" s="903">
        <f>Q176</f>
        <v>0</v>
      </c>
      <c r="R169" s="904"/>
      <c r="S169" s="903">
        <f>S176</f>
        <v>0</v>
      </c>
      <c r="T169" s="905"/>
      <c r="U169" s="899"/>
      <c r="V169" s="906"/>
      <c r="W169" s="907"/>
      <c r="X169" s="912"/>
      <c r="Y169" s="913"/>
    </row>
    <row r="170" spans="2:25" s="846" customFormat="1" ht="18.75" hidden="1" customHeight="1">
      <c r="B170" s="357"/>
      <c r="C170" s="357"/>
      <c r="D170" s="357"/>
      <c r="E170" s="914" t="s">
        <v>452</v>
      </c>
      <c r="F170" s="911"/>
      <c r="G170" s="911"/>
      <c r="H170" s="911"/>
      <c r="I170" s="911"/>
      <c r="J170" s="911"/>
      <c r="K170" s="831"/>
      <c r="L170" s="898"/>
      <c r="M170" s="831"/>
      <c r="N170" s="898"/>
      <c r="O170" s="831"/>
      <c r="P170" s="898"/>
      <c r="Q170" s="831"/>
      <c r="R170" s="898"/>
      <c r="S170" s="831"/>
      <c r="T170" s="832"/>
      <c r="U170" s="899"/>
      <c r="V170" s="898"/>
      <c r="W170" s="834"/>
      <c r="X170" s="912"/>
      <c r="Y170" s="913"/>
    </row>
    <row r="171" spans="2:25" s="846" customFormat="1" ht="18.75" hidden="1" customHeight="1">
      <c r="B171" s="357"/>
      <c r="C171" s="357"/>
      <c r="D171" s="357"/>
      <c r="E171" s="914" t="s">
        <v>453</v>
      </c>
      <c r="F171" s="911"/>
      <c r="G171" s="911"/>
      <c r="H171" s="911"/>
      <c r="I171" s="911"/>
      <c r="J171" s="911"/>
      <c r="K171" s="903">
        <f>K178</f>
        <v>0</v>
      </c>
      <c r="L171" s="904"/>
      <c r="M171" s="903">
        <f>M178</f>
        <v>0</v>
      </c>
      <c r="N171" s="904"/>
      <c r="O171" s="903">
        <f>O178</f>
        <v>0</v>
      </c>
      <c r="P171" s="904"/>
      <c r="Q171" s="903">
        <f>Q178</f>
        <v>0</v>
      </c>
      <c r="R171" s="904"/>
      <c r="S171" s="903">
        <f>S178</f>
        <v>0</v>
      </c>
      <c r="T171" s="905"/>
      <c r="U171" s="899"/>
      <c r="V171" s="906"/>
      <c r="W171" s="907"/>
      <c r="X171" s="912"/>
      <c r="Y171" s="913"/>
    </row>
    <row r="172" spans="2:25" s="846" customFormat="1" ht="19.5" hidden="1" customHeight="1">
      <c r="B172" s="357"/>
      <c r="C172" s="357"/>
      <c r="D172" s="357"/>
      <c r="E172" s="915" t="s">
        <v>454</v>
      </c>
      <c r="F172" s="911"/>
      <c r="G172" s="911"/>
      <c r="H172" s="911"/>
      <c r="I172" s="911"/>
      <c r="J172" s="911"/>
      <c r="K172" s="831"/>
      <c r="L172" s="898"/>
      <c r="M172" s="831"/>
      <c r="N172" s="898"/>
      <c r="O172" s="831"/>
      <c r="P172" s="898"/>
      <c r="Q172" s="831"/>
      <c r="R172" s="898"/>
      <c r="S172" s="831"/>
      <c r="T172" s="832"/>
      <c r="U172" s="899"/>
      <c r="V172" s="898"/>
      <c r="W172" s="834"/>
      <c r="X172" s="912"/>
      <c r="Y172" s="913"/>
    </row>
    <row r="173" spans="2:25" s="846" customFormat="1" ht="18.75" hidden="1" customHeight="1">
      <c r="B173" s="357"/>
      <c r="C173" s="357"/>
      <c r="D173" s="357"/>
      <c r="E173" s="482" t="s">
        <v>455</v>
      </c>
      <c r="F173" s="916"/>
      <c r="G173" s="916"/>
      <c r="H173" s="916"/>
      <c r="I173" s="916"/>
      <c r="J173" s="916"/>
      <c r="K173" s="903">
        <f>K180</f>
        <v>0</v>
      </c>
      <c r="L173" s="904"/>
      <c r="M173" s="903">
        <f>M180</f>
        <v>0</v>
      </c>
      <c r="N173" s="904"/>
      <c r="O173" s="903">
        <f>O180</f>
        <v>0</v>
      </c>
      <c r="P173" s="904"/>
      <c r="Q173" s="903">
        <f>Q180</f>
        <v>0</v>
      </c>
      <c r="R173" s="904"/>
      <c r="S173" s="903">
        <f>S180</f>
        <v>0</v>
      </c>
      <c r="T173" s="905"/>
      <c r="U173" s="899"/>
      <c r="V173" s="906"/>
      <c r="W173" s="907"/>
      <c r="X173" s="917"/>
      <c r="Y173" s="918"/>
    </row>
    <row r="174" spans="2:25" s="846" customFormat="1" ht="18.75" hidden="1" customHeight="1">
      <c r="B174" s="357"/>
      <c r="C174" s="357"/>
      <c r="D174" s="357"/>
      <c r="E174" s="482" t="s">
        <v>456</v>
      </c>
      <c r="F174" s="916"/>
      <c r="G174" s="916"/>
      <c r="H174" s="916"/>
      <c r="I174" s="916"/>
      <c r="J174" s="916"/>
      <c r="K174" s="831"/>
      <c r="L174" s="898"/>
      <c r="M174" s="831"/>
      <c r="N174" s="898"/>
      <c r="O174" s="831"/>
      <c r="P174" s="898"/>
      <c r="Q174" s="831"/>
      <c r="R174" s="898"/>
      <c r="S174" s="831"/>
      <c r="T174" s="832"/>
      <c r="U174" s="899"/>
      <c r="V174" s="898"/>
      <c r="W174" s="834"/>
      <c r="X174" s="917"/>
      <c r="Y174" s="918"/>
    </row>
    <row r="175" spans="2:25" s="846" customFormat="1" ht="18.75" hidden="1" customHeight="1">
      <c r="B175" s="357"/>
      <c r="C175" s="357"/>
      <c r="D175" s="357"/>
      <c r="E175" s="482" t="s">
        <v>457</v>
      </c>
      <c r="F175" s="916"/>
      <c r="G175" s="916"/>
      <c r="H175" s="916"/>
      <c r="I175" s="916"/>
      <c r="J175" s="916"/>
      <c r="K175" s="903">
        <f>K182</f>
        <v>0</v>
      </c>
      <c r="L175" s="904"/>
      <c r="M175" s="903">
        <f>M182</f>
        <v>0</v>
      </c>
      <c r="N175" s="904"/>
      <c r="O175" s="903">
        <f>O182</f>
        <v>0</v>
      </c>
      <c r="P175" s="904"/>
      <c r="Q175" s="903">
        <f>Q182</f>
        <v>0</v>
      </c>
      <c r="R175" s="904"/>
      <c r="S175" s="903">
        <f>S182</f>
        <v>0</v>
      </c>
      <c r="T175" s="905"/>
      <c r="U175" s="899"/>
      <c r="V175" s="906"/>
      <c r="W175" s="907"/>
      <c r="X175" s="917"/>
      <c r="Y175" s="918"/>
    </row>
    <row r="176" spans="2:25" s="846" customFormat="1" ht="19.5" hidden="1" customHeight="1">
      <c r="B176" s="357"/>
      <c r="C176" s="357"/>
      <c r="D176" s="357"/>
      <c r="E176" s="483" t="s">
        <v>458</v>
      </c>
      <c r="F176" s="916"/>
      <c r="G176" s="916"/>
      <c r="H176" s="916"/>
      <c r="I176" s="916"/>
      <c r="J176" s="916"/>
      <c r="K176" s="831"/>
      <c r="L176" s="898"/>
      <c r="M176" s="831"/>
      <c r="N176" s="898"/>
      <c r="O176" s="831"/>
      <c r="P176" s="898"/>
      <c r="Q176" s="831"/>
      <c r="R176" s="898"/>
      <c r="S176" s="831"/>
      <c r="T176" s="832"/>
      <c r="U176" s="899"/>
      <c r="V176" s="898"/>
      <c r="W176" s="834"/>
      <c r="X176" s="917"/>
      <c r="Y176" s="918"/>
    </row>
    <row r="177" spans="2:25" s="846" customFormat="1" ht="18.75" hidden="1" customHeight="1">
      <c r="B177" s="357"/>
      <c r="C177" s="357"/>
      <c r="D177" s="357"/>
      <c r="E177" s="484" t="s">
        <v>459</v>
      </c>
      <c r="F177" s="919"/>
      <c r="G177" s="919"/>
      <c r="H177" s="919"/>
      <c r="I177" s="919"/>
      <c r="J177" s="919"/>
      <c r="K177" s="903">
        <f>K184</f>
        <v>0</v>
      </c>
      <c r="L177" s="904"/>
      <c r="M177" s="903">
        <f>M184</f>
        <v>0</v>
      </c>
      <c r="N177" s="904"/>
      <c r="O177" s="903">
        <f>O184</f>
        <v>0</v>
      </c>
      <c r="P177" s="904"/>
      <c r="Q177" s="903">
        <f>Q184</f>
        <v>0</v>
      </c>
      <c r="R177" s="904"/>
      <c r="S177" s="903">
        <f>S184</f>
        <v>0</v>
      </c>
      <c r="T177" s="905"/>
      <c r="U177" s="899"/>
      <c r="V177" s="906"/>
      <c r="W177" s="907"/>
      <c r="X177" s="920"/>
      <c r="Y177" s="921"/>
    </row>
    <row r="178" spans="2:25" s="846" customFormat="1" ht="18.75" hidden="1" customHeight="1">
      <c r="B178" s="357"/>
      <c r="C178" s="357"/>
      <c r="D178" s="357"/>
      <c r="E178" s="485" t="s">
        <v>460</v>
      </c>
      <c r="F178" s="919"/>
      <c r="G178" s="919"/>
      <c r="H178" s="919"/>
      <c r="I178" s="919"/>
      <c r="J178" s="919"/>
      <c r="K178" s="831"/>
      <c r="L178" s="898"/>
      <c r="M178" s="831"/>
      <c r="N178" s="898"/>
      <c r="O178" s="831"/>
      <c r="P178" s="898"/>
      <c r="Q178" s="831"/>
      <c r="R178" s="898"/>
      <c r="S178" s="831"/>
      <c r="T178" s="832"/>
      <c r="U178" s="899"/>
      <c r="V178" s="898"/>
      <c r="W178" s="834"/>
      <c r="X178" s="920"/>
      <c r="Y178" s="921"/>
    </row>
    <row r="179" spans="2:25" s="846" customFormat="1" ht="18.75" hidden="1" customHeight="1">
      <c r="B179" s="357"/>
      <c r="C179" s="357"/>
      <c r="D179" s="357"/>
      <c r="F179" s="911"/>
      <c r="G179" s="911"/>
      <c r="H179" s="911"/>
      <c r="I179" s="911"/>
      <c r="J179" s="911"/>
      <c r="K179" s="903">
        <f>K186</f>
        <v>0</v>
      </c>
      <c r="L179" s="904"/>
      <c r="M179" s="903">
        <f>M186</f>
        <v>0</v>
      </c>
      <c r="N179" s="904"/>
      <c r="O179" s="903">
        <f>O186</f>
        <v>0</v>
      </c>
      <c r="P179" s="904"/>
      <c r="Q179" s="903">
        <f>Q186</f>
        <v>0</v>
      </c>
      <c r="R179" s="904"/>
      <c r="S179" s="903">
        <f>S186</f>
        <v>0</v>
      </c>
      <c r="T179" s="905"/>
      <c r="U179" s="899"/>
      <c r="V179" s="906"/>
      <c r="W179" s="907"/>
      <c r="X179" s="912"/>
      <c r="Y179" s="913"/>
    </row>
    <row r="180" spans="2:25" s="846" customFormat="1" ht="18.75" hidden="1" customHeight="1">
      <c r="B180" s="357"/>
      <c r="C180" s="357"/>
      <c r="D180" s="357"/>
      <c r="F180" s="911"/>
      <c r="G180" s="911"/>
      <c r="H180" s="911"/>
      <c r="I180" s="911"/>
      <c r="J180" s="911"/>
      <c r="K180" s="831"/>
      <c r="L180" s="898"/>
      <c r="M180" s="831"/>
      <c r="N180" s="898"/>
      <c r="O180" s="831"/>
      <c r="P180" s="898"/>
      <c r="Q180" s="831"/>
      <c r="R180" s="898"/>
      <c r="S180" s="831"/>
      <c r="T180" s="832"/>
      <c r="V180" s="898"/>
      <c r="W180" s="834"/>
      <c r="X180" s="912"/>
      <c r="Y180" s="913"/>
    </row>
    <row r="181" spans="2:25" s="846" customFormat="1" ht="21.75" hidden="1" customHeight="1">
      <c r="B181" s="357"/>
      <c r="C181" s="357"/>
      <c r="D181" s="357"/>
      <c r="E181" s="476" t="s">
        <v>444</v>
      </c>
      <c r="F181" s="421"/>
      <c r="G181" s="421"/>
      <c r="H181" s="421"/>
      <c r="I181" s="421"/>
      <c r="J181" s="421"/>
      <c r="K181" s="903">
        <f>K188</f>
        <v>0</v>
      </c>
      <c r="L181" s="904"/>
      <c r="M181" s="903">
        <f>M188</f>
        <v>0</v>
      </c>
      <c r="N181" s="904"/>
      <c r="O181" s="903">
        <f>O188</f>
        <v>0</v>
      </c>
      <c r="P181" s="904"/>
      <c r="Q181" s="903">
        <f>Q188</f>
        <v>0</v>
      </c>
      <c r="R181" s="904"/>
      <c r="S181" s="903">
        <f>S188</f>
        <v>0</v>
      </c>
      <c r="T181" s="905"/>
      <c r="V181" s="906"/>
      <c r="W181" s="907"/>
      <c r="X181" s="900"/>
      <c r="Y181" s="901"/>
    </row>
    <row r="182" spans="2:25" s="846" customFormat="1" ht="18.75" hidden="1" customHeight="1">
      <c r="B182" s="357"/>
      <c r="C182" s="357"/>
      <c r="D182" s="357"/>
      <c r="E182" s="478" t="s">
        <v>445</v>
      </c>
      <c r="F182" s="902"/>
      <c r="G182" s="902"/>
      <c r="H182" s="902"/>
      <c r="I182" s="902"/>
      <c r="J182" s="902"/>
      <c r="K182" s="831"/>
      <c r="L182" s="898"/>
      <c r="M182" s="831"/>
      <c r="N182" s="898"/>
      <c r="O182" s="831"/>
      <c r="P182" s="898"/>
      <c r="Q182" s="831"/>
      <c r="R182" s="898"/>
      <c r="S182" s="831"/>
      <c r="T182" s="832"/>
      <c r="V182" s="898"/>
      <c r="W182" s="834"/>
      <c r="X182" s="908"/>
      <c r="Y182" s="909"/>
    </row>
    <row r="183" spans="2:25" s="846" customFormat="1" ht="18.75" hidden="1" customHeight="1">
      <c r="B183" s="357"/>
      <c r="C183" s="357"/>
      <c r="D183" s="357"/>
      <c r="E183" s="478" t="s">
        <v>446</v>
      </c>
      <c r="F183" s="902"/>
      <c r="G183" s="902"/>
      <c r="H183" s="902"/>
      <c r="I183" s="902"/>
      <c r="J183" s="902"/>
      <c r="K183" s="903">
        <f>K190</f>
        <v>0</v>
      </c>
      <c r="L183" s="904"/>
      <c r="M183" s="903">
        <f>M190</f>
        <v>0</v>
      </c>
      <c r="N183" s="904"/>
      <c r="O183" s="903">
        <f>O190</f>
        <v>0</v>
      </c>
      <c r="P183" s="904"/>
      <c r="Q183" s="903">
        <f>Q190</f>
        <v>0</v>
      </c>
      <c r="R183" s="904"/>
      <c r="S183" s="903">
        <f>S190</f>
        <v>0</v>
      </c>
      <c r="T183" s="905"/>
      <c r="V183" s="906"/>
      <c r="W183" s="907"/>
      <c r="X183" s="908"/>
      <c r="Y183" s="909"/>
    </row>
    <row r="184" spans="2:25" s="846" customFormat="1" ht="19.5" hidden="1" customHeight="1">
      <c r="B184" s="357"/>
      <c r="C184" s="357"/>
      <c r="D184" s="357"/>
      <c r="E184" s="486" t="s">
        <v>447</v>
      </c>
      <c r="F184" s="902"/>
      <c r="G184" s="902"/>
      <c r="H184" s="902"/>
      <c r="I184" s="902"/>
      <c r="J184" s="902"/>
      <c r="K184" s="831"/>
      <c r="L184" s="898"/>
      <c r="M184" s="831"/>
      <c r="N184" s="898"/>
      <c r="O184" s="831"/>
      <c r="P184" s="898"/>
      <c r="Q184" s="831"/>
      <c r="R184" s="898"/>
      <c r="S184" s="831"/>
      <c r="T184" s="832"/>
      <c r="V184" s="898"/>
      <c r="W184" s="834"/>
      <c r="X184" s="908"/>
      <c r="Y184" s="909"/>
    </row>
    <row r="185" spans="2:25" s="846" customFormat="1" ht="18.75" hidden="1" customHeight="1">
      <c r="B185" s="357"/>
      <c r="C185" s="357"/>
      <c r="D185" s="357"/>
      <c r="E185" s="914" t="s">
        <v>452</v>
      </c>
      <c r="F185" s="911"/>
      <c r="G185" s="911"/>
      <c r="H185" s="911"/>
      <c r="I185" s="911"/>
      <c r="J185" s="911"/>
      <c r="K185" s="903">
        <f>K192</f>
        <v>0</v>
      </c>
      <c r="L185" s="904"/>
      <c r="M185" s="903">
        <f>M192</f>
        <v>0</v>
      </c>
      <c r="N185" s="904"/>
      <c r="O185" s="903">
        <f>O192</f>
        <v>0</v>
      </c>
      <c r="P185" s="904"/>
      <c r="Q185" s="903">
        <f>Q192</f>
        <v>0</v>
      </c>
      <c r="R185" s="904"/>
      <c r="S185" s="903">
        <f>S192</f>
        <v>0</v>
      </c>
      <c r="T185" s="905"/>
      <c r="V185" s="906"/>
      <c r="W185" s="907"/>
      <c r="X185" s="912"/>
      <c r="Y185" s="913"/>
    </row>
    <row r="186" spans="2:25" s="846" customFormat="1" ht="18.75" hidden="1" customHeight="1">
      <c r="B186" s="357"/>
      <c r="C186" s="357"/>
      <c r="D186" s="357"/>
      <c r="E186" s="914" t="s">
        <v>453</v>
      </c>
      <c r="F186" s="911"/>
      <c r="G186" s="911"/>
      <c r="H186" s="911"/>
      <c r="I186" s="911"/>
      <c r="J186" s="911"/>
      <c r="K186" s="831"/>
      <c r="L186" s="898"/>
      <c r="M186" s="831"/>
      <c r="N186" s="898"/>
      <c r="O186" s="831"/>
      <c r="P186" s="898"/>
      <c r="Q186" s="831"/>
      <c r="R186" s="898"/>
      <c r="S186" s="831"/>
      <c r="T186" s="832"/>
      <c r="V186" s="898"/>
      <c r="W186" s="834"/>
      <c r="X186" s="912"/>
      <c r="Y186" s="913"/>
    </row>
    <row r="187" spans="2:25" s="846" customFormat="1" ht="19.5" hidden="1" customHeight="1">
      <c r="B187" s="357"/>
      <c r="C187" s="357"/>
      <c r="D187" s="357"/>
      <c r="E187" s="915" t="s">
        <v>454</v>
      </c>
      <c r="F187" s="911"/>
      <c r="G187" s="911"/>
      <c r="H187" s="911"/>
      <c r="I187" s="911"/>
      <c r="J187" s="911"/>
      <c r="K187" s="903">
        <f>K194</f>
        <v>0</v>
      </c>
      <c r="L187" s="904"/>
      <c r="M187" s="903">
        <f>M194</f>
        <v>0</v>
      </c>
      <c r="N187" s="904"/>
      <c r="O187" s="903">
        <f>O194</f>
        <v>0</v>
      </c>
      <c r="P187" s="904"/>
      <c r="Q187" s="903">
        <f>Q194</f>
        <v>0</v>
      </c>
      <c r="R187" s="904"/>
      <c r="S187" s="903">
        <f>S194</f>
        <v>0</v>
      </c>
      <c r="T187" s="905"/>
      <c r="V187" s="906"/>
      <c r="W187" s="907"/>
      <c r="X187" s="912"/>
      <c r="Y187" s="913"/>
    </row>
    <row r="188" spans="2:25" s="846" customFormat="1" ht="18.75" hidden="1" customHeight="1">
      <c r="B188" s="357"/>
      <c r="C188" s="357"/>
      <c r="D188" s="357"/>
      <c r="F188" s="911"/>
      <c r="G188" s="911"/>
      <c r="H188" s="911"/>
      <c r="I188" s="911"/>
      <c r="J188" s="911"/>
      <c r="K188" s="831"/>
      <c r="L188" s="898"/>
      <c r="M188" s="831"/>
      <c r="N188" s="898"/>
      <c r="O188" s="831"/>
      <c r="P188" s="898"/>
      <c r="Q188" s="831"/>
      <c r="R188" s="898"/>
      <c r="S188" s="831"/>
      <c r="T188" s="832"/>
      <c r="V188" s="898"/>
      <c r="W188" s="834"/>
      <c r="X188" s="912"/>
      <c r="Y188" s="913"/>
    </row>
    <row r="189" spans="2:25" s="846" customFormat="1" ht="18.75" hidden="1" customHeight="1">
      <c r="B189" s="357"/>
      <c r="C189" s="357"/>
      <c r="D189" s="357"/>
      <c r="F189" s="911"/>
      <c r="G189" s="911"/>
      <c r="H189" s="911"/>
      <c r="I189" s="911"/>
      <c r="J189" s="911"/>
      <c r="K189" s="903">
        <f>K196</f>
        <v>0</v>
      </c>
      <c r="L189" s="904"/>
      <c r="M189" s="903">
        <f>M196</f>
        <v>0</v>
      </c>
      <c r="N189" s="904"/>
      <c r="O189" s="903">
        <f>O196</f>
        <v>0</v>
      </c>
      <c r="P189" s="904"/>
      <c r="Q189" s="903">
        <f>Q196</f>
        <v>0</v>
      </c>
      <c r="R189" s="904"/>
      <c r="S189" s="903">
        <f>S196</f>
        <v>0</v>
      </c>
      <c r="T189" s="905"/>
      <c r="V189" s="906"/>
      <c r="W189" s="907"/>
      <c r="X189" s="912"/>
      <c r="Y189" s="913"/>
    </row>
    <row r="190" spans="2:25" s="846" customFormat="1" ht="21.75" hidden="1" customHeight="1">
      <c r="B190" s="357"/>
      <c r="C190" s="357"/>
      <c r="D190" s="357"/>
      <c r="E190" s="476" t="s">
        <v>444</v>
      </c>
      <c r="F190" s="421"/>
      <c r="G190" s="421"/>
      <c r="H190" s="421"/>
      <c r="I190" s="421"/>
      <c r="J190" s="421"/>
      <c r="K190" s="831"/>
      <c r="L190" s="898"/>
      <c r="M190" s="831"/>
      <c r="N190" s="898"/>
      <c r="O190" s="831"/>
      <c r="P190" s="898"/>
      <c r="Q190" s="831"/>
      <c r="R190" s="898"/>
      <c r="S190" s="831"/>
      <c r="T190" s="832"/>
      <c r="V190" s="898"/>
      <c r="W190" s="834"/>
      <c r="X190" s="900"/>
      <c r="Y190" s="901"/>
    </row>
    <row r="191" spans="2:25" s="846" customFormat="1" ht="18.75" hidden="1" customHeight="1">
      <c r="B191" s="357"/>
      <c r="C191" s="357"/>
      <c r="D191" s="357"/>
      <c r="E191" s="478" t="s">
        <v>445</v>
      </c>
      <c r="F191" s="902"/>
      <c r="G191" s="902"/>
      <c r="H191" s="902"/>
      <c r="I191" s="902"/>
      <c r="J191" s="902"/>
      <c r="K191" s="903">
        <f>K198</f>
        <v>0</v>
      </c>
      <c r="L191" s="904"/>
      <c r="M191" s="903">
        <f>M198</f>
        <v>0</v>
      </c>
      <c r="N191" s="904"/>
      <c r="O191" s="903">
        <f>O198</f>
        <v>0</v>
      </c>
      <c r="P191" s="904"/>
      <c r="Q191" s="903">
        <f>Q198</f>
        <v>0</v>
      </c>
      <c r="R191" s="904"/>
      <c r="S191" s="903">
        <f>S198</f>
        <v>0</v>
      </c>
      <c r="T191" s="905"/>
      <c r="V191" s="906"/>
      <c r="W191" s="907"/>
      <c r="X191" s="908"/>
      <c r="Y191" s="909"/>
    </row>
    <row r="192" spans="2:25" s="846" customFormat="1" ht="18.75" hidden="1" customHeight="1">
      <c r="B192" s="357"/>
      <c r="C192" s="357"/>
      <c r="D192" s="357"/>
      <c r="E192" s="478" t="s">
        <v>446</v>
      </c>
      <c r="F192" s="902"/>
      <c r="G192" s="902"/>
      <c r="H192" s="902"/>
      <c r="I192" s="902"/>
      <c r="J192" s="902"/>
      <c r="K192" s="831"/>
      <c r="L192" s="898"/>
      <c r="M192" s="831"/>
      <c r="N192" s="898"/>
      <c r="O192" s="831"/>
      <c r="P192" s="898"/>
      <c r="Q192" s="831"/>
      <c r="R192" s="898"/>
      <c r="S192" s="831"/>
      <c r="T192" s="832"/>
      <c r="V192" s="898"/>
      <c r="W192" s="834"/>
      <c r="X192" s="908"/>
      <c r="Y192" s="909"/>
    </row>
    <row r="193" spans="2:25" s="846" customFormat="1" ht="19.5" hidden="1" customHeight="1">
      <c r="B193" s="357"/>
      <c r="C193" s="357"/>
      <c r="D193" s="357"/>
      <c r="E193" s="486" t="s">
        <v>447</v>
      </c>
      <c r="F193" s="902"/>
      <c r="G193" s="902"/>
      <c r="H193" s="902"/>
      <c r="I193" s="902"/>
      <c r="J193" s="902"/>
      <c r="K193" s="903">
        <f>K200</f>
        <v>0</v>
      </c>
      <c r="L193" s="904"/>
      <c r="M193" s="903">
        <f>M200</f>
        <v>0</v>
      </c>
      <c r="N193" s="904"/>
      <c r="O193" s="903">
        <f>O200</f>
        <v>0</v>
      </c>
      <c r="P193" s="904"/>
      <c r="Q193" s="903">
        <f>Q200</f>
        <v>0</v>
      </c>
      <c r="R193" s="904"/>
      <c r="S193" s="903">
        <f>S200</f>
        <v>0</v>
      </c>
      <c r="T193" s="905"/>
      <c r="V193" s="906"/>
      <c r="W193" s="907"/>
      <c r="X193" s="908"/>
      <c r="Y193" s="909"/>
    </row>
    <row r="194" spans="2:25" s="846" customFormat="1" ht="18.75" hidden="1" customHeight="1">
      <c r="B194" s="357"/>
      <c r="C194" s="357"/>
      <c r="D194" s="357"/>
      <c r="E194" s="914" t="s">
        <v>452</v>
      </c>
      <c r="F194" s="911"/>
      <c r="G194" s="911"/>
      <c r="H194" s="911"/>
      <c r="I194" s="911"/>
      <c r="J194" s="911"/>
      <c r="K194" s="831"/>
      <c r="L194" s="898"/>
      <c r="M194" s="831"/>
      <c r="N194" s="898"/>
      <c r="O194" s="831"/>
      <c r="P194" s="898"/>
      <c r="Q194" s="831"/>
      <c r="R194" s="898"/>
      <c r="S194" s="831"/>
      <c r="T194" s="832"/>
      <c r="V194" s="898"/>
      <c r="W194" s="834"/>
      <c r="X194" s="912"/>
      <c r="Y194" s="913"/>
    </row>
    <row r="195" spans="2:25" s="846" customFormat="1" ht="18.75" hidden="1" customHeight="1">
      <c r="B195" s="357"/>
      <c r="C195" s="357"/>
      <c r="D195" s="357"/>
      <c r="E195" s="914" t="s">
        <v>453</v>
      </c>
      <c r="F195" s="911"/>
      <c r="G195" s="911"/>
      <c r="H195" s="911"/>
      <c r="I195" s="911"/>
      <c r="J195" s="911"/>
      <c r="K195" s="903">
        <f>K202</f>
        <v>0</v>
      </c>
      <c r="L195" s="904"/>
      <c r="M195" s="903">
        <f>M202</f>
        <v>0</v>
      </c>
      <c r="N195" s="904"/>
      <c r="O195" s="903">
        <f>O202</f>
        <v>0</v>
      </c>
      <c r="P195" s="904"/>
      <c r="Q195" s="903">
        <f>Q202</f>
        <v>0</v>
      </c>
      <c r="R195" s="904"/>
      <c r="S195" s="903">
        <f>S202</f>
        <v>0</v>
      </c>
      <c r="T195" s="905"/>
      <c r="V195" s="906"/>
      <c r="W195" s="907"/>
      <c r="X195" s="912"/>
      <c r="Y195" s="913"/>
    </row>
    <row r="196" spans="2:25" s="846" customFormat="1" ht="19.5" hidden="1" customHeight="1">
      <c r="B196" s="357"/>
      <c r="C196" s="357"/>
      <c r="D196" s="357"/>
      <c r="E196" s="915" t="s">
        <v>454</v>
      </c>
      <c r="F196" s="911"/>
      <c r="G196" s="911"/>
      <c r="H196" s="911"/>
      <c r="I196" s="911"/>
      <c r="J196" s="911"/>
      <c r="K196" s="831"/>
      <c r="L196" s="898"/>
      <c r="M196" s="831"/>
      <c r="N196" s="898"/>
      <c r="O196" s="831"/>
      <c r="P196" s="898"/>
      <c r="Q196" s="831"/>
      <c r="R196" s="898"/>
      <c r="S196" s="831"/>
      <c r="T196" s="832"/>
      <c r="V196" s="898"/>
      <c r="W196" s="834"/>
      <c r="X196" s="912"/>
      <c r="Y196" s="913"/>
    </row>
    <row r="197" spans="2:25" s="846" customFormat="1" ht="18.75" hidden="1" customHeight="1">
      <c r="B197" s="357"/>
      <c r="C197" s="357"/>
      <c r="D197" s="357"/>
      <c r="F197" s="911"/>
      <c r="G197" s="911"/>
      <c r="H197" s="911"/>
      <c r="I197" s="911"/>
      <c r="J197" s="911"/>
      <c r="K197" s="903">
        <f>K204</f>
        <v>0</v>
      </c>
      <c r="L197" s="904"/>
      <c r="M197" s="903">
        <f>M204</f>
        <v>0</v>
      </c>
      <c r="N197" s="904"/>
      <c r="O197" s="903">
        <f>O204</f>
        <v>0</v>
      </c>
      <c r="P197" s="904"/>
      <c r="Q197" s="903">
        <f>Q204</f>
        <v>0</v>
      </c>
      <c r="R197" s="904"/>
      <c r="S197" s="903">
        <f>S204</f>
        <v>0</v>
      </c>
      <c r="T197" s="905"/>
      <c r="V197" s="906"/>
      <c r="W197" s="907"/>
      <c r="X197" s="912"/>
      <c r="Y197" s="913"/>
    </row>
    <row r="198" spans="2:25" s="846" customFormat="1" ht="18.75" hidden="1" customHeight="1">
      <c r="B198" s="357"/>
      <c r="C198" s="357"/>
      <c r="D198" s="357"/>
      <c r="F198" s="911"/>
      <c r="G198" s="911"/>
      <c r="H198" s="911"/>
      <c r="I198" s="911"/>
      <c r="J198" s="911"/>
      <c r="K198" s="831"/>
      <c r="L198" s="898"/>
      <c r="M198" s="831"/>
      <c r="N198" s="898"/>
      <c r="O198" s="831"/>
      <c r="P198" s="898"/>
      <c r="Q198" s="831"/>
      <c r="R198" s="898"/>
      <c r="S198" s="831"/>
      <c r="T198" s="832"/>
      <c r="V198" s="898"/>
      <c r="W198" s="834"/>
      <c r="X198" s="912"/>
      <c r="Y198" s="913"/>
    </row>
    <row r="199" spans="2:25" s="846" customFormat="1" ht="21.75" hidden="1" customHeight="1">
      <c r="B199" s="357"/>
      <c r="C199" s="357"/>
      <c r="D199" s="357"/>
      <c r="E199" s="476" t="s">
        <v>444</v>
      </c>
      <c r="F199" s="421"/>
      <c r="G199" s="421"/>
      <c r="H199" s="421"/>
      <c r="I199" s="421"/>
      <c r="J199" s="421"/>
      <c r="K199" s="903">
        <f>K206</f>
        <v>0</v>
      </c>
      <c r="L199" s="904"/>
      <c r="M199" s="903">
        <f>M206</f>
        <v>0</v>
      </c>
      <c r="N199" s="904"/>
      <c r="O199" s="903">
        <f>O206</f>
        <v>0</v>
      </c>
      <c r="P199" s="904"/>
      <c r="Q199" s="903">
        <f>Q206</f>
        <v>0</v>
      </c>
      <c r="R199" s="904"/>
      <c r="S199" s="903">
        <f>S206</f>
        <v>0</v>
      </c>
      <c r="T199" s="905"/>
      <c r="V199" s="906"/>
      <c r="W199" s="907"/>
      <c r="X199" s="900"/>
      <c r="Y199" s="901"/>
    </row>
    <row r="200" spans="2:25" s="846" customFormat="1" ht="18.75" hidden="1" customHeight="1">
      <c r="B200" s="357"/>
      <c r="C200" s="357"/>
      <c r="D200" s="357"/>
      <c r="E200" s="478" t="s">
        <v>445</v>
      </c>
      <c r="F200" s="902"/>
      <c r="G200" s="902"/>
      <c r="H200" s="902"/>
      <c r="I200" s="902"/>
      <c r="J200" s="902"/>
      <c r="K200" s="831"/>
      <c r="L200" s="898"/>
      <c r="M200" s="831"/>
      <c r="N200" s="898"/>
      <c r="O200" s="831"/>
      <c r="P200" s="898"/>
      <c r="Q200" s="831"/>
      <c r="R200" s="898"/>
      <c r="S200" s="831"/>
      <c r="T200" s="832"/>
      <c r="V200" s="898"/>
      <c r="W200" s="834"/>
      <c r="X200" s="908"/>
      <c r="Y200" s="909"/>
    </row>
    <row r="201" spans="2:25" s="846" customFormat="1" ht="18.75" hidden="1" customHeight="1">
      <c r="B201" s="357"/>
      <c r="C201" s="357"/>
      <c r="D201" s="357"/>
      <c r="E201" s="478" t="s">
        <v>446</v>
      </c>
      <c r="F201" s="902"/>
      <c r="G201" s="902"/>
      <c r="H201" s="902"/>
      <c r="I201" s="902"/>
      <c r="J201" s="902"/>
      <c r="K201" s="903">
        <f>K208</f>
        <v>0</v>
      </c>
      <c r="L201" s="904"/>
      <c r="M201" s="903">
        <f>M208</f>
        <v>0</v>
      </c>
      <c r="N201" s="904"/>
      <c r="O201" s="903">
        <f>O208</f>
        <v>0</v>
      </c>
      <c r="P201" s="904"/>
      <c r="Q201" s="903">
        <f>Q208</f>
        <v>0</v>
      </c>
      <c r="R201" s="904"/>
      <c r="S201" s="903">
        <f>S208</f>
        <v>0</v>
      </c>
      <c r="T201" s="905"/>
      <c r="V201" s="906"/>
      <c r="W201" s="907"/>
      <c r="X201" s="908"/>
      <c r="Y201" s="909"/>
    </row>
    <row r="202" spans="2:25" s="846" customFormat="1" ht="19.5" hidden="1" customHeight="1">
      <c r="B202" s="357"/>
      <c r="C202" s="357"/>
      <c r="D202" s="357"/>
      <c r="E202" s="486" t="s">
        <v>447</v>
      </c>
      <c r="F202" s="902"/>
      <c r="G202" s="902"/>
      <c r="H202" s="902"/>
      <c r="I202" s="902"/>
      <c r="J202" s="902"/>
      <c r="K202" s="831"/>
      <c r="L202" s="898"/>
      <c r="M202" s="831"/>
      <c r="N202" s="898"/>
      <c r="O202" s="831"/>
      <c r="P202" s="898"/>
      <c r="Q202" s="831"/>
      <c r="R202" s="898"/>
      <c r="S202" s="831"/>
      <c r="T202" s="832"/>
      <c r="V202" s="898"/>
      <c r="W202" s="834"/>
      <c r="X202" s="908"/>
      <c r="Y202" s="909"/>
    </row>
    <row r="203" spans="2:25" s="846" customFormat="1" ht="18.75" hidden="1" customHeight="1">
      <c r="B203" s="357"/>
      <c r="C203" s="357"/>
      <c r="D203" s="357"/>
      <c r="E203" s="914" t="s">
        <v>452</v>
      </c>
      <c r="F203" s="911"/>
      <c r="G203" s="911"/>
      <c r="H203" s="911"/>
      <c r="I203" s="911"/>
      <c r="J203" s="911"/>
      <c r="K203" s="903">
        <f>K210</f>
        <v>0</v>
      </c>
      <c r="L203" s="904"/>
      <c r="M203" s="903">
        <f>M210</f>
        <v>0</v>
      </c>
      <c r="N203" s="904"/>
      <c r="O203" s="903">
        <f>O210</f>
        <v>0</v>
      </c>
      <c r="P203" s="904"/>
      <c r="Q203" s="903">
        <f>Q210</f>
        <v>0</v>
      </c>
      <c r="R203" s="904"/>
      <c r="S203" s="903">
        <f>S210</f>
        <v>0</v>
      </c>
      <c r="T203" s="905"/>
      <c r="V203" s="906"/>
      <c r="W203" s="907"/>
      <c r="X203" s="912"/>
      <c r="Y203" s="913"/>
    </row>
    <row r="204" spans="2:25" s="846" customFormat="1" ht="18.75" hidden="1" customHeight="1">
      <c r="B204" s="357"/>
      <c r="C204" s="357"/>
      <c r="D204" s="357"/>
      <c r="E204" s="914" t="s">
        <v>453</v>
      </c>
      <c r="F204" s="911"/>
      <c r="G204" s="911"/>
      <c r="H204" s="911"/>
      <c r="I204" s="911"/>
      <c r="J204" s="911"/>
      <c r="K204" s="831"/>
      <c r="L204" s="898"/>
      <c r="M204" s="831"/>
      <c r="N204" s="898"/>
      <c r="O204" s="831"/>
      <c r="P204" s="898"/>
      <c r="Q204" s="831"/>
      <c r="R204" s="898"/>
      <c r="S204" s="831"/>
      <c r="T204" s="832"/>
      <c r="V204" s="898"/>
      <c r="W204" s="834"/>
      <c r="X204" s="912"/>
      <c r="Y204" s="913"/>
    </row>
    <row r="205" spans="2:25" s="846" customFormat="1" ht="19.5" hidden="1" customHeight="1">
      <c r="B205" s="357"/>
      <c r="C205" s="357"/>
      <c r="D205" s="357"/>
      <c r="E205" s="915" t="s">
        <v>454</v>
      </c>
      <c r="F205" s="911"/>
      <c r="G205" s="911"/>
      <c r="H205" s="911"/>
      <c r="I205" s="911"/>
      <c r="J205" s="911"/>
      <c r="K205" s="903">
        <f>K212</f>
        <v>0</v>
      </c>
      <c r="L205" s="904"/>
      <c r="M205" s="903">
        <f>M212</f>
        <v>0</v>
      </c>
      <c r="N205" s="904"/>
      <c r="O205" s="903">
        <f>O212</f>
        <v>0</v>
      </c>
      <c r="P205" s="904"/>
      <c r="Q205" s="903">
        <f>Q212</f>
        <v>0</v>
      </c>
      <c r="R205" s="904"/>
      <c r="S205" s="903">
        <f>S212</f>
        <v>0</v>
      </c>
      <c r="T205" s="905"/>
      <c r="V205" s="906"/>
      <c r="W205" s="907"/>
      <c r="X205" s="912"/>
      <c r="Y205" s="913"/>
    </row>
    <row r="206" spans="2:25" s="846" customFormat="1" ht="15">
      <c r="B206" s="357"/>
      <c r="C206" s="357"/>
      <c r="D206" s="357"/>
      <c r="F206" s="911"/>
      <c r="G206" s="911"/>
      <c r="H206" s="911"/>
      <c r="I206" s="911"/>
      <c r="J206" s="911"/>
      <c r="K206" s="831"/>
      <c r="L206" s="898"/>
      <c r="M206" s="831"/>
      <c r="N206" s="898"/>
      <c r="O206" s="831"/>
      <c r="P206" s="898"/>
      <c r="Q206" s="831"/>
      <c r="R206" s="898"/>
      <c r="S206" s="831"/>
      <c r="T206" s="832"/>
      <c r="U206" s="899"/>
      <c r="V206" s="898"/>
      <c r="W206" s="834"/>
      <c r="X206" s="912"/>
      <c r="Y206" s="913"/>
    </row>
    <row r="207" spans="2:25">
      <c r="K207" s="923"/>
      <c r="M207" s="923"/>
      <c r="O207" s="923"/>
      <c r="Q207" s="923"/>
      <c r="S207" s="923"/>
      <c r="W207" s="927"/>
    </row>
    <row r="208" spans="2:25">
      <c r="K208" s="930"/>
      <c r="M208" s="930"/>
      <c r="O208" s="930"/>
      <c r="Q208" s="930"/>
      <c r="S208" s="930"/>
      <c r="W208" s="931"/>
    </row>
    <row r="209" spans="11:23">
      <c r="M209" s="930"/>
      <c r="O209" s="930"/>
      <c r="W209" s="931"/>
    </row>
    <row r="210" spans="11:23">
      <c r="K210" s="930"/>
      <c r="M210" s="930"/>
      <c r="O210" s="930"/>
      <c r="Q210" s="930"/>
      <c r="S210" s="930"/>
      <c r="W210" s="931"/>
    </row>
    <row r="211" spans="11:23">
      <c r="M211" s="930"/>
      <c r="O211" s="930"/>
      <c r="W211" s="931"/>
    </row>
    <row r="212" spans="11:23">
      <c r="K212" s="930"/>
      <c r="M212" s="930"/>
      <c r="O212" s="930"/>
      <c r="Q212" s="930"/>
      <c r="S212" s="930"/>
      <c r="W212" s="931"/>
    </row>
    <row r="213" spans="11:23">
      <c r="M213" s="930"/>
      <c r="O213" s="930"/>
      <c r="W213" s="931"/>
    </row>
  </sheetData>
  <mergeCells count="6">
    <mergeCell ref="W5:Y5"/>
    <mergeCell ref="K5:L5"/>
    <mergeCell ref="M5:N5"/>
    <mergeCell ref="O5:P5"/>
    <mergeCell ref="Q5:R5"/>
    <mergeCell ref="S5:T5"/>
  </mergeCells>
  <conditionalFormatting sqref="F59:J59">
    <cfRule type="expression" dxfId="1075" priority="147">
      <formula>AND(F59&lt;&gt;"",#REF!="",OR(COLUMN(F59)=COLUMN(#REF!),COLUMN(F59)=COLUMN(#REF!)))</formula>
    </cfRule>
  </conditionalFormatting>
  <conditionalFormatting sqref="E63:J63">
    <cfRule type="expression" dxfId="1074" priority="146">
      <formula>AND(E63&lt;&gt;"",#REF!="",OR(COLUMN(E63)=COLUMN(#REF!),COLUMN(E63)=COLUMN(#REF!)))</formula>
    </cfRule>
  </conditionalFormatting>
  <conditionalFormatting sqref="E92:J92">
    <cfRule type="expression" dxfId="1073" priority="145">
      <formula>AND(E92&lt;&gt;"",#REF!="",OR(COLUMN(E92)=COLUMN(#REF!),COLUMN(E92)=COLUMN(#REF!)))</formula>
    </cfRule>
  </conditionalFormatting>
  <conditionalFormatting sqref="E75:E85 E135:E136 E121:E127">
    <cfRule type="expression" dxfId="1072" priority="144">
      <formula>AND(E75&lt;&gt;"",#REF!="",OR(COLUMN(E75)=COLUMN(#REF!),COLUMN(E75)=COLUMN(#REF!)))</formula>
    </cfRule>
  </conditionalFormatting>
  <conditionalFormatting sqref="E119:J119">
    <cfRule type="expression" dxfId="1071" priority="143">
      <formula>AND(E119&lt;&gt;"",#REF!="",OR(COLUMN(E119)=COLUMN(#REF!),COLUMN(E119)=COLUMN(#REF!)))</formula>
    </cfRule>
  </conditionalFormatting>
  <conditionalFormatting sqref="E43:G47 F94:J96 E90:J91 E128:J128 F135:J136 E137:J137 F141:J142 F145:J146 F149:J149 H143:J144 H147:J148 H151:J152 E103:J103 E110:J118 F75:J85 F121:J127 E13:E32">
    <cfRule type="expression" dxfId="1070" priority="142">
      <formula>AND(E13&lt;&gt;"",#REF!="",OR(COLUMN(E13)=COLUMN(#REF!),COLUMN(E13)=COLUMN(#REF!)))</formula>
    </cfRule>
  </conditionalFormatting>
  <conditionalFormatting sqref="E141:E149">
    <cfRule type="expression" dxfId="1069" priority="141">
      <formula>AND(E141&lt;&gt;"",#REF!="",OR(COLUMN(E141)=COLUMN(#REF!),COLUMN(E141)=COLUMN(#REF!)))</formula>
    </cfRule>
  </conditionalFormatting>
  <conditionalFormatting sqref="E65:E66">
    <cfRule type="expression" dxfId="1068" priority="140">
      <formula>AND(E65&lt;&gt;"",#REF!="",OR(COLUMN(E65)=COLUMN(#REF!),COLUMN(E65)=COLUMN(#REF!)))</formula>
    </cfRule>
  </conditionalFormatting>
  <conditionalFormatting sqref="E99:E102">
    <cfRule type="expression" dxfId="1067" priority="139">
      <formula>AND(E99&lt;&gt;"",#REF!="",OR(COLUMN(E99)=COLUMN(#REF!),COLUMN(E99)=COLUMN(#REF!)))</formula>
    </cfRule>
  </conditionalFormatting>
  <conditionalFormatting sqref="E130">
    <cfRule type="expression" dxfId="1066" priority="137">
      <formula>AND(E130&lt;&gt;"",#REF!="",OR(COLUMN(E130)=COLUMN(#REF!),COLUMN(E130)=COLUMN(#REF!)))</formula>
    </cfRule>
  </conditionalFormatting>
  <conditionalFormatting sqref="E139:E140">
    <cfRule type="expression" dxfId="1065" priority="136">
      <formula>AND(E139&lt;&gt;"",#REF!="",OR(COLUMN(E139)=COLUMN(#REF!),COLUMN(E139)=COLUMN(#REF!)))</formula>
    </cfRule>
  </conditionalFormatting>
  <conditionalFormatting sqref="E143:E144">
    <cfRule type="expression" dxfId="1064" priority="135">
      <formula>AND(E143&lt;&gt;"",#REF!="",OR(COLUMN(E143)=COLUMN(#REF!),COLUMN(E143)=COLUMN(#REF!)))</formula>
    </cfRule>
  </conditionalFormatting>
  <conditionalFormatting sqref="E147:E148">
    <cfRule type="expression" dxfId="1063" priority="134">
      <formula>AND(E147&lt;&gt;"",#REF!="",OR(COLUMN(E147)=COLUMN(#REF!),COLUMN(E147)=COLUMN(#REF!)))</formula>
    </cfRule>
  </conditionalFormatting>
  <conditionalFormatting sqref="K9 M9 O9 Q9 S9 K34 M34 O34 Q34 S34 K53 M53 O53 Q53 S53 K72 M72 O72 Q72 S72 S74 Q74 O74 M74 K74 K87 M87 O87 Q87 S87 K105 M105 O105 Q105 S105 S107 Q107 O107 M107 K107 K132 M132 O132 Q132 S132 S134 Q134 O134 M134 K134 K138 M138 O138 Q138 S138 S142 Q142 O142 M142 K142 K146 M146 O146 Q146 S146 K42 M42 O42 Q42 S42 S49 Q49 O49 M49 K49 K11 M11 O11 Q11 S11">
    <cfRule type="expression" dxfId="1062" priority="133">
      <formula>K9&lt;&gt;L9</formula>
    </cfRule>
  </conditionalFormatting>
  <conditionalFormatting sqref="E97:J97">
    <cfRule type="expression" dxfId="1061" priority="132">
      <formula>AND(E97&lt;&gt;"",#REF!="",OR(COLUMN(E97)=COLUMN(#REF!),COLUMN(E97)=COLUMN(#REF!)))</formula>
    </cfRule>
  </conditionalFormatting>
  <conditionalFormatting sqref="E94:E96 H43:J47">
    <cfRule type="expression" dxfId="1060" priority="131">
      <formula>AND(E43&lt;&gt;"",#REF!="",OR(COLUMN(E43)=COLUMN(#REF!),COLUMN(E43)=COLUMN(#REF!)))</formula>
    </cfRule>
  </conditionalFormatting>
  <conditionalFormatting sqref="E12 F12:J32">
    <cfRule type="expression" dxfId="1059" priority="130">
      <formula>AND(E12&lt;&gt;"",#REF!="",OR(COLUMN(E12)=COLUMN(#REF!),COLUMN(E12)=COLUMN(#REF!)))</formula>
    </cfRule>
  </conditionalFormatting>
  <conditionalFormatting sqref="E151:E152">
    <cfRule type="expression" dxfId="1058" priority="129">
      <formula>AND(E151&lt;&gt;"",#REF!="",OR(COLUMN(E151)=COLUMN(#REF!),COLUMN(E151)=COLUMN(#REF!)))</formula>
    </cfRule>
  </conditionalFormatting>
  <conditionalFormatting sqref="K150 M150 O150 Q150 S150">
    <cfRule type="expression" dxfId="1057" priority="128">
      <formula>K150&lt;&gt;L150</formula>
    </cfRule>
  </conditionalFormatting>
  <conditionalFormatting sqref="K155 M155 O155 Q155 S155">
    <cfRule type="expression" dxfId="1056" priority="127">
      <formula>K155&lt;&gt;L155</formula>
    </cfRule>
  </conditionalFormatting>
  <conditionalFormatting sqref="H37:J40">
    <cfRule type="expression" dxfId="1055" priority="126">
      <formula>AND(H37&lt;&gt;"",#REF!="",OR(COLUMN(H37)=COLUMN(#REF!),COLUMN(H37)=COLUMN(#REF!)))</formula>
    </cfRule>
  </conditionalFormatting>
  <conditionalFormatting sqref="H50:J51">
    <cfRule type="expression" dxfId="1054" priority="125">
      <formula>AND(H50&lt;&gt;"",#REF!="",OR(COLUMN(H50)=COLUMN(#REF!),COLUMN(H50)=COLUMN(#REF!)))</formula>
    </cfRule>
  </conditionalFormatting>
  <conditionalFormatting sqref="H56:J58">
    <cfRule type="expression" dxfId="1053" priority="124">
      <formula>AND(H56&lt;&gt;"",#REF!="",OR(COLUMN(H56)=COLUMN(#REF!),COLUMN(H56)=COLUMN(#REF!)))</formula>
    </cfRule>
  </conditionalFormatting>
  <conditionalFormatting sqref="H61:J62">
    <cfRule type="expression" dxfId="1052" priority="123">
      <formula>AND(H61&lt;&gt;"",#REF!="",OR(COLUMN(H61)=COLUMN(#REF!),COLUMN(H61)=COLUMN(#REF!)))</formula>
    </cfRule>
  </conditionalFormatting>
  <conditionalFormatting sqref="H65:J66">
    <cfRule type="expression" dxfId="1051" priority="122">
      <formula>AND(H65&lt;&gt;"",#REF!="",OR(COLUMN(H65)=COLUMN(#REF!),COLUMN(H65)=COLUMN(#REF!)))</formula>
    </cfRule>
  </conditionalFormatting>
  <conditionalFormatting sqref="H99:J101">
    <cfRule type="expression" dxfId="1050" priority="121">
      <formula>AND(H99&lt;&gt;"",#REF!="",OR(COLUMN(H99)=COLUMN(#REF!),COLUMN(H99)=COLUMN(#REF!)))</formula>
    </cfRule>
  </conditionalFormatting>
  <conditionalFormatting sqref="H130:J130">
    <cfRule type="expression" dxfId="1049" priority="119">
      <formula>AND(H130&lt;&gt;"",#REF!="",OR(COLUMN(H130)=COLUMN(#REF!),COLUMN(H130)=COLUMN(#REF!)))</formula>
    </cfRule>
  </conditionalFormatting>
  <conditionalFormatting sqref="H139:J140">
    <cfRule type="expression" dxfId="1048" priority="117">
      <formula>AND(H139&lt;&gt;"",#REF!="",OR(COLUMN(H139)=COLUMN(#REF!),COLUMN(H139)=COLUMN(#REF!)))</formula>
    </cfRule>
  </conditionalFormatting>
  <conditionalFormatting sqref="V151:V152 V147:V148 V143:V144 V139:V140 V135:V136 V130 V110:V118 V99:V103 V94:V96 V90:V91 V75:V85 V69:V70 V65:V66 V61:V62 V56:V58 V50:V51 V43:V47 V37:V40 V121:V127 V12:V32">
    <cfRule type="cellIs" dxfId="1047" priority="113" operator="notEqual">
      <formula>"OK"</formula>
    </cfRule>
  </conditionalFormatting>
  <conditionalFormatting sqref="E59">
    <cfRule type="expression" dxfId="1046" priority="109">
      <formula>AND(E59&lt;&gt;"",#REF!="",OR(COLUMN(E59)=COLUMN(#REF!),COLUMN(E59)=COLUMN(#REF!)))</formula>
    </cfRule>
  </conditionalFormatting>
  <conditionalFormatting sqref="E37:E40">
    <cfRule type="expression" dxfId="1045" priority="108">
      <formula>AND(E37&lt;&gt;"",#REF!="",OR(COLUMN(E37)=COLUMN(#REF!),COLUMN(E37)=COLUMN(#REF!)))</formula>
    </cfRule>
  </conditionalFormatting>
  <conditionalFormatting sqref="E50:E51">
    <cfRule type="expression" dxfId="1044" priority="106">
      <formula>AND(E50&lt;&gt;"",#REF!="",OR(COLUMN(E50)=COLUMN(#REF!),COLUMN(E50)=COLUMN(#REF!)))</formula>
    </cfRule>
  </conditionalFormatting>
  <conditionalFormatting sqref="E56:E58">
    <cfRule type="expression" dxfId="1043" priority="105">
      <formula>AND(E56&lt;&gt;"",#REF!="",OR(COLUMN(E56)=COLUMN(#REF!),COLUMN(E56)=COLUMN(#REF!)))</formula>
    </cfRule>
  </conditionalFormatting>
  <conditionalFormatting sqref="E61:E62">
    <cfRule type="expression" dxfId="1042" priority="104">
      <formula>AND(E61&lt;&gt;"",#REF!="",OR(COLUMN(E61)=COLUMN(#REF!),COLUMN(E61)=COLUMN(#REF!)))</formula>
    </cfRule>
  </conditionalFormatting>
  <conditionalFormatting sqref="G37:G40">
    <cfRule type="expression" dxfId="1041" priority="102">
      <formula>AND(G37&lt;&gt;"",#REF!="",OR(COLUMN(G37)=COLUMN(#REF!),COLUMN(G37)=COLUMN(#REF!)))</formula>
    </cfRule>
  </conditionalFormatting>
  <conditionalFormatting sqref="G50:G51">
    <cfRule type="expression" dxfId="1040" priority="101">
      <formula>AND(G50&lt;&gt;"",#REF!="",OR(COLUMN(G50)=COLUMN(#REF!),COLUMN(G50)=COLUMN(#REF!)))</formula>
    </cfRule>
  </conditionalFormatting>
  <conditionalFormatting sqref="G56:G58">
    <cfRule type="expression" dxfId="1039" priority="100">
      <formula>AND(G56&lt;&gt;"",#REF!="",OR(COLUMN(G56)=COLUMN(#REF!),COLUMN(G56)=COLUMN(#REF!)))</formula>
    </cfRule>
  </conditionalFormatting>
  <conditionalFormatting sqref="G61:G62">
    <cfRule type="expression" dxfId="1038" priority="99">
      <formula>AND(G61&lt;&gt;"",#REF!="",OR(COLUMN(G61)=COLUMN(#REF!),COLUMN(G61)=COLUMN(#REF!)))</formula>
    </cfRule>
  </conditionalFormatting>
  <conditionalFormatting sqref="G65:G66">
    <cfRule type="expression" dxfId="1037" priority="98">
      <formula>AND(G65&lt;&gt;"",#REF!="",OR(COLUMN(G65)=COLUMN(#REF!),COLUMN(G65)=COLUMN(#REF!)))</formula>
    </cfRule>
  </conditionalFormatting>
  <conditionalFormatting sqref="G99:G101">
    <cfRule type="expression" dxfId="1036" priority="97">
      <formula>AND(G99&lt;&gt;"",#REF!="",OR(COLUMN(G99)=COLUMN(#REF!),COLUMN(G99)=COLUMN(#REF!)))</formula>
    </cfRule>
  </conditionalFormatting>
  <conditionalFormatting sqref="G130">
    <cfRule type="expression" dxfId="1035" priority="95">
      <formula>AND(G130&lt;&gt;"",#REF!="",OR(COLUMN(G130)=COLUMN(#REF!),COLUMN(G130)=COLUMN(#REF!)))</formula>
    </cfRule>
  </conditionalFormatting>
  <conditionalFormatting sqref="G139:G140">
    <cfRule type="expression" dxfId="1034" priority="93">
      <formula>AND(G139&lt;&gt;"",#REF!="",OR(COLUMN(G139)=COLUMN(#REF!),COLUMN(G139)=COLUMN(#REF!)))</formula>
    </cfRule>
  </conditionalFormatting>
  <conditionalFormatting sqref="G143:G144">
    <cfRule type="expression" dxfId="1033" priority="92">
      <formula>AND(G143&lt;&gt;"",#REF!="",OR(COLUMN(G143)=COLUMN(#REF!),COLUMN(G143)=COLUMN(#REF!)))</formula>
    </cfRule>
  </conditionalFormatting>
  <conditionalFormatting sqref="G147:G148">
    <cfRule type="expression" dxfId="1032" priority="91">
      <formula>AND(G147&lt;&gt;"",#REF!="",OR(COLUMN(G147)=COLUMN(#REF!),COLUMN(G147)=COLUMN(#REF!)))</formula>
    </cfRule>
  </conditionalFormatting>
  <conditionalFormatting sqref="G151:G152">
    <cfRule type="expression" dxfId="1031" priority="90">
      <formula>AND(G151&lt;&gt;"",#REF!="",OR(COLUMN(G151)=COLUMN(#REF!),COLUMN(G151)=COLUMN(#REF!)))</formula>
    </cfRule>
  </conditionalFormatting>
  <conditionalFormatting sqref="F37:F40">
    <cfRule type="expression" dxfId="1030" priority="88">
      <formula>AND(F37&lt;&gt;"",#REF!="",OR(COLUMN(F37)=COLUMN(#REF!),COLUMN(F37)=COLUMN(#REF!)))</formula>
    </cfRule>
  </conditionalFormatting>
  <conditionalFormatting sqref="F50:F51">
    <cfRule type="expression" dxfId="1029" priority="87">
      <formula>AND(F50&lt;&gt;"",#REF!="",OR(COLUMN(F50)=COLUMN(#REF!),COLUMN(F50)=COLUMN(#REF!)))</formula>
    </cfRule>
  </conditionalFormatting>
  <conditionalFormatting sqref="F56:F58">
    <cfRule type="expression" dxfId="1028" priority="86">
      <formula>AND(F56&lt;&gt;"",#REF!="",OR(COLUMN(F56)=COLUMN(#REF!),COLUMN(F56)=COLUMN(#REF!)))</formula>
    </cfRule>
  </conditionalFormatting>
  <conditionalFormatting sqref="F61:F62">
    <cfRule type="expression" dxfId="1027" priority="85">
      <formula>AND(F61&lt;&gt;"",#REF!="",OR(COLUMN(F61)=COLUMN(#REF!),COLUMN(F61)=COLUMN(#REF!)))</formula>
    </cfRule>
  </conditionalFormatting>
  <conditionalFormatting sqref="F65:F66">
    <cfRule type="expression" dxfId="1026" priority="84">
      <formula>AND(F65&lt;&gt;"",#REF!="",OR(COLUMN(F65)=COLUMN(#REF!),COLUMN(F65)=COLUMN(#REF!)))</formula>
    </cfRule>
  </conditionalFormatting>
  <conditionalFormatting sqref="F99:F101">
    <cfRule type="expression" dxfId="1025" priority="83">
      <formula>AND(F99&lt;&gt;"",#REF!="",OR(COLUMN(F99)=COLUMN(#REF!),COLUMN(F99)=COLUMN(#REF!)))</formula>
    </cfRule>
  </conditionalFormatting>
  <conditionalFormatting sqref="F130">
    <cfRule type="expression" dxfId="1024" priority="81">
      <formula>AND(F130&lt;&gt;"",#REF!="",OR(COLUMN(F130)=COLUMN(#REF!),COLUMN(F130)=COLUMN(#REF!)))</formula>
    </cfRule>
  </conditionalFormatting>
  <conditionalFormatting sqref="F139:F140">
    <cfRule type="expression" dxfId="1023" priority="79">
      <formula>AND(F139&lt;&gt;"",#REF!="",OR(COLUMN(F139)=COLUMN(#REF!),COLUMN(F139)=COLUMN(#REF!)))</formula>
    </cfRule>
  </conditionalFormatting>
  <conditionalFormatting sqref="F143:F144">
    <cfRule type="expression" dxfId="1022" priority="78">
      <formula>AND(F143&lt;&gt;"",#REF!="",OR(COLUMN(F143)=COLUMN(#REF!),COLUMN(F143)=COLUMN(#REF!)))</formula>
    </cfRule>
  </conditionalFormatting>
  <conditionalFormatting sqref="F147:F148">
    <cfRule type="expression" dxfId="1021" priority="77">
      <formula>AND(F147&lt;&gt;"",#REF!="",OR(COLUMN(F147)=COLUMN(#REF!),COLUMN(F147)=COLUMN(#REF!)))</formula>
    </cfRule>
  </conditionalFormatting>
  <conditionalFormatting sqref="F151:F152">
    <cfRule type="expression" dxfId="1020" priority="76">
      <formula>AND(F151&lt;&gt;"",#REF!="",OR(COLUMN(F151)=COLUMN(#REF!),COLUMN(F151)=COLUMN(#REF!)))</formula>
    </cfRule>
  </conditionalFormatting>
  <conditionalFormatting sqref="E17:E18">
    <cfRule type="expression" dxfId="1019" priority="75">
      <formula>AND(E17&lt;&gt;"",#REF!="",OR(COLUMN(E17)=COLUMN(#REF!),COLUMN(E17)=COLUMN(#REF!)))</formula>
    </cfRule>
  </conditionalFormatting>
  <conditionalFormatting sqref="K68 M68 O68 Q68 S68">
    <cfRule type="expression" dxfId="1018" priority="58">
      <formula>K68&lt;&gt;L68</formula>
    </cfRule>
  </conditionalFormatting>
  <conditionalFormatting sqref="E69:J70">
    <cfRule type="expression" dxfId="1017" priority="57">
      <formula>AND(E69&lt;&gt;"",#REF!="",OR(COLUMN(E69)=COLUMN(#REF!),COLUMN(E69)=COLUMN(#REF!)))</formula>
    </cfRule>
  </conditionalFormatting>
  <conditionalFormatting sqref="E102:J102">
    <cfRule type="expression" dxfId="1016" priority="55">
      <formula>AND(E102&lt;&gt;"",#REF!="",OR(COLUMN(E102)=COLUMN(#REF!),COLUMN(E102)=COLUMN(#REF!)))</formula>
    </cfRule>
  </conditionalFormatting>
  <conditionalFormatting sqref="E103">
    <cfRule type="expression" dxfId="1015" priority="54">
      <formula>AND(E103&lt;&gt;"",#REF!="",OR(COLUMN(E103)=COLUMN(#REF!),COLUMN(E103)=COLUMN(#REF!)))</formula>
    </cfRule>
  </conditionalFormatting>
  <dataValidations count="21">
    <dataValidation type="list" allowBlank="1" showInputMessage="1" sqref="E94:E96" xr:uid="{493C6747-D917-46E5-BC23-371B7C14FC86}">
      <formula1>Long_Short</formula1>
    </dataValidation>
    <dataValidation type="list" allowBlank="1" showInputMessage="1" sqref="E37:E40" xr:uid="{71CF8706-53DB-4EA2-983A-90D6B9CBDD16}">
      <formula1>Inflação_Curta</formula1>
    </dataValidation>
    <dataValidation type="list" allowBlank="1" showInputMessage="1" sqref="E50:E51" xr:uid="{6DA16509-5317-458B-BE48-5949190315F1}">
      <formula1>Inflação_Longa</formula1>
    </dataValidation>
    <dataValidation type="list" allowBlank="1" showInputMessage="1" sqref="E56:E58" xr:uid="{B257B530-E0CE-4482-916A-33BE55C08AEA}">
      <formula1>Pré_Curta</formula1>
    </dataValidation>
    <dataValidation type="list" allowBlank="1" showInputMessage="1" sqref="E61:E62" xr:uid="{2DBA45FF-08F6-4B15-8C49-2D35D7249500}">
      <formula1>Pré_Média</formula1>
    </dataValidation>
    <dataValidation type="list" allowBlank="1" showInputMessage="1" sqref="E65:E66" xr:uid="{914F19F1-05A5-48F1-8C62-39293C6F92B6}">
      <formula1>Pré_Longa</formula1>
    </dataValidation>
    <dataValidation type="list" allowBlank="1" showInputMessage="1" sqref="E99:E102" xr:uid="{A6D32BF0-D748-4341-8773-3530AC4B4F21}">
      <formula1>Multiestratégia</formula1>
    </dataValidation>
    <dataValidation type="list" allowBlank="1" showInputMessage="1" sqref="E130" xr:uid="{E6398CAD-EA11-4010-8B7F-75826E2EDA07}">
      <formula1>Alternativos</formula1>
    </dataValidation>
    <dataValidation type="list" allowBlank="1" showInputMessage="1" sqref="E139:E140" xr:uid="{BEEA6558-F754-4E62-A1DE-D52B807AA832}">
      <formula1>China</formula1>
    </dataValidation>
    <dataValidation type="list" allowBlank="1" showInputMessage="1" sqref="E143:E144" xr:uid="{22C6423D-0127-45B9-9756-C4E4A1998AE6}">
      <formula1>Europa</formula1>
    </dataValidation>
    <dataValidation type="list" allowBlank="1" showInputMessage="1" sqref="E147:E148" xr:uid="{ABB74D75-E919-44BB-B3D3-228EEA30883D}">
      <formula1>Global</formula1>
    </dataValidation>
    <dataValidation type="list" allowBlank="1" showInputMessage="1" sqref="E151:E152" xr:uid="{7E963949-47C1-412F-92F1-1EE068F1A56E}">
      <formula1>EM</formula1>
    </dataValidation>
    <dataValidation type="list" allowBlank="1" showInputMessage="1" sqref="E43:E47" xr:uid="{68F3113A-BCE7-4A3E-B8FD-1CEE5DF10CD3}">
      <formula1>Inflação_Média</formula1>
    </dataValidation>
    <dataValidation type="list" allowBlank="1" showInputMessage="1" sqref="E75:E85" xr:uid="{FBFF4C8A-3476-4FC8-8961-AC10A77B5CA3}">
      <formula1>Macro</formula1>
    </dataValidation>
    <dataValidation type="list" allowBlank="1" showInputMessage="1" sqref="E90:E91" xr:uid="{655F673F-23ED-4B60-A7B1-778565A9FA79}">
      <formula1>Quant</formula1>
    </dataValidation>
    <dataValidation type="list" allowBlank="1" showInputMessage="1" sqref="E135:E136" xr:uid="{607B4B3C-A0E6-424E-8FE0-43901EF15BCE}">
      <formula1>EUA</formula1>
    </dataValidation>
    <dataValidation type="list" allowBlank="1" showInputMessage="1" sqref="E69:E70" xr:uid="{58A6116C-CD5E-4DB6-920C-426D87D51DE2}">
      <formula1>Internacional</formula1>
    </dataValidation>
    <dataValidation type="list" allowBlank="1" showInputMessage="1" sqref="E12:E32" xr:uid="{69BC619F-F4FF-4202-92D1-C68B1AEBB9A9}">
      <formula1>Pós_fixado</formula1>
    </dataValidation>
    <dataValidation type="list" allowBlank="1" showInputMessage="1" sqref="E103" xr:uid="{BADCF7B3-E4EA-4D27-8408-85B7F3C946DD}">
      <formula1>Arbitragem</formula1>
    </dataValidation>
    <dataValidation type="list" allowBlank="1" showInputMessage="1" sqref="E110:E118" xr:uid="{022EF7E3-4D20-4C56-8A4E-ABFFE7BA7345}">
      <formula1>Long_Only</formula1>
    </dataValidation>
    <dataValidation type="list" allowBlank="1" showInputMessage="1" sqref="E121:E127" xr:uid="{1D27BAD8-9549-422D-A81E-C0829CC65008}">
      <formula1>Long_Bias</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16" activePane="bottomRight" state="frozen"/>
      <selection activeCell="K3" sqref="K3:L3"/>
      <selection pane="topRight" activeCell="K3" sqref="K3:L3"/>
      <selection pane="bottomLeft" activeCell="K3" sqref="K3:L3"/>
      <selection pane="bottomRight" activeCell="D3" sqref="D3"/>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86" customWidth="1"/>
    <col min="18" max="18" width="14.59765625" style="85" customWidth="1"/>
    <col min="19" max="19" width="9.296875" customWidth="1"/>
    <col min="20" max="21" width="8.296875" style="86" customWidth="1"/>
    <col min="22" max="28" width="7.8984375" style="86" customWidth="1"/>
    <col min="29" max="29" width="7.8984375" style="85"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85" customWidth="1"/>
    <col min="39" max="39" width="11.59765625" style="85" customWidth="1"/>
    <col min="40" max="40" width="8.3984375" style="85" customWidth="1"/>
    <col min="41" max="41" width="9.59765625" customWidth="1"/>
    <col min="42" max="42" width="9.296875" customWidth="1"/>
    <col min="43" max="43" width="11.59765625" style="85" customWidth="1"/>
    <col min="44" max="44" width="9.3984375" style="85" customWidth="1"/>
    <col min="45" max="45" width="8.796875" customWidth="1"/>
    <col min="46" max="46" width="15.5" style="85"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87"/>
      <c r="N2" s="88"/>
      <c r="O2" s="87"/>
      <c r="P2" s="87"/>
      <c r="Q2" s="84"/>
      <c r="R2" s="89"/>
      <c r="S2" s="88"/>
      <c r="T2" s="84"/>
      <c r="AC2" s="89"/>
      <c r="AD2" s="87"/>
      <c r="AE2" s="87"/>
      <c r="AF2" s="87"/>
      <c r="AG2" s="87"/>
      <c r="AH2" s="87"/>
      <c r="AI2" s="88"/>
      <c r="AJ2" s="88"/>
      <c r="AK2" s="10"/>
      <c r="AL2" s="89"/>
      <c r="AM2" s="89"/>
      <c r="AN2" s="89"/>
      <c r="AO2" s="87"/>
      <c r="AP2" s="87"/>
      <c r="AQ2" s="89"/>
      <c r="AR2" s="89"/>
      <c r="AS2" s="87"/>
      <c r="AT2" s="89"/>
    </row>
    <row r="3" spans="2:75" ht="15.75" customHeight="1">
      <c r="C3" s="91" t="s">
        <v>1316</v>
      </c>
      <c r="D3" s="90">
        <v>44866.708425925928</v>
      </c>
      <c r="M3" s="87"/>
      <c r="N3" s="88"/>
      <c r="O3" s="87"/>
      <c r="P3" s="87"/>
      <c r="Q3" s="84"/>
      <c r="R3" s="89"/>
      <c r="S3" s="88"/>
      <c r="T3" s="404"/>
      <c r="U3" s="404"/>
      <c r="V3" s="404"/>
      <c r="W3" s="404"/>
      <c r="X3" s="404"/>
      <c r="Y3" s="404" t="str">
        <f>"Dados de retorno até "&amp;TEXT(WORKDAY(EOMONTH(D3,-1)+1,-1),"dd/mm/yy")</f>
        <v>Dados de retorno até 31/10/22</v>
      </c>
      <c r="Z3" s="404"/>
      <c r="AA3" s="404"/>
      <c r="AB3" s="404"/>
      <c r="AC3" s="404"/>
      <c r="AD3" s="87"/>
      <c r="AE3" s="87"/>
      <c r="AF3" s="87"/>
      <c r="AG3" s="87"/>
      <c r="AH3" s="87"/>
      <c r="AI3" s="88"/>
      <c r="AJ3" s="88"/>
      <c r="AK3" s="10"/>
      <c r="AL3" s="89"/>
      <c r="AM3" s="89"/>
      <c r="AN3" s="89"/>
      <c r="AO3" s="87"/>
      <c r="AP3" s="87"/>
      <c r="AQ3" s="89"/>
      <c r="AR3" s="89"/>
      <c r="AS3" s="87"/>
      <c r="AT3" s="89"/>
      <c r="AW3" s="508" t="str">
        <f>IF($B3="", "-", IF(AND($D3="Renda Variável", $J3&lt;&gt;"Brasil"), "Renda Variável "&amp;$J3, $E3&amp;" "&amp;IF($E3="Pré-fixado", $G3, IF($E3="Inflação", $G3, IF($D3="Multimercado", IF(E3="Macro", "-", $F3), IF($E3="Long Only", $J3,  IF($E3="Alternativos", "Alternativos", "-")))))))</f>
        <v>-</v>
      </c>
      <c r="AX3" s="509"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509" t="str">
        <f>IF($B3="", "-", IF(L3="","-", L3))</f>
        <v>-</v>
      </c>
      <c r="AZ3" s="509" t="str">
        <f>IF($B3="", "-", IF(M3="","-", M3))</f>
        <v>-</v>
      </c>
      <c r="BA3" s="509" t="str">
        <f>IF($B3="", "-", IF(O3="","-", O3))</f>
        <v>-</v>
      </c>
      <c r="BB3" s="520" t="s">
        <v>34</v>
      </c>
      <c r="BC3" s="509" t="str">
        <f>IF($B3="", "-", IF(F3="","-", F3))</f>
        <v>-</v>
      </c>
      <c r="BD3" s="509" t="str">
        <f>IF($B3="", "-", IF(J3="","-", J3))</f>
        <v>-</v>
      </c>
      <c r="BE3" s="509" t="str">
        <f>IF($B3="", "-", IF(K3="","-", K3))</f>
        <v>-</v>
      </c>
      <c r="BF3" s="509" t="str">
        <f>IF($B3="", "-", S3)</f>
        <v>-</v>
      </c>
      <c r="BG3" s="521" t="str">
        <f>IF($B3="", "-", AL3)</f>
        <v>-</v>
      </c>
      <c r="BH3" s="510" t="str">
        <f>IF($B3="", "-", AR3)</f>
        <v>-</v>
      </c>
      <c r="BI3" s="511" t="str">
        <f>IF($B3="", "-", AI3)</f>
        <v>-</v>
      </c>
      <c r="BJ3" s="511" t="str">
        <f>IF($B3="", "-", IFERROR(IF(FIND("geral", $AH3), "IG"), IFERROR(IF(FIND("qualificado", $AH3), "IQ"), IFERROR(IF(FIND(" profission", $AH3), "IP"), "-"))))</f>
        <v>-</v>
      </c>
      <c r="BK3" s="511" t="str">
        <f>IF($B3="", "-", Q3)</f>
        <v>-</v>
      </c>
      <c r="BL3" s="195" t="str">
        <f>IF($B3="", "-", P3)</f>
        <v>-</v>
      </c>
      <c r="BM3" s="510" t="str">
        <f t="shared" ref="BM3:BR3" si="0">IF($B3="", "-", IF(T3="", "-", T3))</f>
        <v>-</v>
      </c>
      <c r="BN3" s="510" t="str">
        <f t="shared" si="0"/>
        <v>-</v>
      </c>
      <c r="BO3" s="510" t="str">
        <f t="shared" si="0"/>
        <v>-</v>
      </c>
      <c r="BP3" s="510" t="str">
        <f t="shared" si="0"/>
        <v>-</v>
      </c>
      <c r="BQ3" s="510" t="str">
        <f t="shared" si="0"/>
        <v>-</v>
      </c>
      <c r="BR3" s="510" t="str">
        <f t="shared" si="0"/>
        <v>-</v>
      </c>
      <c r="BS3" s="510" t="str">
        <f>IF($B3="", "-", IF(Z3="", "-", Z3))</f>
        <v>-</v>
      </c>
      <c r="BT3" s="510" t="str">
        <f>IF($B3="", "-", IF(AA3="", "-", AA3))</f>
        <v>-</v>
      </c>
      <c r="BU3" s="510" t="str">
        <f>IF($B3="", "-", IF(AB3="", "-", AB3))</f>
        <v>-</v>
      </c>
      <c r="BV3" s="512" t="str">
        <f>IF($B3="", "-", IF(AC3="", "-", AC3))</f>
        <v>-</v>
      </c>
      <c r="BW3" s="509" t="str">
        <f>IF($B3="", "-", C3)</f>
        <v>-</v>
      </c>
    </row>
    <row r="4" spans="2:75" ht="11.25" customHeight="1" thickBot="1">
      <c r="M4" s="87"/>
      <c r="N4" s="88"/>
      <c r="O4" s="87"/>
      <c r="P4" s="87"/>
      <c r="Q4" s="84"/>
      <c r="R4" s="89"/>
      <c r="S4" s="88"/>
      <c r="T4" s="84"/>
      <c r="U4" s="84"/>
      <c r="V4" s="84"/>
      <c r="W4" s="84"/>
      <c r="X4" s="84"/>
      <c r="Y4" s="84"/>
      <c r="Z4" s="84"/>
      <c r="AA4" s="84"/>
      <c r="AB4" s="84"/>
      <c r="AC4" s="89"/>
      <c r="AD4" s="87"/>
      <c r="AE4" s="87"/>
      <c r="AF4" s="87"/>
      <c r="AG4" s="87"/>
      <c r="AH4" s="87"/>
      <c r="AI4" s="88"/>
      <c r="AJ4" s="88"/>
      <c r="AK4" s="10"/>
      <c r="AL4" s="89"/>
      <c r="AM4" s="89"/>
      <c r="AN4" s="89"/>
      <c r="AO4" s="87"/>
      <c r="AP4" s="87"/>
      <c r="AQ4" s="89"/>
      <c r="AR4" s="89"/>
      <c r="AS4" s="87"/>
      <c r="AT4" s="89"/>
    </row>
    <row r="5" spans="2:75" s="83" customFormat="1" ht="32.25" customHeight="1" thickBot="1">
      <c r="B5" s="247" t="s">
        <v>57</v>
      </c>
      <c r="C5" s="248" t="s">
        <v>31</v>
      </c>
      <c r="D5" s="247" t="s">
        <v>703</v>
      </c>
      <c r="E5" s="247" t="s">
        <v>655</v>
      </c>
      <c r="F5" s="247" t="s">
        <v>656</v>
      </c>
      <c r="G5" s="247" t="s">
        <v>704</v>
      </c>
      <c r="H5" s="247" t="s">
        <v>622</v>
      </c>
      <c r="I5" s="247" t="s">
        <v>705</v>
      </c>
      <c r="J5" s="247" t="s">
        <v>657</v>
      </c>
      <c r="K5" s="247" t="s">
        <v>8</v>
      </c>
      <c r="L5" s="247" t="s">
        <v>32</v>
      </c>
      <c r="M5" s="247" t="s">
        <v>1413</v>
      </c>
      <c r="N5" s="262" t="s">
        <v>2088</v>
      </c>
      <c r="O5" s="249" t="s">
        <v>1438</v>
      </c>
      <c r="P5" s="249" t="s">
        <v>706</v>
      </c>
      <c r="Q5" s="249" t="s">
        <v>707</v>
      </c>
      <c r="R5" s="249" t="s">
        <v>2089</v>
      </c>
      <c r="S5" s="249" t="s">
        <v>33</v>
      </c>
      <c r="T5" s="249" t="s">
        <v>708</v>
      </c>
      <c r="U5" s="249" t="s">
        <v>709</v>
      </c>
      <c r="V5" s="249" t="s">
        <v>710</v>
      </c>
      <c r="W5" s="249" t="s">
        <v>711</v>
      </c>
      <c r="X5" s="249" t="s">
        <v>712</v>
      </c>
      <c r="Y5" s="249" t="s">
        <v>1329</v>
      </c>
      <c r="Z5" s="249" t="s">
        <v>1330</v>
      </c>
      <c r="AA5" s="249" t="s">
        <v>713</v>
      </c>
      <c r="AB5" s="249" t="s">
        <v>714</v>
      </c>
      <c r="AC5" s="249" t="s">
        <v>605</v>
      </c>
      <c r="AD5" s="249" t="s">
        <v>2090</v>
      </c>
      <c r="AE5" s="249" t="s">
        <v>2091</v>
      </c>
      <c r="AF5" s="249" t="s">
        <v>653</v>
      </c>
      <c r="AG5" s="249" t="s">
        <v>2092</v>
      </c>
      <c r="AH5" s="249" t="s">
        <v>2093</v>
      </c>
      <c r="AI5" s="249" t="s">
        <v>2094</v>
      </c>
      <c r="AJ5" s="249" t="s">
        <v>2095</v>
      </c>
      <c r="AK5" s="249" t="s">
        <v>2096</v>
      </c>
      <c r="AL5" s="249" t="s">
        <v>1331</v>
      </c>
      <c r="AM5" s="249" t="s">
        <v>2097</v>
      </c>
      <c r="AN5" s="249" t="s">
        <v>654</v>
      </c>
      <c r="AO5" s="249" t="s">
        <v>1333</v>
      </c>
      <c r="AP5" s="249" t="s">
        <v>2098</v>
      </c>
      <c r="AQ5" s="249" t="s">
        <v>2099</v>
      </c>
      <c r="AR5" s="108" t="s">
        <v>2100</v>
      </c>
      <c r="AS5" s="108" t="s">
        <v>2101</v>
      </c>
      <c r="AT5" s="247" t="s">
        <v>2102</v>
      </c>
      <c r="AW5" s="174" t="s">
        <v>655</v>
      </c>
      <c r="AX5" s="173" t="s">
        <v>1334</v>
      </c>
      <c r="AY5" s="174" t="s">
        <v>32</v>
      </c>
      <c r="AZ5" s="174" t="s">
        <v>1413</v>
      </c>
      <c r="BA5" s="174" t="s">
        <v>1415</v>
      </c>
      <c r="BB5" s="174" t="s">
        <v>1333</v>
      </c>
      <c r="BC5" s="174" t="s">
        <v>656</v>
      </c>
      <c r="BD5" s="174" t="s">
        <v>657</v>
      </c>
      <c r="BE5" s="174" t="s">
        <v>8</v>
      </c>
      <c r="BF5" s="174" t="s">
        <v>33</v>
      </c>
      <c r="BG5" s="174" t="s">
        <v>1331</v>
      </c>
      <c r="BH5" s="174" t="s">
        <v>1408</v>
      </c>
      <c r="BI5" s="174" t="s">
        <v>1418</v>
      </c>
      <c r="BJ5" s="174" t="s">
        <v>1420</v>
      </c>
      <c r="BK5" s="174" t="s">
        <v>707</v>
      </c>
      <c r="BL5" s="174" t="s">
        <v>706</v>
      </c>
      <c r="BM5" s="174" t="s">
        <v>708</v>
      </c>
      <c r="BN5" s="174" t="s">
        <v>709</v>
      </c>
      <c r="BO5" s="174" t="s">
        <v>710</v>
      </c>
      <c r="BP5" s="174" t="s">
        <v>711</v>
      </c>
      <c r="BQ5" s="174" t="s">
        <v>712</v>
      </c>
      <c r="BR5" s="174" t="s">
        <v>1329</v>
      </c>
      <c r="BS5" s="174" t="s">
        <v>1330</v>
      </c>
      <c r="BT5" s="174" t="s">
        <v>713</v>
      </c>
      <c r="BU5" s="174" t="s">
        <v>714</v>
      </c>
      <c r="BV5" s="174" t="s">
        <v>605</v>
      </c>
      <c r="BW5" s="174" t="s">
        <v>31</v>
      </c>
    </row>
    <row r="6" spans="2:75" ht="15.75" customHeight="1">
      <c r="B6" s="250" t="s">
        <v>1223</v>
      </c>
      <c r="C6" s="251">
        <v>29562673000117</v>
      </c>
      <c r="D6" s="252" t="s">
        <v>11</v>
      </c>
      <c r="E6" s="252" t="s">
        <v>620</v>
      </c>
      <c r="F6" s="252" t="s">
        <v>672</v>
      </c>
      <c r="G6" s="253" t="s">
        <v>738</v>
      </c>
      <c r="H6" s="253" t="s">
        <v>34</v>
      </c>
      <c r="I6" s="253" t="s">
        <v>1304</v>
      </c>
      <c r="J6" s="253" t="s">
        <v>608</v>
      </c>
      <c r="K6" s="254" t="s">
        <v>48</v>
      </c>
      <c r="L6" s="255" t="s">
        <v>715</v>
      </c>
      <c r="M6" s="255" t="s">
        <v>1414</v>
      </c>
      <c r="N6" s="254">
        <v>464716</v>
      </c>
      <c r="O6" s="254" t="s">
        <v>1321</v>
      </c>
      <c r="P6" s="258">
        <v>43228</v>
      </c>
      <c r="Q6" s="259">
        <v>3510398187.71</v>
      </c>
      <c r="R6" s="259">
        <v>2692805342.2180176</v>
      </c>
      <c r="S6" s="254">
        <v>0</v>
      </c>
      <c r="T6" s="256">
        <v>7.8279970082884676E-2</v>
      </c>
      <c r="U6" s="256">
        <v>1.0119404520530995</v>
      </c>
      <c r="V6" s="256">
        <v>0.10381404115898074</v>
      </c>
      <c r="W6" s="256">
        <v>1.0177247300313479</v>
      </c>
      <c r="X6" s="256">
        <v>0.12645859039307039</v>
      </c>
      <c r="Y6" s="256">
        <v>0.95895846348772307</v>
      </c>
      <c r="Z6" s="256">
        <v>0.16981308860694289</v>
      </c>
      <c r="AA6" s="256">
        <v>0.96527264705199589</v>
      </c>
      <c r="AB6" s="256">
        <v>1.5112940650837692E-3</v>
      </c>
      <c r="AC6" s="260">
        <v>1.0851079280844875</v>
      </c>
      <c r="AD6" s="405">
        <v>0</v>
      </c>
      <c r="AE6" s="257" t="s">
        <v>2144</v>
      </c>
      <c r="AF6" s="257" t="s">
        <v>2109</v>
      </c>
      <c r="AG6" s="261" t="s">
        <v>1432</v>
      </c>
      <c r="AH6" s="261" t="s">
        <v>2113</v>
      </c>
      <c r="AI6" s="261">
        <v>500</v>
      </c>
      <c r="AJ6" s="261">
        <v>100</v>
      </c>
      <c r="AK6" s="261">
        <v>500</v>
      </c>
      <c r="AL6" s="256">
        <v>0</v>
      </c>
      <c r="AM6" s="256" t="s">
        <v>34</v>
      </c>
      <c r="AN6" s="256" t="s">
        <v>64</v>
      </c>
      <c r="AO6" s="254" t="s">
        <v>1324</v>
      </c>
      <c r="AP6" s="257" t="s">
        <v>11</v>
      </c>
      <c r="AQ6" s="263" t="s">
        <v>684</v>
      </c>
      <c r="AR6" s="256" t="s">
        <v>34</v>
      </c>
      <c r="AS6" s="256" t="s">
        <v>34</v>
      </c>
      <c r="AT6" s="256"/>
      <c r="AW6" s="508"/>
      <c r="AX6" s="509"/>
      <c r="AY6" s="509"/>
      <c r="AZ6" s="509"/>
      <c r="BA6" s="509"/>
      <c r="BB6" s="520"/>
      <c r="BC6" s="509"/>
      <c r="BD6" s="509"/>
      <c r="BE6" s="509"/>
      <c r="BF6" s="509"/>
      <c r="BG6" s="521"/>
      <c r="BH6" s="510"/>
      <c r="BI6" s="511"/>
      <c r="BJ6" s="511"/>
      <c r="BK6" s="511"/>
      <c r="BL6" s="195"/>
      <c r="BM6" s="510"/>
      <c r="BN6" s="510"/>
      <c r="BO6" s="510"/>
      <c r="BP6" s="510"/>
      <c r="BQ6" s="510"/>
      <c r="BR6" s="510"/>
      <c r="BS6" s="510"/>
      <c r="BT6" s="510"/>
      <c r="BU6" s="510"/>
      <c r="BV6" s="512"/>
      <c r="BW6" s="509"/>
    </row>
    <row r="7" spans="2:75" ht="15.75" customHeight="1">
      <c r="B7" s="250" t="s">
        <v>1715</v>
      </c>
      <c r="C7" s="251">
        <v>45605070000101</v>
      </c>
      <c r="D7" s="252" t="s">
        <v>11</v>
      </c>
      <c r="E7" s="252" t="s">
        <v>620</v>
      </c>
      <c r="F7" s="252" t="s">
        <v>663</v>
      </c>
      <c r="G7" s="253" t="s">
        <v>738</v>
      </c>
      <c r="H7" s="253" t="s">
        <v>34</v>
      </c>
      <c r="I7" s="253" t="s">
        <v>1304</v>
      </c>
      <c r="J7" s="253" t="s">
        <v>608</v>
      </c>
      <c r="K7" s="254" t="s">
        <v>48</v>
      </c>
      <c r="L7" s="255" t="s">
        <v>715</v>
      </c>
      <c r="M7" s="255" t="s">
        <v>34</v>
      </c>
      <c r="N7" s="254">
        <v>670189</v>
      </c>
      <c r="O7" s="254" t="s">
        <v>1321</v>
      </c>
      <c r="P7" s="258">
        <v>44795</v>
      </c>
      <c r="Q7" s="259">
        <v>55766913.539999999</v>
      </c>
      <c r="R7" s="259" t="s">
        <v>1417</v>
      </c>
      <c r="S7" s="254">
        <v>1</v>
      </c>
      <c r="T7" s="256" t="s">
        <v>1417</v>
      </c>
      <c r="U7" s="256" t="s">
        <v>1417</v>
      </c>
      <c r="V7" s="256" t="s">
        <v>1417</v>
      </c>
      <c r="W7" s="256" t="s">
        <v>1417</v>
      </c>
      <c r="X7" s="256" t="s">
        <v>1417</v>
      </c>
      <c r="Y7" s="256" t="s">
        <v>1417</v>
      </c>
      <c r="Z7" s="256" t="s">
        <v>1417</v>
      </c>
      <c r="AA7" s="256" t="s">
        <v>1417</v>
      </c>
      <c r="AB7" s="256" t="s">
        <v>1417</v>
      </c>
      <c r="AC7" s="260" t="s">
        <v>1417</v>
      </c>
      <c r="AD7" s="405">
        <v>34474989000197</v>
      </c>
      <c r="AE7" s="257" t="s">
        <v>2152</v>
      </c>
      <c r="AF7" s="257" t="s">
        <v>2118</v>
      </c>
      <c r="AG7" s="261" t="s">
        <v>1433</v>
      </c>
      <c r="AH7" s="261" t="s">
        <v>2113</v>
      </c>
      <c r="AI7" s="261">
        <v>1000</v>
      </c>
      <c r="AJ7" s="261" t="s">
        <v>1427</v>
      </c>
      <c r="AK7" s="261">
        <v>1000</v>
      </c>
      <c r="AL7" s="519">
        <v>4.0000000000000001E-3</v>
      </c>
      <c r="AM7" s="519" t="s">
        <v>34</v>
      </c>
      <c r="AN7" s="256" t="s">
        <v>64</v>
      </c>
      <c r="AO7" s="254" t="s">
        <v>1324</v>
      </c>
      <c r="AP7" s="257" t="s">
        <v>11</v>
      </c>
      <c r="AQ7" s="263" t="s">
        <v>662</v>
      </c>
      <c r="AR7" s="256">
        <v>8.0000000000000004E-4</v>
      </c>
      <c r="AS7" s="256">
        <v>8.0000000000000004E-4</v>
      </c>
      <c r="AT7" s="256"/>
      <c r="AW7" s="508"/>
      <c r="AX7" s="509"/>
      <c r="AY7" s="509"/>
      <c r="AZ7" s="509"/>
      <c r="BA7" s="509"/>
      <c r="BB7" s="520"/>
      <c r="BC7" s="509"/>
      <c r="BD7" s="509"/>
      <c r="BE7" s="509"/>
      <c r="BF7" s="509"/>
      <c r="BG7" s="521"/>
      <c r="BH7" s="510"/>
      <c r="BI7" s="511"/>
      <c r="BJ7" s="511"/>
      <c r="BK7" s="511"/>
      <c r="BL7" s="195"/>
      <c r="BM7" s="510"/>
      <c r="BN7" s="510"/>
      <c r="BO7" s="510"/>
      <c r="BP7" s="510"/>
      <c r="BQ7" s="510"/>
      <c r="BR7" s="510"/>
      <c r="BS7" s="510"/>
      <c r="BT7" s="510"/>
      <c r="BU7" s="510"/>
      <c r="BV7" s="512"/>
      <c r="BW7" s="509"/>
    </row>
    <row r="8" spans="2:75" ht="15.75" customHeight="1">
      <c r="B8" s="250" t="s">
        <v>1600</v>
      </c>
      <c r="C8" s="251">
        <v>40498539000137</v>
      </c>
      <c r="D8" s="252" t="s">
        <v>11</v>
      </c>
      <c r="E8" s="252" t="s">
        <v>620</v>
      </c>
      <c r="F8" s="252" t="s">
        <v>663</v>
      </c>
      <c r="G8" s="253" t="s">
        <v>738</v>
      </c>
      <c r="H8" s="253" t="s">
        <v>34</v>
      </c>
      <c r="I8" s="253"/>
      <c r="J8" s="253"/>
      <c r="K8" s="254" t="s">
        <v>48</v>
      </c>
      <c r="L8" s="255" t="s">
        <v>715</v>
      </c>
      <c r="M8" s="255"/>
      <c r="N8" s="254">
        <v>581453</v>
      </c>
      <c r="O8" s="254" t="s">
        <v>1324</v>
      </c>
      <c r="P8" s="258">
        <v>44286</v>
      </c>
      <c r="Q8" s="259">
        <v>8282775559.2299995</v>
      </c>
      <c r="R8" s="259">
        <v>5816953377.5001192</v>
      </c>
      <c r="S8" s="254">
        <v>1</v>
      </c>
      <c r="T8" s="256">
        <v>0.12094538732365967</v>
      </c>
      <c r="U8" s="256">
        <v>1.360383257510738</v>
      </c>
      <c r="V8" s="256">
        <v>0.15473103508086083</v>
      </c>
      <c r="W8" s="256">
        <v>1.4200763222784143</v>
      </c>
      <c r="X8" s="256" t="s">
        <v>1417</v>
      </c>
      <c r="Y8" s="256" t="s">
        <v>1417</v>
      </c>
      <c r="Z8" s="256" t="s">
        <v>1417</v>
      </c>
      <c r="AA8" s="256" t="s">
        <v>1417</v>
      </c>
      <c r="AB8" s="256">
        <v>1.1810745226373482E-2</v>
      </c>
      <c r="AC8" s="260">
        <v>3.4319129899704208</v>
      </c>
      <c r="AD8" s="405">
        <v>40668849000152</v>
      </c>
      <c r="AE8" s="257" t="s">
        <v>2284</v>
      </c>
      <c r="AF8" s="257" t="s">
        <v>59</v>
      </c>
      <c r="AG8" s="261" t="s">
        <v>59</v>
      </c>
      <c r="AH8" s="261" t="s">
        <v>2113</v>
      </c>
      <c r="AI8" s="261">
        <v>1</v>
      </c>
      <c r="AJ8" s="261">
        <v>1</v>
      </c>
      <c r="AK8" s="261">
        <v>1</v>
      </c>
      <c r="AL8" s="256">
        <v>9.0000000000000011E-3</v>
      </c>
      <c r="AM8" s="256">
        <v>0.2</v>
      </c>
      <c r="AN8" s="256" t="s">
        <v>64</v>
      </c>
      <c r="AO8" s="254" t="s">
        <v>1324</v>
      </c>
      <c r="AP8" s="257" t="s">
        <v>11</v>
      </c>
      <c r="AQ8" s="263" t="s">
        <v>669</v>
      </c>
      <c r="AR8" s="256" t="s">
        <v>34</v>
      </c>
      <c r="AS8" s="256" t="s">
        <v>34</v>
      </c>
      <c r="AT8" s="256"/>
      <c r="AW8" s="508"/>
      <c r="AX8" s="509"/>
      <c r="AY8" s="509"/>
      <c r="AZ8" s="509"/>
      <c r="BA8" s="509"/>
      <c r="BB8" s="520"/>
      <c r="BC8" s="509"/>
      <c r="BD8" s="509"/>
      <c r="BE8" s="509"/>
      <c r="BF8" s="509"/>
      <c r="BG8" s="521"/>
      <c r="BH8" s="510"/>
      <c r="BI8" s="511"/>
      <c r="BJ8" s="511"/>
      <c r="BK8" s="511"/>
      <c r="BL8" s="195"/>
      <c r="BM8" s="510"/>
      <c r="BN8" s="510"/>
      <c r="BO8" s="510"/>
      <c r="BP8" s="510"/>
      <c r="BQ8" s="510"/>
      <c r="BR8" s="510"/>
      <c r="BS8" s="510"/>
      <c r="BT8" s="510"/>
      <c r="BU8" s="510"/>
      <c r="BV8" s="512"/>
      <c r="BW8" s="509"/>
    </row>
    <row r="9" spans="2:75" ht="15.75" customHeight="1">
      <c r="B9" s="250" t="s">
        <v>1379</v>
      </c>
      <c r="C9" s="251">
        <v>32892819000105</v>
      </c>
      <c r="D9" s="252" t="s">
        <v>11</v>
      </c>
      <c r="E9" s="252" t="s">
        <v>620</v>
      </c>
      <c r="F9" s="252" t="s">
        <v>663</v>
      </c>
      <c r="G9" s="253" t="s">
        <v>738</v>
      </c>
      <c r="H9" s="253" t="s">
        <v>34</v>
      </c>
      <c r="I9" s="253"/>
      <c r="J9" s="253"/>
      <c r="K9" s="254" t="s">
        <v>48</v>
      </c>
      <c r="L9" s="255" t="s">
        <v>715</v>
      </c>
      <c r="M9" s="255" t="s">
        <v>34</v>
      </c>
      <c r="N9" s="254">
        <v>627089</v>
      </c>
      <c r="O9" s="254" t="s">
        <v>1324</v>
      </c>
      <c r="P9" s="258">
        <v>44544</v>
      </c>
      <c r="Q9" s="259">
        <v>60904193.789999999</v>
      </c>
      <c r="R9" s="259" t="s">
        <v>1417</v>
      </c>
      <c r="S9" s="254">
        <v>1</v>
      </c>
      <c r="T9" s="256">
        <v>0.10478977227424879</v>
      </c>
      <c r="U9" s="256">
        <v>1.3546378392003209</v>
      </c>
      <c r="V9" s="256" t="s">
        <v>1417</v>
      </c>
      <c r="W9" s="256" t="s">
        <v>1417</v>
      </c>
      <c r="X9" s="256" t="s">
        <v>1417</v>
      </c>
      <c r="Y9" s="256" t="s">
        <v>1417</v>
      </c>
      <c r="Z9" s="256" t="s">
        <v>1417</v>
      </c>
      <c r="AA9" s="256" t="s">
        <v>1417</v>
      </c>
      <c r="AB9" s="256" t="s">
        <v>1417</v>
      </c>
      <c r="AC9" s="260" t="s">
        <v>1417</v>
      </c>
      <c r="AD9" s="405">
        <v>40668849000152</v>
      </c>
      <c r="AE9" s="257" t="s">
        <v>59</v>
      </c>
      <c r="AF9" s="257" t="s">
        <v>2112</v>
      </c>
      <c r="AG9" s="261" t="s">
        <v>59</v>
      </c>
      <c r="AH9" s="261" t="s">
        <v>2113</v>
      </c>
      <c r="AI9" s="261">
        <v>100</v>
      </c>
      <c r="AJ9" s="261">
        <v>1</v>
      </c>
      <c r="AK9" s="261">
        <v>100</v>
      </c>
      <c r="AL9" s="256">
        <v>9.0000000000000011E-3</v>
      </c>
      <c r="AM9" s="256">
        <v>0.2</v>
      </c>
      <c r="AN9" s="256" t="s">
        <v>64</v>
      </c>
      <c r="AO9" s="254" t="s">
        <v>1324</v>
      </c>
      <c r="AP9" s="257" t="s">
        <v>11</v>
      </c>
      <c r="AQ9" s="263" t="s">
        <v>669</v>
      </c>
      <c r="AR9" s="256">
        <v>2.0999999999999994E-3</v>
      </c>
      <c r="AS9" s="256">
        <v>2.0999999999999994E-3</v>
      </c>
      <c r="AT9" s="256"/>
      <c r="AW9" s="508"/>
      <c r="AX9" s="509"/>
      <c r="AY9" s="509"/>
      <c r="AZ9" s="509"/>
      <c r="BA9" s="509"/>
      <c r="BB9" s="520"/>
      <c r="BC9" s="509"/>
      <c r="BD9" s="509"/>
      <c r="BE9" s="509"/>
      <c r="BF9" s="509"/>
      <c r="BG9" s="521"/>
      <c r="BH9" s="510"/>
      <c r="BI9" s="511"/>
      <c r="BJ9" s="511"/>
      <c r="BK9" s="511"/>
      <c r="BL9" s="195"/>
      <c r="BM9" s="510"/>
      <c r="BN9" s="510"/>
      <c r="BO9" s="510"/>
      <c r="BP9" s="510"/>
      <c r="BQ9" s="510"/>
      <c r="BR9" s="510"/>
      <c r="BS9" s="510"/>
      <c r="BT9" s="510"/>
      <c r="BU9" s="510"/>
      <c r="BV9" s="512"/>
      <c r="BW9" s="509"/>
    </row>
    <row r="10" spans="2:75" ht="15.75" customHeight="1">
      <c r="B10" s="250" t="s">
        <v>1159</v>
      </c>
      <c r="C10" s="251">
        <v>36498670000127</v>
      </c>
      <c r="D10" s="252" t="s">
        <v>11</v>
      </c>
      <c r="E10" s="252" t="s">
        <v>620</v>
      </c>
      <c r="F10" s="252" t="s">
        <v>663</v>
      </c>
      <c r="G10" s="253" t="s">
        <v>738</v>
      </c>
      <c r="H10" s="253" t="s">
        <v>34</v>
      </c>
      <c r="I10" s="253"/>
      <c r="J10" s="253" t="s">
        <v>608</v>
      </c>
      <c r="K10" s="254" t="s">
        <v>48</v>
      </c>
      <c r="L10" s="255" t="s">
        <v>715</v>
      </c>
      <c r="M10" s="255" t="s">
        <v>1414</v>
      </c>
      <c r="N10" s="254">
        <v>531553</v>
      </c>
      <c r="O10" s="254" t="s">
        <v>1321</v>
      </c>
      <c r="P10" s="258">
        <v>43907</v>
      </c>
      <c r="Q10" s="259">
        <v>5709056649.3699999</v>
      </c>
      <c r="R10" s="259">
        <v>5507731555.9662313</v>
      </c>
      <c r="S10" s="254">
        <v>1</v>
      </c>
      <c r="T10" s="256">
        <v>8.7979298050510746E-2</v>
      </c>
      <c r="U10" s="256">
        <v>1.1373255578187031</v>
      </c>
      <c r="V10" s="256">
        <v>0.11759287150743969</v>
      </c>
      <c r="W10" s="256">
        <v>1.1528033402075784</v>
      </c>
      <c r="X10" s="256">
        <v>0.16955046761246106</v>
      </c>
      <c r="Y10" s="256">
        <v>1.2857319965364744</v>
      </c>
      <c r="Z10" s="256" t="s">
        <v>1417</v>
      </c>
      <c r="AA10" s="256" t="s">
        <v>1417</v>
      </c>
      <c r="AB10" s="256">
        <v>2.1216366482162208E-3</v>
      </c>
      <c r="AC10" s="260">
        <v>6.6231165394701339</v>
      </c>
      <c r="AD10" s="405">
        <v>0</v>
      </c>
      <c r="AE10" s="257" t="s">
        <v>2380</v>
      </c>
      <c r="AF10" s="257" t="s">
        <v>2109</v>
      </c>
      <c r="AG10" s="261" t="s">
        <v>1432</v>
      </c>
      <c r="AH10" s="261" t="s">
        <v>2113</v>
      </c>
      <c r="AI10" s="261">
        <v>500</v>
      </c>
      <c r="AJ10" s="261">
        <v>100</v>
      </c>
      <c r="AK10" s="261">
        <v>100</v>
      </c>
      <c r="AL10" s="256">
        <v>2.5000000000000001E-3</v>
      </c>
      <c r="AM10" s="256" t="s">
        <v>34</v>
      </c>
      <c r="AN10" s="256" t="s">
        <v>64</v>
      </c>
      <c r="AO10" s="254" t="s">
        <v>1324</v>
      </c>
      <c r="AP10" s="257" t="s">
        <v>11</v>
      </c>
      <c r="AQ10" s="263" t="s">
        <v>669</v>
      </c>
      <c r="AR10" s="256">
        <v>6.9999999999999999E-4</v>
      </c>
      <c r="AS10" s="256">
        <v>6.9999999999999999E-4</v>
      </c>
      <c r="AT10" s="256"/>
      <c r="AW10" s="508"/>
      <c r="AX10" s="509"/>
      <c r="AY10" s="509"/>
      <c r="AZ10" s="509"/>
      <c r="BA10" s="509"/>
      <c r="BB10" s="520"/>
      <c r="BC10" s="509"/>
      <c r="BD10" s="509"/>
      <c r="BE10" s="509"/>
      <c r="BF10" s="509"/>
      <c r="BG10" s="521"/>
      <c r="BH10" s="510"/>
      <c r="BI10" s="511"/>
      <c r="BJ10" s="511"/>
      <c r="BK10" s="511"/>
      <c r="BL10" s="195"/>
      <c r="BM10" s="510"/>
      <c r="BN10" s="510"/>
      <c r="BO10" s="510"/>
      <c r="BP10" s="510"/>
      <c r="BQ10" s="510"/>
      <c r="BR10" s="510"/>
      <c r="BS10" s="510"/>
      <c r="BT10" s="510"/>
      <c r="BU10" s="510"/>
      <c r="BV10" s="512"/>
      <c r="BW10" s="509"/>
    </row>
    <row r="11" spans="2:75" ht="15.75" customHeight="1">
      <c r="B11" s="250" t="s">
        <v>1192</v>
      </c>
      <c r="C11" s="251">
        <v>28206220000195</v>
      </c>
      <c r="D11" s="252" t="s">
        <v>11</v>
      </c>
      <c r="E11" s="252" t="s">
        <v>620</v>
      </c>
      <c r="F11" s="252" t="s">
        <v>663</v>
      </c>
      <c r="G11" s="253" t="s">
        <v>738</v>
      </c>
      <c r="H11" s="253" t="s">
        <v>34</v>
      </c>
      <c r="I11" s="253"/>
      <c r="J11" s="253" t="s">
        <v>608</v>
      </c>
      <c r="K11" s="254" t="s">
        <v>48</v>
      </c>
      <c r="L11" s="255" t="s">
        <v>715</v>
      </c>
      <c r="M11" s="255" t="s">
        <v>34</v>
      </c>
      <c r="N11" s="254">
        <v>476791</v>
      </c>
      <c r="O11" s="254" t="s">
        <v>1321</v>
      </c>
      <c r="P11" s="258">
        <v>43388</v>
      </c>
      <c r="Q11" s="259">
        <v>205608615.16</v>
      </c>
      <c r="R11" s="259">
        <v>157915582.55281752</v>
      </c>
      <c r="S11" s="254">
        <v>1</v>
      </c>
      <c r="T11" s="256">
        <v>8.512216587379573E-2</v>
      </c>
      <c r="U11" s="256">
        <v>1.1003908525113413</v>
      </c>
      <c r="V11" s="256">
        <v>0.1148217267458993</v>
      </c>
      <c r="W11" s="256">
        <v>1.1256368555699414</v>
      </c>
      <c r="X11" s="256">
        <v>0.17349807109485571</v>
      </c>
      <c r="Y11" s="256">
        <v>1.3156673908672925</v>
      </c>
      <c r="Z11" s="256">
        <v>0.1993403250823651</v>
      </c>
      <c r="AA11" s="256">
        <v>1.1331150315617828</v>
      </c>
      <c r="AB11" s="256">
        <v>1.972851274573893E-3</v>
      </c>
      <c r="AC11" s="260">
        <v>5.8635014634831348</v>
      </c>
      <c r="AD11" s="405">
        <v>0</v>
      </c>
      <c r="AE11" s="257" t="s">
        <v>2397</v>
      </c>
      <c r="AF11" s="257" t="s">
        <v>2115</v>
      </c>
      <c r="AG11" s="261" t="s">
        <v>719</v>
      </c>
      <c r="AH11" s="261" t="s">
        <v>2113</v>
      </c>
      <c r="AI11" s="261">
        <v>1000</v>
      </c>
      <c r="AJ11" s="261">
        <v>1000</v>
      </c>
      <c r="AK11" s="261">
        <v>1000</v>
      </c>
      <c r="AL11" s="256">
        <v>5.0000000000000001E-3</v>
      </c>
      <c r="AM11" s="256" t="s">
        <v>34</v>
      </c>
      <c r="AN11" s="256" t="s">
        <v>2122</v>
      </c>
      <c r="AO11" s="254" t="s">
        <v>1324</v>
      </c>
      <c r="AP11" s="257" t="s">
        <v>11</v>
      </c>
      <c r="AQ11" s="263" t="s">
        <v>669</v>
      </c>
      <c r="AR11" s="256">
        <v>1.3333333333333333E-3</v>
      </c>
      <c r="AS11" s="256">
        <v>1.3333333333333333E-3</v>
      </c>
      <c r="AT11" s="256"/>
      <c r="AW11" s="508"/>
      <c r="AX11" s="509"/>
      <c r="AY11" s="509"/>
      <c r="AZ11" s="509"/>
      <c r="BA11" s="509"/>
      <c r="BB11" s="520"/>
      <c r="BC11" s="509"/>
      <c r="BD11" s="509"/>
      <c r="BE11" s="509"/>
      <c r="BF11" s="509"/>
      <c r="BG11" s="521"/>
      <c r="BH11" s="510"/>
      <c r="BI11" s="511"/>
      <c r="BJ11" s="511"/>
      <c r="BK11" s="511"/>
      <c r="BL11" s="195"/>
      <c r="BM11" s="510"/>
      <c r="BN11" s="510"/>
      <c r="BO11" s="510"/>
      <c r="BP11" s="510"/>
      <c r="BQ11" s="510"/>
      <c r="BR11" s="510"/>
      <c r="BS11" s="510"/>
      <c r="BT11" s="510"/>
      <c r="BU11" s="510"/>
      <c r="BV11" s="512"/>
      <c r="BW11" s="509"/>
    </row>
    <row r="12" spans="2:75" ht="15.75" customHeight="1">
      <c r="B12" s="250" t="s">
        <v>774</v>
      </c>
      <c r="C12" s="251">
        <v>17414721000140</v>
      </c>
      <c r="D12" s="252" t="s">
        <v>13</v>
      </c>
      <c r="E12" s="252" t="s">
        <v>615</v>
      </c>
      <c r="F12" s="252" t="s">
        <v>619</v>
      </c>
      <c r="G12" s="253" t="s">
        <v>34</v>
      </c>
      <c r="H12" s="253" t="s">
        <v>1338</v>
      </c>
      <c r="I12" s="253" t="s">
        <v>34</v>
      </c>
      <c r="J12" s="253" t="s">
        <v>611</v>
      </c>
      <c r="K12" s="254" t="s">
        <v>48</v>
      </c>
      <c r="L12" s="255" t="s">
        <v>715</v>
      </c>
      <c r="M12" s="255" t="s">
        <v>34</v>
      </c>
      <c r="N12" s="254">
        <v>398322</v>
      </c>
      <c r="O12" s="254" t="s">
        <v>1321</v>
      </c>
      <c r="P12" s="258">
        <v>42185</v>
      </c>
      <c r="Q12" s="259">
        <v>661506968.36000001</v>
      </c>
      <c r="R12" s="259">
        <v>982584435.49500024</v>
      </c>
      <c r="S12" s="254">
        <v>1</v>
      </c>
      <c r="T12" s="256">
        <v>3.5109595557475393E-2</v>
      </c>
      <c r="U12" s="256">
        <v>0.45386859451037587</v>
      </c>
      <c r="V12" s="256">
        <v>7.3740490366955846E-2</v>
      </c>
      <c r="W12" s="256">
        <v>0.72290337427633344</v>
      </c>
      <c r="X12" s="256">
        <v>0.18585994972311592</v>
      </c>
      <c r="Y12" s="256">
        <v>1.4094097621710591</v>
      </c>
      <c r="Z12" s="256">
        <v>0.33675104481463358</v>
      </c>
      <c r="AA12" s="256">
        <v>1.9142021094624655</v>
      </c>
      <c r="AB12" s="256">
        <v>8.396656442219938E-2</v>
      </c>
      <c r="AC12" s="260">
        <v>-0.26775139930335162</v>
      </c>
      <c r="AD12" s="405">
        <v>19736757000176</v>
      </c>
      <c r="AE12" s="257" t="s">
        <v>2152</v>
      </c>
      <c r="AF12" s="257" t="s">
        <v>2118</v>
      </c>
      <c r="AG12" s="261" t="s">
        <v>1433</v>
      </c>
      <c r="AH12" s="261" t="s">
        <v>2113</v>
      </c>
      <c r="AI12" s="261">
        <v>1000</v>
      </c>
      <c r="AJ12" s="261">
        <v>1000</v>
      </c>
      <c r="AK12" s="261">
        <v>1000</v>
      </c>
      <c r="AL12" s="519">
        <v>0.02</v>
      </c>
      <c r="AM12" s="519">
        <v>0.2</v>
      </c>
      <c r="AN12" s="256" t="s">
        <v>64</v>
      </c>
      <c r="AO12" s="254" t="s">
        <v>1324</v>
      </c>
      <c r="AP12" s="257" t="s">
        <v>13</v>
      </c>
      <c r="AQ12" s="263" t="s">
        <v>664</v>
      </c>
      <c r="AR12" s="256">
        <v>4.6666666666666662E-3</v>
      </c>
      <c r="AS12" s="256">
        <v>4.6666666666666662E-3</v>
      </c>
      <c r="AT12" s="256"/>
      <c r="AW12" s="508"/>
      <c r="AX12" s="509"/>
      <c r="AY12" s="509"/>
      <c r="AZ12" s="509"/>
      <c r="BA12" s="509"/>
      <c r="BB12" s="520"/>
      <c r="BC12" s="509"/>
      <c r="BD12" s="509"/>
      <c r="BE12" s="509"/>
      <c r="BF12" s="509"/>
      <c r="BG12" s="521"/>
      <c r="BH12" s="510"/>
      <c r="BI12" s="511"/>
      <c r="BJ12" s="511"/>
      <c r="BK12" s="511"/>
      <c r="BL12" s="195"/>
      <c r="BM12" s="510"/>
      <c r="BN12" s="510"/>
      <c r="BO12" s="510"/>
      <c r="BP12" s="510"/>
      <c r="BQ12" s="510"/>
      <c r="BR12" s="510"/>
      <c r="BS12" s="510"/>
      <c r="BT12" s="510"/>
      <c r="BU12" s="510"/>
      <c r="BV12" s="512"/>
      <c r="BW12" s="509"/>
    </row>
    <row r="13" spans="2:75" ht="15.75" customHeight="1">
      <c r="B13" s="250" t="s">
        <v>1309</v>
      </c>
      <c r="C13" s="251">
        <v>34687428000176</v>
      </c>
      <c r="D13" s="252" t="s">
        <v>11</v>
      </c>
      <c r="E13" s="252" t="s">
        <v>620</v>
      </c>
      <c r="F13" s="252" t="s">
        <v>619</v>
      </c>
      <c r="G13" s="253" t="s">
        <v>738</v>
      </c>
      <c r="H13" s="253" t="s">
        <v>34</v>
      </c>
      <c r="I13" s="253"/>
      <c r="J13" s="253" t="s">
        <v>608</v>
      </c>
      <c r="K13" s="254" t="s">
        <v>48</v>
      </c>
      <c r="L13" s="255" t="s">
        <v>715</v>
      </c>
      <c r="M13" s="255" t="s">
        <v>34</v>
      </c>
      <c r="N13" s="254">
        <v>609811</v>
      </c>
      <c r="O13" s="254" t="s">
        <v>1321</v>
      </c>
      <c r="P13" s="258">
        <v>44418</v>
      </c>
      <c r="Q13" s="259">
        <v>22899214.379999999</v>
      </c>
      <c r="R13" s="259">
        <v>12978369.529087299</v>
      </c>
      <c r="S13" s="254">
        <v>1</v>
      </c>
      <c r="T13" s="256">
        <v>8.0268317306418036E-2</v>
      </c>
      <c r="U13" s="256">
        <v>1.0376442047000463</v>
      </c>
      <c r="V13" s="256">
        <v>0.11599491139294194</v>
      </c>
      <c r="W13" s="256">
        <v>1.1371379879298686</v>
      </c>
      <c r="X13" s="256" t="s">
        <v>1417</v>
      </c>
      <c r="Y13" s="256" t="s">
        <v>1417</v>
      </c>
      <c r="Z13" s="256" t="s">
        <v>1417</v>
      </c>
      <c r="AA13" s="256" t="s">
        <v>1417</v>
      </c>
      <c r="AB13" s="256">
        <v>6.4020570125582791E-3</v>
      </c>
      <c r="AC13" s="260">
        <v>1.9741355797715145</v>
      </c>
      <c r="AD13" s="405">
        <v>34687399000142</v>
      </c>
      <c r="AE13" s="257" t="s">
        <v>2434</v>
      </c>
      <c r="AF13" s="257" t="s">
        <v>2112</v>
      </c>
      <c r="AG13" s="261" t="s">
        <v>59</v>
      </c>
      <c r="AH13" s="261" t="s">
        <v>2113</v>
      </c>
      <c r="AI13" s="261">
        <v>1000</v>
      </c>
      <c r="AJ13" s="261">
        <v>1000</v>
      </c>
      <c r="AK13" s="261">
        <v>1000</v>
      </c>
      <c r="AL13" s="256">
        <v>8.0000000000000002E-3</v>
      </c>
      <c r="AM13" s="256">
        <v>0.2</v>
      </c>
      <c r="AN13" s="256" t="s">
        <v>64</v>
      </c>
      <c r="AO13" s="254" t="s">
        <v>1324</v>
      </c>
      <c r="AP13" s="257" t="s">
        <v>11</v>
      </c>
      <c r="AQ13" s="263" t="s">
        <v>675</v>
      </c>
      <c r="AR13" s="256">
        <v>1.6000000000000001E-3</v>
      </c>
      <c r="AS13" s="256">
        <v>1.6000000000000001E-3</v>
      </c>
      <c r="AT13" s="256"/>
      <c r="AW13" s="508"/>
      <c r="AX13" s="509"/>
      <c r="AY13" s="509"/>
      <c r="AZ13" s="509"/>
      <c r="BA13" s="509"/>
      <c r="BB13" s="520"/>
      <c r="BC13" s="509"/>
      <c r="BD13" s="509"/>
      <c r="BE13" s="509"/>
      <c r="BF13" s="509"/>
      <c r="BG13" s="521"/>
      <c r="BH13" s="510"/>
      <c r="BI13" s="511"/>
      <c r="BJ13" s="511"/>
      <c r="BK13" s="511"/>
      <c r="BL13" s="195"/>
      <c r="BM13" s="510"/>
      <c r="BN13" s="510"/>
      <c r="BO13" s="510"/>
      <c r="BP13" s="510"/>
      <c r="BQ13" s="510"/>
      <c r="BR13" s="510"/>
      <c r="BS13" s="510"/>
      <c r="BT13" s="510"/>
      <c r="BU13" s="510"/>
      <c r="BV13" s="512"/>
      <c r="BW13" s="509"/>
    </row>
    <row r="14" spans="2:75" ht="15.75" customHeight="1">
      <c r="B14" s="250" t="s">
        <v>439</v>
      </c>
      <c r="C14" s="251">
        <v>17453850000148</v>
      </c>
      <c r="D14" s="252" t="s">
        <v>14</v>
      </c>
      <c r="E14" s="252" t="s">
        <v>607</v>
      </c>
      <c r="F14" s="252" t="s">
        <v>672</v>
      </c>
      <c r="G14" s="253"/>
      <c r="H14" s="253" t="s">
        <v>34</v>
      </c>
      <c r="I14" s="253" t="s">
        <v>34</v>
      </c>
      <c r="J14" s="253" t="s">
        <v>690</v>
      </c>
      <c r="K14" s="254" t="s">
        <v>48</v>
      </c>
      <c r="L14" s="255" t="s">
        <v>715</v>
      </c>
      <c r="M14" s="255" t="s">
        <v>1414</v>
      </c>
      <c r="N14" s="254">
        <v>337031</v>
      </c>
      <c r="O14" s="254" t="s">
        <v>1321</v>
      </c>
      <c r="P14" s="258">
        <v>41394</v>
      </c>
      <c r="Q14" s="259">
        <v>1230075683.8699999</v>
      </c>
      <c r="R14" s="259">
        <v>1976958859.554683</v>
      </c>
      <c r="S14" s="254">
        <v>1</v>
      </c>
      <c r="T14" s="256">
        <v>-0.1219041501272069</v>
      </c>
      <c r="U14" s="256">
        <v>-1.5758787421131926</v>
      </c>
      <c r="V14" s="256">
        <v>-5.344639927797501E-2</v>
      </c>
      <c r="W14" s="256">
        <v>-0.52395342353570684</v>
      </c>
      <c r="X14" s="256">
        <v>0.22887896919053441</v>
      </c>
      <c r="Y14" s="256">
        <v>1.7356308016512261</v>
      </c>
      <c r="Z14" s="256">
        <v>0.45032697502697716</v>
      </c>
      <c r="AA14" s="256">
        <v>2.5598045167728953</v>
      </c>
      <c r="AB14" s="256">
        <v>0.21028798327972964</v>
      </c>
      <c r="AC14" s="260">
        <v>-0.61804971106699913</v>
      </c>
      <c r="AD14" s="405">
        <v>0</v>
      </c>
      <c r="AE14" s="257" t="s">
        <v>2306</v>
      </c>
      <c r="AF14" s="257" t="s">
        <v>728</v>
      </c>
      <c r="AG14" s="261" t="s">
        <v>728</v>
      </c>
      <c r="AH14" s="261" t="s">
        <v>2113</v>
      </c>
      <c r="AI14" s="261">
        <v>1000</v>
      </c>
      <c r="AJ14" s="261">
        <v>100</v>
      </c>
      <c r="AK14" s="261">
        <v>500</v>
      </c>
      <c r="AL14" s="256">
        <v>0.01</v>
      </c>
      <c r="AM14" s="256" t="s">
        <v>34</v>
      </c>
      <c r="AN14" s="256" t="s">
        <v>2122</v>
      </c>
      <c r="AO14" s="254" t="s">
        <v>1324</v>
      </c>
      <c r="AP14" s="257" t="s">
        <v>13</v>
      </c>
      <c r="AQ14" s="263" t="s">
        <v>671</v>
      </c>
      <c r="AR14" s="256">
        <v>2.6666666666666666E-3</v>
      </c>
      <c r="AS14" s="256">
        <v>2.6666666666666666E-3</v>
      </c>
      <c r="AT14" s="256"/>
      <c r="AW14" s="508"/>
      <c r="AX14" s="509"/>
      <c r="AY14" s="509"/>
      <c r="AZ14" s="509"/>
      <c r="BA14" s="509"/>
      <c r="BB14" s="520"/>
      <c r="BC14" s="509"/>
      <c r="BD14" s="509"/>
      <c r="BE14" s="509"/>
      <c r="BF14" s="509"/>
      <c r="BG14" s="521"/>
      <c r="BH14" s="510"/>
      <c r="BI14" s="511"/>
      <c r="BJ14" s="511"/>
      <c r="BK14" s="511"/>
      <c r="BL14" s="195"/>
      <c r="BM14" s="510"/>
      <c r="BN14" s="510"/>
      <c r="BO14" s="510"/>
      <c r="BP14" s="510"/>
      <c r="BQ14" s="510"/>
      <c r="BR14" s="510"/>
      <c r="BS14" s="510"/>
      <c r="BT14" s="510"/>
      <c r="BU14" s="510"/>
      <c r="BV14" s="512"/>
      <c r="BW14" s="509"/>
    </row>
    <row r="15" spans="2:75" ht="15.75" customHeight="1">
      <c r="B15" s="250" t="s">
        <v>37</v>
      </c>
      <c r="C15" s="251">
        <v>13396703000122</v>
      </c>
      <c r="D15" s="252" t="s">
        <v>11</v>
      </c>
      <c r="E15" s="252" t="s">
        <v>621</v>
      </c>
      <c r="F15" s="252" t="s">
        <v>672</v>
      </c>
      <c r="G15" s="253" t="s">
        <v>738</v>
      </c>
      <c r="H15" s="253" t="s">
        <v>34</v>
      </c>
      <c r="I15" s="253" t="s">
        <v>34</v>
      </c>
      <c r="J15" s="253" t="s">
        <v>608</v>
      </c>
      <c r="K15" s="254" t="s">
        <v>48</v>
      </c>
      <c r="L15" s="255" t="s">
        <v>715</v>
      </c>
      <c r="M15" s="255" t="s">
        <v>34</v>
      </c>
      <c r="N15" s="254">
        <v>311278</v>
      </c>
      <c r="O15" s="254" t="s">
        <v>1321</v>
      </c>
      <c r="P15" s="258">
        <v>41142</v>
      </c>
      <c r="Q15" s="259">
        <v>2023726070.8499999</v>
      </c>
      <c r="R15" s="259">
        <v>2483733210.6395621</v>
      </c>
      <c r="S15" s="254">
        <v>2</v>
      </c>
      <c r="T15" s="256">
        <v>7.4992616780038324E-2</v>
      </c>
      <c r="U15" s="256">
        <v>0.96944419427708983</v>
      </c>
      <c r="V15" s="256">
        <v>9.3539653710952519E-2</v>
      </c>
      <c r="W15" s="256">
        <v>0.91700137820874683</v>
      </c>
      <c r="X15" s="256">
        <v>0.13764839675328577</v>
      </c>
      <c r="Y15" s="256">
        <v>1.0438127978636129</v>
      </c>
      <c r="Z15" s="256">
        <v>0.24231147611932013</v>
      </c>
      <c r="AA15" s="256">
        <v>1.3773769847986244</v>
      </c>
      <c r="AB15" s="256">
        <v>2.0366033438050154E-2</v>
      </c>
      <c r="AC15" s="260">
        <v>-0.36874192426959679</v>
      </c>
      <c r="AD15" s="405">
        <v>0</v>
      </c>
      <c r="AE15" s="257" t="s">
        <v>2432</v>
      </c>
      <c r="AF15" s="257" t="s">
        <v>2115</v>
      </c>
      <c r="AG15" s="261" t="s">
        <v>719</v>
      </c>
      <c r="AH15" s="261" t="s">
        <v>2113</v>
      </c>
      <c r="AI15" s="261">
        <v>500</v>
      </c>
      <c r="AJ15" s="261">
        <v>0</v>
      </c>
      <c r="AK15" s="261">
        <v>500</v>
      </c>
      <c r="AL15" s="256">
        <v>9.5999999999999992E-3</v>
      </c>
      <c r="AM15" s="256">
        <v>0.2</v>
      </c>
      <c r="AN15" s="256" t="s">
        <v>635</v>
      </c>
      <c r="AO15" s="254" t="s">
        <v>1324</v>
      </c>
      <c r="AP15" s="257" t="s">
        <v>13</v>
      </c>
      <c r="AQ15" s="263" t="s">
        <v>688</v>
      </c>
      <c r="AR15" s="256">
        <v>2.8799999999999997E-3</v>
      </c>
      <c r="AS15" s="256">
        <v>2.8799999999999997E-3</v>
      </c>
      <c r="AT15" s="256"/>
      <c r="AW15" s="508"/>
      <c r="AX15" s="509"/>
      <c r="AY15" s="509"/>
      <c r="AZ15" s="509"/>
      <c r="BA15" s="509"/>
      <c r="BB15" s="520"/>
      <c r="BC15" s="509"/>
      <c r="BD15" s="509"/>
      <c r="BE15" s="509"/>
      <c r="BF15" s="509"/>
      <c r="BG15" s="521"/>
      <c r="BH15" s="510"/>
      <c r="BI15" s="511"/>
      <c r="BJ15" s="511"/>
      <c r="BK15" s="511"/>
      <c r="BL15" s="195"/>
      <c r="BM15" s="510"/>
      <c r="BN15" s="510"/>
      <c r="BO15" s="510"/>
      <c r="BP15" s="510"/>
      <c r="BQ15" s="510"/>
      <c r="BR15" s="510"/>
      <c r="BS15" s="510"/>
      <c r="BT15" s="510"/>
      <c r="BU15" s="510"/>
      <c r="BV15" s="512"/>
      <c r="BW15" s="509"/>
    </row>
    <row r="16" spans="2:75" ht="15.75" customHeight="1">
      <c r="B16" s="250" t="s">
        <v>93</v>
      </c>
      <c r="C16" s="251">
        <v>3168062000103</v>
      </c>
      <c r="D16" s="252" t="s">
        <v>14</v>
      </c>
      <c r="E16" s="252" t="s">
        <v>607</v>
      </c>
      <c r="F16" s="252"/>
      <c r="G16" s="253"/>
      <c r="H16" s="253" t="s">
        <v>34</v>
      </c>
      <c r="I16" s="253" t="s">
        <v>34</v>
      </c>
      <c r="J16" s="253" t="s">
        <v>608</v>
      </c>
      <c r="K16" s="254" t="s">
        <v>48</v>
      </c>
      <c r="L16" s="255" t="s">
        <v>715</v>
      </c>
      <c r="M16" s="255" t="s">
        <v>34</v>
      </c>
      <c r="N16" s="254">
        <v>67229</v>
      </c>
      <c r="O16" s="254" t="s">
        <v>1321</v>
      </c>
      <c r="P16" s="258">
        <v>36328</v>
      </c>
      <c r="Q16" s="259">
        <v>544835935.88</v>
      </c>
      <c r="R16" s="259">
        <v>597186873.72575402</v>
      </c>
      <c r="S16" s="254">
        <v>3</v>
      </c>
      <c r="T16" s="256">
        <v>3.4030528786184178E-3</v>
      </c>
      <c r="U16" s="256">
        <v>4.3991928774416572E-2</v>
      </c>
      <c r="V16" s="256">
        <v>-6.9944204029407042E-2</v>
      </c>
      <c r="W16" s="256">
        <v>-0.68568707439174581</v>
      </c>
      <c r="X16" s="256">
        <v>2.362322496287228E-2</v>
      </c>
      <c r="Y16" s="256">
        <v>0.17913920630149766</v>
      </c>
      <c r="Z16" s="256">
        <v>0.15108691691999154</v>
      </c>
      <c r="AA16" s="256">
        <v>0.85882701637830339</v>
      </c>
      <c r="AB16" s="256">
        <v>0.19728470930678341</v>
      </c>
      <c r="AC16" s="260">
        <v>-0.76136878695467058</v>
      </c>
      <c r="AD16" s="405">
        <v>36352662000178</v>
      </c>
      <c r="AE16" s="257" t="s">
        <v>2152</v>
      </c>
      <c r="AF16" s="257" t="s">
        <v>2118</v>
      </c>
      <c r="AG16" s="261" t="s">
        <v>1433</v>
      </c>
      <c r="AH16" s="261" t="s">
        <v>2113</v>
      </c>
      <c r="AI16" s="261">
        <v>5000</v>
      </c>
      <c r="AJ16" s="261">
        <v>1000</v>
      </c>
      <c r="AK16" s="261">
        <v>1000</v>
      </c>
      <c r="AL16" s="519">
        <v>2.9350000000000001E-2</v>
      </c>
      <c r="AM16" s="519" t="s">
        <v>34</v>
      </c>
      <c r="AN16" s="256" t="s">
        <v>2127</v>
      </c>
      <c r="AO16" s="254" t="s">
        <v>1324</v>
      </c>
      <c r="AP16" s="257" t="s">
        <v>716</v>
      </c>
      <c r="AQ16" s="263" t="s">
        <v>667</v>
      </c>
      <c r="AR16" s="256">
        <v>7.4999999999999997E-3</v>
      </c>
      <c r="AS16" s="256">
        <v>7.4999999999999997E-3</v>
      </c>
      <c r="AT16" s="256"/>
      <c r="AW16" s="508"/>
      <c r="AX16" s="509"/>
      <c r="AY16" s="509"/>
      <c r="AZ16" s="509"/>
      <c r="BA16" s="509"/>
      <c r="BB16" s="520"/>
      <c r="BC16" s="509"/>
      <c r="BD16" s="509"/>
      <c r="BE16" s="509"/>
      <c r="BF16" s="509"/>
      <c r="BG16" s="521"/>
      <c r="BH16" s="510"/>
      <c r="BI16" s="511"/>
      <c r="BJ16" s="511"/>
      <c r="BK16" s="511"/>
      <c r="BL16" s="195"/>
      <c r="BM16" s="510"/>
      <c r="BN16" s="510"/>
      <c r="BO16" s="510"/>
      <c r="BP16" s="510"/>
      <c r="BQ16" s="510"/>
      <c r="BR16" s="510"/>
      <c r="BS16" s="510"/>
      <c r="BT16" s="510"/>
      <c r="BU16" s="510"/>
      <c r="BV16" s="512"/>
      <c r="BW16" s="509"/>
    </row>
    <row r="17" spans="2:75" ht="15.75" customHeight="1">
      <c r="B17" s="250" t="s">
        <v>647</v>
      </c>
      <c r="C17" s="251">
        <v>28470590000135</v>
      </c>
      <c r="D17" s="252" t="s">
        <v>14</v>
      </c>
      <c r="E17" s="252" t="s">
        <v>614</v>
      </c>
      <c r="F17" s="252" t="s">
        <v>689</v>
      </c>
      <c r="G17" s="253"/>
      <c r="H17" s="253" t="s">
        <v>865</v>
      </c>
      <c r="I17" s="253" t="s">
        <v>34</v>
      </c>
      <c r="J17" s="253" t="s">
        <v>608</v>
      </c>
      <c r="K17" s="254" t="s">
        <v>48</v>
      </c>
      <c r="L17" s="255" t="s">
        <v>715</v>
      </c>
      <c r="M17" s="255" t="s">
        <v>34</v>
      </c>
      <c r="N17" s="254">
        <v>449822</v>
      </c>
      <c r="O17" s="254" t="s">
        <v>1321</v>
      </c>
      <c r="P17" s="258">
        <v>43003</v>
      </c>
      <c r="Q17" s="259">
        <v>54984706.829999998</v>
      </c>
      <c r="R17" s="259">
        <v>79846083.067063421</v>
      </c>
      <c r="S17" s="254">
        <v>10</v>
      </c>
      <c r="T17" s="256">
        <v>-2.124278245270228E-2</v>
      </c>
      <c r="U17" s="256">
        <v>-0.27460959496142201</v>
      </c>
      <c r="V17" s="256">
        <v>-2.625511244208889E-2</v>
      </c>
      <c r="W17" s="256">
        <v>-0.25738789207856649</v>
      </c>
      <c r="X17" s="256">
        <v>0.12199126537318827</v>
      </c>
      <c r="Y17" s="256">
        <v>0.92508192632523734</v>
      </c>
      <c r="Z17" s="256">
        <v>0.47862135858837784</v>
      </c>
      <c r="AA17" s="256">
        <v>2.7206389656429399</v>
      </c>
      <c r="AB17" s="256">
        <v>0.15989963080834707</v>
      </c>
      <c r="AC17" s="260">
        <v>-0.69406412793587258</v>
      </c>
      <c r="AD17" s="405">
        <v>0</v>
      </c>
      <c r="AE17" s="257" t="s">
        <v>2253</v>
      </c>
      <c r="AF17" s="257" t="s">
        <v>2109</v>
      </c>
      <c r="AG17" s="261" t="s">
        <v>1432</v>
      </c>
      <c r="AH17" s="261" t="s">
        <v>2113</v>
      </c>
      <c r="AI17" s="261">
        <v>1000</v>
      </c>
      <c r="AJ17" s="261">
        <v>300</v>
      </c>
      <c r="AK17" s="261">
        <v>1000</v>
      </c>
      <c r="AL17" s="256">
        <v>1.4999999999999999E-2</v>
      </c>
      <c r="AM17" s="256">
        <v>0.25</v>
      </c>
      <c r="AN17" s="256" t="s">
        <v>34</v>
      </c>
      <c r="AO17" s="254" t="s">
        <v>1324</v>
      </c>
      <c r="AP17" s="257" t="s">
        <v>13</v>
      </c>
      <c r="AQ17" s="263" t="s">
        <v>668</v>
      </c>
      <c r="AR17" s="256">
        <v>4.0000000000000001E-3</v>
      </c>
      <c r="AS17" s="256">
        <v>4.0000000000000001E-3</v>
      </c>
      <c r="AT17" s="256"/>
      <c r="AW17" s="508"/>
      <c r="AX17" s="509"/>
      <c r="AY17" s="509"/>
      <c r="AZ17" s="509"/>
      <c r="BA17" s="509"/>
      <c r="BB17" s="520"/>
      <c r="BC17" s="509"/>
      <c r="BD17" s="509"/>
      <c r="BE17" s="509"/>
      <c r="BF17" s="509"/>
      <c r="BG17" s="521"/>
      <c r="BH17" s="510"/>
      <c r="BI17" s="511"/>
      <c r="BJ17" s="511"/>
      <c r="BK17" s="511"/>
      <c r="BL17" s="195"/>
      <c r="BM17" s="510"/>
      <c r="BN17" s="510"/>
      <c r="BO17" s="510"/>
      <c r="BP17" s="510"/>
      <c r="BQ17" s="510"/>
      <c r="BR17" s="510"/>
      <c r="BS17" s="510"/>
      <c r="BT17" s="510"/>
      <c r="BU17" s="510"/>
      <c r="BV17" s="512"/>
      <c r="BW17" s="509"/>
    </row>
    <row r="18" spans="2:75" ht="15.75" customHeight="1">
      <c r="B18" s="250" t="s">
        <v>583</v>
      </c>
      <c r="C18" s="251">
        <v>37994000000164</v>
      </c>
      <c r="D18" s="252" t="s">
        <v>14</v>
      </c>
      <c r="E18" s="252" t="s">
        <v>607</v>
      </c>
      <c r="F18" s="252"/>
      <c r="G18" s="253" t="s">
        <v>866</v>
      </c>
      <c r="H18" s="253" t="s">
        <v>34</v>
      </c>
      <c r="I18" s="253" t="s">
        <v>34</v>
      </c>
      <c r="J18" s="253" t="s">
        <v>611</v>
      </c>
      <c r="K18" s="254" t="s">
        <v>49</v>
      </c>
      <c r="L18" s="255" t="s">
        <v>715</v>
      </c>
      <c r="M18" s="255" t="s">
        <v>1414</v>
      </c>
      <c r="N18" s="254">
        <v>570621</v>
      </c>
      <c r="O18" s="254" t="s">
        <v>1321</v>
      </c>
      <c r="P18" s="258">
        <v>44179</v>
      </c>
      <c r="Q18" s="259">
        <v>5884699.5</v>
      </c>
      <c r="R18" s="259">
        <v>7231722.379047622</v>
      </c>
      <c r="S18" s="254">
        <v>10</v>
      </c>
      <c r="T18" s="256">
        <v>-0.35489018015203577</v>
      </c>
      <c r="U18" s="256">
        <v>-4.5877346267762249</v>
      </c>
      <c r="V18" s="256">
        <v>-0.35167435532985059</v>
      </c>
      <c r="W18" s="256">
        <v>-3.4475845881861096</v>
      </c>
      <c r="X18" s="256" t="s">
        <v>1417</v>
      </c>
      <c r="Y18" s="256" t="s">
        <v>1417</v>
      </c>
      <c r="Z18" s="256" t="s">
        <v>1417</v>
      </c>
      <c r="AA18" s="256" t="s">
        <v>1417</v>
      </c>
      <c r="AB18" s="256">
        <v>0.33550422779727762</v>
      </c>
      <c r="AC18" s="260">
        <v>-1.4132226810707222</v>
      </c>
      <c r="AD18" s="405">
        <v>0</v>
      </c>
      <c r="AE18" s="257" t="s">
        <v>2338</v>
      </c>
      <c r="AF18" s="257" t="s">
        <v>741</v>
      </c>
      <c r="AG18" s="261" t="s">
        <v>741</v>
      </c>
      <c r="AH18" s="261" t="s">
        <v>2110</v>
      </c>
      <c r="AI18" s="261">
        <v>1000</v>
      </c>
      <c r="AJ18" s="261">
        <v>1000</v>
      </c>
      <c r="AK18" s="261">
        <v>1000</v>
      </c>
      <c r="AL18" s="256">
        <v>0.02</v>
      </c>
      <c r="AM18" s="256">
        <v>0.2</v>
      </c>
      <c r="AN18" s="256" t="s">
        <v>2122</v>
      </c>
      <c r="AO18" s="254" t="s">
        <v>1324</v>
      </c>
      <c r="AP18" s="257" t="s">
        <v>716</v>
      </c>
      <c r="AQ18" s="263" t="s">
        <v>687</v>
      </c>
      <c r="AR18" s="256">
        <v>5.0000000000000001E-4</v>
      </c>
      <c r="AS18" s="256">
        <v>5.0000000000000001E-4</v>
      </c>
      <c r="AT18" s="256"/>
      <c r="AW18" s="508"/>
      <c r="AX18" s="509"/>
      <c r="AY18" s="509"/>
      <c r="AZ18" s="509"/>
      <c r="BA18" s="509"/>
      <c r="BB18" s="520"/>
      <c r="BC18" s="509"/>
      <c r="BD18" s="509"/>
      <c r="BE18" s="509"/>
      <c r="BF18" s="509"/>
      <c r="BG18" s="521"/>
      <c r="BH18" s="510"/>
      <c r="BI18" s="511"/>
      <c r="BJ18" s="511"/>
      <c r="BK18" s="511"/>
      <c r="BL18" s="195"/>
      <c r="BM18" s="510"/>
      <c r="BN18" s="510"/>
      <c r="BO18" s="510"/>
      <c r="BP18" s="510"/>
      <c r="BQ18" s="510"/>
      <c r="BR18" s="510"/>
      <c r="BS18" s="510"/>
      <c r="BT18" s="510"/>
      <c r="BU18" s="510"/>
      <c r="BV18" s="512"/>
      <c r="BW18" s="509"/>
    </row>
    <row r="19" spans="2:75" ht="15.75" customHeight="1">
      <c r="B19" s="250" t="s">
        <v>650</v>
      </c>
      <c r="C19" s="251">
        <v>18772290000157</v>
      </c>
      <c r="D19" s="252" t="s">
        <v>13</v>
      </c>
      <c r="E19" s="252" t="s">
        <v>616</v>
      </c>
      <c r="F19" s="252" t="s">
        <v>617</v>
      </c>
      <c r="G19" s="253" t="s">
        <v>34</v>
      </c>
      <c r="H19" s="253" t="s">
        <v>1337</v>
      </c>
      <c r="I19" s="253" t="s">
        <v>34</v>
      </c>
      <c r="J19" s="253" t="s">
        <v>608</v>
      </c>
      <c r="K19" s="254" t="s">
        <v>48</v>
      </c>
      <c r="L19" s="255" t="s">
        <v>715</v>
      </c>
      <c r="M19" s="255" t="s">
        <v>34</v>
      </c>
      <c r="N19" s="254">
        <v>355208</v>
      </c>
      <c r="O19" s="254" t="s">
        <v>1321</v>
      </c>
      <c r="P19" s="258">
        <v>41577</v>
      </c>
      <c r="Q19" s="259">
        <v>488796415.63999999</v>
      </c>
      <c r="R19" s="259">
        <v>559371937.86714268</v>
      </c>
      <c r="S19" s="254">
        <v>15</v>
      </c>
      <c r="T19" s="256">
        <v>9.217874383893121E-2</v>
      </c>
      <c r="U19" s="256">
        <v>1.1916126131791884</v>
      </c>
      <c r="V19" s="256">
        <v>0.10320133650430896</v>
      </c>
      <c r="W19" s="256">
        <v>1.0117181756933864</v>
      </c>
      <c r="X19" s="256">
        <v>0.18088648159287013</v>
      </c>
      <c r="Y19" s="256">
        <v>1.3716950498564497</v>
      </c>
      <c r="Z19" s="256">
        <v>0.30731837553242713</v>
      </c>
      <c r="AA19" s="256">
        <v>1.7468972755364909</v>
      </c>
      <c r="AB19" s="256">
        <v>4.874684630137259E-2</v>
      </c>
      <c r="AC19" s="260">
        <v>4.6490018234214871E-2</v>
      </c>
      <c r="AD19" s="405">
        <v>18816393000171</v>
      </c>
      <c r="AE19" s="257" t="s">
        <v>2395</v>
      </c>
      <c r="AF19" s="257" t="s">
        <v>2115</v>
      </c>
      <c r="AG19" s="261" t="s">
        <v>719</v>
      </c>
      <c r="AH19" s="261" t="s">
        <v>2113</v>
      </c>
      <c r="AI19" s="261">
        <v>10000</v>
      </c>
      <c r="AJ19" s="261">
        <v>5000</v>
      </c>
      <c r="AK19" s="261">
        <v>10000</v>
      </c>
      <c r="AL19" s="256">
        <v>1.8500000000000003E-2</v>
      </c>
      <c r="AM19" s="256">
        <v>0.2</v>
      </c>
      <c r="AN19" s="256" t="s">
        <v>64</v>
      </c>
      <c r="AO19" s="254" t="s">
        <v>1324</v>
      </c>
      <c r="AP19" s="257" t="s">
        <v>13</v>
      </c>
      <c r="AQ19" s="263" t="s">
        <v>674</v>
      </c>
      <c r="AR19" s="256">
        <v>4.6249999999999998E-3</v>
      </c>
      <c r="AS19" s="256">
        <v>4.6249999999999998E-3</v>
      </c>
      <c r="AT19" s="256"/>
      <c r="AW19" s="508"/>
      <c r="AX19" s="509"/>
      <c r="AY19" s="509"/>
      <c r="AZ19" s="509"/>
      <c r="BA19" s="509"/>
      <c r="BB19" s="520"/>
      <c r="BC19" s="509"/>
      <c r="BD19" s="509"/>
      <c r="BE19" s="509"/>
      <c r="BF19" s="509"/>
      <c r="BG19" s="521"/>
      <c r="BH19" s="510"/>
      <c r="BI19" s="511"/>
      <c r="BJ19" s="511"/>
      <c r="BK19" s="511"/>
      <c r="BL19" s="195"/>
      <c r="BM19" s="510"/>
      <c r="BN19" s="510"/>
      <c r="BO19" s="510"/>
      <c r="BP19" s="510"/>
      <c r="BQ19" s="510"/>
      <c r="BR19" s="510"/>
      <c r="BS19" s="510"/>
      <c r="BT19" s="510"/>
      <c r="BU19" s="510"/>
      <c r="BV19" s="512"/>
      <c r="BW19" s="509"/>
    </row>
    <row r="20" spans="2:75" ht="15.75" customHeight="1">
      <c r="B20" s="250" t="s">
        <v>1145</v>
      </c>
      <c r="C20" s="251">
        <v>27928186000108</v>
      </c>
      <c r="D20" s="252" t="s">
        <v>13</v>
      </c>
      <c r="E20" s="252" t="s">
        <v>615</v>
      </c>
      <c r="F20" s="252" t="s">
        <v>619</v>
      </c>
      <c r="G20" s="253" t="s">
        <v>34</v>
      </c>
      <c r="H20" s="253" t="s">
        <v>1337</v>
      </c>
      <c r="I20" s="253" t="s">
        <v>34</v>
      </c>
      <c r="J20" s="253" t="s">
        <v>608</v>
      </c>
      <c r="K20" s="254" t="s">
        <v>48</v>
      </c>
      <c r="L20" s="255" t="s">
        <v>715</v>
      </c>
      <c r="M20" s="255" t="s">
        <v>34</v>
      </c>
      <c r="N20" s="254">
        <v>447511</v>
      </c>
      <c r="O20" s="254" t="s">
        <v>1321</v>
      </c>
      <c r="P20" s="258">
        <v>42963</v>
      </c>
      <c r="Q20" s="259">
        <v>292085640.13999999</v>
      </c>
      <c r="R20" s="259">
        <v>173111909.08785719</v>
      </c>
      <c r="S20" s="254">
        <v>15</v>
      </c>
      <c r="T20" s="256">
        <v>0.13086673661247539</v>
      </c>
      <c r="U20" s="256">
        <v>1.6917398469381495</v>
      </c>
      <c r="V20" s="256">
        <v>0.1445818034577242</v>
      </c>
      <c r="W20" s="256">
        <v>1.4173851171646503</v>
      </c>
      <c r="X20" s="256">
        <v>0.23661111741096308</v>
      </c>
      <c r="Y20" s="256">
        <v>1.7942650862330343</v>
      </c>
      <c r="Z20" s="256">
        <v>0.44224613648684175</v>
      </c>
      <c r="AA20" s="256">
        <v>2.5138704107977605</v>
      </c>
      <c r="AB20" s="256">
        <v>2.7304138096099176E-2</v>
      </c>
      <c r="AC20" s="260">
        <v>1.4025192410855862</v>
      </c>
      <c r="AD20" s="405">
        <v>0</v>
      </c>
      <c r="AE20" s="257" t="s">
        <v>2369</v>
      </c>
      <c r="AF20" s="257" t="s">
        <v>2112</v>
      </c>
      <c r="AG20" s="261" t="s">
        <v>59</v>
      </c>
      <c r="AH20" s="261" t="s">
        <v>2113</v>
      </c>
      <c r="AI20" s="261">
        <v>1000</v>
      </c>
      <c r="AJ20" s="261">
        <v>1000</v>
      </c>
      <c r="AK20" s="261">
        <v>1000</v>
      </c>
      <c r="AL20" s="256">
        <v>1.8000000000000002E-2</v>
      </c>
      <c r="AM20" s="256">
        <v>0.2</v>
      </c>
      <c r="AN20" s="256" t="s">
        <v>64</v>
      </c>
      <c r="AO20" s="254" t="s">
        <v>1324</v>
      </c>
      <c r="AP20" s="257" t="s">
        <v>13</v>
      </c>
      <c r="AQ20" s="263" t="s">
        <v>671</v>
      </c>
      <c r="AR20" s="256">
        <v>5.0003999999999995E-3</v>
      </c>
      <c r="AS20" s="256">
        <v>5.0003999999999995E-3</v>
      </c>
      <c r="AT20" s="256"/>
      <c r="AW20" s="508"/>
      <c r="AX20" s="509"/>
      <c r="AY20" s="509"/>
      <c r="AZ20" s="509"/>
      <c r="BA20" s="509"/>
      <c r="BB20" s="520"/>
      <c r="BC20" s="509"/>
      <c r="BD20" s="509"/>
      <c r="BE20" s="509"/>
      <c r="BF20" s="509"/>
      <c r="BG20" s="521"/>
      <c r="BH20" s="510"/>
      <c r="BI20" s="511"/>
      <c r="BJ20" s="511"/>
      <c r="BK20" s="511"/>
      <c r="BL20" s="195"/>
      <c r="BM20" s="510"/>
      <c r="BN20" s="510"/>
      <c r="BO20" s="510"/>
      <c r="BP20" s="510"/>
      <c r="BQ20" s="510"/>
      <c r="BR20" s="510"/>
      <c r="BS20" s="510"/>
      <c r="BT20" s="510"/>
      <c r="BU20" s="510"/>
      <c r="BV20" s="512"/>
      <c r="BW20" s="509"/>
    </row>
    <row r="21" spans="2:75" ht="15.75" customHeight="1">
      <c r="B21" s="250" t="s">
        <v>293</v>
      </c>
      <c r="C21" s="251">
        <v>20658576000158</v>
      </c>
      <c r="D21" s="252" t="s">
        <v>14</v>
      </c>
      <c r="E21" s="252" t="s">
        <v>607</v>
      </c>
      <c r="F21" s="252"/>
      <c r="G21" s="253"/>
      <c r="H21" s="253" t="s">
        <v>34</v>
      </c>
      <c r="I21" s="253" t="s">
        <v>34</v>
      </c>
      <c r="J21" s="253" t="s">
        <v>608</v>
      </c>
      <c r="K21" s="254" t="s">
        <v>48</v>
      </c>
      <c r="L21" s="255" t="s">
        <v>715</v>
      </c>
      <c r="M21" s="255" t="s">
        <v>34</v>
      </c>
      <c r="N21" s="254">
        <v>395511</v>
      </c>
      <c r="O21" s="254" t="s">
        <v>1321</v>
      </c>
      <c r="P21" s="258">
        <v>41855</v>
      </c>
      <c r="Q21" s="259">
        <v>934898071.36000001</v>
      </c>
      <c r="R21" s="259">
        <v>1278109611.4088881</v>
      </c>
      <c r="S21" s="254">
        <v>17</v>
      </c>
      <c r="T21" s="256">
        <v>4.2939526038896059E-2</v>
      </c>
      <c r="U21" s="256">
        <v>0.55508763410024364</v>
      </c>
      <c r="V21" s="256">
        <v>-5.1677470282806448E-2</v>
      </c>
      <c r="W21" s="256">
        <v>-0.50661200455274291</v>
      </c>
      <c r="X21" s="256">
        <v>-8.0093428225424979E-2</v>
      </c>
      <c r="Y21" s="256">
        <v>-0.6073630160496124</v>
      </c>
      <c r="Z21" s="256">
        <v>7.6363212421543425E-2</v>
      </c>
      <c r="AA21" s="256">
        <v>0.43407325546120096</v>
      </c>
      <c r="AB21" s="256">
        <v>0.26593467914721947</v>
      </c>
      <c r="AC21" s="260">
        <v>-0.43191818267897819</v>
      </c>
      <c r="AD21" s="405">
        <v>26491395000166</v>
      </c>
      <c r="AE21" s="257" t="s">
        <v>2326</v>
      </c>
      <c r="AF21" s="257" t="s">
        <v>2112</v>
      </c>
      <c r="AG21" s="261" t="s">
        <v>59</v>
      </c>
      <c r="AH21" s="261" t="s">
        <v>2113</v>
      </c>
      <c r="AI21" s="261">
        <v>1000</v>
      </c>
      <c r="AJ21" s="261">
        <v>500</v>
      </c>
      <c r="AK21" s="261">
        <v>1000</v>
      </c>
      <c r="AL21" s="256">
        <v>1.8500000000000003E-2</v>
      </c>
      <c r="AM21" s="256">
        <v>0.2</v>
      </c>
      <c r="AN21" s="256" t="s">
        <v>666</v>
      </c>
      <c r="AO21" s="254" t="s">
        <v>1324</v>
      </c>
      <c r="AP21" s="257" t="s">
        <v>716</v>
      </c>
      <c r="AQ21" s="263" t="s">
        <v>659</v>
      </c>
      <c r="AR21" s="256">
        <v>4.933333333333333E-3</v>
      </c>
      <c r="AS21" s="256">
        <v>4.933333333333333E-3</v>
      </c>
      <c r="AT21" s="256"/>
      <c r="AW21" s="508"/>
      <c r="AX21" s="509"/>
      <c r="AY21" s="509"/>
      <c r="AZ21" s="509"/>
      <c r="BA21" s="509"/>
      <c r="BB21" s="520"/>
      <c r="BC21" s="509"/>
      <c r="BD21" s="509"/>
      <c r="BE21" s="509"/>
      <c r="BF21" s="509"/>
      <c r="BG21" s="521"/>
      <c r="BH21" s="510"/>
      <c r="BI21" s="511"/>
      <c r="BJ21" s="511"/>
      <c r="BK21" s="511"/>
      <c r="BL21" s="195"/>
      <c r="BM21" s="510"/>
      <c r="BN21" s="510"/>
      <c r="BO21" s="510"/>
      <c r="BP21" s="510"/>
      <c r="BQ21" s="510"/>
      <c r="BR21" s="510"/>
      <c r="BS21" s="510"/>
      <c r="BT21" s="510"/>
      <c r="BU21" s="510"/>
      <c r="BV21" s="512"/>
      <c r="BW21" s="509"/>
    </row>
    <row r="22" spans="2:75" ht="15.75" customHeight="1">
      <c r="B22" s="250" t="s">
        <v>181</v>
      </c>
      <c r="C22" s="251">
        <v>34702572000134</v>
      </c>
      <c r="D22" s="252" t="s">
        <v>13</v>
      </c>
      <c r="E22" s="252" t="s">
        <v>616</v>
      </c>
      <c r="F22" s="252" t="s">
        <v>610</v>
      </c>
      <c r="G22" s="253" t="s">
        <v>34</v>
      </c>
      <c r="H22" s="253" t="s">
        <v>1338</v>
      </c>
      <c r="I22" s="253" t="s">
        <v>34</v>
      </c>
      <c r="J22" s="253" t="s">
        <v>611</v>
      </c>
      <c r="K22" s="254" t="s">
        <v>48</v>
      </c>
      <c r="L22" s="255" t="s">
        <v>715</v>
      </c>
      <c r="M22" s="255" t="s">
        <v>34</v>
      </c>
      <c r="N22" s="254">
        <v>530042</v>
      </c>
      <c r="O22" s="254" t="s">
        <v>1321</v>
      </c>
      <c r="P22" s="258">
        <v>43887</v>
      </c>
      <c r="Q22" s="259">
        <v>160338500.55000001</v>
      </c>
      <c r="R22" s="259">
        <v>110361540.92940481</v>
      </c>
      <c r="S22" s="254">
        <v>18</v>
      </c>
      <c r="T22" s="256">
        <v>9.2332971482482096E-2</v>
      </c>
      <c r="U22" s="256">
        <v>1.1936063440297333</v>
      </c>
      <c r="V22" s="256">
        <v>0.1816583617502463</v>
      </c>
      <c r="W22" s="256">
        <v>1.7808593626278741</v>
      </c>
      <c r="X22" s="256">
        <v>0.47422000030213551</v>
      </c>
      <c r="Y22" s="256">
        <v>3.5960964093571217</v>
      </c>
      <c r="Z22" s="256" t="s">
        <v>1417</v>
      </c>
      <c r="AA22" s="256" t="s">
        <v>1417</v>
      </c>
      <c r="AB22" s="256">
        <v>8.8774218113997064E-2</v>
      </c>
      <c r="AC22" s="260">
        <v>0.83069020759402035</v>
      </c>
      <c r="AD22" s="405">
        <v>41036284000153</v>
      </c>
      <c r="AE22" s="257" t="s">
        <v>2221</v>
      </c>
      <c r="AF22" s="257" t="s">
        <v>2118</v>
      </c>
      <c r="AG22" s="261" t="s">
        <v>1433</v>
      </c>
      <c r="AH22" s="261" t="s">
        <v>2110</v>
      </c>
      <c r="AI22" s="261">
        <v>10000</v>
      </c>
      <c r="AJ22" s="261">
        <v>1000</v>
      </c>
      <c r="AK22" s="261">
        <v>0</v>
      </c>
      <c r="AL22" s="256">
        <v>0.02</v>
      </c>
      <c r="AM22" s="256">
        <v>0.2</v>
      </c>
      <c r="AN22" s="256" t="s">
        <v>2127</v>
      </c>
      <c r="AO22" s="254" t="s">
        <v>1324</v>
      </c>
      <c r="AP22" s="257" t="s">
        <v>13</v>
      </c>
      <c r="AQ22" s="263" t="s">
        <v>668</v>
      </c>
      <c r="AR22" s="256">
        <v>4.0000000000000001E-3</v>
      </c>
      <c r="AS22" s="256">
        <v>4.0000000000000001E-3</v>
      </c>
      <c r="AT22" s="256"/>
      <c r="AW22" s="508"/>
      <c r="AX22" s="509"/>
      <c r="AY22" s="509"/>
      <c r="AZ22" s="509"/>
      <c r="BA22" s="509"/>
      <c r="BB22" s="520"/>
      <c r="BC22" s="509"/>
      <c r="BD22" s="509"/>
      <c r="BE22" s="509"/>
      <c r="BF22" s="509"/>
      <c r="BG22" s="521"/>
      <c r="BH22" s="510"/>
      <c r="BI22" s="511"/>
      <c r="BJ22" s="511"/>
      <c r="BK22" s="511"/>
      <c r="BL22" s="195"/>
      <c r="BM22" s="510"/>
      <c r="BN22" s="510"/>
      <c r="BO22" s="510"/>
      <c r="BP22" s="510"/>
      <c r="BQ22" s="510"/>
      <c r="BR22" s="510"/>
      <c r="BS22" s="510"/>
      <c r="BT22" s="510"/>
      <c r="BU22" s="510"/>
      <c r="BV22" s="512"/>
      <c r="BW22" s="509"/>
    </row>
    <row r="23" spans="2:75" ht="15.75" customHeight="1">
      <c r="B23" s="250" t="s">
        <v>1153</v>
      </c>
      <c r="C23" s="251">
        <v>10500884000105</v>
      </c>
      <c r="D23" s="252" t="s">
        <v>14</v>
      </c>
      <c r="E23" s="252" t="s">
        <v>607</v>
      </c>
      <c r="F23" s="252"/>
      <c r="G23" s="253"/>
      <c r="H23" s="253" t="s">
        <v>34</v>
      </c>
      <c r="I23" s="253" t="s">
        <v>34</v>
      </c>
      <c r="J23" s="253" t="s">
        <v>608</v>
      </c>
      <c r="K23" s="254" t="s">
        <v>48</v>
      </c>
      <c r="L23" s="255" t="s">
        <v>715</v>
      </c>
      <c r="M23" s="255" t="s">
        <v>34</v>
      </c>
      <c r="N23" s="254">
        <v>298761</v>
      </c>
      <c r="O23" s="254" t="s">
        <v>1321</v>
      </c>
      <c r="P23" s="258">
        <v>40949</v>
      </c>
      <c r="Q23" s="259">
        <v>1495688879.21</v>
      </c>
      <c r="R23" s="259">
        <v>1578962106.5321434</v>
      </c>
      <c r="S23" s="254">
        <v>29</v>
      </c>
      <c r="T23" s="256">
        <v>8.1465230817971301E-2</v>
      </c>
      <c r="U23" s="256">
        <v>1.053116939279112</v>
      </c>
      <c r="V23" s="256">
        <v>7.2723682335522621E-3</v>
      </c>
      <c r="W23" s="256">
        <v>7.1293525563138685E-2</v>
      </c>
      <c r="X23" s="256">
        <v>0.13115566943890888</v>
      </c>
      <c r="Y23" s="256">
        <v>0.9945772671662787</v>
      </c>
      <c r="Z23" s="256">
        <v>0.34129049214655716</v>
      </c>
      <c r="AA23" s="256">
        <v>1.9400057997326621</v>
      </c>
      <c r="AB23" s="256">
        <v>0.1976683044371278</v>
      </c>
      <c r="AC23" s="260">
        <v>-0.35617818763525028</v>
      </c>
      <c r="AD23" s="405">
        <v>36352539000157</v>
      </c>
      <c r="AE23" s="257" t="s">
        <v>2376</v>
      </c>
      <c r="AF23" s="257" t="s">
        <v>2118</v>
      </c>
      <c r="AG23" s="261" t="s">
        <v>1433</v>
      </c>
      <c r="AH23" s="261" t="s">
        <v>2113</v>
      </c>
      <c r="AI23" s="261">
        <v>5000</v>
      </c>
      <c r="AJ23" s="261">
        <v>1000</v>
      </c>
      <c r="AK23" s="261">
        <v>5000</v>
      </c>
      <c r="AL23" s="256">
        <v>1.8500000000000003E-2</v>
      </c>
      <c r="AM23" s="256">
        <v>0.15</v>
      </c>
      <c r="AN23" s="256" t="s">
        <v>666</v>
      </c>
      <c r="AO23" s="254" t="s">
        <v>1324</v>
      </c>
      <c r="AP23" s="257" t="s">
        <v>716</v>
      </c>
      <c r="AQ23" s="263" t="s">
        <v>659</v>
      </c>
      <c r="AR23" s="256">
        <v>5.3333333333333332E-3</v>
      </c>
      <c r="AS23" s="256">
        <v>5.3333333333333332E-3</v>
      </c>
      <c r="AT23" s="256"/>
      <c r="AW23" s="508"/>
      <c r="AX23" s="509"/>
      <c r="AY23" s="509"/>
      <c r="AZ23" s="509"/>
      <c r="BA23" s="509"/>
      <c r="BB23" s="520"/>
      <c r="BC23" s="509"/>
      <c r="BD23" s="509"/>
      <c r="BE23" s="509"/>
      <c r="BF23" s="509"/>
      <c r="BG23" s="521"/>
      <c r="BH23" s="510"/>
      <c r="BI23" s="511"/>
      <c r="BJ23" s="511"/>
      <c r="BK23" s="511"/>
      <c r="BL23" s="195"/>
      <c r="BM23" s="510"/>
      <c r="BN23" s="510"/>
      <c r="BO23" s="510"/>
      <c r="BP23" s="510"/>
      <c r="BQ23" s="510"/>
      <c r="BR23" s="510"/>
      <c r="BS23" s="510"/>
      <c r="BT23" s="510"/>
      <c r="BU23" s="510"/>
      <c r="BV23" s="512"/>
      <c r="BW23" s="509"/>
    </row>
    <row r="24" spans="2:75" ht="15.75" customHeight="1">
      <c r="B24" s="250" t="s">
        <v>67</v>
      </c>
      <c r="C24" s="251">
        <v>23565803000199</v>
      </c>
      <c r="D24" s="252" t="s">
        <v>13</v>
      </c>
      <c r="E24" s="252" t="s">
        <v>615</v>
      </c>
      <c r="F24" s="252" t="s">
        <v>619</v>
      </c>
      <c r="G24" s="253" t="s">
        <v>34</v>
      </c>
      <c r="H24" s="253" t="s">
        <v>1337</v>
      </c>
      <c r="I24" s="253" t="s">
        <v>34</v>
      </c>
      <c r="J24" s="253" t="s">
        <v>611</v>
      </c>
      <c r="K24" s="254" t="s">
        <v>48</v>
      </c>
      <c r="L24" s="255" t="s">
        <v>715</v>
      </c>
      <c r="M24" s="255" t="s">
        <v>34</v>
      </c>
      <c r="N24" s="254">
        <v>410901</v>
      </c>
      <c r="O24" s="254" t="s">
        <v>1321</v>
      </c>
      <c r="P24" s="258">
        <v>42366</v>
      </c>
      <c r="Q24" s="259">
        <v>3492097347.2800002</v>
      </c>
      <c r="R24" s="259">
        <v>3201378195.6021056</v>
      </c>
      <c r="S24" s="254">
        <v>30</v>
      </c>
      <c r="T24" s="256">
        <v>0.17784887802527871</v>
      </c>
      <c r="U24" s="256">
        <v>2.2990871590200914</v>
      </c>
      <c r="V24" s="256">
        <v>0.21711144540459482</v>
      </c>
      <c r="W24" s="256">
        <v>2.1284181281675516</v>
      </c>
      <c r="X24" s="256">
        <v>0.29528439773602377</v>
      </c>
      <c r="Y24" s="256">
        <v>2.2391952295583377</v>
      </c>
      <c r="Z24" s="256">
        <v>0.38901859935054017</v>
      </c>
      <c r="AA24" s="256">
        <v>2.2113078339722447</v>
      </c>
      <c r="AB24" s="256">
        <v>4.3191210905645046E-2</v>
      </c>
      <c r="AC24" s="260">
        <v>2.3230039996961387</v>
      </c>
      <c r="AD24" s="405">
        <v>21470947000136</v>
      </c>
      <c r="AE24" s="257" t="s">
        <v>2117</v>
      </c>
      <c r="AF24" s="257" t="s">
        <v>2118</v>
      </c>
      <c r="AG24" s="261" t="s">
        <v>1433</v>
      </c>
      <c r="AH24" s="261" t="s">
        <v>2113</v>
      </c>
      <c r="AI24" s="261">
        <v>100000</v>
      </c>
      <c r="AJ24" s="261">
        <v>10000</v>
      </c>
      <c r="AK24" s="261">
        <v>100000</v>
      </c>
      <c r="AL24" s="519">
        <v>1.9E-2</v>
      </c>
      <c r="AM24" s="519">
        <v>0.2</v>
      </c>
      <c r="AN24" s="256" t="s">
        <v>64</v>
      </c>
      <c r="AO24" s="254" t="s">
        <v>1324</v>
      </c>
      <c r="AP24" s="257" t="s">
        <v>13</v>
      </c>
      <c r="AQ24" s="263" t="s">
        <v>664</v>
      </c>
      <c r="AR24" s="256">
        <v>3.8E-3</v>
      </c>
      <c r="AS24" s="256">
        <v>3.8E-3</v>
      </c>
      <c r="AT24" s="256"/>
      <c r="AW24" s="508"/>
      <c r="AX24" s="509"/>
      <c r="AY24" s="509"/>
      <c r="AZ24" s="509"/>
      <c r="BA24" s="509"/>
      <c r="BB24" s="520"/>
      <c r="BC24" s="509"/>
      <c r="BD24" s="509"/>
      <c r="BE24" s="509"/>
      <c r="BF24" s="509"/>
      <c r="BG24" s="521"/>
      <c r="BH24" s="510"/>
      <c r="BI24" s="511"/>
      <c r="BJ24" s="511"/>
      <c r="BK24" s="511"/>
      <c r="BL24" s="195"/>
      <c r="BM24" s="510"/>
      <c r="BN24" s="510"/>
      <c r="BO24" s="510"/>
      <c r="BP24" s="510"/>
      <c r="BQ24" s="510"/>
      <c r="BR24" s="510"/>
      <c r="BS24" s="510"/>
      <c r="BT24" s="510"/>
      <c r="BU24" s="510"/>
      <c r="BV24" s="512"/>
      <c r="BW24" s="509"/>
    </row>
    <row r="25" spans="2:75" ht="15.75" customHeight="1">
      <c r="B25" s="250" t="s">
        <v>870</v>
      </c>
      <c r="C25" s="251">
        <v>17816013000136</v>
      </c>
      <c r="D25" s="252" t="s">
        <v>13</v>
      </c>
      <c r="E25" s="252" t="s">
        <v>615</v>
      </c>
      <c r="F25" s="252" t="s">
        <v>619</v>
      </c>
      <c r="G25" s="253" t="s">
        <v>34</v>
      </c>
      <c r="H25" s="253" t="s">
        <v>1337</v>
      </c>
      <c r="I25" s="253" t="s">
        <v>34</v>
      </c>
      <c r="J25" s="253" t="s">
        <v>611</v>
      </c>
      <c r="K25" s="254" t="s">
        <v>48</v>
      </c>
      <c r="L25" s="255" t="s">
        <v>715</v>
      </c>
      <c r="M25" s="255" t="s">
        <v>34</v>
      </c>
      <c r="N25" s="254">
        <v>336246</v>
      </c>
      <c r="O25" s="254" t="s">
        <v>1321</v>
      </c>
      <c r="P25" s="258">
        <v>41397</v>
      </c>
      <c r="Q25" s="259">
        <v>80507937.189999998</v>
      </c>
      <c r="R25" s="259">
        <v>94410669.394166589</v>
      </c>
      <c r="S25" s="254">
        <v>30</v>
      </c>
      <c r="T25" s="256">
        <v>0.14295555801973348</v>
      </c>
      <c r="U25" s="256">
        <v>1.8480144007824748</v>
      </c>
      <c r="V25" s="256">
        <v>0.15565903024030936</v>
      </c>
      <c r="W25" s="256">
        <v>1.5259789789481268</v>
      </c>
      <c r="X25" s="256">
        <v>0.23983674582406711</v>
      </c>
      <c r="Y25" s="256">
        <v>1.8187256124590334</v>
      </c>
      <c r="Z25" s="256">
        <v>0.35305200740386811</v>
      </c>
      <c r="AA25" s="256">
        <v>2.0068620654004121</v>
      </c>
      <c r="AB25" s="256">
        <v>4.0698197479481391E-2</v>
      </c>
      <c r="AC25" s="260">
        <v>1.1888797221737932</v>
      </c>
      <c r="AD25" s="405">
        <v>8893082000152</v>
      </c>
      <c r="AE25" s="257" t="s">
        <v>2123</v>
      </c>
      <c r="AF25" s="257" t="s">
        <v>2109</v>
      </c>
      <c r="AG25" s="261" t="s">
        <v>1432</v>
      </c>
      <c r="AH25" s="261" t="s">
        <v>2113</v>
      </c>
      <c r="AI25" s="261">
        <v>1000</v>
      </c>
      <c r="AJ25" s="261">
        <v>1000</v>
      </c>
      <c r="AK25" s="261">
        <v>1000</v>
      </c>
      <c r="AL25" s="256">
        <v>0</v>
      </c>
      <c r="AM25" s="256" t="s">
        <v>34</v>
      </c>
      <c r="AN25" s="256" t="s">
        <v>2127</v>
      </c>
      <c r="AO25" s="254" t="s">
        <v>1324</v>
      </c>
      <c r="AP25" s="257" t="s">
        <v>13</v>
      </c>
      <c r="AQ25" s="263" t="s">
        <v>668</v>
      </c>
      <c r="AR25" s="256">
        <v>3.96E-3</v>
      </c>
      <c r="AS25" s="256">
        <v>3.96E-3</v>
      </c>
      <c r="AT25" s="256"/>
      <c r="AW25" s="508"/>
      <c r="AX25" s="509"/>
      <c r="AY25" s="509"/>
      <c r="AZ25" s="509"/>
      <c r="BA25" s="509"/>
      <c r="BB25" s="520"/>
      <c r="BC25" s="509"/>
      <c r="BD25" s="509"/>
      <c r="BE25" s="509"/>
      <c r="BF25" s="509"/>
      <c r="BG25" s="521"/>
      <c r="BH25" s="510"/>
      <c r="BI25" s="511"/>
      <c r="BJ25" s="511"/>
      <c r="BK25" s="511"/>
      <c r="BL25" s="195"/>
      <c r="BM25" s="510"/>
      <c r="BN25" s="510"/>
      <c r="BO25" s="510"/>
      <c r="BP25" s="510"/>
      <c r="BQ25" s="510"/>
      <c r="BR25" s="510"/>
      <c r="BS25" s="510"/>
      <c r="BT25" s="510"/>
      <c r="BU25" s="510"/>
      <c r="BV25" s="512"/>
      <c r="BW25" s="509"/>
    </row>
    <row r="26" spans="2:75" ht="15.75" customHeight="1">
      <c r="B26" s="250" t="s">
        <v>21</v>
      </c>
      <c r="C26" s="251">
        <v>8893082000152</v>
      </c>
      <c r="D26" s="252" t="s">
        <v>13</v>
      </c>
      <c r="E26" s="252" t="s">
        <v>615</v>
      </c>
      <c r="F26" s="252" t="s">
        <v>619</v>
      </c>
      <c r="G26" s="253" t="s">
        <v>34</v>
      </c>
      <c r="H26" s="253" t="s">
        <v>1337</v>
      </c>
      <c r="I26" s="253" t="s">
        <v>34</v>
      </c>
      <c r="J26" s="253" t="s">
        <v>611</v>
      </c>
      <c r="K26" s="254" t="s">
        <v>48</v>
      </c>
      <c r="L26" s="255" t="s">
        <v>715</v>
      </c>
      <c r="M26" s="255" t="s">
        <v>34</v>
      </c>
      <c r="N26" s="254">
        <v>211788</v>
      </c>
      <c r="O26" s="254" t="s">
        <v>1321</v>
      </c>
      <c r="P26" s="258">
        <v>39629</v>
      </c>
      <c r="Q26" s="259">
        <v>1039042229.36</v>
      </c>
      <c r="R26" s="259">
        <v>1115275200.4820235</v>
      </c>
      <c r="S26" s="254">
        <v>30</v>
      </c>
      <c r="T26" s="256">
        <v>0.14334586431711482</v>
      </c>
      <c r="U26" s="256">
        <v>1.8530599664692404</v>
      </c>
      <c r="V26" s="256">
        <v>0.15603999884744879</v>
      </c>
      <c r="W26" s="256">
        <v>1.5297137451562706</v>
      </c>
      <c r="X26" s="256">
        <v>0.24164804189317612</v>
      </c>
      <c r="Y26" s="256">
        <v>1.832460999592127</v>
      </c>
      <c r="Z26" s="256">
        <v>0.35755975055731692</v>
      </c>
      <c r="AA26" s="256">
        <v>2.0324855388420358</v>
      </c>
      <c r="AB26" s="256">
        <v>4.0993004385194605E-2</v>
      </c>
      <c r="AC26" s="260">
        <v>1.1886673540567896</v>
      </c>
      <c r="AD26" s="405">
        <v>8875020000118</v>
      </c>
      <c r="AE26" s="257" t="s">
        <v>2255</v>
      </c>
      <c r="AF26" s="257" t="s">
        <v>2115</v>
      </c>
      <c r="AG26" s="261" t="s">
        <v>719</v>
      </c>
      <c r="AH26" s="261" t="s">
        <v>2113</v>
      </c>
      <c r="AI26" s="261">
        <v>50000</v>
      </c>
      <c r="AJ26" s="261">
        <v>25000</v>
      </c>
      <c r="AK26" s="261">
        <v>50000</v>
      </c>
      <c r="AL26" s="256">
        <v>1.975E-2</v>
      </c>
      <c r="AM26" s="256">
        <v>0.2</v>
      </c>
      <c r="AN26" s="256" t="s">
        <v>64</v>
      </c>
      <c r="AO26" s="254" t="s">
        <v>1324</v>
      </c>
      <c r="AP26" s="257" t="s">
        <v>13</v>
      </c>
      <c r="AQ26" s="263" t="s">
        <v>668</v>
      </c>
      <c r="AR26" s="256">
        <v>3.9499999999999995E-3</v>
      </c>
      <c r="AS26" s="256">
        <v>3.9499999999999995E-3</v>
      </c>
      <c r="AT26" s="256"/>
      <c r="AW26" s="508"/>
      <c r="AX26" s="509"/>
      <c r="AY26" s="509"/>
      <c r="AZ26" s="509"/>
      <c r="BA26" s="509"/>
      <c r="BB26" s="520"/>
      <c r="BC26" s="509"/>
      <c r="BD26" s="509"/>
      <c r="BE26" s="509"/>
      <c r="BF26" s="509"/>
      <c r="BG26" s="521"/>
      <c r="BH26" s="510"/>
      <c r="BI26" s="511"/>
      <c r="BJ26" s="511"/>
      <c r="BK26" s="511"/>
      <c r="BL26" s="195"/>
      <c r="BM26" s="510"/>
      <c r="BN26" s="510"/>
      <c r="BO26" s="510"/>
      <c r="BP26" s="510"/>
      <c r="BQ26" s="510"/>
      <c r="BR26" s="510"/>
      <c r="BS26" s="510"/>
      <c r="BT26" s="510"/>
      <c r="BU26" s="510"/>
      <c r="BV26" s="512"/>
      <c r="BW26" s="509"/>
    </row>
    <row r="27" spans="2:75" ht="15.75" customHeight="1">
      <c r="B27" s="250" t="s">
        <v>515</v>
      </c>
      <c r="C27" s="251">
        <v>9289134000149</v>
      </c>
      <c r="D27" s="252" t="s">
        <v>13</v>
      </c>
      <c r="E27" s="252" t="s">
        <v>615</v>
      </c>
      <c r="F27" s="252" t="s">
        <v>619</v>
      </c>
      <c r="G27" s="253" t="s">
        <v>34</v>
      </c>
      <c r="H27" s="253" t="s">
        <v>1337</v>
      </c>
      <c r="I27" s="253" t="s">
        <v>34</v>
      </c>
      <c r="J27" s="253" t="s">
        <v>611</v>
      </c>
      <c r="K27" s="254" t="s">
        <v>48</v>
      </c>
      <c r="L27" s="255" t="s">
        <v>715</v>
      </c>
      <c r="M27" s="255" t="s">
        <v>34</v>
      </c>
      <c r="N27" s="254">
        <v>211796</v>
      </c>
      <c r="O27" s="254" t="s">
        <v>1321</v>
      </c>
      <c r="P27" s="258">
        <v>39629</v>
      </c>
      <c r="Q27" s="259">
        <v>253849908.16</v>
      </c>
      <c r="R27" s="259">
        <v>241360687.21253973</v>
      </c>
      <c r="S27" s="254">
        <v>30</v>
      </c>
      <c r="T27" s="256">
        <v>0.14417275198155566</v>
      </c>
      <c r="U27" s="256">
        <v>1.8637493047005327</v>
      </c>
      <c r="V27" s="256">
        <v>0.15676840068528763</v>
      </c>
      <c r="W27" s="256">
        <v>1.5368545187500238</v>
      </c>
      <c r="X27" s="256">
        <v>0.24315884854620307</v>
      </c>
      <c r="Y27" s="256">
        <v>1.8439177208959976</v>
      </c>
      <c r="Z27" s="256">
        <v>0.3625755309329155</v>
      </c>
      <c r="AA27" s="256">
        <v>2.0609968605540625</v>
      </c>
      <c r="AB27" s="256">
        <v>4.1281109483702887E-2</v>
      </c>
      <c r="AC27" s="260">
        <v>1.1959251403768398</v>
      </c>
      <c r="AD27" s="405">
        <v>9289155000164</v>
      </c>
      <c r="AE27" s="257" t="s">
        <v>2255</v>
      </c>
      <c r="AF27" s="257" t="s">
        <v>2115</v>
      </c>
      <c r="AG27" s="261" t="s">
        <v>719</v>
      </c>
      <c r="AH27" s="261" t="s">
        <v>2110</v>
      </c>
      <c r="AI27" s="261">
        <v>100000</v>
      </c>
      <c r="AJ27" s="261">
        <v>50000</v>
      </c>
      <c r="AK27" s="261">
        <v>100000</v>
      </c>
      <c r="AL27" s="256">
        <v>1.975E-2</v>
      </c>
      <c r="AM27" s="256">
        <v>0.2</v>
      </c>
      <c r="AN27" s="256" t="s">
        <v>64</v>
      </c>
      <c r="AO27" s="254" t="s">
        <v>1324</v>
      </c>
      <c r="AP27" s="257" t="s">
        <v>13</v>
      </c>
      <c r="AQ27" s="263" t="s">
        <v>668</v>
      </c>
      <c r="AR27" s="256">
        <v>3.9499999999999995E-3</v>
      </c>
      <c r="AS27" s="256">
        <v>3.9499999999999995E-3</v>
      </c>
      <c r="AT27" s="256"/>
      <c r="AW27" s="508"/>
      <c r="AX27" s="509"/>
      <c r="AY27" s="509"/>
      <c r="AZ27" s="509"/>
      <c r="BA27" s="509"/>
      <c r="BB27" s="520"/>
      <c r="BC27" s="509"/>
      <c r="BD27" s="509"/>
      <c r="BE27" s="509"/>
      <c r="BF27" s="509"/>
      <c r="BG27" s="521"/>
      <c r="BH27" s="510"/>
      <c r="BI27" s="511"/>
      <c r="BJ27" s="511"/>
      <c r="BK27" s="511"/>
      <c r="BL27" s="195"/>
      <c r="BM27" s="510"/>
      <c r="BN27" s="510"/>
      <c r="BO27" s="510"/>
      <c r="BP27" s="510"/>
      <c r="BQ27" s="510"/>
      <c r="BR27" s="510"/>
      <c r="BS27" s="510"/>
      <c r="BT27" s="510"/>
      <c r="BU27" s="510"/>
      <c r="BV27" s="512"/>
      <c r="BW27" s="509"/>
    </row>
    <row r="28" spans="2:75" ht="15.75" customHeight="1">
      <c r="B28" s="250" t="s">
        <v>775</v>
      </c>
      <c r="C28" s="251">
        <v>30910553000142</v>
      </c>
      <c r="D28" s="252" t="s">
        <v>11</v>
      </c>
      <c r="E28" s="252" t="s">
        <v>620</v>
      </c>
      <c r="F28" s="252" t="s">
        <v>663</v>
      </c>
      <c r="G28" s="253" t="s">
        <v>738</v>
      </c>
      <c r="H28" s="253" t="s">
        <v>34</v>
      </c>
      <c r="I28" s="253"/>
      <c r="J28" s="253" t="s">
        <v>608</v>
      </c>
      <c r="K28" s="254" t="s">
        <v>48</v>
      </c>
      <c r="L28" s="255" t="s">
        <v>715</v>
      </c>
      <c r="M28" s="255" t="s">
        <v>34</v>
      </c>
      <c r="N28" s="254">
        <v>474843</v>
      </c>
      <c r="O28" s="254" t="s">
        <v>1324</v>
      </c>
      <c r="P28" s="258">
        <v>43336</v>
      </c>
      <c r="Q28" s="259">
        <v>1204437524.0599999</v>
      </c>
      <c r="R28" s="259">
        <v>1291801958.8776584</v>
      </c>
      <c r="S28" s="254">
        <v>31</v>
      </c>
      <c r="T28" s="256">
        <v>8.9764313442494581E-2</v>
      </c>
      <c r="U28" s="256">
        <v>1.1604008001926245</v>
      </c>
      <c r="V28" s="256">
        <v>0.12369096118195766</v>
      </c>
      <c r="W28" s="256">
        <v>1.2125850094155193</v>
      </c>
      <c r="X28" s="256">
        <v>0.20515526014753838</v>
      </c>
      <c r="Y28" s="256">
        <v>1.5557296063161568</v>
      </c>
      <c r="Z28" s="256">
        <v>0.22851824960889111</v>
      </c>
      <c r="AA28" s="256">
        <v>1.2989718137112103</v>
      </c>
      <c r="AB28" s="256">
        <v>2.1231223573375882E-3</v>
      </c>
      <c r="AC28" s="260">
        <v>9.1826682309965388</v>
      </c>
      <c r="AD28" s="405">
        <v>34474470000109</v>
      </c>
      <c r="AE28" s="257" t="s">
        <v>2152</v>
      </c>
      <c r="AF28" s="257" t="s">
        <v>2118</v>
      </c>
      <c r="AG28" s="261" t="s">
        <v>1433</v>
      </c>
      <c r="AH28" s="261" t="s">
        <v>2113</v>
      </c>
      <c r="AI28" s="261">
        <v>1000</v>
      </c>
      <c r="AJ28" s="261">
        <v>1000</v>
      </c>
      <c r="AK28" s="261">
        <v>1000</v>
      </c>
      <c r="AL28" s="519">
        <v>5.0000000000000001E-3</v>
      </c>
      <c r="AM28" s="519" t="s">
        <v>34</v>
      </c>
      <c r="AN28" s="256" t="s">
        <v>64</v>
      </c>
      <c r="AO28" s="254" t="s">
        <v>1324</v>
      </c>
      <c r="AP28" s="257" t="s">
        <v>11</v>
      </c>
      <c r="AQ28" s="263" t="s">
        <v>662</v>
      </c>
      <c r="AR28" s="256">
        <v>1.4000000000000002E-3</v>
      </c>
      <c r="AS28" s="256">
        <v>1.4000000000000002E-3</v>
      </c>
      <c r="AT28" s="256"/>
      <c r="AW28" s="508"/>
      <c r="AX28" s="509"/>
      <c r="AY28" s="509"/>
      <c r="AZ28" s="509"/>
      <c r="BA28" s="509"/>
      <c r="BB28" s="520"/>
      <c r="BC28" s="509"/>
      <c r="BD28" s="509"/>
      <c r="BE28" s="509"/>
      <c r="BF28" s="509"/>
      <c r="BG28" s="521"/>
      <c r="BH28" s="510"/>
      <c r="BI28" s="511"/>
      <c r="BJ28" s="511"/>
      <c r="BK28" s="511"/>
      <c r="BL28" s="195"/>
      <c r="BM28" s="510"/>
      <c r="BN28" s="510"/>
      <c r="BO28" s="510"/>
      <c r="BP28" s="510"/>
      <c r="BQ28" s="510"/>
      <c r="BR28" s="510"/>
      <c r="BS28" s="510"/>
      <c r="BT28" s="510"/>
      <c r="BU28" s="510"/>
      <c r="BV28" s="512"/>
      <c r="BW28" s="509"/>
    </row>
    <row r="29" spans="2:75" ht="15.75" customHeight="1">
      <c r="B29" s="250" t="s">
        <v>1195</v>
      </c>
      <c r="C29" s="251">
        <v>26773148000152</v>
      </c>
      <c r="D29" s="252" t="s">
        <v>11</v>
      </c>
      <c r="E29" s="252" t="s">
        <v>620</v>
      </c>
      <c r="F29" s="252" t="s">
        <v>663</v>
      </c>
      <c r="G29" s="253" t="s">
        <v>738</v>
      </c>
      <c r="H29" s="253" t="s">
        <v>34</v>
      </c>
      <c r="I29" s="253"/>
      <c r="J29" s="253" t="s">
        <v>608</v>
      </c>
      <c r="K29" s="254" t="s">
        <v>48</v>
      </c>
      <c r="L29" s="255" t="s">
        <v>715</v>
      </c>
      <c r="M29" s="255" t="s">
        <v>34</v>
      </c>
      <c r="N29" s="254">
        <v>439282</v>
      </c>
      <c r="O29" s="254" t="s">
        <v>1321</v>
      </c>
      <c r="P29" s="258">
        <v>42858</v>
      </c>
      <c r="Q29" s="259">
        <v>277087108.30000001</v>
      </c>
      <c r="R29" s="259">
        <v>142065743.89761916</v>
      </c>
      <c r="S29" s="254">
        <v>31</v>
      </c>
      <c r="T29" s="256">
        <v>9.2030674151289515E-2</v>
      </c>
      <c r="U29" s="256">
        <v>1.1896984874266001</v>
      </c>
      <c r="V29" s="256">
        <v>0.12399250525432159</v>
      </c>
      <c r="W29" s="256">
        <v>1.2155411496082431</v>
      </c>
      <c r="X29" s="256">
        <v>0.19703341521582263</v>
      </c>
      <c r="Y29" s="256">
        <v>1.4941401807801395</v>
      </c>
      <c r="Z29" s="256">
        <v>0.24210112650385995</v>
      </c>
      <c r="AA29" s="256">
        <v>1.3761812893914724</v>
      </c>
      <c r="AB29" s="256">
        <v>2.6188034227482538E-3</v>
      </c>
      <c r="AC29" s="260">
        <v>7.5475453784774391</v>
      </c>
      <c r="AD29" s="405">
        <v>24444154000130</v>
      </c>
      <c r="AE29" s="257" t="s">
        <v>2398</v>
      </c>
      <c r="AF29" s="257" t="s">
        <v>2118</v>
      </c>
      <c r="AG29" s="261" t="s">
        <v>1433</v>
      </c>
      <c r="AH29" s="261" t="s">
        <v>2110</v>
      </c>
      <c r="AI29" s="261">
        <v>1000</v>
      </c>
      <c r="AJ29" s="261">
        <v>100</v>
      </c>
      <c r="AK29" s="261">
        <v>100</v>
      </c>
      <c r="AL29" s="256">
        <v>3.4999999999999996E-3</v>
      </c>
      <c r="AM29" s="256">
        <v>0.2</v>
      </c>
      <c r="AN29" s="256" t="s">
        <v>64</v>
      </c>
      <c r="AO29" s="254" t="s">
        <v>1324</v>
      </c>
      <c r="AP29" s="257" t="s">
        <v>11</v>
      </c>
      <c r="AQ29" s="263" t="s">
        <v>1374</v>
      </c>
      <c r="AR29" s="256">
        <v>1.5983333333333333E-3</v>
      </c>
      <c r="AS29" s="256">
        <v>1.5983333333333333E-3</v>
      </c>
      <c r="AT29" s="256"/>
      <c r="AW29" s="508"/>
      <c r="AX29" s="509"/>
      <c r="AY29" s="509"/>
      <c r="AZ29" s="509"/>
      <c r="BA29" s="509"/>
      <c r="BB29" s="520"/>
      <c r="BC29" s="509"/>
      <c r="BD29" s="509"/>
      <c r="BE29" s="509"/>
      <c r="BF29" s="509"/>
      <c r="BG29" s="521"/>
      <c r="BH29" s="510"/>
      <c r="BI29" s="511"/>
      <c r="BJ29" s="511"/>
      <c r="BK29" s="511"/>
      <c r="BL29" s="195"/>
      <c r="BM29" s="510"/>
      <c r="BN29" s="510"/>
      <c r="BO29" s="510"/>
      <c r="BP29" s="510"/>
      <c r="BQ29" s="510"/>
      <c r="BR29" s="510"/>
      <c r="BS29" s="510"/>
      <c r="BT29" s="510"/>
      <c r="BU29" s="510"/>
      <c r="BV29" s="512"/>
      <c r="BW29" s="509"/>
    </row>
    <row r="30" spans="2:75" ht="15.75" customHeight="1">
      <c r="B30" s="250" t="s">
        <v>771</v>
      </c>
      <c r="C30" s="251">
        <v>30910199000156</v>
      </c>
      <c r="D30" s="252" t="s">
        <v>11</v>
      </c>
      <c r="E30" s="252" t="s">
        <v>621</v>
      </c>
      <c r="F30" s="252" t="s">
        <v>692</v>
      </c>
      <c r="G30" s="253" t="s">
        <v>738</v>
      </c>
      <c r="H30" s="253" t="s">
        <v>34</v>
      </c>
      <c r="I30" s="253" t="s">
        <v>34</v>
      </c>
      <c r="J30" s="253" t="s">
        <v>608</v>
      </c>
      <c r="K30" s="254" t="s">
        <v>48</v>
      </c>
      <c r="L30" s="255" t="s">
        <v>715</v>
      </c>
      <c r="M30" s="255" t="s">
        <v>34</v>
      </c>
      <c r="N30" s="254">
        <v>477664</v>
      </c>
      <c r="O30" s="254" t="s">
        <v>1321</v>
      </c>
      <c r="P30" s="258">
        <v>43336</v>
      </c>
      <c r="Q30" s="259">
        <v>643022955.78999996</v>
      </c>
      <c r="R30" s="259">
        <v>630687552.91484106</v>
      </c>
      <c r="S30" s="254">
        <v>31</v>
      </c>
      <c r="T30" s="256">
        <v>6.7007830327898699E-2</v>
      </c>
      <c r="U30" s="256">
        <v>0.86622330132873782</v>
      </c>
      <c r="V30" s="256">
        <v>0.10327491195265925</v>
      </c>
      <c r="W30" s="256">
        <v>1.0124394611040426</v>
      </c>
      <c r="X30" s="256">
        <v>0.2036328890212471</v>
      </c>
      <c r="Y30" s="256">
        <v>1.5441851895107139</v>
      </c>
      <c r="Z30" s="256">
        <v>0.29353267937500438</v>
      </c>
      <c r="AA30" s="256">
        <v>1.6685349094168165</v>
      </c>
      <c r="AB30" s="256">
        <v>3.6017926739333413E-2</v>
      </c>
      <c r="AC30" s="260">
        <v>4.9846334755788563E-2</v>
      </c>
      <c r="AD30" s="405">
        <v>32319373000116</v>
      </c>
      <c r="AE30" s="257" t="s">
        <v>2152</v>
      </c>
      <c r="AF30" s="257" t="s">
        <v>2118</v>
      </c>
      <c r="AG30" s="261" t="s">
        <v>1433</v>
      </c>
      <c r="AH30" s="261" t="s">
        <v>2113</v>
      </c>
      <c r="AI30" s="261">
        <v>500</v>
      </c>
      <c r="AJ30" s="261">
        <v>100</v>
      </c>
      <c r="AK30" s="261">
        <v>100</v>
      </c>
      <c r="AL30" s="519">
        <v>6.9999999999999993E-3</v>
      </c>
      <c r="AM30" s="519" t="s">
        <v>34</v>
      </c>
      <c r="AN30" s="256" t="s">
        <v>636</v>
      </c>
      <c r="AO30" s="254" t="s">
        <v>1324</v>
      </c>
      <c r="AP30" s="257" t="s">
        <v>11</v>
      </c>
      <c r="AQ30" s="263" t="s">
        <v>675</v>
      </c>
      <c r="AR30" s="256">
        <v>1.9600000000000004E-3</v>
      </c>
      <c r="AS30" s="256">
        <v>1.9600000000000004E-3</v>
      </c>
      <c r="AT30" s="256"/>
      <c r="AW30" s="508"/>
      <c r="AX30" s="509"/>
      <c r="AY30" s="509"/>
      <c r="AZ30" s="509"/>
      <c r="BA30" s="509"/>
      <c r="BB30" s="520"/>
      <c r="BC30" s="509"/>
      <c r="BD30" s="509"/>
      <c r="BE30" s="509"/>
      <c r="BF30" s="509"/>
      <c r="BG30" s="521"/>
      <c r="BH30" s="510"/>
      <c r="BI30" s="511"/>
      <c r="BJ30" s="511"/>
      <c r="BK30" s="511"/>
      <c r="BL30" s="195"/>
      <c r="BM30" s="510"/>
      <c r="BN30" s="510"/>
      <c r="BO30" s="510"/>
      <c r="BP30" s="510"/>
      <c r="BQ30" s="510"/>
      <c r="BR30" s="510"/>
      <c r="BS30" s="510"/>
      <c r="BT30" s="510"/>
      <c r="BU30" s="510"/>
      <c r="BV30" s="512"/>
      <c r="BW30" s="509"/>
    </row>
    <row r="31" spans="2:75" ht="15.75" customHeight="1">
      <c r="B31" s="250" t="s">
        <v>772</v>
      </c>
      <c r="C31" s="251">
        <v>37368116000198</v>
      </c>
      <c r="D31" s="252" t="s">
        <v>11</v>
      </c>
      <c r="E31" s="252" t="s">
        <v>621</v>
      </c>
      <c r="F31" s="252" t="s">
        <v>692</v>
      </c>
      <c r="G31" s="253" t="s">
        <v>866</v>
      </c>
      <c r="H31" s="253" t="s">
        <v>34</v>
      </c>
      <c r="I31" s="253"/>
      <c r="J31" s="253" t="s">
        <v>608</v>
      </c>
      <c r="K31" s="254" t="s">
        <v>48</v>
      </c>
      <c r="L31" s="255" t="s">
        <v>715</v>
      </c>
      <c r="M31" s="255" t="s">
        <v>34</v>
      </c>
      <c r="N31" s="254">
        <v>547263</v>
      </c>
      <c r="O31" s="254" t="s">
        <v>1321</v>
      </c>
      <c r="P31" s="258">
        <v>44041</v>
      </c>
      <c r="Q31" s="259">
        <v>39749749.409999996</v>
      </c>
      <c r="R31" s="259">
        <v>55493641.621388875</v>
      </c>
      <c r="S31" s="254">
        <v>31</v>
      </c>
      <c r="T31" s="256">
        <v>4.5558817931812268E-2</v>
      </c>
      <c r="U31" s="256">
        <v>0.58894773163694647</v>
      </c>
      <c r="V31" s="256">
        <v>6.2798709258773844E-2</v>
      </c>
      <c r="W31" s="256">
        <v>0.61563733299648971</v>
      </c>
      <c r="X31" s="256">
        <v>0.17306534251846273</v>
      </c>
      <c r="Y31" s="256">
        <v>1.3123859314627933</v>
      </c>
      <c r="Z31" s="256" t="s">
        <v>1417</v>
      </c>
      <c r="AA31" s="256" t="s">
        <v>1417</v>
      </c>
      <c r="AB31" s="256">
        <v>6.5377679878984518E-2</v>
      </c>
      <c r="AC31" s="260">
        <v>-0.52181275136622463</v>
      </c>
      <c r="AD31" s="405">
        <v>37368078000173</v>
      </c>
      <c r="AE31" s="257" t="s">
        <v>2152</v>
      </c>
      <c r="AF31" s="257" t="s">
        <v>2118</v>
      </c>
      <c r="AG31" s="261" t="s">
        <v>1433</v>
      </c>
      <c r="AH31" s="261" t="s">
        <v>2113</v>
      </c>
      <c r="AI31" s="261">
        <v>500</v>
      </c>
      <c r="AJ31" s="261">
        <v>100</v>
      </c>
      <c r="AK31" s="261">
        <v>100</v>
      </c>
      <c r="AL31" s="519">
        <v>6.9999999999999993E-3</v>
      </c>
      <c r="AM31" s="519" t="s">
        <v>34</v>
      </c>
      <c r="AN31" s="256" t="s">
        <v>636</v>
      </c>
      <c r="AO31" s="254" t="s">
        <v>1324</v>
      </c>
      <c r="AP31" s="257" t="s">
        <v>11</v>
      </c>
      <c r="AQ31" s="263" t="s">
        <v>675</v>
      </c>
      <c r="AR31" s="256">
        <v>1.8666666666666666E-3</v>
      </c>
      <c r="AS31" s="256">
        <v>1.8666666666666666E-3</v>
      </c>
      <c r="AT31" s="256"/>
      <c r="AW31" s="508"/>
      <c r="AX31" s="509"/>
      <c r="AY31" s="509"/>
      <c r="AZ31" s="509"/>
      <c r="BA31" s="509"/>
      <c r="BB31" s="520"/>
      <c r="BC31" s="509"/>
      <c r="BD31" s="509"/>
      <c r="BE31" s="509"/>
      <c r="BF31" s="509"/>
      <c r="BG31" s="521"/>
      <c r="BH31" s="510"/>
      <c r="BI31" s="511"/>
      <c r="BJ31" s="511"/>
      <c r="BK31" s="511"/>
      <c r="BL31" s="195"/>
      <c r="BM31" s="510"/>
      <c r="BN31" s="510"/>
      <c r="BO31" s="510"/>
      <c r="BP31" s="510"/>
      <c r="BQ31" s="510"/>
      <c r="BR31" s="510"/>
      <c r="BS31" s="510"/>
      <c r="BT31" s="510"/>
      <c r="BU31" s="510"/>
      <c r="BV31" s="512"/>
      <c r="BW31" s="509"/>
    </row>
    <row r="32" spans="2:75" ht="15.75" customHeight="1">
      <c r="B32" s="250" t="s">
        <v>961</v>
      </c>
      <c r="C32" s="251">
        <v>37287419000186</v>
      </c>
      <c r="D32" s="252" t="s">
        <v>13</v>
      </c>
      <c r="E32" s="252" t="s">
        <v>615</v>
      </c>
      <c r="F32" s="252" t="s">
        <v>619</v>
      </c>
      <c r="G32" s="253" t="s">
        <v>34</v>
      </c>
      <c r="H32" s="253" t="s">
        <v>1337</v>
      </c>
      <c r="I32" s="253" t="s">
        <v>34</v>
      </c>
      <c r="J32" s="253" t="s">
        <v>611</v>
      </c>
      <c r="K32" s="254" t="s">
        <v>48</v>
      </c>
      <c r="L32" s="255" t="s">
        <v>715</v>
      </c>
      <c r="M32" s="255" t="s">
        <v>34</v>
      </c>
      <c r="N32" s="254">
        <v>541941</v>
      </c>
      <c r="O32" s="254" t="s">
        <v>1321</v>
      </c>
      <c r="P32" s="258">
        <v>44012</v>
      </c>
      <c r="Q32" s="259">
        <v>574911140.00999999</v>
      </c>
      <c r="R32" s="259">
        <v>469589631.78547621</v>
      </c>
      <c r="S32" s="254">
        <v>31</v>
      </c>
      <c r="T32" s="256">
        <v>0.15047570597265358</v>
      </c>
      <c r="U32" s="256">
        <v>1.9452288211626381</v>
      </c>
      <c r="V32" s="256">
        <v>0.21029275429321714</v>
      </c>
      <c r="W32" s="256">
        <v>2.0615721553779291</v>
      </c>
      <c r="X32" s="256">
        <v>0.29213301249842738</v>
      </c>
      <c r="Y32" s="256">
        <v>2.2152977028192691</v>
      </c>
      <c r="Z32" s="256" t="s">
        <v>1417</v>
      </c>
      <c r="AA32" s="256" t="s">
        <v>1417</v>
      </c>
      <c r="AB32" s="256">
        <v>3.784107190042664E-2</v>
      </c>
      <c r="AC32" s="260">
        <v>2.4971430328588626</v>
      </c>
      <c r="AD32" s="405">
        <v>36986798000130</v>
      </c>
      <c r="AE32" s="257" t="s">
        <v>2123</v>
      </c>
      <c r="AF32" s="257" t="s">
        <v>2109</v>
      </c>
      <c r="AG32" s="261" t="s">
        <v>1432</v>
      </c>
      <c r="AH32" s="261" t="s">
        <v>2113</v>
      </c>
      <c r="AI32" s="261">
        <v>500</v>
      </c>
      <c r="AJ32" s="261">
        <v>100</v>
      </c>
      <c r="AK32" s="261">
        <v>100</v>
      </c>
      <c r="AL32" s="256">
        <v>0</v>
      </c>
      <c r="AM32" s="256" t="s">
        <v>34</v>
      </c>
      <c r="AN32" s="256" t="s">
        <v>34</v>
      </c>
      <c r="AO32" s="254" t="s">
        <v>1324</v>
      </c>
      <c r="AP32" s="257" t="s">
        <v>13</v>
      </c>
      <c r="AQ32" s="263" t="s">
        <v>668</v>
      </c>
      <c r="AR32" s="256">
        <v>5.0666666666666664E-3</v>
      </c>
      <c r="AS32" s="256">
        <v>5.0666666666666664E-3</v>
      </c>
      <c r="AT32" s="256"/>
      <c r="AW32" s="508"/>
      <c r="AX32" s="509"/>
      <c r="AY32" s="509"/>
      <c r="AZ32" s="509"/>
      <c r="BA32" s="509"/>
      <c r="BB32" s="520"/>
      <c r="BC32" s="509"/>
      <c r="BD32" s="509"/>
      <c r="BE32" s="509"/>
      <c r="BF32" s="509"/>
      <c r="BG32" s="521"/>
      <c r="BH32" s="510"/>
      <c r="BI32" s="511"/>
      <c r="BJ32" s="511"/>
      <c r="BK32" s="511"/>
      <c r="BL32" s="195"/>
      <c r="BM32" s="510"/>
      <c r="BN32" s="510"/>
      <c r="BO32" s="510"/>
      <c r="BP32" s="510"/>
      <c r="BQ32" s="510"/>
      <c r="BR32" s="510"/>
      <c r="BS32" s="510"/>
      <c r="BT32" s="510"/>
      <c r="BU32" s="510"/>
      <c r="BV32" s="512"/>
      <c r="BW32" s="509"/>
    </row>
    <row r="33" spans="2:75" ht="15.75" customHeight="1">
      <c r="B33" s="250" t="s">
        <v>516</v>
      </c>
      <c r="C33" s="251">
        <v>35828684000107</v>
      </c>
      <c r="D33" s="252" t="s">
        <v>13</v>
      </c>
      <c r="E33" s="252" t="s">
        <v>615</v>
      </c>
      <c r="F33" s="252" t="s">
        <v>619</v>
      </c>
      <c r="G33" s="253" t="s">
        <v>34</v>
      </c>
      <c r="H33" s="253" t="s">
        <v>1337</v>
      </c>
      <c r="I33" s="253" t="s">
        <v>34</v>
      </c>
      <c r="J33" s="253" t="s">
        <v>611</v>
      </c>
      <c r="K33" s="254" t="s">
        <v>48</v>
      </c>
      <c r="L33" s="255" t="s">
        <v>715</v>
      </c>
      <c r="M33" s="255" t="s">
        <v>34</v>
      </c>
      <c r="N33" s="254">
        <v>541419</v>
      </c>
      <c r="O33" s="254" t="s">
        <v>1324</v>
      </c>
      <c r="P33" s="258">
        <v>44012</v>
      </c>
      <c r="Q33" s="259">
        <v>405751713.69</v>
      </c>
      <c r="R33" s="259">
        <v>353178947.3776589</v>
      </c>
      <c r="S33" s="254">
        <v>31</v>
      </c>
      <c r="T33" s="256">
        <v>0.15130426242004935</v>
      </c>
      <c r="U33" s="256">
        <v>1.9559397320769041</v>
      </c>
      <c r="V33" s="256">
        <v>0.21154282547948644</v>
      </c>
      <c r="W33" s="256">
        <v>2.0738270329105126</v>
      </c>
      <c r="X33" s="256">
        <v>0.29451305436663766</v>
      </c>
      <c r="Y33" s="256">
        <v>2.2333459926656221</v>
      </c>
      <c r="Z33" s="256" t="s">
        <v>1417</v>
      </c>
      <c r="AA33" s="256" t="s">
        <v>1417</v>
      </c>
      <c r="AB33" s="256">
        <v>3.8261336413319254E-2</v>
      </c>
      <c r="AC33" s="260">
        <v>2.497131049700041</v>
      </c>
      <c r="AD33" s="405">
        <v>35828652000101</v>
      </c>
      <c r="AE33" s="257" t="s">
        <v>2257</v>
      </c>
      <c r="AF33" s="257" t="s">
        <v>736</v>
      </c>
      <c r="AG33" s="261" t="s">
        <v>736</v>
      </c>
      <c r="AH33" s="261" t="s">
        <v>2113</v>
      </c>
      <c r="AI33" s="261">
        <v>500</v>
      </c>
      <c r="AJ33" s="261">
        <v>100</v>
      </c>
      <c r="AK33" s="261">
        <v>100</v>
      </c>
      <c r="AL33" s="256">
        <v>1.9E-2</v>
      </c>
      <c r="AM33" s="256">
        <v>0.2</v>
      </c>
      <c r="AN33" s="256" t="s">
        <v>64</v>
      </c>
      <c r="AO33" s="254" t="s">
        <v>1324</v>
      </c>
      <c r="AP33" s="257" t="s">
        <v>13</v>
      </c>
      <c r="AQ33" s="263" t="s">
        <v>668</v>
      </c>
      <c r="AR33" s="256">
        <v>5.0672999999999994E-3</v>
      </c>
      <c r="AS33" s="256">
        <v>5.0672999999999994E-3</v>
      </c>
      <c r="AT33" s="256"/>
      <c r="AW33" s="508"/>
      <c r="AX33" s="509"/>
      <c r="AY33" s="509"/>
      <c r="AZ33" s="509"/>
      <c r="BA33" s="509"/>
      <c r="BB33" s="520"/>
      <c r="BC33" s="509"/>
      <c r="BD33" s="509"/>
      <c r="BE33" s="509"/>
      <c r="BF33" s="509"/>
      <c r="BG33" s="521"/>
      <c r="BH33" s="510"/>
      <c r="BI33" s="511"/>
      <c r="BJ33" s="511"/>
      <c r="BK33" s="511"/>
      <c r="BL33" s="195"/>
      <c r="BM33" s="510"/>
      <c r="BN33" s="510"/>
      <c r="BO33" s="510"/>
      <c r="BP33" s="510"/>
      <c r="BQ33" s="510"/>
      <c r="BR33" s="510"/>
      <c r="BS33" s="510"/>
      <c r="BT33" s="510"/>
      <c r="BU33" s="510"/>
      <c r="BV33" s="512"/>
      <c r="BW33" s="509"/>
    </row>
    <row r="34" spans="2:75" ht="15.75" customHeight="1">
      <c r="B34" s="250" t="s">
        <v>41</v>
      </c>
      <c r="C34" s="251">
        <v>15799713000134</v>
      </c>
      <c r="D34" s="252" t="s">
        <v>13</v>
      </c>
      <c r="E34" s="252" t="s">
        <v>615</v>
      </c>
      <c r="F34" s="252" t="s">
        <v>619</v>
      </c>
      <c r="G34" s="253" t="s">
        <v>34</v>
      </c>
      <c r="H34" s="253" t="s">
        <v>865</v>
      </c>
      <c r="I34" s="253" t="s">
        <v>34</v>
      </c>
      <c r="J34" s="253" t="s">
        <v>611</v>
      </c>
      <c r="K34" s="254" t="s">
        <v>48</v>
      </c>
      <c r="L34" s="255" t="s">
        <v>715</v>
      </c>
      <c r="M34" s="255" t="s">
        <v>34</v>
      </c>
      <c r="N34" s="254">
        <v>320153</v>
      </c>
      <c r="O34" s="254" t="s">
        <v>1324</v>
      </c>
      <c r="P34" s="258">
        <v>41243</v>
      </c>
      <c r="Q34" s="259">
        <v>5291496714.5299997</v>
      </c>
      <c r="R34" s="259">
        <v>4797593551.9763498</v>
      </c>
      <c r="S34" s="254">
        <v>31</v>
      </c>
      <c r="T34" s="256">
        <v>0.15461213676850361</v>
      </c>
      <c r="U34" s="256">
        <v>1.9987012694148127</v>
      </c>
      <c r="V34" s="256">
        <v>0.23581554571592966</v>
      </c>
      <c r="W34" s="256">
        <v>2.3117808527789689</v>
      </c>
      <c r="X34" s="256">
        <v>0.28694003176797622</v>
      </c>
      <c r="Y34" s="256">
        <v>2.1759183865805229</v>
      </c>
      <c r="Z34" s="256">
        <v>0.54268822199224309</v>
      </c>
      <c r="AA34" s="256">
        <v>3.0848157869556361</v>
      </c>
      <c r="AB34" s="256">
        <v>6.3119575765374705E-2</v>
      </c>
      <c r="AC34" s="260">
        <v>1.8481729631444674</v>
      </c>
      <c r="AD34" s="405">
        <v>15487918000184</v>
      </c>
      <c r="AE34" s="257" t="s">
        <v>2274</v>
      </c>
      <c r="AF34" s="257" t="s">
        <v>2115</v>
      </c>
      <c r="AG34" s="261" t="s">
        <v>719</v>
      </c>
      <c r="AH34" s="261" t="s">
        <v>2113</v>
      </c>
      <c r="AI34" s="261">
        <v>5000</v>
      </c>
      <c r="AJ34" s="261">
        <v>1000</v>
      </c>
      <c r="AK34" s="261">
        <v>5000</v>
      </c>
      <c r="AL34" s="256">
        <v>1.9574999999999999E-2</v>
      </c>
      <c r="AM34" s="256">
        <v>0.2</v>
      </c>
      <c r="AN34" s="256" t="s">
        <v>64</v>
      </c>
      <c r="AO34" s="254" t="s">
        <v>1324</v>
      </c>
      <c r="AP34" s="257" t="s">
        <v>13</v>
      </c>
      <c r="AQ34" s="263" t="s">
        <v>664</v>
      </c>
      <c r="AR34" s="256">
        <v>4.8937499999999997E-3</v>
      </c>
      <c r="AS34" s="256">
        <v>4.8937499999999997E-3</v>
      </c>
      <c r="AT34" s="256"/>
      <c r="AW34" s="508"/>
      <c r="AX34" s="509"/>
      <c r="AY34" s="509"/>
      <c r="AZ34" s="509"/>
      <c r="BA34" s="509"/>
      <c r="BB34" s="520"/>
      <c r="BC34" s="509"/>
      <c r="BD34" s="509"/>
      <c r="BE34" s="509"/>
      <c r="BF34" s="509"/>
      <c r="BG34" s="521"/>
      <c r="BH34" s="510"/>
      <c r="BI34" s="511"/>
      <c r="BJ34" s="511"/>
      <c r="BK34" s="511"/>
      <c r="BL34" s="195"/>
      <c r="BM34" s="510"/>
      <c r="BN34" s="510"/>
      <c r="BO34" s="510"/>
      <c r="BP34" s="510"/>
      <c r="BQ34" s="510"/>
      <c r="BR34" s="510"/>
      <c r="BS34" s="510"/>
      <c r="BT34" s="510"/>
      <c r="BU34" s="510"/>
      <c r="BV34" s="512"/>
      <c r="BW34" s="509"/>
    </row>
    <row r="35" spans="2:75" ht="15.75" customHeight="1">
      <c r="B35" s="250" t="s">
        <v>254</v>
      </c>
      <c r="C35" s="251">
        <v>28558421000151</v>
      </c>
      <c r="D35" s="252" t="s">
        <v>13</v>
      </c>
      <c r="E35" s="252" t="s">
        <v>616</v>
      </c>
      <c r="F35" s="252" t="s">
        <v>619</v>
      </c>
      <c r="G35" s="253" t="s">
        <v>34</v>
      </c>
      <c r="H35" s="253" t="s">
        <v>865</v>
      </c>
      <c r="I35" s="253" t="s">
        <v>34</v>
      </c>
      <c r="J35" s="253" t="s">
        <v>611</v>
      </c>
      <c r="K35" s="254" t="s">
        <v>48</v>
      </c>
      <c r="L35" s="255" t="s">
        <v>715</v>
      </c>
      <c r="M35" s="255" t="s">
        <v>34</v>
      </c>
      <c r="N35" s="254">
        <v>452750</v>
      </c>
      <c r="O35" s="254" t="s">
        <v>1321</v>
      </c>
      <c r="P35" s="258">
        <v>43046</v>
      </c>
      <c r="Q35" s="259">
        <v>46255540.969999999</v>
      </c>
      <c r="R35" s="259">
        <v>28344445.303928573</v>
      </c>
      <c r="S35" s="254">
        <v>31</v>
      </c>
      <c r="T35" s="256">
        <v>0.21553637273549286</v>
      </c>
      <c r="U35" s="256">
        <v>2.7862807590358045</v>
      </c>
      <c r="V35" s="256">
        <v>0.29695507160657719</v>
      </c>
      <c r="W35" s="256">
        <v>2.9111526408978352</v>
      </c>
      <c r="X35" s="256">
        <v>0.37821993677668075</v>
      </c>
      <c r="Y35" s="256">
        <v>2.8681104882192678</v>
      </c>
      <c r="Z35" s="256">
        <v>0.42153506888747483</v>
      </c>
      <c r="AA35" s="256">
        <v>2.3961419882779409</v>
      </c>
      <c r="AB35" s="256">
        <v>5.4920380560658046E-2</v>
      </c>
      <c r="AC35" s="260">
        <v>2.9953216635933537</v>
      </c>
      <c r="AD35" s="405">
        <v>0</v>
      </c>
      <c r="AE35" s="257" t="s">
        <v>2294</v>
      </c>
      <c r="AF35" s="257" t="s">
        <v>2115</v>
      </c>
      <c r="AG35" s="261" t="s">
        <v>719</v>
      </c>
      <c r="AH35" s="261" t="s">
        <v>2110</v>
      </c>
      <c r="AI35" s="261">
        <v>50000</v>
      </c>
      <c r="AJ35" s="261">
        <v>10000</v>
      </c>
      <c r="AK35" s="261">
        <v>20000</v>
      </c>
      <c r="AL35" s="256">
        <v>0.02</v>
      </c>
      <c r="AM35" s="256">
        <v>0.2</v>
      </c>
      <c r="AN35" s="256" t="s">
        <v>64</v>
      </c>
      <c r="AO35" s="254" t="s">
        <v>1324</v>
      </c>
      <c r="AP35" s="257" t="s">
        <v>13</v>
      </c>
      <c r="AQ35" s="263" t="s">
        <v>664</v>
      </c>
      <c r="AR35" s="256">
        <v>4.0000000000000001E-3</v>
      </c>
      <c r="AS35" s="256">
        <v>4.0000000000000001E-3</v>
      </c>
      <c r="AT35" s="256"/>
      <c r="AW35" s="508"/>
      <c r="AX35" s="509"/>
      <c r="AY35" s="509"/>
      <c r="AZ35" s="509"/>
      <c r="BA35" s="509"/>
      <c r="BB35" s="520"/>
      <c r="BC35" s="509"/>
      <c r="BD35" s="509"/>
      <c r="BE35" s="509"/>
      <c r="BF35" s="509"/>
      <c r="BG35" s="521"/>
      <c r="BH35" s="510"/>
      <c r="BI35" s="511"/>
      <c r="BJ35" s="511"/>
      <c r="BK35" s="511"/>
      <c r="BL35" s="195"/>
      <c r="BM35" s="510"/>
      <c r="BN35" s="510"/>
      <c r="BO35" s="510"/>
      <c r="BP35" s="510"/>
      <c r="BQ35" s="510"/>
      <c r="BR35" s="510"/>
      <c r="BS35" s="510"/>
      <c r="BT35" s="510"/>
      <c r="BU35" s="510"/>
      <c r="BV35" s="512"/>
      <c r="BW35" s="509"/>
    </row>
    <row r="36" spans="2:75" ht="15.75" customHeight="1">
      <c r="B36" s="250" t="s">
        <v>256</v>
      </c>
      <c r="C36" s="251">
        <v>29726133000121</v>
      </c>
      <c r="D36" s="252" t="s">
        <v>13</v>
      </c>
      <c r="E36" s="252" t="s">
        <v>615</v>
      </c>
      <c r="F36" s="252" t="s">
        <v>619</v>
      </c>
      <c r="G36" s="253" t="s">
        <v>34</v>
      </c>
      <c r="H36" s="253" t="s">
        <v>865</v>
      </c>
      <c r="I36" s="253" t="s">
        <v>34</v>
      </c>
      <c r="J36" s="253" t="s">
        <v>611</v>
      </c>
      <c r="K36" s="254" t="s">
        <v>48</v>
      </c>
      <c r="L36" s="255" t="s">
        <v>715</v>
      </c>
      <c r="M36" s="255" t="s">
        <v>34</v>
      </c>
      <c r="N36" s="254">
        <v>465501</v>
      </c>
      <c r="O36" s="254" t="s">
        <v>1321</v>
      </c>
      <c r="P36" s="258">
        <v>43236</v>
      </c>
      <c r="Q36" s="259">
        <v>2342853462.77</v>
      </c>
      <c r="R36" s="259">
        <v>1738077384.6755545</v>
      </c>
      <c r="S36" s="254">
        <v>31</v>
      </c>
      <c r="T36" s="256">
        <v>0.16028525173603114</v>
      </c>
      <c r="U36" s="256">
        <v>2.0720387338863815</v>
      </c>
      <c r="V36" s="256">
        <v>0.23442702828583206</v>
      </c>
      <c r="W36" s="256">
        <v>2.2981687391292764</v>
      </c>
      <c r="X36" s="256">
        <v>0.40957397410747709</v>
      </c>
      <c r="Y36" s="256">
        <v>3.1058738490903597</v>
      </c>
      <c r="Z36" s="256">
        <v>0.60226310000038152</v>
      </c>
      <c r="AA36" s="256">
        <v>3.4234587070300804</v>
      </c>
      <c r="AB36" s="256">
        <v>5.2054524826844618E-2</v>
      </c>
      <c r="AC36" s="260">
        <v>2.2071467056216321</v>
      </c>
      <c r="AD36" s="405">
        <v>29726117000139</v>
      </c>
      <c r="AE36" s="257" t="s">
        <v>2294</v>
      </c>
      <c r="AF36" s="257" t="s">
        <v>2115</v>
      </c>
      <c r="AG36" s="261" t="s">
        <v>719</v>
      </c>
      <c r="AH36" s="261" t="s">
        <v>2113</v>
      </c>
      <c r="AI36" s="261">
        <v>50000</v>
      </c>
      <c r="AJ36" s="261">
        <v>10000</v>
      </c>
      <c r="AK36" s="261">
        <v>20000</v>
      </c>
      <c r="AL36" s="256">
        <v>0.02</v>
      </c>
      <c r="AM36" s="256">
        <v>0.2</v>
      </c>
      <c r="AN36" s="256" t="s">
        <v>64</v>
      </c>
      <c r="AO36" s="254" t="s">
        <v>1324</v>
      </c>
      <c r="AP36" s="257" t="s">
        <v>13</v>
      </c>
      <c r="AQ36" s="263" t="s">
        <v>664</v>
      </c>
      <c r="AR36" s="256">
        <v>4.0000000000000001E-3</v>
      </c>
      <c r="AS36" s="256">
        <v>4.0000000000000001E-3</v>
      </c>
      <c r="AT36" s="256"/>
      <c r="AW36" s="508"/>
      <c r="AX36" s="509"/>
      <c r="AY36" s="509"/>
      <c r="AZ36" s="509"/>
      <c r="BA36" s="509"/>
      <c r="BB36" s="520"/>
      <c r="BC36" s="509"/>
      <c r="BD36" s="509"/>
      <c r="BE36" s="509"/>
      <c r="BF36" s="509"/>
      <c r="BG36" s="521"/>
      <c r="BH36" s="510"/>
      <c r="BI36" s="511"/>
      <c r="BJ36" s="511"/>
      <c r="BK36" s="511"/>
      <c r="BL36" s="195"/>
      <c r="BM36" s="510"/>
      <c r="BN36" s="510"/>
      <c r="BO36" s="510"/>
      <c r="BP36" s="510"/>
      <c r="BQ36" s="510"/>
      <c r="BR36" s="510"/>
      <c r="BS36" s="510"/>
      <c r="BT36" s="510"/>
      <c r="BU36" s="510"/>
      <c r="BV36" s="512"/>
      <c r="BW36" s="509"/>
    </row>
    <row r="37" spans="2:75" ht="15.75" customHeight="1">
      <c r="B37" s="250" t="s">
        <v>1040</v>
      </c>
      <c r="C37" s="251">
        <v>30338679000194</v>
      </c>
      <c r="D37" s="252" t="s">
        <v>13</v>
      </c>
      <c r="E37" s="252" t="s">
        <v>615</v>
      </c>
      <c r="F37" s="252" t="s">
        <v>619</v>
      </c>
      <c r="G37" s="253" t="s">
        <v>34</v>
      </c>
      <c r="H37" s="253" t="s">
        <v>865</v>
      </c>
      <c r="I37" s="253" t="s">
        <v>34</v>
      </c>
      <c r="J37" s="253" t="s">
        <v>611</v>
      </c>
      <c r="K37" s="254" t="s">
        <v>48</v>
      </c>
      <c r="L37" s="255" t="s">
        <v>715</v>
      </c>
      <c r="M37" s="255" t="s">
        <v>34</v>
      </c>
      <c r="N37" s="254">
        <v>469025</v>
      </c>
      <c r="O37" s="254" t="s">
        <v>1321</v>
      </c>
      <c r="P37" s="258">
        <v>43280</v>
      </c>
      <c r="Q37" s="259">
        <v>1260691713.97</v>
      </c>
      <c r="R37" s="259">
        <v>1130030194.8769047</v>
      </c>
      <c r="S37" s="254">
        <v>31</v>
      </c>
      <c r="T37" s="256">
        <v>0.18671399883618767</v>
      </c>
      <c r="U37" s="256">
        <v>2.413688306049119</v>
      </c>
      <c r="V37" s="256">
        <v>0.22913671437342975</v>
      </c>
      <c r="W37" s="256">
        <v>2.2463059733783934</v>
      </c>
      <c r="X37" s="256">
        <v>0.28122751606601581</v>
      </c>
      <c r="Y37" s="256">
        <v>2.1325993422738132</v>
      </c>
      <c r="Z37" s="256">
        <v>0.41553003221724838</v>
      </c>
      <c r="AA37" s="256">
        <v>2.3620074130819697</v>
      </c>
      <c r="AB37" s="256">
        <v>5.6664441823476602E-2</v>
      </c>
      <c r="AC37" s="260">
        <v>1.9561194929519987</v>
      </c>
      <c r="AD37" s="405">
        <v>0</v>
      </c>
      <c r="AE37" s="257" t="s">
        <v>2123</v>
      </c>
      <c r="AF37" s="257" t="s">
        <v>2109</v>
      </c>
      <c r="AG37" s="261" t="s">
        <v>1432</v>
      </c>
      <c r="AH37" s="261" t="s">
        <v>2113</v>
      </c>
      <c r="AI37" s="261">
        <v>100</v>
      </c>
      <c r="AJ37" s="261">
        <v>100</v>
      </c>
      <c r="AK37" s="261">
        <v>100</v>
      </c>
      <c r="AL37" s="256">
        <v>0</v>
      </c>
      <c r="AM37" s="256" t="s">
        <v>34</v>
      </c>
      <c r="AN37" s="256" t="s">
        <v>34</v>
      </c>
      <c r="AO37" s="254" t="s">
        <v>1324</v>
      </c>
      <c r="AP37" s="257" t="s">
        <v>13</v>
      </c>
      <c r="AQ37" s="263" t="s">
        <v>664</v>
      </c>
      <c r="AR37" s="256">
        <v>4.7499999999999999E-3</v>
      </c>
      <c r="AS37" s="256">
        <v>4.7499999999999999E-3</v>
      </c>
      <c r="AT37" s="256"/>
      <c r="AW37" s="508"/>
      <c r="AX37" s="509"/>
      <c r="AY37" s="509"/>
      <c r="AZ37" s="509"/>
      <c r="BA37" s="509"/>
      <c r="BB37" s="520"/>
      <c r="BC37" s="509"/>
      <c r="BD37" s="509"/>
      <c r="BE37" s="509"/>
      <c r="BF37" s="509"/>
      <c r="BG37" s="521"/>
      <c r="BH37" s="510"/>
      <c r="BI37" s="511"/>
      <c r="BJ37" s="511"/>
      <c r="BK37" s="511"/>
      <c r="BL37" s="195"/>
      <c r="BM37" s="510"/>
      <c r="BN37" s="510"/>
      <c r="BO37" s="510"/>
      <c r="BP37" s="510"/>
      <c r="BQ37" s="510"/>
      <c r="BR37" s="510"/>
      <c r="BS37" s="510"/>
      <c r="BT37" s="510"/>
      <c r="BU37" s="510"/>
      <c r="BV37" s="512"/>
      <c r="BW37" s="509"/>
    </row>
    <row r="38" spans="2:75" ht="15.75" customHeight="1">
      <c r="B38" s="250" t="s">
        <v>1632</v>
      </c>
      <c r="C38" s="251">
        <v>36976786000124</v>
      </c>
      <c r="D38" s="252" t="s">
        <v>13</v>
      </c>
      <c r="E38" s="252" t="s">
        <v>615</v>
      </c>
      <c r="F38" s="252" t="s">
        <v>619</v>
      </c>
      <c r="G38" s="253" t="s">
        <v>34</v>
      </c>
      <c r="H38" s="253" t="s">
        <v>1337</v>
      </c>
      <c r="I38" s="253" t="s">
        <v>34</v>
      </c>
      <c r="J38" s="253" t="s">
        <v>611</v>
      </c>
      <c r="K38" s="254" t="s">
        <v>48</v>
      </c>
      <c r="L38" s="255" t="s">
        <v>715</v>
      </c>
      <c r="M38" s="255"/>
      <c r="N38" s="254">
        <v>544418</v>
      </c>
      <c r="O38" s="254" t="s">
        <v>1321</v>
      </c>
      <c r="P38" s="258">
        <v>44012</v>
      </c>
      <c r="Q38" s="259">
        <v>503736237.45999998</v>
      </c>
      <c r="R38" s="259">
        <v>312940794.8122223</v>
      </c>
      <c r="S38" s="254">
        <v>31</v>
      </c>
      <c r="T38" s="256">
        <v>0.17486024948469603</v>
      </c>
      <c r="U38" s="256">
        <v>1.9668129646528236</v>
      </c>
      <c r="V38" s="256">
        <v>0.2118446462093595</v>
      </c>
      <c r="W38" s="256">
        <v>1.9442483915792685</v>
      </c>
      <c r="X38" s="256">
        <v>0.33408814221729877</v>
      </c>
      <c r="Y38" s="256">
        <v>2.3492378075038687</v>
      </c>
      <c r="Z38" s="256" t="s">
        <v>1417</v>
      </c>
      <c r="AA38" s="256" t="s">
        <v>1417</v>
      </c>
      <c r="AB38" s="256">
        <v>3.7065143409596442E-2</v>
      </c>
      <c r="AC38" s="260">
        <v>2.4134697442257416</v>
      </c>
      <c r="AD38" s="405">
        <v>36017837000190</v>
      </c>
      <c r="AE38" s="257" t="s">
        <v>2318</v>
      </c>
      <c r="AF38" s="257" t="s">
        <v>2318</v>
      </c>
      <c r="AG38" s="261" t="s">
        <v>1436</v>
      </c>
      <c r="AH38" s="261" t="s">
        <v>2113</v>
      </c>
      <c r="AI38" s="261">
        <v>5000</v>
      </c>
      <c r="AJ38" s="261">
        <v>5000</v>
      </c>
      <c r="AK38" s="261">
        <v>5000</v>
      </c>
      <c r="AL38" s="256">
        <v>2.5000000000000001E-2</v>
      </c>
      <c r="AM38" s="256" t="s">
        <v>34</v>
      </c>
      <c r="AN38" s="256" t="s">
        <v>64</v>
      </c>
      <c r="AO38" s="254" t="s">
        <v>1324</v>
      </c>
      <c r="AP38" s="257" t="s">
        <v>13</v>
      </c>
      <c r="AQ38" s="263" t="s">
        <v>668</v>
      </c>
      <c r="AR38" s="256" t="s">
        <v>34</v>
      </c>
      <c r="AS38" s="256" t="s">
        <v>34</v>
      </c>
      <c r="AT38" s="256"/>
      <c r="AW38" s="508"/>
      <c r="AX38" s="509"/>
      <c r="AY38" s="509"/>
      <c r="AZ38" s="509"/>
      <c r="BA38" s="509"/>
      <c r="BB38" s="520"/>
      <c r="BC38" s="509"/>
      <c r="BD38" s="509"/>
      <c r="BE38" s="509"/>
      <c r="BF38" s="509"/>
      <c r="BG38" s="521"/>
      <c r="BH38" s="510"/>
      <c r="BI38" s="511"/>
      <c r="BJ38" s="511"/>
      <c r="BK38" s="511"/>
      <c r="BL38" s="195"/>
      <c r="BM38" s="510"/>
      <c r="BN38" s="510"/>
      <c r="BO38" s="510"/>
      <c r="BP38" s="510"/>
      <c r="BQ38" s="510"/>
      <c r="BR38" s="510"/>
      <c r="BS38" s="510"/>
      <c r="BT38" s="510"/>
      <c r="BU38" s="510"/>
      <c r="BV38" s="512"/>
      <c r="BW38" s="509"/>
    </row>
    <row r="39" spans="2:75" ht="15.75" customHeight="1">
      <c r="B39" s="250" t="s">
        <v>651</v>
      </c>
      <c r="C39" s="251">
        <v>29148660000104</v>
      </c>
      <c r="D39" s="252" t="s">
        <v>13</v>
      </c>
      <c r="E39" s="252" t="s">
        <v>615</v>
      </c>
      <c r="F39" s="252" t="s">
        <v>619</v>
      </c>
      <c r="G39" s="253" t="s">
        <v>34</v>
      </c>
      <c r="H39" s="253" t="s">
        <v>1337</v>
      </c>
      <c r="I39" s="253" t="s">
        <v>34</v>
      </c>
      <c r="J39" s="253" t="s">
        <v>611</v>
      </c>
      <c r="K39" s="254" t="s">
        <v>48</v>
      </c>
      <c r="L39" s="255" t="s">
        <v>715</v>
      </c>
      <c r="M39" s="255" t="s">
        <v>34</v>
      </c>
      <c r="N39" s="254">
        <v>462081</v>
      </c>
      <c r="O39" s="254" t="s">
        <v>1321</v>
      </c>
      <c r="P39" s="258">
        <v>43188</v>
      </c>
      <c r="Q39" s="259">
        <v>183498198.93000001</v>
      </c>
      <c r="R39" s="259">
        <v>118305909.12111111</v>
      </c>
      <c r="S39" s="254">
        <v>31</v>
      </c>
      <c r="T39" s="256">
        <v>0.15564417131751207</v>
      </c>
      <c r="U39" s="256">
        <v>2.0120425814637604</v>
      </c>
      <c r="V39" s="256">
        <v>0.22050798610305611</v>
      </c>
      <c r="W39" s="256">
        <v>2.16171558414548</v>
      </c>
      <c r="X39" s="256">
        <v>0.24881961627488081</v>
      </c>
      <c r="Y39" s="256">
        <v>1.8868443509207393</v>
      </c>
      <c r="Z39" s="256">
        <v>0.45341230173899305</v>
      </c>
      <c r="AA39" s="256">
        <v>2.5773425140306996</v>
      </c>
      <c r="AB39" s="256">
        <v>3.5775460751624202E-2</v>
      </c>
      <c r="AC39" s="260">
        <v>2.8743344636323154</v>
      </c>
      <c r="AD39" s="405">
        <v>28581119000114</v>
      </c>
      <c r="AE39" s="257" t="s">
        <v>2123</v>
      </c>
      <c r="AF39" s="257" t="s">
        <v>2109</v>
      </c>
      <c r="AG39" s="261" t="s">
        <v>1432</v>
      </c>
      <c r="AH39" s="261" t="s">
        <v>2110</v>
      </c>
      <c r="AI39" s="261">
        <v>10000</v>
      </c>
      <c r="AJ39" s="261">
        <v>10000</v>
      </c>
      <c r="AK39" s="261">
        <v>10000</v>
      </c>
      <c r="AL39" s="256">
        <v>0</v>
      </c>
      <c r="AM39" s="256" t="s">
        <v>34</v>
      </c>
      <c r="AN39" s="256" t="s">
        <v>34</v>
      </c>
      <c r="AO39" s="254" t="s">
        <v>1324</v>
      </c>
      <c r="AP39" s="257" t="s">
        <v>13</v>
      </c>
      <c r="AQ39" s="263" t="s">
        <v>664</v>
      </c>
      <c r="AR39" s="256">
        <v>4.7499999999999999E-3</v>
      </c>
      <c r="AS39" s="256">
        <v>4.7499999999999999E-3</v>
      </c>
      <c r="AT39" s="256"/>
      <c r="AW39" s="508"/>
      <c r="AX39" s="509"/>
      <c r="AY39" s="509"/>
      <c r="AZ39" s="509"/>
      <c r="BA39" s="509"/>
      <c r="BB39" s="520"/>
      <c r="BC39" s="509"/>
      <c r="BD39" s="509"/>
      <c r="BE39" s="509"/>
      <c r="BF39" s="509"/>
      <c r="BG39" s="521"/>
      <c r="BH39" s="510"/>
      <c r="BI39" s="511"/>
      <c r="BJ39" s="511"/>
      <c r="BK39" s="511"/>
      <c r="BL39" s="195"/>
      <c r="BM39" s="510"/>
      <c r="BN39" s="510"/>
      <c r="BO39" s="510"/>
      <c r="BP39" s="510"/>
      <c r="BQ39" s="510"/>
      <c r="BR39" s="510"/>
      <c r="BS39" s="510"/>
      <c r="BT39" s="510"/>
      <c r="BU39" s="510"/>
      <c r="BV39" s="512"/>
      <c r="BW39" s="509"/>
    </row>
    <row r="40" spans="2:75" ht="15.75" customHeight="1">
      <c r="B40" s="250" t="s">
        <v>1224</v>
      </c>
      <c r="C40" s="251">
        <v>29177024000100</v>
      </c>
      <c r="D40" s="252" t="s">
        <v>14</v>
      </c>
      <c r="E40" s="252" t="s">
        <v>607</v>
      </c>
      <c r="F40" s="252" t="s">
        <v>1317</v>
      </c>
      <c r="G40" s="253"/>
      <c r="H40" s="253" t="s">
        <v>34</v>
      </c>
      <c r="I40" s="253" t="s">
        <v>34</v>
      </c>
      <c r="J40" s="253" t="s">
        <v>608</v>
      </c>
      <c r="K40" s="254" t="s">
        <v>48</v>
      </c>
      <c r="L40" s="255" t="s">
        <v>715</v>
      </c>
      <c r="M40" s="255" t="s">
        <v>34</v>
      </c>
      <c r="N40" s="254">
        <v>463698</v>
      </c>
      <c r="O40" s="254" t="s">
        <v>1321</v>
      </c>
      <c r="P40" s="258">
        <v>43216</v>
      </c>
      <c r="Q40" s="259">
        <v>352375886.14999998</v>
      </c>
      <c r="R40" s="259">
        <v>334913597.54408753</v>
      </c>
      <c r="S40" s="254">
        <v>32</v>
      </c>
      <c r="T40" s="256">
        <v>0.10823270706921639</v>
      </c>
      <c r="U40" s="256">
        <v>1.3991453292915905</v>
      </c>
      <c r="V40" s="256">
        <v>2.9434782763952949E-2</v>
      </c>
      <c r="W40" s="256">
        <v>0.28855929320870971</v>
      </c>
      <c r="X40" s="256">
        <v>1.1491525403099243</v>
      </c>
      <c r="Y40" s="256">
        <v>8.714232468852547</v>
      </c>
      <c r="Z40" s="256">
        <v>1.8022416161822954</v>
      </c>
      <c r="AA40" s="256">
        <v>10.244525611958187</v>
      </c>
      <c r="AB40" s="256">
        <v>0.23719617549934152</v>
      </c>
      <c r="AC40" s="260">
        <v>-0.16909112836886009</v>
      </c>
      <c r="AD40" s="405">
        <v>29088410000118</v>
      </c>
      <c r="AE40" s="257" t="s">
        <v>2260</v>
      </c>
      <c r="AF40" s="257" t="s">
        <v>2109</v>
      </c>
      <c r="AG40" s="261" t="s">
        <v>1432</v>
      </c>
      <c r="AH40" s="261" t="s">
        <v>2113</v>
      </c>
      <c r="AI40" s="261">
        <v>50</v>
      </c>
      <c r="AJ40" s="261">
        <v>50</v>
      </c>
      <c r="AK40" s="261">
        <v>30</v>
      </c>
      <c r="AL40" s="256">
        <v>0.02</v>
      </c>
      <c r="AM40" s="256">
        <v>0.2</v>
      </c>
      <c r="AN40" s="256" t="s">
        <v>34</v>
      </c>
      <c r="AO40" s="254" t="s">
        <v>1324</v>
      </c>
      <c r="AP40" s="257" t="s">
        <v>716</v>
      </c>
      <c r="AQ40" s="263" t="s">
        <v>667</v>
      </c>
      <c r="AR40" s="256">
        <v>5.3333333333333332E-3</v>
      </c>
      <c r="AS40" s="256">
        <v>5.3333333333333332E-3</v>
      </c>
      <c r="AT40" s="256"/>
      <c r="AW40" s="508"/>
      <c r="AX40" s="509"/>
      <c r="AY40" s="509"/>
      <c r="AZ40" s="509"/>
      <c r="BA40" s="509"/>
      <c r="BB40" s="520"/>
      <c r="BC40" s="509"/>
      <c r="BD40" s="509"/>
      <c r="BE40" s="509"/>
      <c r="BF40" s="509"/>
      <c r="BG40" s="521"/>
      <c r="BH40" s="510"/>
      <c r="BI40" s="511"/>
      <c r="BJ40" s="511"/>
      <c r="BK40" s="511"/>
      <c r="BL40" s="195"/>
      <c r="BM40" s="510"/>
      <c r="BN40" s="510"/>
      <c r="BO40" s="510"/>
      <c r="BP40" s="510"/>
      <c r="BQ40" s="510"/>
      <c r="BR40" s="510"/>
      <c r="BS40" s="510"/>
      <c r="BT40" s="510"/>
      <c r="BU40" s="510"/>
      <c r="BV40" s="512"/>
      <c r="BW40" s="509"/>
    </row>
    <row r="41" spans="2:75" ht="15.75" customHeight="1">
      <c r="B41" s="250" t="s">
        <v>1087</v>
      </c>
      <c r="C41" s="251">
        <v>31922843000179</v>
      </c>
      <c r="D41" s="252" t="s">
        <v>13</v>
      </c>
      <c r="E41" s="252" t="s">
        <v>616</v>
      </c>
      <c r="F41" s="252" t="s">
        <v>617</v>
      </c>
      <c r="G41" s="253" t="s">
        <v>34</v>
      </c>
      <c r="H41" s="253" t="s">
        <v>865</v>
      </c>
      <c r="I41" s="253" t="s">
        <v>34</v>
      </c>
      <c r="J41" s="253" t="s">
        <v>608</v>
      </c>
      <c r="K41" s="254" t="s">
        <v>48</v>
      </c>
      <c r="L41" s="255" t="s">
        <v>715</v>
      </c>
      <c r="M41" s="255" t="s">
        <v>1414</v>
      </c>
      <c r="N41" s="254">
        <v>480819</v>
      </c>
      <c r="O41" s="254" t="s">
        <v>1321</v>
      </c>
      <c r="P41" s="258">
        <v>43434</v>
      </c>
      <c r="Q41" s="259">
        <v>26457639.690000001</v>
      </c>
      <c r="R41" s="259">
        <v>25512561.281349208</v>
      </c>
      <c r="S41" s="254">
        <v>32</v>
      </c>
      <c r="T41" s="256">
        <v>7.2641382127581755E-2</v>
      </c>
      <c r="U41" s="256">
        <v>0.93904932500758775</v>
      </c>
      <c r="V41" s="256">
        <v>8.4689408836585489E-2</v>
      </c>
      <c r="W41" s="256">
        <v>0.83023938556381149</v>
      </c>
      <c r="X41" s="256">
        <v>0.16575945401008063</v>
      </c>
      <c r="Y41" s="256">
        <v>1.2569840517120079</v>
      </c>
      <c r="Z41" s="256">
        <v>0.24822095835964064</v>
      </c>
      <c r="AA41" s="256">
        <v>1.4109683976373855</v>
      </c>
      <c r="AB41" s="256">
        <v>5.175116209043467E-2</v>
      </c>
      <c r="AC41" s="260">
        <v>-0.28039360315105061</v>
      </c>
      <c r="AD41" s="405">
        <v>30658578000109</v>
      </c>
      <c r="AE41" s="257" t="s">
        <v>2334</v>
      </c>
      <c r="AF41" s="257" t="s">
        <v>2112</v>
      </c>
      <c r="AG41" s="261" t="s">
        <v>59</v>
      </c>
      <c r="AH41" s="261" t="s">
        <v>2113</v>
      </c>
      <c r="AI41" s="261">
        <v>1000</v>
      </c>
      <c r="AJ41" s="261">
        <v>1000</v>
      </c>
      <c r="AK41" s="261">
        <v>1000</v>
      </c>
      <c r="AL41" s="256">
        <v>0.02</v>
      </c>
      <c r="AM41" s="256">
        <v>0.2</v>
      </c>
      <c r="AN41" s="256" t="s">
        <v>64</v>
      </c>
      <c r="AO41" s="254" t="s">
        <v>1324</v>
      </c>
      <c r="AP41" s="257" t="s">
        <v>13</v>
      </c>
      <c r="AQ41" s="263" t="s">
        <v>674</v>
      </c>
      <c r="AR41" s="256" t="s">
        <v>34</v>
      </c>
      <c r="AS41" s="256" t="s">
        <v>34</v>
      </c>
      <c r="AT41" s="256"/>
      <c r="AW41" s="508"/>
      <c r="AX41" s="509"/>
      <c r="AY41" s="509"/>
      <c r="AZ41" s="509"/>
      <c r="BA41" s="509"/>
      <c r="BB41" s="520"/>
      <c r="BC41" s="509"/>
      <c r="BD41" s="509"/>
      <c r="BE41" s="509"/>
      <c r="BF41" s="509"/>
      <c r="BG41" s="521"/>
      <c r="BH41" s="510"/>
      <c r="BI41" s="511"/>
      <c r="BJ41" s="511"/>
      <c r="BK41" s="511"/>
      <c r="BL41" s="195"/>
      <c r="BM41" s="510"/>
      <c r="BN41" s="510"/>
      <c r="BO41" s="510"/>
      <c r="BP41" s="510"/>
      <c r="BQ41" s="510"/>
      <c r="BR41" s="510"/>
      <c r="BS41" s="510"/>
      <c r="BT41" s="510"/>
      <c r="BU41" s="510"/>
      <c r="BV41" s="512"/>
      <c r="BW41" s="509"/>
    </row>
    <row r="42" spans="2:75" ht="15.75" customHeight="1">
      <c r="B42" s="250" t="s">
        <v>646</v>
      </c>
      <c r="C42" s="251">
        <v>32073525000143</v>
      </c>
      <c r="D42" s="252" t="s">
        <v>14</v>
      </c>
      <c r="E42" s="252" t="s">
        <v>614</v>
      </c>
      <c r="F42" s="252" t="s">
        <v>689</v>
      </c>
      <c r="G42" s="253"/>
      <c r="H42" s="253" t="s">
        <v>865</v>
      </c>
      <c r="I42" s="253" t="s">
        <v>34</v>
      </c>
      <c r="J42" s="253" t="s">
        <v>608</v>
      </c>
      <c r="K42" s="254" t="s">
        <v>48</v>
      </c>
      <c r="L42" s="255" t="s">
        <v>715</v>
      </c>
      <c r="M42" s="255" t="s">
        <v>34</v>
      </c>
      <c r="N42" s="254">
        <v>485675</v>
      </c>
      <c r="O42" s="254" t="s">
        <v>1321</v>
      </c>
      <c r="P42" s="258">
        <v>43461</v>
      </c>
      <c r="Q42" s="259">
        <v>743709167.04999995</v>
      </c>
      <c r="R42" s="259">
        <v>585249435.06793654</v>
      </c>
      <c r="S42" s="254">
        <v>32</v>
      </c>
      <c r="T42" s="256">
        <v>0.15924514614955787</v>
      </c>
      <c r="U42" s="256">
        <v>2.0585930859608101</v>
      </c>
      <c r="V42" s="256">
        <v>0.15461018483594602</v>
      </c>
      <c r="W42" s="256">
        <v>1.5156967869239706</v>
      </c>
      <c r="X42" s="256">
        <v>0.36953838329088629</v>
      </c>
      <c r="Y42" s="256">
        <v>2.8022766910407082</v>
      </c>
      <c r="Z42" s="256">
        <v>0.67756588679432128</v>
      </c>
      <c r="AA42" s="256">
        <v>3.8515041594464403</v>
      </c>
      <c r="AB42" s="256">
        <v>0.16461533049601917</v>
      </c>
      <c r="AC42" s="260">
        <v>0.36547124018733934</v>
      </c>
      <c r="AD42" s="405">
        <v>32071783000190</v>
      </c>
      <c r="AE42" s="257" t="s">
        <v>2117</v>
      </c>
      <c r="AF42" s="257" t="s">
        <v>2118</v>
      </c>
      <c r="AG42" s="261" t="s">
        <v>1433</v>
      </c>
      <c r="AH42" s="261" t="s">
        <v>2110</v>
      </c>
      <c r="AI42" s="261">
        <v>50000</v>
      </c>
      <c r="AJ42" s="261">
        <v>5000</v>
      </c>
      <c r="AK42" s="261">
        <v>25000</v>
      </c>
      <c r="AL42" s="519">
        <v>1.9E-2</v>
      </c>
      <c r="AM42" s="519">
        <v>0.2</v>
      </c>
      <c r="AN42" s="256" t="s">
        <v>34</v>
      </c>
      <c r="AO42" s="254" t="s">
        <v>1324</v>
      </c>
      <c r="AP42" s="257" t="s">
        <v>716</v>
      </c>
      <c r="AQ42" s="263" t="s">
        <v>659</v>
      </c>
      <c r="AR42" s="256">
        <v>4.7499999999999999E-3</v>
      </c>
      <c r="AS42" s="256">
        <v>4.7499999999999999E-3</v>
      </c>
      <c r="AT42" s="256"/>
      <c r="AW42" s="508"/>
      <c r="AX42" s="509"/>
      <c r="AY42" s="509"/>
      <c r="AZ42" s="509"/>
      <c r="BA42" s="509"/>
      <c r="BB42" s="520"/>
      <c r="BC42" s="509"/>
      <c r="BD42" s="509"/>
      <c r="BE42" s="509"/>
      <c r="BF42" s="509"/>
      <c r="BG42" s="521"/>
      <c r="BH42" s="510"/>
      <c r="BI42" s="511"/>
      <c r="BJ42" s="511"/>
      <c r="BK42" s="511"/>
      <c r="BL42" s="195"/>
      <c r="BM42" s="510"/>
      <c r="BN42" s="510"/>
      <c r="BO42" s="510"/>
      <c r="BP42" s="510"/>
      <c r="BQ42" s="510"/>
      <c r="BR42" s="510"/>
      <c r="BS42" s="510"/>
      <c r="BT42" s="510"/>
      <c r="BU42" s="510"/>
      <c r="BV42" s="512"/>
      <c r="BW42" s="509"/>
    </row>
    <row r="43" spans="2:75" ht="15.75" customHeight="1">
      <c r="B43" s="250" t="s">
        <v>176</v>
      </c>
      <c r="C43" s="251">
        <v>41907541000185</v>
      </c>
      <c r="D43" s="252" t="s">
        <v>14</v>
      </c>
      <c r="E43" s="252" t="s">
        <v>614</v>
      </c>
      <c r="F43" s="252" t="s">
        <v>689</v>
      </c>
      <c r="G43" s="253"/>
      <c r="H43" s="253" t="s">
        <v>865</v>
      </c>
      <c r="I43" s="253" t="s">
        <v>34</v>
      </c>
      <c r="J43" s="253" t="s">
        <v>608</v>
      </c>
      <c r="K43" s="254" t="s">
        <v>48</v>
      </c>
      <c r="L43" s="255" t="s">
        <v>715</v>
      </c>
      <c r="M43" s="255" t="s">
        <v>34</v>
      </c>
      <c r="N43" s="254">
        <v>594474</v>
      </c>
      <c r="O43" s="254" t="s">
        <v>1321</v>
      </c>
      <c r="P43" s="258">
        <v>44349</v>
      </c>
      <c r="Q43" s="259">
        <v>389845488.12</v>
      </c>
      <c r="R43" s="259">
        <v>322657898.43992072</v>
      </c>
      <c r="S43" s="254">
        <v>32</v>
      </c>
      <c r="T43" s="256">
        <v>5.4109452756681664E-2</v>
      </c>
      <c r="U43" s="256">
        <v>0.6994834569426357</v>
      </c>
      <c r="V43" s="256">
        <v>-1.0745578445324089E-2</v>
      </c>
      <c r="W43" s="256">
        <v>-0.10534259913406785</v>
      </c>
      <c r="X43" s="256" t="s">
        <v>1417</v>
      </c>
      <c r="Y43" s="256" t="s">
        <v>1417</v>
      </c>
      <c r="Z43" s="256" t="s">
        <v>1417</v>
      </c>
      <c r="AA43" s="256" t="s">
        <v>1417</v>
      </c>
      <c r="AB43" s="256">
        <v>0.11034693775672084</v>
      </c>
      <c r="AC43" s="260">
        <v>-0.9233229983727782</v>
      </c>
      <c r="AD43" s="405">
        <v>41907552000165</v>
      </c>
      <c r="AE43" s="257" t="s">
        <v>2123</v>
      </c>
      <c r="AF43" s="257" t="s">
        <v>2109</v>
      </c>
      <c r="AG43" s="261" t="s">
        <v>1432</v>
      </c>
      <c r="AH43" s="261" t="s">
        <v>2110</v>
      </c>
      <c r="AI43" s="261">
        <v>5000</v>
      </c>
      <c r="AJ43" s="261">
        <v>1000</v>
      </c>
      <c r="AK43" s="261">
        <v>1000</v>
      </c>
      <c r="AL43" s="256">
        <v>0</v>
      </c>
      <c r="AM43" s="256" t="s">
        <v>34</v>
      </c>
      <c r="AN43" s="256" t="s">
        <v>34</v>
      </c>
      <c r="AO43" s="254" t="s">
        <v>1324</v>
      </c>
      <c r="AP43" s="257" t="s">
        <v>13</v>
      </c>
      <c r="AQ43" s="263" t="s">
        <v>668</v>
      </c>
      <c r="AR43" s="256">
        <v>4.0000000000000001E-3</v>
      </c>
      <c r="AS43" s="256">
        <v>4.0000000000000001E-3</v>
      </c>
      <c r="AT43" s="256"/>
      <c r="AW43" s="508"/>
      <c r="AX43" s="509"/>
      <c r="AY43" s="509"/>
      <c r="AZ43" s="509"/>
      <c r="BA43" s="509"/>
      <c r="BB43" s="520"/>
      <c r="BC43" s="509"/>
      <c r="BD43" s="509"/>
      <c r="BE43" s="509"/>
      <c r="BF43" s="509"/>
      <c r="BG43" s="521"/>
      <c r="BH43" s="510"/>
      <c r="BI43" s="511"/>
      <c r="BJ43" s="511"/>
      <c r="BK43" s="511"/>
      <c r="BL43" s="195"/>
      <c r="BM43" s="510"/>
      <c r="BN43" s="510"/>
      <c r="BO43" s="510"/>
      <c r="BP43" s="510"/>
      <c r="BQ43" s="510"/>
      <c r="BR43" s="510"/>
      <c r="BS43" s="510"/>
      <c r="BT43" s="510"/>
      <c r="BU43" s="510"/>
      <c r="BV43" s="512"/>
      <c r="BW43" s="509"/>
    </row>
    <row r="44" spans="2:75" ht="15.75" customHeight="1">
      <c r="B44" s="250" t="s">
        <v>1093</v>
      </c>
      <c r="C44" s="251">
        <v>37467515000106</v>
      </c>
      <c r="D44" s="252" t="s">
        <v>14</v>
      </c>
      <c r="E44" s="252" t="s">
        <v>614</v>
      </c>
      <c r="F44" s="252" t="s">
        <v>689</v>
      </c>
      <c r="G44" s="253"/>
      <c r="H44" s="253" t="s">
        <v>865</v>
      </c>
      <c r="I44" s="253" t="s">
        <v>34</v>
      </c>
      <c r="J44" s="253" t="s">
        <v>608</v>
      </c>
      <c r="K44" s="254" t="s">
        <v>48</v>
      </c>
      <c r="L44" s="255" t="s">
        <v>715</v>
      </c>
      <c r="M44" s="255" t="s">
        <v>1414</v>
      </c>
      <c r="N44" s="254">
        <v>574759</v>
      </c>
      <c r="O44" s="254" t="s">
        <v>1321</v>
      </c>
      <c r="P44" s="258">
        <v>44225</v>
      </c>
      <c r="Q44" s="259">
        <v>337706043.41000003</v>
      </c>
      <c r="R44" s="259">
        <v>231342673.52904767</v>
      </c>
      <c r="S44" s="254">
        <v>32</v>
      </c>
      <c r="T44" s="256">
        <v>0.20053524105069087</v>
      </c>
      <c r="U44" s="256">
        <v>2.5923582018049651</v>
      </c>
      <c r="V44" s="256">
        <v>4.6820803872954064E-2</v>
      </c>
      <c r="W44" s="256">
        <v>0.45900043432930837</v>
      </c>
      <c r="X44" s="256" t="s">
        <v>1417</v>
      </c>
      <c r="Y44" s="256" t="s">
        <v>1417</v>
      </c>
      <c r="Z44" s="256" t="s">
        <v>1417</v>
      </c>
      <c r="AA44" s="256" t="s">
        <v>1417</v>
      </c>
      <c r="AB44" s="256">
        <v>0.16240664957611842</v>
      </c>
      <c r="AC44" s="260">
        <v>-0.23547296773281978</v>
      </c>
      <c r="AD44" s="405">
        <v>37467474000158</v>
      </c>
      <c r="AE44" s="257" t="s">
        <v>2340</v>
      </c>
      <c r="AF44" s="257" t="s">
        <v>736</v>
      </c>
      <c r="AG44" s="261" t="s">
        <v>736</v>
      </c>
      <c r="AH44" s="261" t="s">
        <v>2110</v>
      </c>
      <c r="AI44" s="261" t="s">
        <v>1427</v>
      </c>
      <c r="AJ44" s="261" t="s">
        <v>1427</v>
      </c>
      <c r="AK44" s="261" t="s">
        <v>1427</v>
      </c>
      <c r="AL44" s="256">
        <v>1.8000000000000002E-2</v>
      </c>
      <c r="AM44" s="256">
        <v>0.2</v>
      </c>
      <c r="AN44" s="256" t="s">
        <v>64</v>
      </c>
      <c r="AO44" s="254" t="s">
        <v>1324</v>
      </c>
      <c r="AP44" s="257" t="s">
        <v>13</v>
      </c>
      <c r="AQ44" s="263" t="s">
        <v>668</v>
      </c>
      <c r="AR44" s="256">
        <v>3.5999999999999995E-3</v>
      </c>
      <c r="AS44" s="256">
        <v>3.5999999999999995E-3</v>
      </c>
      <c r="AT44" s="256"/>
      <c r="AW44" s="508"/>
      <c r="AX44" s="509"/>
      <c r="AY44" s="509"/>
      <c r="AZ44" s="509"/>
      <c r="BA44" s="509"/>
      <c r="BB44" s="520"/>
      <c r="BC44" s="509"/>
      <c r="BD44" s="509"/>
      <c r="BE44" s="509"/>
      <c r="BF44" s="509"/>
      <c r="BG44" s="521"/>
      <c r="BH44" s="510"/>
      <c r="BI44" s="511"/>
      <c r="BJ44" s="511"/>
      <c r="BK44" s="511"/>
      <c r="BL44" s="195"/>
      <c r="BM44" s="510"/>
      <c r="BN44" s="510"/>
      <c r="BO44" s="510"/>
      <c r="BP44" s="510"/>
      <c r="BQ44" s="510"/>
      <c r="BR44" s="510"/>
      <c r="BS44" s="510"/>
      <c r="BT44" s="510"/>
      <c r="BU44" s="510"/>
      <c r="BV44" s="512"/>
      <c r="BW44" s="509"/>
    </row>
    <row r="45" spans="2:75" ht="15.75" customHeight="1">
      <c r="B45" s="250" t="s">
        <v>535</v>
      </c>
      <c r="C45" s="251">
        <v>37495383000126</v>
      </c>
      <c r="D45" s="252" t="s">
        <v>14</v>
      </c>
      <c r="E45" s="252" t="s">
        <v>614</v>
      </c>
      <c r="F45" s="252"/>
      <c r="G45" s="253"/>
      <c r="H45" s="253" t="s">
        <v>865</v>
      </c>
      <c r="I45" s="253" t="s">
        <v>34</v>
      </c>
      <c r="J45" s="253" t="s">
        <v>608</v>
      </c>
      <c r="K45" s="254" t="s">
        <v>48</v>
      </c>
      <c r="L45" s="255" t="s">
        <v>715</v>
      </c>
      <c r="M45" s="255" t="s">
        <v>34</v>
      </c>
      <c r="N45" s="254">
        <v>593559</v>
      </c>
      <c r="O45" s="254" t="s">
        <v>1321</v>
      </c>
      <c r="P45" s="258">
        <v>44316</v>
      </c>
      <c r="Q45" s="259">
        <v>50415599.880000003</v>
      </c>
      <c r="R45" s="259">
        <v>35254838.503492057</v>
      </c>
      <c r="S45" s="254">
        <v>32</v>
      </c>
      <c r="T45" s="256">
        <v>0.17188220886885985</v>
      </c>
      <c r="U45" s="256">
        <v>2.2219548622524163</v>
      </c>
      <c r="V45" s="256">
        <v>9.2075561739139999E-2</v>
      </c>
      <c r="W45" s="256">
        <v>0.90264838134898573</v>
      </c>
      <c r="X45" s="256" t="s">
        <v>1417</v>
      </c>
      <c r="Y45" s="256" t="s">
        <v>1417</v>
      </c>
      <c r="Z45" s="256" t="s">
        <v>1417</v>
      </c>
      <c r="AA45" s="256" t="s">
        <v>1417</v>
      </c>
      <c r="AB45" s="256">
        <v>0.15674486255354012</v>
      </c>
      <c r="AC45" s="260">
        <v>2.044670799141652E-2</v>
      </c>
      <c r="AD45" s="405">
        <v>37487877000169</v>
      </c>
      <c r="AE45" s="257" t="s">
        <v>2257</v>
      </c>
      <c r="AF45" s="257" t="s">
        <v>736</v>
      </c>
      <c r="AG45" s="261" t="s">
        <v>736</v>
      </c>
      <c r="AH45" s="261" t="s">
        <v>2110</v>
      </c>
      <c r="AI45" s="261">
        <v>25000</v>
      </c>
      <c r="AJ45" s="261">
        <v>5000</v>
      </c>
      <c r="AK45" s="261">
        <v>10000</v>
      </c>
      <c r="AL45" s="256">
        <v>1.9E-2</v>
      </c>
      <c r="AM45" s="256">
        <v>0.2</v>
      </c>
      <c r="AN45" s="256" t="s">
        <v>2122</v>
      </c>
      <c r="AO45" s="254" t="s">
        <v>1324</v>
      </c>
      <c r="AP45" s="257" t="s">
        <v>13</v>
      </c>
      <c r="AQ45" s="263" t="s">
        <v>668</v>
      </c>
      <c r="AR45" s="256">
        <v>5.0672999999999994E-3</v>
      </c>
      <c r="AS45" s="256">
        <v>5.0672999999999994E-3</v>
      </c>
      <c r="AT45" s="256"/>
      <c r="AW45" s="508"/>
      <c r="AX45" s="509"/>
      <c r="AY45" s="509"/>
      <c r="AZ45" s="509"/>
      <c r="BA45" s="509"/>
      <c r="BB45" s="520"/>
      <c r="BC45" s="509"/>
      <c r="BD45" s="509"/>
      <c r="BE45" s="509"/>
      <c r="BF45" s="509"/>
      <c r="BG45" s="521"/>
      <c r="BH45" s="510"/>
      <c r="BI45" s="511"/>
      <c r="BJ45" s="511"/>
      <c r="BK45" s="511"/>
      <c r="BL45" s="195"/>
      <c r="BM45" s="510"/>
      <c r="BN45" s="510"/>
      <c r="BO45" s="510"/>
      <c r="BP45" s="510"/>
      <c r="BQ45" s="510"/>
      <c r="BR45" s="510"/>
      <c r="BS45" s="510"/>
      <c r="BT45" s="510"/>
      <c r="BU45" s="510"/>
      <c r="BV45" s="512"/>
      <c r="BW45" s="509"/>
    </row>
    <row r="46" spans="2:75" ht="15.75" customHeight="1">
      <c r="B46" s="250" t="s">
        <v>1226</v>
      </c>
      <c r="C46" s="251">
        <v>29177013000112</v>
      </c>
      <c r="D46" s="252" t="s">
        <v>14</v>
      </c>
      <c r="E46" s="252" t="s">
        <v>607</v>
      </c>
      <c r="F46" s="252"/>
      <c r="G46" s="253"/>
      <c r="H46" s="253" t="s">
        <v>34</v>
      </c>
      <c r="I46" s="253" t="s">
        <v>34</v>
      </c>
      <c r="J46" s="253" t="s">
        <v>608</v>
      </c>
      <c r="K46" s="254" t="s">
        <v>48</v>
      </c>
      <c r="L46" s="255" t="s">
        <v>715</v>
      </c>
      <c r="M46" s="255" t="s">
        <v>34</v>
      </c>
      <c r="N46" s="254">
        <v>463396</v>
      </c>
      <c r="O46" s="254" t="s">
        <v>1321</v>
      </c>
      <c r="P46" s="258">
        <v>43214</v>
      </c>
      <c r="Q46" s="259">
        <v>166381883.96000001</v>
      </c>
      <c r="R46" s="259">
        <v>196252438.27472204</v>
      </c>
      <c r="S46" s="254">
        <v>32</v>
      </c>
      <c r="T46" s="256">
        <v>6.5893072764172E-2</v>
      </c>
      <c r="U46" s="256">
        <v>0.8518126127225365</v>
      </c>
      <c r="V46" s="256">
        <v>-4.1467529488986465E-2</v>
      </c>
      <c r="W46" s="256">
        <v>-0.4065204454339349</v>
      </c>
      <c r="X46" s="256">
        <v>0.78473043079327742</v>
      </c>
      <c r="Y46" s="256">
        <v>5.9507534112670033</v>
      </c>
      <c r="Z46" s="256">
        <v>1.3465565881379415</v>
      </c>
      <c r="AA46" s="256">
        <v>7.6542641848166255</v>
      </c>
      <c r="AB46" s="256">
        <v>0.25070727134656184</v>
      </c>
      <c r="AC46" s="260">
        <v>-0.43143746333503347</v>
      </c>
      <c r="AD46" s="405">
        <v>29088425000186</v>
      </c>
      <c r="AE46" s="257" t="s">
        <v>2260</v>
      </c>
      <c r="AF46" s="257" t="s">
        <v>2109</v>
      </c>
      <c r="AG46" s="261" t="s">
        <v>1432</v>
      </c>
      <c r="AH46" s="261" t="s">
        <v>2113</v>
      </c>
      <c r="AI46" s="261">
        <v>50</v>
      </c>
      <c r="AJ46" s="261">
        <v>50</v>
      </c>
      <c r="AK46" s="261">
        <v>30</v>
      </c>
      <c r="AL46" s="256">
        <v>0.02</v>
      </c>
      <c r="AM46" s="256">
        <v>0.2</v>
      </c>
      <c r="AN46" s="256" t="s">
        <v>34</v>
      </c>
      <c r="AO46" s="254" t="s">
        <v>1324</v>
      </c>
      <c r="AP46" s="257" t="s">
        <v>716</v>
      </c>
      <c r="AQ46" s="263" t="s">
        <v>681</v>
      </c>
      <c r="AR46" s="256">
        <v>5.3333333333333332E-3</v>
      </c>
      <c r="AS46" s="256">
        <v>5.3333333333333332E-3</v>
      </c>
      <c r="AT46" s="256"/>
      <c r="AW46" s="508"/>
      <c r="AX46" s="509"/>
      <c r="AY46" s="509"/>
      <c r="AZ46" s="509"/>
      <c r="BA46" s="509"/>
      <c r="BB46" s="520"/>
      <c r="BC46" s="509"/>
      <c r="BD46" s="509"/>
      <c r="BE46" s="509"/>
      <c r="BF46" s="509"/>
      <c r="BG46" s="521"/>
      <c r="BH46" s="510"/>
      <c r="BI46" s="511"/>
      <c r="BJ46" s="511"/>
      <c r="BK46" s="511"/>
      <c r="BL46" s="195"/>
      <c r="BM46" s="510"/>
      <c r="BN46" s="510"/>
      <c r="BO46" s="510"/>
      <c r="BP46" s="510"/>
      <c r="BQ46" s="510"/>
      <c r="BR46" s="510"/>
      <c r="BS46" s="510"/>
      <c r="BT46" s="510"/>
      <c r="BU46" s="510"/>
      <c r="BV46" s="512"/>
      <c r="BW46" s="509"/>
    </row>
    <row r="47" spans="2:75" ht="15.75" customHeight="1">
      <c r="B47" s="250" t="s">
        <v>212</v>
      </c>
      <c r="C47" s="251">
        <v>11052478000181</v>
      </c>
      <c r="D47" s="252" t="s">
        <v>13</v>
      </c>
      <c r="E47" s="252" t="s">
        <v>616</v>
      </c>
      <c r="F47" s="252" t="s">
        <v>610</v>
      </c>
      <c r="G47" s="253" t="s">
        <v>34</v>
      </c>
      <c r="H47" s="253" t="s">
        <v>865</v>
      </c>
      <c r="I47" s="253" t="s">
        <v>34</v>
      </c>
      <c r="J47" s="253" t="s">
        <v>611</v>
      </c>
      <c r="K47" s="254" t="s">
        <v>48</v>
      </c>
      <c r="L47" s="255" t="s">
        <v>715</v>
      </c>
      <c r="M47" s="255" t="s">
        <v>1414</v>
      </c>
      <c r="N47" s="254">
        <v>340091</v>
      </c>
      <c r="O47" s="254" t="s">
        <v>1321</v>
      </c>
      <c r="P47" s="258">
        <v>40975</v>
      </c>
      <c r="Q47" s="259">
        <v>633329530.24000001</v>
      </c>
      <c r="R47" s="259">
        <v>512346279.22865087</v>
      </c>
      <c r="S47" s="254">
        <v>33</v>
      </c>
      <c r="T47" s="256">
        <v>9.2843419953269501E-2</v>
      </c>
      <c r="U47" s="256">
        <v>1.2002050110416329</v>
      </c>
      <c r="V47" s="256">
        <v>0.14327015600675952</v>
      </c>
      <c r="W47" s="256">
        <v>1.4045265863433227</v>
      </c>
      <c r="X47" s="256">
        <v>0.17990275639709075</v>
      </c>
      <c r="Y47" s="256">
        <v>1.3642352829927946</v>
      </c>
      <c r="Z47" s="256">
        <v>0.3443555930592308</v>
      </c>
      <c r="AA47" s="256">
        <v>1.9574288269900382</v>
      </c>
      <c r="AB47" s="256">
        <v>5.7215161889134517E-2</v>
      </c>
      <c r="AC47" s="260">
        <v>0.67124855939197536</v>
      </c>
      <c r="AD47" s="405">
        <v>22099965000116</v>
      </c>
      <c r="AE47" s="257" t="s">
        <v>2259</v>
      </c>
      <c r="AF47" s="257" t="s">
        <v>2118</v>
      </c>
      <c r="AG47" s="261" t="s">
        <v>1433</v>
      </c>
      <c r="AH47" s="261" t="s">
        <v>2113</v>
      </c>
      <c r="AI47" s="261">
        <v>50000</v>
      </c>
      <c r="AJ47" s="261">
        <v>20000</v>
      </c>
      <c r="AK47" s="261">
        <v>20000</v>
      </c>
      <c r="AL47" s="256">
        <v>9.4999999999999998E-3</v>
      </c>
      <c r="AM47" s="256">
        <v>0.27500000000000002</v>
      </c>
      <c r="AN47" s="256" t="s">
        <v>64</v>
      </c>
      <c r="AO47" s="254" t="s">
        <v>1324</v>
      </c>
      <c r="AP47" s="257" t="s">
        <v>13</v>
      </c>
      <c r="AQ47" s="263" t="s">
        <v>668</v>
      </c>
      <c r="AR47" s="256">
        <v>1.9E-3</v>
      </c>
      <c r="AS47" s="256">
        <v>1.9E-3</v>
      </c>
      <c r="AT47" s="256"/>
      <c r="AW47" s="508"/>
      <c r="AX47" s="509"/>
      <c r="AY47" s="509"/>
      <c r="AZ47" s="509"/>
      <c r="BA47" s="509"/>
      <c r="BB47" s="520"/>
      <c r="BC47" s="509"/>
      <c r="BD47" s="509"/>
      <c r="BE47" s="509"/>
      <c r="BF47" s="509"/>
      <c r="BG47" s="521"/>
      <c r="BH47" s="510"/>
      <c r="BI47" s="511"/>
      <c r="BJ47" s="511"/>
      <c r="BK47" s="511"/>
      <c r="BL47" s="195"/>
      <c r="BM47" s="510"/>
      <c r="BN47" s="510"/>
      <c r="BO47" s="510"/>
      <c r="BP47" s="510"/>
      <c r="BQ47" s="510"/>
      <c r="BR47" s="510"/>
      <c r="BS47" s="510"/>
      <c r="BT47" s="510"/>
      <c r="BU47" s="510"/>
      <c r="BV47" s="512"/>
      <c r="BW47" s="509"/>
    </row>
    <row r="48" spans="2:75" ht="15.75" customHeight="1">
      <c r="B48" s="250" t="s">
        <v>26</v>
      </c>
      <c r="C48" s="251">
        <v>28581159000166</v>
      </c>
      <c r="D48" s="252" t="s">
        <v>14</v>
      </c>
      <c r="E48" s="252" t="s">
        <v>614</v>
      </c>
      <c r="F48" s="252" t="s">
        <v>689</v>
      </c>
      <c r="G48" s="253"/>
      <c r="H48" s="253" t="s">
        <v>865</v>
      </c>
      <c r="I48" s="253" t="s">
        <v>34</v>
      </c>
      <c r="J48" s="253" t="s">
        <v>608</v>
      </c>
      <c r="K48" s="254" t="s">
        <v>48</v>
      </c>
      <c r="L48" s="255" t="s">
        <v>715</v>
      </c>
      <c r="M48" s="255" t="s">
        <v>34</v>
      </c>
      <c r="N48" s="254">
        <v>464244</v>
      </c>
      <c r="O48" s="254" t="s">
        <v>1321</v>
      </c>
      <c r="P48" s="258">
        <v>43188</v>
      </c>
      <c r="Q48" s="259">
        <v>64636313.359999999</v>
      </c>
      <c r="R48" s="259">
        <v>72727350.863849178</v>
      </c>
      <c r="S48" s="254">
        <v>33</v>
      </c>
      <c r="T48" s="256">
        <v>0.12104194831063597</v>
      </c>
      <c r="U48" s="256">
        <v>1.5647328909446501</v>
      </c>
      <c r="V48" s="256">
        <v>1.5052931953757565E-2</v>
      </c>
      <c r="W48" s="256">
        <v>0.14756906616666166</v>
      </c>
      <c r="X48" s="256">
        <v>0.1897920727892275</v>
      </c>
      <c r="Y48" s="256">
        <v>1.4392277656930215</v>
      </c>
      <c r="Z48" s="256">
        <v>0.43481787180532061</v>
      </c>
      <c r="AA48" s="256">
        <v>2.4716457461917742</v>
      </c>
      <c r="AB48" s="256">
        <v>0.12572524380148822</v>
      </c>
      <c r="AC48" s="260">
        <v>-0.59118830637135467</v>
      </c>
      <c r="AD48" s="405">
        <v>28581136000151</v>
      </c>
      <c r="AE48" s="257" t="s">
        <v>2434</v>
      </c>
      <c r="AF48" s="257" t="s">
        <v>2112</v>
      </c>
      <c r="AG48" s="261" t="s">
        <v>59</v>
      </c>
      <c r="AH48" s="261" t="s">
        <v>2110</v>
      </c>
      <c r="AI48" s="261">
        <v>1000</v>
      </c>
      <c r="AJ48" s="261">
        <v>1000</v>
      </c>
      <c r="AK48" s="261">
        <v>1000</v>
      </c>
      <c r="AL48" s="256">
        <v>1.9E-2</v>
      </c>
      <c r="AM48" s="256">
        <v>0.2</v>
      </c>
      <c r="AN48" s="256" t="s">
        <v>2122</v>
      </c>
      <c r="AO48" s="254" t="s">
        <v>1324</v>
      </c>
      <c r="AP48" s="257" t="s">
        <v>13</v>
      </c>
      <c r="AQ48" s="263" t="s">
        <v>668</v>
      </c>
      <c r="AR48" s="256">
        <v>4.7499999999999999E-3</v>
      </c>
      <c r="AS48" s="256">
        <v>4.7499999999999999E-3</v>
      </c>
      <c r="AT48" s="256"/>
      <c r="AW48" s="508"/>
      <c r="AX48" s="509"/>
      <c r="AY48" s="509"/>
      <c r="AZ48" s="509"/>
      <c r="BA48" s="509"/>
      <c r="BB48" s="520"/>
      <c r="BC48" s="509"/>
      <c r="BD48" s="509"/>
      <c r="BE48" s="509"/>
      <c r="BF48" s="509"/>
      <c r="BG48" s="521"/>
      <c r="BH48" s="510"/>
      <c r="BI48" s="511"/>
      <c r="BJ48" s="511"/>
      <c r="BK48" s="511"/>
      <c r="BL48" s="195"/>
      <c r="BM48" s="510"/>
      <c r="BN48" s="510"/>
      <c r="BO48" s="510"/>
      <c r="BP48" s="510"/>
      <c r="BQ48" s="510"/>
      <c r="BR48" s="510"/>
      <c r="BS48" s="510"/>
      <c r="BT48" s="510"/>
      <c r="BU48" s="510"/>
      <c r="BV48" s="512"/>
      <c r="BW48" s="509"/>
    </row>
    <row r="49" spans="2:75" ht="15.75" customHeight="1">
      <c r="B49" s="250" t="s">
        <v>999</v>
      </c>
      <c r="C49" s="251">
        <v>29993583000180</v>
      </c>
      <c r="D49" s="252" t="s">
        <v>13</v>
      </c>
      <c r="E49" s="252" t="s">
        <v>615</v>
      </c>
      <c r="F49" s="252" t="s">
        <v>619</v>
      </c>
      <c r="G49" s="253" t="s">
        <v>34</v>
      </c>
      <c r="H49" s="253" t="s">
        <v>1337</v>
      </c>
      <c r="I49" s="253" t="s">
        <v>34</v>
      </c>
      <c r="J49" s="253" t="s">
        <v>611</v>
      </c>
      <c r="K49" s="254" t="s">
        <v>48</v>
      </c>
      <c r="L49" s="255" t="s">
        <v>715</v>
      </c>
      <c r="M49" s="255" t="s">
        <v>34</v>
      </c>
      <c r="N49" s="254">
        <v>469068</v>
      </c>
      <c r="O49" s="254" t="s">
        <v>1324</v>
      </c>
      <c r="P49" s="258">
        <v>43280</v>
      </c>
      <c r="Q49" s="259">
        <v>209514898.55000001</v>
      </c>
      <c r="R49" s="259">
        <v>226969790.20222238</v>
      </c>
      <c r="S49" s="254">
        <v>43</v>
      </c>
      <c r="T49" s="256">
        <v>9.9680976539747501E-2</v>
      </c>
      <c r="U49" s="256">
        <v>1.2885954395986825</v>
      </c>
      <c r="V49" s="256">
        <v>0.11982181140402681</v>
      </c>
      <c r="W49" s="256">
        <v>1.1746544041791305</v>
      </c>
      <c r="X49" s="256">
        <v>0.13795117316526961</v>
      </c>
      <c r="Y49" s="256">
        <v>1.046108806398216</v>
      </c>
      <c r="Z49" s="256">
        <v>0.42657817472667592</v>
      </c>
      <c r="AA49" s="256">
        <v>2.4248086367836792</v>
      </c>
      <c r="AB49" s="256">
        <v>4.5438564218148243E-2</v>
      </c>
      <c r="AC49" s="260">
        <v>0.37565087327515378</v>
      </c>
      <c r="AD49" s="405">
        <v>11419627000106</v>
      </c>
      <c r="AE49" s="257" t="s">
        <v>2284</v>
      </c>
      <c r="AF49" s="257" t="s">
        <v>2112</v>
      </c>
      <c r="AG49" s="261" t="s">
        <v>59</v>
      </c>
      <c r="AH49" s="261" t="s">
        <v>2113</v>
      </c>
      <c r="AI49" s="261">
        <v>10000</v>
      </c>
      <c r="AJ49" s="261">
        <v>0</v>
      </c>
      <c r="AK49" s="261">
        <v>10000</v>
      </c>
      <c r="AL49" s="256">
        <v>0.02</v>
      </c>
      <c r="AM49" s="256">
        <v>0.2</v>
      </c>
      <c r="AN49" s="256" t="s">
        <v>64</v>
      </c>
      <c r="AO49" s="254" t="s">
        <v>1324</v>
      </c>
      <c r="AP49" s="257" t="s">
        <v>13</v>
      </c>
      <c r="AQ49" s="263" t="s">
        <v>668</v>
      </c>
      <c r="AR49" s="256">
        <v>4.6666666666666662E-3</v>
      </c>
      <c r="AS49" s="256">
        <v>4.6666666666666662E-3</v>
      </c>
      <c r="AT49" s="256"/>
      <c r="AW49" s="508"/>
      <c r="AX49" s="509"/>
      <c r="AY49" s="509"/>
      <c r="AZ49" s="509"/>
      <c r="BA49" s="509"/>
      <c r="BB49" s="520"/>
      <c r="BC49" s="509"/>
      <c r="BD49" s="509"/>
      <c r="BE49" s="509"/>
      <c r="BF49" s="509"/>
      <c r="BG49" s="521"/>
      <c r="BH49" s="510"/>
      <c r="BI49" s="511"/>
      <c r="BJ49" s="511"/>
      <c r="BK49" s="511"/>
      <c r="BL49" s="195"/>
      <c r="BM49" s="510"/>
      <c r="BN49" s="510"/>
      <c r="BO49" s="510"/>
      <c r="BP49" s="510"/>
      <c r="BQ49" s="510"/>
      <c r="BR49" s="510"/>
      <c r="BS49" s="510"/>
      <c r="BT49" s="510"/>
      <c r="BU49" s="510"/>
      <c r="BV49" s="512"/>
      <c r="BW49" s="509"/>
    </row>
    <row r="50" spans="2:75" ht="15.75" customHeight="1">
      <c r="B50" s="250" t="s">
        <v>20</v>
      </c>
      <c r="C50" s="251">
        <v>33599991000120</v>
      </c>
      <c r="D50" s="252" t="s">
        <v>11</v>
      </c>
      <c r="E50" s="252" t="s">
        <v>620</v>
      </c>
      <c r="F50" s="252" t="s">
        <v>663</v>
      </c>
      <c r="G50" s="253" t="s">
        <v>738</v>
      </c>
      <c r="H50" s="253" t="s">
        <v>34</v>
      </c>
      <c r="I50" s="253"/>
      <c r="J50" s="253" t="s">
        <v>608</v>
      </c>
      <c r="K50" s="254" t="s">
        <v>48</v>
      </c>
      <c r="L50" s="255" t="s">
        <v>715</v>
      </c>
      <c r="M50" s="255" t="s">
        <v>34</v>
      </c>
      <c r="N50" s="254">
        <v>500399</v>
      </c>
      <c r="O50" s="254" t="s">
        <v>1321</v>
      </c>
      <c r="P50" s="258">
        <v>43644</v>
      </c>
      <c r="Q50" s="259">
        <v>185914080.28999999</v>
      </c>
      <c r="R50" s="259">
        <v>162490761.43448415</v>
      </c>
      <c r="S50" s="254">
        <v>60</v>
      </c>
      <c r="T50" s="256">
        <v>5.8093272429671883E-2</v>
      </c>
      <c r="U50" s="256">
        <v>0.75098307142275389</v>
      </c>
      <c r="V50" s="256">
        <v>9.4517077890315271E-2</v>
      </c>
      <c r="W50" s="256">
        <v>0.92658340341422663</v>
      </c>
      <c r="X50" s="256">
        <v>0.1817992835447082</v>
      </c>
      <c r="Y50" s="256">
        <v>1.3786169928773424</v>
      </c>
      <c r="Z50" s="256">
        <v>0.26310147253226446</v>
      </c>
      <c r="AA50" s="256">
        <v>1.4955540642826128</v>
      </c>
      <c r="AB50" s="256">
        <v>2.0537877681448012E-2</v>
      </c>
      <c r="AC50" s="260">
        <v>-0.32192309075952358</v>
      </c>
      <c r="AD50" s="405">
        <v>0</v>
      </c>
      <c r="AE50" s="257" t="s">
        <v>2144</v>
      </c>
      <c r="AF50" s="257" t="s">
        <v>2109</v>
      </c>
      <c r="AG50" s="261" t="s">
        <v>1432</v>
      </c>
      <c r="AH50" s="261" t="s">
        <v>2110</v>
      </c>
      <c r="AI50" s="261">
        <v>5000</v>
      </c>
      <c r="AJ50" s="261">
        <v>1000</v>
      </c>
      <c r="AK50" s="261">
        <v>1000</v>
      </c>
      <c r="AL50" s="256">
        <v>0.01</v>
      </c>
      <c r="AM50" s="256">
        <v>0.2</v>
      </c>
      <c r="AN50" s="256" t="s">
        <v>64</v>
      </c>
      <c r="AO50" s="254" t="s">
        <v>1324</v>
      </c>
      <c r="AP50" s="257" t="s">
        <v>13</v>
      </c>
      <c r="AQ50" s="263" t="s">
        <v>668</v>
      </c>
      <c r="AR50" s="256">
        <v>3.4999999999999996E-3</v>
      </c>
      <c r="AS50" s="256">
        <v>3.4999999999999996E-3</v>
      </c>
      <c r="AT50" s="256"/>
      <c r="AW50" s="508"/>
      <c r="AX50" s="509"/>
      <c r="AY50" s="509"/>
      <c r="AZ50" s="509"/>
      <c r="BA50" s="509"/>
      <c r="BB50" s="520"/>
      <c r="BC50" s="509"/>
      <c r="BD50" s="509"/>
      <c r="BE50" s="509"/>
      <c r="BF50" s="509"/>
      <c r="BG50" s="521"/>
      <c r="BH50" s="510"/>
      <c r="BI50" s="511"/>
      <c r="BJ50" s="511"/>
      <c r="BK50" s="511"/>
      <c r="BL50" s="195"/>
      <c r="BM50" s="510"/>
      <c r="BN50" s="510"/>
      <c r="BO50" s="510"/>
      <c r="BP50" s="510"/>
      <c r="BQ50" s="510"/>
      <c r="BR50" s="510"/>
      <c r="BS50" s="510"/>
      <c r="BT50" s="510"/>
      <c r="BU50" s="510"/>
      <c r="BV50" s="512"/>
      <c r="BW50" s="509"/>
    </row>
    <row r="51" spans="2:75" ht="15.75" customHeight="1">
      <c r="B51" s="250" t="s">
        <v>773</v>
      </c>
      <c r="C51" s="251">
        <v>32102131000176</v>
      </c>
      <c r="D51" s="252" t="s">
        <v>11</v>
      </c>
      <c r="E51" s="252" t="s">
        <v>620</v>
      </c>
      <c r="F51" s="252" t="s">
        <v>663</v>
      </c>
      <c r="G51" s="253" t="s">
        <v>738</v>
      </c>
      <c r="H51" s="253" t="s">
        <v>34</v>
      </c>
      <c r="I51" s="253"/>
      <c r="J51" s="253" t="s">
        <v>608</v>
      </c>
      <c r="K51" s="254" t="s">
        <v>48</v>
      </c>
      <c r="L51" s="255" t="s">
        <v>715</v>
      </c>
      <c r="M51" s="255" t="s">
        <v>34</v>
      </c>
      <c r="N51" s="254">
        <v>485357</v>
      </c>
      <c r="O51" s="254" t="s">
        <v>1324</v>
      </c>
      <c r="P51" s="258">
        <v>43447</v>
      </c>
      <c r="Q51" s="259">
        <v>462909875.31</v>
      </c>
      <c r="R51" s="259">
        <v>364741279.20591247</v>
      </c>
      <c r="S51" s="254">
        <v>61</v>
      </c>
      <c r="T51" s="256">
        <v>9.5616480493036837E-2</v>
      </c>
      <c r="U51" s="256">
        <v>1.2360529058889549</v>
      </c>
      <c r="V51" s="256">
        <v>0.13284031042805844</v>
      </c>
      <c r="W51" s="256">
        <v>1.3022792250292896</v>
      </c>
      <c r="X51" s="256">
        <v>0.2240674455912639</v>
      </c>
      <c r="Y51" s="256">
        <v>1.6991441441339348</v>
      </c>
      <c r="Z51" s="256">
        <v>0.26629863841196011</v>
      </c>
      <c r="AA51" s="256">
        <v>1.5137277916264542</v>
      </c>
      <c r="AB51" s="256">
        <v>2.7518193361133802E-3</v>
      </c>
      <c r="AC51" s="260">
        <v>10.03357930847856</v>
      </c>
      <c r="AD51" s="405">
        <v>34962302000162</v>
      </c>
      <c r="AE51" s="257" t="s">
        <v>2152</v>
      </c>
      <c r="AF51" s="257" t="s">
        <v>2118</v>
      </c>
      <c r="AG51" s="261" t="s">
        <v>1433</v>
      </c>
      <c r="AH51" s="261" t="s">
        <v>2110</v>
      </c>
      <c r="AI51" s="261">
        <v>1000</v>
      </c>
      <c r="AJ51" s="261">
        <v>1000</v>
      </c>
      <c r="AK51" s="261">
        <v>1000</v>
      </c>
      <c r="AL51" s="519">
        <v>6.9999999999999993E-3</v>
      </c>
      <c r="AM51" s="519" t="s">
        <v>34</v>
      </c>
      <c r="AN51" s="256" t="s">
        <v>64</v>
      </c>
      <c r="AO51" s="254" t="s">
        <v>1324</v>
      </c>
      <c r="AP51" s="257" t="s">
        <v>11</v>
      </c>
      <c r="AQ51" s="263" t="s">
        <v>669</v>
      </c>
      <c r="AR51" s="256">
        <v>1.8666666666666666E-3</v>
      </c>
      <c r="AS51" s="256">
        <v>1.8666666666666666E-3</v>
      </c>
      <c r="AT51" s="256"/>
      <c r="AW51" s="508"/>
      <c r="AX51" s="509"/>
      <c r="AY51" s="509"/>
      <c r="AZ51" s="509"/>
      <c r="BA51" s="509"/>
      <c r="BB51" s="520"/>
      <c r="BC51" s="509"/>
      <c r="BD51" s="509"/>
      <c r="BE51" s="509"/>
      <c r="BF51" s="509"/>
      <c r="BG51" s="521"/>
      <c r="BH51" s="510"/>
      <c r="BI51" s="511"/>
      <c r="BJ51" s="511"/>
      <c r="BK51" s="511"/>
      <c r="BL51" s="195"/>
      <c r="BM51" s="510"/>
      <c r="BN51" s="510"/>
      <c r="BO51" s="510"/>
      <c r="BP51" s="510"/>
      <c r="BQ51" s="510"/>
      <c r="BR51" s="510"/>
      <c r="BS51" s="510"/>
      <c r="BT51" s="510"/>
      <c r="BU51" s="510"/>
      <c r="BV51" s="512"/>
      <c r="BW51" s="509"/>
    </row>
    <row r="52" spans="2:75" ht="15.75" customHeight="1">
      <c r="B52" s="250" t="s">
        <v>538</v>
      </c>
      <c r="C52" s="251">
        <v>12831360000114</v>
      </c>
      <c r="D52" s="252" t="s">
        <v>13</v>
      </c>
      <c r="E52" s="252" t="s">
        <v>615</v>
      </c>
      <c r="F52" s="252" t="s">
        <v>619</v>
      </c>
      <c r="G52" s="253" t="s">
        <v>34</v>
      </c>
      <c r="H52" s="253" t="s">
        <v>1338</v>
      </c>
      <c r="I52" s="253" t="s">
        <v>34</v>
      </c>
      <c r="J52" s="253" t="s">
        <v>611</v>
      </c>
      <c r="K52" s="254" t="s">
        <v>48</v>
      </c>
      <c r="L52" s="255" t="s">
        <v>715</v>
      </c>
      <c r="M52" s="255" t="s">
        <v>1414</v>
      </c>
      <c r="N52" s="254">
        <v>262773</v>
      </c>
      <c r="O52" s="254" t="s">
        <v>1321</v>
      </c>
      <c r="P52" s="258">
        <v>40513</v>
      </c>
      <c r="Q52" s="259">
        <v>960549916.95000005</v>
      </c>
      <c r="R52" s="259">
        <v>964890758.05265939</v>
      </c>
      <c r="S52" s="254">
        <v>61</v>
      </c>
      <c r="T52" s="256">
        <v>0.227172807317084</v>
      </c>
      <c r="U52" s="256">
        <v>2.9367072200872535</v>
      </c>
      <c r="V52" s="256">
        <v>0.31489973188842435</v>
      </c>
      <c r="W52" s="256">
        <v>3.0870703138538431</v>
      </c>
      <c r="X52" s="256">
        <v>0.40001814506254951</v>
      </c>
      <c r="Y52" s="256">
        <v>3.0334102615255145</v>
      </c>
      <c r="Z52" s="256">
        <v>0.48918222850964632</v>
      </c>
      <c r="AA52" s="256">
        <v>2.7806703739854997</v>
      </c>
      <c r="AB52" s="256">
        <v>7.524015039199819E-2</v>
      </c>
      <c r="AC52" s="260">
        <v>2.3866578580963016</v>
      </c>
      <c r="AD52" s="405">
        <v>12798221000136</v>
      </c>
      <c r="AE52" s="257" t="s">
        <v>2399</v>
      </c>
      <c r="AF52" s="257" t="s">
        <v>2112</v>
      </c>
      <c r="AG52" s="261" t="s">
        <v>59</v>
      </c>
      <c r="AH52" s="261" t="s">
        <v>2110</v>
      </c>
      <c r="AI52" s="261">
        <v>50000</v>
      </c>
      <c r="AJ52" s="261">
        <v>10000</v>
      </c>
      <c r="AK52" s="261">
        <v>50000</v>
      </c>
      <c r="AL52" s="256">
        <v>6.9999999999999993E-3</v>
      </c>
      <c r="AM52" s="256">
        <v>0.2</v>
      </c>
      <c r="AN52" s="256" t="s">
        <v>64</v>
      </c>
      <c r="AO52" s="254" t="s">
        <v>1324</v>
      </c>
      <c r="AP52" s="257" t="s">
        <v>13</v>
      </c>
      <c r="AQ52" s="263" t="s">
        <v>664</v>
      </c>
      <c r="AR52" s="256">
        <v>3.16666E-3</v>
      </c>
      <c r="AS52" s="256">
        <v>3.16666E-3</v>
      </c>
      <c r="AT52" s="256"/>
      <c r="AW52" s="508"/>
      <c r="AX52" s="509"/>
      <c r="AY52" s="509"/>
      <c r="AZ52" s="509"/>
      <c r="BA52" s="509"/>
      <c r="BB52" s="520"/>
      <c r="BC52" s="509"/>
      <c r="BD52" s="509"/>
      <c r="BE52" s="509"/>
      <c r="BF52" s="509"/>
      <c r="BG52" s="521"/>
      <c r="BH52" s="510"/>
      <c r="BI52" s="511"/>
      <c r="BJ52" s="511"/>
      <c r="BK52" s="511"/>
      <c r="BL52" s="195"/>
      <c r="BM52" s="510"/>
      <c r="BN52" s="510"/>
      <c r="BO52" s="510"/>
      <c r="BP52" s="510"/>
      <c r="BQ52" s="510"/>
      <c r="BR52" s="510"/>
      <c r="BS52" s="510"/>
      <c r="BT52" s="510"/>
      <c r="BU52" s="510"/>
      <c r="BV52" s="512"/>
      <c r="BW52" s="509"/>
    </row>
    <row r="53" spans="2:75" ht="15.75" customHeight="1">
      <c r="B53" s="250" t="s">
        <v>434</v>
      </c>
      <c r="C53" s="251">
        <v>30593439000136</v>
      </c>
      <c r="D53" s="252" t="s">
        <v>13</v>
      </c>
      <c r="E53" s="252" t="s">
        <v>615</v>
      </c>
      <c r="F53" s="252" t="s">
        <v>619</v>
      </c>
      <c r="G53" s="253" t="s">
        <v>34</v>
      </c>
      <c r="H53" s="253" t="s">
        <v>1338</v>
      </c>
      <c r="I53" s="253" t="s">
        <v>34</v>
      </c>
      <c r="J53" s="253" t="s">
        <v>611</v>
      </c>
      <c r="K53" s="254" t="s">
        <v>48</v>
      </c>
      <c r="L53" s="255" t="s">
        <v>715</v>
      </c>
      <c r="M53" s="255" t="s">
        <v>1414</v>
      </c>
      <c r="N53" s="254">
        <v>486124</v>
      </c>
      <c r="O53" s="254" t="s">
        <v>1324</v>
      </c>
      <c r="P53" s="258">
        <v>43462</v>
      </c>
      <c r="Q53" s="259">
        <v>875689539.36000001</v>
      </c>
      <c r="R53" s="259">
        <v>556217467.59976196</v>
      </c>
      <c r="S53" s="254">
        <v>61</v>
      </c>
      <c r="T53" s="256">
        <v>0.2519168234883582</v>
      </c>
      <c r="U53" s="256">
        <v>3.2565779467042417</v>
      </c>
      <c r="V53" s="256">
        <v>0.375048652534407</v>
      </c>
      <c r="W53" s="256">
        <v>3.6767308582532756</v>
      </c>
      <c r="X53" s="256">
        <v>0.42599942575801797</v>
      </c>
      <c r="Y53" s="256">
        <v>3.2304310328129904</v>
      </c>
      <c r="Z53" s="256">
        <v>0.80963871554437294</v>
      </c>
      <c r="AA53" s="256">
        <v>4.6022489345226001</v>
      </c>
      <c r="AB53" s="256">
        <v>7.1626063474898416E-2</v>
      </c>
      <c r="AC53" s="260">
        <v>3.128593521717308</v>
      </c>
      <c r="AD53" s="405">
        <v>28692461000191</v>
      </c>
      <c r="AE53" s="257" t="s">
        <v>2434</v>
      </c>
      <c r="AF53" s="257" t="s">
        <v>2112</v>
      </c>
      <c r="AG53" s="261" t="s">
        <v>59</v>
      </c>
      <c r="AH53" s="261" t="s">
        <v>2110</v>
      </c>
      <c r="AI53" s="261">
        <v>1000</v>
      </c>
      <c r="AJ53" s="261">
        <v>1000</v>
      </c>
      <c r="AK53" s="261">
        <v>1000</v>
      </c>
      <c r="AL53" s="256">
        <v>1.9E-2</v>
      </c>
      <c r="AM53" s="256">
        <v>0.2</v>
      </c>
      <c r="AN53" s="256" t="s">
        <v>64</v>
      </c>
      <c r="AO53" s="254" t="s">
        <v>1324</v>
      </c>
      <c r="AP53" s="257" t="s">
        <v>13</v>
      </c>
      <c r="AQ53" s="263" t="s">
        <v>664</v>
      </c>
      <c r="AR53" s="256">
        <v>1.2666666666666666E-3</v>
      </c>
      <c r="AS53" s="256">
        <v>1.2666666666666666E-3</v>
      </c>
      <c r="AT53" s="256"/>
      <c r="AW53" s="508"/>
      <c r="AX53" s="509"/>
      <c r="AY53" s="509"/>
      <c r="AZ53" s="509"/>
      <c r="BA53" s="509"/>
      <c r="BB53" s="520"/>
      <c r="BC53" s="509"/>
      <c r="BD53" s="509"/>
      <c r="BE53" s="509"/>
      <c r="BF53" s="509"/>
      <c r="BG53" s="521"/>
      <c r="BH53" s="510"/>
      <c r="BI53" s="511"/>
      <c r="BJ53" s="511"/>
      <c r="BK53" s="511"/>
      <c r="BL53" s="195"/>
      <c r="BM53" s="510"/>
      <c r="BN53" s="510"/>
      <c r="BO53" s="510"/>
      <c r="BP53" s="510"/>
      <c r="BQ53" s="510"/>
      <c r="BR53" s="510"/>
      <c r="BS53" s="510"/>
      <c r="BT53" s="510"/>
      <c r="BU53" s="510"/>
      <c r="BV53" s="512"/>
      <c r="BW53" s="509"/>
    </row>
    <row r="54" spans="2:75" ht="15.75" customHeight="1">
      <c r="B54" s="250" t="s">
        <v>359</v>
      </c>
      <c r="C54" s="251">
        <v>32295829000155</v>
      </c>
      <c r="D54" s="252" t="s">
        <v>14</v>
      </c>
      <c r="E54" s="252" t="s">
        <v>614</v>
      </c>
      <c r="F54" s="252"/>
      <c r="G54" s="253"/>
      <c r="H54" s="253" t="s">
        <v>1338</v>
      </c>
      <c r="I54" s="253" t="s">
        <v>34</v>
      </c>
      <c r="J54" s="253" t="s">
        <v>608</v>
      </c>
      <c r="K54" s="254" t="s">
        <v>48</v>
      </c>
      <c r="L54" s="255" t="s">
        <v>715</v>
      </c>
      <c r="M54" s="255" t="s">
        <v>34</v>
      </c>
      <c r="N54" s="254">
        <v>488720</v>
      </c>
      <c r="O54" s="254" t="s">
        <v>1321</v>
      </c>
      <c r="P54" s="258">
        <v>43521</v>
      </c>
      <c r="Q54" s="259">
        <v>4517832.66</v>
      </c>
      <c r="R54" s="259">
        <v>5515215.5374603225</v>
      </c>
      <c r="S54" s="254">
        <v>61</v>
      </c>
      <c r="T54" s="256">
        <v>0.18456871064082048</v>
      </c>
      <c r="U54" s="256">
        <v>2.3859557468273227</v>
      </c>
      <c r="V54" s="256">
        <v>1.7598963029162862E-2</v>
      </c>
      <c r="W54" s="256">
        <v>0.17252868395959758</v>
      </c>
      <c r="X54" s="256">
        <v>0.23879729405501138</v>
      </c>
      <c r="Y54" s="256">
        <v>1.8108432608669038</v>
      </c>
      <c r="Z54" s="256">
        <v>0.35841106901100006</v>
      </c>
      <c r="AA54" s="256">
        <v>2.0373247089202211</v>
      </c>
      <c r="AB54" s="256">
        <v>0.18386063650394413</v>
      </c>
      <c r="AC54" s="260">
        <v>-0.34187791845850807</v>
      </c>
      <c r="AD54" s="405">
        <v>32041623000107</v>
      </c>
      <c r="AE54" s="257" t="s">
        <v>2123</v>
      </c>
      <c r="AF54" s="257" t="s">
        <v>2109</v>
      </c>
      <c r="AG54" s="261" t="s">
        <v>1432</v>
      </c>
      <c r="AH54" s="261" t="s">
        <v>2110</v>
      </c>
      <c r="AI54" s="261">
        <v>500</v>
      </c>
      <c r="AJ54" s="261">
        <v>100</v>
      </c>
      <c r="AK54" s="261">
        <v>100</v>
      </c>
      <c r="AL54" s="256">
        <v>0</v>
      </c>
      <c r="AM54" s="256" t="s">
        <v>34</v>
      </c>
      <c r="AN54" s="256" t="s">
        <v>34</v>
      </c>
      <c r="AO54" s="254" t="s">
        <v>1324</v>
      </c>
      <c r="AP54" s="257" t="s">
        <v>716</v>
      </c>
      <c r="AQ54" s="263" t="s">
        <v>659</v>
      </c>
      <c r="AR54" s="256">
        <v>7.9333333333333339E-3</v>
      </c>
      <c r="AS54" s="256">
        <v>7.9333333333333339E-3</v>
      </c>
      <c r="AT54" s="256"/>
      <c r="AW54" s="508"/>
      <c r="AX54" s="509"/>
      <c r="AY54" s="509"/>
      <c r="AZ54" s="509"/>
      <c r="BA54" s="509"/>
      <c r="BB54" s="520"/>
      <c r="BC54" s="509"/>
      <c r="BD54" s="509"/>
      <c r="BE54" s="509"/>
      <c r="BF54" s="509"/>
      <c r="BG54" s="521"/>
      <c r="BH54" s="510"/>
      <c r="BI54" s="511"/>
      <c r="BJ54" s="511"/>
      <c r="BK54" s="511"/>
      <c r="BL54" s="195"/>
      <c r="BM54" s="510"/>
      <c r="BN54" s="510"/>
      <c r="BO54" s="510"/>
      <c r="BP54" s="510"/>
      <c r="BQ54" s="510"/>
      <c r="BR54" s="510"/>
      <c r="BS54" s="510"/>
      <c r="BT54" s="510"/>
      <c r="BU54" s="510"/>
      <c r="BV54" s="512"/>
      <c r="BW54" s="509"/>
    </row>
    <row r="55" spans="2:75" ht="15.75" customHeight="1">
      <c r="B55" s="250" t="s">
        <v>648</v>
      </c>
      <c r="C55" s="251">
        <v>30556738000109</v>
      </c>
      <c r="D55" s="252" t="s">
        <v>13</v>
      </c>
      <c r="E55" s="252" t="s">
        <v>615</v>
      </c>
      <c r="F55" s="252" t="s">
        <v>619</v>
      </c>
      <c r="G55" s="253" t="s">
        <v>34</v>
      </c>
      <c r="H55" s="253" t="s">
        <v>865</v>
      </c>
      <c r="I55" s="253" t="s">
        <v>34</v>
      </c>
      <c r="J55" s="253" t="s">
        <v>611</v>
      </c>
      <c r="K55" s="254" t="s">
        <v>48</v>
      </c>
      <c r="L55" s="255" t="s">
        <v>715</v>
      </c>
      <c r="M55" s="255" t="s">
        <v>34</v>
      </c>
      <c r="N55" s="254">
        <v>476080</v>
      </c>
      <c r="O55" s="254" t="s">
        <v>1321</v>
      </c>
      <c r="P55" s="258">
        <v>43375</v>
      </c>
      <c r="Q55" s="259">
        <v>744112869.74000001</v>
      </c>
      <c r="R55" s="259">
        <v>558291905.47972214</v>
      </c>
      <c r="S55" s="254">
        <v>90</v>
      </c>
      <c r="T55" s="256">
        <v>0.18248392530443258</v>
      </c>
      <c r="U55" s="256">
        <v>2.3590053198725824</v>
      </c>
      <c r="V55" s="256">
        <v>0.19159215478208269</v>
      </c>
      <c r="W55" s="256">
        <v>1.8782437503142251</v>
      </c>
      <c r="X55" s="256">
        <v>0.32033237894196409</v>
      </c>
      <c r="Y55" s="256">
        <v>2.4291386212730228</v>
      </c>
      <c r="Z55" s="256">
        <v>0.48295213311651541</v>
      </c>
      <c r="AA55" s="256">
        <v>2.7452564920471429</v>
      </c>
      <c r="AB55" s="256">
        <v>6.0240923843302298E-2</v>
      </c>
      <c r="AC55" s="260">
        <v>1.3281179455378533</v>
      </c>
      <c r="AD55" s="405">
        <v>24300684000105</v>
      </c>
      <c r="AE55" s="257" t="s">
        <v>2255</v>
      </c>
      <c r="AF55" s="257" t="s">
        <v>2115</v>
      </c>
      <c r="AG55" s="261" t="s">
        <v>719</v>
      </c>
      <c r="AH55" s="261" t="s">
        <v>2110</v>
      </c>
      <c r="AI55" s="261">
        <v>50000</v>
      </c>
      <c r="AJ55" s="261">
        <v>25000</v>
      </c>
      <c r="AK55" s="261">
        <v>50000</v>
      </c>
      <c r="AL55" s="256">
        <v>1.975E-2</v>
      </c>
      <c r="AM55" s="256">
        <v>0.2</v>
      </c>
      <c r="AN55" s="256" t="s">
        <v>64</v>
      </c>
      <c r="AO55" s="254" t="s">
        <v>1324</v>
      </c>
      <c r="AP55" s="257" t="s">
        <v>13</v>
      </c>
      <c r="AQ55" s="263" t="s">
        <v>668</v>
      </c>
      <c r="AR55" s="256">
        <v>3.9500000000000004E-3</v>
      </c>
      <c r="AS55" s="256">
        <v>3.9500000000000004E-3</v>
      </c>
      <c r="AT55" s="256"/>
      <c r="AW55" s="508"/>
      <c r="AX55" s="509"/>
      <c r="AY55" s="509"/>
      <c r="AZ55" s="509"/>
      <c r="BA55" s="509"/>
      <c r="BB55" s="520"/>
      <c r="BC55" s="509"/>
      <c r="BD55" s="509"/>
      <c r="BE55" s="509"/>
      <c r="BF55" s="509"/>
      <c r="BG55" s="521"/>
      <c r="BH55" s="510"/>
      <c r="BI55" s="511"/>
      <c r="BJ55" s="511"/>
      <c r="BK55" s="511"/>
      <c r="BL55" s="195"/>
      <c r="BM55" s="510"/>
      <c r="BN55" s="510"/>
      <c r="BO55" s="510"/>
      <c r="BP55" s="510"/>
      <c r="BQ55" s="510"/>
      <c r="BR55" s="510"/>
      <c r="BS55" s="510"/>
      <c r="BT55" s="510"/>
      <c r="BU55" s="510"/>
      <c r="BV55" s="512"/>
      <c r="BW55" s="509"/>
    </row>
    <row r="56" spans="2:75" ht="15.75" customHeight="1">
      <c r="B56" s="250" t="s">
        <v>18</v>
      </c>
      <c r="C56" s="251">
        <v>37806055000101</v>
      </c>
      <c r="D56" s="252" t="s">
        <v>11</v>
      </c>
      <c r="E56" s="252" t="s">
        <v>620</v>
      </c>
      <c r="F56" s="252" t="s">
        <v>685</v>
      </c>
      <c r="G56" s="253" t="s">
        <v>738</v>
      </c>
      <c r="H56" s="253" t="s">
        <v>34</v>
      </c>
      <c r="I56" s="253" t="s">
        <v>1319</v>
      </c>
      <c r="J56" s="253" t="s">
        <v>608</v>
      </c>
      <c r="K56" s="254" t="s">
        <v>48</v>
      </c>
      <c r="L56" s="255" t="s">
        <v>715</v>
      </c>
      <c r="M56" s="255" t="s">
        <v>34</v>
      </c>
      <c r="N56" s="254">
        <v>551791</v>
      </c>
      <c r="O56" s="254" t="s">
        <v>1321</v>
      </c>
      <c r="P56" s="258">
        <v>44069</v>
      </c>
      <c r="Q56" s="259">
        <v>134838741.62</v>
      </c>
      <c r="R56" s="259">
        <v>104349584.08178571</v>
      </c>
      <c r="S56" s="254">
        <v>91</v>
      </c>
      <c r="T56" s="256">
        <v>9.9779881428285089E-2</v>
      </c>
      <c r="U56" s="256">
        <v>1.2898740023971993</v>
      </c>
      <c r="V56" s="256">
        <v>0.13875957348128964</v>
      </c>
      <c r="W56" s="256">
        <v>1.3603077953997353</v>
      </c>
      <c r="X56" s="256">
        <v>0.19455520917035862</v>
      </c>
      <c r="Y56" s="256">
        <v>1.475347494145113</v>
      </c>
      <c r="Z56" s="256" t="s">
        <v>1417</v>
      </c>
      <c r="AA56" s="256" t="s">
        <v>1417</v>
      </c>
      <c r="AB56" s="256">
        <v>1.402393455777768E-3</v>
      </c>
      <c r="AC56" s="260">
        <v>23.404266386728597</v>
      </c>
      <c r="AD56" s="405">
        <v>0</v>
      </c>
      <c r="AE56" s="257" t="s">
        <v>2235</v>
      </c>
      <c r="AF56" s="257" t="s">
        <v>2109</v>
      </c>
      <c r="AG56" s="261" t="s">
        <v>1432</v>
      </c>
      <c r="AH56" s="261" t="s">
        <v>2110</v>
      </c>
      <c r="AI56" s="261">
        <v>5000</v>
      </c>
      <c r="AJ56" s="261">
        <v>5000</v>
      </c>
      <c r="AK56" s="261">
        <v>5000</v>
      </c>
      <c r="AL56" s="256">
        <v>1.9799999999999998E-2</v>
      </c>
      <c r="AM56" s="256">
        <v>0.2</v>
      </c>
      <c r="AN56" s="256" t="s">
        <v>34</v>
      </c>
      <c r="AO56" s="254" t="s">
        <v>1324</v>
      </c>
      <c r="AP56" s="257" t="s">
        <v>13</v>
      </c>
      <c r="AQ56" s="263" t="s">
        <v>668</v>
      </c>
      <c r="AR56" s="256">
        <v>1.0500000000000001E-2</v>
      </c>
      <c r="AS56" s="256">
        <v>1.0500000000000001E-2</v>
      </c>
      <c r="AT56" s="256"/>
      <c r="AW56" s="508"/>
      <c r="AX56" s="509"/>
      <c r="AY56" s="509"/>
      <c r="AZ56" s="509"/>
      <c r="BA56" s="509"/>
      <c r="BB56" s="520"/>
      <c r="BC56" s="509"/>
      <c r="BD56" s="509"/>
      <c r="BE56" s="509"/>
      <c r="BF56" s="509"/>
      <c r="BG56" s="521"/>
      <c r="BH56" s="510"/>
      <c r="BI56" s="511"/>
      <c r="BJ56" s="511"/>
      <c r="BK56" s="511"/>
      <c r="BL56" s="195"/>
      <c r="BM56" s="510"/>
      <c r="BN56" s="510"/>
      <c r="BO56" s="510"/>
      <c r="BP56" s="510"/>
      <c r="BQ56" s="510"/>
      <c r="BR56" s="510"/>
      <c r="BS56" s="510"/>
      <c r="BT56" s="510"/>
      <c r="BU56" s="510"/>
      <c r="BV56" s="512"/>
      <c r="BW56" s="509"/>
    </row>
    <row r="57" spans="2:75" ht="15.75" customHeight="1">
      <c r="B57" s="250" t="s">
        <v>165</v>
      </c>
      <c r="C57" s="251">
        <v>35726908000161</v>
      </c>
      <c r="D57" s="252" t="s">
        <v>13</v>
      </c>
      <c r="E57" s="252" t="s">
        <v>615</v>
      </c>
      <c r="F57" s="252" t="s">
        <v>619</v>
      </c>
      <c r="G57" s="253" t="s">
        <v>34</v>
      </c>
      <c r="H57" s="253" t="s">
        <v>865</v>
      </c>
      <c r="I57" s="253" t="s">
        <v>34</v>
      </c>
      <c r="J57" s="253" t="s">
        <v>611</v>
      </c>
      <c r="K57" s="254" t="s">
        <v>48</v>
      </c>
      <c r="L57" s="255" t="s">
        <v>715</v>
      </c>
      <c r="M57" s="255" t="s">
        <v>1414</v>
      </c>
      <c r="N57" s="254">
        <v>532541</v>
      </c>
      <c r="O57" s="254" t="s">
        <v>1324</v>
      </c>
      <c r="P57" s="258">
        <v>43921</v>
      </c>
      <c r="Q57" s="259">
        <v>1069324942.87</v>
      </c>
      <c r="R57" s="259">
        <v>744462147.47615111</v>
      </c>
      <c r="S57" s="254">
        <v>91</v>
      </c>
      <c r="T57" s="256">
        <v>0.25325969098892909</v>
      </c>
      <c r="U57" s="256">
        <v>3.2739374569868374</v>
      </c>
      <c r="V57" s="256">
        <v>0.35323052176284642</v>
      </c>
      <c r="W57" s="256">
        <v>3.4628402226380928</v>
      </c>
      <c r="X57" s="256">
        <v>0.52037315659559091</v>
      </c>
      <c r="Y57" s="256">
        <v>3.9460841777381459</v>
      </c>
      <c r="Z57" s="256" t="s">
        <v>1417</v>
      </c>
      <c r="AA57" s="256" t="s">
        <v>1417</v>
      </c>
      <c r="AB57" s="256">
        <v>6.8136567763140907E-2</v>
      </c>
      <c r="AC57" s="260">
        <v>3.0502483702549879</v>
      </c>
      <c r="AD57" s="405">
        <v>35803288000117</v>
      </c>
      <c r="AE57" s="257" t="s">
        <v>2201</v>
      </c>
      <c r="AF57" s="257" t="s">
        <v>2109</v>
      </c>
      <c r="AG57" s="261" t="s">
        <v>1432</v>
      </c>
      <c r="AH57" s="261" t="s">
        <v>2110</v>
      </c>
      <c r="AI57" s="261">
        <v>50000</v>
      </c>
      <c r="AJ57" s="261">
        <v>10000</v>
      </c>
      <c r="AK57" s="261">
        <v>50000</v>
      </c>
      <c r="AL57" s="256">
        <v>1.9E-2</v>
      </c>
      <c r="AM57" s="256">
        <v>0.2</v>
      </c>
      <c r="AN57" s="256" t="s">
        <v>34</v>
      </c>
      <c r="AO57" s="254" t="s">
        <v>1324</v>
      </c>
      <c r="AP57" s="257" t="s">
        <v>13</v>
      </c>
      <c r="AQ57" s="263" t="s">
        <v>664</v>
      </c>
      <c r="AR57" s="256" t="s">
        <v>34</v>
      </c>
      <c r="AS57" s="256" t="s">
        <v>34</v>
      </c>
      <c r="AT57" s="256"/>
      <c r="AW57" s="508"/>
      <c r="AX57" s="509"/>
      <c r="AY57" s="509"/>
      <c r="AZ57" s="509"/>
      <c r="BA57" s="509"/>
      <c r="BB57" s="520"/>
      <c r="BC57" s="509"/>
      <c r="BD57" s="509"/>
      <c r="BE57" s="509"/>
      <c r="BF57" s="509"/>
      <c r="BG57" s="521"/>
      <c r="BH57" s="510"/>
      <c r="BI57" s="511"/>
      <c r="BJ57" s="511"/>
      <c r="BK57" s="511"/>
      <c r="BL57" s="195"/>
      <c r="BM57" s="510"/>
      <c r="BN57" s="510"/>
      <c r="BO57" s="510"/>
      <c r="BP57" s="510"/>
      <c r="BQ57" s="510"/>
      <c r="BR57" s="510"/>
      <c r="BS57" s="510"/>
      <c r="BT57" s="510"/>
      <c r="BU57" s="510"/>
      <c r="BV57" s="512"/>
      <c r="BW57" s="509"/>
    </row>
    <row r="58" spans="2:75" ht="15.75" customHeight="1">
      <c r="B58" s="250" t="s">
        <v>100</v>
      </c>
      <c r="C58" s="251">
        <v>34218678000167</v>
      </c>
      <c r="D58" s="252" t="s">
        <v>11</v>
      </c>
      <c r="E58" s="252" t="s">
        <v>620</v>
      </c>
      <c r="F58" s="252" t="s">
        <v>685</v>
      </c>
      <c r="G58" s="253" t="s">
        <v>738</v>
      </c>
      <c r="H58" s="253" t="s">
        <v>34</v>
      </c>
      <c r="I58" s="253" t="s">
        <v>1319</v>
      </c>
      <c r="J58" s="253" t="s">
        <v>608</v>
      </c>
      <c r="K58" s="254" t="s">
        <v>48</v>
      </c>
      <c r="L58" s="255" t="s">
        <v>715</v>
      </c>
      <c r="M58" s="255" t="s">
        <v>34</v>
      </c>
      <c r="N58" s="254">
        <v>523496</v>
      </c>
      <c r="O58" s="254" t="s">
        <v>1321</v>
      </c>
      <c r="P58" s="258">
        <v>43826</v>
      </c>
      <c r="Q58" s="259">
        <v>322713730.58999997</v>
      </c>
      <c r="R58" s="259">
        <v>194749423.50555569</v>
      </c>
      <c r="S58" s="254">
        <v>180</v>
      </c>
      <c r="T58" s="256">
        <v>9.4913279683340956E-2</v>
      </c>
      <c r="U58" s="256">
        <v>1.2269624917703204</v>
      </c>
      <c r="V58" s="256">
        <v>0.13245547943943037</v>
      </c>
      <c r="W58" s="256">
        <v>1.2985065945677758</v>
      </c>
      <c r="X58" s="256">
        <v>0.21110927984115535</v>
      </c>
      <c r="Y58" s="256">
        <v>1.6008800192633459</v>
      </c>
      <c r="Z58" s="256" t="s">
        <v>1417</v>
      </c>
      <c r="AA58" s="256" t="s">
        <v>1417</v>
      </c>
      <c r="AB58" s="256">
        <v>3.1955944672346363E-3</v>
      </c>
      <c r="AC58" s="260">
        <v>8.5342432987347916</v>
      </c>
      <c r="AD58" s="405">
        <v>0</v>
      </c>
      <c r="AE58" s="257" t="s">
        <v>101</v>
      </c>
      <c r="AF58" s="257" t="s">
        <v>736</v>
      </c>
      <c r="AG58" s="261" t="s">
        <v>736</v>
      </c>
      <c r="AH58" s="261" t="s">
        <v>2110</v>
      </c>
      <c r="AI58" s="261">
        <v>5000</v>
      </c>
      <c r="AJ58" s="261" t="s">
        <v>1427</v>
      </c>
      <c r="AK58" s="261" t="s">
        <v>1427</v>
      </c>
      <c r="AL58" s="519">
        <v>1.1000000000000001E-2</v>
      </c>
      <c r="AM58" s="519">
        <v>0.2</v>
      </c>
      <c r="AN58" s="256" t="s">
        <v>64</v>
      </c>
      <c r="AO58" s="254" t="s">
        <v>1324</v>
      </c>
      <c r="AP58" s="257" t="s">
        <v>13</v>
      </c>
      <c r="AQ58" s="263" t="s">
        <v>671</v>
      </c>
      <c r="AR58" s="256">
        <v>2.7499999999999998E-3</v>
      </c>
      <c r="AS58" s="256">
        <v>2.7499999999999998E-3</v>
      </c>
      <c r="AT58" s="256"/>
      <c r="AW58" s="508"/>
      <c r="AX58" s="509"/>
      <c r="AY58" s="509"/>
      <c r="AZ58" s="509"/>
      <c r="BA58" s="509"/>
      <c r="BB58" s="520"/>
      <c r="BC58" s="509"/>
      <c r="BD58" s="509"/>
      <c r="BE58" s="509"/>
      <c r="BF58" s="509"/>
      <c r="BG58" s="521"/>
      <c r="BH58" s="510"/>
      <c r="BI58" s="511"/>
      <c r="BJ58" s="511"/>
      <c r="BK58" s="511"/>
      <c r="BL58" s="195"/>
      <c r="BM58" s="510"/>
      <c r="BN58" s="510"/>
      <c r="BO58" s="510"/>
      <c r="BP58" s="510"/>
      <c r="BQ58" s="510"/>
      <c r="BR58" s="510"/>
      <c r="BS58" s="510"/>
      <c r="BT58" s="510"/>
      <c r="BU58" s="510"/>
      <c r="BV58" s="512"/>
      <c r="BW58" s="509"/>
    </row>
    <row r="59" spans="2:75" ht="15.75" customHeight="1">
      <c r="B59" s="250" t="s">
        <v>576</v>
      </c>
      <c r="C59" s="251">
        <v>43096273000194</v>
      </c>
      <c r="D59" s="252" t="s">
        <v>14</v>
      </c>
      <c r="E59" s="252" t="s">
        <v>607</v>
      </c>
      <c r="F59" s="252"/>
      <c r="G59" s="253"/>
      <c r="H59" s="253" t="s">
        <v>34</v>
      </c>
      <c r="I59" s="253" t="s">
        <v>34</v>
      </c>
      <c r="J59" s="253" t="s">
        <v>612</v>
      </c>
      <c r="K59" s="254" t="s">
        <v>48</v>
      </c>
      <c r="L59" s="255" t="s">
        <v>715</v>
      </c>
      <c r="M59" s="255" t="s">
        <v>1414</v>
      </c>
      <c r="N59" s="254">
        <v>616370</v>
      </c>
      <c r="O59" s="254" t="s">
        <v>1321</v>
      </c>
      <c r="P59" s="258">
        <v>44434</v>
      </c>
      <c r="Q59" s="259">
        <v>30784967.670000002</v>
      </c>
      <c r="R59" s="259">
        <v>33315229.171349205</v>
      </c>
      <c r="S59" s="254">
        <v>212</v>
      </c>
      <c r="T59" s="256">
        <v>-0.10561329629961469</v>
      </c>
      <c r="U59" s="256">
        <v>-1.3652836950127718</v>
      </c>
      <c r="V59" s="256">
        <v>-3.6022114346546563E-2</v>
      </c>
      <c r="W59" s="256">
        <v>-0.35313716901122683</v>
      </c>
      <c r="X59" s="256" t="s">
        <v>1417</v>
      </c>
      <c r="Y59" s="256" t="s">
        <v>1417</v>
      </c>
      <c r="Z59" s="256" t="s">
        <v>1417</v>
      </c>
      <c r="AA59" s="256" t="s">
        <v>1417</v>
      </c>
      <c r="AB59" s="256">
        <v>0.16837839531087839</v>
      </c>
      <c r="AC59" s="260">
        <v>-0.71164983873214893</v>
      </c>
      <c r="AD59" s="405">
        <v>0</v>
      </c>
      <c r="AE59" s="257" t="s">
        <v>2123</v>
      </c>
      <c r="AF59" s="257" t="s">
        <v>2109</v>
      </c>
      <c r="AG59" s="261" t="s">
        <v>1432</v>
      </c>
      <c r="AH59" s="261" t="s">
        <v>726</v>
      </c>
      <c r="AI59" s="261">
        <v>10000</v>
      </c>
      <c r="AJ59" s="261">
        <v>10000</v>
      </c>
      <c r="AK59" s="261">
        <v>10000</v>
      </c>
      <c r="AL59" s="519">
        <v>7.4999999999999997E-3</v>
      </c>
      <c r="AM59" s="519" t="s">
        <v>34</v>
      </c>
      <c r="AN59" s="256" t="s">
        <v>2127</v>
      </c>
      <c r="AO59" s="254" t="s">
        <v>1324</v>
      </c>
      <c r="AP59" s="257" t="s">
        <v>716</v>
      </c>
      <c r="AQ59" s="263" t="s">
        <v>687</v>
      </c>
      <c r="AR59" s="256" t="s">
        <v>34</v>
      </c>
      <c r="AS59" s="256" t="s">
        <v>34</v>
      </c>
      <c r="AT59" s="256"/>
      <c r="AW59" s="508"/>
      <c r="AX59" s="509"/>
      <c r="AY59" s="509"/>
      <c r="AZ59" s="509"/>
      <c r="BA59" s="509"/>
      <c r="BB59" s="520"/>
      <c r="BC59" s="509"/>
      <c r="BD59" s="509"/>
      <c r="BE59" s="509"/>
      <c r="BF59" s="509"/>
      <c r="BG59" s="521"/>
      <c r="BH59" s="510"/>
      <c r="BI59" s="511"/>
      <c r="BJ59" s="511"/>
      <c r="BK59" s="511"/>
      <c r="BL59" s="195"/>
      <c r="BM59" s="510"/>
      <c r="BN59" s="510"/>
      <c r="BO59" s="510"/>
      <c r="BP59" s="510"/>
      <c r="BQ59" s="510"/>
      <c r="BR59" s="510"/>
      <c r="BS59" s="510"/>
      <c r="BT59" s="510"/>
      <c r="BU59" s="510"/>
      <c r="BV59" s="512"/>
      <c r="BW59" s="509"/>
    </row>
    <row r="60" spans="2:75" ht="15.75" customHeight="1">
      <c r="B60" s="250" t="s">
        <v>1049</v>
      </c>
      <c r="C60" s="251">
        <v>30877877000126</v>
      </c>
      <c r="D60" s="252" t="s">
        <v>11</v>
      </c>
      <c r="E60" s="252" t="s">
        <v>620</v>
      </c>
      <c r="F60" s="252" t="s">
        <v>685</v>
      </c>
      <c r="G60" s="253" t="s">
        <v>738</v>
      </c>
      <c r="H60" s="253" t="s">
        <v>34</v>
      </c>
      <c r="I60" s="253" t="s">
        <v>1319</v>
      </c>
      <c r="J60" s="253" t="s">
        <v>608</v>
      </c>
      <c r="K60" s="254" t="s">
        <v>48</v>
      </c>
      <c r="L60" s="255" t="s">
        <v>715</v>
      </c>
      <c r="M60" s="255" t="s">
        <v>34</v>
      </c>
      <c r="N60" s="254">
        <v>471331</v>
      </c>
      <c r="O60" s="254" t="s">
        <v>1321</v>
      </c>
      <c r="P60" s="258">
        <v>43311</v>
      </c>
      <c r="Q60" s="259">
        <v>58841348.590000004</v>
      </c>
      <c r="R60" s="259">
        <v>46958930.899285696</v>
      </c>
      <c r="S60" s="254">
        <v>271</v>
      </c>
      <c r="T60" s="256">
        <v>9.4116528873928962E-2</v>
      </c>
      <c r="U60" s="256">
        <v>1.2166627385461384</v>
      </c>
      <c r="V60" s="256">
        <v>0.14697581971801466</v>
      </c>
      <c r="W60" s="256">
        <v>1.4408544814721584</v>
      </c>
      <c r="X60" s="256">
        <v>0.23379409328674017</v>
      </c>
      <c r="Y60" s="256">
        <v>1.7729030805569004</v>
      </c>
      <c r="Z60" s="256">
        <v>0.30961810397509959</v>
      </c>
      <c r="AA60" s="256">
        <v>1.759969677549609</v>
      </c>
      <c r="AB60" s="256">
        <v>7.7530159421063741E-3</v>
      </c>
      <c r="AC60" s="260">
        <v>5.1649348942836273</v>
      </c>
      <c r="AD60" s="405">
        <v>22672424000135</v>
      </c>
      <c r="AE60" s="257" t="s">
        <v>2123</v>
      </c>
      <c r="AF60" s="257" t="s">
        <v>2109</v>
      </c>
      <c r="AG60" s="261" t="s">
        <v>1432</v>
      </c>
      <c r="AH60" s="261" t="s">
        <v>726</v>
      </c>
      <c r="AI60" s="261">
        <v>50000</v>
      </c>
      <c r="AJ60" s="261">
        <v>50000</v>
      </c>
      <c r="AK60" s="261">
        <v>0</v>
      </c>
      <c r="AL60" s="256">
        <v>0</v>
      </c>
      <c r="AM60" s="256" t="s">
        <v>34</v>
      </c>
      <c r="AN60" s="256" t="s">
        <v>34</v>
      </c>
      <c r="AO60" s="254" t="s">
        <v>1324</v>
      </c>
      <c r="AP60" s="257" t="s">
        <v>13</v>
      </c>
      <c r="AQ60" s="263" t="s">
        <v>679</v>
      </c>
      <c r="AR60" s="256">
        <v>6.6666666666666662E-3</v>
      </c>
      <c r="AS60" s="256">
        <v>6.6666666666666662E-3</v>
      </c>
      <c r="AT60" s="256"/>
      <c r="AW60" s="508"/>
      <c r="AX60" s="509"/>
      <c r="AY60" s="509"/>
      <c r="AZ60" s="509"/>
      <c r="BA60" s="509"/>
      <c r="BB60" s="520"/>
      <c r="BC60" s="509"/>
      <c r="BD60" s="509"/>
      <c r="BE60" s="509"/>
      <c r="BF60" s="509"/>
      <c r="BG60" s="521"/>
      <c r="BH60" s="510"/>
      <c r="BI60" s="511"/>
      <c r="BJ60" s="511"/>
      <c r="BK60" s="511"/>
      <c r="BL60" s="195"/>
      <c r="BM60" s="510"/>
      <c r="BN60" s="510"/>
      <c r="BO60" s="510"/>
      <c r="BP60" s="510"/>
      <c r="BQ60" s="510"/>
      <c r="BR60" s="510"/>
      <c r="BS60" s="510"/>
      <c r="BT60" s="510"/>
      <c r="BU60" s="510"/>
      <c r="BV60" s="512"/>
      <c r="BW60" s="509"/>
    </row>
    <row r="61" spans="2:75" ht="15.75" customHeight="1">
      <c r="B61" s="250" t="s">
        <v>1136</v>
      </c>
      <c r="C61" s="251">
        <v>18719154000101</v>
      </c>
      <c r="D61" s="252" t="s">
        <v>11</v>
      </c>
      <c r="E61" s="252" t="s">
        <v>620</v>
      </c>
      <c r="F61" s="252" t="s">
        <v>672</v>
      </c>
      <c r="G61" s="253" t="s">
        <v>738</v>
      </c>
      <c r="H61" s="253" t="s">
        <v>34</v>
      </c>
      <c r="I61" s="253"/>
      <c r="J61" s="253" t="s">
        <v>608</v>
      </c>
      <c r="K61" s="254" t="s">
        <v>48</v>
      </c>
      <c r="L61" s="255" t="s">
        <v>1339</v>
      </c>
      <c r="M61" s="255" t="s">
        <v>1414</v>
      </c>
      <c r="N61" s="254">
        <v>361445</v>
      </c>
      <c r="O61" s="254" t="s">
        <v>1321</v>
      </c>
      <c r="P61" s="258">
        <v>41698</v>
      </c>
      <c r="Q61" s="259">
        <v>4429327174.8400002</v>
      </c>
      <c r="R61" s="259">
        <v>3873838851.9058709</v>
      </c>
      <c r="S61" s="254">
        <v>0</v>
      </c>
      <c r="T61" s="256">
        <v>8.2563302071404943E-2</v>
      </c>
      <c r="U61" s="256">
        <v>1.0673119206952981</v>
      </c>
      <c r="V61" s="256">
        <v>0.11205540560532024</v>
      </c>
      <c r="W61" s="256">
        <v>1.098517658546637</v>
      </c>
      <c r="X61" s="256">
        <v>0.1748586393070557</v>
      </c>
      <c r="Y61" s="256">
        <v>1.3259848267819745</v>
      </c>
      <c r="Z61" s="256">
        <v>0.19375469987852179</v>
      </c>
      <c r="AA61" s="256">
        <v>1.1013645271090082</v>
      </c>
      <c r="AB61" s="256">
        <v>1.7793491481935841E-3</v>
      </c>
      <c r="AC61" s="260">
        <v>5.1040623518151262</v>
      </c>
      <c r="AD61" s="405">
        <v>0</v>
      </c>
      <c r="AE61" s="257" t="s">
        <v>2366</v>
      </c>
      <c r="AF61" s="257" t="s">
        <v>2112</v>
      </c>
      <c r="AG61" s="261" t="s">
        <v>59</v>
      </c>
      <c r="AH61" s="261" t="s">
        <v>2113</v>
      </c>
      <c r="AI61" s="261">
        <v>20000</v>
      </c>
      <c r="AJ61" s="261">
        <v>100</v>
      </c>
      <c r="AK61" s="261">
        <v>1000</v>
      </c>
      <c r="AL61" s="256">
        <v>4.0000000000000001E-3</v>
      </c>
      <c r="AM61" s="256" t="s">
        <v>34</v>
      </c>
      <c r="AN61" s="256" t="s">
        <v>64</v>
      </c>
      <c r="AO61" s="254" t="s">
        <v>1324</v>
      </c>
      <c r="AP61" s="257" t="s">
        <v>11</v>
      </c>
      <c r="AQ61" s="263" t="s">
        <v>677</v>
      </c>
      <c r="AR61" s="256">
        <v>6.6666666666666664E-4</v>
      </c>
      <c r="AS61" s="256">
        <v>6.6666666666666664E-4</v>
      </c>
      <c r="AT61" s="256"/>
      <c r="AW61" s="508"/>
      <c r="AX61" s="509"/>
      <c r="AY61" s="509"/>
      <c r="AZ61" s="509"/>
      <c r="BA61" s="509"/>
      <c r="BB61" s="520"/>
      <c r="BC61" s="509"/>
      <c r="BD61" s="509"/>
      <c r="BE61" s="509"/>
      <c r="BF61" s="509"/>
      <c r="BG61" s="521"/>
      <c r="BH61" s="510"/>
      <c r="BI61" s="511"/>
      <c r="BJ61" s="511"/>
      <c r="BK61" s="511"/>
      <c r="BL61" s="195"/>
      <c r="BM61" s="510"/>
      <c r="BN61" s="510"/>
      <c r="BO61" s="510"/>
      <c r="BP61" s="510"/>
      <c r="BQ61" s="510"/>
      <c r="BR61" s="510"/>
      <c r="BS61" s="510"/>
      <c r="BT61" s="510"/>
      <c r="BU61" s="510"/>
      <c r="BV61" s="512"/>
      <c r="BW61" s="509"/>
    </row>
    <row r="62" spans="2:75" ht="15.75" customHeight="1">
      <c r="B62" s="250" t="s">
        <v>770</v>
      </c>
      <c r="C62" s="251">
        <v>30921203000181</v>
      </c>
      <c r="D62" s="252" t="s">
        <v>11</v>
      </c>
      <c r="E62" s="252" t="s">
        <v>620</v>
      </c>
      <c r="F62" s="252" t="s">
        <v>663</v>
      </c>
      <c r="G62" s="253" t="s">
        <v>738</v>
      </c>
      <c r="H62" s="253" t="s">
        <v>34</v>
      </c>
      <c r="I62" s="253" t="s">
        <v>1304</v>
      </c>
      <c r="J62" s="253" t="s">
        <v>608</v>
      </c>
      <c r="K62" s="254" t="s">
        <v>48</v>
      </c>
      <c r="L62" s="255" t="s">
        <v>1339</v>
      </c>
      <c r="M62" s="255" t="s">
        <v>34</v>
      </c>
      <c r="N62" s="254">
        <v>474819</v>
      </c>
      <c r="O62" s="254" t="s">
        <v>1324</v>
      </c>
      <c r="P62" s="258">
        <v>43336</v>
      </c>
      <c r="Q62" s="259">
        <v>823565621.47000003</v>
      </c>
      <c r="R62" s="259">
        <v>717151610.39305556</v>
      </c>
      <c r="S62" s="254">
        <v>1</v>
      </c>
      <c r="T62" s="256">
        <v>8.5168234658835162E-2</v>
      </c>
      <c r="U62" s="256">
        <v>1.1009863926873147</v>
      </c>
      <c r="V62" s="256">
        <v>0.11639531226275257</v>
      </c>
      <c r="W62" s="256">
        <v>1.1410632552885327</v>
      </c>
      <c r="X62" s="256">
        <v>0.17673891419195664</v>
      </c>
      <c r="Y62" s="256">
        <v>1.340243292805948</v>
      </c>
      <c r="Z62" s="256">
        <v>0.20011456913455672</v>
      </c>
      <c r="AA62" s="256">
        <v>1.137516085755274</v>
      </c>
      <c r="AB62" s="256">
        <v>1.576882463940955E-3</v>
      </c>
      <c r="AC62" s="260">
        <v>8.2303198014544119</v>
      </c>
      <c r="AD62" s="405">
        <v>34474989000197</v>
      </c>
      <c r="AE62" s="257" t="s">
        <v>2152</v>
      </c>
      <c r="AF62" s="257" t="s">
        <v>2118</v>
      </c>
      <c r="AG62" s="261" t="s">
        <v>1433</v>
      </c>
      <c r="AH62" s="261" t="s">
        <v>2113</v>
      </c>
      <c r="AI62" s="261">
        <v>1000</v>
      </c>
      <c r="AJ62" s="261">
        <v>1000</v>
      </c>
      <c r="AK62" s="261">
        <v>1000</v>
      </c>
      <c r="AL62" s="519">
        <v>4.0000000000000001E-3</v>
      </c>
      <c r="AM62" s="519" t="s">
        <v>34</v>
      </c>
      <c r="AN62" s="256" t="s">
        <v>64</v>
      </c>
      <c r="AO62" s="254" t="s">
        <v>1324</v>
      </c>
      <c r="AP62" s="257" t="s">
        <v>11</v>
      </c>
      <c r="AQ62" s="263" t="s">
        <v>662</v>
      </c>
      <c r="AR62" s="256">
        <v>1.1200000000000001E-3</v>
      </c>
      <c r="AS62" s="256">
        <v>1.1200000000000001E-3</v>
      </c>
      <c r="AT62" s="256"/>
      <c r="AW62" s="508"/>
      <c r="AX62" s="509"/>
      <c r="AY62" s="509"/>
      <c r="AZ62" s="509"/>
      <c r="BA62" s="509"/>
      <c r="BB62" s="520"/>
      <c r="BC62" s="509"/>
      <c r="BD62" s="509"/>
      <c r="BE62" s="509"/>
      <c r="BF62" s="509"/>
      <c r="BG62" s="521"/>
      <c r="BH62" s="510"/>
      <c r="BI62" s="511"/>
      <c r="BJ62" s="511"/>
      <c r="BK62" s="511"/>
      <c r="BL62" s="195"/>
      <c r="BM62" s="510"/>
      <c r="BN62" s="510"/>
      <c r="BO62" s="510"/>
      <c r="BP62" s="510"/>
      <c r="BQ62" s="510"/>
      <c r="BR62" s="510"/>
      <c r="BS62" s="510"/>
      <c r="BT62" s="510"/>
      <c r="BU62" s="510"/>
      <c r="BV62" s="512"/>
      <c r="BW62" s="509"/>
    </row>
    <row r="63" spans="2:75" ht="15.75" customHeight="1">
      <c r="B63" s="250" t="s">
        <v>901</v>
      </c>
      <c r="C63" s="251">
        <v>13615411000133</v>
      </c>
      <c r="D63" s="252" t="s">
        <v>11</v>
      </c>
      <c r="E63" s="252" t="s">
        <v>620</v>
      </c>
      <c r="F63" s="252" t="s">
        <v>663</v>
      </c>
      <c r="G63" s="253" t="s">
        <v>738</v>
      </c>
      <c r="H63" s="253" t="s">
        <v>34</v>
      </c>
      <c r="I63" s="253"/>
      <c r="J63" s="253" t="s">
        <v>608</v>
      </c>
      <c r="K63" s="254" t="s">
        <v>48</v>
      </c>
      <c r="L63" s="255" t="s">
        <v>1339</v>
      </c>
      <c r="M63" s="255" t="s">
        <v>34</v>
      </c>
      <c r="N63" s="254">
        <v>284491</v>
      </c>
      <c r="O63" s="254" t="s">
        <v>1324</v>
      </c>
      <c r="P63" s="258">
        <v>40777</v>
      </c>
      <c r="Q63" s="259">
        <v>2868811532.25</v>
      </c>
      <c r="R63" s="259">
        <v>2217600029.0125008</v>
      </c>
      <c r="S63" s="254">
        <v>1</v>
      </c>
      <c r="T63" s="256">
        <v>8.5962432882894069E-2</v>
      </c>
      <c r="U63" s="256">
        <v>1.1112531481424199</v>
      </c>
      <c r="V63" s="256">
        <v>0.11462270025355958</v>
      </c>
      <c r="W63" s="256">
        <v>1.1236857304531054</v>
      </c>
      <c r="X63" s="256">
        <v>0.18748999356686258</v>
      </c>
      <c r="Y63" s="256">
        <v>1.421770680752851</v>
      </c>
      <c r="Z63" s="256">
        <v>0.20404746936468676</v>
      </c>
      <c r="AA63" s="256">
        <v>1.1598719656634251</v>
      </c>
      <c r="AB63" s="256">
        <v>5.3464317580742583E-3</v>
      </c>
      <c r="AC63" s="260">
        <v>2.1325415330459299</v>
      </c>
      <c r="AD63" s="405">
        <v>13106998000155</v>
      </c>
      <c r="AE63" s="257" t="s">
        <v>2199</v>
      </c>
      <c r="AF63" s="257" t="s">
        <v>2118</v>
      </c>
      <c r="AG63" s="261" t="s">
        <v>1433</v>
      </c>
      <c r="AH63" s="261" t="s">
        <v>2113</v>
      </c>
      <c r="AI63" s="261">
        <v>1000</v>
      </c>
      <c r="AJ63" s="261">
        <v>1000</v>
      </c>
      <c r="AK63" s="261">
        <v>1000</v>
      </c>
      <c r="AL63" s="256">
        <v>3.2000000000000002E-3</v>
      </c>
      <c r="AM63" s="256" t="s">
        <v>34</v>
      </c>
      <c r="AN63" s="256" t="s">
        <v>64</v>
      </c>
      <c r="AO63" s="254" t="s">
        <v>1324</v>
      </c>
      <c r="AP63" s="257" t="s">
        <v>11</v>
      </c>
      <c r="AQ63" s="263" t="s">
        <v>1374</v>
      </c>
      <c r="AR63" s="256">
        <v>9.6000000000000002E-4</v>
      </c>
      <c r="AS63" s="256">
        <v>9.6000000000000002E-4</v>
      </c>
      <c r="AT63" s="256"/>
      <c r="AW63" s="508"/>
      <c r="AX63" s="509"/>
      <c r="AY63" s="509"/>
      <c r="AZ63" s="509"/>
      <c r="BA63" s="509"/>
      <c r="BB63" s="520"/>
      <c r="BC63" s="509"/>
      <c r="BD63" s="509"/>
      <c r="BE63" s="509"/>
      <c r="BF63" s="509"/>
      <c r="BG63" s="521"/>
      <c r="BH63" s="510"/>
      <c r="BI63" s="511"/>
      <c r="BJ63" s="511"/>
      <c r="BK63" s="511"/>
      <c r="BL63" s="195"/>
      <c r="BM63" s="510"/>
      <c r="BN63" s="510"/>
      <c r="BO63" s="510"/>
      <c r="BP63" s="510"/>
      <c r="BQ63" s="510"/>
      <c r="BR63" s="510"/>
      <c r="BS63" s="510"/>
      <c r="BT63" s="510"/>
      <c r="BU63" s="510"/>
      <c r="BV63" s="512"/>
      <c r="BW63" s="509"/>
    </row>
    <row r="64" spans="2:75" ht="15.75" customHeight="1">
      <c r="B64" s="250" t="s">
        <v>978</v>
      </c>
      <c r="C64" s="251">
        <v>7900255000150</v>
      </c>
      <c r="D64" s="252" t="s">
        <v>11</v>
      </c>
      <c r="E64" s="252" t="s">
        <v>620</v>
      </c>
      <c r="F64" s="252" t="s">
        <v>663</v>
      </c>
      <c r="G64" s="253" t="s">
        <v>738</v>
      </c>
      <c r="H64" s="253" t="s">
        <v>34</v>
      </c>
      <c r="I64" s="253"/>
      <c r="J64" s="253" t="s">
        <v>608</v>
      </c>
      <c r="K64" s="254" t="s">
        <v>48</v>
      </c>
      <c r="L64" s="255" t="s">
        <v>1339</v>
      </c>
      <c r="M64" s="255" t="s">
        <v>1414</v>
      </c>
      <c r="N64" s="254">
        <v>157491</v>
      </c>
      <c r="O64" s="254" t="s">
        <v>1324</v>
      </c>
      <c r="P64" s="258">
        <v>38854</v>
      </c>
      <c r="Q64" s="259">
        <v>1037792907.62</v>
      </c>
      <c r="R64" s="259">
        <v>1183620477.5614674</v>
      </c>
      <c r="S64" s="254">
        <v>1</v>
      </c>
      <c r="T64" s="256">
        <v>8.4909727543412972E-2</v>
      </c>
      <c r="U64" s="256">
        <v>1.0976446207504795</v>
      </c>
      <c r="V64" s="256">
        <v>0.11423852942272417</v>
      </c>
      <c r="W64" s="256">
        <v>1.1199195717453527</v>
      </c>
      <c r="X64" s="256">
        <v>0.16299355719399977</v>
      </c>
      <c r="Y64" s="256">
        <v>1.2360097537013301</v>
      </c>
      <c r="Z64" s="256">
        <v>0.20874488370445654</v>
      </c>
      <c r="AA64" s="256">
        <v>1.1865735916172693</v>
      </c>
      <c r="AB64" s="256">
        <v>1.8117111119863283E-3</v>
      </c>
      <c r="AC64" s="260">
        <v>6.0959056980937669</v>
      </c>
      <c r="AD64" s="405">
        <v>0</v>
      </c>
      <c r="AE64" s="257" t="s">
        <v>2275</v>
      </c>
      <c r="AF64" s="257" t="s">
        <v>2115</v>
      </c>
      <c r="AG64" s="261" t="s">
        <v>719</v>
      </c>
      <c r="AH64" s="261" t="s">
        <v>2113</v>
      </c>
      <c r="AI64" s="261">
        <v>500</v>
      </c>
      <c r="AJ64" s="261">
        <v>500</v>
      </c>
      <c r="AK64" s="261">
        <v>500</v>
      </c>
      <c r="AL64" s="256">
        <v>3.4999999999999996E-3</v>
      </c>
      <c r="AM64" s="256">
        <v>0.2</v>
      </c>
      <c r="AN64" s="256" t="s">
        <v>64</v>
      </c>
      <c r="AO64" s="254" t="s">
        <v>1324</v>
      </c>
      <c r="AP64" s="257" t="s">
        <v>11</v>
      </c>
      <c r="AQ64" s="263" t="s">
        <v>677</v>
      </c>
      <c r="AR64" s="256">
        <v>8.7500000000000002E-4</v>
      </c>
      <c r="AS64" s="256">
        <v>8.7500000000000002E-4</v>
      </c>
      <c r="AT64" s="256"/>
      <c r="AW64" s="508"/>
      <c r="AX64" s="509"/>
      <c r="AY64" s="509"/>
      <c r="AZ64" s="509"/>
      <c r="BA64" s="509"/>
      <c r="BB64" s="520"/>
      <c r="BC64" s="509"/>
      <c r="BD64" s="509"/>
      <c r="BE64" s="509"/>
      <c r="BF64" s="509"/>
      <c r="BG64" s="521"/>
      <c r="BH64" s="510"/>
      <c r="BI64" s="511"/>
      <c r="BJ64" s="511"/>
      <c r="BK64" s="511"/>
      <c r="BL64" s="195"/>
      <c r="BM64" s="510"/>
      <c r="BN64" s="510"/>
      <c r="BO64" s="510"/>
      <c r="BP64" s="510"/>
      <c r="BQ64" s="510"/>
      <c r="BR64" s="510"/>
      <c r="BS64" s="510"/>
      <c r="BT64" s="510"/>
      <c r="BU64" s="510"/>
      <c r="BV64" s="512"/>
      <c r="BW64" s="509"/>
    </row>
    <row r="65" spans="2:75" ht="15.75" customHeight="1">
      <c r="B65" s="250" t="s">
        <v>1201</v>
      </c>
      <c r="C65" s="251">
        <v>4899128000190</v>
      </c>
      <c r="D65" s="252" t="s">
        <v>11</v>
      </c>
      <c r="E65" s="252" t="s">
        <v>620</v>
      </c>
      <c r="F65" s="252" t="s">
        <v>663</v>
      </c>
      <c r="G65" s="253" t="s">
        <v>738</v>
      </c>
      <c r="H65" s="253" t="s">
        <v>34</v>
      </c>
      <c r="I65" s="253"/>
      <c r="J65" s="253" t="s">
        <v>608</v>
      </c>
      <c r="K65" s="254" t="s">
        <v>48</v>
      </c>
      <c r="L65" s="255" t="s">
        <v>1339</v>
      </c>
      <c r="M65" s="255" t="s">
        <v>34</v>
      </c>
      <c r="N65" s="254">
        <v>109215</v>
      </c>
      <c r="O65" s="254" t="s">
        <v>1321</v>
      </c>
      <c r="P65" s="258">
        <v>37428</v>
      </c>
      <c r="Q65" s="259">
        <v>3520690411.8699999</v>
      </c>
      <c r="R65" s="259">
        <v>2178008680.0928173</v>
      </c>
      <c r="S65" s="254">
        <v>1</v>
      </c>
      <c r="T65" s="256">
        <v>8.5703242640660093E-2</v>
      </c>
      <c r="U65" s="256">
        <v>1.1079025452919553</v>
      </c>
      <c r="V65" s="256">
        <v>0.12042089039048776</v>
      </c>
      <c r="W65" s="256">
        <v>1.1805273814079982</v>
      </c>
      <c r="X65" s="256">
        <v>0.18232039581137105</v>
      </c>
      <c r="Y65" s="256">
        <v>1.3825686818609877</v>
      </c>
      <c r="Z65" s="256">
        <v>0.16809371745635571</v>
      </c>
      <c r="AA65" s="256">
        <v>0.95549918403211254</v>
      </c>
      <c r="AB65" s="256">
        <v>3.7050483216722854E-3</v>
      </c>
      <c r="AC65" s="260">
        <v>4.4762749372878279</v>
      </c>
      <c r="AD65" s="405">
        <v>0</v>
      </c>
      <c r="AE65" s="257" t="s">
        <v>2289</v>
      </c>
      <c r="AF65" s="257" t="s">
        <v>2289</v>
      </c>
      <c r="AG65" s="261" t="s">
        <v>719</v>
      </c>
      <c r="AH65" s="261" t="s">
        <v>2113</v>
      </c>
      <c r="AI65" s="261">
        <v>1000</v>
      </c>
      <c r="AJ65" s="261">
        <v>1000</v>
      </c>
      <c r="AK65" s="261">
        <v>1000</v>
      </c>
      <c r="AL65" s="256">
        <v>3.0000000000000001E-3</v>
      </c>
      <c r="AM65" s="256" t="s">
        <v>34</v>
      </c>
      <c r="AN65" s="256" t="s">
        <v>64</v>
      </c>
      <c r="AO65" s="254" t="s">
        <v>1324</v>
      </c>
      <c r="AP65" s="257" t="s">
        <v>11</v>
      </c>
      <c r="AQ65" s="263" t="s">
        <v>669</v>
      </c>
      <c r="AR65" s="256">
        <v>1E-3</v>
      </c>
      <c r="AS65" s="256">
        <v>1E-3</v>
      </c>
      <c r="AT65" s="256"/>
      <c r="AW65" s="508"/>
      <c r="AX65" s="509"/>
      <c r="AY65" s="509"/>
      <c r="AZ65" s="509"/>
      <c r="BA65" s="509"/>
      <c r="BB65" s="520"/>
      <c r="BC65" s="509"/>
      <c r="BD65" s="509"/>
      <c r="BE65" s="509"/>
      <c r="BF65" s="509"/>
      <c r="BG65" s="521"/>
      <c r="BH65" s="510"/>
      <c r="BI65" s="511"/>
      <c r="BJ65" s="511"/>
      <c r="BK65" s="511"/>
      <c r="BL65" s="195"/>
      <c r="BM65" s="510"/>
      <c r="BN65" s="510"/>
      <c r="BO65" s="510"/>
      <c r="BP65" s="510"/>
      <c r="BQ65" s="510"/>
      <c r="BR65" s="510"/>
      <c r="BS65" s="510"/>
      <c r="BT65" s="510"/>
      <c r="BU65" s="510"/>
      <c r="BV65" s="512"/>
      <c r="BW65" s="509"/>
    </row>
    <row r="66" spans="2:75" ht="15.75" customHeight="1">
      <c r="B66" s="250" t="s">
        <v>1381</v>
      </c>
      <c r="C66" s="251">
        <v>7539298000151</v>
      </c>
      <c r="D66" s="252" t="s">
        <v>11</v>
      </c>
      <c r="E66" s="252" t="s">
        <v>621</v>
      </c>
      <c r="F66" s="252" t="s">
        <v>672</v>
      </c>
      <c r="G66" s="253" t="s">
        <v>738</v>
      </c>
      <c r="H66" s="253" t="s">
        <v>34</v>
      </c>
      <c r="I66" s="253"/>
      <c r="J66" s="253" t="s">
        <v>608</v>
      </c>
      <c r="K66" s="254" t="s">
        <v>48</v>
      </c>
      <c r="L66" s="255" t="s">
        <v>1339</v>
      </c>
      <c r="M66" s="255" t="s">
        <v>1414</v>
      </c>
      <c r="N66" s="254">
        <v>152900</v>
      </c>
      <c r="O66" s="254" t="s">
        <v>1321</v>
      </c>
      <c r="P66" s="258">
        <v>38700</v>
      </c>
      <c r="Q66" s="259">
        <v>1011192185.6799999</v>
      </c>
      <c r="R66" s="259">
        <v>1263664629.2649205</v>
      </c>
      <c r="S66" s="254">
        <v>1</v>
      </c>
      <c r="T66" s="256">
        <v>6.5011731157941455E-2</v>
      </c>
      <c r="U66" s="256">
        <v>0.8404193377573338</v>
      </c>
      <c r="V66" s="256">
        <v>9.6735919131475612E-2</v>
      </c>
      <c r="W66" s="256">
        <v>0.94833546679536573</v>
      </c>
      <c r="X66" s="256">
        <v>0.14678707006783398</v>
      </c>
      <c r="Y66" s="256">
        <v>1.1131130177442516</v>
      </c>
      <c r="Z66" s="256">
        <v>0.25210894405714268</v>
      </c>
      <c r="AA66" s="256">
        <v>1.4330689687813147</v>
      </c>
      <c r="AB66" s="256">
        <v>2.6267317077180743E-2</v>
      </c>
      <c r="AC66" s="260">
        <v>-0.16953683241633821</v>
      </c>
      <c r="AD66" s="405">
        <v>0</v>
      </c>
      <c r="AE66" s="257" t="s">
        <v>2144</v>
      </c>
      <c r="AF66" s="257" t="s">
        <v>2109</v>
      </c>
      <c r="AG66" s="261" t="s">
        <v>1432</v>
      </c>
      <c r="AH66" s="261" t="s">
        <v>2113</v>
      </c>
      <c r="AI66" s="261">
        <v>3000</v>
      </c>
      <c r="AJ66" s="261">
        <v>1000</v>
      </c>
      <c r="AK66" s="261">
        <v>1000</v>
      </c>
      <c r="AL66" s="256">
        <v>2E-3</v>
      </c>
      <c r="AM66" s="256" t="s">
        <v>34</v>
      </c>
      <c r="AN66" s="256" t="s">
        <v>2122</v>
      </c>
      <c r="AO66" s="254" t="s">
        <v>1324</v>
      </c>
      <c r="AP66" s="257" t="s">
        <v>11</v>
      </c>
      <c r="AQ66" s="263" t="s">
        <v>676</v>
      </c>
      <c r="AR66" s="256">
        <v>6.9999999999999999E-4</v>
      </c>
      <c r="AS66" s="256">
        <v>6.9999999999999999E-4</v>
      </c>
      <c r="AT66" s="256"/>
      <c r="AW66" s="508"/>
      <c r="AX66" s="509"/>
      <c r="AY66" s="509"/>
      <c r="AZ66" s="509"/>
      <c r="BA66" s="509"/>
      <c r="BB66" s="520"/>
      <c r="BC66" s="509"/>
      <c r="BD66" s="509"/>
      <c r="BE66" s="509"/>
      <c r="BF66" s="509"/>
      <c r="BG66" s="521"/>
      <c r="BH66" s="510"/>
      <c r="BI66" s="511"/>
      <c r="BJ66" s="511"/>
      <c r="BK66" s="511"/>
      <c r="BL66" s="195"/>
      <c r="BM66" s="510"/>
      <c r="BN66" s="510"/>
      <c r="BO66" s="510"/>
      <c r="BP66" s="510"/>
      <c r="BQ66" s="510"/>
      <c r="BR66" s="510"/>
      <c r="BS66" s="510"/>
      <c r="BT66" s="510"/>
      <c r="BU66" s="510"/>
      <c r="BV66" s="512"/>
      <c r="BW66" s="509"/>
    </row>
    <row r="67" spans="2:75" ht="15.75" customHeight="1">
      <c r="B67" s="250" t="s">
        <v>1181</v>
      </c>
      <c r="C67" s="251">
        <v>17899612000160</v>
      </c>
      <c r="D67" s="252" t="s">
        <v>11</v>
      </c>
      <c r="E67" s="252" t="s">
        <v>620</v>
      </c>
      <c r="F67" s="252" t="s">
        <v>663</v>
      </c>
      <c r="G67" s="253" t="s">
        <v>738</v>
      </c>
      <c r="H67" s="253" t="s">
        <v>34</v>
      </c>
      <c r="I67" s="253" t="s">
        <v>1304</v>
      </c>
      <c r="J67" s="253" t="s">
        <v>608</v>
      </c>
      <c r="K67" s="254" t="s">
        <v>48</v>
      </c>
      <c r="L67" s="255" t="s">
        <v>1339</v>
      </c>
      <c r="M67" s="255" t="s">
        <v>34</v>
      </c>
      <c r="N67" s="254">
        <v>377856</v>
      </c>
      <c r="O67" s="254" t="s">
        <v>1321</v>
      </c>
      <c r="P67" s="258">
        <v>41913</v>
      </c>
      <c r="Q67" s="259">
        <v>352748757.50999999</v>
      </c>
      <c r="R67" s="259">
        <v>470779828.51638877</v>
      </c>
      <c r="S67" s="254">
        <v>2</v>
      </c>
      <c r="T67" s="256">
        <v>8.0625213607009361E-2</v>
      </c>
      <c r="U67" s="256">
        <v>1.0422578728372986</v>
      </c>
      <c r="V67" s="256">
        <v>0.10764357964557814</v>
      </c>
      <c r="W67" s="256">
        <v>1.0552670121629959</v>
      </c>
      <c r="X67" s="256">
        <v>0.14285405544009122</v>
      </c>
      <c r="Y67" s="256">
        <v>1.0832882533484782</v>
      </c>
      <c r="Z67" s="256">
        <v>0.19243057531043473</v>
      </c>
      <c r="AA67" s="256">
        <v>1.0938377737983582</v>
      </c>
      <c r="AB67" s="256">
        <v>1.9419512813983384E-3</v>
      </c>
      <c r="AC67" s="260">
        <v>2.629007038274811</v>
      </c>
      <c r="AD67" s="405">
        <v>0</v>
      </c>
      <c r="AE67" s="257" t="s">
        <v>2332</v>
      </c>
      <c r="AF67" s="257" t="s">
        <v>2109</v>
      </c>
      <c r="AG67" s="261" t="s">
        <v>1432</v>
      </c>
      <c r="AH67" s="261" t="s">
        <v>2113</v>
      </c>
      <c r="AI67" s="261">
        <v>100</v>
      </c>
      <c r="AJ67" s="261">
        <v>100</v>
      </c>
      <c r="AK67" s="261">
        <v>100</v>
      </c>
      <c r="AL67" s="256">
        <v>8.0000000000000002E-3</v>
      </c>
      <c r="AM67" s="256">
        <v>0.2</v>
      </c>
      <c r="AN67" s="256" t="s">
        <v>64</v>
      </c>
      <c r="AO67" s="254" t="s">
        <v>1324</v>
      </c>
      <c r="AP67" s="257" t="s">
        <v>13</v>
      </c>
      <c r="AQ67" s="263" t="s">
        <v>686</v>
      </c>
      <c r="AR67" s="256">
        <v>1.5999999999999999E-3</v>
      </c>
      <c r="AS67" s="256">
        <v>1.5999999999999999E-3</v>
      </c>
      <c r="AT67" s="256"/>
      <c r="AW67" s="508"/>
      <c r="AX67" s="509"/>
      <c r="AY67" s="509"/>
      <c r="AZ67" s="509"/>
      <c r="BA67" s="509"/>
      <c r="BB67" s="520"/>
      <c r="BC67" s="509"/>
      <c r="BD67" s="509"/>
      <c r="BE67" s="509"/>
      <c r="BF67" s="509"/>
      <c r="BG67" s="521"/>
      <c r="BH67" s="510"/>
      <c r="BI67" s="511"/>
      <c r="BJ67" s="511"/>
      <c r="BK67" s="511"/>
      <c r="BL67" s="195"/>
      <c r="BM67" s="510"/>
      <c r="BN67" s="510"/>
      <c r="BO67" s="510"/>
      <c r="BP67" s="510"/>
      <c r="BQ67" s="510"/>
      <c r="BR67" s="510"/>
      <c r="BS67" s="510"/>
      <c r="BT67" s="510"/>
      <c r="BU67" s="510"/>
      <c r="BV67" s="512"/>
      <c r="BW67" s="509"/>
    </row>
    <row r="68" spans="2:75" ht="15.75" customHeight="1">
      <c r="B68" s="250" t="s">
        <v>864</v>
      </c>
      <c r="C68" s="251">
        <v>9814233000100</v>
      </c>
      <c r="D68" s="252" t="s">
        <v>11</v>
      </c>
      <c r="E68" s="252" t="s">
        <v>621</v>
      </c>
      <c r="F68" s="252" t="s">
        <v>672</v>
      </c>
      <c r="G68" s="253" t="s">
        <v>865</v>
      </c>
      <c r="H68" s="253" t="s">
        <v>34</v>
      </c>
      <c r="I68" s="253"/>
      <c r="J68" s="253" t="s">
        <v>608</v>
      </c>
      <c r="K68" s="254" t="s">
        <v>48</v>
      </c>
      <c r="L68" s="255" t="s">
        <v>1339</v>
      </c>
      <c r="M68" s="255" t="s">
        <v>1414</v>
      </c>
      <c r="N68" s="254">
        <v>215163</v>
      </c>
      <c r="O68" s="254" t="s">
        <v>1321</v>
      </c>
      <c r="P68" s="258">
        <v>39652</v>
      </c>
      <c r="Q68" s="259">
        <v>370353898.31</v>
      </c>
      <c r="R68" s="259">
        <v>372223366.54285717</v>
      </c>
      <c r="S68" s="254">
        <v>2</v>
      </c>
      <c r="T68" s="256">
        <v>4.330950065638306E-2</v>
      </c>
      <c r="U68" s="256">
        <v>0.55987036819265013</v>
      </c>
      <c r="V68" s="256">
        <v>5.1985975994290889E-2</v>
      </c>
      <c r="W68" s="256">
        <v>0.50963639208672606</v>
      </c>
      <c r="X68" s="256">
        <v>7.897856119445068E-2</v>
      </c>
      <c r="Y68" s="256">
        <v>0.59890877682637633</v>
      </c>
      <c r="Z68" s="256">
        <v>0.15947117381542775</v>
      </c>
      <c r="AA68" s="256">
        <v>0.90648585064963738</v>
      </c>
      <c r="AB68" s="256">
        <v>5.4310404774508117E-2</v>
      </c>
      <c r="AC68" s="260">
        <v>-0.82860047814200777</v>
      </c>
      <c r="AD68" s="405">
        <v>0</v>
      </c>
      <c r="AE68" s="257" t="s">
        <v>2144</v>
      </c>
      <c r="AF68" s="257" t="s">
        <v>2109</v>
      </c>
      <c r="AG68" s="261" t="s">
        <v>1432</v>
      </c>
      <c r="AH68" s="261" t="s">
        <v>2113</v>
      </c>
      <c r="AI68" s="261">
        <v>3000</v>
      </c>
      <c r="AJ68" s="261">
        <v>1000</v>
      </c>
      <c r="AK68" s="261">
        <v>1000</v>
      </c>
      <c r="AL68" s="256">
        <v>2E-3</v>
      </c>
      <c r="AM68" s="256" t="s">
        <v>34</v>
      </c>
      <c r="AN68" s="256" t="s">
        <v>2122</v>
      </c>
      <c r="AO68" s="254" t="s">
        <v>1324</v>
      </c>
      <c r="AP68" s="257" t="s">
        <v>11</v>
      </c>
      <c r="AQ68" s="263" t="s">
        <v>680</v>
      </c>
      <c r="AR68" s="256">
        <v>6.9999999999999999E-4</v>
      </c>
      <c r="AS68" s="256">
        <v>6.9999999999999999E-4</v>
      </c>
      <c r="AT68" s="256"/>
      <c r="AW68" s="508"/>
      <c r="AX68" s="509"/>
      <c r="AY68" s="509"/>
      <c r="AZ68" s="509"/>
      <c r="BA68" s="509"/>
      <c r="BB68" s="520"/>
      <c r="BC68" s="509"/>
      <c r="BD68" s="509"/>
      <c r="BE68" s="509"/>
      <c r="BF68" s="509"/>
      <c r="BG68" s="521"/>
      <c r="BH68" s="510"/>
      <c r="BI68" s="511"/>
      <c r="BJ68" s="511"/>
      <c r="BK68" s="511"/>
      <c r="BL68" s="195"/>
      <c r="BM68" s="510"/>
      <c r="BN68" s="510"/>
      <c r="BO68" s="510"/>
      <c r="BP68" s="510"/>
      <c r="BQ68" s="510"/>
      <c r="BR68" s="510"/>
      <c r="BS68" s="510"/>
      <c r="BT68" s="510"/>
      <c r="BU68" s="510"/>
      <c r="BV68" s="512"/>
      <c r="BW68" s="509"/>
    </row>
    <row r="69" spans="2:75" ht="15.75" customHeight="1">
      <c r="B69" s="250" t="s">
        <v>1380</v>
      </c>
      <c r="C69" s="251">
        <v>20374752000120</v>
      </c>
      <c r="D69" s="252" t="s">
        <v>11</v>
      </c>
      <c r="E69" s="252" t="s">
        <v>621</v>
      </c>
      <c r="F69" s="252" t="s">
        <v>672</v>
      </c>
      <c r="G69" s="253" t="s">
        <v>866</v>
      </c>
      <c r="H69" s="253" t="s">
        <v>34</v>
      </c>
      <c r="I69" s="253"/>
      <c r="J69" s="253" t="s">
        <v>608</v>
      </c>
      <c r="K69" s="254" t="s">
        <v>48</v>
      </c>
      <c r="L69" s="255" t="s">
        <v>1339</v>
      </c>
      <c r="M69" s="255" t="s">
        <v>1414</v>
      </c>
      <c r="N69" s="254">
        <v>377546</v>
      </c>
      <c r="O69" s="254" t="s">
        <v>1321</v>
      </c>
      <c r="P69" s="258">
        <v>41865</v>
      </c>
      <c r="Q69" s="259">
        <v>273580988.24000001</v>
      </c>
      <c r="R69" s="259">
        <v>266877825.49579346</v>
      </c>
      <c r="S69" s="254">
        <v>2</v>
      </c>
      <c r="T69" s="256">
        <v>2.4593917272172527E-2</v>
      </c>
      <c r="U69" s="256">
        <v>0.31793036885179238</v>
      </c>
      <c r="V69" s="256">
        <v>1.137215122360602E-2</v>
      </c>
      <c r="W69" s="256">
        <v>0.11148510745474316</v>
      </c>
      <c r="X69" s="256">
        <v>1.8962644077506585E-2</v>
      </c>
      <c r="Y69" s="256">
        <v>0.14379717480408311</v>
      </c>
      <c r="Z69" s="256">
        <v>8.1984346909282468E-2</v>
      </c>
      <c r="AA69" s="256">
        <v>0.46602560619533212</v>
      </c>
      <c r="AB69" s="256">
        <v>8.8171142456182794E-2</v>
      </c>
      <c r="AC69" s="260">
        <v>-0.92988401373954022</v>
      </c>
      <c r="AD69" s="405">
        <v>0</v>
      </c>
      <c r="AE69" s="257" t="s">
        <v>2144</v>
      </c>
      <c r="AF69" s="257" t="s">
        <v>2109</v>
      </c>
      <c r="AG69" s="261" t="s">
        <v>1432</v>
      </c>
      <c r="AH69" s="261" t="s">
        <v>2113</v>
      </c>
      <c r="AI69" s="261">
        <v>3000</v>
      </c>
      <c r="AJ69" s="261">
        <v>1000</v>
      </c>
      <c r="AK69" s="261">
        <v>1000</v>
      </c>
      <c r="AL69" s="256">
        <v>2E-3</v>
      </c>
      <c r="AM69" s="256" t="s">
        <v>34</v>
      </c>
      <c r="AN69" s="256" t="s">
        <v>2122</v>
      </c>
      <c r="AO69" s="254" t="s">
        <v>1324</v>
      </c>
      <c r="AP69" s="257" t="s">
        <v>11</v>
      </c>
      <c r="AQ69" s="263" t="s">
        <v>680</v>
      </c>
      <c r="AR69" s="256">
        <v>6.9999999999999999E-4</v>
      </c>
      <c r="AS69" s="256">
        <v>6.9999999999999999E-4</v>
      </c>
      <c r="AT69" s="256"/>
      <c r="AW69" s="508"/>
      <c r="AX69" s="509"/>
      <c r="AY69" s="509"/>
      <c r="AZ69" s="509"/>
      <c r="BA69" s="509"/>
      <c r="BB69" s="520"/>
      <c r="BC69" s="509"/>
      <c r="BD69" s="509"/>
      <c r="BE69" s="509"/>
      <c r="BF69" s="509"/>
      <c r="BG69" s="521"/>
      <c r="BH69" s="510"/>
      <c r="BI69" s="511"/>
      <c r="BJ69" s="511"/>
      <c r="BK69" s="511"/>
      <c r="BL69" s="195"/>
      <c r="BM69" s="510"/>
      <c r="BN69" s="510"/>
      <c r="BO69" s="510"/>
      <c r="BP69" s="510"/>
      <c r="BQ69" s="510"/>
      <c r="BR69" s="510"/>
      <c r="BS69" s="510"/>
      <c r="BT69" s="510"/>
      <c r="BU69" s="510"/>
      <c r="BV69" s="512"/>
      <c r="BW69" s="509"/>
    </row>
    <row r="70" spans="2:75" ht="15.75" customHeight="1">
      <c r="B70" s="250" t="s">
        <v>752</v>
      </c>
      <c r="C70" s="251">
        <v>9620860000100</v>
      </c>
      <c r="D70" s="252" t="s">
        <v>11</v>
      </c>
      <c r="E70" s="252" t="s">
        <v>620</v>
      </c>
      <c r="F70" s="252" t="s">
        <v>663</v>
      </c>
      <c r="G70" s="253" t="s">
        <v>738</v>
      </c>
      <c r="H70" s="253" t="s">
        <v>34</v>
      </c>
      <c r="I70" s="253"/>
      <c r="J70" s="253" t="s">
        <v>608</v>
      </c>
      <c r="K70" s="254" t="s">
        <v>48</v>
      </c>
      <c r="L70" s="255" t="s">
        <v>1339</v>
      </c>
      <c r="M70" s="255" t="s">
        <v>34</v>
      </c>
      <c r="N70" s="254">
        <v>212660</v>
      </c>
      <c r="O70" s="254" t="s">
        <v>1321</v>
      </c>
      <c r="P70" s="258">
        <v>39632</v>
      </c>
      <c r="Q70" s="259">
        <v>230673790.72</v>
      </c>
      <c r="R70" s="259">
        <v>276058281.5906747</v>
      </c>
      <c r="S70" s="254">
        <v>4</v>
      </c>
      <c r="T70" s="256">
        <v>7.7183103630743988E-2</v>
      </c>
      <c r="U70" s="256">
        <v>0.99776104533838206</v>
      </c>
      <c r="V70" s="256">
        <v>0.10183836030139459</v>
      </c>
      <c r="W70" s="256">
        <v>0.99835645147319219</v>
      </c>
      <c r="X70" s="256">
        <v>0.13964990270518562</v>
      </c>
      <c r="Y70" s="256">
        <v>1.0589905810915414</v>
      </c>
      <c r="Z70" s="256">
        <v>0.19338826593910752</v>
      </c>
      <c r="AA70" s="256">
        <v>1.0992815978037953</v>
      </c>
      <c r="AB70" s="256">
        <v>2.7254623206598755E-3</v>
      </c>
      <c r="AC70" s="260">
        <v>-5.4922530418748998E-2</v>
      </c>
      <c r="AD70" s="405">
        <v>0</v>
      </c>
      <c r="AE70" s="257" t="s">
        <v>2142</v>
      </c>
      <c r="AF70" s="257" t="s">
        <v>2118</v>
      </c>
      <c r="AG70" s="261" t="s">
        <v>1433</v>
      </c>
      <c r="AH70" s="261" t="s">
        <v>2113</v>
      </c>
      <c r="AI70" s="261">
        <v>1000</v>
      </c>
      <c r="AJ70" s="261">
        <v>500</v>
      </c>
      <c r="AK70" s="261">
        <v>500</v>
      </c>
      <c r="AL70" s="519">
        <v>0.01</v>
      </c>
      <c r="AM70" s="519">
        <v>0.2</v>
      </c>
      <c r="AN70" s="256" t="s">
        <v>64</v>
      </c>
      <c r="AO70" s="254" t="s">
        <v>1324</v>
      </c>
      <c r="AP70" s="257" t="s">
        <v>13</v>
      </c>
      <c r="AQ70" s="263" t="s">
        <v>668</v>
      </c>
      <c r="AR70" s="256">
        <v>4.1999999999999997E-3</v>
      </c>
      <c r="AS70" s="256">
        <v>4.1999999999999997E-3</v>
      </c>
      <c r="AT70" s="256"/>
      <c r="AW70" s="508"/>
      <c r="AX70" s="509"/>
      <c r="AY70" s="509"/>
      <c r="AZ70" s="509"/>
      <c r="BA70" s="509"/>
      <c r="BB70" s="520"/>
      <c r="BC70" s="509"/>
      <c r="BD70" s="509"/>
      <c r="BE70" s="509"/>
      <c r="BF70" s="509"/>
      <c r="BG70" s="521"/>
      <c r="BH70" s="510"/>
      <c r="BI70" s="511"/>
      <c r="BJ70" s="511"/>
      <c r="BK70" s="511"/>
      <c r="BL70" s="195"/>
      <c r="BM70" s="510"/>
      <c r="BN70" s="510"/>
      <c r="BO70" s="510"/>
      <c r="BP70" s="510"/>
      <c r="BQ70" s="510"/>
      <c r="BR70" s="510"/>
      <c r="BS70" s="510"/>
      <c r="BT70" s="510"/>
      <c r="BU70" s="510"/>
      <c r="BV70" s="512"/>
      <c r="BW70" s="509"/>
    </row>
    <row r="71" spans="2:75" ht="15.75" customHeight="1">
      <c r="B71" s="250" t="s">
        <v>801</v>
      </c>
      <c r="C71" s="251">
        <v>33361657000133</v>
      </c>
      <c r="D71" s="252" t="s">
        <v>13</v>
      </c>
      <c r="E71" s="252" t="s">
        <v>616</v>
      </c>
      <c r="F71" s="252" t="s">
        <v>618</v>
      </c>
      <c r="G71" s="253" t="s">
        <v>34</v>
      </c>
      <c r="H71" s="253" t="s">
        <v>865</v>
      </c>
      <c r="I71" s="253" t="s">
        <v>34</v>
      </c>
      <c r="J71" s="253" t="s">
        <v>611</v>
      </c>
      <c r="K71" s="254"/>
      <c r="L71" s="255" t="s">
        <v>1339</v>
      </c>
      <c r="M71" s="255" t="s">
        <v>34</v>
      </c>
      <c r="N71" s="254">
        <v>501891</v>
      </c>
      <c r="O71" s="254" t="s">
        <v>1321</v>
      </c>
      <c r="P71" s="258">
        <v>43641</v>
      </c>
      <c r="Q71" s="259">
        <v>225407213.21000001</v>
      </c>
      <c r="R71" s="259">
        <v>359489157.90380937</v>
      </c>
      <c r="S71" s="254">
        <v>5</v>
      </c>
      <c r="T71" s="256">
        <v>5.3352737483266743E-2</v>
      </c>
      <c r="U71" s="256">
        <v>0.68970125090647871</v>
      </c>
      <c r="V71" s="256">
        <v>7.8102363236456585E-2</v>
      </c>
      <c r="W71" s="256">
        <v>0.76566431334569818</v>
      </c>
      <c r="X71" s="256">
        <v>0.14777289998078613</v>
      </c>
      <c r="Y71" s="256">
        <v>1.120588745060572</v>
      </c>
      <c r="Z71" s="256">
        <v>0.20187311581209388</v>
      </c>
      <c r="AA71" s="256">
        <v>1.1475122351705871</v>
      </c>
      <c r="AB71" s="256">
        <v>6.2414101723507379E-2</v>
      </c>
      <c r="AC71" s="260">
        <v>-0.32044295200289624</v>
      </c>
      <c r="AD71" s="405">
        <v>33361873000189</v>
      </c>
      <c r="AE71" s="257" t="s">
        <v>2172</v>
      </c>
      <c r="AF71" s="257" t="s">
        <v>728</v>
      </c>
      <c r="AG71" s="261" t="s">
        <v>728</v>
      </c>
      <c r="AH71" s="261" t="s">
        <v>2110</v>
      </c>
      <c r="AI71" s="261">
        <v>10000</v>
      </c>
      <c r="AJ71" s="261">
        <v>5000</v>
      </c>
      <c r="AK71" s="261">
        <v>5000</v>
      </c>
      <c r="AL71" s="256">
        <v>9.0000000000000011E-3</v>
      </c>
      <c r="AM71" s="256" t="s">
        <v>34</v>
      </c>
      <c r="AN71" s="256" t="s">
        <v>34</v>
      </c>
      <c r="AO71" s="254" t="s">
        <v>1324</v>
      </c>
      <c r="AP71" s="257" t="s">
        <v>13</v>
      </c>
      <c r="AQ71" s="263" t="s">
        <v>679</v>
      </c>
      <c r="AR71" s="256">
        <v>5.3333999999999994E-3</v>
      </c>
      <c r="AS71" s="256">
        <v>5.3333999999999994E-3</v>
      </c>
      <c r="AT71" s="256"/>
      <c r="AW71" s="508"/>
      <c r="AX71" s="509"/>
      <c r="AY71" s="509"/>
      <c r="AZ71" s="509"/>
      <c r="BA71" s="509"/>
      <c r="BB71" s="520"/>
      <c r="BC71" s="509"/>
      <c r="BD71" s="509"/>
      <c r="BE71" s="509"/>
      <c r="BF71" s="509"/>
      <c r="BG71" s="521"/>
      <c r="BH71" s="510"/>
      <c r="BI71" s="511"/>
      <c r="BJ71" s="511"/>
      <c r="BK71" s="511"/>
      <c r="BL71" s="195"/>
      <c r="BM71" s="510"/>
      <c r="BN71" s="510"/>
      <c r="BO71" s="510"/>
      <c r="BP71" s="510"/>
      <c r="BQ71" s="510"/>
      <c r="BR71" s="510"/>
      <c r="BS71" s="510"/>
      <c r="BT71" s="510"/>
      <c r="BU71" s="510"/>
      <c r="BV71" s="512"/>
      <c r="BW71" s="509"/>
    </row>
    <row r="72" spans="2:75" ht="15.75" customHeight="1">
      <c r="B72" s="250" t="s">
        <v>874</v>
      </c>
      <c r="C72" s="251">
        <v>31964074000171</v>
      </c>
      <c r="D72" s="252" t="s">
        <v>14</v>
      </c>
      <c r="E72" s="252" t="s">
        <v>607</v>
      </c>
      <c r="F72" s="252" t="s">
        <v>1317</v>
      </c>
      <c r="G72" s="253"/>
      <c r="H72" s="253" t="s">
        <v>34</v>
      </c>
      <c r="I72" s="253" t="s">
        <v>34</v>
      </c>
      <c r="J72" s="253" t="s">
        <v>696</v>
      </c>
      <c r="K72" s="254"/>
      <c r="L72" s="255" t="s">
        <v>1339</v>
      </c>
      <c r="M72" s="255" t="s">
        <v>34</v>
      </c>
      <c r="N72" s="254">
        <v>482315</v>
      </c>
      <c r="O72" s="254" t="s">
        <v>1321</v>
      </c>
      <c r="P72" s="258">
        <v>43445</v>
      </c>
      <c r="Q72" s="259">
        <v>59521808.43</v>
      </c>
      <c r="R72" s="259">
        <v>145617789.34313479</v>
      </c>
      <c r="S72" s="254">
        <v>5</v>
      </c>
      <c r="T72" s="256">
        <v>-0.31095399544322566</v>
      </c>
      <c r="U72" s="256">
        <v>-4.0197629915207997</v>
      </c>
      <c r="V72" s="256">
        <v>-0.24152402579943777</v>
      </c>
      <c r="W72" s="256">
        <v>-2.3677430452436732</v>
      </c>
      <c r="X72" s="256">
        <v>1.2916170403928895E-2</v>
      </c>
      <c r="Y72" s="256">
        <v>9.7945666531610978E-2</v>
      </c>
      <c r="Z72" s="256">
        <v>0.56198924506081416</v>
      </c>
      <c r="AA72" s="256">
        <v>3.1945290592425253</v>
      </c>
      <c r="AB72" s="256">
        <v>0.22610830401032037</v>
      </c>
      <c r="AC72" s="260">
        <v>-1.53894338910938</v>
      </c>
      <c r="AD72" s="405">
        <v>0</v>
      </c>
      <c r="AE72" s="257" t="s">
        <v>2144</v>
      </c>
      <c r="AF72" s="257" t="s">
        <v>2109</v>
      </c>
      <c r="AG72" s="261" t="s">
        <v>1432</v>
      </c>
      <c r="AH72" s="261" t="s">
        <v>2110</v>
      </c>
      <c r="AI72" s="261">
        <v>5000</v>
      </c>
      <c r="AJ72" s="261">
        <v>5000</v>
      </c>
      <c r="AK72" s="261">
        <v>5000</v>
      </c>
      <c r="AL72" s="256">
        <v>0.01</v>
      </c>
      <c r="AM72" s="256" t="s">
        <v>34</v>
      </c>
      <c r="AN72" s="256" t="s">
        <v>34</v>
      </c>
      <c r="AO72" s="254" t="s">
        <v>1324</v>
      </c>
      <c r="AP72" s="257" t="s">
        <v>13</v>
      </c>
      <c r="AQ72" s="263" t="s">
        <v>679</v>
      </c>
      <c r="AR72" s="256">
        <v>4.0000000000000001E-3</v>
      </c>
      <c r="AS72" s="256">
        <v>4.0000000000000001E-3</v>
      </c>
      <c r="AT72" s="256"/>
      <c r="AW72" s="508"/>
      <c r="AX72" s="509"/>
      <c r="AY72" s="509"/>
      <c r="AZ72" s="509"/>
      <c r="BA72" s="509"/>
      <c r="BB72" s="520"/>
      <c r="BC72" s="509"/>
      <c r="BD72" s="509"/>
      <c r="BE72" s="509"/>
      <c r="BF72" s="509"/>
      <c r="BG72" s="521"/>
      <c r="BH72" s="510"/>
      <c r="BI72" s="511"/>
      <c r="BJ72" s="511"/>
      <c r="BK72" s="511"/>
      <c r="BL72" s="195"/>
      <c r="BM72" s="510"/>
      <c r="BN72" s="510"/>
      <c r="BO72" s="510"/>
      <c r="BP72" s="510"/>
      <c r="BQ72" s="510"/>
      <c r="BR72" s="510"/>
      <c r="BS72" s="510"/>
      <c r="BT72" s="510"/>
      <c r="BU72" s="510"/>
      <c r="BV72" s="512"/>
      <c r="BW72" s="509"/>
    </row>
    <row r="73" spans="2:75" ht="15.75" customHeight="1">
      <c r="B73" s="250" t="s">
        <v>720</v>
      </c>
      <c r="C73" s="251">
        <v>18860059000115</v>
      </c>
      <c r="D73" s="252" t="s">
        <v>13</v>
      </c>
      <c r="E73" s="252" t="s">
        <v>615</v>
      </c>
      <c r="F73" s="252" t="s">
        <v>619</v>
      </c>
      <c r="G73" s="253" t="s">
        <v>34</v>
      </c>
      <c r="H73" s="253" t="s">
        <v>1337</v>
      </c>
      <c r="I73" s="253" t="s">
        <v>34</v>
      </c>
      <c r="J73" s="253" t="s">
        <v>608</v>
      </c>
      <c r="K73" s="254" t="s">
        <v>48</v>
      </c>
      <c r="L73" s="255" t="s">
        <v>1339</v>
      </c>
      <c r="M73" s="255" t="s">
        <v>34</v>
      </c>
      <c r="N73" s="254">
        <v>350273</v>
      </c>
      <c r="O73" s="254" t="s">
        <v>1321</v>
      </c>
      <c r="P73" s="258">
        <v>41547</v>
      </c>
      <c r="Q73" s="259">
        <v>939281092.88</v>
      </c>
      <c r="R73" s="259">
        <v>535640798.37011862</v>
      </c>
      <c r="S73" s="254">
        <v>5</v>
      </c>
      <c r="T73" s="256">
        <v>0.11979101757561228</v>
      </c>
      <c r="U73" s="256">
        <v>1.5485618651746267</v>
      </c>
      <c r="V73" s="256">
        <v>0.14892911113392082</v>
      </c>
      <c r="W73" s="256">
        <v>1.4600032686374838</v>
      </c>
      <c r="X73" s="256">
        <v>0.19416570005504563</v>
      </c>
      <c r="Y73" s="256">
        <v>1.4723937757652545</v>
      </c>
      <c r="Z73" s="256">
        <v>0.25143913460214828</v>
      </c>
      <c r="AA73" s="256">
        <v>1.4292615546947631</v>
      </c>
      <c r="AB73" s="256">
        <v>2.1839811476745085E-2</v>
      </c>
      <c r="AC73" s="260">
        <v>1.9209831210894246</v>
      </c>
      <c r="AD73" s="405">
        <v>18422264000107</v>
      </c>
      <c r="AE73" s="257" t="s">
        <v>2117</v>
      </c>
      <c r="AF73" s="257" t="s">
        <v>2118</v>
      </c>
      <c r="AG73" s="261" t="s">
        <v>1433</v>
      </c>
      <c r="AH73" s="261" t="s">
        <v>2113</v>
      </c>
      <c r="AI73" s="261">
        <v>50000</v>
      </c>
      <c r="AJ73" s="261">
        <v>5000</v>
      </c>
      <c r="AK73" s="261">
        <v>25000</v>
      </c>
      <c r="AL73" s="519">
        <v>1.9E-2</v>
      </c>
      <c r="AM73" s="519">
        <v>0.2</v>
      </c>
      <c r="AN73" s="256" t="s">
        <v>64</v>
      </c>
      <c r="AO73" s="254" t="s">
        <v>1324</v>
      </c>
      <c r="AP73" s="257" t="s">
        <v>13</v>
      </c>
      <c r="AQ73" s="263" t="s">
        <v>664</v>
      </c>
      <c r="AR73" s="256">
        <v>4.7499999999999999E-3</v>
      </c>
      <c r="AS73" s="256">
        <v>4.7499999999999999E-3</v>
      </c>
      <c r="AT73" s="256"/>
      <c r="AW73" s="508"/>
      <c r="AX73" s="509"/>
      <c r="AY73" s="509"/>
      <c r="AZ73" s="509"/>
      <c r="BA73" s="509"/>
      <c r="BB73" s="520"/>
      <c r="BC73" s="509"/>
      <c r="BD73" s="509"/>
      <c r="BE73" s="509"/>
      <c r="BF73" s="509"/>
      <c r="BG73" s="521"/>
      <c r="BH73" s="510"/>
      <c r="BI73" s="511"/>
      <c r="BJ73" s="511"/>
      <c r="BK73" s="511"/>
      <c r="BL73" s="195"/>
      <c r="BM73" s="510"/>
      <c r="BN73" s="510"/>
      <c r="BO73" s="510"/>
      <c r="BP73" s="510"/>
      <c r="BQ73" s="510"/>
      <c r="BR73" s="510"/>
      <c r="BS73" s="510"/>
      <c r="BT73" s="510"/>
      <c r="BU73" s="510"/>
      <c r="BV73" s="512"/>
      <c r="BW73" s="509"/>
    </row>
    <row r="74" spans="2:75" ht="15.75" customHeight="1">
      <c r="B74" s="250" t="s">
        <v>582</v>
      </c>
      <c r="C74" s="251">
        <v>41063334000191</v>
      </c>
      <c r="D74" s="252" t="s">
        <v>14</v>
      </c>
      <c r="E74" s="252" t="s">
        <v>607</v>
      </c>
      <c r="F74" s="252" t="s">
        <v>672</v>
      </c>
      <c r="G74" s="253"/>
      <c r="H74" s="253" t="s">
        <v>34</v>
      </c>
      <c r="I74" s="253" t="s">
        <v>34</v>
      </c>
      <c r="J74" s="253" t="s">
        <v>612</v>
      </c>
      <c r="K74" s="254" t="s">
        <v>49</v>
      </c>
      <c r="L74" s="255" t="s">
        <v>1339</v>
      </c>
      <c r="M74" s="255" t="s">
        <v>34</v>
      </c>
      <c r="N74" s="254">
        <v>596949</v>
      </c>
      <c r="O74" s="254" t="s">
        <v>1321</v>
      </c>
      <c r="P74" s="258">
        <v>44364</v>
      </c>
      <c r="Q74" s="259">
        <v>3844360.77</v>
      </c>
      <c r="R74" s="259">
        <v>5154163.9840476168</v>
      </c>
      <c r="S74" s="254">
        <v>5</v>
      </c>
      <c r="T74" s="256">
        <v>-0.28188919407933</v>
      </c>
      <c r="U74" s="256">
        <v>-3.6440366313820287</v>
      </c>
      <c r="V74" s="256">
        <v>-0.27701843912327317</v>
      </c>
      <c r="W74" s="256">
        <v>-2.7157069797397968</v>
      </c>
      <c r="X74" s="256" t="s">
        <v>1417</v>
      </c>
      <c r="Y74" s="256" t="s">
        <v>1417</v>
      </c>
      <c r="Z74" s="256" t="s">
        <v>1417</v>
      </c>
      <c r="AA74" s="256" t="s">
        <v>1417</v>
      </c>
      <c r="AB74" s="256">
        <v>0.26575314072592493</v>
      </c>
      <c r="AC74" s="260">
        <v>-1.4533319642242652</v>
      </c>
      <c r="AD74" s="405">
        <v>42115133000153</v>
      </c>
      <c r="AE74" s="257" t="s">
        <v>2144</v>
      </c>
      <c r="AF74" s="257" t="s">
        <v>2109</v>
      </c>
      <c r="AG74" s="261" t="s">
        <v>1432</v>
      </c>
      <c r="AH74" s="261" t="s">
        <v>2110</v>
      </c>
      <c r="AI74" s="261">
        <v>5000</v>
      </c>
      <c r="AJ74" s="261">
        <v>5000</v>
      </c>
      <c r="AK74" s="261">
        <v>5000</v>
      </c>
      <c r="AL74" s="256">
        <v>0.01</v>
      </c>
      <c r="AM74" s="256" t="s">
        <v>34</v>
      </c>
      <c r="AN74" s="256" t="s">
        <v>34</v>
      </c>
      <c r="AO74" s="254" t="s">
        <v>1324</v>
      </c>
      <c r="AP74" s="257" t="s">
        <v>716</v>
      </c>
      <c r="AQ74" s="263" t="s">
        <v>687</v>
      </c>
      <c r="AR74" s="256">
        <v>8.0000000000000002E-3</v>
      </c>
      <c r="AS74" s="256">
        <v>8.0000000000000002E-3</v>
      </c>
      <c r="AT74" s="256"/>
      <c r="AW74" s="508"/>
      <c r="AX74" s="509"/>
      <c r="AY74" s="509"/>
      <c r="AZ74" s="509"/>
      <c r="BA74" s="509"/>
      <c r="BB74" s="520"/>
      <c r="BC74" s="509"/>
      <c r="BD74" s="509"/>
      <c r="BE74" s="509"/>
      <c r="BF74" s="509"/>
      <c r="BG74" s="521"/>
      <c r="BH74" s="510"/>
      <c r="BI74" s="511"/>
      <c r="BJ74" s="511"/>
      <c r="BK74" s="511"/>
      <c r="BL74" s="195"/>
      <c r="BM74" s="510"/>
      <c r="BN74" s="510"/>
      <c r="BO74" s="510"/>
      <c r="BP74" s="510"/>
      <c r="BQ74" s="510"/>
      <c r="BR74" s="510"/>
      <c r="BS74" s="510"/>
      <c r="BT74" s="510"/>
      <c r="BU74" s="510"/>
      <c r="BV74" s="512"/>
      <c r="BW74" s="509"/>
    </row>
    <row r="75" spans="2:75" ht="15.75" customHeight="1">
      <c r="B75" s="250" t="s">
        <v>503</v>
      </c>
      <c r="C75" s="251">
        <v>41373608000149</v>
      </c>
      <c r="D75" s="252" t="s">
        <v>14</v>
      </c>
      <c r="E75" s="252" t="s">
        <v>15</v>
      </c>
      <c r="F75" s="252" t="s">
        <v>699</v>
      </c>
      <c r="G75" s="253"/>
      <c r="H75" s="253" t="s">
        <v>34</v>
      </c>
      <c r="I75" s="253" t="s">
        <v>34</v>
      </c>
      <c r="J75" s="253" t="s">
        <v>611</v>
      </c>
      <c r="K75" s="254" t="s">
        <v>49</v>
      </c>
      <c r="L75" s="255" t="s">
        <v>1339</v>
      </c>
      <c r="M75" s="255" t="s">
        <v>1414</v>
      </c>
      <c r="N75" s="254">
        <v>586511</v>
      </c>
      <c r="O75" s="254" t="s">
        <v>1321</v>
      </c>
      <c r="P75" s="258">
        <v>44313</v>
      </c>
      <c r="Q75" s="259">
        <v>30612961.23</v>
      </c>
      <c r="R75" s="259">
        <v>37371186.890277781</v>
      </c>
      <c r="S75" s="254">
        <v>6</v>
      </c>
      <c r="T75" s="256">
        <v>-0.16159617025368844</v>
      </c>
      <c r="U75" s="256">
        <v>-2.0889852334310071</v>
      </c>
      <c r="V75" s="256">
        <v>9.0976053026872172E-2</v>
      </c>
      <c r="W75" s="256">
        <v>0.89186951950267479</v>
      </c>
      <c r="X75" s="256" t="s">
        <v>1417</v>
      </c>
      <c r="Y75" s="256" t="s">
        <v>1417</v>
      </c>
      <c r="Z75" s="256" t="s">
        <v>1417</v>
      </c>
      <c r="AA75" s="256" t="s">
        <v>1417</v>
      </c>
      <c r="AB75" s="256">
        <v>0.49460922896876119</v>
      </c>
      <c r="AC75" s="260">
        <v>0.23072819926486496</v>
      </c>
      <c r="AD75" s="405">
        <v>0</v>
      </c>
      <c r="AE75" s="257" t="s">
        <v>2229</v>
      </c>
      <c r="AF75" s="257" t="s">
        <v>2109</v>
      </c>
      <c r="AG75" s="261" t="s">
        <v>1432</v>
      </c>
      <c r="AH75" s="261" t="s">
        <v>2113</v>
      </c>
      <c r="AI75" s="261">
        <v>1000</v>
      </c>
      <c r="AJ75" s="261">
        <v>100</v>
      </c>
      <c r="AK75" s="261">
        <v>100</v>
      </c>
      <c r="AL75" s="256">
        <v>9.0000000000000011E-3</v>
      </c>
      <c r="AM75" s="256">
        <v>0.1</v>
      </c>
      <c r="AN75" s="256" t="s">
        <v>34</v>
      </c>
      <c r="AO75" s="254" t="s">
        <v>1324</v>
      </c>
      <c r="AP75" s="257" t="s">
        <v>13</v>
      </c>
      <c r="AQ75" s="263" t="s">
        <v>668</v>
      </c>
      <c r="AR75" s="256">
        <v>2.9996999999999997E-3</v>
      </c>
      <c r="AS75" s="256">
        <v>2.9996999999999997E-3</v>
      </c>
      <c r="AT75" s="256"/>
      <c r="AW75" s="508"/>
      <c r="AX75" s="509"/>
      <c r="AY75" s="509"/>
      <c r="AZ75" s="509"/>
      <c r="BA75" s="509"/>
      <c r="BB75" s="520"/>
      <c r="BC75" s="509"/>
      <c r="BD75" s="509"/>
      <c r="BE75" s="509"/>
      <c r="BF75" s="509"/>
      <c r="BG75" s="521"/>
      <c r="BH75" s="510"/>
      <c r="BI75" s="511"/>
      <c r="BJ75" s="511"/>
      <c r="BK75" s="511"/>
      <c r="BL75" s="195"/>
      <c r="BM75" s="510"/>
      <c r="BN75" s="510"/>
      <c r="BO75" s="510"/>
      <c r="BP75" s="510"/>
      <c r="BQ75" s="510"/>
      <c r="BR75" s="510"/>
      <c r="BS75" s="510"/>
      <c r="BT75" s="510"/>
      <c r="BU75" s="510"/>
      <c r="BV75" s="512"/>
      <c r="BW75" s="509"/>
    </row>
    <row r="76" spans="2:75" ht="15.75" customHeight="1">
      <c r="B76" s="250" t="s">
        <v>510</v>
      </c>
      <c r="C76" s="251">
        <v>40503169000189</v>
      </c>
      <c r="D76" s="252" t="s">
        <v>14</v>
      </c>
      <c r="E76" s="252" t="s">
        <v>607</v>
      </c>
      <c r="F76" s="252" t="s">
        <v>699</v>
      </c>
      <c r="G76" s="253"/>
      <c r="H76" s="253" t="s">
        <v>34</v>
      </c>
      <c r="I76" s="253" t="s">
        <v>34</v>
      </c>
      <c r="J76" s="253" t="s">
        <v>611</v>
      </c>
      <c r="K76" s="254" t="s">
        <v>48</v>
      </c>
      <c r="L76" s="255" t="s">
        <v>1339</v>
      </c>
      <c r="M76" s="255" t="s">
        <v>1414</v>
      </c>
      <c r="N76" s="254">
        <v>572330</v>
      </c>
      <c r="O76" s="254" t="s">
        <v>1321</v>
      </c>
      <c r="P76" s="258">
        <v>44225</v>
      </c>
      <c r="Q76" s="259">
        <v>71812244.209999993</v>
      </c>
      <c r="R76" s="259">
        <v>81330603.293571383</v>
      </c>
      <c r="S76" s="254">
        <v>6</v>
      </c>
      <c r="T76" s="256">
        <v>-6.2152267073195877E-2</v>
      </c>
      <c r="U76" s="256">
        <v>-0.80345448741971592</v>
      </c>
      <c r="V76" s="256">
        <v>0.16950157177662684</v>
      </c>
      <c r="W76" s="256">
        <v>1.6616821717987185</v>
      </c>
      <c r="X76" s="256" t="s">
        <v>1417</v>
      </c>
      <c r="Y76" s="256" t="s">
        <v>1417</v>
      </c>
      <c r="Z76" s="256" t="s">
        <v>1417</v>
      </c>
      <c r="AA76" s="256" t="s">
        <v>1417</v>
      </c>
      <c r="AB76" s="256">
        <v>0.54991346845812916</v>
      </c>
      <c r="AC76" s="260">
        <v>0.37666630665322798</v>
      </c>
      <c r="AD76" s="405">
        <v>0</v>
      </c>
      <c r="AE76" s="257" t="s">
        <v>2229</v>
      </c>
      <c r="AF76" s="257" t="s">
        <v>2109</v>
      </c>
      <c r="AG76" s="261" t="s">
        <v>1432</v>
      </c>
      <c r="AH76" s="261" t="s">
        <v>2113</v>
      </c>
      <c r="AI76" s="261">
        <v>0</v>
      </c>
      <c r="AJ76" s="261">
        <v>0</v>
      </c>
      <c r="AK76" s="261">
        <v>0</v>
      </c>
      <c r="AL76" s="256">
        <v>2.5000000000000001E-3</v>
      </c>
      <c r="AM76" s="256" t="s">
        <v>34</v>
      </c>
      <c r="AN76" s="256" t="s">
        <v>34</v>
      </c>
      <c r="AO76" s="254" t="s">
        <v>1324</v>
      </c>
      <c r="AP76" s="257" t="s">
        <v>13</v>
      </c>
      <c r="AQ76" s="263" t="s">
        <v>668</v>
      </c>
      <c r="AR76" s="256">
        <v>8.3325000000000001E-4</v>
      </c>
      <c r="AS76" s="256">
        <v>8.3325000000000001E-4</v>
      </c>
      <c r="AT76" s="256"/>
      <c r="AW76" s="508"/>
      <c r="AX76" s="509"/>
      <c r="AY76" s="509"/>
      <c r="AZ76" s="509"/>
      <c r="BA76" s="509"/>
      <c r="BB76" s="520"/>
      <c r="BC76" s="509"/>
      <c r="BD76" s="509"/>
      <c r="BE76" s="509"/>
      <c r="BF76" s="509"/>
      <c r="BG76" s="521"/>
      <c r="BH76" s="510"/>
      <c r="BI76" s="511"/>
      <c r="BJ76" s="511"/>
      <c r="BK76" s="511"/>
      <c r="BL76" s="195"/>
      <c r="BM76" s="510"/>
      <c r="BN76" s="510"/>
      <c r="BO76" s="510"/>
      <c r="BP76" s="510"/>
      <c r="BQ76" s="510"/>
      <c r="BR76" s="510"/>
      <c r="BS76" s="510"/>
      <c r="BT76" s="510"/>
      <c r="BU76" s="510"/>
      <c r="BV76" s="512"/>
      <c r="BW76" s="509"/>
    </row>
    <row r="77" spans="2:75" ht="15.75" customHeight="1">
      <c r="B77" s="250" t="s">
        <v>1128</v>
      </c>
      <c r="C77" s="251">
        <v>32225478000106</v>
      </c>
      <c r="D77" s="252" t="s">
        <v>11</v>
      </c>
      <c r="E77" s="252" t="s">
        <v>661</v>
      </c>
      <c r="F77" s="252"/>
      <c r="G77" s="253" t="s">
        <v>738</v>
      </c>
      <c r="H77" s="253" t="s">
        <v>34</v>
      </c>
      <c r="I77" s="253" t="s">
        <v>34</v>
      </c>
      <c r="J77" s="253" t="s">
        <v>611</v>
      </c>
      <c r="K77" s="254" t="s">
        <v>49</v>
      </c>
      <c r="L77" s="255" t="s">
        <v>1339</v>
      </c>
      <c r="M77" s="255" t="s">
        <v>34</v>
      </c>
      <c r="N77" s="254">
        <v>488755</v>
      </c>
      <c r="O77" s="254" t="s">
        <v>1321</v>
      </c>
      <c r="P77" s="258">
        <v>43523</v>
      </c>
      <c r="Q77" s="259">
        <v>207532598.43000001</v>
      </c>
      <c r="R77" s="259">
        <v>246035411.49865085</v>
      </c>
      <c r="S77" s="254">
        <v>6</v>
      </c>
      <c r="T77" s="256">
        <v>-0.14752892435153564</v>
      </c>
      <c r="U77" s="256">
        <v>-1.9071351999895785</v>
      </c>
      <c r="V77" s="256">
        <v>-7.7718653003480354E-2</v>
      </c>
      <c r="W77" s="256">
        <v>-0.76190267003708279</v>
      </c>
      <c r="X77" s="256">
        <v>-7.0265991079427215E-2</v>
      </c>
      <c r="Y77" s="256">
        <v>-0.53283977491387524</v>
      </c>
      <c r="Z77" s="256">
        <v>0.24741982429753362</v>
      </c>
      <c r="AA77" s="256">
        <v>1.4064144919101096</v>
      </c>
      <c r="AB77" s="256">
        <v>0.1456646742344804</v>
      </c>
      <c r="AC77" s="260">
        <v>-1.1498304438814482</v>
      </c>
      <c r="AD77" s="405">
        <v>32225606000111</v>
      </c>
      <c r="AE77" s="257" t="s">
        <v>2364</v>
      </c>
      <c r="AF77" s="257" t="s">
        <v>2118</v>
      </c>
      <c r="AG77" s="261" t="s">
        <v>1433</v>
      </c>
      <c r="AH77" s="261" t="s">
        <v>2110</v>
      </c>
      <c r="AI77" s="261">
        <v>25000</v>
      </c>
      <c r="AJ77" s="261">
        <v>0</v>
      </c>
      <c r="AK77" s="261">
        <v>10000</v>
      </c>
      <c r="AL77" s="256">
        <v>9.300000000000001E-3</v>
      </c>
      <c r="AM77" s="256" t="s">
        <v>34</v>
      </c>
      <c r="AN77" s="256" t="s">
        <v>34</v>
      </c>
      <c r="AO77" s="254" t="s">
        <v>1324</v>
      </c>
      <c r="AP77" s="257" t="s">
        <v>13</v>
      </c>
      <c r="AQ77" s="263" t="s">
        <v>679</v>
      </c>
      <c r="AR77" s="256">
        <v>4.3499199999999993E-3</v>
      </c>
      <c r="AS77" s="256">
        <v>4.3499199999999993E-3</v>
      </c>
      <c r="AT77" s="256"/>
      <c r="AW77" s="508"/>
      <c r="AX77" s="509"/>
      <c r="AY77" s="509"/>
      <c r="AZ77" s="509"/>
      <c r="BA77" s="509"/>
      <c r="BB77" s="520"/>
      <c r="BC77" s="509"/>
      <c r="BD77" s="509"/>
      <c r="BE77" s="509"/>
      <c r="BF77" s="509"/>
      <c r="BG77" s="521"/>
      <c r="BH77" s="510"/>
      <c r="BI77" s="511"/>
      <c r="BJ77" s="511"/>
      <c r="BK77" s="511"/>
      <c r="BL77" s="195"/>
      <c r="BM77" s="510"/>
      <c r="BN77" s="510"/>
      <c r="BO77" s="510"/>
      <c r="BP77" s="510"/>
      <c r="BQ77" s="510"/>
      <c r="BR77" s="510"/>
      <c r="BS77" s="510"/>
      <c r="BT77" s="510"/>
      <c r="BU77" s="510"/>
      <c r="BV77" s="512"/>
      <c r="BW77" s="509"/>
    </row>
    <row r="78" spans="2:75" ht="15.75" customHeight="1">
      <c r="B78" s="250" t="s">
        <v>1129</v>
      </c>
      <c r="C78" s="251">
        <v>23729512000199</v>
      </c>
      <c r="D78" s="252" t="s">
        <v>11</v>
      </c>
      <c r="E78" s="252" t="s">
        <v>661</v>
      </c>
      <c r="F78" s="252"/>
      <c r="G78" s="253" t="s">
        <v>738</v>
      </c>
      <c r="H78" s="253" t="s">
        <v>34</v>
      </c>
      <c r="I78" s="253" t="s">
        <v>34</v>
      </c>
      <c r="J78" s="253" t="s">
        <v>611</v>
      </c>
      <c r="K78" s="254" t="s">
        <v>48</v>
      </c>
      <c r="L78" s="255" t="s">
        <v>1339</v>
      </c>
      <c r="M78" s="255" t="s">
        <v>34</v>
      </c>
      <c r="N78" s="254">
        <v>414069</v>
      </c>
      <c r="O78" s="254" t="s">
        <v>1321</v>
      </c>
      <c r="P78" s="258">
        <v>42403</v>
      </c>
      <c r="Q78" s="259">
        <v>421094517.43000001</v>
      </c>
      <c r="R78" s="259">
        <v>690370646.45186496</v>
      </c>
      <c r="S78" s="254">
        <v>6</v>
      </c>
      <c r="T78" s="256">
        <v>-2.6771431128282952E-2</v>
      </c>
      <c r="U78" s="256">
        <v>-0.34607951547986515</v>
      </c>
      <c r="V78" s="256">
        <v>-9.7883883548312012E-3</v>
      </c>
      <c r="W78" s="256">
        <v>-9.5958935656949809E-2</v>
      </c>
      <c r="X78" s="256">
        <v>7.1633133378304903E-2</v>
      </c>
      <c r="Y78" s="256">
        <v>0.54320706332208657</v>
      </c>
      <c r="Z78" s="256">
        <v>0.12694181686394868</v>
      </c>
      <c r="AA78" s="256">
        <v>0.72157844010172245</v>
      </c>
      <c r="AB78" s="256">
        <v>5.2889249895443094E-2</v>
      </c>
      <c r="AC78" s="260">
        <v>-1.9964479528408094</v>
      </c>
      <c r="AD78" s="405">
        <v>23720107000100</v>
      </c>
      <c r="AE78" s="257" t="s">
        <v>2364</v>
      </c>
      <c r="AF78" s="257" t="s">
        <v>2118</v>
      </c>
      <c r="AG78" s="261" t="s">
        <v>1433</v>
      </c>
      <c r="AH78" s="261" t="s">
        <v>2110</v>
      </c>
      <c r="AI78" s="261">
        <v>25000</v>
      </c>
      <c r="AJ78" s="261">
        <v>0</v>
      </c>
      <c r="AK78" s="261">
        <v>10000</v>
      </c>
      <c r="AL78" s="256">
        <v>9.300000000000001E-3</v>
      </c>
      <c r="AM78" s="256" t="s">
        <v>34</v>
      </c>
      <c r="AN78" s="256" t="s">
        <v>34</v>
      </c>
      <c r="AO78" s="254" t="s">
        <v>1324</v>
      </c>
      <c r="AP78" s="257" t="s">
        <v>13</v>
      </c>
      <c r="AQ78" s="263" t="s">
        <v>679</v>
      </c>
      <c r="AR78" s="256">
        <v>4.3499199999999993E-3</v>
      </c>
      <c r="AS78" s="256">
        <v>4.3499199999999993E-3</v>
      </c>
      <c r="AT78" s="256"/>
      <c r="AW78" s="508"/>
      <c r="AX78" s="509"/>
      <c r="AY78" s="509"/>
      <c r="AZ78" s="509"/>
      <c r="BA78" s="509"/>
      <c r="BB78" s="520"/>
      <c r="BC78" s="509"/>
      <c r="BD78" s="509"/>
      <c r="BE78" s="509"/>
      <c r="BF78" s="509"/>
      <c r="BG78" s="521"/>
      <c r="BH78" s="510"/>
      <c r="BI78" s="511"/>
      <c r="BJ78" s="511"/>
      <c r="BK78" s="511"/>
      <c r="BL78" s="195"/>
      <c r="BM78" s="510"/>
      <c r="BN78" s="510"/>
      <c r="BO78" s="510"/>
      <c r="BP78" s="510"/>
      <c r="BQ78" s="510"/>
      <c r="BR78" s="510"/>
      <c r="BS78" s="510"/>
      <c r="BT78" s="510"/>
      <c r="BU78" s="510"/>
      <c r="BV78" s="512"/>
      <c r="BW78" s="509"/>
    </row>
    <row r="79" spans="2:75" ht="15.75" customHeight="1">
      <c r="B79" s="250" t="s">
        <v>211</v>
      </c>
      <c r="C79" s="251">
        <v>29826089000121</v>
      </c>
      <c r="D79" s="252" t="s">
        <v>13</v>
      </c>
      <c r="E79" s="252" t="s">
        <v>616</v>
      </c>
      <c r="F79" s="252" t="s">
        <v>610</v>
      </c>
      <c r="G79" s="253" t="s">
        <v>34</v>
      </c>
      <c r="H79" s="253" t="s">
        <v>1338</v>
      </c>
      <c r="I79" s="253" t="s">
        <v>34</v>
      </c>
      <c r="J79" s="253" t="s">
        <v>611</v>
      </c>
      <c r="K79" s="254" t="s">
        <v>48</v>
      </c>
      <c r="L79" s="255" t="s">
        <v>1339</v>
      </c>
      <c r="M79" s="255" t="s">
        <v>1414</v>
      </c>
      <c r="N79" s="254">
        <v>481645</v>
      </c>
      <c r="O79" s="254" t="s">
        <v>1321</v>
      </c>
      <c r="P79" s="258">
        <v>43307</v>
      </c>
      <c r="Q79" s="259">
        <v>276979377.32999998</v>
      </c>
      <c r="R79" s="259">
        <v>391763662.88563514</v>
      </c>
      <c r="S79" s="254">
        <v>13</v>
      </c>
      <c r="T79" s="256">
        <v>6.7889531282496751E-3</v>
      </c>
      <c r="U79" s="256">
        <v>8.7762122166042539E-2</v>
      </c>
      <c r="V79" s="256">
        <v>6.3812993179759303E-3</v>
      </c>
      <c r="W79" s="256">
        <v>6.2558070691909093E-2</v>
      </c>
      <c r="X79" s="256">
        <v>4.8384491972385923E-2</v>
      </c>
      <c r="Y79" s="256">
        <v>0.36690839218002075</v>
      </c>
      <c r="Z79" s="256">
        <v>0.16909225199020983</v>
      </c>
      <c r="AA79" s="256">
        <v>0.96117517803571495</v>
      </c>
      <c r="AB79" s="256">
        <v>7.35465363429577E-2</v>
      </c>
      <c r="AC79" s="260">
        <v>-1.1978402640044912</v>
      </c>
      <c r="AD79" s="405">
        <v>26450646000164</v>
      </c>
      <c r="AE79" s="257" t="s">
        <v>2259</v>
      </c>
      <c r="AF79" s="257" t="s">
        <v>2118</v>
      </c>
      <c r="AG79" s="261" t="s">
        <v>1433</v>
      </c>
      <c r="AH79" s="261" t="s">
        <v>2113</v>
      </c>
      <c r="AI79" s="261">
        <v>25000</v>
      </c>
      <c r="AJ79" s="261">
        <v>10000</v>
      </c>
      <c r="AK79" s="261">
        <v>20000</v>
      </c>
      <c r="AL79" s="256">
        <v>1.4499999999999999E-2</v>
      </c>
      <c r="AM79" s="256">
        <v>0.2</v>
      </c>
      <c r="AN79" s="256" t="s">
        <v>64</v>
      </c>
      <c r="AO79" s="254" t="s">
        <v>1324</v>
      </c>
      <c r="AP79" s="257" t="s">
        <v>13</v>
      </c>
      <c r="AQ79" s="263" t="s">
        <v>668</v>
      </c>
      <c r="AR79" s="256">
        <v>2.8999999999999998E-3</v>
      </c>
      <c r="AS79" s="256">
        <v>2.8999999999999998E-3</v>
      </c>
      <c r="AT79" s="256"/>
      <c r="AW79" s="508"/>
      <c r="AX79" s="509"/>
      <c r="AY79" s="509"/>
      <c r="AZ79" s="509"/>
      <c r="BA79" s="509"/>
      <c r="BB79" s="520"/>
      <c r="BC79" s="509"/>
      <c r="BD79" s="509"/>
      <c r="BE79" s="509"/>
      <c r="BF79" s="509"/>
      <c r="BG79" s="521"/>
      <c r="BH79" s="510"/>
      <c r="BI79" s="511"/>
      <c r="BJ79" s="511"/>
      <c r="BK79" s="511"/>
      <c r="BL79" s="195"/>
      <c r="BM79" s="510"/>
      <c r="BN79" s="510"/>
      <c r="BO79" s="510"/>
      <c r="BP79" s="510"/>
      <c r="BQ79" s="510"/>
      <c r="BR79" s="510"/>
      <c r="BS79" s="510"/>
      <c r="BT79" s="510"/>
      <c r="BU79" s="510"/>
      <c r="BV79" s="512"/>
      <c r="BW79" s="509"/>
    </row>
    <row r="80" spans="2:75" ht="15.75" customHeight="1">
      <c r="B80" s="250" t="s">
        <v>990</v>
      </c>
      <c r="C80" s="251">
        <v>35939847000110</v>
      </c>
      <c r="D80" s="252" t="s">
        <v>14</v>
      </c>
      <c r="E80" s="252" t="s">
        <v>607</v>
      </c>
      <c r="F80" s="252"/>
      <c r="G80" s="253"/>
      <c r="H80" s="253" t="s">
        <v>34</v>
      </c>
      <c r="I80" s="253" t="s">
        <v>34</v>
      </c>
      <c r="J80" s="253" t="s">
        <v>611</v>
      </c>
      <c r="K80" s="254" t="s">
        <v>49</v>
      </c>
      <c r="L80" s="255" t="s">
        <v>1339</v>
      </c>
      <c r="M80" s="255" t="s">
        <v>1414</v>
      </c>
      <c r="N80" s="254">
        <v>532010</v>
      </c>
      <c r="O80" s="254" t="s">
        <v>1321</v>
      </c>
      <c r="P80" s="258">
        <v>43917</v>
      </c>
      <c r="Q80" s="259">
        <v>92386784.010000005</v>
      </c>
      <c r="R80" s="259">
        <v>124699445.48670623</v>
      </c>
      <c r="S80" s="254">
        <v>14</v>
      </c>
      <c r="T80" s="256">
        <v>-0.33888412531413825</v>
      </c>
      <c r="U80" s="256">
        <v>-4.3808212318030435</v>
      </c>
      <c r="V80" s="256">
        <v>-0.31483277922620223</v>
      </c>
      <c r="W80" s="256">
        <v>-3.0864139538920869</v>
      </c>
      <c r="X80" s="256">
        <v>-0.13765406222466225</v>
      </c>
      <c r="Y80" s="256">
        <v>-1.0438557601622536</v>
      </c>
      <c r="Z80" s="256" t="s">
        <v>1417</v>
      </c>
      <c r="AA80" s="256" t="s">
        <v>1417</v>
      </c>
      <c r="AB80" s="256">
        <v>0.27584177023310663</v>
      </c>
      <c r="AC80" s="260">
        <v>-1.5842089333781253</v>
      </c>
      <c r="AD80" s="405">
        <v>35916505000185</v>
      </c>
      <c r="AE80" s="257" t="s">
        <v>2282</v>
      </c>
      <c r="AF80" s="257" t="s">
        <v>2118</v>
      </c>
      <c r="AG80" s="261" t="s">
        <v>1433</v>
      </c>
      <c r="AH80" s="261" t="s">
        <v>2113</v>
      </c>
      <c r="AI80" s="261">
        <v>20000</v>
      </c>
      <c r="AJ80" s="261">
        <v>5000</v>
      </c>
      <c r="AK80" s="261">
        <v>0</v>
      </c>
      <c r="AL80" s="256">
        <v>1.4999999999999999E-2</v>
      </c>
      <c r="AM80" s="256">
        <v>0.15</v>
      </c>
      <c r="AN80" s="256" t="s">
        <v>34</v>
      </c>
      <c r="AO80" s="254" t="s">
        <v>1324</v>
      </c>
      <c r="AP80" s="257" t="s">
        <v>716</v>
      </c>
      <c r="AQ80" s="263" t="s">
        <v>659</v>
      </c>
      <c r="AR80" s="256">
        <v>2.4999999999999996E-3</v>
      </c>
      <c r="AS80" s="256">
        <v>2.4999999999999996E-3</v>
      </c>
      <c r="AT80" s="256"/>
      <c r="AW80" s="508"/>
      <c r="AX80" s="509"/>
      <c r="AY80" s="509"/>
      <c r="AZ80" s="509"/>
      <c r="BA80" s="509"/>
      <c r="BB80" s="520"/>
      <c r="BC80" s="509"/>
      <c r="BD80" s="509"/>
      <c r="BE80" s="509"/>
      <c r="BF80" s="509"/>
      <c r="BG80" s="521"/>
      <c r="BH80" s="510"/>
      <c r="BI80" s="511"/>
      <c r="BJ80" s="511"/>
      <c r="BK80" s="511"/>
      <c r="BL80" s="195"/>
      <c r="BM80" s="510"/>
      <c r="BN80" s="510"/>
      <c r="BO80" s="510"/>
      <c r="BP80" s="510"/>
      <c r="BQ80" s="510"/>
      <c r="BR80" s="510"/>
      <c r="BS80" s="510"/>
      <c r="BT80" s="510"/>
      <c r="BU80" s="510"/>
      <c r="BV80" s="512"/>
      <c r="BW80" s="509"/>
    </row>
    <row r="81" spans="2:75" ht="15.75" customHeight="1">
      <c r="B81" s="250" t="s">
        <v>1099</v>
      </c>
      <c r="C81" s="251">
        <v>31353372000125</v>
      </c>
      <c r="D81" s="252" t="s">
        <v>13</v>
      </c>
      <c r="E81" s="252" t="s">
        <v>616</v>
      </c>
      <c r="F81" s="252" t="s">
        <v>617</v>
      </c>
      <c r="G81" s="253" t="s">
        <v>34</v>
      </c>
      <c r="H81" s="253" t="s">
        <v>1337</v>
      </c>
      <c r="I81" s="253" t="s">
        <v>34</v>
      </c>
      <c r="J81" s="253" t="s">
        <v>608</v>
      </c>
      <c r="K81" s="254" t="s">
        <v>48</v>
      </c>
      <c r="L81" s="255" t="s">
        <v>1339</v>
      </c>
      <c r="M81" s="255" t="s">
        <v>34</v>
      </c>
      <c r="N81" s="254">
        <v>479561</v>
      </c>
      <c r="O81" s="254" t="s">
        <v>1321</v>
      </c>
      <c r="P81" s="258">
        <v>43425</v>
      </c>
      <c r="Q81" s="259">
        <v>52133950.600000001</v>
      </c>
      <c r="R81" s="259">
        <v>67637070.446825415</v>
      </c>
      <c r="S81" s="254">
        <v>15</v>
      </c>
      <c r="T81" s="256">
        <v>7.267258692767653E-2</v>
      </c>
      <c r="U81" s="256">
        <v>0.93945271554900844</v>
      </c>
      <c r="V81" s="256">
        <v>8.5038814841778887E-2</v>
      </c>
      <c r="W81" s="256">
        <v>0.83366473273589792</v>
      </c>
      <c r="X81" s="256">
        <v>0.10275812301771303</v>
      </c>
      <c r="Y81" s="256">
        <v>0.77923351394045193</v>
      </c>
      <c r="Z81" s="256">
        <v>0.1753012221069763</v>
      </c>
      <c r="AA81" s="256">
        <v>0.9964689770546491</v>
      </c>
      <c r="AB81" s="256">
        <v>2.101811062819248E-2</v>
      </c>
      <c r="AC81" s="260">
        <v>-0.72808915458781909</v>
      </c>
      <c r="AD81" s="405">
        <v>11403956000150</v>
      </c>
      <c r="AE81" s="257" t="s">
        <v>2123</v>
      </c>
      <c r="AF81" s="257" t="s">
        <v>2109</v>
      </c>
      <c r="AG81" s="261" t="s">
        <v>1432</v>
      </c>
      <c r="AH81" s="261" t="s">
        <v>2113</v>
      </c>
      <c r="AI81" s="261">
        <v>5000</v>
      </c>
      <c r="AJ81" s="261">
        <v>0</v>
      </c>
      <c r="AK81" s="261">
        <v>0</v>
      </c>
      <c r="AL81" s="256">
        <v>0</v>
      </c>
      <c r="AM81" s="256" t="s">
        <v>34</v>
      </c>
      <c r="AN81" s="256" t="s">
        <v>34</v>
      </c>
      <c r="AO81" s="254" t="s">
        <v>1324</v>
      </c>
      <c r="AP81" s="257" t="s">
        <v>13</v>
      </c>
      <c r="AQ81" s="263" t="s">
        <v>668</v>
      </c>
      <c r="AR81" s="256">
        <v>5.0000000000000001E-3</v>
      </c>
      <c r="AS81" s="256">
        <v>5.0000000000000001E-3</v>
      </c>
      <c r="AT81" s="256"/>
      <c r="AW81" s="508"/>
      <c r="AX81" s="509"/>
      <c r="AY81" s="509"/>
      <c r="AZ81" s="509"/>
      <c r="BA81" s="509"/>
      <c r="BB81" s="520"/>
      <c r="BC81" s="509"/>
      <c r="BD81" s="509"/>
      <c r="BE81" s="509"/>
      <c r="BF81" s="509"/>
      <c r="BG81" s="521"/>
      <c r="BH81" s="510"/>
      <c r="BI81" s="511"/>
      <c r="BJ81" s="511"/>
      <c r="BK81" s="511"/>
      <c r="BL81" s="195"/>
      <c r="BM81" s="510"/>
      <c r="BN81" s="510"/>
      <c r="BO81" s="510"/>
      <c r="BP81" s="510"/>
      <c r="BQ81" s="510"/>
      <c r="BR81" s="510"/>
      <c r="BS81" s="510"/>
      <c r="BT81" s="510"/>
      <c r="BU81" s="510"/>
      <c r="BV81" s="512"/>
      <c r="BW81" s="509"/>
    </row>
    <row r="82" spans="2:75" ht="15.75" customHeight="1">
      <c r="B82" s="250" t="s">
        <v>1144</v>
      </c>
      <c r="C82" s="251">
        <v>22918359000185</v>
      </c>
      <c r="D82" s="252" t="s">
        <v>13</v>
      </c>
      <c r="E82" s="252" t="s">
        <v>615</v>
      </c>
      <c r="F82" s="252" t="s">
        <v>619</v>
      </c>
      <c r="G82" s="253" t="s">
        <v>34</v>
      </c>
      <c r="H82" s="253" t="s">
        <v>1337</v>
      </c>
      <c r="I82" s="253" t="s">
        <v>34</v>
      </c>
      <c r="J82" s="253" t="s">
        <v>611</v>
      </c>
      <c r="K82" s="254" t="s">
        <v>48</v>
      </c>
      <c r="L82" s="255" t="s">
        <v>1339</v>
      </c>
      <c r="M82" s="255" t="s">
        <v>34</v>
      </c>
      <c r="N82" s="254">
        <v>413259</v>
      </c>
      <c r="O82" s="254" t="s">
        <v>1321</v>
      </c>
      <c r="P82" s="258">
        <v>42422</v>
      </c>
      <c r="Q82" s="259">
        <v>1231109559.74</v>
      </c>
      <c r="R82" s="259">
        <v>1325854215.8242068</v>
      </c>
      <c r="S82" s="254">
        <v>15</v>
      </c>
      <c r="T82" s="256">
        <v>0.11570476762256843</v>
      </c>
      <c r="U82" s="256">
        <v>1.495738114471773</v>
      </c>
      <c r="V82" s="256">
        <v>0.12751052252514117</v>
      </c>
      <c r="W82" s="256">
        <v>1.2500294821807849</v>
      </c>
      <c r="X82" s="256">
        <v>0.24494266794697461</v>
      </c>
      <c r="Y82" s="256">
        <v>1.8574447474616615</v>
      </c>
      <c r="Z82" s="256">
        <v>0.3818019286691996</v>
      </c>
      <c r="AA82" s="256">
        <v>2.1702859382595765</v>
      </c>
      <c r="AB82" s="256">
        <v>4.3889090734310958E-2</v>
      </c>
      <c r="AC82" s="260">
        <v>0.54337210555362181</v>
      </c>
      <c r="AD82" s="405">
        <v>22918378000101</v>
      </c>
      <c r="AE82" s="257" t="s">
        <v>2369</v>
      </c>
      <c r="AF82" s="257" t="s">
        <v>2112</v>
      </c>
      <c r="AG82" s="261" t="s">
        <v>59</v>
      </c>
      <c r="AH82" s="261" t="s">
        <v>2113</v>
      </c>
      <c r="AI82" s="261">
        <v>1000</v>
      </c>
      <c r="AJ82" s="261">
        <v>1000</v>
      </c>
      <c r="AK82" s="261">
        <v>1000</v>
      </c>
      <c r="AL82" s="256">
        <v>1.8000000000000002E-2</v>
      </c>
      <c r="AM82" s="256">
        <v>0.2</v>
      </c>
      <c r="AN82" s="256" t="s">
        <v>64</v>
      </c>
      <c r="AO82" s="254" t="s">
        <v>1324</v>
      </c>
      <c r="AP82" s="257" t="s">
        <v>13</v>
      </c>
      <c r="AQ82" s="263" t="s">
        <v>664</v>
      </c>
      <c r="AR82" s="256">
        <v>5.0003999999999995E-3</v>
      </c>
      <c r="AS82" s="256">
        <v>5.0003999999999995E-3</v>
      </c>
      <c r="AT82" s="256"/>
      <c r="AW82" s="508"/>
      <c r="AX82" s="509"/>
      <c r="AY82" s="509"/>
      <c r="AZ82" s="509"/>
      <c r="BA82" s="509"/>
      <c r="BB82" s="520"/>
      <c r="BC82" s="509"/>
      <c r="BD82" s="509"/>
      <c r="BE82" s="509"/>
      <c r="BF82" s="509"/>
      <c r="BG82" s="521"/>
      <c r="BH82" s="510"/>
      <c r="BI82" s="511"/>
      <c r="BJ82" s="511"/>
      <c r="BK82" s="511"/>
      <c r="BL82" s="195"/>
      <c r="BM82" s="510"/>
      <c r="BN82" s="510"/>
      <c r="BO82" s="510"/>
      <c r="BP82" s="510"/>
      <c r="BQ82" s="510"/>
      <c r="BR82" s="510"/>
      <c r="BS82" s="510"/>
      <c r="BT82" s="510"/>
      <c r="BU82" s="510"/>
      <c r="BV82" s="512"/>
      <c r="BW82" s="509"/>
    </row>
    <row r="83" spans="2:75" ht="15.75" customHeight="1">
      <c r="B83" s="250" t="s">
        <v>372</v>
      </c>
      <c r="C83" s="251">
        <v>7279819000189</v>
      </c>
      <c r="D83" s="252" t="s">
        <v>13</v>
      </c>
      <c r="E83" s="252" t="s">
        <v>616</v>
      </c>
      <c r="F83" s="252" t="s">
        <v>617</v>
      </c>
      <c r="G83" s="253" t="s">
        <v>34</v>
      </c>
      <c r="H83" s="253" t="s">
        <v>1337</v>
      </c>
      <c r="I83" s="253" t="s">
        <v>34</v>
      </c>
      <c r="J83" s="253" t="s">
        <v>608</v>
      </c>
      <c r="K83" s="254" t="s">
        <v>48</v>
      </c>
      <c r="L83" s="255" t="s">
        <v>1339</v>
      </c>
      <c r="M83" s="255" t="s">
        <v>34</v>
      </c>
      <c r="N83" s="254">
        <v>148040</v>
      </c>
      <c r="O83" s="254" t="s">
        <v>1324</v>
      </c>
      <c r="P83" s="258">
        <v>38468</v>
      </c>
      <c r="Q83" s="259">
        <v>147054931.06999999</v>
      </c>
      <c r="R83" s="259">
        <v>154132935.01992068</v>
      </c>
      <c r="S83" s="254">
        <v>16</v>
      </c>
      <c r="T83" s="256">
        <v>8.5231781633680059E-2</v>
      </c>
      <c r="U83" s="256">
        <v>1.10180787683432</v>
      </c>
      <c r="V83" s="256">
        <v>0.10592125235323113</v>
      </c>
      <c r="W83" s="256">
        <v>1.0383824456914417</v>
      </c>
      <c r="X83" s="256">
        <v>0.14388120773007662</v>
      </c>
      <c r="Y83" s="256">
        <v>1.0910773357564874</v>
      </c>
      <c r="Z83" s="256">
        <v>0.26496670461580418</v>
      </c>
      <c r="AA83" s="256">
        <v>1.5061566481318009</v>
      </c>
      <c r="AB83" s="256">
        <v>1.720412513690037E-2</v>
      </c>
      <c r="AC83" s="260">
        <v>0.21472041910839473</v>
      </c>
      <c r="AD83" s="405">
        <v>0</v>
      </c>
      <c r="AE83" s="257" t="s">
        <v>2391</v>
      </c>
      <c r="AF83" s="257" t="s">
        <v>2109</v>
      </c>
      <c r="AG83" s="261" t="s">
        <v>1432</v>
      </c>
      <c r="AH83" s="261" t="s">
        <v>2113</v>
      </c>
      <c r="AI83" s="261">
        <v>5000</v>
      </c>
      <c r="AJ83" s="261">
        <v>5000</v>
      </c>
      <c r="AK83" s="261">
        <v>5000</v>
      </c>
      <c r="AL83" s="256">
        <v>0.02</v>
      </c>
      <c r="AM83" s="256">
        <v>0.2</v>
      </c>
      <c r="AN83" s="256" t="s">
        <v>2127</v>
      </c>
      <c r="AO83" s="254" t="s">
        <v>1324</v>
      </c>
      <c r="AP83" s="257" t="s">
        <v>13</v>
      </c>
      <c r="AQ83" s="263" t="s">
        <v>664</v>
      </c>
      <c r="AR83" s="256">
        <v>4.0000000000000001E-3</v>
      </c>
      <c r="AS83" s="256">
        <v>4.0000000000000001E-3</v>
      </c>
      <c r="AT83" s="256"/>
      <c r="AW83" s="508"/>
      <c r="AX83" s="509"/>
      <c r="AY83" s="509"/>
      <c r="AZ83" s="509"/>
      <c r="BA83" s="509"/>
      <c r="BB83" s="520"/>
      <c r="BC83" s="509"/>
      <c r="BD83" s="509"/>
      <c r="BE83" s="509"/>
      <c r="BF83" s="509"/>
      <c r="BG83" s="521"/>
      <c r="BH83" s="510"/>
      <c r="BI83" s="511"/>
      <c r="BJ83" s="511"/>
      <c r="BK83" s="511"/>
      <c r="BL83" s="195"/>
      <c r="BM83" s="510"/>
      <c r="BN83" s="510"/>
      <c r="BO83" s="510"/>
      <c r="BP83" s="510"/>
      <c r="BQ83" s="510"/>
      <c r="BR83" s="510"/>
      <c r="BS83" s="510"/>
      <c r="BT83" s="510"/>
      <c r="BU83" s="510"/>
      <c r="BV83" s="512"/>
      <c r="BW83" s="509"/>
    </row>
    <row r="84" spans="2:75" ht="15.75" customHeight="1">
      <c r="B84" s="250" t="s">
        <v>173</v>
      </c>
      <c r="C84" s="251">
        <v>31416575000113</v>
      </c>
      <c r="D84" s="252" t="s">
        <v>13</v>
      </c>
      <c r="E84" s="252" t="s">
        <v>616</v>
      </c>
      <c r="F84" s="252" t="s">
        <v>610</v>
      </c>
      <c r="G84" s="253" t="s">
        <v>34</v>
      </c>
      <c r="H84" s="253" t="s">
        <v>865</v>
      </c>
      <c r="I84" s="253" t="s">
        <v>34</v>
      </c>
      <c r="J84" s="253"/>
      <c r="K84" s="254" t="s">
        <v>48</v>
      </c>
      <c r="L84" s="255" t="s">
        <v>1339</v>
      </c>
      <c r="M84" s="255" t="s">
        <v>34</v>
      </c>
      <c r="N84" s="254">
        <v>483311</v>
      </c>
      <c r="O84" s="254" t="s">
        <v>1321</v>
      </c>
      <c r="P84" s="258">
        <v>43446</v>
      </c>
      <c r="Q84" s="259">
        <v>162355140.34999999</v>
      </c>
      <c r="R84" s="259">
        <v>153779906.77289683</v>
      </c>
      <c r="S84" s="254">
        <v>17</v>
      </c>
      <c r="T84" s="256">
        <v>6.2186476181522954E-2</v>
      </c>
      <c r="U84" s="256">
        <v>0.80389671524004058</v>
      </c>
      <c r="V84" s="256">
        <v>0.12009087197004287</v>
      </c>
      <c r="W84" s="256">
        <v>1.1772920973933985</v>
      </c>
      <c r="X84" s="256">
        <v>0.2242190168088205</v>
      </c>
      <c r="Y84" s="256">
        <v>1.7002935362111773</v>
      </c>
      <c r="Z84" s="256">
        <v>0.27901613927644298</v>
      </c>
      <c r="AA84" s="256">
        <v>1.5860181894046825</v>
      </c>
      <c r="AB84" s="256">
        <v>6.0570489674205655E-2</v>
      </c>
      <c r="AC84" s="260">
        <v>0.29900291822285902</v>
      </c>
      <c r="AD84" s="405">
        <v>31392821000144</v>
      </c>
      <c r="AE84" s="257" t="s">
        <v>2209</v>
      </c>
      <c r="AF84" s="257" t="s">
        <v>2118</v>
      </c>
      <c r="AG84" s="261" t="s">
        <v>1433</v>
      </c>
      <c r="AH84" s="261" t="s">
        <v>2113</v>
      </c>
      <c r="AI84" s="261">
        <v>1000</v>
      </c>
      <c r="AJ84" s="261">
        <v>1</v>
      </c>
      <c r="AK84" s="261">
        <v>1000</v>
      </c>
      <c r="AL84" s="256">
        <v>1.4999999999999999E-2</v>
      </c>
      <c r="AM84" s="256">
        <v>0.2</v>
      </c>
      <c r="AN84" s="256" t="s">
        <v>64</v>
      </c>
      <c r="AO84" s="254" t="s">
        <v>1324</v>
      </c>
      <c r="AP84" s="257" t="s">
        <v>13</v>
      </c>
      <c r="AQ84" s="263" t="s">
        <v>668</v>
      </c>
      <c r="AR84" s="256">
        <v>4.9999999999999992E-3</v>
      </c>
      <c r="AS84" s="256">
        <v>4.9999999999999992E-3</v>
      </c>
      <c r="AT84" s="256"/>
      <c r="AW84" s="508"/>
      <c r="AX84" s="509"/>
      <c r="AY84" s="509"/>
      <c r="AZ84" s="509"/>
      <c r="BA84" s="509"/>
      <c r="BB84" s="520"/>
      <c r="BC84" s="509"/>
      <c r="BD84" s="509"/>
      <c r="BE84" s="509"/>
      <c r="BF84" s="509"/>
      <c r="BG84" s="521"/>
      <c r="BH84" s="510"/>
      <c r="BI84" s="511"/>
      <c r="BJ84" s="511"/>
      <c r="BK84" s="511"/>
      <c r="BL84" s="195"/>
      <c r="BM84" s="510"/>
      <c r="BN84" s="510"/>
      <c r="BO84" s="510"/>
      <c r="BP84" s="510"/>
      <c r="BQ84" s="510"/>
      <c r="BR84" s="510"/>
      <c r="BS84" s="510"/>
      <c r="BT84" s="510"/>
      <c r="BU84" s="510"/>
      <c r="BV84" s="512"/>
      <c r="BW84" s="509"/>
    </row>
    <row r="85" spans="2:75" ht="15.75" customHeight="1">
      <c r="B85" s="250" t="s">
        <v>433</v>
      </c>
      <c r="C85" s="251">
        <v>30593403000152</v>
      </c>
      <c r="D85" s="252" t="s">
        <v>14</v>
      </c>
      <c r="E85" s="252" t="s">
        <v>607</v>
      </c>
      <c r="F85" s="252" t="s">
        <v>689</v>
      </c>
      <c r="G85" s="253"/>
      <c r="H85" s="253" t="s">
        <v>34</v>
      </c>
      <c r="I85" s="253" t="s">
        <v>34</v>
      </c>
      <c r="J85" s="253" t="s">
        <v>608</v>
      </c>
      <c r="K85" s="254" t="s">
        <v>48</v>
      </c>
      <c r="L85" s="255" t="s">
        <v>1339</v>
      </c>
      <c r="M85" s="255" t="s">
        <v>34</v>
      </c>
      <c r="N85" s="254">
        <v>485691</v>
      </c>
      <c r="O85" s="254" t="s">
        <v>1321</v>
      </c>
      <c r="P85" s="258">
        <v>43461</v>
      </c>
      <c r="Q85" s="259">
        <v>182646736.66</v>
      </c>
      <c r="R85" s="259">
        <v>134242708.63924605</v>
      </c>
      <c r="S85" s="254">
        <v>17</v>
      </c>
      <c r="T85" s="256">
        <v>4.7265979266756242E-2</v>
      </c>
      <c r="U85" s="256">
        <v>0.6110165394198519</v>
      </c>
      <c r="V85" s="256">
        <v>-3.8525369377606977E-2</v>
      </c>
      <c r="W85" s="256">
        <v>-0.37767743853781371</v>
      </c>
      <c r="X85" s="256">
        <v>0.20267155100642187</v>
      </c>
      <c r="Y85" s="256">
        <v>1.5368951887071018</v>
      </c>
      <c r="Z85" s="256">
        <v>0.24966099363825456</v>
      </c>
      <c r="AA85" s="256">
        <v>1.4191540250035617</v>
      </c>
      <c r="AB85" s="256">
        <v>0.17869329127026584</v>
      </c>
      <c r="AC85" s="260">
        <v>-0.67421960039531925</v>
      </c>
      <c r="AD85" s="405">
        <v>30630170000110</v>
      </c>
      <c r="AE85" s="257" t="s">
        <v>2434</v>
      </c>
      <c r="AF85" s="257" t="s">
        <v>2112</v>
      </c>
      <c r="AG85" s="261" t="s">
        <v>59</v>
      </c>
      <c r="AH85" s="261" t="s">
        <v>2113</v>
      </c>
      <c r="AI85" s="261">
        <v>1000</v>
      </c>
      <c r="AJ85" s="261">
        <v>1000</v>
      </c>
      <c r="AK85" s="261">
        <v>1000</v>
      </c>
      <c r="AL85" s="256">
        <v>1.9E-2</v>
      </c>
      <c r="AM85" s="256">
        <v>0.2</v>
      </c>
      <c r="AN85" s="256" t="s">
        <v>666</v>
      </c>
      <c r="AO85" s="254" t="s">
        <v>1324</v>
      </c>
      <c r="AP85" s="257" t="s">
        <v>716</v>
      </c>
      <c r="AQ85" s="263" t="s">
        <v>659</v>
      </c>
      <c r="AR85" s="256">
        <v>4.7499999999999999E-3</v>
      </c>
      <c r="AS85" s="256">
        <v>4.7499999999999999E-3</v>
      </c>
      <c r="AT85" s="256"/>
      <c r="AW85" s="508"/>
      <c r="AX85" s="509"/>
      <c r="AY85" s="509"/>
      <c r="AZ85" s="509"/>
      <c r="BA85" s="509"/>
      <c r="BB85" s="520"/>
      <c r="BC85" s="509"/>
      <c r="BD85" s="509"/>
      <c r="BE85" s="509"/>
      <c r="BF85" s="509"/>
      <c r="BG85" s="521"/>
      <c r="BH85" s="510"/>
      <c r="BI85" s="511"/>
      <c r="BJ85" s="511"/>
      <c r="BK85" s="511"/>
      <c r="BL85" s="195"/>
      <c r="BM85" s="510"/>
      <c r="BN85" s="510"/>
      <c r="BO85" s="510"/>
      <c r="BP85" s="510"/>
      <c r="BQ85" s="510"/>
      <c r="BR85" s="510"/>
      <c r="BS85" s="510"/>
      <c r="BT85" s="510"/>
      <c r="BU85" s="510"/>
      <c r="BV85" s="512"/>
      <c r="BW85" s="509"/>
    </row>
    <row r="86" spans="2:75" ht="15.75" customHeight="1">
      <c r="B86" s="250" t="s">
        <v>1033</v>
      </c>
      <c r="C86" s="251">
        <v>35372675000146</v>
      </c>
      <c r="D86" s="252" t="s">
        <v>14</v>
      </c>
      <c r="E86" s="252" t="s">
        <v>607</v>
      </c>
      <c r="F86" s="252"/>
      <c r="G86" s="253"/>
      <c r="H86" s="253" t="s">
        <v>34</v>
      </c>
      <c r="I86" s="253" t="s">
        <v>34</v>
      </c>
      <c r="J86" s="253" t="s">
        <v>608</v>
      </c>
      <c r="K86" s="254" t="s">
        <v>48</v>
      </c>
      <c r="L86" s="255" t="s">
        <v>1339</v>
      </c>
      <c r="M86" s="255" t="s">
        <v>34</v>
      </c>
      <c r="N86" s="254">
        <v>523968</v>
      </c>
      <c r="O86" s="254" t="s">
        <v>1321</v>
      </c>
      <c r="P86" s="258">
        <v>43819</v>
      </c>
      <c r="Q86" s="259">
        <v>371662772.64999998</v>
      </c>
      <c r="R86" s="259">
        <v>406356602.49753946</v>
      </c>
      <c r="S86" s="254">
        <v>17</v>
      </c>
      <c r="T86" s="256">
        <v>7.4974283500874872E-2</v>
      </c>
      <c r="U86" s="256">
        <v>0.96920719639902941</v>
      </c>
      <c r="V86" s="256">
        <v>-7.5103513125582055E-2</v>
      </c>
      <c r="W86" s="256">
        <v>-0.73626555489817358</v>
      </c>
      <c r="X86" s="256">
        <v>0.19168700119111537</v>
      </c>
      <c r="Y86" s="256">
        <v>1.4535973519982728</v>
      </c>
      <c r="Z86" s="256" t="s">
        <v>1417</v>
      </c>
      <c r="AA86" s="256" t="s">
        <v>1417</v>
      </c>
      <c r="AB86" s="256">
        <v>0.20159621067675274</v>
      </c>
      <c r="AC86" s="260">
        <v>-0.76835601775838225</v>
      </c>
      <c r="AD86" s="405">
        <v>35372771000194</v>
      </c>
      <c r="AE86" s="257" t="s">
        <v>2295</v>
      </c>
      <c r="AF86" s="257" t="s">
        <v>2112</v>
      </c>
      <c r="AG86" s="261" t="s">
        <v>59</v>
      </c>
      <c r="AH86" s="261" t="s">
        <v>2113</v>
      </c>
      <c r="AI86" s="261">
        <v>1</v>
      </c>
      <c r="AJ86" s="261">
        <v>1</v>
      </c>
      <c r="AK86" s="261">
        <v>1</v>
      </c>
      <c r="AL86" s="256">
        <v>0.02</v>
      </c>
      <c r="AM86" s="256">
        <v>0.2</v>
      </c>
      <c r="AN86" s="256" t="s">
        <v>666</v>
      </c>
      <c r="AO86" s="254" t="s">
        <v>1324</v>
      </c>
      <c r="AP86" s="257" t="s">
        <v>716</v>
      </c>
      <c r="AQ86" s="263" t="s">
        <v>659</v>
      </c>
      <c r="AR86" s="256">
        <v>4.6666666666666662E-3</v>
      </c>
      <c r="AS86" s="256">
        <v>4.6666666666666662E-3</v>
      </c>
      <c r="AT86" s="256"/>
      <c r="AW86" s="508"/>
      <c r="AX86" s="509"/>
      <c r="AY86" s="509"/>
      <c r="AZ86" s="509"/>
      <c r="BA86" s="509"/>
      <c r="BB86" s="520"/>
      <c r="BC86" s="509"/>
      <c r="BD86" s="509"/>
      <c r="BE86" s="509"/>
      <c r="BF86" s="509"/>
      <c r="BG86" s="521"/>
      <c r="BH86" s="510"/>
      <c r="BI86" s="511"/>
      <c r="BJ86" s="511"/>
      <c r="BK86" s="511"/>
      <c r="BL86" s="195"/>
      <c r="BM86" s="510"/>
      <c r="BN86" s="510"/>
      <c r="BO86" s="510"/>
      <c r="BP86" s="510"/>
      <c r="BQ86" s="510"/>
      <c r="BR86" s="510"/>
      <c r="BS86" s="510"/>
      <c r="BT86" s="510"/>
      <c r="BU86" s="510"/>
      <c r="BV86" s="512"/>
      <c r="BW86" s="509"/>
    </row>
    <row r="87" spans="2:75" ht="15.75" customHeight="1">
      <c r="B87" s="250" t="s">
        <v>66</v>
      </c>
      <c r="C87" s="251">
        <v>35618055000144</v>
      </c>
      <c r="D87" s="252" t="s">
        <v>13</v>
      </c>
      <c r="E87" s="252" t="s">
        <v>616</v>
      </c>
      <c r="F87" s="252" t="s">
        <v>618</v>
      </c>
      <c r="G87" s="253" t="s">
        <v>34</v>
      </c>
      <c r="H87" s="253" t="s">
        <v>1338</v>
      </c>
      <c r="I87" s="253" t="s">
        <v>34</v>
      </c>
      <c r="J87" s="253" t="s">
        <v>611</v>
      </c>
      <c r="K87" s="254" t="s">
        <v>48</v>
      </c>
      <c r="L87" s="255" t="s">
        <v>1339</v>
      </c>
      <c r="M87" s="255" t="s">
        <v>34</v>
      </c>
      <c r="N87" s="254">
        <v>519790</v>
      </c>
      <c r="O87" s="254" t="s">
        <v>1321</v>
      </c>
      <c r="P87" s="258">
        <v>43826</v>
      </c>
      <c r="Q87" s="259">
        <v>478992348.19999999</v>
      </c>
      <c r="R87" s="259">
        <v>712390279.15127027</v>
      </c>
      <c r="S87" s="254">
        <v>18</v>
      </c>
      <c r="T87" s="256">
        <v>8.0481978291454759E-2</v>
      </c>
      <c r="U87" s="256">
        <v>1.0404062419562594</v>
      </c>
      <c r="V87" s="256">
        <v>0.11968384383946451</v>
      </c>
      <c r="W87" s="256">
        <v>1.173301860719405</v>
      </c>
      <c r="X87" s="256">
        <v>0.16466647534307266</v>
      </c>
      <c r="Y87" s="256">
        <v>1.2486957959289808</v>
      </c>
      <c r="Z87" s="256" t="s">
        <v>1417</v>
      </c>
      <c r="AA87" s="256" t="s">
        <v>1417</v>
      </c>
      <c r="AB87" s="256">
        <v>7.594161015106822E-2</v>
      </c>
      <c r="AC87" s="260">
        <v>0.24660405106227398</v>
      </c>
      <c r="AD87" s="405">
        <v>35618088000194</v>
      </c>
      <c r="AE87" s="257" t="s">
        <v>2117</v>
      </c>
      <c r="AF87" s="257" t="s">
        <v>2118</v>
      </c>
      <c r="AG87" s="261" t="s">
        <v>1433</v>
      </c>
      <c r="AH87" s="261" t="s">
        <v>2110</v>
      </c>
      <c r="AI87" s="261">
        <v>50000</v>
      </c>
      <c r="AJ87" s="261">
        <v>5000</v>
      </c>
      <c r="AK87" s="261">
        <v>25000</v>
      </c>
      <c r="AL87" s="519">
        <v>1.9E-2</v>
      </c>
      <c r="AM87" s="519">
        <v>0.2</v>
      </c>
      <c r="AN87" s="256" t="s">
        <v>64</v>
      </c>
      <c r="AO87" s="254" t="s">
        <v>1324</v>
      </c>
      <c r="AP87" s="257" t="s">
        <v>13</v>
      </c>
      <c r="AQ87" s="263" t="s">
        <v>671</v>
      </c>
      <c r="AR87" s="256">
        <v>3.7999999999999996E-3</v>
      </c>
      <c r="AS87" s="256">
        <v>3.7999999999999996E-3</v>
      </c>
      <c r="AT87" s="256"/>
      <c r="AW87" s="508"/>
      <c r="AX87" s="509"/>
      <c r="AY87" s="509"/>
      <c r="AZ87" s="509"/>
      <c r="BA87" s="509"/>
      <c r="BB87" s="520"/>
      <c r="BC87" s="509"/>
      <c r="BD87" s="509"/>
      <c r="BE87" s="509"/>
      <c r="BF87" s="509"/>
      <c r="BG87" s="521"/>
      <c r="BH87" s="510"/>
      <c r="BI87" s="511"/>
      <c r="BJ87" s="511"/>
      <c r="BK87" s="511"/>
      <c r="BL87" s="195"/>
      <c r="BM87" s="510"/>
      <c r="BN87" s="510"/>
      <c r="BO87" s="510"/>
      <c r="BP87" s="510"/>
      <c r="BQ87" s="510"/>
      <c r="BR87" s="510"/>
      <c r="BS87" s="510"/>
      <c r="BT87" s="510"/>
      <c r="BU87" s="510"/>
      <c r="BV87" s="512"/>
      <c r="BW87" s="509"/>
    </row>
    <row r="88" spans="2:75" ht="15.75" customHeight="1">
      <c r="B88" s="250" t="s">
        <v>65</v>
      </c>
      <c r="C88" s="251">
        <v>21983042000160</v>
      </c>
      <c r="D88" s="252" t="s">
        <v>13</v>
      </c>
      <c r="E88" s="252" t="s">
        <v>615</v>
      </c>
      <c r="F88" s="252" t="s">
        <v>619</v>
      </c>
      <c r="G88" s="253" t="s">
        <v>34</v>
      </c>
      <c r="H88" s="253" t="s">
        <v>1337</v>
      </c>
      <c r="I88" s="253" t="s">
        <v>34</v>
      </c>
      <c r="J88" s="253" t="s">
        <v>611</v>
      </c>
      <c r="K88" s="254" t="s">
        <v>48</v>
      </c>
      <c r="L88" s="255" t="s">
        <v>1339</v>
      </c>
      <c r="M88" s="255" t="s">
        <v>34</v>
      </c>
      <c r="N88" s="254">
        <v>396729</v>
      </c>
      <c r="O88" s="254" t="s">
        <v>1321</v>
      </c>
      <c r="P88" s="258">
        <v>42153</v>
      </c>
      <c r="Q88" s="259">
        <v>678603426.64999998</v>
      </c>
      <c r="R88" s="259">
        <v>727525671.39785659</v>
      </c>
      <c r="S88" s="254">
        <v>18</v>
      </c>
      <c r="T88" s="256">
        <v>7.1971349791794204E-2</v>
      </c>
      <c r="U88" s="256">
        <v>0.93038768622503421</v>
      </c>
      <c r="V88" s="256">
        <v>9.9269709489079094E-2</v>
      </c>
      <c r="W88" s="256">
        <v>0.97317508462412372</v>
      </c>
      <c r="X88" s="256">
        <v>0.12402252340096243</v>
      </c>
      <c r="Y88" s="256">
        <v>0.94048532494929904</v>
      </c>
      <c r="Z88" s="256">
        <v>0.17627075555948735</v>
      </c>
      <c r="AA88" s="256">
        <v>1.0019801195100873</v>
      </c>
      <c r="AB88" s="256">
        <v>2.3854553674504595E-2</v>
      </c>
      <c r="AC88" s="260">
        <v>-9.2507347236399418E-2</v>
      </c>
      <c r="AD88" s="405">
        <v>21983079000198</v>
      </c>
      <c r="AE88" s="257" t="s">
        <v>2117</v>
      </c>
      <c r="AF88" s="257" t="s">
        <v>2118</v>
      </c>
      <c r="AG88" s="261" t="s">
        <v>1433</v>
      </c>
      <c r="AH88" s="261" t="s">
        <v>2113</v>
      </c>
      <c r="AI88" s="261">
        <v>50000</v>
      </c>
      <c r="AJ88" s="261">
        <v>5000</v>
      </c>
      <c r="AK88" s="261">
        <v>25000</v>
      </c>
      <c r="AL88" s="519">
        <v>1.9E-2</v>
      </c>
      <c r="AM88" s="519">
        <v>0.2</v>
      </c>
      <c r="AN88" s="256" t="s">
        <v>64</v>
      </c>
      <c r="AO88" s="254" t="s">
        <v>1324</v>
      </c>
      <c r="AP88" s="257" t="s">
        <v>13</v>
      </c>
      <c r="AQ88" s="263" t="s">
        <v>671</v>
      </c>
      <c r="AR88" s="256">
        <v>3.7999999999999996E-3</v>
      </c>
      <c r="AS88" s="256">
        <v>3.7999999999999996E-3</v>
      </c>
      <c r="AT88" s="256"/>
      <c r="AW88" s="508"/>
      <c r="AX88" s="509"/>
      <c r="AY88" s="509"/>
      <c r="AZ88" s="509"/>
      <c r="BA88" s="509"/>
      <c r="BB88" s="520"/>
      <c r="BC88" s="509"/>
      <c r="BD88" s="509"/>
      <c r="BE88" s="509"/>
      <c r="BF88" s="509"/>
      <c r="BG88" s="521"/>
      <c r="BH88" s="510"/>
      <c r="BI88" s="511"/>
      <c r="BJ88" s="511"/>
      <c r="BK88" s="511"/>
      <c r="BL88" s="195"/>
      <c r="BM88" s="510"/>
      <c r="BN88" s="510"/>
      <c r="BO88" s="510"/>
      <c r="BP88" s="510"/>
      <c r="BQ88" s="510"/>
      <c r="BR88" s="510"/>
      <c r="BS88" s="510"/>
      <c r="BT88" s="510"/>
      <c r="BU88" s="510"/>
      <c r="BV88" s="512"/>
      <c r="BW88" s="509"/>
    </row>
    <row r="89" spans="2:75" ht="15.75" customHeight="1">
      <c r="B89" s="250" t="s">
        <v>1001</v>
      </c>
      <c r="C89" s="251">
        <v>29993579000112</v>
      </c>
      <c r="D89" s="252" t="s">
        <v>13</v>
      </c>
      <c r="E89" s="252" t="s">
        <v>615</v>
      </c>
      <c r="F89" s="252" t="s">
        <v>619</v>
      </c>
      <c r="G89" s="253" t="s">
        <v>34</v>
      </c>
      <c r="H89" s="253" t="s">
        <v>1337</v>
      </c>
      <c r="I89" s="253" t="s">
        <v>34</v>
      </c>
      <c r="J89" s="253" t="s">
        <v>611</v>
      </c>
      <c r="K89" s="254" t="s">
        <v>48</v>
      </c>
      <c r="L89" s="255" t="s">
        <v>1339</v>
      </c>
      <c r="M89" s="255" t="s">
        <v>34</v>
      </c>
      <c r="N89" s="254">
        <v>487465</v>
      </c>
      <c r="O89" s="254" t="s">
        <v>1321</v>
      </c>
      <c r="P89" s="258">
        <v>43481</v>
      </c>
      <c r="Q89" s="259">
        <v>7643670.0199999996</v>
      </c>
      <c r="R89" s="259">
        <v>10814859.958650792</v>
      </c>
      <c r="S89" s="254">
        <v>22</v>
      </c>
      <c r="T89" s="256">
        <v>0.11407616397026832</v>
      </c>
      <c r="U89" s="256">
        <v>1.4746848371854007</v>
      </c>
      <c r="V89" s="256">
        <v>0.13499091292802246</v>
      </c>
      <c r="W89" s="256">
        <v>1.3233623205744174</v>
      </c>
      <c r="X89" s="256">
        <v>0.17124819105218791</v>
      </c>
      <c r="Y89" s="256">
        <v>1.2986061417892967</v>
      </c>
      <c r="Z89" s="256">
        <v>0.24353837856651617</v>
      </c>
      <c r="AA89" s="256">
        <v>1.3843510960558592</v>
      </c>
      <c r="AB89" s="256">
        <v>2.369648151278422E-2</v>
      </c>
      <c r="AC89" s="260">
        <v>1.2568914080021292</v>
      </c>
      <c r="AD89" s="405">
        <v>35825021000120</v>
      </c>
      <c r="AE89" s="257" t="s">
        <v>59</v>
      </c>
      <c r="AF89" s="257" t="s">
        <v>2112</v>
      </c>
      <c r="AG89" s="261" t="s">
        <v>59</v>
      </c>
      <c r="AH89" s="261" t="s">
        <v>2113</v>
      </c>
      <c r="AI89" s="261">
        <v>500</v>
      </c>
      <c r="AJ89" s="261">
        <v>1</v>
      </c>
      <c r="AK89" s="261">
        <v>500</v>
      </c>
      <c r="AL89" s="256">
        <v>0.02</v>
      </c>
      <c r="AM89" s="256">
        <v>0.2</v>
      </c>
      <c r="AN89" s="256" t="s">
        <v>64</v>
      </c>
      <c r="AO89" s="254" t="s">
        <v>1324</v>
      </c>
      <c r="AP89" s="257" t="s">
        <v>13</v>
      </c>
      <c r="AQ89" s="263" t="s">
        <v>686</v>
      </c>
      <c r="AR89" s="256">
        <v>4.6666666666666662E-3</v>
      </c>
      <c r="AS89" s="256">
        <v>4.6666666666666662E-3</v>
      </c>
      <c r="AT89" s="256"/>
      <c r="AW89" s="508"/>
      <c r="AX89" s="509"/>
      <c r="AY89" s="509"/>
      <c r="AZ89" s="509"/>
      <c r="BA89" s="509"/>
      <c r="BB89" s="520"/>
      <c r="BC89" s="509"/>
      <c r="BD89" s="509"/>
      <c r="BE89" s="509"/>
      <c r="BF89" s="509"/>
      <c r="BG89" s="521"/>
      <c r="BH89" s="510"/>
      <c r="BI89" s="511"/>
      <c r="BJ89" s="511"/>
      <c r="BK89" s="511"/>
      <c r="BL89" s="195"/>
      <c r="BM89" s="510"/>
      <c r="BN89" s="510"/>
      <c r="BO89" s="510"/>
      <c r="BP89" s="510"/>
      <c r="BQ89" s="510"/>
      <c r="BR89" s="510"/>
      <c r="BS89" s="510"/>
      <c r="BT89" s="510"/>
      <c r="BU89" s="510"/>
      <c r="BV89" s="512"/>
      <c r="BW89" s="509"/>
    </row>
    <row r="90" spans="2:75" ht="15.75" customHeight="1">
      <c r="B90" s="250" t="s">
        <v>1002</v>
      </c>
      <c r="C90" s="251">
        <v>37567202000120</v>
      </c>
      <c r="D90" s="252" t="s">
        <v>14</v>
      </c>
      <c r="E90" s="252" t="s">
        <v>614</v>
      </c>
      <c r="F90" s="252"/>
      <c r="G90" s="253"/>
      <c r="H90" s="253" t="s">
        <v>1337</v>
      </c>
      <c r="I90" s="253" t="s">
        <v>34</v>
      </c>
      <c r="J90" s="253" t="s">
        <v>608</v>
      </c>
      <c r="K90" s="254" t="s">
        <v>48</v>
      </c>
      <c r="L90" s="255" t="s">
        <v>1339</v>
      </c>
      <c r="M90" s="255" t="s">
        <v>34</v>
      </c>
      <c r="N90" s="254">
        <v>548219</v>
      </c>
      <c r="O90" s="254" t="s">
        <v>1321</v>
      </c>
      <c r="P90" s="258">
        <v>44042</v>
      </c>
      <c r="Q90" s="259">
        <v>39792661.630000003</v>
      </c>
      <c r="R90" s="259">
        <v>28856545.302738119</v>
      </c>
      <c r="S90" s="254">
        <v>23</v>
      </c>
      <c r="T90" s="256">
        <v>7.657415390332889E-2</v>
      </c>
      <c r="U90" s="256">
        <v>0.98988903335644629</v>
      </c>
      <c r="V90" s="256">
        <v>7.2613047581924883E-2</v>
      </c>
      <c r="W90" s="256">
        <v>0.71185066511279882</v>
      </c>
      <c r="X90" s="256">
        <v>0.19853325805537159</v>
      </c>
      <c r="Y90" s="256">
        <v>1.5055137614947143</v>
      </c>
      <c r="Z90" s="256" t="s">
        <v>1417</v>
      </c>
      <c r="AA90" s="256" t="s">
        <v>1417</v>
      </c>
      <c r="AB90" s="256">
        <v>3.34358131005561E-2</v>
      </c>
      <c r="AC90" s="260">
        <v>-0.79218195587246043</v>
      </c>
      <c r="AD90" s="405">
        <v>37347996000116</v>
      </c>
      <c r="AE90" s="257" t="s">
        <v>59</v>
      </c>
      <c r="AF90" s="257" t="s">
        <v>2112</v>
      </c>
      <c r="AG90" s="261" t="s">
        <v>59</v>
      </c>
      <c r="AH90" s="261" t="s">
        <v>2110</v>
      </c>
      <c r="AI90" s="261">
        <v>100</v>
      </c>
      <c r="AJ90" s="261" t="s">
        <v>1427</v>
      </c>
      <c r="AK90" s="261" t="s">
        <v>1427</v>
      </c>
      <c r="AL90" s="256">
        <v>0.02</v>
      </c>
      <c r="AM90" s="256">
        <v>0.2</v>
      </c>
      <c r="AN90" s="256" t="s">
        <v>2122</v>
      </c>
      <c r="AO90" s="254" t="s">
        <v>1324</v>
      </c>
      <c r="AP90" s="257" t="s">
        <v>13</v>
      </c>
      <c r="AQ90" s="263" t="s">
        <v>668</v>
      </c>
      <c r="AR90" s="256">
        <v>4.6666666666666662E-3</v>
      </c>
      <c r="AS90" s="256">
        <v>4.6666666666666662E-3</v>
      </c>
      <c r="AT90" s="256"/>
      <c r="AW90" s="508"/>
      <c r="AX90" s="509"/>
      <c r="AY90" s="509"/>
      <c r="AZ90" s="509"/>
      <c r="BA90" s="509"/>
      <c r="BB90" s="520"/>
      <c r="BC90" s="509"/>
      <c r="BD90" s="509"/>
      <c r="BE90" s="509"/>
      <c r="BF90" s="509"/>
      <c r="BG90" s="521"/>
      <c r="BH90" s="510"/>
      <c r="BI90" s="511"/>
      <c r="BJ90" s="511"/>
      <c r="BK90" s="511"/>
      <c r="BL90" s="195"/>
      <c r="BM90" s="510"/>
      <c r="BN90" s="510"/>
      <c r="BO90" s="510"/>
      <c r="BP90" s="510"/>
      <c r="BQ90" s="510"/>
      <c r="BR90" s="510"/>
      <c r="BS90" s="510"/>
      <c r="BT90" s="510"/>
      <c r="BU90" s="510"/>
      <c r="BV90" s="512"/>
      <c r="BW90" s="509"/>
    </row>
    <row r="91" spans="2:75" ht="15.75" customHeight="1">
      <c r="B91" s="250" t="s">
        <v>1098</v>
      </c>
      <c r="C91" s="251">
        <v>30338686000196</v>
      </c>
      <c r="D91" s="252" t="s">
        <v>11</v>
      </c>
      <c r="E91" s="252" t="s">
        <v>661</v>
      </c>
      <c r="F91" s="252"/>
      <c r="G91" s="253" t="s">
        <v>738</v>
      </c>
      <c r="H91" s="253" t="s">
        <v>34</v>
      </c>
      <c r="I91" s="253" t="s">
        <v>1304</v>
      </c>
      <c r="J91" s="253" t="s">
        <v>611</v>
      </c>
      <c r="K91" s="254" t="s">
        <v>48</v>
      </c>
      <c r="L91" s="255" t="s">
        <v>1339</v>
      </c>
      <c r="M91" s="255" t="s">
        <v>34</v>
      </c>
      <c r="N91" s="254">
        <v>475572</v>
      </c>
      <c r="O91" s="254" t="s">
        <v>1321</v>
      </c>
      <c r="P91" s="258">
        <v>43311</v>
      </c>
      <c r="Q91" s="259">
        <v>26744568.780000001</v>
      </c>
      <c r="R91" s="259">
        <v>44526811.628293656</v>
      </c>
      <c r="S91" s="254">
        <v>26</v>
      </c>
      <c r="T91" s="256">
        <v>-1.0947801659480505E-2</v>
      </c>
      <c r="U91" s="256">
        <v>-0.14152436885900918</v>
      </c>
      <c r="V91" s="256">
        <v>9.2587314101715279E-3</v>
      </c>
      <c r="W91" s="256">
        <v>9.076652656666595E-2</v>
      </c>
      <c r="X91" s="256">
        <v>9.3832628571244081E-2</v>
      </c>
      <c r="Y91" s="256">
        <v>0.71154986814264864</v>
      </c>
      <c r="Z91" s="256">
        <v>0.12165905032046154</v>
      </c>
      <c r="AA91" s="256">
        <v>0.69154948245763503</v>
      </c>
      <c r="AB91" s="256">
        <v>5.0896500787649387E-2</v>
      </c>
      <c r="AC91" s="260">
        <v>-1.7024395841579958</v>
      </c>
      <c r="AD91" s="405">
        <v>29853005000149</v>
      </c>
      <c r="AE91" s="257" t="s">
        <v>2123</v>
      </c>
      <c r="AF91" s="257" t="s">
        <v>2109</v>
      </c>
      <c r="AG91" s="261" t="s">
        <v>1432</v>
      </c>
      <c r="AH91" s="261" t="s">
        <v>2110</v>
      </c>
      <c r="AI91" s="261">
        <v>5000</v>
      </c>
      <c r="AJ91" s="261">
        <v>1000</v>
      </c>
      <c r="AK91" s="261">
        <v>1000</v>
      </c>
      <c r="AL91" s="256">
        <v>0</v>
      </c>
      <c r="AM91" s="256" t="s">
        <v>34</v>
      </c>
      <c r="AN91" s="256" t="s">
        <v>34</v>
      </c>
      <c r="AO91" s="254" t="s">
        <v>1324</v>
      </c>
      <c r="AP91" s="257" t="s">
        <v>13</v>
      </c>
      <c r="AQ91" s="263" t="s">
        <v>679</v>
      </c>
      <c r="AR91" s="256">
        <v>5.6666666666666671E-3</v>
      </c>
      <c r="AS91" s="256">
        <v>5.6666666666666671E-3</v>
      </c>
      <c r="AT91" s="256"/>
      <c r="AW91" s="508"/>
      <c r="AX91" s="509"/>
      <c r="AY91" s="509"/>
      <c r="AZ91" s="509"/>
      <c r="BA91" s="509"/>
      <c r="BB91" s="520"/>
      <c r="BC91" s="509"/>
      <c r="BD91" s="509"/>
      <c r="BE91" s="509"/>
      <c r="BF91" s="509"/>
      <c r="BG91" s="521"/>
      <c r="BH91" s="510"/>
      <c r="BI91" s="511"/>
      <c r="BJ91" s="511"/>
      <c r="BK91" s="511"/>
      <c r="BL91" s="195"/>
      <c r="BM91" s="510"/>
      <c r="BN91" s="510"/>
      <c r="BO91" s="510"/>
      <c r="BP91" s="510"/>
      <c r="BQ91" s="510"/>
      <c r="BR91" s="510"/>
      <c r="BS91" s="510"/>
      <c r="BT91" s="510"/>
      <c r="BU91" s="510"/>
      <c r="BV91" s="512"/>
      <c r="BW91" s="509"/>
    </row>
    <row r="92" spans="2:75" ht="15.75" customHeight="1">
      <c r="B92" s="250" t="s">
        <v>600</v>
      </c>
      <c r="C92" s="251">
        <v>8940189000104</v>
      </c>
      <c r="D92" s="252" t="s">
        <v>14</v>
      </c>
      <c r="E92" s="252" t="s">
        <v>607</v>
      </c>
      <c r="F92" s="252"/>
      <c r="G92" s="253"/>
      <c r="H92" s="253" t="s">
        <v>34</v>
      </c>
      <c r="I92" s="253" t="s">
        <v>34</v>
      </c>
      <c r="J92" s="253" t="s">
        <v>608</v>
      </c>
      <c r="K92" s="254" t="s">
        <v>48</v>
      </c>
      <c r="L92" s="255" t="s">
        <v>1339</v>
      </c>
      <c r="M92" s="255" t="s">
        <v>1414</v>
      </c>
      <c r="N92" s="254">
        <v>195571</v>
      </c>
      <c r="O92" s="254" t="s">
        <v>1324</v>
      </c>
      <c r="P92" s="258">
        <v>39328</v>
      </c>
      <c r="Q92" s="259">
        <v>52673801.960000001</v>
      </c>
      <c r="R92" s="259">
        <v>91764360.546190515</v>
      </c>
      <c r="S92" s="254">
        <v>29</v>
      </c>
      <c r="T92" s="256">
        <v>-0.10915616076456736</v>
      </c>
      <c r="U92" s="256">
        <v>-1.4110829954523478</v>
      </c>
      <c r="V92" s="256">
        <v>-0.32057405668003724</v>
      </c>
      <c r="W92" s="256">
        <v>-3.1426976702517195</v>
      </c>
      <c r="X92" s="256">
        <v>-0.26253227238616084</v>
      </c>
      <c r="Y92" s="256">
        <v>-1.9908299132612257</v>
      </c>
      <c r="Z92" s="256">
        <v>-9.4646404712435794E-2</v>
      </c>
      <c r="AA92" s="256">
        <v>-0.5380008476389736</v>
      </c>
      <c r="AB92" s="256">
        <v>0.26248230993890287</v>
      </c>
      <c r="AC92" s="260">
        <v>-1.7106904428391854</v>
      </c>
      <c r="AD92" s="405">
        <v>8927452000125</v>
      </c>
      <c r="AE92" s="257" t="s">
        <v>2423</v>
      </c>
      <c r="AF92" s="257" t="s">
        <v>2109</v>
      </c>
      <c r="AG92" s="261" t="s">
        <v>1432</v>
      </c>
      <c r="AH92" s="261" t="s">
        <v>2110</v>
      </c>
      <c r="AI92" s="261">
        <v>100000</v>
      </c>
      <c r="AJ92" s="261">
        <v>10000</v>
      </c>
      <c r="AK92" s="261">
        <v>100000</v>
      </c>
      <c r="AL92" s="256">
        <v>1.3000000000000001E-2</v>
      </c>
      <c r="AM92" s="256">
        <v>0.2</v>
      </c>
      <c r="AN92" s="256" t="s">
        <v>2127</v>
      </c>
      <c r="AO92" s="254" t="s">
        <v>1324</v>
      </c>
      <c r="AP92" s="257" t="s">
        <v>716</v>
      </c>
      <c r="AQ92" s="263" t="s">
        <v>659</v>
      </c>
      <c r="AR92" s="256">
        <v>2.1666666666666666E-3</v>
      </c>
      <c r="AS92" s="256">
        <v>2.1666666666666666E-3</v>
      </c>
      <c r="AT92" s="256"/>
      <c r="AW92" s="508"/>
      <c r="AX92" s="509"/>
      <c r="AY92" s="509"/>
      <c r="AZ92" s="509"/>
      <c r="BA92" s="509"/>
      <c r="BB92" s="520"/>
      <c r="BC92" s="509"/>
      <c r="BD92" s="509"/>
      <c r="BE92" s="509"/>
      <c r="BF92" s="509"/>
      <c r="BG92" s="521"/>
      <c r="BH92" s="510"/>
      <c r="BI92" s="511"/>
      <c r="BJ92" s="511"/>
      <c r="BK92" s="511"/>
      <c r="BL92" s="195"/>
      <c r="BM92" s="510"/>
      <c r="BN92" s="510"/>
      <c r="BO92" s="510"/>
      <c r="BP92" s="510"/>
      <c r="BQ92" s="510"/>
      <c r="BR92" s="510"/>
      <c r="BS92" s="510"/>
      <c r="BT92" s="510"/>
      <c r="BU92" s="510"/>
      <c r="BV92" s="512"/>
      <c r="BW92" s="509"/>
    </row>
    <row r="93" spans="2:75" ht="15.75" customHeight="1">
      <c r="B93" s="250" t="s">
        <v>1137</v>
      </c>
      <c r="C93" s="251">
        <v>35378376000119</v>
      </c>
      <c r="D93" s="252" t="s">
        <v>11</v>
      </c>
      <c r="E93" s="252" t="s">
        <v>620</v>
      </c>
      <c r="F93" s="252" t="s">
        <v>663</v>
      </c>
      <c r="G93" s="253" t="s">
        <v>738</v>
      </c>
      <c r="H93" s="253" t="s">
        <v>34</v>
      </c>
      <c r="I93" s="253"/>
      <c r="J93" s="253" t="s">
        <v>608</v>
      </c>
      <c r="K93" s="254" t="s">
        <v>48</v>
      </c>
      <c r="L93" s="255" t="s">
        <v>1339</v>
      </c>
      <c r="M93" s="255" t="s">
        <v>34</v>
      </c>
      <c r="N93" s="254">
        <v>523666</v>
      </c>
      <c r="O93" s="254" t="s">
        <v>1321</v>
      </c>
      <c r="P93" s="258">
        <v>43798</v>
      </c>
      <c r="Q93" s="259">
        <v>188773205.41</v>
      </c>
      <c r="R93" s="259">
        <v>138799630.59543645</v>
      </c>
      <c r="S93" s="254">
        <v>30</v>
      </c>
      <c r="T93" s="256">
        <v>8.7585314670949765E-2</v>
      </c>
      <c r="U93" s="256">
        <v>1.1322324577729035</v>
      </c>
      <c r="V93" s="256">
        <v>0.12115508666049113</v>
      </c>
      <c r="W93" s="256">
        <v>1.1877249598120112</v>
      </c>
      <c r="X93" s="256">
        <v>0.19003941628852528</v>
      </c>
      <c r="Y93" s="256">
        <v>1.4411034163807528</v>
      </c>
      <c r="Z93" s="256" t="s">
        <v>1417</v>
      </c>
      <c r="AA93" s="256" t="s">
        <v>1417</v>
      </c>
      <c r="AB93" s="256">
        <v>3.1627820883810059E-3</v>
      </c>
      <c r="AC93" s="260">
        <v>5.450371173745272</v>
      </c>
      <c r="AD93" s="405">
        <v>35377796000180</v>
      </c>
      <c r="AE93" s="257" t="s">
        <v>2366</v>
      </c>
      <c r="AF93" s="257" t="s">
        <v>2112</v>
      </c>
      <c r="AG93" s="261" t="s">
        <v>59</v>
      </c>
      <c r="AH93" s="261" t="s">
        <v>2113</v>
      </c>
      <c r="AI93" s="261">
        <v>20000</v>
      </c>
      <c r="AJ93" s="261">
        <v>0</v>
      </c>
      <c r="AK93" s="261">
        <v>1000</v>
      </c>
      <c r="AL93" s="256">
        <v>5.0000000000000001E-3</v>
      </c>
      <c r="AM93" s="256">
        <v>0.2</v>
      </c>
      <c r="AN93" s="256" t="s">
        <v>64</v>
      </c>
      <c r="AO93" s="254" t="s">
        <v>1324</v>
      </c>
      <c r="AP93" s="257" t="s">
        <v>11</v>
      </c>
      <c r="AQ93" s="263" t="s">
        <v>675</v>
      </c>
      <c r="AR93" s="256">
        <v>1.3333333333333333E-3</v>
      </c>
      <c r="AS93" s="256">
        <v>1.3333333333333333E-3</v>
      </c>
      <c r="AT93" s="256"/>
      <c r="AW93" s="508"/>
      <c r="AX93" s="509"/>
      <c r="AY93" s="509"/>
      <c r="AZ93" s="509"/>
      <c r="BA93" s="509"/>
      <c r="BB93" s="520"/>
      <c r="BC93" s="509"/>
      <c r="BD93" s="509"/>
      <c r="BE93" s="509"/>
      <c r="BF93" s="509"/>
      <c r="BG93" s="521"/>
      <c r="BH93" s="510"/>
      <c r="BI93" s="511"/>
      <c r="BJ93" s="511"/>
      <c r="BK93" s="511"/>
      <c r="BL93" s="195"/>
      <c r="BM93" s="510"/>
      <c r="BN93" s="510"/>
      <c r="BO93" s="510"/>
      <c r="BP93" s="510"/>
      <c r="BQ93" s="510"/>
      <c r="BR93" s="510"/>
      <c r="BS93" s="510"/>
      <c r="BT93" s="510"/>
      <c r="BU93" s="510"/>
      <c r="BV93" s="512"/>
      <c r="BW93" s="509"/>
    </row>
    <row r="94" spans="2:75" ht="15.75" customHeight="1">
      <c r="B94" s="250" t="s">
        <v>24</v>
      </c>
      <c r="C94" s="251">
        <v>24592505000150</v>
      </c>
      <c r="D94" s="252" t="s">
        <v>13</v>
      </c>
      <c r="E94" s="252" t="s">
        <v>615</v>
      </c>
      <c r="F94" s="252" t="s">
        <v>619</v>
      </c>
      <c r="G94" s="253" t="s">
        <v>34</v>
      </c>
      <c r="H94" s="253" t="s">
        <v>1338</v>
      </c>
      <c r="I94" s="253" t="s">
        <v>34</v>
      </c>
      <c r="J94" s="253" t="s">
        <v>611</v>
      </c>
      <c r="K94" s="254" t="s">
        <v>48</v>
      </c>
      <c r="L94" s="255" t="s">
        <v>1339</v>
      </c>
      <c r="M94" s="255" t="s">
        <v>34</v>
      </c>
      <c r="N94" s="254">
        <v>425257</v>
      </c>
      <c r="O94" s="254" t="s">
        <v>1321</v>
      </c>
      <c r="P94" s="258">
        <v>42650</v>
      </c>
      <c r="Q94" s="259">
        <v>441076467.56999999</v>
      </c>
      <c r="R94" s="259">
        <v>605865048.05869031</v>
      </c>
      <c r="S94" s="254">
        <v>30</v>
      </c>
      <c r="T94" s="256">
        <v>9.2521197196588467E-2</v>
      </c>
      <c r="U94" s="256">
        <v>1.1960395745741386</v>
      </c>
      <c r="V94" s="256">
        <v>5.9114329736854376E-2</v>
      </c>
      <c r="W94" s="256">
        <v>0.57951809409183852</v>
      </c>
      <c r="X94" s="256">
        <v>6.8598796271975404E-2</v>
      </c>
      <c r="Y94" s="256">
        <v>0.52019713382544264</v>
      </c>
      <c r="Z94" s="256">
        <v>0.24306485797624955</v>
      </c>
      <c r="AA94" s="256">
        <v>1.3816594515109664</v>
      </c>
      <c r="AB94" s="256">
        <v>7.3824261677888178E-2</v>
      </c>
      <c r="AC94" s="260">
        <v>-0.50115200426537798</v>
      </c>
      <c r="AD94" s="405">
        <v>20216114000180</v>
      </c>
      <c r="AE94" s="257" t="s">
        <v>2254</v>
      </c>
      <c r="AF94" s="257" t="s">
        <v>2118</v>
      </c>
      <c r="AG94" s="261" t="s">
        <v>1433</v>
      </c>
      <c r="AH94" s="261" t="s">
        <v>2110</v>
      </c>
      <c r="AI94" s="261">
        <v>500</v>
      </c>
      <c r="AJ94" s="261">
        <v>100</v>
      </c>
      <c r="AK94" s="261">
        <v>500</v>
      </c>
      <c r="AL94" s="256">
        <v>1.95E-2</v>
      </c>
      <c r="AM94" s="256">
        <v>0.2</v>
      </c>
      <c r="AN94" s="256" t="s">
        <v>64</v>
      </c>
      <c r="AO94" s="254" t="s">
        <v>1324</v>
      </c>
      <c r="AP94" s="257" t="s">
        <v>13</v>
      </c>
      <c r="AQ94" s="263" t="s">
        <v>664</v>
      </c>
      <c r="AR94" s="256">
        <v>4.875E-3</v>
      </c>
      <c r="AS94" s="256">
        <v>4.875E-3</v>
      </c>
      <c r="AT94" s="256"/>
      <c r="AW94" s="508"/>
      <c r="AX94" s="509"/>
      <c r="AY94" s="509"/>
      <c r="AZ94" s="509"/>
      <c r="BA94" s="509"/>
      <c r="BB94" s="520"/>
      <c r="BC94" s="509"/>
      <c r="BD94" s="509"/>
      <c r="BE94" s="509"/>
      <c r="BF94" s="509"/>
      <c r="BG94" s="521"/>
      <c r="BH94" s="510"/>
      <c r="BI94" s="511"/>
      <c r="BJ94" s="511"/>
      <c r="BK94" s="511"/>
      <c r="BL94" s="195"/>
      <c r="BM94" s="510"/>
      <c r="BN94" s="510"/>
      <c r="BO94" s="510"/>
      <c r="BP94" s="510"/>
      <c r="BQ94" s="510"/>
      <c r="BR94" s="510"/>
      <c r="BS94" s="510"/>
      <c r="BT94" s="510"/>
      <c r="BU94" s="510"/>
      <c r="BV94" s="512"/>
      <c r="BW94" s="509"/>
    </row>
    <row r="95" spans="2:75" ht="15.75" customHeight="1">
      <c r="B95" s="250" t="s">
        <v>959</v>
      </c>
      <c r="C95" s="251">
        <v>18391171000154</v>
      </c>
      <c r="D95" s="252" t="s">
        <v>13</v>
      </c>
      <c r="E95" s="252" t="s">
        <v>615</v>
      </c>
      <c r="F95" s="252" t="s">
        <v>619</v>
      </c>
      <c r="G95" s="253" t="s">
        <v>34</v>
      </c>
      <c r="H95" s="253" t="s">
        <v>1338</v>
      </c>
      <c r="I95" s="253" t="s">
        <v>34</v>
      </c>
      <c r="J95" s="253" t="s">
        <v>611</v>
      </c>
      <c r="K95" s="254" t="s">
        <v>49</v>
      </c>
      <c r="L95" s="255" t="s">
        <v>1339</v>
      </c>
      <c r="M95" s="255" t="s">
        <v>34</v>
      </c>
      <c r="N95" s="254">
        <v>344095</v>
      </c>
      <c r="O95" s="254" t="s">
        <v>1324</v>
      </c>
      <c r="P95" s="258">
        <v>41500</v>
      </c>
      <c r="Q95" s="259">
        <v>32754456.870000001</v>
      </c>
      <c r="R95" s="259">
        <v>38433872.934285715</v>
      </c>
      <c r="S95" s="254">
        <v>30</v>
      </c>
      <c r="T95" s="256">
        <v>-3.2935195434817821E-3</v>
      </c>
      <c r="U95" s="256">
        <v>-4.2575969972239093E-2</v>
      </c>
      <c r="V95" s="256">
        <v>6.3692216065712293E-2</v>
      </c>
      <c r="W95" s="256">
        <v>0.62439668735473142</v>
      </c>
      <c r="X95" s="256">
        <v>7.013274067596087E-2</v>
      </c>
      <c r="Y95" s="256">
        <v>0.53182931289804847</v>
      </c>
      <c r="Z95" s="256">
        <v>0.4874490119175956</v>
      </c>
      <c r="AA95" s="256">
        <v>2.7708182089878077</v>
      </c>
      <c r="AB95" s="256">
        <v>0.18245391388482934</v>
      </c>
      <c r="AC95" s="260">
        <v>-0.10346198698967382</v>
      </c>
      <c r="AD95" s="405">
        <v>18391155000161</v>
      </c>
      <c r="AE95" s="257" t="s">
        <v>2255</v>
      </c>
      <c r="AF95" s="257" t="s">
        <v>2115</v>
      </c>
      <c r="AG95" s="261" t="s">
        <v>719</v>
      </c>
      <c r="AH95" s="261" t="s">
        <v>2110</v>
      </c>
      <c r="AI95" s="261">
        <v>50000</v>
      </c>
      <c r="AJ95" s="261">
        <v>25000</v>
      </c>
      <c r="AK95" s="261">
        <v>50000</v>
      </c>
      <c r="AL95" s="256">
        <v>1.975E-2</v>
      </c>
      <c r="AM95" s="256">
        <v>0.2</v>
      </c>
      <c r="AN95" s="256" t="s">
        <v>2122</v>
      </c>
      <c r="AO95" s="254" t="s">
        <v>1324</v>
      </c>
      <c r="AP95" s="257" t="s">
        <v>13</v>
      </c>
      <c r="AQ95" s="263" t="s">
        <v>668</v>
      </c>
      <c r="AR95" s="256">
        <v>3.9499999999999995E-3</v>
      </c>
      <c r="AS95" s="256">
        <v>3.9499999999999995E-3</v>
      </c>
      <c r="AT95" s="256"/>
      <c r="AW95" s="508"/>
      <c r="AX95" s="509"/>
      <c r="AY95" s="509"/>
      <c r="AZ95" s="509"/>
      <c r="BA95" s="509"/>
      <c r="BB95" s="520"/>
      <c r="BC95" s="509"/>
      <c r="BD95" s="509"/>
      <c r="BE95" s="509"/>
      <c r="BF95" s="509"/>
      <c r="BG95" s="521"/>
      <c r="BH95" s="510"/>
      <c r="BI95" s="511"/>
      <c r="BJ95" s="511"/>
      <c r="BK95" s="511"/>
      <c r="BL95" s="195"/>
      <c r="BM95" s="510"/>
      <c r="BN95" s="510"/>
      <c r="BO95" s="510"/>
      <c r="BP95" s="510"/>
      <c r="BQ95" s="510"/>
      <c r="BR95" s="510"/>
      <c r="BS95" s="510"/>
      <c r="BT95" s="510"/>
      <c r="BU95" s="510"/>
      <c r="BV95" s="512"/>
      <c r="BW95" s="509"/>
    </row>
    <row r="96" spans="2:75" ht="15.75" customHeight="1">
      <c r="B96" s="250" t="s">
        <v>1221</v>
      </c>
      <c r="C96" s="251">
        <v>45126795000117</v>
      </c>
      <c r="D96" s="252" t="s">
        <v>13</v>
      </c>
      <c r="E96" s="252" t="s">
        <v>615</v>
      </c>
      <c r="F96" s="252" t="s">
        <v>619</v>
      </c>
      <c r="G96" s="253" t="s">
        <v>34</v>
      </c>
      <c r="H96" s="253" t="s">
        <v>1338</v>
      </c>
      <c r="I96" s="253" t="s">
        <v>34</v>
      </c>
      <c r="J96" s="253" t="s">
        <v>611</v>
      </c>
      <c r="K96" s="254" t="s">
        <v>48</v>
      </c>
      <c r="L96" s="255" t="s">
        <v>1339</v>
      </c>
      <c r="M96" s="255" t="s">
        <v>34</v>
      </c>
      <c r="N96" s="254">
        <v>640506</v>
      </c>
      <c r="O96" s="254" t="s">
        <v>1321</v>
      </c>
      <c r="P96" s="258">
        <v>44617</v>
      </c>
      <c r="Q96" s="259">
        <v>150054238.72999999</v>
      </c>
      <c r="R96" s="259" t="s">
        <v>1417</v>
      </c>
      <c r="S96" s="254">
        <v>30</v>
      </c>
      <c r="T96" s="256" t="s">
        <v>1417</v>
      </c>
      <c r="U96" s="256" t="s">
        <v>1417</v>
      </c>
      <c r="V96" s="256" t="s">
        <v>1417</v>
      </c>
      <c r="W96" s="256" t="s">
        <v>1417</v>
      </c>
      <c r="X96" s="256" t="s">
        <v>1417</v>
      </c>
      <c r="Y96" s="256" t="s">
        <v>1417</v>
      </c>
      <c r="Z96" s="256" t="s">
        <v>1417</v>
      </c>
      <c r="AA96" s="256" t="s">
        <v>1417</v>
      </c>
      <c r="AB96" s="256" t="s">
        <v>1417</v>
      </c>
      <c r="AC96" s="260" t="s">
        <v>1417</v>
      </c>
      <c r="AD96" s="405">
        <v>45127361000131</v>
      </c>
      <c r="AE96" s="257" t="s">
        <v>2411</v>
      </c>
      <c r="AF96" s="257" t="s">
        <v>2109</v>
      </c>
      <c r="AG96" s="261" t="s">
        <v>1432</v>
      </c>
      <c r="AH96" s="261" t="s">
        <v>2113</v>
      </c>
      <c r="AI96" s="261">
        <v>1000</v>
      </c>
      <c r="AJ96" s="261">
        <v>1000</v>
      </c>
      <c r="AK96" s="261">
        <v>1000</v>
      </c>
      <c r="AL96" s="256">
        <v>1.9E-2</v>
      </c>
      <c r="AM96" s="256">
        <v>0.2</v>
      </c>
      <c r="AN96" s="256" t="s">
        <v>2127</v>
      </c>
      <c r="AO96" s="254" t="s">
        <v>1324</v>
      </c>
      <c r="AP96" s="257" t="s">
        <v>13</v>
      </c>
      <c r="AQ96" s="263" t="s">
        <v>664</v>
      </c>
      <c r="AR96" s="256">
        <v>5.0666666666666664E-3</v>
      </c>
      <c r="AS96" s="256">
        <v>5.0666666666666664E-3</v>
      </c>
      <c r="AT96" s="256"/>
      <c r="AW96" s="508"/>
      <c r="AX96" s="509"/>
      <c r="AY96" s="509"/>
      <c r="AZ96" s="509"/>
      <c r="BA96" s="509"/>
      <c r="BB96" s="520"/>
      <c r="BC96" s="509"/>
      <c r="BD96" s="509"/>
      <c r="BE96" s="509"/>
      <c r="BF96" s="509"/>
      <c r="BG96" s="521"/>
      <c r="BH96" s="510"/>
      <c r="BI96" s="511"/>
      <c r="BJ96" s="511"/>
      <c r="BK96" s="511"/>
      <c r="BL96" s="195"/>
      <c r="BM96" s="510"/>
      <c r="BN96" s="510"/>
      <c r="BO96" s="510"/>
      <c r="BP96" s="510"/>
      <c r="BQ96" s="510"/>
      <c r="BR96" s="510"/>
      <c r="BS96" s="510"/>
      <c r="BT96" s="510"/>
      <c r="BU96" s="510"/>
      <c r="BV96" s="512"/>
      <c r="BW96" s="509"/>
    </row>
    <row r="97" spans="2:75" ht="15.75" customHeight="1">
      <c r="B97" s="250" t="s">
        <v>1222</v>
      </c>
      <c r="C97" s="251">
        <v>45126753000186</v>
      </c>
      <c r="D97" s="252" t="s">
        <v>14</v>
      </c>
      <c r="E97" s="252" t="s">
        <v>614</v>
      </c>
      <c r="F97" s="252" t="s">
        <v>689</v>
      </c>
      <c r="G97" s="253"/>
      <c r="H97" s="253" t="s">
        <v>1338</v>
      </c>
      <c r="I97" s="253" t="s">
        <v>34</v>
      </c>
      <c r="J97" s="253" t="s">
        <v>608</v>
      </c>
      <c r="K97" s="254" t="s">
        <v>48</v>
      </c>
      <c r="L97" s="255" t="s">
        <v>1339</v>
      </c>
      <c r="M97" s="255" t="s">
        <v>1414</v>
      </c>
      <c r="N97" s="254">
        <v>640565</v>
      </c>
      <c r="O97" s="254" t="s">
        <v>1321</v>
      </c>
      <c r="P97" s="258">
        <v>44617</v>
      </c>
      <c r="Q97" s="259">
        <v>56166883.520000003</v>
      </c>
      <c r="R97" s="259" t="s">
        <v>1417</v>
      </c>
      <c r="S97" s="254">
        <v>30</v>
      </c>
      <c r="T97" s="256" t="s">
        <v>1417</v>
      </c>
      <c r="U97" s="256" t="s">
        <v>1417</v>
      </c>
      <c r="V97" s="256" t="s">
        <v>1417</v>
      </c>
      <c r="W97" s="256" t="s">
        <v>1417</v>
      </c>
      <c r="X97" s="256" t="s">
        <v>1417</v>
      </c>
      <c r="Y97" s="256" t="s">
        <v>1417</v>
      </c>
      <c r="Z97" s="256" t="s">
        <v>1417</v>
      </c>
      <c r="AA97" s="256" t="s">
        <v>1417</v>
      </c>
      <c r="AB97" s="256" t="s">
        <v>1417</v>
      </c>
      <c r="AC97" s="260" t="s">
        <v>1417</v>
      </c>
      <c r="AD97" s="405">
        <v>45127329000156</v>
      </c>
      <c r="AE97" s="257" t="s">
        <v>2411</v>
      </c>
      <c r="AF97" s="257" t="s">
        <v>2109</v>
      </c>
      <c r="AG97" s="261" t="s">
        <v>1432</v>
      </c>
      <c r="AH97" s="261" t="s">
        <v>2113</v>
      </c>
      <c r="AI97" s="261">
        <v>1000</v>
      </c>
      <c r="AJ97" s="261">
        <v>1000</v>
      </c>
      <c r="AK97" s="261">
        <v>1000</v>
      </c>
      <c r="AL97" s="256">
        <v>1.9E-2</v>
      </c>
      <c r="AM97" s="256">
        <v>0.2</v>
      </c>
      <c r="AN97" s="256" t="s">
        <v>2127</v>
      </c>
      <c r="AO97" s="254" t="s">
        <v>1324</v>
      </c>
      <c r="AP97" s="257" t="s">
        <v>13</v>
      </c>
      <c r="AQ97" s="263" t="s">
        <v>668</v>
      </c>
      <c r="AR97" s="256" t="s">
        <v>34</v>
      </c>
      <c r="AS97" s="256" t="s">
        <v>34</v>
      </c>
      <c r="AT97" s="256"/>
      <c r="AW97" s="508"/>
      <c r="AX97" s="509"/>
      <c r="AY97" s="509"/>
      <c r="AZ97" s="509"/>
      <c r="BA97" s="509"/>
      <c r="BB97" s="520"/>
      <c r="BC97" s="509"/>
      <c r="BD97" s="509"/>
      <c r="BE97" s="509"/>
      <c r="BF97" s="509"/>
      <c r="BG97" s="521"/>
      <c r="BH97" s="510"/>
      <c r="BI97" s="511"/>
      <c r="BJ97" s="511"/>
      <c r="BK97" s="511"/>
      <c r="BL97" s="195"/>
      <c r="BM97" s="510"/>
      <c r="BN97" s="510"/>
      <c r="BO97" s="510"/>
      <c r="BP97" s="510"/>
      <c r="BQ97" s="510"/>
      <c r="BR97" s="510"/>
      <c r="BS97" s="510"/>
      <c r="BT97" s="510"/>
      <c r="BU97" s="510"/>
      <c r="BV97" s="512"/>
      <c r="BW97" s="509"/>
    </row>
    <row r="98" spans="2:75" ht="15.75" customHeight="1">
      <c r="B98" s="250" t="s">
        <v>314</v>
      </c>
      <c r="C98" s="251">
        <v>26396708000105</v>
      </c>
      <c r="D98" s="252" t="s">
        <v>13</v>
      </c>
      <c r="E98" s="252" t="s">
        <v>616</v>
      </c>
      <c r="F98" s="252" t="s">
        <v>618</v>
      </c>
      <c r="G98" s="253" t="s">
        <v>34</v>
      </c>
      <c r="H98" s="253" t="s">
        <v>865</v>
      </c>
      <c r="I98" s="253" t="s">
        <v>34</v>
      </c>
      <c r="J98" s="253" t="s">
        <v>611</v>
      </c>
      <c r="K98" s="254" t="s">
        <v>48</v>
      </c>
      <c r="L98" s="255" t="s">
        <v>1339</v>
      </c>
      <c r="M98" s="255" t="s">
        <v>1414</v>
      </c>
      <c r="N98" s="254">
        <v>432091</v>
      </c>
      <c r="O98" s="254" t="s">
        <v>1321</v>
      </c>
      <c r="P98" s="258">
        <v>42718</v>
      </c>
      <c r="Q98" s="259">
        <v>301308877.18000001</v>
      </c>
      <c r="R98" s="259">
        <v>337360896.32988089</v>
      </c>
      <c r="S98" s="254">
        <v>31</v>
      </c>
      <c r="T98" s="256">
        <v>0.12812715574036515</v>
      </c>
      <c r="U98" s="256">
        <v>1.656324750289238</v>
      </c>
      <c r="V98" s="256">
        <v>0.17806259140469716</v>
      </c>
      <c r="W98" s="256">
        <v>1.7456087899372823</v>
      </c>
      <c r="X98" s="256">
        <v>0.22659457276152617</v>
      </c>
      <c r="Y98" s="256">
        <v>1.7183078085453449</v>
      </c>
      <c r="Z98" s="256">
        <v>0.18906502484902199</v>
      </c>
      <c r="AA98" s="256">
        <v>1.0747068939037321</v>
      </c>
      <c r="AB98" s="256">
        <v>6.5694086450085065E-2</v>
      </c>
      <c r="AC98" s="260">
        <v>1.0490651693764088</v>
      </c>
      <c r="AD98" s="405">
        <v>23648930000151</v>
      </c>
      <c r="AE98" s="257" t="s">
        <v>2342</v>
      </c>
      <c r="AF98" s="257" t="s">
        <v>2109</v>
      </c>
      <c r="AG98" s="261" t="s">
        <v>1432</v>
      </c>
      <c r="AH98" s="261" t="s">
        <v>726</v>
      </c>
      <c r="AI98" s="261">
        <v>10000</v>
      </c>
      <c r="AJ98" s="261">
        <v>10000</v>
      </c>
      <c r="AK98" s="261">
        <v>10000</v>
      </c>
      <c r="AL98" s="256">
        <v>0.02</v>
      </c>
      <c r="AM98" s="256">
        <v>0.2</v>
      </c>
      <c r="AN98" s="256" t="s">
        <v>34</v>
      </c>
      <c r="AO98" s="254" t="s">
        <v>1324</v>
      </c>
      <c r="AP98" s="257" t="s">
        <v>13</v>
      </c>
      <c r="AQ98" s="263" t="s">
        <v>668</v>
      </c>
      <c r="AR98" s="256" t="s">
        <v>34</v>
      </c>
      <c r="AS98" s="256" t="s">
        <v>34</v>
      </c>
      <c r="AT98" s="256"/>
      <c r="AW98" s="508"/>
      <c r="AX98" s="509"/>
      <c r="AY98" s="509"/>
      <c r="AZ98" s="509"/>
      <c r="BA98" s="509"/>
      <c r="BB98" s="520"/>
      <c r="BC98" s="509"/>
      <c r="BD98" s="509"/>
      <c r="BE98" s="509"/>
      <c r="BF98" s="509"/>
      <c r="BG98" s="521"/>
      <c r="BH98" s="510"/>
      <c r="BI98" s="511"/>
      <c r="BJ98" s="511"/>
      <c r="BK98" s="511"/>
      <c r="BL98" s="195"/>
      <c r="BM98" s="510"/>
      <c r="BN98" s="510"/>
      <c r="BO98" s="510"/>
      <c r="BP98" s="510"/>
      <c r="BQ98" s="510"/>
      <c r="BR98" s="510"/>
      <c r="BS98" s="510"/>
      <c r="BT98" s="510"/>
      <c r="BU98" s="510"/>
      <c r="BV98" s="512"/>
      <c r="BW98" s="509"/>
    </row>
    <row r="99" spans="2:75" ht="15.75" customHeight="1">
      <c r="B99" s="250" t="s">
        <v>19</v>
      </c>
      <c r="C99" s="251">
        <v>37310657000165</v>
      </c>
      <c r="D99" s="252" t="s">
        <v>11</v>
      </c>
      <c r="E99" s="252" t="s">
        <v>620</v>
      </c>
      <c r="F99" s="252" t="s">
        <v>663</v>
      </c>
      <c r="G99" s="253" t="s">
        <v>738</v>
      </c>
      <c r="H99" s="253" t="s">
        <v>34</v>
      </c>
      <c r="I99" s="253"/>
      <c r="J99" s="253" t="s">
        <v>608</v>
      </c>
      <c r="K99" s="254" t="s">
        <v>48</v>
      </c>
      <c r="L99" s="255" t="s">
        <v>1339</v>
      </c>
      <c r="M99" s="255" t="s">
        <v>34</v>
      </c>
      <c r="N99" s="254">
        <v>546887</v>
      </c>
      <c r="O99" s="254" t="s">
        <v>1321</v>
      </c>
      <c r="P99" s="258">
        <v>44043</v>
      </c>
      <c r="Q99" s="259">
        <v>1208126598.1800001</v>
      </c>
      <c r="R99" s="259">
        <v>958319360.59654725</v>
      </c>
      <c r="S99" s="254">
        <v>31</v>
      </c>
      <c r="T99" s="256">
        <v>8.418814540306796E-2</v>
      </c>
      <c r="U99" s="256">
        <v>1.0883165875828502</v>
      </c>
      <c r="V99" s="256">
        <v>0.11618289351949596</v>
      </c>
      <c r="W99" s="256">
        <v>1.138980841332569</v>
      </c>
      <c r="X99" s="256">
        <v>0.20154067573080225</v>
      </c>
      <c r="Y99" s="256">
        <v>1.5283195560566538</v>
      </c>
      <c r="Z99" s="256" t="s">
        <v>1417</v>
      </c>
      <c r="AA99" s="256" t="s">
        <v>1417</v>
      </c>
      <c r="AB99" s="256">
        <v>4.9303520050811653E-3</v>
      </c>
      <c r="AC99" s="260">
        <v>2.595906998936198</v>
      </c>
      <c r="AD99" s="405">
        <v>37322048000126</v>
      </c>
      <c r="AE99" s="257" t="s">
        <v>2274</v>
      </c>
      <c r="AF99" s="257" t="s">
        <v>2115</v>
      </c>
      <c r="AG99" s="261" t="s">
        <v>719</v>
      </c>
      <c r="AH99" s="261" t="s">
        <v>2113</v>
      </c>
      <c r="AI99" s="261">
        <v>1000</v>
      </c>
      <c r="AJ99" s="261">
        <v>100</v>
      </c>
      <c r="AK99" s="261">
        <v>1000</v>
      </c>
      <c r="AL99" s="256">
        <v>7.5749999999999993E-3</v>
      </c>
      <c r="AM99" s="256">
        <v>0.2</v>
      </c>
      <c r="AN99" s="256" t="s">
        <v>64</v>
      </c>
      <c r="AO99" s="254" t="s">
        <v>1324</v>
      </c>
      <c r="AP99" s="257" t="s">
        <v>13</v>
      </c>
      <c r="AQ99" s="263" t="s">
        <v>688</v>
      </c>
      <c r="AR99" s="256">
        <v>1.5529333333333332E-3</v>
      </c>
      <c r="AS99" s="256">
        <v>1.5529333333333332E-3</v>
      </c>
      <c r="AT99" s="256"/>
      <c r="AW99" s="508"/>
      <c r="AX99" s="509"/>
      <c r="AY99" s="509"/>
      <c r="AZ99" s="509"/>
      <c r="BA99" s="509"/>
      <c r="BB99" s="520"/>
      <c r="BC99" s="509"/>
      <c r="BD99" s="509"/>
      <c r="BE99" s="509"/>
      <c r="BF99" s="509"/>
      <c r="BG99" s="521"/>
      <c r="BH99" s="510"/>
      <c r="BI99" s="511"/>
      <c r="BJ99" s="511"/>
      <c r="BK99" s="511"/>
      <c r="BL99" s="195"/>
      <c r="BM99" s="510"/>
      <c r="BN99" s="510"/>
      <c r="BO99" s="510"/>
      <c r="BP99" s="510"/>
      <c r="BQ99" s="510"/>
      <c r="BR99" s="510"/>
      <c r="BS99" s="510"/>
      <c r="BT99" s="510"/>
      <c r="BU99" s="510"/>
      <c r="BV99" s="512"/>
      <c r="BW99" s="509"/>
    </row>
    <row r="100" spans="2:75" ht="15.75" customHeight="1">
      <c r="B100" s="250" t="s">
        <v>381</v>
      </c>
      <c r="C100" s="251">
        <v>14188162000100</v>
      </c>
      <c r="D100" s="252" t="s">
        <v>11</v>
      </c>
      <c r="E100" s="252" t="s">
        <v>620</v>
      </c>
      <c r="F100" s="252" t="s">
        <v>663</v>
      </c>
      <c r="G100" s="253" t="s">
        <v>738</v>
      </c>
      <c r="H100" s="253" t="s">
        <v>34</v>
      </c>
      <c r="I100" s="253"/>
      <c r="J100" s="253" t="s">
        <v>608</v>
      </c>
      <c r="K100" s="254" t="s">
        <v>48</v>
      </c>
      <c r="L100" s="255" t="s">
        <v>1339</v>
      </c>
      <c r="M100" s="255" t="s">
        <v>34</v>
      </c>
      <c r="N100" s="254">
        <v>296430</v>
      </c>
      <c r="O100" s="254" t="s">
        <v>1321</v>
      </c>
      <c r="P100" s="258">
        <v>40946</v>
      </c>
      <c r="Q100" s="259">
        <v>1951239064.27</v>
      </c>
      <c r="R100" s="259">
        <v>1614873428.3599997</v>
      </c>
      <c r="S100" s="254">
        <v>31</v>
      </c>
      <c r="T100" s="256">
        <v>8.8382998778722355E-2</v>
      </c>
      <c r="U100" s="256">
        <v>1.1425442759271551</v>
      </c>
      <c r="V100" s="256">
        <v>0.11991681146387312</v>
      </c>
      <c r="W100" s="256">
        <v>1.1755857224206774</v>
      </c>
      <c r="X100" s="256">
        <v>0.18813529101480819</v>
      </c>
      <c r="Y100" s="256">
        <v>1.4266640885257118</v>
      </c>
      <c r="Z100" s="256">
        <v>0.20483902159303802</v>
      </c>
      <c r="AA100" s="256">
        <v>1.1643714051413152</v>
      </c>
      <c r="AB100" s="256">
        <v>1.8697067738675803E-3</v>
      </c>
      <c r="AC100" s="260">
        <v>8.6267691688853656</v>
      </c>
      <c r="AD100" s="405">
        <v>14188164000107</v>
      </c>
      <c r="AE100" s="257" t="s">
        <v>2398</v>
      </c>
      <c r="AF100" s="257" t="s">
        <v>2118</v>
      </c>
      <c r="AG100" s="261" t="s">
        <v>1433</v>
      </c>
      <c r="AH100" s="261" t="s">
        <v>2113</v>
      </c>
      <c r="AI100" s="261">
        <v>1000</v>
      </c>
      <c r="AJ100" s="261">
        <v>100</v>
      </c>
      <c r="AK100" s="261">
        <v>100</v>
      </c>
      <c r="AL100" s="256">
        <v>3.0000000000000001E-3</v>
      </c>
      <c r="AM100" s="256">
        <v>0.2</v>
      </c>
      <c r="AN100" s="256" t="s">
        <v>64</v>
      </c>
      <c r="AO100" s="254" t="s">
        <v>1324</v>
      </c>
      <c r="AP100" s="257" t="s">
        <v>11</v>
      </c>
      <c r="AQ100" s="263" t="s">
        <v>1373</v>
      </c>
      <c r="AR100" s="256">
        <v>1.4E-3</v>
      </c>
      <c r="AS100" s="256">
        <v>1.4E-3</v>
      </c>
      <c r="AT100" s="256"/>
      <c r="AW100" s="508"/>
      <c r="AX100" s="509"/>
      <c r="AY100" s="509"/>
      <c r="AZ100" s="509"/>
      <c r="BA100" s="509"/>
      <c r="BB100" s="520"/>
      <c r="BC100" s="509"/>
      <c r="BD100" s="509"/>
      <c r="BE100" s="509"/>
      <c r="BF100" s="509"/>
      <c r="BG100" s="521"/>
      <c r="BH100" s="510"/>
      <c r="BI100" s="511"/>
      <c r="BJ100" s="511"/>
      <c r="BK100" s="511"/>
      <c r="BL100" s="195"/>
      <c r="BM100" s="510"/>
      <c r="BN100" s="510"/>
      <c r="BO100" s="510"/>
      <c r="BP100" s="510"/>
      <c r="BQ100" s="510"/>
      <c r="BR100" s="510"/>
      <c r="BS100" s="510"/>
      <c r="BT100" s="510"/>
      <c r="BU100" s="510"/>
      <c r="BV100" s="512"/>
      <c r="BW100" s="509"/>
    </row>
    <row r="101" spans="2:75" ht="15.75" customHeight="1">
      <c r="B101" s="250" t="s">
        <v>847</v>
      </c>
      <c r="C101" s="251">
        <v>30934757000113</v>
      </c>
      <c r="D101" s="252" t="s">
        <v>11</v>
      </c>
      <c r="E101" s="252" t="s">
        <v>620</v>
      </c>
      <c r="F101" s="252" t="s">
        <v>692</v>
      </c>
      <c r="G101" s="253" t="s">
        <v>738</v>
      </c>
      <c r="H101" s="253" t="s">
        <v>34</v>
      </c>
      <c r="I101" s="253"/>
      <c r="J101" s="253" t="s">
        <v>608</v>
      </c>
      <c r="K101" s="254" t="s">
        <v>48</v>
      </c>
      <c r="L101" s="255" t="s">
        <v>1339</v>
      </c>
      <c r="M101" s="255" t="s">
        <v>34</v>
      </c>
      <c r="N101" s="254">
        <v>483400</v>
      </c>
      <c r="O101" s="254" t="s">
        <v>1321</v>
      </c>
      <c r="P101" s="258">
        <v>43437</v>
      </c>
      <c r="Q101" s="259">
        <v>446969789.81999999</v>
      </c>
      <c r="R101" s="259">
        <v>279328409.59051579</v>
      </c>
      <c r="S101" s="254">
        <v>31</v>
      </c>
      <c r="T101" s="256">
        <v>8.8221821405476186E-2</v>
      </c>
      <c r="U101" s="256">
        <v>1.1404607045643818</v>
      </c>
      <c r="V101" s="256">
        <v>0.12148376632693458</v>
      </c>
      <c r="W101" s="256">
        <v>1.1909471195609578</v>
      </c>
      <c r="X101" s="256">
        <v>0.22907325882411378</v>
      </c>
      <c r="Y101" s="256">
        <v>1.7371041352374199</v>
      </c>
      <c r="Z101" s="256">
        <v>0.21080751951568599</v>
      </c>
      <c r="AA101" s="256">
        <v>1.1982982822506172</v>
      </c>
      <c r="AB101" s="256">
        <v>4.9637686692548377E-3</v>
      </c>
      <c r="AC101" s="260">
        <v>3.5333791346232402</v>
      </c>
      <c r="AD101" s="405">
        <v>31094141000144</v>
      </c>
      <c r="AE101" s="257" t="s">
        <v>2144</v>
      </c>
      <c r="AF101" s="257" t="s">
        <v>2109</v>
      </c>
      <c r="AG101" s="261" t="s">
        <v>1432</v>
      </c>
      <c r="AH101" s="261" t="s">
        <v>2113</v>
      </c>
      <c r="AI101" s="261">
        <v>500</v>
      </c>
      <c r="AJ101" s="261">
        <v>100</v>
      </c>
      <c r="AK101" s="261">
        <v>100</v>
      </c>
      <c r="AL101" s="256">
        <v>8.0000000000000002E-3</v>
      </c>
      <c r="AM101" s="256">
        <v>0.2</v>
      </c>
      <c r="AN101" s="256" t="s">
        <v>34</v>
      </c>
      <c r="AO101" s="254" t="s">
        <v>1324</v>
      </c>
      <c r="AP101" s="257" t="s">
        <v>11</v>
      </c>
      <c r="AQ101" s="263" t="s">
        <v>675</v>
      </c>
      <c r="AR101" s="256">
        <v>2.8E-3</v>
      </c>
      <c r="AS101" s="256">
        <v>2.8E-3</v>
      </c>
      <c r="AT101" s="256"/>
      <c r="AW101" s="508"/>
      <c r="AX101" s="509"/>
      <c r="AY101" s="509"/>
      <c r="AZ101" s="509"/>
      <c r="BA101" s="509"/>
      <c r="BB101" s="520"/>
      <c r="BC101" s="509"/>
      <c r="BD101" s="509"/>
      <c r="BE101" s="509"/>
      <c r="BF101" s="509"/>
      <c r="BG101" s="521"/>
      <c r="BH101" s="510"/>
      <c r="BI101" s="511"/>
      <c r="BJ101" s="511"/>
      <c r="BK101" s="511"/>
      <c r="BL101" s="195"/>
      <c r="BM101" s="510"/>
      <c r="BN101" s="510"/>
      <c r="BO101" s="510"/>
      <c r="BP101" s="510"/>
      <c r="BQ101" s="510"/>
      <c r="BR101" s="510"/>
      <c r="BS101" s="510"/>
      <c r="BT101" s="510"/>
      <c r="BU101" s="510"/>
      <c r="BV101" s="512"/>
      <c r="BW101" s="509"/>
    </row>
    <row r="102" spans="2:75" ht="15.75" customHeight="1">
      <c r="B102" s="250" t="s">
        <v>848</v>
      </c>
      <c r="C102" s="251">
        <v>34096235000140</v>
      </c>
      <c r="D102" s="252" t="s">
        <v>11</v>
      </c>
      <c r="E102" s="252" t="s">
        <v>621</v>
      </c>
      <c r="F102" s="252" t="s">
        <v>692</v>
      </c>
      <c r="G102" s="253" t="s">
        <v>738</v>
      </c>
      <c r="H102" s="253" t="s">
        <v>34</v>
      </c>
      <c r="I102" s="253"/>
      <c r="J102" s="253" t="s">
        <v>608</v>
      </c>
      <c r="K102" s="254" t="s">
        <v>48</v>
      </c>
      <c r="L102" s="255" t="s">
        <v>1339</v>
      </c>
      <c r="M102" s="255" t="s">
        <v>34</v>
      </c>
      <c r="N102" s="254">
        <v>503681</v>
      </c>
      <c r="O102" s="254" t="s">
        <v>1321</v>
      </c>
      <c r="P102" s="258">
        <v>43677</v>
      </c>
      <c r="Q102" s="259">
        <v>153637670.16999999</v>
      </c>
      <c r="R102" s="259">
        <v>109211051.68134914</v>
      </c>
      <c r="S102" s="254">
        <v>31</v>
      </c>
      <c r="T102" s="256">
        <v>8.5578057284382503E-2</v>
      </c>
      <c r="U102" s="256">
        <v>1.1062842497575058</v>
      </c>
      <c r="V102" s="256">
        <v>0.12564868784647798</v>
      </c>
      <c r="W102" s="256">
        <v>1.2317772768475608</v>
      </c>
      <c r="X102" s="256">
        <v>0.22504935613338239</v>
      </c>
      <c r="Y102" s="256">
        <v>1.7065901501492284</v>
      </c>
      <c r="Z102" s="256">
        <v>0.2837587634690375</v>
      </c>
      <c r="AA102" s="256">
        <v>1.6129768028184861</v>
      </c>
      <c r="AB102" s="256">
        <v>2.9131244154841918E-2</v>
      </c>
      <c r="AC102" s="260">
        <v>0.7434374876931229</v>
      </c>
      <c r="AD102" s="405">
        <v>34172617000106</v>
      </c>
      <c r="AE102" s="257" t="s">
        <v>2144</v>
      </c>
      <c r="AF102" s="257" t="s">
        <v>2109</v>
      </c>
      <c r="AG102" s="261" t="s">
        <v>1432</v>
      </c>
      <c r="AH102" s="261" t="s">
        <v>2113</v>
      </c>
      <c r="AI102" s="261">
        <v>500</v>
      </c>
      <c r="AJ102" s="261">
        <v>100</v>
      </c>
      <c r="AK102" s="261">
        <v>100</v>
      </c>
      <c r="AL102" s="256">
        <v>8.0000000000000002E-3</v>
      </c>
      <c r="AM102" s="256">
        <v>0.2</v>
      </c>
      <c r="AN102" s="256" t="s">
        <v>34</v>
      </c>
      <c r="AO102" s="254" t="s">
        <v>1324</v>
      </c>
      <c r="AP102" s="257" t="s">
        <v>11</v>
      </c>
      <c r="AQ102" s="263" t="s">
        <v>675</v>
      </c>
      <c r="AR102" s="256">
        <v>2.8E-3</v>
      </c>
      <c r="AS102" s="256">
        <v>2.8E-3</v>
      </c>
      <c r="AT102" s="256"/>
      <c r="AW102" s="508"/>
      <c r="AX102" s="509"/>
      <c r="AY102" s="509"/>
      <c r="AZ102" s="509"/>
      <c r="BA102" s="509"/>
      <c r="BB102" s="520"/>
      <c r="BC102" s="509"/>
      <c r="BD102" s="509"/>
      <c r="BE102" s="509"/>
      <c r="BF102" s="509"/>
      <c r="BG102" s="521"/>
      <c r="BH102" s="510"/>
      <c r="BI102" s="511"/>
      <c r="BJ102" s="511"/>
      <c r="BK102" s="511"/>
      <c r="BL102" s="195"/>
      <c r="BM102" s="510"/>
      <c r="BN102" s="510"/>
      <c r="BO102" s="510"/>
      <c r="BP102" s="510"/>
      <c r="BQ102" s="510"/>
      <c r="BR102" s="510"/>
      <c r="BS102" s="510"/>
      <c r="BT102" s="510"/>
      <c r="BU102" s="510"/>
      <c r="BV102" s="512"/>
      <c r="BW102" s="509"/>
    </row>
    <row r="103" spans="2:75" ht="15.75" customHeight="1">
      <c r="B103" s="250" t="s">
        <v>1010</v>
      </c>
      <c r="C103" s="251">
        <v>41594333000173</v>
      </c>
      <c r="D103" s="252" t="s">
        <v>11</v>
      </c>
      <c r="E103" s="252" t="s">
        <v>621</v>
      </c>
      <c r="F103" s="252" t="s">
        <v>692</v>
      </c>
      <c r="G103" s="253" t="s">
        <v>738</v>
      </c>
      <c r="H103" s="253" t="s">
        <v>34</v>
      </c>
      <c r="I103" s="253"/>
      <c r="J103" s="253" t="s">
        <v>608</v>
      </c>
      <c r="K103" s="254" t="s">
        <v>48</v>
      </c>
      <c r="L103" s="255" t="s">
        <v>1339</v>
      </c>
      <c r="M103" s="255" t="s">
        <v>34</v>
      </c>
      <c r="N103" s="254">
        <v>602957</v>
      </c>
      <c r="O103" s="254" t="s">
        <v>1321</v>
      </c>
      <c r="P103" s="258">
        <v>44397</v>
      </c>
      <c r="Q103" s="259">
        <v>28813276.780000001</v>
      </c>
      <c r="R103" s="259">
        <v>10009424.587420633</v>
      </c>
      <c r="S103" s="254">
        <v>31</v>
      </c>
      <c r="T103" s="256">
        <v>8.5050741417316722E-2</v>
      </c>
      <c r="U103" s="256">
        <v>1.099467534621714</v>
      </c>
      <c r="V103" s="256">
        <v>0.12374967406443305</v>
      </c>
      <c r="W103" s="256">
        <v>1.2131605919841155</v>
      </c>
      <c r="X103" s="256" t="s">
        <v>1417</v>
      </c>
      <c r="Y103" s="256" t="s">
        <v>1417</v>
      </c>
      <c r="Z103" s="256" t="s">
        <v>1417</v>
      </c>
      <c r="AA103" s="256" t="s">
        <v>1417</v>
      </c>
      <c r="AB103" s="256">
        <v>2.8413242239103808E-2</v>
      </c>
      <c r="AC103" s="260">
        <v>0.70204697702281293</v>
      </c>
      <c r="AD103" s="405">
        <v>41594289000100</v>
      </c>
      <c r="AE103" s="257" t="s">
        <v>2288</v>
      </c>
      <c r="AF103" s="257" t="s">
        <v>2118</v>
      </c>
      <c r="AG103" s="261" t="s">
        <v>1433</v>
      </c>
      <c r="AH103" s="261" t="s">
        <v>2113</v>
      </c>
      <c r="AI103" s="261">
        <v>50000</v>
      </c>
      <c r="AJ103" s="261">
        <v>10000</v>
      </c>
      <c r="AK103" s="261">
        <v>50000</v>
      </c>
      <c r="AL103" s="256">
        <v>8.5000000000000006E-3</v>
      </c>
      <c r="AM103" s="256">
        <v>0.2</v>
      </c>
      <c r="AN103" s="256" t="s">
        <v>2218</v>
      </c>
      <c r="AO103" s="254" t="s">
        <v>1324</v>
      </c>
      <c r="AP103" s="257" t="s">
        <v>13</v>
      </c>
      <c r="AQ103" s="263" t="s">
        <v>668</v>
      </c>
      <c r="AR103" s="256">
        <v>2.2669500000000002E-3</v>
      </c>
      <c r="AS103" s="256">
        <v>2.2669500000000002E-3</v>
      </c>
      <c r="AT103" s="256"/>
      <c r="AW103" s="508"/>
      <c r="AX103" s="509"/>
      <c r="AY103" s="509"/>
      <c r="AZ103" s="509"/>
      <c r="BA103" s="509"/>
      <c r="BB103" s="520"/>
      <c r="BC103" s="509"/>
      <c r="BD103" s="509"/>
      <c r="BE103" s="509"/>
      <c r="BF103" s="509"/>
      <c r="BG103" s="521"/>
      <c r="BH103" s="510"/>
      <c r="BI103" s="511"/>
      <c r="BJ103" s="511"/>
      <c r="BK103" s="511"/>
      <c r="BL103" s="195"/>
      <c r="BM103" s="510"/>
      <c r="BN103" s="510"/>
      <c r="BO103" s="510"/>
      <c r="BP103" s="510"/>
      <c r="BQ103" s="510"/>
      <c r="BR103" s="510"/>
      <c r="BS103" s="510"/>
      <c r="BT103" s="510"/>
      <c r="BU103" s="510"/>
      <c r="BV103" s="512"/>
      <c r="BW103" s="509"/>
    </row>
    <row r="104" spans="2:75" ht="15.75" customHeight="1">
      <c r="B104" s="250" t="s">
        <v>72</v>
      </c>
      <c r="C104" s="251">
        <v>34774662000130</v>
      </c>
      <c r="D104" s="252" t="s">
        <v>13</v>
      </c>
      <c r="E104" s="252" t="s">
        <v>615</v>
      </c>
      <c r="F104" s="252" t="s">
        <v>619</v>
      </c>
      <c r="G104" s="253" t="s">
        <v>34</v>
      </c>
      <c r="H104" s="253" t="s">
        <v>1337</v>
      </c>
      <c r="I104" s="253" t="s">
        <v>34</v>
      </c>
      <c r="J104" s="253" t="s">
        <v>611</v>
      </c>
      <c r="K104" s="254" t="s">
        <v>48</v>
      </c>
      <c r="L104" s="255" t="s">
        <v>1339</v>
      </c>
      <c r="M104" s="255" t="s">
        <v>34</v>
      </c>
      <c r="N104" s="254">
        <v>509061</v>
      </c>
      <c r="O104" s="254" t="s">
        <v>1321</v>
      </c>
      <c r="P104" s="258">
        <v>43738</v>
      </c>
      <c r="Q104" s="259">
        <v>297525116.48000002</v>
      </c>
      <c r="R104" s="259">
        <v>278996192.13325381</v>
      </c>
      <c r="S104" s="254">
        <v>31</v>
      </c>
      <c r="T104" s="256">
        <v>9.2043617124130117E-2</v>
      </c>
      <c r="U104" s="256">
        <v>1.1898658037627377</v>
      </c>
      <c r="V104" s="256">
        <v>0.10658850223798488</v>
      </c>
      <c r="W104" s="256">
        <v>1.0449237256690174</v>
      </c>
      <c r="X104" s="256">
        <v>0.17506757427565112</v>
      </c>
      <c r="Y104" s="256">
        <v>1.3275692186040748</v>
      </c>
      <c r="Z104" s="256" t="s">
        <v>1417</v>
      </c>
      <c r="AA104" s="256" t="s">
        <v>1417</v>
      </c>
      <c r="AB104" s="256">
        <v>4.3561412888314256E-2</v>
      </c>
      <c r="AC104" s="260">
        <v>0.11696156896395893</v>
      </c>
      <c r="AD104" s="405">
        <v>34687549000118</v>
      </c>
      <c r="AE104" s="257" t="s">
        <v>2129</v>
      </c>
      <c r="AF104" s="257" t="s">
        <v>2112</v>
      </c>
      <c r="AG104" s="261" t="s">
        <v>59</v>
      </c>
      <c r="AH104" s="261" t="s">
        <v>2113</v>
      </c>
      <c r="AI104" s="261">
        <v>500</v>
      </c>
      <c r="AJ104" s="261">
        <v>100</v>
      </c>
      <c r="AK104" s="261">
        <v>100</v>
      </c>
      <c r="AL104" s="519">
        <v>1.9199999999999998E-2</v>
      </c>
      <c r="AM104" s="519">
        <v>0.2</v>
      </c>
      <c r="AN104" s="256" t="s">
        <v>64</v>
      </c>
      <c r="AO104" s="254" t="s">
        <v>1324</v>
      </c>
      <c r="AP104" s="257" t="s">
        <v>13</v>
      </c>
      <c r="AQ104" s="263" t="s">
        <v>664</v>
      </c>
      <c r="AR104" s="256">
        <v>4.7999999999999996E-3</v>
      </c>
      <c r="AS104" s="256">
        <v>4.7999999999999996E-3</v>
      </c>
      <c r="AT104" s="256"/>
      <c r="AW104" s="508"/>
      <c r="AX104" s="509"/>
      <c r="AY104" s="509"/>
      <c r="AZ104" s="509"/>
      <c r="BA104" s="509"/>
      <c r="BB104" s="520"/>
      <c r="BC104" s="509"/>
      <c r="BD104" s="509"/>
      <c r="BE104" s="509"/>
      <c r="BF104" s="509"/>
      <c r="BG104" s="521"/>
      <c r="BH104" s="510"/>
      <c r="BI104" s="511"/>
      <c r="BJ104" s="511"/>
      <c r="BK104" s="511"/>
      <c r="BL104" s="195"/>
      <c r="BM104" s="510"/>
      <c r="BN104" s="510"/>
      <c r="BO104" s="510"/>
      <c r="BP104" s="510"/>
      <c r="BQ104" s="510"/>
      <c r="BR104" s="510"/>
      <c r="BS104" s="510"/>
      <c r="BT104" s="510"/>
      <c r="BU104" s="510"/>
      <c r="BV104" s="512"/>
      <c r="BW104" s="509"/>
    </row>
    <row r="105" spans="2:75" ht="15.75" customHeight="1">
      <c r="B105" s="250" t="s">
        <v>461</v>
      </c>
      <c r="C105" s="251">
        <v>20226378000115</v>
      </c>
      <c r="D105" s="252" t="s">
        <v>13</v>
      </c>
      <c r="E105" s="252" t="s">
        <v>615</v>
      </c>
      <c r="F105" s="252" t="s">
        <v>619</v>
      </c>
      <c r="G105" s="253" t="s">
        <v>34</v>
      </c>
      <c r="H105" s="253" t="s">
        <v>1338</v>
      </c>
      <c r="I105" s="253" t="s">
        <v>34</v>
      </c>
      <c r="J105" s="253" t="s">
        <v>611</v>
      </c>
      <c r="K105" s="254" t="s">
        <v>48</v>
      </c>
      <c r="L105" s="255" t="s">
        <v>1339</v>
      </c>
      <c r="M105" s="255" t="s">
        <v>34</v>
      </c>
      <c r="N105" s="254">
        <v>376711</v>
      </c>
      <c r="O105" s="254" t="s">
        <v>1321</v>
      </c>
      <c r="P105" s="258">
        <v>41852</v>
      </c>
      <c r="Q105" s="259">
        <v>921265550.33000004</v>
      </c>
      <c r="R105" s="259">
        <v>736063910.41936529</v>
      </c>
      <c r="S105" s="254">
        <v>31</v>
      </c>
      <c r="T105" s="256">
        <v>0.10040071395560934</v>
      </c>
      <c r="U105" s="256">
        <v>1.2978996256528619</v>
      </c>
      <c r="V105" s="256">
        <v>0.11194539355140654</v>
      </c>
      <c r="W105" s="256">
        <v>1.0974391725670953</v>
      </c>
      <c r="X105" s="256">
        <v>0.27497991066672212</v>
      </c>
      <c r="Y105" s="256">
        <v>2.0852226155875369</v>
      </c>
      <c r="Z105" s="256">
        <v>0.27524182955472098</v>
      </c>
      <c r="AA105" s="256">
        <v>1.5645637893595041</v>
      </c>
      <c r="AB105" s="256">
        <v>7.7629725300409777E-2</v>
      </c>
      <c r="AC105" s="260">
        <v>0.1543120458199142</v>
      </c>
      <c r="AD105" s="405">
        <v>20226388000150</v>
      </c>
      <c r="AE105" s="257" t="s">
        <v>2123</v>
      </c>
      <c r="AF105" s="257" t="s">
        <v>2109</v>
      </c>
      <c r="AG105" s="261" t="s">
        <v>1432</v>
      </c>
      <c r="AH105" s="261" t="s">
        <v>2113</v>
      </c>
      <c r="AI105" s="261">
        <v>500</v>
      </c>
      <c r="AJ105" s="261">
        <v>100</v>
      </c>
      <c r="AK105" s="261">
        <v>100</v>
      </c>
      <c r="AL105" s="256">
        <v>0</v>
      </c>
      <c r="AM105" s="256" t="s">
        <v>34</v>
      </c>
      <c r="AN105" s="256" t="s">
        <v>34</v>
      </c>
      <c r="AO105" s="254" t="s">
        <v>1324</v>
      </c>
      <c r="AP105" s="257" t="s">
        <v>13</v>
      </c>
      <c r="AQ105" s="263" t="s">
        <v>664</v>
      </c>
      <c r="AR105" s="256">
        <v>4.0000000000000001E-3</v>
      </c>
      <c r="AS105" s="256">
        <v>4.0000000000000001E-3</v>
      </c>
      <c r="AT105" s="256"/>
      <c r="AW105" s="508"/>
      <c r="AX105" s="509"/>
      <c r="AY105" s="509"/>
      <c r="AZ105" s="509"/>
      <c r="BA105" s="509"/>
      <c r="BB105" s="520"/>
      <c r="BC105" s="509"/>
      <c r="BD105" s="509"/>
      <c r="BE105" s="509"/>
      <c r="BF105" s="509"/>
      <c r="BG105" s="521"/>
      <c r="BH105" s="510"/>
      <c r="BI105" s="511"/>
      <c r="BJ105" s="511"/>
      <c r="BK105" s="511"/>
      <c r="BL105" s="195"/>
      <c r="BM105" s="510"/>
      <c r="BN105" s="510"/>
      <c r="BO105" s="510"/>
      <c r="BP105" s="510"/>
      <c r="BQ105" s="510"/>
      <c r="BR105" s="510"/>
      <c r="BS105" s="510"/>
      <c r="BT105" s="510"/>
      <c r="BU105" s="510"/>
      <c r="BV105" s="512"/>
      <c r="BW105" s="509"/>
    </row>
    <row r="106" spans="2:75" ht="15.75" customHeight="1">
      <c r="B106" s="250" t="s">
        <v>1017</v>
      </c>
      <c r="C106" s="251">
        <v>32300350000160</v>
      </c>
      <c r="D106" s="252" t="s">
        <v>13</v>
      </c>
      <c r="E106" s="252" t="s">
        <v>615</v>
      </c>
      <c r="F106" s="252" t="s">
        <v>619</v>
      </c>
      <c r="G106" s="253" t="s">
        <v>34</v>
      </c>
      <c r="H106" s="253" t="s">
        <v>1337</v>
      </c>
      <c r="I106" s="253" t="s">
        <v>34</v>
      </c>
      <c r="J106" s="253"/>
      <c r="K106" s="254" t="s">
        <v>48</v>
      </c>
      <c r="L106" s="255" t="s">
        <v>1339</v>
      </c>
      <c r="M106" s="255" t="s">
        <v>1414</v>
      </c>
      <c r="N106" s="254">
        <v>487181</v>
      </c>
      <c r="O106" s="254" t="s">
        <v>1321</v>
      </c>
      <c r="P106" s="258">
        <v>43507</v>
      </c>
      <c r="Q106" s="259">
        <v>442774382.04000002</v>
      </c>
      <c r="R106" s="259">
        <v>531189169.50011903</v>
      </c>
      <c r="S106" s="254">
        <v>31</v>
      </c>
      <c r="T106" s="256">
        <v>0.11151668030511774</v>
      </c>
      <c r="U106" s="256">
        <v>1.4415978922824759</v>
      </c>
      <c r="V106" s="256">
        <v>0.13729620325482594</v>
      </c>
      <c r="W106" s="256">
        <v>1.3459618740577179</v>
      </c>
      <c r="X106" s="256">
        <v>0.13296055031130605</v>
      </c>
      <c r="Y106" s="256">
        <v>1.0082640066973183</v>
      </c>
      <c r="Z106" s="256">
        <v>0.25304832119480647</v>
      </c>
      <c r="AA106" s="256">
        <v>1.4384086929668376</v>
      </c>
      <c r="AB106" s="256">
        <v>2.1639840918209353E-2</v>
      </c>
      <c r="AC106" s="260">
        <v>1.4680139239131555</v>
      </c>
      <c r="AD106" s="405">
        <v>0</v>
      </c>
      <c r="AE106" s="257" t="s">
        <v>2123</v>
      </c>
      <c r="AF106" s="257" t="s">
        <v>2109</v>
      </c>
      <c r="AG106" s="261" t="s">
        <v>1432</v>
      </c>
      <c r="AH106" s="261" t="s">
        <v>2113</v>
      </c>
      <c r="AI106" s="261">
        <v>20000</v>
      </c>
      <c r="AJ106" s="261">
        <v>20000</v>
      </c>
      <c r="AK106" s="261">
        <v>20000</v>
      </c>
      <c r="AL106" s="256">
        <v>0</v>
      </c>
      <c r="AM106" s="256" t="s">
        <v>34</v>
      </c>
      <c r="AN106" s="256" t="s">
        <v>34</v>
      </c>
      <c r="AO106" s="254" t="s">
        <v>1324</v>
      </c>
      <c r="AP106" s="257" t="s">
        <v>13</v>
      </c>
      <c r="AQ106" s="263" t="s">
        <v>668</v>
      </c>
      <c r="AR106" s="256">
        <v>2.6666666666666666E-3</v>
      </c>
      <c r="AS106" s="256">
        <v>2.6666666666666666E-3</v>
      </c>
      <c r="AT106" s="256"/>
      <c r="AW106" s="508"/>
      <c r="AX106" s="509"/>
      <c r="AY106" s="509"/>
      <c r="AZ106" s="509"/>
      <c r="BA106" s="509"/>
      <c r="BB106" s="520"/>
      <c r="BC106" s="509"/>
      <c r="BD106" s="509"/>
      <c r="BE106" s="509"/>
      <c r="BF106" s="509"/>
      <c r="BG106" s="521"/>
      <c r="BH106" s="510"/>
      <c r="BI106" s="511"/>
      <c r="BJ106" s="511"/>
      <c r="BK106" s="511"/>
      <c r="BL106" s="195"/>
      <c r="BM106" s="510"/>
      <c r="BN106" s="510"/>
      <c r="BO106" s="510"/>
      <c r="BP106" s="510"/>
      <c r="BQ106" s="510"/>
      <c r="BR106" s="510"/>
      <c r="BS106" s="510"/>
      <c r="BT106" s="510"/>
      <c r="BU106" s="510"/>
      <c r="BV106" s="512"/>
      <c r="BW106" s="509"/>
    </row>
    <row r="107" spans="2:75" ht="15.75" customHeight="1">
      <c r="B107" s="250" t="s">
        <v>250</v>
      </c>
      <c r="C107" s="251">
        <v>13812165000100</v>
      </c>
      <c r="D107" s="252" t="s">
        <v>13</v>
      </c>
      <c r="E107" s="252" t="s">
        <v>615</v>
      </c>
      <c r="F107" s="252" t="s">
        <v>619</v>
      </c>
      <c r="G107" s="253" t="s">
        <v>34</v>
      </c>
      <c r="H107" s="253" t="s">
        <v>1337</v>
      </c>
      <c r="I107" s="253" t="s">
        <v>34</v>
      </c>
      <c r="J107" s="253" t="s">
        <v>611</v>
      </c>
      <c r="K107" s="254" t="s">
        <v>48</v>
      </c>
      <c r="L107" s="255" t="s">
        <v>1339</v>
      </c>
      <c r="M107" s="255" t="s">
        <v>1414</v>
      </c>
      <c r="N107" s="254">
        <v>285560</v>
      </c>
      <c r="O107" s="254" t="s">
        <v>1321</v>
      </c>
      <c r="P107" s="258">
        <v>40786</v>
      </c>
      <c r="Q107" s="259">
        <v>981840733.99000001</v>
      </c>
      <c r="R107" s="259">
        <v>1240869610.4779761</v>
      </c>
      <c r="S107" s="254">
        <v>31</v>
      </c>
      <c r="T107" s="256">
        <v>0.11349327743886461</v>
      </c>
      <c r="U107" s="256">
        <v>1.4671497492253542</v>
      </c>
      <c r="V107" s="256">
        <v>0.13939063471765878</v>
      </c>
      <c r="W107" s="256">
        <v>1.3664943056178809</v>
      </c>
      <c r="X107" s="256">
        <v>0.13500569158453679</v>
      </c>
      <c r="Y107" s="256">
        <v>1.0237726844937152</v>
      </c>
      <c r="Z107" s="256">
        <v>0.25652614711336552</v>
      </c>
      <c r="AA107" s="256">
        <v>1.4581777829582689</v>
      </c>
      <c r="AB107" s="256">
        <v>2.2534416247466101E-2</v>
      </c>
      <c r="AC107" s="260">
        <v>1.4922993140595402</v>
      </c>
      <c r="AD107" s="405">
        <v>97548167000123</v>
      </c>
      <c r="AE107" s="257" t="s">
        <v>2288</v>
      </c>
      <c r="AF107" s="257" t="s">
        <v>2118</v>
      </c>
      <c r="AG107" s="261" t="s">
        <v>1433</v>
      </c>
      <c r="AH107" s="261" t="s">
        <v>2113</v>
      </c>
      <c r="AI107" s="261">
        <v>100000</v>
      </c>
      <c r="AJ107" s="261">
        <v>50000</v>
      </c>
      <c r="AK107" s="261">
        <v>100000</v>
      </c>
      <c r="AL107" s="256">
        <v>1.8500000000000003E-2</v>
      </c>
      <c r="AM107" s="256">
        <v>0.2</v>
      </c>
      <c r="AN107" s="256" t="s">
        <v>64</v>
      </c>
      <c r="AO107" s="254" t="s">
        <v>1324</v>
      </c>
      <c r="AP107" s="257" t="s">
        <v>13</v>
      </c>
      <c r="AQ107" s="263" t="s">
        <v>668</v>
      </c>
      <c r="AR107" s="256">
        <v>2.4666666666666665E-3</v>
      </c>
      <c r="AS107" s="256">
        <v>2.4666666666666665E-3</v>
      </c>
      <c r="AT107" s="256"/>
      <c r="AW107" s="508"/>
      <c r="AX107" s="509"/>
      <c r="AY107" s="509"/>
      <c r="AZ107" s="509"/>
      <c r="BA107" s="509"/>
      <c r="BB107" s="520"/>
      <c r="BC107" s="509"/>
      <c r="BD107" s="509"/>
      <c r="BE107" s="509"/>
      <c r="BF107" s="509"/>
      <c r="BG107" s="521"/>
      <c r="BH107" s="510"/>
      <c r="BI107" s="511"/>
      <c r="BJ107" s="511"/>
      <c r="BK107" s="511"/>
      <c r="BL107" s="195"/>
      <c r="BM107" s="510"/>
      <c r="BN107" s="510"/>
      <c r="BO107" s="510"/>
      <c r="BP107" s="510"/>
      <c r="BQ107" s="510"/>
      <c r="BR107" s="510"/>
      <c r="BS107" s="510"/>
      <c r="BT107" s="510"/>
      <c r="BU107" s="510"/>
      <c r="BV107" s="512"/>
      <c r="BW107" s="509"/>
    </row>
    <row r="108" spans="2:75" ht="15.75" customHeight="1">
      <c r="B108" s="250" t="s">
        <v>1028</v>
      </c>
      <c r="C108" s="251">
        <v>17429959000140</v>
      </c>
      <c r="D108" s="252" t="s">
        <v>13</v>
      </c>
      <c r="E108" s="252" t="s">
        <v>615</v>
      </c>
      <c r="F108" s="252" t="s">
        <v>619</v>
      </c>
      <c r="G108" s="253" t="s">
        <v>34</v>
      </c>
      <c r="H108" s="253" t="s">
        <v>1337</v>
      </c>
      <c r="I108" s="253" t="s">
        <v>34</v>
      </c>
      <c r="J108" s="253" t="s">
        <v>611</v>
      </c>
      <c r="K108" s="254" t="s">
        <v>48</v>
      </c>
      <c r="L108" s="255" t="s">
        <v>1339</v>
      </c>
      <c r="M108" s="255" t="s">
        <v>34</v>
      </c>
      <c r="N108" s="254">
        <v>329118</v>
      </c>
      <c r="O108" s="254" t="s">
        <v>1324</v>
      </c>
      <c r="P108" s="258">
        <v>41332</v>
      </c>
      <c r="Q108" s="259">
        <v>87656429.439999998</v>
      </c>
      <c r="R108" s="259">
        <v>92912135.248412654</v>
      </c>
      <c r="S108" s="254">
        <v>31</v>
      </c>
      <c r="T108" s="256">
        <v>0.11764274862699198</v>
      </c>
      <c r="U108" s="256">
        <v>1.5207907731737398</v>
      </c>
      <c r="V108" s="256">
        <v>0.15547533717782858</v>
      </c>
      <c r="W108" s="256">
        <v>1.5241781727148391</v>
      </c>
      <c r="X108" s="256">
        <v>0.25215376200098016</v>
      </c>
      <c r="Y108" s="256">
        <v>1.9121277836444968</v>
      </c>
      <c r="Z108" s="256">
        <v>0.27538457028682162</v>
      </c>
      <c r="AA108" s="256">
        <v>1.5653751739556341</v>
      </c>
      <c r="AB108" s="256">
        <v>4.1619392075538532E-2</v>
      </c>
      <c r="AC108" s="260">
        <v>1.1596367188600887</v>
      </c>
      <c r="AD108" s="405">
        <v>0</v>
      </c>
      <c r="AE108" s="257" t="s">
        <v>2123</v>
      </c>
      <c r="AF108" s="257" t="s">
        <v>2109</v>
      </c>
      <c r="AG108" s="261" t="s">
        <v>1432</v>
      </c>
      <c r="AH108" s="261" t="s">
        <v>2113</v>
      </c>
      <c r="AI108" s="261">
        <v>10000</v>
      </c>
      <c r="AJ108" s="261">
        <v>10000</v>
      </c>
      <c r="AK108" s="261">
        <v>10000</v>
      </c>
      <c r="AL108" s="256">
        <v>0</v>
      </c>
      <c r="AM108" s="256" t="s">
        <v>34</v>
      </c>
      <c r="AN108" s="256" t="s">
        <v>2127</v>
      </c>
      <c r="AO108" s="254" t="s">
        <v>1324</v>
      </c>
      <c r="AP108" s="257" t="s">
        <v>13</v>
      </c>
      <c r="AQ108" s="263" t="s">
        <v>668</v>
      </c>
      <c r="AR108" s="256">
        <v>4.0000000000000001E-3</v>
      </c>
      <c r="AS108" s="256">
        <v>4.0000000000000001E-3</v>
      </c>
      <c r="AT108" s="256"/>
      <c r="AW108" s="508"/>
      <c r="AX108" s="509"/>
      <c r="AY108" s="509"/>
      <c r="AZ108" s="509"/>
      <c r="BA108" s="509"/>
      <c r="BB108" s="520"/>
      <c r="BC108" s="509"/>
      <c r="BD108" s="509"/>
      <c r="BE108" s="509"/>
      <c r="BF108" s="509"/>
      <c r="BG108" s="521"/>
      <c r="BH108" s="510"/>
      <c r="BI108" s="511"/>
      <c r="BJ108" s="511"/>
      <c r="BK108" s="511"/>
      <c r="BL108" s="195"/>
      <c r="BM108" s="510"/>
      <c r="BN108" s="510"/>
      <c r="BO108" s="510"/>
      <c r="BP108" s="510"/>
      <c r="BQ108" s="510"/>
      <c r="BR108" s="510"/>
      <c r="BS108" s="510"/>
      <c r="BT108" s="510"/>
      <c r="BU108" s="510"/>
      <c r="BV108" s="512"/>
      <c r="BW108" s="509"/>
    </row>
    <row r="109" spans="2:75" ht="15.75" customHeight="1">
      <c r="B109" s="250" t="s">
        <v>285</v>
      </c>
      <c r="C109" s="251">
        <v>32397723000162</v>
      </c>
      <c r="D109" s="252" t="s">
        <v>13</v>
      </c>
      <c r="E109" s="252" t="s">
        <v>615</v>
      </c>
      <c r="F109" s="252" t="s">
        <v>619</v>
      </c>
      <c r="G109" s="253" t="s">
        <v>34</v>
      </c>
      <c r="H109" s="253" t="s">
        <v>1338</v>
      </c>
      <c r="I109" s="253" t="s">
        <v>34</v>
      </c>
      <c r="J109" s="253" t="s">
        <v>611</v>
      </c>
      <c r="K109" s="254" t="s">
        <v>48</v>
      </c>
      <c r="L109" s="255" t="s">
        <v>1339</v>
      </c>
      <c r="M109" s="255" t="s">
        <v>1414</v>
      </c>
      <c r="N109" s="254">
        <v>486280</v>
      </c>
      <c r="O109" s="254" t="s">
        <v>1321</v>
      </c>
      <c r="P109" s="258">
        <v>43497</v>
      </c>
      <c r="Q109" s="259">
        <v>1048828353.51</v>
      </c>
      <c r="R109" s="259">
        <v>779886124.98400843</v>
      </c>
      <c r="S109" s="254">
        <v>31</v>
      </c>
      <c r="T109" s="256">
        <v>0.24111743375701944</v>
      </c>
      <c r="U109" s="256">
        <v>3.1169721278075642</v>
      </c>
      <c r="V109" s="256">
        <v>0.20983583819991947</v>
      </c>
      <c r="W109" s="256">
        <v>2.0570928498571446</v>
      </c>
      <c r="X109" s="256">
        <v>0.26659591757476298</v>
      </c>
      <c r="Y109" s="256">
        <v>2.0216452729304151</v>
      </c>
      <c r="Z109" s="256">
        <v>0.62768471634272949</v>
      </c>
      <c r="AA109" s="256">
        <v>3.5679634157096163</v>
      </c>
      <c r="AB109" s="256">
        <v>0.1268295866738699</v>
      </c>
      <c r="AC109" s="260">
        <v>0.79982215399249545</v>
      </c>
      <c r="AD109" s="405">
        <v>37098935000162</v>
      </c>
      <c r="AE109" s="257" t="s">
        <v>2321</v>
      </c>
      <c r="AF109" s="257" t="s">
        <v>2109</v>
      </c>
      <c r="AG109" s="261" t="s">
        <v>1432</v>
      </c>
      <c r="AH109" s="261" t="s">
        <v>2113</v>
      </c>
      <c r="AI109" s="261">
        <v>5000</v>
      </c>
      <c r="AJ109" s="261">
        <v>1000</v>
      </c>
      <c r="AK109" s="261">
        <v>1000</v>
      </c>
      <c r="AL109" s="256">
        <v>0.02</v>
      </c>
      <c r="AM109" s="256">
        <v>0.2</v>
      </c>
      <c r="AN109" s="256" t="s">
        <v>34</v>
      </c>
      <c r="AO109" s="254" t="s">
        <v>1324</v>
      </c>
      <c r="AP109" s="257" t="s">
        <v>13</v>
      </c>
      <c r="AQ109" s="263" t="s">
        <v>668</v>
      </c>
      <c r="AR109" s="256" t="s">
        <v>34</v>
      </c>
      <c r="AS109" s="256" t="s">
        <v>34</v>
      </c>
      <c r="AT109" s="256"/>
      <c r="AW109" s="508"/>
      <c r="AX109" s="509"/>
      <c r="AY109" s="509"/>
      <c r="AZ109" s="509"/>
      <c r="BA109" s="509"/>
      <c r="BB109" s="520"/>
      <c r="BC109" s="509"/>
      <c r="BD109" s="509"/>
      <c r="BE109" s="509"/>
      <c r="BF109" s="509"/>
      <c r="BG109" s="521"/>
      <c r="BH109" s="510"/>
      <c r="BI109" s="511"/>
      <c r="BJ109" s="511"/>
      <c r="BK109" s="511"/>
      <c r="BL109" s="195"/>
      <c r="BM109" s="510"/>
      <c r="BN109" s="510"/>
      <c r="BO109" s="510"/>
      <c r="BP109" s="510"/>
      <c r="BQ109" s="510"/>
      <c r="BR109" s="510"/>
      <c r="BS109" s="510"/>
      <c r="BT109" s="510"/>
      <c r="BU109" s="510"/>
      <c r="BV109" s="512"/>
      <c r="BW109" s="509"/>
    </row>
    <row r="110" spans="2:75" ht="15.75" customHeight="1">
      <c r="B110" s="250" t="s">
        <v>44</v>
      </c>
      <c r="C110" s="251">
        <v>30317454000151</v>
      </c>
      <c r="D110" s="252" t="s">
        <v>14</v>
      </c>
      <c r="E110" s="252" t="s">
        <v>614</v>
      </c>
      <c r="F110" s="252" t="s">
        <v>1317</v>
      </c>
      <c r="G110" s="253"/>
      <c r="H110" s="253" t="s">
        <v>865</v>
      </c>
      <c r="I110" s="253" t="s">
        <v>34</v>
      </c>
      <c r="J110" s="253" t="s">
        <v>608</v>
      </c>
      <c r="K110" s="254" t="s">
        <v>48</v>
      </c>
      <c r="L110" s="255" t="s">
        <v>1339</v>
      </c>
      <c r="M110" s="255" t="s">
        <v>34</v>
      </c>
      <c r="N110" s="254">
        <v>466999</v>
      </c>
      <c r="O110" s="254" t="s">
        <v>1321</v>
      </c>
      <c r="P110" s="258">
        <v>43250</v>
      </c>
      <c r="Q110" s="259">
        <v>919600065.28999996</v>
      </c>
      <c r="R110" s="259">
        <v>1280131051.1292856</v>
      </c>
      <c r="S110" s="254">
        <v>32</v>
      </c>
      <c r="T110" s="256">
        <v>2.224417102388565E-2</v>
      </c>
      <c r="U110" s="256">
        <v>0.28755474047350066</v>
      </c>
      <c r="V110" s="256">
        <v>-7.4490509258922311E-2</v>
      </c>
      <c r="W110" s="256">
        <v>-0.73025606728224435</v>
      </c>
      <c r="X110" s="256">
        <v>8.9518285016707555E-3</v>
      </c>
      <c r="Y110" s="256">
        <v>6.7883341722257559E-2</v>
      </c>
      <c r="Z110" s="256">
        <v>0.26898999762645048</v>
      </c>
      <c r="AA110" s="256">
        <v>1.5290263499086847</v>
      </c>
      <c r="AB110" s="256">
        <v>0.10942341614756879</v>
      </c>
      <c r="AC110" s="260">
        <v>-1.5405820092033824</v>
      </c>
      <c r="AD110" s="405">
        <v>30317436000170</v>
      </c>
      <c r="AE110" s="257" t="s">
        <v>2222</v>
      </c>
      <c r="AF110" s="257" t="s">
        <v>2118</v>
      </c>
      <c r="AG110" s="261" t="s">
        <v>1433</v>
      </c>
      <c r="AH110" s="261" t="s">
        <v>2113</v>
      </c>
      <c r="AI110" s="261">
        <v>500</v>
      </c>
      <c r="AJ110" s="261">
        <v>100</v>
      </c>
      <c r="AK110" s="261">
        <v>100</v>
      </c>
      <c r="AL110" s="256">
        <v>1.8500000000000003E-2</v>
      </c>
      <c r="AM110" s="256">
        <v>0.2</v>
      </c>
      <c r="AN110" s="256" t="s">
        <v>2141</v>
      </c>
      <c r="AO110" s="254" t="s">
        <v>1324</v>
      </c>
      <c r="AP110" s="257" t="s">
        <v>13</v>
      </c>
      <c r="AQ110" s="263" t="s">
        <v>668</v>
      </c>
      <c r="AR110" s="256">
        <v>4.6249999999999998E-3</v>
      </c>
      <c r="AS110" s="256">
        <v>4.6249999999999998E-3</v>
      </c>
      <c r="AT110" s="256"/>
      <c r="AW110" s="508"/>
      <c r="AX110" s="509"/>
      <c r="AY110" s="509"/>
      <c r="AZ110" s="509"/>
      <c r="BA110" s="509"/>
      <c r="BB110" s="520"/>
      <c r="BC110" s="509"/>
      <c r="BD110" s="509"/>
      <c r="BE110" s="509"/>
      <c r="BF110" s="509"/>
      <c r="BG110" s="521"/>
      <c r="BH110" s="510"/>
      <c r="BI110" s="511"/>
      <c r="BJ110" s="511"/>
      <c r="BK110" s="511"/>
      <c r="BL110" s="195"/>
      <c r="BM110" s="510"/>
      <c r="BN110" s="510"/>
      <c r="BO110" s="510"/>
      <c r="BP110" s="510"/>
      <c r="BQ110" s="510"/>
      <c r="BR110" s="510"/>
      <c r="BS110" s="510"/>
      <c r="BT110" s="510"/>
      <c r="BU110" s="510"/>
      <c r="BV110" s="512"/>
      <c r="BW110" s="509"/>
    </row>
    <row r="111" spans="2:75" ht="15.75" customHeight="1">
      <c r="B111" s="250" t="s">
        <v>1228</v>
      </c>
      <c r="C111" s="251">
        <v>8968733000126</v>
      </c>
      <c r="D111" s="252" t="s">
        <v>14</v>
      </c>
      <c r="E111" s="252" t="s">
        <v>607</v>
      </c>
      <c r="F111" s="252" t="s">
        <v>1317</v>
      </c>
      <c r="G111" s="253"/>
      <c r="H111" s="253" t="s">
        <v>34</v>
      </c>
      <c r="I111" s="253" t="s">
        <v>34</v>
      </c>
      <c r="J111" s="253" t="s">
        <v>608</v>
      </c>
      <c r="K111" s="254" t="s">
        <v>48</v>
      </c>
      <c r="L111" s="255" t="s">
        <v>1339</v>
      </c>
      <c r="M111" s="255" t="s">
        <v>34</v>
      </c>
      <c r="N111" s="254">
        <v>475823</v>
      </c>
      <c r="O111" s="254" t="s">
        <v>1321</v>
      </c>
      <c r="P111" s="258">
        <v>43298</v>
      </c>
      <c r="Q111" s="259">
        <v>252908691.58000001</v>
      </c>
      <c r="R111" s="259">
        <v>272855102.75111109</v>
      </c>
      <c r="S111" s="254">
        <v>32</v>
      </c>
      <c r="T111" s="256">
        <v>6.2686164008815215E-2</v>
      </c>
      <c r="U111" s="256">
        <v>0.81035627731320137</v>
      </c>
      <c r="V111" s="256">
        <v>-6.0534315190900023E-2</v>
      </c>
      <c r="W111" s="256">
        <v>-0.59343869959696416</v>
      </c>
      <c r="X111" s="256">
        <v>0.91773725006161389</v>
      </c>
      <c r="Y111" s="256">
        <v>6.9593682838707274</v>
      </c>
      <c r="Z111" s="256">
        <v>1.2319401624361705</v>
      </c>
      <c r="AA111" s="256">
        <v>7.0027472638278656</v>
      </c>
      <c r="AB111" s="256">
        <v>0.2314926452748359</v>
      </c>
      <c r="AC111" s="260">
        <v>-0.57399491205192155</v>
      </c>
      <c r="AD111" s="405">
        <v>42190558000127</v>
      </c>
      <c r="AE111" s="257" t="s">
        <v>2260</v>
      </c>
      <c r="AF111" s="257" t="s">
        <v>2109</v>
      </c>
      <c r="AG111" s="261" t="s">
        <v>1432</v>
      </c>
      <c r="AH111" s="261" t="s">
        <v>2113</v>
      </c>
      <c r="AI111" s="261">
        <v>50</v>
      </c>
      <c r="AJ111" s="261">
        <v>50</v>
      </c>
      <c r="AK111" s="261">
        <v>30</v>
      </c>
      <c r="AL111" s="256">
        <v>0.02</v>
      </c>
      <c r="AM111" s="256">
        <v>0.2</v>
      </c>
      <c r="AN111" s="256" t="s">
        <v>2127</v>
      </c>
      <c r="AO111" s="254" t="s">
        <v>1324</v>
      </c>
      <c r="AP111" s="257" t="s">
        <v>716</v>
      </c>
      <c r="AQ111" s="263" t="s">
        <v>659</v>
      </c>
      <c r="AR111" s="256">
        <v>5.3333333333333332E-3</v>
      </c>
      <c r="AS111" s="256">
        <v>5.3333333333333332E-3</v>
      </c>
      <c r="AT111" s="256"/>
      <c r="AW111" s="508"/>
      <c r="AX111" s="509"/>
      <c r="AY111" s="509"/>
      <c r="AZ111" s="509"/>
      <c r="BA111" s="509"/>
      <c r="BB111" s="520"/>
      <c r="BC111" s="509"/>
      <c r="BD111" s="509"/>
      <c r="BE111" s="509"/>
      <c r="BF111" s="509"/>
      <c r="BG111" s="521"/>
      <c r="BH111" s="510"/>
      <c r="BI111" s="511"/>
      <c r="BJ111" s="511"/>
      <c r="BK111" s="511"/>
      <c r="BL111" s="195"/>
      <c r="BM111" s="510"/>
      <c r="BN111" s="510"/>
      <c r="BO111" s="510"/>
      <c r="BP111" s="510"/>
      <c r="BQ111" s="510"/>
      <c r="BR111" s="510"/>
      <c r="BS111" s="510"/>
      <c r="BT111" s="510"/>
      <c r="BU111" s="510"/>
      <c r="BV111" s="512"/>
      <c r="BW111" s="509"/>
    </row>
    <row r="112" spans="2:75" ht="15.75" customHeight="1">
      <c r="B112" s="250" t="s">
        <v>29</v>
      </c>
      <c r="C112" s="251">
        <v>26269603000187</v>
      </c>
      <c r="D112" s="252" t="s">
        <v>14</v>
      </c>
      <c r="E112" s="252" t="s">
        <v>607</v>
      </c>
      <c r="F112" s="252" t="s">
        <v>1317</v>
      </c>
      <c r="G112" s="253"/>
      <c r="H112" s="253" t="s">
        <v>34</v>
      </c>
      <c r="I112" s="253" t="s">
        <v>34</v>
      </c>
      <c r="J112" s="253" t="s">
        <v>608</v>
      </c>
      <c r="K112" s="254" t="s">
        <v>48</v>
      </c>
      <c r="L112" s="255" t="s">
        <v>1339</v>
      </c>
      <c r="M112" s="255" t="s">
        <v>1414</v>
      </c>
      <c r="N112" s="254">
        <v>441449</v>
      </c>
      <c r="O112" s="254" t="s">
        <v>1321</v>
      </c>
      <c r="P112" s="258">
        <v>42888</v>
      </c>
      <c r="Q112" s="259">
        <v>567910066.63999999</v>
      </c>
      <c r="R112" s="259">
        <v>877725911.44996035</v>
      </c>
      <c r="S112" s="254">
        <v>32</v>
      </c>
      <c r="T112" s="256">
        <v>-5.0968458100829617E-3</v>
      </c>
      <c r="U112" s="256">
        <v>-6.5887920596280236E-2</v>
      </c>
      <c r="V112" s="256">
        <v>-0.2310007851061171</v>
      </c>
      <c r="W112" s="256">
        <v>-2.2645800995178273</v>
      </c>
      <c r="X112" s="256">
        <v>-0.12778272380462874</v>
      </c>
      <c r="Y112" s="256">
        <v>-0.96899960769037374</v>
      </c>
      <c r="Z112" s="256">
        <v>0.16887776287223843</v>
      </c>
      <c r="AA112" s="256">
        <v>0.95995595235431108</v>
      </c>
      <c r="AB112" s="256">
        <v>0.2465411218563105</v>
      </c>
      <c r="AC112" s="260">
        <v>-1.3358664000146074</v>
      </c>
      <c r="AD112" s="405">
        <v>26859564000178</v>
      </c>
      <c r="AE112" s="257" t="s">
        <v>2418</v>
      </c>
      <c r="AF112" s="257" t="s">
        <v>2112</v>
      </c>
      <c r="AG112" s="261" t="s">
        <v>59</v>
      </c>
      <c r="AH112" s="261" t="s">
        <v>2110</v>
      </c>
      <c r="AI112" s="261">
        <v>5000</v>
      </c>
      <c r="AJ112" s="261">
        <v>1000</v>
      </c>
      <c r="AK112" s="261">
        <v>5000</v>
      </c>
      <c r="AL112" s="256">
        <v>1.9E-2</v>
      </c>
      <c r="AM112" s="256">
        <v>0.2</v>
      </c>
      <c r="AN112" s="256" t="s">
        <v>2141</v>
      </c>
      <c r="AO112" s="254" t="s">
        <v>1324</v>
      </c>
      <c r="AP112" s="257" t="s">
        <v>716</v>
      </c>
      <c r="AQ112" s="263" t="s">
        <v>659</v>
      </c>
      <c r="AR112" s="256">
        <v>3.1666666666666666E-3</v>
      </c>
      <c r="AS112" s="256">
        <v>3.1666666666666666E-3</v>
      </c>
      <c r="AT112" s="256"/>
      <c r="AW112" s="508"/>
      <c r="AX112" s="509"/>
      <c r="AY112" s="509"/>
      <c r="AZ112" s="509"/>
      <c r="BA112" s="509"/>
      <c r="BB112" s="520"/>
      <c r="BC112" s="509"/>
      <c r="BD112" s="509"/>
      <c r="BE112" s="509"/>
      <c r="BF112" s="509"/>
      <c r="BG112" s="521"/>
      <c r="BH112" s="510"/>
      <c r="BI112" s="511"/>
      <c r="BJ112" s="511"/>
      <c r="BK112" s="511"/>
      <c r="BL112" s="195"/>
      <c r="BM112" s="510"/>
      <c r="BN112" s="510"/>
      <c r="BO112" s="510"/>
      <c r="BP112" s="510"/>
      <c r="BQ112" s="510"/>
      <c r="BR112" s="510"/>
      <c r="BS112" s="510"/>
      <c r="BT112" s="510"/>
      <c r="BU112" s="510"/>
      <c r="BV112" s="512"/>
      <c r="BW112" s="509"/>
    </row>
    <row r="113" spans="2:75" ht="15.75" customHeight="1">
      <c r="B113" s="250" t="s">
        <v>380</v>
      </c>
      <c r="C113" s="251">
        <v>39959025000152</v>
      </c>
      <c r="D113" s="252" t="s">
        <v>11</v>
      </c>
      <c r="E113" s="252" t="s">
        <v>621</v>
      </c>
      <c r="F113" s="252" t="s">
        <v>692</v>
      </c>
      <c r="G113" s="253" t="s">
        <v>865</v>
      </c>
      <c r="H113" s="253" t="s">
        <v>34</v>
      </c>
      <c r="I113" s="253"/>
      <c r="J113" s="253" t="s">
        <v>608</v>
      </c>
      <c r="K113" s="254" t="s">
        <v>48</v>
      </c>
      <c r="L113" s="255" t="s">
        <v>1339</v>
      </c>
      <c r="M113" s="255" t="s">
        <v>34</v>
      </c>
      <c r="N113" s="254">
        <v>593141</v>
      </c>
      <c r="O113" s="254" t="s">
        <v>1321</v>
      </c>
      <c r="P113" s="258">
        <v>44225</v>
      </c>
      <c r="Q113" s="259">
        <v>164381824.97</v>
      </c>
      <c r="R113" s="259">
        <v>43048494.657896832</v>
      </c>
      <c r="S113" s="254">
        <v>32</v>
      </c>
      <c r="T113" s="256">
        <v>8.0294682804347595E-2</v>
      </c>
      <c r="U113" s="256">
        <v>1.0379850366378358</v>
      </c>
      <c r="V113" s="256">
        <v>0.12851917857672612</v>
      </c>
      <c r="W113" s="256">
        <v>1.2599176841651556</v>
      </c>
      <c r="X113" s="256" t="s">
        <v>1417</v>
      </c>
      <c r="Y113" s="256" t="s">
        <v>1417</v>
      </c>
      <c r="Z113" s="256" t="s">
        <v>1417</v>
      </c>
      <c r="AA113" s="256" t="s">
        <v>1417</v>
      </c>
      <c r="AB113" s="256">
        <v>2.9544733057220135E-2</v>
      </c>
      <c r="AC113" s="260">
        <v>0.81970135044121295</v>
      </c>
      <c r="AD113" s="405">
        <v>39723106000159</v>
      </c>
      <c r="AE113" s="257" t="s">
        <v>2398</v>
      </c>
      <c r="AF113" s="257" t="s">
        <v>2118</v>
      </c>
      <c r="AG113" s="261" t="s">
        <v>1433</v>
      </c>
      <c r="AH113" s="261" t="s">
        <v>2113</v>
      </c>
      <c r="AI113" s="261">
        <v>1000</v>
      </c>
      <c r="AJ113" s="261">
        <v>100</v>
      </c>
      <c r="AK113" s="261">
        <v>100</v>
      </c>
      <c r="AL113" s="256">
        <v>8.0000000000000002E-3</v>
      </c>
      <c r="AM113" s="256" t="s">
        <v>34</v>
      </c>
      <c r="AN113" s="256" t="s">
        <v>636</v>
      </c>
      <c r="AO113" s="254" t="s">
        <v>1324</v>
      </c>
      <c r="AP113" s="257" t="s">
        <v>11</v>
      </c>
      <c r="AQ113" s="263" t="s">
        <v>675</v>
      </c>
      <c r="AR113" s="256">
        <v>1.6000000000000001E-3</v>
      </c>
      <c r="AS113" s="256">
        <v>1.6000000000000001E-3</v>
      </c>
      <c r="AT113" s="256"/>
      <c r="AW113" s="508"/>
      <c r="AX113" s="509"/>
      <c r="AY113" s="509"/>
      <c r="AZ113" s="509"/>
      <c r="BA113" s="509"/>
      <c r="BB113" s="520"/>
      <c r="BC113" s="509"/>
      <c r="BD113" s="509"/>
      <c r="BE113" s="509"/>
      <c r="BF113" s="509"/>
      <c r="BG113" s="521"/>
      <c r="BH113" s="510"/>
      <c r="BI113" s="511"/>
      <c r="BJ113" s="511"/>
      <c r="BK113" s="511"/>
      <c r="BL113" s="195"/>
      <c r="BM113" s="510"/>
      <c r="BN113" s="510"/>
      <c r="BO113" s="510"/>
      <c r="BP113" s="510"/>
      <c r="BQ113" s="510"/>
      <c r="BR113" s="510"/>
      <c r="BS113" s="510"/>
      <c r="BT113" s="510"/>
      <c r="BU113" s="510"/>
      <c r="BV113" s="512"/>
      <c r="BW113" s="509"/>
    </row>
    <row r="114" spans="2:75" ht="15.75" customHeight="1">
      <c r="B114" s="250" t="s">
        <v>1234</v>
      </c>
      <c r="C114" s="251">
        <v>26831831000107</v>
      </c>
      <c r="D114" s="252" t="s">
        <v>13</v>
      </c>
      <c r="E114" s="252" t="s">
        <v>616</v>
      </c>
      <c r="F114" s="252" t="s">
        <v>617</v>
      </c>
      <c r="G114" s="253" t="s">
        <v>34</v>
      </c>
      <c r="H114" s="253" t="s">
        <v>1338</v>
      </c>
      <c r="I114" s="253" t="s">
        <v>34</v>
      </c>
      <c r="J114" s="253" t="s">
        <v>608</v>
      </c>
      <c r="K114" s="254" t="s">
        <v>48</v>
      </c>
      <c r="L114" s="255" t="s">
        <v>1339</v>
      </c>
      <c r="M114" s="255" t="s">
        <v>34</v>
      </c>
      <c r="N114" s="254">
        <v>441910</v>
      </c>
      <c r="O114" s="254" t="s">
        <v>1321</v>
      </c>
      <c r="P114" s="258">
        <v>42893</v>
      </c>
      <c r="Q114" s="259">
        <v>63957698.100000001</v>
      </c>
      <c r="R114" s="259">
        <v>75532302.811904743</v>
      </c>
      <c r="S114" s="254">
        <v>32</v>
      </c>
      <c r="T114" s="256">
        <v>6.6183773336040419E-2</v>
      </c>
      <c r="U114" s="256">
        <v>0.85557055575441487</v>
      </c>
      <c r="V114" s="256">
        <v>-3.7029445152347518E-2</v>
      </c>
      <c r="W114" s="256">
        <v>-0.36301237915564333</v>
      </c>
      <c r="X114" s="256">
        <v>-6.5127579573019956E-3</v>
      </c>
      <c r="Y114" s="256">
        <v>-4.9387426701412919E-2</v>
      </c>
      <c r="Z114" s="256">
        <v>0.14429017534658262</v>
      </c>
      <c r="AA114" s="256">
        <v>0.82019213385120615</v>
      </c>
      <c r="AB114" s="256">
        <v>8.2273851874342968E-2</v>
      </c>
      <c r="AC114" s="260">
        <v>-1.5984150454866048</v>
      </c>
      <c r="AD114" s="405">
        <v>39773766000144</v>
      </c>
      <c r="AE114" s="257" t="s">
        <v>2123</v>
      </c>
      <c r="AF114" s="257" t="s">
        <v>2109</v>
      </c>
      <c r="AG114" s="261" t="s">
        <v>1432</v>
      </c>
      <c r="AH114" s="261" t="s">
        <v>2113</v>
      </c>
      <c r="AI114" s="261">
        <v>20000</v>
      </c>
      <c r="AJ114" s="261">
        <v>5000</v>
      </c>
      <c r="AK114" s="261">
        <v>5000</v>
      </c>
      <c r="AL114" s="256">
        <v>0</v>
      </c>
      <c r="AM114" s="256" t="s">
        <v>34</v>
      </c>
      <c r="AN114" s="256" t="s">
        <v>34</v>
      </c>
      <c r="AO114" s="254" t="s">
        <v>1324</v>
      </c>
      <c r="AP114" s="257" t="s">
        <v>13</v>
      </c>
      <c r="AQ114" s="263" t="s">
        <v>674</v>
      </c>
      <c r="AR114" s="256">
        <v>3.8E-3</v>
      </c>
      <c r="AS114" s="256">
        <v>3.8E-3</v>
      </c>
      <c r="AT114" s="256"/>
      <c r="AW114" s="508"/>
      <c r="AX114" s="509"/>
      <c r="AY114" s="509"/>
      <c r="AZ114" s="509"/>
      <c r="BA114" s="509"/>
      <c r="BB114" s="520"/>
      <c r="BC114" s="509"/>
      <c r="BD114" s="509"/>
      <c r="BE114" s="509"/>
      <c r="BF114" s="509"/>
      <c r="BG114" s="521"/>
      <c r="BH114" s="510"/>
      <c r="BI114" s="511"/>
      <c r="BJ114" s="511"/>
      <c r="BK114" s="511"/>
      <c r="BL114" s="195"/>
      <c r="BM114" s="510"/>
      <c r="BN114" s="510"/>
      <c r="BO114" s="510"/>
      <c r="BP114" s="510"/>
      <c r="BQ114" s="510"/>
      <c r="BR114" s="510"/>
      <c r="BS114" s="510"/>
      <c r="BT114" s="510"/>
      <c r="BU114" s="510"/>
      <c r="BV114" s="512"/>
      <c r="BW114" s="509"/>
    </row>
    <row r="115" spans="2:75" ht="15.75" customHeight="1">
      <c r="B115" s="250" t="s">
        <v>42</v>
      </c>
      <c r="C115" s="251">
        <v>35432385000140</v>
      </c>
      <c r="D115" s="252" t="s">
        <v>13</v>
      </c>
      <c r="E115" s="252" t="s">
        <v>616</v>
      </c>
      <c r="F115" s="252" t="s">
        <v>619</v>
      </c>
      <c r="G115" s="253" t="s">
        <v>34</v>
      </c>
      <c r="H115" s="253" t="s">
        <v>865</v>
      </c>
      <c r="I115" s="253" t="s">
        <v>34</v>
      </c>
      <c r="J115" s="253" t="s">
        <v>611</v>
      </c>
      <c r="K115" s="254" t="s">
        <v>48</v>
      </c>
      <c r="L115" s="255" t="s">
        <v>1339</v>
      </c>
      <c r="M115" s="255" t="s">
        <v>1414</v>
      </c>
      <c r="N115" s="254">
        <v>518174</v>
      </c>
      <c r="O115" s="254" t="s">
        <v>1321</v>
      </c>
      <c r="P115" s="258">
        <v>43812</v>
      </c>
      <c r="Q115" s="259">
        <v>275704942.38</v>
      </c>
      <c r="R115" s="259">
        <v>509456336.94119078</v>
      </c>
      <c r="S115" s="254">
        <v>32</v>
      </c>
      <c r="T115" s="256">
        <v>-2.2602085514360826E-2</v>
      </c>
      <c r="U115" s="256">
        <v>-0.29218157095011316</v>
      </c>
      <c r="V115" s="256">
        <v>-1.7183388121116749E-2</v>
      </c>
      <c r="W115" s="256">
        <v>-0.16845466028825876</v>
      </c>
      <c r="X115" s="256">
        <v>6.2139612027473756E-2</v>
      </c>
      <c r="Y115" s="256">
        <v>0.47121596632042495</v>
      </c>
      <c r="Z115" s="256" t="s">
        <v>1417</v>
      </c>
      <c r="AA115" s="256" t="s">
        <v>1417</v>
      </c>
      <c r="AB115" s="256">
        <v>5.505618242627526E-2</v>
      </c>
      <c r="AC115" s="260">
        <v>-2.0519760939576344</v>
      </c>
      <c r="AD115" s="405">
        <v>32785900000188</v>
      </c>
      <c r="AE115" s="257" t="s">
        <v>2222</v>
      </c>
      <c r="AF115" s="257" t="s">
        <v>2118</v>
      </c>
      <c r="AG115" s="261" t="s">
        <v>1433</v>
      </c>
      <c r="AH115" s="261" t="s">
        <v>2110</v>
      </c>
      <c r="AI115" s="261">
        <v>500</v>
      </c>
      <c r="AJ115" s="261">
        <v>100</v>
      </c>
      <c r="AK115" s="261">
        <v>100</v>
      </c>
      <c r="AL115" s="256">
        <v>1.3500000000000002E-2</v>
      </c>
      <c r="AM115" s="256">
        <v>0.15</v>
      </c>
      <c r="AN115" s="256" t="s">
        <v>34</v>
      </c>
      <c r="AO115" s="254" t="s">
        <v>1324</v>
      </c>
      <c r="AP115" s="257" t="s">
        <v>13</v>
      </c>
      <c r="AQ115" s="263" t="s">
        <v>668</v>
      </c>
      <c r="AR115" s="256">
        <v>3.1499999999999996E-3</v>
      </c>
      <c r="AS115" s="256">
        <v>3.1499999999999996E-3</v>
      </c>
      <c r="AT115" s="256"/>
      <c r="AW115" s="508"/>
      <c r="AX115" s="509"/>
      <c r="AY115" s="509"/>
      <c r="AZ115" s="509"/>
      <c r="BA115" s="509"/>
      <c r="BB115" s="520"/>
      <c r="BC115" s="509"/>
      <c r="BD115" s="509"/>
      <c r="BE115" s="509"/>
      <c r="BF115" s="509"/>
      <c r="BG115" s="521"/>
      <c r="BH115" s="510"/>
      <c r="BI115" s="511"/>
      <c r="BJ115" s="511"/>
      <c r="BK115" s="511"/>
      <c r="BL115" s="195"/>
      <c r="BM115" s="510"/>
      <c r="BN115" s="510"/>
      <c r="BO115" s="510"/>
      <c r="BP115" s="510"/>
      <c r="BQ115" s="510"/>
      <c r="BR115" s="510"/>
      <c r="BS115" s="510"/>
      <c r="BT115" s="510"/>
      <c r="BU115" s="510"/>
      <c r="BV115" s="512"/>
      <c r="BW115" s="509"/>
    </row>
    <row r="116" spans="2:75" ht="15.75" customHeight="1">
      <c r="B116" s="250" t="s">
        <v>649</v>
      </c>
      <c r="C116" s="251">
        <v>17162002000180</v>
      </c>
      <c r="D116" s="252" t="s">
        <v>13</v>
      </c>
      <c r="E116" s="252" t="s">
        <v>615</v>
      </c>
      <c r="F116" s="252" t="s">
        <v>619</v>
      </c>
      <c r="G116" s="253" t="s">
        <v>34</v>
      </c>
      <c r="H116" s="253" t="s">
        <v>1337</v>
      </c>
      <c r="I116" s="253" t="s">
        <v>34</v>
      </c>
      <c r="J116" s="253" t="s">
        <v>611</v>
      </c>
      <c r="K116" s="254" t="s">
        <v>48</v>
      </c>
      <c r="L116" s="255" t="s">
        <v>1339</v>
      </c>
      <c r="M116" s="255" t="s">
        <v>34</v>
      </c>
      <c r="N116" s="254">
        <v>326860</v>
      </c>
      <c r="O116" s="254" t="s">
        <v>1321</v>
      </c>
      <c r="P116" s="258">
        <v>41284</v>
      </c>
      <c r="Q116" s="259">
        <v>1571070429.99</v>
      </c>
      <c r="R116" s="259">
        <v>1713894191.3927774</v>
      </c>
      <c r="S116" s="254">
        <v>32</v>
      </c>
      <c r="T116" s="256">
        <v>7.948046020993571E-2</v>
      </c>
      <c r="U116" s="256">
        <v>1.0274594222387934</v>
      </c>
      <c r="V116" s="256">
        <v>8.657037473191842E-2</v>
      </c>
      <c r="W116" s="256">
        <v>0.84867914079012341</v>
      </c>
      <c r="X116" s="256">
        <v>0.1113184730634984</v>
      </c>
      <c r="Y116" s="256">
        <v>0.84414820341553909</v>
      </c>
      <c r="Z116" s="256">
        <v>0.23752689770621971</v>
      </c>
      <c r="AA116" s="256">
        <v>1.3501798899943993</v>
      </c>
      <c r="AB116" s="256">
        <v>3.5259064666037732E-2</v>
      </c>
      <c r="AC116" s="260">
        <v>-0.38267250879237985</v>
      </c>
      <c r="AD116" s="405">
        <v>17248340000139</v>
      </c>
      <c r="AE116" s="257" t="s">
        <v>2344</v>
      </c>
      <c r="AF116" s="257" t="s">
        <v>2118</v>
      </c>
      <c r="AG116" s="261" t="s">
        <v>1433</v>
      </c>
      <c r="AH116" s="261" t="s">
        <v>2113</v>
      </c>
      <c r="AI116" s="261">
        <v>10000</v>
      </c>
      <c r="AJ116" s="261">
        <v>1000</v>
      </c>
      <c r="AK116" s="261">
        <v>0</v>
      </c>
      <c r="AL116" s="256">
        <v>0.02</v>
      </c>
      <c r="AM116" s="256">
        <v>0.2</v>
      </c>
      <c r="AN116" s="256" t="s">
        <v>64</v>
      </c>
      <c r="AO116" s="254" t="s">
        <v>1324</v>
      </c>
      <c r="AP116" s="257" t="s">
        <v>13</v>
      </c>
      <c r="AQ116" s="263" t="s">
        <v>668</v>
      </c>
      <c r="AR116" s="256">
        <v>5.0000000000000001E-3</v>
      </c>
      <c r="AS116" s="256">
        <v>5.0000000000000001E-3</v>
      </c>
      <c r="AT116" s="256"/>
      <c r="AW116" s="508"/>
      <c r="AX116" s="509"/>
      <c r="AY116" s="509"/>
      <c r="AZ116" s="509"/>
      <c r="BA116" s="509"/>
      <c r="BB116" s="520"/>
      <c r="BC116" s="509"/>
      <c r="BD116" s="509"/>
      <c r="BE116" s="509"/>
      <c r="BF116" s="509"/>
      <c r="BG116" s="521"/>
      <c r="BH116" s="510"/>
      <c r="BI116" s="511"/>
      <c r="BJ116" s="511"/>
      <c r="BK116" s="511"/>
      <c r="BL116" s="195"/>
      <c r="BM116" s="510"/>
      <c r="BN116" s="510"/>
      <c r="BO116" s="510"/>
      <c r="BP116" s="510"/>
      <c r="BQ116" s="510"/>
      <c r="BR116" s="510"/>
      <c r="BS116" s="510"/>
      <c r="BT116" s="510"/>
      <c r="BU116" s="510"/>
      <c r="BV116" s="512"/>
      <c r="BW116" s="509"/>
    </row>
    <row r="117" spans="2:75" ht="15.75" customHeight="1">
      <c r="B117" s="250" t="s">
        <v>183</v>
      </c>
      <c r="C117" s="251">
        <v>40920066000114</v>
      </c>
      <c r="D117" s="252" t="s">
        <v>14</v>
      </c>
      <c r="E117" s="252" t="s">
        <v>614</v>
      </c>
      <c r="F117" s="252" t="s">
        <v>610</v>
      </c>
      <c r="G117" s="253"/>
      <c r="H117" s="253" t="s">
        <v>865</v>
      </c>
      <c r="I117" s="253" t="s">
        <v>34</v>
      </c>
      <c r="J117" s="253" t="s">
        <v>608</v>
      </c>
      <c r="K117" s="254" t="s">
        <v>48</v>
      </c>
      <c r="L117" s="255" t="s">
        <v>1339</v>
      </c>
      <c r="M117" s="255" t="s">
        <v>34</v>
      </c>
      <c r="N117" s="254">
        <v>588849</v>
      </c>
      <c r="O117" s="254" t="s">
        <v>1321</v>
      </c>
      <c r="P117" s="258">
        <v>44277</v>
      </c>
      <c r="Q117" s="259">
        <v>110252563.78</v>
      </c>
      <c r="R117" s="259">
        <v>55398032.074920669</v>
      </c>
      <c r="S117" s="254">
        <v>32</v>
      </c>
      <c r="T117" s="256">
        <v>0.1008306491902784</v>
      </c>
      <c r="U117" s="256">
        <v>1.3034574823467759</v>
      </c>
      <c r="V117" s="256">
        <v>0.12992078833859289</v>
      </c>
      <c r="W117" s="256">
        <v>1.2736581464434777</v>
      </c>
      <c r="X117" s="256" t="s">
        <v>1417</v>
      </c>
      <c r="Y117" s="256" t="s">
        <v>1417</v>
      </c>
      <c r="Z117" s="256" t="s">
        <v>1417</v>
      </c>
      <c r="AA117" s="256" t="s">
        <v>1417</v>
      </c>
      <c r="AB117" s="256">
        <v>0.10230597832481304</v>
      </c>
      <c r="AC117" s="260">
        <v>0.29551165184830996</v>
      </c>
      <c r="AD117" s="405">
        <v>0</v>
      </c>
      <c r="AE117" s="257" t="s">
        <v>2223</v>
      </c>
      <c r="AF117" s="257" t="s">
        <v>2109</v>
      </c>
      <c r="AG117" s="261" t="s">
        <v>1432</v>
      </c>
      <c r="AH117" s="261" t="s">
        <v>2113</v>
      </c>
      <c r="AI117" s="261">
        <v>500</v>
      </c>
      <c r="AJ117" s="261">
        <v>500</v>
      </c>
      <c r="AK117" s="261">
        <v>500</v>
      </c>
      <c r="AL117" s="256">
        <v>1.8000000000000002E-2</v>
      </c>
      <c r="AM117" s="256">
        <v>0.2</v>
      </c>
      <c r="AN117" s="256" t="s">
        <v>34</v>
      </c>
      <c r="AO117" s="254" t="s">
        <v>1324</v>
      </c>
      <c r="AP117" s="257" t="s">
        <v>13</v>
      </c>
      <c r="AQ117" s="263" t="s">
        <v>674</v>
      </c>
      <c r="AR117" s="256">
        <v>4.0000000000000001E-3</v>
      </c>
      <c r="AS117" s="256">
        <v>4.0000000000000001E-3</v>
      </c>
      <c r="AT117" s="256"/>
      <c r="AW117" s="508"/>
      <c r="AX117" s="509"/>
      <c r="AY117" s="509"/>
      <c r="AZ117" s="509"/>
      <c r="BA117" s="509"/>
      <c r="BB117" s="520"/>
      <c r="BC117" s="509"/>
      <c r="BD117" s="509"/>
      <c r="BE117" s="509"/>
      <c r="BF117" s="509"/>
      <c r="BG117" s="521"/>
      <c r="BH117" s="510"/>
      <c r="BI117" s="511"/>
      <c r="BJ117" s="511"/>
      <c r="BK117" s="511"/>
      <c r="BL117" s="195"/>
      <c r="BM117" s="510"/>
      <c r="BN117" s="510"/>
      <c r="BO117" s="510"/>
      <c r="BP117" s="510"/>
      <c r="BQ117" s="510"/>
      <c r="BR117" s="510"/>
      <c r="BS117" s="510"/>
      <c r="BT117" s="510"/>
      <c r="BU117" s="510"/>
      <c r="BV117" s="512"/>
      <c r="BW117" s="509"/>
    </row>
    <row r="118" spans="2:75" ht="15.75" customHeight="1">
      <c r="B118" s="250" t="s">
        <v>25</v>
      </c>
      <c r="C118" s="251">
        <v>38954217000103</v>
      </c>
      <c r="D118" s="252" t="s">
        <v>14</v>
      </c>
      <c r="E118" s="252" t="s">
        <v>614</v>
      </c>
      <c r="F118" s="252"/>
      <c r="G118" s="253"/>
      <c r="H118" s="253" t="s">
        <v>1338</v>
      </c>
      <c r="I118" s="253" t="s">
        <v>34</v>
      </c>
      <c r="J118" s="253" t="s">
        <v>608</v>
      </c>
      <c r="K118" s="254" t="s">
        <v>48</v>
      </c>
      <c r="L118" s="255" t="s">
        <v>1339</v>
      </c>
      <c r="M118" s="255" t="s">
        <v>34</v>
      </c>
      <c r="N118" s="254">
        <v>558958</v>
      </c>
      <c r="O118" s="254" t="s">
        <v>1321</v>
      </c>
      <c r="P118" s="258">
        <v>44134</v>
      </c>
      <c r="Q118" s="259">
        <v>113915525.48999999</v>
      </c>
      <c r="R118" s="259">
        <v>131745544.59190477</v>
      </c>
      <c r="S118" s="254">
        <v>32</v>
      </c>
      <c r="T118" s="256">
        <v>9.9095753851614621E-2</v>
      </c>
      <c r="U118" s="256">
        <v>1.2810301516846239</v>
      </c>
      <c r="V118" s="256">
        <v>-7.4712548951456292E-2</v>
      </c>
      <c r="W118" s="256">
        <v>-0.73243279871103373</v>
      </c>
      <c r="X118" s="256" t="s">
        <v>1417</v>
      </c>
      <c r="Y118" s="256" t="s">
        <v>1417</v>
      </c>
      <c r="Z118" s="256" t="s">
        <v>1417</v>
      </c>
      <c r="AA118" s="256" t="s">
        <v>1417</v>
      </c>
      <c r="AB118" s="256">
        <v>0.20534153784388451</v>
      </c>
      <c r="AC118" s="260">
        <v>-0.74894530881111809</v>
      </c>
      <c r="AD118" s="405">
        <v>38948845000186</v>
      </c>
      <c r="AE118" s="257" t="s">
        <v>2269</v>
      </c>
      <c r="AF118" s="257" t="s">
        <v>2109</v>
      </c>
      <c r="AG118" s="261" t="s">
        <v>1432</v>
      </c>
      <c r="AH118" s="261" t="s">
        <v>2113</v>
      </c>
      <c r="AI118" s="261">
        <v>1000</v>
      </c>
      <c r="AJ118" s="261">
        <v>0</v>
      </c>
      <c r="AK118" s="261">
        <v>1000</v>
      </c>
      <c r="AL118" s="256">
        <v>1.8500000000000003E-2</v>
      </c>
      <c r="AM118" s="256">
        <v>0.2</v>
      </c>
      <c r="AN118" s="256" t="s">
        <v>34</v>
      </c>
      <c r="AO118" s="254" t="s">
        <v>1324</v>
      </c>
      <c r="AP118" s="257" t="s">
        <v>13</v>
      </c>
      <c r="AQ118" s="263" t="s">
        <v>668</v>
      </c>
      <c r="AR118" s="256">
        <v>4.933333333333333E-3</v>
      </c>
      <c r="AS118" s="256">
        <v>4.933333333333333E-3</v>
      </c>
      <c r="AT118" s="256"/>
      <c r="AW118" s="508"/>
      <c r="AX118" s="509"/>
      <c r="AY118" s="509"/>
      <c r="AZ118" s="509"/>
      <c r="BA118" s="509"/>
      <c r="BB118" s="520"/>
      <c r="BC118" s="509"/>
      <c r="BD118" s="509"/>
      <c r="BE118" s="509"/>
      <c r="BF118" s="509"/>
      <c r="BG118" s="521"/>
      <c r="BH118" s="510"/>
      <c r="BI118" s="511"/>
      <c r="BJ118" s="511"/>
      <c r="BK118" s="511"/>
      <c r="BL118" s="195"/>
      <c r="BM118" s="510"/>
      <c r="BN118" s="510"/>
      <c r="BO118" s="510"/>
      <c r="BP118" s="510"/>
      <c r="BQ118" s="510"/>
      <c r="BR118" s="510"/>
      <c r="BS118" s="510"/>
      <c r="BT118" s="510"/>
      <c r="BU118" s="510"/>
      <c r="BV118" s="512"/>
      <c r="BW118" s="509"/>
    </row>
    <row r="119" spans="2:75" ht="15.75" customHeight="1">
      <c r="B119" s="250" t="s">
        <v>991</v>
      </c>
      <c r="C119" s="251">
        <v>29544764000120</v>
      </c>
      <c r="D119" s="252" t="s">
        <v>14</v>
      </c>
      <c r="E119" s="252" t="s">
        <v>607</v>
      </c>
      <c r="F119" s="252"/>
      <c r="G119" s="253"/>
      <c r="H119" s="253" t="s">
        <v>34</v>
      </c>
      <c r="I119" s="253" t="s">
        <v>34</v>
      </c>
      <c r="J119" s="253" t="s">
        <v>611</v>
      </c>
      <c r="K119" s="254" t="s">
        <v>48</v>
      </c>
      <c r="L119" s="255" t="s">
        <v>1339</v>
      </c>
      <c r="M119" s="255" t="s">
        <v>1414</v>
      </c>
      <c r="N119" s="254">
        <v>5193</v>
      </c>
      <c r="O119" s="254" t="s">
        <v>1321</v>
      </c>
      <c r="P119" s="258">
        <v>33057</v>
      </c>
      <c r="Q119" s="259">
        <v>414737901.98000002</v>
      </c>
      <c r="R119" s="259">
        <v>520221268.86321473</v>
      </c>
      <c r="S119" s="254">
        <v>32</v>
      </c>
      <c r="T119" s="256">
        <v>-0.23184698250786928</v>
      </c>
      <c r="U119" s="256">
        <v>-2.9971311950904429</v>
      </c>
      <c r="V119" s="256">
        <v>-0.25899622175713122</v>
      </c>
      <c r="W119" s="256">
        <v>-2.5390289880273396</v>
      </c>
      <c r="X119" s="256">
        <v>-0.11999409528352445</v>
      </c>
      <c r="Y119" s="256">
        <v>-0.90993702272829979</v>
      </c>
      <c r="Z119" s="256">
        <v>0.18404449020464853</v>
      </c>
      <c r="AA119" s="256">
        <v>1.0461685473867106</v>
      </c>
      <c r="AB119" s="256">
        <v>0.23640248373527464</v>
      </c>
      <c r="AC119" s="260">
        <v>-1.5600155008449339</v>
      </c>
      <c r="AD119" s="405">
        <v>11435298000189</v>
      </c>
      <c r="AE119" s="257" t="s">
        <v>2282</v>
      </c>
      <c r="AF119" s="257" t="s">
        <v>2118</v>
      </c>
      <c r="AG119" s="261" t="s">
        <v>1433</v>
      </c>
      <c r="AH119" s="261" t="s">
        <v>2110</v>
      </c>
      <c r="AI119" s="261">
        <v>20000</v>
      </c>
      <c r="AJ119" s="261">
        <v>5000</v>
      </c>
      <c r="AK119" s="261">
        <v>0</v>
      </c>
      <c r="AL119" s="256">
        <v>0.02</v>
      </c>
      <c r="AM119" s="256">
        <v>0.2</v>
      </c>
      <c r="AN119" s="256" t="s">
        <v>2141</v>
      </c>
      <c r="AO119" s="254" t="s">
        <v>1324</v>
      </c>
      <c r="AP119" s="257" t="s">
        <v>716</v>
      </c>
      <c r="AQ119" s="263" t="s">
        <v>659</v>
      </c>
      <c r="AR119" s="256">
        <v>3.3339999999999997E-3</v>
      </c>
      <c r="AS119" s="256">
        <v>3.3339999999999997E-3</v>
      </c>
      <c r="AT119" s="256"/>
      <c r="AW119" s="508"/>
      <c r="AX119" s="509"/>
      <c r="AY119" s="509"/>
      <c r="AZ119" s="509"/>
      <c r="BA119" s="509"/>
      <c r="BB119" s="520"/>
      <c r="BC119" s="509"/>
      <c r="BD119" s="509"/>
      <c r="BE119" s="509"/>
      <c r="BF119" s="509"/>
      <c r="BG119" s="521"/>
      <c r="BH119" s="510"/>
      <c r="BI119" s="511"/>
      <c r="BJ119" s="511"/>
      <c r="BK119" s="511"/>
      <c r="BL119" s="195"/>
      <c r="BM119" s="510"/>
      <c r="BN119" s="510"/>
      <c r="BO119" s="510"/>
      <c r="BP119" s="510"/>
      <c r="BQ119" s="510"/>
      <c r="BR119" s="510"/>
      <c r="BS119" s="510"/>
      <c r="BT119" s="510"/>
      <c r="BU119" s="510"/>
      <c r="BV119" s="512"/>
      <c r="BW119" s="509"/>
    </row>
    <row r="120" spans="2:75" ht="15.75" customHeight="1">
      <c r="B120" s="250" t="s">
        <v>247</v>
      </c>
      <c r="C120" s="251">
        <v>11228311000129</v>
      </c>
      <c r="D120" s="252" t="s">
        <v>14</v>
      </c>
      <c r="E120" s="252" t="s">
        <v>607</v>
      </c>
      <c r="F120" s="252"/>
      <c r="G120" s="253"/>
      <c r="H120" s="253" t="s">
        <v>34</v>
      </c>
      <c r="I120" s="253" t="s">
        <v>34</v>
      </c>
      <c r="J120" s="253" t="s">
        <v>608</v>
      </c>
      <c r="K120" s="254" t="s">
        <v>48</v>
      </c>
      <c r="L120" s="255" t="s">
        <v>1339</v>
      </c>
      <c r="M120" s="255" t="s">
        <v>34</v>
      </c>
      <c r="N120" s="254">
        <v>241474</v>
      </c>
      <c r="O120" s="254" t="s">
        <v>1321</v>
      </c>
      <c r="P120" s="258">
        <v>40147</v>
      </c>
      <c r="Q120" s="259">
        <v>74540441.890000001</v>
      </c>
      <c r="R120" s="259">
        <v>93104303.508055508</v>
      </c>
      <c r="S120" s="254">
        <v>32</v>
      </c>
      <c r="T120" s="256">
        <v>-3.8411846663696125E-2</v>
      </c>
      <c r="U120" s="256">
        <v>-0.49655743909837974</v>
      </c>
      <c r="V120" s="256">
        <v>-0.19306201039753179</v>
      </c>
      <c r="W120" s="256">
        <v>-1.8926532501537232</v>
      </c>
      <c r="X120" s="256">
        <v>-7.5341292227378287E-2</v>
      </c>
      <c r="Y120" s="256">
        <v>-0.57132670550078568</v>
      </c>
      <c r="Z120" s="256">
        <v>0.10043324414943022</v>
      </c>
      <c r="AA120" s="256">
        <v>0.57089511902427192</v>
      </c>
      <c r="AB120" s="256">
        <v>0.24839376536553978</v>
      </c>
      <c r="AC120" s="260">
        <v>-1.1303733076942106</v>
      </c>
      <c r="AD120" s="405">
        <v>11228490000102</v>
      </c>
      <c r="AE120" s="257" t="s">
        <v>2288</v>
      </c>
      <c r="AF120" s="257" t="s">
        <v>2118</v>
      </c>
      <c r="AG120" s="261" t="s">
        <v>1433</v>
      </c>
      <c r="AH120" s="261" t="s">
        <v>2113</v>
      </c>
      <c r="AI120" s="261">
        <v>100000</v>
      </c>
      <c r="AJ120" s="261">
        <v>50000</v>
      </c>
      <c r="AK120" s="261">
        <v>100000</v>
      </c>
      <c r="AL120" s="256">
        <v>2.6000000000000002E-2</v>
      </c>
      <c r="AM120" s="256" t="s">
        <v>34</v>
      </c>
      <c r="AN120" s="256" t="s">
        <v>2127</v>
      </c>
      <c r="AO120" s="254" t="s">
        <v>1324</v>
      </c>
      <c r="AP120" s="257" t="s">
        <v>716</v>
      </c>
      <c r="AQ120" s="263" t="s">
        <v>659</v>
      </c>
      <c r="AR120" s="256">
        <v>5.1999999999999998E-3</v>
      </c>
      <c r="AS120" s="256">
        <v>5.1999999999999998E-3</v>
      </c>
      <c r="AT120" s="256"/>
      <c r="AW120" s="508"/>
      <c r="AX120" s="509"/>
      <c r="AY120" s="509"/>
      <c r="AZ120" s="509"/>
      <c r="BA120" s="509"/>
      <c r="BB120" s="520"/>
      <c r="BC120" s="509"/>
      <c r="BD120" s="509"/>
      <c r="BE120" s="509"/>
      <c r="BF120" s="509"/>
      <c r="BG120" s="521"/>
      <c r="BH120" s="510"/>
      <c r="BI120" s="511"/>
      <c r="BJ120" s="511"/>
      <c r="BK120" s="511"/>
      <c r="BL120" s="195"/>
      <c r="BM120" s="510"/>
      <c r="BN120" s="510"/>
      <c r="BO120" s="510"/>
      <c r="BP120" s="510"/>
      <c r="BQ120" s="510"/>
      <c r="BR120" s="510"/>
      <c r="BS120" s="510"/>
      <c r="BT120" s="510"/>
      <c r="BU120" s="510"/>
      <c r="BV120" s="512"/>
      <c r="BW120" s="509"/>
    </row>
    <row r="121" spans="2:75" ht="15.75" customHeight="1">
      <c r="B121" s="250" t="s">
        <v>294</v>
      </c>
      <c r="C121" s="251">
        <v>30995144000196</v>
      </c>
      <c r="D121" s="252" t="s">
        <v>14</v>
      </c>
      <c r="E121" s="252" t="s">
        <v>614</v>
      </c>
      <c r="F121" s="252"/>
      <c r="G121" s="253"/>
      <c r="H121" s="253" t="s">
        <v>865</v>
      </c>
      <c r="I121" s="253" t="s">
        <v>34</v>
      </c>
      <c r="J121" s="253" t="s">
        <v>608</v>
      </c>
      <c r="K121" s="254" t="s">
        <v>48</v>
      </c>
      <c r="L121" s="255" t="s">
        <v>1339</v>
      </c>
      <c r="M121" s="255" t="s">
        <v>34</v>
      </c>
      <c r="N121" s="254">
        <v>489719</v>
      </c>
      <c r="O121" s="254" t="s">
        <v>1321</v>
      </c>
      <c r="P121" s="258">
        <v>43510</v>
      </c>
      <c r="Q121" s="259">
        <v>108989077.92</v>
      </c>
      <c r="R121" s="259">
        <v>99473231.504523709</v>
      </c>
      <c r="S121" s="254">
        <v>32</v>
      </c>
      <c r="T121" s="256">
        <v>0.17462574269071296</v>
      </c>
      <c r="U121" s="256">
        <v>2.2574210594541961</v>
      </c>
      <c r="V121" s="256">
        <v>0.20878985687777551</v>
      </c>
      <c r="W121" s="256">
        <v>2.0468387354154713</v>
      </c>
      <c r="X121" s="256">
        <v>0.256426538722069</v>
      </c>
      <c r="Y121" s="256">
        <v>1.9445290257154821</v>
      </c>
      <c r="Z121" s="256">
        <v>0.56225577791541759</v>
      </c>
      <c r="AA121" s="256">
        <v>3.1960441183949144</v>
      </c>
      <c r="AB121" s="256">
        <v>0.14846749223179398</v>
      </c>
      <c r="AC121" s="260">
        <v>0.69734393400867145</v>
      </c>
      <c r="AD121" s="405">
        <v>30995158000100</v>
      </c>
      <c r="AE121" s="257" t="s">
        <v>2326</v>
      </c>
      <c r="AF121" s="257" t="s">
        <v>2112</v>
      </c>
      <c r="AG121" s="261" t="s">
        <v>59</v>
      </c>
      <c r="AH121" s="261" t="s">
        <v>2113</v>
      </c>
      <c r="AI121" s="261">
        <v>1000</v>
      </c>
      <c r="AJ121" s="261">
        <v>500</v>
      </c>
      <c r="AK121" s="261">
        <v>1000</v>
      </c>
      <c r="AL121" s="256">
        <v>0.02</v>
      </c>
      <c r="AM121" s="256">
        <v>0.2</v>
      </c>
      <c r="AN121" s="256" t="s">
        <v>64</v>
      </c>
      <c r="AO121" s="254" t="s">
        <v>1324</v>
      </c>
      <c r="AP121" s="257" t="s">
        <v>13</v>
      </c>
      <c r="AQ121" s="263" t="s">
        <v>668</v>
      </c>
      <c r="AR121" s="256">
        <v>5.3333333333333332E-3</v>
      </c>
      <c r="AS121" s="256">
        <v>5.3333333333333332E-3</v>
      </c>
      <c r="AT121" s="256"/>
      <c r="AW121" s="508"/>
      <c r="AX121" s="509"/>
      <c r="AY121" s="509"/>
      <c r="AZ121" s="509"/>
      <c r="BA121" s="509"/>
      <c r="BB121" s="520"/>
      <c r="BC121" s="509"/>
      <c r="BD121" s="509"/>
      <c r="BE121" s="509"/>
      <c r="BF121" s="509"/>
      <c r="BG121" s="521"/>
      <c r="BH121" s="510"/>
      <c r="BI121" s="511"/>
      <c r="BJ121" s="511"/>
      <c r="BK121" s="511"/>
      <c r="BL121" s="195"/>
      <c r="BM121" s="510"/>
      <c r="BN121" s="510"/>
      <c r="BO121" s="510"/>
      <c r="BP121" s="510"/>
      <c r="BQ121" s="510"/>
      <c r="BR121" s="510"/>
      <c r="BS121" s="510"/>
      <c r="BT121" s="510"/>
      <c r="BU121" s="510"/>
      <c r="BV121" s="512"/>
      <c r="BW121" s="509"/>
    </row>
    <row r="122" spans="2:75" ht="15.75" customHeight="1">
      <c r="B122" s="250" t="s">
        <v>1307</v>
      </c>
      <c r="C122" s="251">
        <v>15334585000153</v>
      </c>
      <c r="D122" s="252" t="s">
        <v>14</v>
      </c>
      <c r="E122" s="252" t="s">
        <v>607</v>
      </c>
      <c r="F122" s="252"/>
      <c r="G122" s="253"/>
      <c r="H122" s="253" t="s">
        <v>34</v>
      </c>
      <c r="I122" s="253" t="s">
        <v>34</v>
      </c>
      <c r="J122" s="253" t="s">
        <v>608</v>
      </c>
      <c r="K122" s="254" t="s">
        <v>48</v>
      </c>
      <c r="L122" s="255" t="s">
        <v>1339</v>
      </c>
      <c r="M122" s="255" t="s">
        <v>1414</v>
      </c>
      <c r="N122" s="254">
        <v>320021</v>
      </c>
      <c r="O122" s="254" t="s">
        <v>1321</v>
      </c>
      <c r="P122" s="258">
        <v>41096</v>
      </c>
      <c r="Q122" s="259">
        <v>54433241.340000004</v>
      </c>
      <c r="R122" s="259">
        <v>59053558.866269886</v>
      </c>
      <c r="S122" s="254">
        <v>32</v>
      </c>
      <c r="T122" s="256">
        <v>6.2562340585780696E-2</v>
      </c>
      <c r="U122" s="256">
        <v>0.80875558775560907</v>
      </c>
      <c r="V122" s="256">
        <v>-5.1579813106600647E-2</v>
      </c>
      <c r="W122" s="256">
        <v>-0.50565463768617935</v>
      </c>
      <c r="X122" s="256">
        <v>0.13137423262823833</v>
      </c>
      <c r="Y122" s="256">
        <v>0.99623467153527312</v>
      </c>
      <c r="Z122" s="256">
        <v>0.14444430236263184</v>
      </c>
      <c r="AA122" s="256">
        <v>0.82106824177659954</v>
      </c>
      <c r="AB122" s="256">
        <v>0.21827220199051484</v>
      </c>
      <c r="AC122" s="260">
        <v>-0.57868074454294172</v>
      </c>
      <c r="AD122" s="405">
        <v>15350712000108</v>
      </c>
      <c r="AE122" s="257" t="s">
        <v>2399</v>
      </c>
      <c r="AF122" s="257" t="s">
        <v>2112</v>
      </c>
      <c r="AG122" s="261" t="s">
        <v>59</v>
      </c>
      <c r="AH122" s="261" t="s">
        <v>2113</v>
      </c>
      <c r="AI122" s="261">
        <v>5000</v>
      </c>
      <c r="AJ122" s="261">
        <v>5000</v>
      </c>
      <c r="AK122" s="261">
        <v>5000</v>
      </c>
      <c r="AL122" s="256">
        <v>6.9999999999999993E-3</v>
      </c>
      <c r="AM122" s="256">
        <v>0.2</v>
      </c>
      <c r="AN122" s="256" t="s">
        <v>2160</v>
      </c>
      <c r="AO122" s="254" t="s">
        <v>1324</v>
      </c>
      <c r="AP122" s="257" t="s">
        <v>716</v>
      </c>
      <c r="AQ122" s="263" t="s">
        <v>659</v>
      </c>
      <c r="AR122" s="256">
        <v>3.16666E-3</v>
      </c>
      <c r="AS122" s="256">
        <v>3.16666E-3</v>
      </c>
      <c r="AT122" s="256"/>
      <c r="AW122" s="508"/>
      <c r="AX122" s="509"/>
      <c r="AY122" s="509"/>
      <c r="AZ122" s="509"/>
      <c r="BA122" s="509"/>
      <c r="BB122" s="520"/>
      <c r="BC122" s="509"/>
      <c r="BD122" s="509"/>
      <c r="BE122" s="509"/>
      <c r="BF122" s="509"/>
      <c r="BG122" s="521"/>
      <c r="BH122" s="510"/>
      <c r="BI122" s="511"/>
      <c r="BJ122" s="511"/>
      <c r="BK122" s="511"/>
      <c r="BL122" s="195"/>
      <c r="BM122" s="510"/>
      <c r="BN122" s="510"/>
      <c r="BO122" s="510"/>
      <c r="BP122" s="510"/>
      <c r="BQ122" s="510"/>
      <c r="BR122" s="510"/>
      <c r="BS122" s="510"/>
      <c r="BT122" s="510"/>
      <c r="BU122" s="510"/>
      <c r="BV122" s="512"/>
      <c r="BW122" s="509"/>
    </row>
    <row r="123" spans="2:75" ht="15.75" customHeight="1">
      <c r="B123" s="250" t="s">
        <v>411</v>
      </c>
      <c r="C123" s="251">
        <v>26210505000174</v>
      </c>
      <c r="D123" s="252" t="s">
        <v>14</v>
      </c>
      <c r="E123" s="252" t="s">
        <v>614</v>
      </c>
      <c r="F123" s="252"/>
      <c r="G123" s="253"/>
      <c r="H123" s="253" t="s">
        <v>1338</v>
      </c>
      <c r="I123" s="253" t="s">
        <v>34</v>
      </c>
      <c r="J123" s="253" t="s">
        <v>608</v>
      </c>
      <c r="K123" s="254" t="s">
        <v>48</v>
      </c>
      <c r="L123" s="255" t="s">
        <v>1339</v>
      </c>
      <c r="M123" s="255" t="s">
        <v>34</v>
      </c>
      <c r="N123" s="254">
        <v>444571</v>
      </c>
      <c r="O123" s="254" t="s">
        <v>1324</v>
      </c>
      <c r="P123" s="258">
        <v>42893</v>
      </c>
      <c r="Q123" s="259">
        <v>276216872.76999998</v>
      </c>
      <c r="R123" s="259">
        <v>333557004.99626994</v>
      </c>
      <c r="S123" s="254">
        <v>32</v>
      </c>
      <c r="T123" s="256">
        <v>0.18531720679426966</v>
      </c>
      <c r="U123" s="256">
        <v>2.3956317026954634</v>
      </c>
      <c r="V123" s="256">
        <v>-9.9083685548634115E-2</v>
      </c>
      <c r="W123" s="256">
        <v>-0.97135142799294794</v>
      </c>
      <c r="X123" s="256">
        <v>9.9902562120650629E-3</v>
      </c>
      <c r="Y123" s="256">
        <v>7.5757927691526492E-2</v>
      </c>
      <c r="Z123" s="256">
        <v>0.42672187683518614</v>
      </c>
      <c r="AA123" s="256">
        <v>2.425625486154988</v>
      </c>
      <c r="AB123" s="256">
        <v>0.21584835383249326</v>
      </c>
      <c r="AC123" s="260">
        <v>-0.82552734194847177</v>
      </c>
      <c r="AD123" s="405">
        <v>26859401000195</v>
      </c>
      <c r="AE123" s="257" t="s">
        <v>2418</v>
      </c>
      <c r="AF123" s="257" t="s">
        <v>2112</v>
      </c>
      <c r="AG123" s="261" t="s">
        <v>59</v>
      </c>
      <c r="AH123" s="261" t="s">
        <v>2110</v>
      </c>
      <c r="AI123" s="261">
        <v>5000</v>
      </c>
      <c r="AJ123" s="261">
        <v>1000</v>
      </c>
      <c r="AK123" s="261">
        <v>5000</v>
      </c>
      <c r="AL123" s="256">
        <v>1.9E-2</v>
      </c>
      <c r="AM123" s="256">
        <v>0.2</v>
      </c>
      <c r="AN123" s="256" t="s">
        <v>2141</v>
      </c>
      <c r="AO123" s="254" t="s">
        <v>1324</v>
      </c>
      <c r="AP123" s="257" t="s">
        <v>13</v>
      </c>
      <c r="AQ123" s="263" t="s">
        <v>668</v>
      </c>
      <c r="AR123" s="256">
        <v>4.7499999999999999E-3</v>
      </c>
      <c r="AS123" s="256">
        <v>4.7499999999999999E-3</v>
      </c>
      <c r="AT123" s="256"/>
      <c r="AW123" s="508"/>
      <c r="AX123" s="509"/>
      <c r="AY123" s="509"/>
      <c r="AZ123" s="509"/>
      <c r="BA123" s="509"/>
      <c r="BB123" s="520"/>
      <c r="BC123" s="509"/>
      <c r="BD123" s="509"/>
      <c r="BE123" s="509"/>
      <c r="BF123" s="509"/>
      <c r="BG123" s="521"/>
      <c r="BH123" s="510"/>
      <c r="BI123" s="511"/>
      <c r="BJ123" s="511"/>
      <c r="BK123" s="511"/>
      <c r="BL123" s="195"/>
      <c r="BM123" s="510"/>
      <c r="BN123" s="510"/>
      <c r="BO123" s="510"/>
      <c r="BP123" s="510"/>
      <c r="BQ123" s="510"/>
      <c r="BR123" s="510"/>
      <c r="BS123" s="510"/>
      <c r="BT123" s="510"/>
      <c r="BU123" s="510"/>
      <c r="BV123" s="512"/>
      <c r="BW123" s="509"/>
    </row>
    <row r="124" spans="2:75" ht="15.75" customHeight="1">
      <c r="B124" s="250" t="s">
        <v>1233</v>
      </c>
      <c r="C124" s="251">
        <v>38971881000160</v>
      </c>
      <c r="D124" s="252" t="s">
        <v>14</v>
      </c>
      <c r="E124" s="252" t="s">
        <v>614</v>
      </c>
      <c r="F124" s="252"/>
      <c r="G124" s="253"/>
      <c r="H124" s="253" t="s">
        <v>1338</v>
      </c>
      <c r="I124" s="253" t="s">
        <v>34</v>
      </c>
      <c r="J124" s="253" t="s">
        <v>608</v>
      </c>
      <c r="K124" s="254" t="s">
        <v>48</v>
      </c>
      <c r="L124" s="255" t="s">
        <v>1339</v>
      </c>
      <c r="M124" s="255" t="s">
        <v>34</v>
      </c>
      <c r="N124" s="254">
        <v>557927</v>
      </c>
      <c r="O124" s="254" t="s">
        <v>1321</v>
      </c>
      <c r="P124" s="258">
        <v>44127</v>
      </c>
      <c r="Q124" s="259">
        <v>129603858.73999999</v>
      </c>
      <c r="R124" s="259">
        <v>117491206.50579366</v>
      </c>
      <c r="S124" s="254">
        <v>32</v>
      </c>
      <c r="T124" s="256">
        <v>0.17847692967481499</v>
      </c>
      <c r="U124" s="256">
        <v>2.3072061052776269</v>
      </c>
      <c r="V124" s="256">
        <v>-9.7168341409837766E-2</v>
      </c>
      <c r="W124" s="256">
        <v>-0.95257465102894845</v>
      </c>
      <c r="X124" s="256" t="s">
        <v>1417</v>
      </c>
      <c r="Y124" s="256" t="s">
        <v>1417</v>
      </c>
      <c r="Z124" s="256" t="s">
        <v>1417</v>
      </c>
      <c r="AA124" s="256" t="s">
        <v>1417</v>
      </c>
      <c r="AB124" s="256">
        <v>0.20922356629411978</v>
      </c>
      <c r="AC124" s="260">
        <v>-0.84823798185190424</v>
      </c>
      <c r="AD124" s="405">
        <v>38452194000139</v>
      </c>
      <c r="AE124" s="257" t="s">
        <v>2123</v>
      </c>
      <c r="AF124" s="257" t="s">
        <v>2109</v>
      </c>
      <c r="AG124" s="261" t="s">
        <v>1432</v>
      </c>
      <c r="AH124" s="261" t="s">
        <v>2110</v>
      </c>
      <c r="AI124" s="261">
        <v>10000</v>
      </c>
      <c r="AJ124" s="261">
        <v>10000</v>
      </c>
      <c r="AK124" s="261">
        <v>10000</v>
      </c>
      <c r="AL124" s="256">
        <v>0</v>
      </c>
      <c r="AM124" s="256" t="s">
        <v>34</v>
      </c>
      <c r="AN124" s="256" t="s">
        <v>34</v>
      </c>
      <c r="AO124" s="254" t="s">
        <v>1324</v>
      </c>
      <c r="AP124" s="257" t="s">
        <v>716</v>
      </c>
      <c r="AQ124" s="263" t="s">
        <v>659</v>
      </c>
      <c r="AR124" s="256">
        <v>3.7999999999999996E-3</v>
      </c>
      <c r="AS124" s="256">
        <v>3.7999999999999996E-3</v>
      </c>
      <c r="AT124" s="256"/>
      <c r="AW124" s="508"/>
      <c r="AX124" s="509"/>
      <c r="AY124" s="509"/>
      <c r="AZ124" s="509"/>
      <c r="BA124" s="509"/>
      <c r="BB124" s="520"/>
      <c r="BC124" s="509"/>
      <c r="BD124" s="509"/>
      <c r="BE124" s="509"/>
      <c r="BF124" s="509"/>
      <c r="BG124" s="521"/>
      <c r="BH124" s="510"/>
      <c r="BI124" s="511"/>
      <c r="BJ124" s="511"/>
      <c r="BK124" s="511"/>
      <c r="BL124" s="195"/>
      <c r="BM124" s="510"/>
      <c r="BN124" s="510"/>
      <c r="BO124" s="510"/>
      <c r="BP124" s="510"/>
      <c r="BQ124" s="510"/>
      <c r="BR124" s="510"/>
      <c r="BS124" s="510"/>
      <c r="BT124" s="510"/>
      <c r="BU124" s="510"/>
      <c r="BV124" s="512"/>
      <c r="BW124" s="509"/>
    </row>
    <row r="125" spans="2:75" ht="15.75" customHeight="1">
      <c r="B125" s="250" t="s">
        <v>465</v>
      </c>
      <c r="C125" s="251">
        <v>11741429000156</v>
      </c>
      <c r="D125" s="252" t="s">
        <v>14</v>
      </c>
      <c r="E125" s="252" t="s">
        <v>607</v>
      </c>
      <c r="F125" s="252" t="s">
        <v>1317</v>
      </c>
      <c r="G125" s="253"/>
      <c r="H125" s="253" t="s">
        <v>34</v>
      </c>
      <c r="I125" s="253" t="s">
        <v>34</v>
      </c>
      <c r="J125" s="253" t="s">
        <v>608</v>
      </c>
      <c r="K125" s="254" t="s">
        <v>48</v>
      </c>
      <c r="L125" s="255" t="s">
        <v>1339</v>
      </c>
      <c r="M125" s="255" t="s">
        <v>34</v>
      </c>
      <c r="N125" s="254">
        <v>349836</v>
      </c>
      <c r="O125" s="254" t="s">
        <v>1321</v>
      </c>
      <c r="P125" s="258">
        <v>41556</v>
      </c>
      <c r="Q125" s="259">
        <v>25457492.18</v>
      </c>
      <c r="R125" s="259">
        <v>36923187.442460343</v>
      </c>
      <c r="S125" s="254">
        <v>33</v>
      </c>
      <c r="T125" s="256">
        <v>-4.7230542944467491E-2</v>
      </c>
      <c r="U125" s="256">
        <v>-0.61055844716511543</v>
      </c>
      <c r="V125" s="256">
        <v>-0.21794834665596818</v>
      </c>
      <c r="W125" s="256">
        <v>-2.1366225588072618</v>
      </c>
      <c r="X125" s="256">
        <v>-0.12212843640272719</v>
      </c>
      <c r="Y125" s="256">
        <v>-0.92612211916079556</v>
      </c>
      <c r="Z125" s="256">
        <v>-3.3098717842083403E-2</v>
      </c>
      <c r="AA125" s="256">
        <v>-0.18814384243022778</v>
      </c>
      <c r="AB125" s="256">
        <v>0.22846084709932138</v>
      </c>
      <c r="AC125" s="260">
        <v>-1.3865575459137727</v>
      </c>
      <c r="AD125" s="405">
        <v>0</v>
      </c>
      <c r="AE125" s="257" t="s">
        <v>2370</v>
      </c>
      <c r="AF125" s="257" t="s">
        <v>2109</v>
      </c>
      <c r="AG125" s="261" t="s">
        <v>1432</v>
      </c>
      <c r="AH125" s="261" t="s">
        <v>2113</v>
      </c>
      <c r="AI125" s="261">
        <v>500</v>
      </c>
      <c r="AJ125" s="261">
        <v>500</v>
      </c>
      <c r="AK125" s="261">
        <v>500</v>
      </c>
      <c r="AL125" s="256">
        <v>0.02</v>
      </c>
      <c r="AM125" s="256">
        <v>0.2</v>
      </c>
      <c r="AN125" s="256" t="s">
        <v>34</v>
      </c>
      <c r="AO125" s="254" t="s">
        <v>1324</v>
      </c>
      <c r="AP125" s="257" t="s">
        <v>716</v>
      </c>
      <c r="AQ125" s="263" t="s">
        <v>659</v>
      </c>
      <c r="AR125" s="256">
        <v>5.3340000000000002E-3</v>
      </c>
      <c r="AS125" s="256">
        <v>5.3340000000000002E-3</v>
      </c>
      <c r="AT125" s="256"/>
      <c r="AW125" s="508"/>
      <c r="AX125" s="509"/>
      <c r="AY125" s="509"/>
      <c r="AZ125" s="509"/>
      <c r="BA125" s="509"/>
      <c r="BB125" s="520"/>
      <c r="BC125" s="509"/>
      <c r="BD125" s="509"/>
      <c r="BE125" s="509"/>
      <c r="BF125" s="509"/>
      <c r="BG125" s="521"/>
      <c r="BH125" s="510"/>
      <c r="BI125" s="511"/>
      <c r="BJ125" s="511"/>
      <c r="BK125" s="511"/>
      <c r="BL125" s="195"/>
      <c r="BM125" s="510"/>
      <c r="BN125" s="510"/>
      <c r="BO125" s="510"/>
      <c r="BP125" s="510"/>
      <c r="BQ125" s="510"/>
      <c r="BR125" s="510"/>
      <c r="BS125" s="510"/>
      <c r="BT125" s="510"/>
      <c r="BU125" s="510"/>
      <c r="BV125" s="512"/>
      <c r="BW125" s="509"/>
    </row>
    <row r="126" spans="2:75" ht="15.75" customHeight="1">
      <c r="B126" s="250" t="s">
        <v>396</v>
      </c>
      <c r="C126" s="251">
        <v>22232927000190</v>
      </c>
      <c r="D126" s="252" t="s">
        <v>14</v>
      </c>
      <c r="E126" s="252" t="s">
        <v>607</v>
      </c>
      <c r="F126" s="252"/>
      <c r="G126" s="253"/>
      <c r="H126" s="253" t="s">
        <v>34</v>
      </c>
      <c r="I126" s="253" t="s">
        <v>34</v>
      </c>
      <c r="J126" s="253" t="s">
        <v>608</v>
      </c>
      <c r="K126" s="254" t="s">
        <v>48</v>
      </c>
      <c r="L126" s="255" t="s">
        <v>1339</v>
      </c>
      <c r="M126" s="255" t="s">
        <v>34</v>
      </c>
      <c r="N126" s="254">
        <v>401463</v>
      </c>
      <c r="O126" s="254" t="s">
        <v>1324</v>
      </c>
      <c r="P126" s="258">
        <v>42220</v>
      </c>
      <c r="Q126" s="259">
        <v>431962180.27999997</v>
      </c>
      <c r="R126" s="259">
        <v>464315243.55646813</v>
      </c>
      <c r="S126" s="254">
        <v>33</v>
      </c>
      <c r="T126" s="256">
        <v>0.16624084558967711</v>
      </c>
      <c r="U126" s="256">
        <v>2.1490278580534188</v>
      </c>
      <c r="V126" s="256">
        <v>0.16237851680962967</v>
      </c>
      <c r="W126" s="256">
        <v>1.5918524155118587</v>
      </c>
      <c r="X126" s="256">
        <v>0.48037917004023045</v>
      </c>
      <c r="Y126" s="256">
        <v>3.6428025123592573</v>
      </c>
      <c r="Z126" s="256">
        <v>0.85776693320908204</v>
      </c>
      <c r="AA126" s="256">
        <v>4.8758253263320652</v>
      </c>
      <c r="AB126" s="256">
        <v>0.19662273178272718</v>
      </c>
      <c r="AC126" s="260">
        <v>0.36922880351667298</v>
      </c>
      <c r="AD126" s="405">
        <v>27389566000103</v>
      </c>
      <c r="AE126" s="257" t="s">
        <v>2408</v>
      </c>
      <c r="AF126" s="257" t="s">
        <v>2109</v>
      </c>
      <c r="AG126" s="261" t="s">
        <v>1432</v>
      </c>
      <c r="AH126" s="261" t="s">
        <v>2113</v>
      </c>
      <c r="AI126" s="261">
        <v>1000</v>
      </c>
      <c r="AJ126" s="261">
        <v>1000</v>
      </c>
      <c r="AK126" s="261">
        <v>1000</v>
      </c>
      <c r="AL126" s="256">
        <v>0.02</v>
      </c>
      <c r="AM126" s="256">
        <v>0.2</v>
      </c>
      <c r="AN126" s="256" t="s">
        <v>34</v>
      </c>
      <c r="AO126" s="254" t="s">
        <v>1324</v>
      </c>
      <c r="AP126" s="257" t="s">
        <v>716</v>
      </c>
      <c r="AQ126" s="263" t="s">
        <v>659</v>
      </c>
      <c r="AR126" s="256">
        <v>3.7499999999999999E-3</v>
      </c>
      <c r="AS126" s="256">
        <v>3.7499999999999999E-3</v>
      </c>
      <c r="AT126" s="256"/>
      <c r="AW126" s="508"/>
      <c r="AX126" s="509"/>
      <c r="AY126" s="509"/>
      <c r="AZ126" s="509"/>
      <c r="BA126" s="509"/>
      <c r="BB126" s="520"/>
      <c r="BC126" s="509"/>
      <c r="BD126" s="509"/>
      <c r="BE126" s="509"/>
      <c r="BF126" s="509"/>
      <c r="BG126" s="521"/>
      <c r="BH126" s="510"/>
      <c r="BI126" s="511"/>
      <c r="BJ126" s="511"/>
      <c r="BK126" s="511"/>
      <c r="BL126" s="195"/>
      <c r="BM126" s="510"/>
      <c r="BN126" s="510"/>
      <c r="BO126" s="510"/>
      <c r="BP126" s="510"/>
      <c r="BQ126" s="510"/>
      <c r="BR126" s="510"/>
      <c r="BS126" s="510"/>
      <c r="BT126" s="510"/>
      <c r="BU126" s="510"/>
      <c r="BV126" s="512"/>
      <c r="BW126" s="509"/>
    </row>
    <row r="127" spans="2:75" ht="15.75" customHeight="1">
      <c r="B127" s="250" t="s">
        <v>644</v>
      </c>
      <c r="C127" s="251">
        <v>20146294000171</v>
      </c>
      <c r="D127" s="252" t="s">
        <v>11</v>
      </c>
      <c r="E127" s="252" t="s">
        <v>620</v>
      </c>
      <c r="F127" s="252" t="s">
        <v>663</v>
      </c>
      <c r="G127" s="253" t="s">
        <v>738</v>
      </c>
      <c r="H127" s="253" t="s">
        <v>34</v>
      </c>
      <c r="I127" s="253" t="s">
        <v>34</v>
      </c>
      <c r="J127" s="253" t="s">
        <v>608</v>
      </c>
      <c r="K127" s="254" t="s">
        <v>48</v>
      </c>
      <c r="L127" s="255" t="s">
        <v>1339</v>
      </c>
      <c r="M127" s="255" t="s">
        <v>34</v>
      </c>
      <c r="N127" s="254">
        <v>381934</v>
      </c>
      <c r="O127" s="254" t="s">
        <v>1321</v>
      </c>
      <c r="P127" s="258">
        <v>41949</v>
      </c>
      <c r="Q127" s="259">
        <v>1331921508.6600001</v>
      </c>
      <c r="R127" s="259">
        <v>975511294.13892841</v>
      </c>
      <c r="S127" s="254">
        <v>45</v>
      </c>
      <c r="T127" s="256">
        <v>9.1821324721498954E-2</v>
      </c>
      <c r="U127" s="256">
        <v>1.1869921864865893</v>
      </c>
      <c r="V127" s="256">
        <v>0.12198386307616826</v>
      </c>
      <c r="W127" s="256">
        <v>1.1958497398945982</v>
      </c>
      <c r="X127" s="256">
        <v>0.20738254328053496</v>
      </c>
      <c r="Y127" s="256">
        <v>1.5726194989231486</v>
      </c>
      <c r="Z127" s="256">
        <v>0.25090202378730875</v>
      </c>
      <c r="AA127" s="256">
        <v>1.4262084426981934</v>
      </c>
      <c r="AB127" s="256">
        <v>5.7699651418286037E-3</v>
      </c>
      <c r="AC127" s="260">
        <v>3.1177340564059275</v>
      </c>
      <c r="AD127" s="405">
        <v>20146318000192</v>
      </c>
      <c r="AE127" s="257" t="s">
        <v>2199</v>
      </c>
      <c r="AF127" s="257" t="s">
        <v>2118</v>
      </c>
      <c r="AG127" s="261" t="s">
        <v>1433</v>
      </c>
      <c r="AH127" s="261" t="s">
        <v>2113</v>
      </c>
      <c r="AI127" s="261">
        <v>1000</v>
      </c>
      <c r="AJ127" s="261">
        <v>1000</v>
      </c>
      <c r="AK127" s="261">
        <v>1000</v>
      </c>
      <c r="AL127" s="256">
        <v>5.5000000000000005E-3</v>
      </c>
      <c r="AM127" s="256">
        <v>0.15</v>
      </c>
      <c r="AN127" s="256" t="s">
        <v>64</v>
      </c>
      <c r="AO127" s="254" t="s">
        <v>1324</v>
      </c>
      <c r="AP127" s="257" t="s">
        <v>11</v>
      </c>
      <c r="AQ127" s="263" t="s">
        <v>1374</v>
      </c>
      <c r="AR127" s="256">
        <v>1.6499999999999998E-3</v>
      </c>
      <c r="AS127" s="256">
        <v>1.6499999999999998E-3</v>
      </c>
      <c r="AT127" s="256"/>
      <c r="AW127" s="508"/>
      <c r="AX127" s="509"/>
      <c r="AY127" s="509"/>
      <c r="AZ127" s="509"/>
      <c r="BA127" s="509"/>
      <c r="BB127" s="520"/>
      <c r="BC127" s="509"/>
      <c r="BD127" s="509"/>
      <c r="BE127" s="509"/>
      <c r="BF127" s="509"/>
      <c r="BG127" s="521"/>
      <c r="BH127" s="510"/>
      <c r="BI127" s="511"/>
      <c r="BJ127" s="511"/>
      <c r="BK127" s="511"/>
      <c r="BL127" s="195"/>
      <c r="BM127" s="510"/>
      <c r="BN127" s="510"/>
      <c r="BO127" s="510"/>
      <c r="BP127" s="510"/>
      <c r="BQ127" s="510"/>
      <c r="BR127" s="510"/>
      <c r="BS127" s="510"/>
      <c r="BT127" s="510"/>
      <c r="BU127" s="510"/>
      <c r="BV127" s="512"/>
      <c r="BW127" s="509"/>
    </row>
    <row r="128" spans="2:75" ht="15.75" customHeight="1">
      <c r="B128" s="250" t="s">
        <v>1007</v>
      </c>
      <c r="C128" s="251">
        <v>20824446000148</v>
      </c>
      <c r="D128" s="252" t="s">
        <v>11</v>
      </c>
      <c r="E128" s="252" t="s">
        <v>620</v>
      </c>
      <c r="F128" s="252" t="s">
        <v>663</v>
      </c>
      <c r="G128" s="253" t="s">
        <v>738</v>
      </c>
      <c r="H128" s="253" t="s">
        <v>34</v>
      </c>
      <c r="I128" s="253"/>
      <c r="J128" s="253" t="s">
        <v>608</v>
      </c>
      <c r="K128" s="254" t="s">
        <v>48</v>
      </c>
      <c r="L128" s="255" t="s">
        <v>1339</v>
      </c>
      <c r="M128" s="255" t="s">
        <v>1414</v>
      </c>
      <c r="N128" s="254">
        <v>391573</v>
      </c>
      <c r="O128" s="254" t="s">
        <v>1321</v>
      </c>
      <c r="P128" s="258">
        <v>41992</v>
      </c>
      <c r="Q128" s="259">
        <v>518922013.56</v>
      </c>
      <c r="R128" s="259">
        <v>412054359.66285706</v>
      </c>
      <c r="S128" s="254">
        <v>46</v>
      </c>
      <c r="T128" s="256">
        <v>8.9523050704364726E-2</v>
      </c>
      <c r="U128" s="256">
        <v>1.1572819496868285</v>
      </c>
      <c r="V128" s="256">
        <v>0.11934750908759062</v>
      </c>
      <c r="W128" s="256">
        <v>1.1700046555366608</v>
      </c>
      <c r="X128" s="256">
        <v>0.19846732306651016</v>
      </c>
      <c r="Y128" s="256">
        <v>1.5050137644963919</v>
      </c>
      <c r="Z128" s="256">
        <v>0.20845394106567805</v>
      </c>
      <c r="AA128" s="256">
        <v>1.1849197793382638</v>
      </c>
      <c r="AB128" s="256">
        <v>1.9747977527039308E-3</v>
      </c>
      <c r="AC128" s="260">
        <v>7.9101918840779772</v>
      </c>
      <c r="AD128" s="405">
        <v>20833920000106</v>
      </c>
      <c r="AE128" s="257" t="s">
        <v>2288</v>
      </c>
      <c r="AF128" s="257" t="s">
        <v>2118</v>
      </c>
      <c r="AG128" s="261" t="s">
        <v>1433</v>
      </c>
      <c r="AH128" s="261" t="s">
        <v>2113</v>
      </c>
      <c r="AI128" s="261">
        <v>100000</v>
      </c>
      <c r="AJ128" s="261">
        <v>50000</v>
      </c>
      <c r="AK128" s="261">
        <v>100000</v>
      </c>
      <c r="AL128" s="256">
        <v>6.0000000000000001E-3</v>
      </c>
      <c r="AM128" s="256">
        <v>0.2</v>
      </c>
      <c r="AN128" s="256" t="s">
        <v>2127</v>
      </c>
      <c r="AO128" s="254" t="s">
        <v>1324</v>
      </c>
      <c r="AP128" s="257" t="s">
        <v>11</v>
      </c>
      <c r="AQ128" s="263" t="s">
        <v>675</v>
      </c>
      <c r="AR128" s="256" t="s">
        <v>34</v>
      </c>
      <c r="AS128" s="256" t="s">
        <v>34</v>
      </c>
      <c r="AT128" s="256"/>
      <c r="AW128" s="508"/>
      <c r="AX128" s="509"/>
      <c r="AY128" s="509"/>
      <c r="AZ128" s="509"/>
      <c r="BA128" s="509"/>
      <c r="BB128" s="520"/>
      <c r="BC128" s="509"/>
      <c r="BD128" s="509"/>
      <c r="BE128" s="509"/>
      <c r="BF128" s="509"/>
      <c r="BG128" s="521"/>
      <c r="BH128" s="510"/>
      <c r="BI128" s="511"/>
      <c r="BJ128" s="511"/>
      <c r="BK128" s="511"/>
      <c r="BL128" s="195"/>
      <c r="BM128" s="510"/>
      <c r="BN128" s="510"/>
      <c r="BO128" s="510"/>
      <c r="BP128" s="510"/>
      <c r="BQ128" s="510"/>
      <c r="BR128" s="510"/>
      <c r="BS128" s="510"/>
      <c r="BT128" s="510"/>
      <c r="BU128" s="510"/>
      <c r="BV128" s="512"/>
      <c r="BW128" s="509"/>
    </row>
    <row r="129" spans="2:75" ht="15.75" customHeight="1">
      <c r="B129" s="250" t="s">
        <v>383</v>
      </c>
      <c r="C129" s="251">
        <v>35343590000130</v>
      </c>
      <c r="D129" s="252" t="s">
        <v>11</v>
      </c>
      <c r="E129" s="252" t="s">
        <v>620</v>
      </c>
      <c r="F129" s="252" t="s">
        <v>663</v>
      </c>
      <c r="G129" s="253" t="s">
        <v>738</v>
      </c>
      <c r="H129" s="253" t="s">
        <v>34</v>
      </c>
      <c r="I129" s="253"/>
      <c r="J129" s="253" t="s">
        <v>608</v>
      </c>
      <c r="K129" s="254" t="s">
        <v>48</v>
      </c>
      <c r="L129" s="255" t="s">
        <v>1339</v>
      </c>
      <c r="M129" s="255" t="s">
        <v>34</v>
      </c>
      <c r="N129" s="254">
        <v>519421</v>
      </c>
      <c r="O129" s="254" t="s">
        <v>1321</v>
      </c>
      <c r="P129" s="258">
        <v>43819</v>
      </c>
      <c r="Q129" s="259">
        <v>336951112.20999998</v>
      </c>
      <c r="R129" s="259">
        <v>211756594.31019837</v>
      </c>
      <c r="S129" s="254">
        <v>46</v>
      </c>
      <c r="T129" s="256">
        <v>8.7590871946483295E-2</v>
      </c>
      <c r="U129" s="256">
        <v>1.1323042977584019</v>
      </c>
      <c r="V129" s="256">
        <v>0.11726759377364049</v>
      </c>
      <c r="W129" s="256">
        <v>1.1496145307737078</v>
      </c>
      <c r="X129" s="256">
        <v>0.18845601082839525</v>
      </c>
      <c r="Y129" s="256">
        <v>1.4290961651342802</v>
      </c>
      <c r="Z129" s="256" t="s">
        <v>1417</v>
      </c>
      <c r="AA129" s="256" t="s">
        <v>1417</v>
      </c>
      <c r="AB129" s="256">
        <v>2.2269542501345972E-3</v>
      </c>
      <c r="AC129" s="260">
        <v>6.1792257396061698</v>
      </c>
      <c r="AD129" s="405">
        <v>35505971000178</v>
      </c>
      <c r="AE129" s="257" t="s">
        <v>2123</v>
      </c>
      <c r="AF129" s="257" t="s">
        <v>2109</v>
      </c>
      <c r="AG129" s="261" t="s">
        <v>1432</v>
      </c>
      <c r="AH129" s="261" t="s">
        <v>2113</v>
      </c>
      <c r="AI129" s="261">
        <v>1000</v>
      </c>
      <c r="AJ129" s="261">
        <v>500</v>
      </c>
      <c r="AK129" s="261">
        <v>1000</v>
      </c>
      <c r="AL129" s="256">
        <v>0</v>
      </c>
      <c r="AM129" s="256" t="s">
        <v>34</v>
      </c>
      <c r="AN129" s="256" t="s">
        <v>64</v>
      </c>
      <c r="AO129" s="254" t="s">
        <v>1324</v>
      </c>
      <c r="AP129" s="257" t="s">
        <v>11</v>
      </c>
      <c r="AQ129" s="263" t="s">
        <v>675</v>
      </c>
      <c r="AR129" s="256">
        <v>1.3998000000000001E-3</v>
      </c>
      <c r="AS129" s="256">
        <v>1.3998000000000001E-3</v>
      </c>
      <c r="AT129" s="256"/>
      <c r="AW129" s="508"/>
      <c r="AX129" s="509"/>
      <c r="AY129" s="509"/>
      <c r="AZ129" s="509"/>
      <c r="BA129" s="509"/>
      <c r="BB129" s="520"/>
      <c r="BC129" s="509"/>
      <c r="BD129" s="509"/>
      <c r="BE129" s="509"/>
      <c r="BF129" s="509"/>
      <c r="BG129" s="521"/>
      <c r="BH129" s="510"/>
      <c r="BI129" s="511"/>
      <c r="BJ129" s="511"/>
      <c r="BK129" s="511"/>
      <c r="BL129" s="195"/>
      <c r="BM129" s="510"/>
      <c r="BN129" s="510"/>
      <c r="BO129" s="510"/>
      <c r="BP129" s="510"/>
      <c r="BQ129" s="510"/>
      <c r="BR129" s="510"/>
      <c r="BS129" s="510"/>
      <c r="BT129" s="510"/>
      <c r="BU129" s="510"/>
      <c r="BV129" s="512"/>
      <c r="BW129" s="509"/>
    </row>
    <row r="130" spans="2:75" ht="15.75" customHeight="1">
      <c r="B130" s="250" t="s">
        <v>492</v>
      </c>
      <c r="C130" s="251">
        <v>34781162000126</v>
      </c>
      <c r="D130" s="252" t="s">
        <v>11</v>
      </c>
      <c r="E130" s="252" t="s">
        <v>620</v>
      </c>
      <c r="F130" s="252" t="s">
        <v>663</v>
      </c>
      <c r="G130" s="253" t="s">
        <v>738</v>
      </c>
      <c r="H130" s="253" t="s">
        <v>34</v>
      </c>
      <c r="I130" s="253"/>
      <c r="J130" s="253" t="s">
        <v>611</v>
      </c>
      <c r="K130" s="254" t="s">
        <v>48</v>
      </c>
      <c r="L130" s="255" t="s">
        <v>1339</v>
      </c>
      <c r="M130" s="255" t="s">
        <v>34</v>
      </c>
      <c r="N130" s="254">
        <v>599743</v>
      </c>
      <c r="O130" s="254" t="s">
        <v>1321</v>
      </c>
      <c r="P130" s="258">
        <v>44355</v>
      </c>
      <c r="Q130" s="259">
        <v>298516071.42000002</v>
      </c>
      <c r="R130" s="259">
        <v>255051702.32996023</v>
      </c>
      <c r="S130" s="254">
        <v>46</v>
      </c>
      <c r="T130" s="256">
        <v>7.6732469492545308E-2</v>
      </c>
      <c r="U130" s="256">
        <v>0.99193560987850016</v>
      </c>
      <c r="V130" s="256">
        <v>0.10339617297321935</v>
      </c>
      <c r="W130" s="256">
        <v>1.0136282245702855</v>
      </c>
      <c r="X130" s="256" t="s">
        <v>1417</v>
      </c>
      <c r="Y130" s="256" t="s">
        <v>1417</v>
      </c>
      <c r="Z130" s="256" t="s">
        <v>1417</v>
      </c>
      <c r="AA130" s="256" t="s">
        <v>1417</v>
      </c>
      <c r="AB130" s="256">
        <v>1.8491408492666995E-2</v>
      </c>
      <c r="AC130" s="260">
        <v>7.733514921731742E-2</v>
      </c>
      <c r="AD130" s="405">
        <v>35646238000173</v>
      </c>
      <c r="AE130" s="257" t="s">
        <v>2399</v>
      </c>
      <c r="AF130" s="257" t="s">
        <v>2112</v>
      </c>
      <c r="AG130" s="261" t="s">
        <v>59</v>
      </c>
      <c r="AH130" s="261" t="s">
        <v>2110</v>
      </c>
      <c r="AI130" s="261">
        <v>1000</v>
      </c>
      <c r="AJ130" s="261">
        <v>500</v>
      </c>
      <c r="AK130" s="261">
        <v>1000</v>
      </c>
      <c r="AL130" s="256">
        <v>4.0000000000000001E-3</v>
      </c>
      <c r="AM130" s="256">
        <v>0.2</v>
      </c>
      <c r="AN130" s="256" t="s">
        <v>64</v>
      </c>
      <c r="AO130" s="254" t="s">
        <v>1324</v>
      </c>
      <c r="AP130" s="257" t="s">
        <v>13</v>
      </c>
      <c r="AQ130" s="263" t="s">
        <v>668</v>
      </c>
      <c r="AR130" s="256">
        <v>1.3333333333333333E-3</v>
      </c>
      <c r="AS130" s="256">
        <v>1.3333333333333333E-3</v>
      </c>
      <c r="AT130" s="256"/>
      <c r="AW130" s="508"/>
      <c r="AX130" s="509"/>
      <c r="AY130" s="509"/>
      <c r="AZ130" s="509"/>
      <c r="BA130" s="509"/>
      <c r="BB130" s="520"/>
      <c r="BC130" s="509"/>
      <c r="BD130" s="509"/>
      <c r="BE130" s="509"/>
      <c r="BF130" s="509"/>
      <c r="BG130" s="521"/>
      <c r="BH130" s="510"/>
      <c r="BI130" s="511"/>
      <c r="BJ130" s="511"/>
      <c r="BK130" s="511"/>
      <c r="BL130" s="195"/>
      <c r="BM130" s="510"/>
      <c r="BN130" s="510"/>
      <c r="BO130" s="510"/>
      <c r="BP130" s="510"/>
      <c r="BQ130" s="510"/>
      <c r="BR130" s="510"/>
      <c r="BS130" s="510"/>
      <c r="BT130" s="510"/>
      <c r="BU130" s="510"/>
      <c r="BV130" s="512"/>
      <c r="BW130" s="509"/>
    </row>
    <row r="131" spans="2:75" ht="15.75" customHeight="1">
      <c r="B131" s="250" t="s">
        <v>1009</v>
      </c>
      <c r="C131" s="251">
        <v>32227355000104</v>
      </c>
      <c r="D131" s="252" t="s">
        <v>11</v>
      </c>
      <c r="E131" s="252" t="s">
        <v>620</v>
      </c>
      <c r="F131" s="252" t="s">
        <v>692</v>
      </c>
      <c r="G131" s="253" t="s">
        <v>738</v>
      </c>
      <c r="H131" s="253" t="s">
        <v>34</v>
      </c>
      <c r="I131" s="253"/>
      <c r="J131" s="253" t="s">
        <v>608</v>
      </c>
      <c r="K131" s="254" t="s">
        <v>48</v>
      </c>
      <c r="L131" s="255" t="s">
        <v>1339</v>
      </c>
      <c r="M131" s="255" t="s">
        <v>34</v>
      </c>
      <c r="N131" s="254">
        <v>491055</v>
      </c>
      <c r="O131" s="254" t="s">
        <v>1321</v>
      </c>
      <c r="P131" s="258">
        <v>43544</v>
      </c>
      <c r="Q131" s="259">
        <v>12841027.01</v>
      </c>
      <c r="R131" s="259">
        <v>17629264.52198413</v>
      </c>
      <c r="S131" s="254">
        <v>46</v>
      </c>
      <c r="T131" s="256">
        <v>8.1237216933496281E-2</v>
      </c>
      <c r="U131" s="256">
        <v>1.0501693592904415</v>
      </c>
      <c r="V131" s="256">
        <v>0.10375414827778906</v>
      </c>
      <c r="W131" s="256">
        <v>1.0171375795297286</v>
      </c>
      <c r="X131" s="256">
        <v>0.17685302435552219</v>
      </c>
      <c r="Y131" s="256">
        <v>1.3411086109055805</v>
      </c>
      <c r="Z131" s="256">
        <v>0.19147794303784749</v>
      </c>
      <c r="AA131" s="256">
        <v>1.0884227031287712</v>
      </c>
      <c r="AB131" s="256">
        <v>1.661501355203817E-2</v>
      </c>
      <c r="AC131" s="260">
        <v>0.10363574369455647</v>
      </c>
      <c r="AD131" s="405">
        <v>32227954000128</v>
      </c>
      <c r="AE131" s="257" t="s">
        <v>2288</v>
      </c>
      <c r="AF131" s="257" t="s">
        <v>2118</v>
      </c>
      <c r="AG131" s="261" t="s">
        <v>1433</v>
      </c>
      <c r="AH131" s="261" t="s">
        <v>2110</v>
      </c>
      <c r="AI131" s="261">
        <v>50000</v>
      </c>
      <c r="AJ131" s="261">
        <v>10000</v>
      </c>
      <c r="AK131" s="261">
        <v>50000</v>
      </c>
      <c r="AL131" s="256">
        <v>4.5000000000000005E-3</v>
      </c>
      <c r="AM131" s="256">
        <v>0.2</v>
      </c>
      <c r="AN131" s="256" t="s">
        <v>64</v>
      </c>
      <c r="AO131" s="254" t="s">
        <v>1324</v>
      </c>
      <c r="AP131" s="257" t="s">
        <v>11</v>
      </c>
      <c r="AQ131" s="263" t="s">
        <v>675</v>
      </c>
      <c r="AR131" s="256">
        <v>8.1809999999999988E-4</v>
      </c>
      <c r="AS131" s="256">
        <v>8.1809999999999988E-4</v>
      </c>
      <c r="AT131" s="256"/>
      <c r="AW131" s="508"/>
      <c r="AX131" s="509"/>
      <c r="AY131" s="509"/>
      <c r="AZ131" s="509"/>
      <c r="BA131" s="509"/>
      <c r="BB131" s="520"/>
      <c r="BC131" s="509"/>
      <c r="BD131" s="509"/>
      <c r="BE131" s="509"/>
      <c r="BF131" s="509"/>
      <c r="BG131" s="521"/>
      <c r="BH131" s="510"/>
      <c r="BI131" s="511"/>
      <c r="BJ131" s="511"/>
      <c r="BK131" s="511"/>
      <c r="BL131" s="195"/>
      <c r="BM131" s="510"/>
      <c r="BN131" s="510"/>
      <c r="BO131" s="510"/>
      <c r="BP131" s="510"/>
      <c r="BQ131" s="510"/>
      <c r="BR131" s="510"/>
      <c r="BS131" s="510"/>
      <c r="BT131" s="510"/>
      <c r="BU131" s="510"/>
      <c r="BV131" s="512"/>
      <c r="BW131" s="509"/>
    </row>
    <row r="132" spans="2:75" ht="15.75" customHeight="1">
      <c r="B132" s="250" t="s">
        <v>764</v>
      </c>
      <c r="C132" s="251">
        <v>44417227000102</v>
      </c>
      <c r="D132" s="252" t="s">
        <v>13</v>
      </c>
      <c r="E132" s="252" t="s">
        <v>615</v>
      </c>
      <c r="F132" s="252" t="s">
        <v>619</v>
      </c>
      <c r="G132" s="253" t="s">
        <v>34</v>
      </c>
      <c r="H132" s="253" t="s">
        <v>1338</v>
      </c>
      <c r="I132" s="253" t="s">
        <v>34</v>
      </c>
      <c r="J132" s="253" t="s">
        <v>611</v>
      </c>
      <c r="K132" s="254" t="s">
        <v>48</v>
      </c>
      <c r="L132" s="255" t="s">
        <v>1339</v>
      </c>
      <c r="M132" s="255" t="s">
        <v>34</v>
      </c>
      <c r="N132" s="254">
        <v>631108</v>
      </c>
      <c r="O132" s="254" t="s">
        <v>1321</v>
      </c>
      <c r="P132" s="258">
        <v>44552</v>
      </c>
      <c r="Q132" s="259">
        <v>18477637.350000001</v>
      </c>
      <c r="R132" s="259" t="s">
        <v>1417</v>
      </c>
      <c r="S132" s="254">
        <v>46</v>
      </c>
      <c r="T132" s="256">
        <v>0.10773355978723398</v>
      </c>
      <c r="U132" s="256">
        <v>1.3926927549531545</v>
      </c>
      <c r="V132" s="256" t="s">
        <v>1417</v>
      </c>
      <c r="W132" s="256" t="s">
        <v>1417</v>
      </c>
      <c r="X132" s="256" t="s">
        <v>1417</v>
      </c>
      <c r="Y132" s="256" t="s">
        <v>1417</v>
      </c>
      <c r="Z132" s="256" t="s">
        <v>1417</v>
      </c>
      <c r="AA132" s="256" t="s">
        <v>1417</v>
      </c>
      <c r="AB132" s="256" t="s">
        <v>1417</v>
      </c>
      <c r="AC132" s="260" t="s">
        <v>1417</v>
      </c>
      <c r="AD132" s="405">
        <v>0</v>
      </c>
      <c r="AE132" s="257" t="s">
        <v>2147</v>
      </c>
      <c r="AF132" s="257" t="s">
        <v>2109</v>
      </c>
      <c r="AG132" s="261" t="s">
        <v>1432</v>
      </c>
      <c r="AH132" s="261" t="s">
        <v>2113</v>
      </c>
      <c r="AI132" s="261">
        <v>0</v>
      </c>
      <c r="AJ132" s="261">
        <v>0</v>
      </c>
      <c r="AK132" s="261">
        <v>0</v>
      </c>
      <c r="AL132" s="519">
        <v>1.6E-2</v>
      </c>
      <c r="AM132" s="519" t="s">
        <v>34</v>
      </c>
      <c r="AN132" s="256" t="s">
        <v>64</v>
      </c>
      <c r="AO132" s="254" t="s">
        <v>1324</v>
      </c>
      <c r="AP132" s="257" t="s">
        <v>13</v>
      </c>
      <c r="AQ132" s="263" t="s">
        <v>664</v>
      </c>
      <c r="AR132" s="256">
        <v>5.4000000000000003E-3</v>
      </c>
      <c r="AS132" s="256">
        <v>5.4000000000000003E-3</v>
      </c>
      <c r="AT132" s="256"/>
      <c r="AW132" s="508"/>
      <c r="AX132" s="509"/>
      <c r="AY132" s="509"/>
      <c r="AZ132" s="509"/>
      <c r="BA132" s="509"/>
      <c r="BB132" s="520"/>
      <c r="BC132" s="509"/>
      <c r="BD132" s="509"/>
      <c r="BE132" s="509"/>
      <c r="BF132" s="509"/>
      <c r="BG132" s="521"/>
      <c r="BH132" s="510"/>
      <c r="BI132" s="511"/>
      <c r="BJ132" s="511"/>
      <c r="BK132" s="511"/>
      <c r="BL132" s="195"/>
      <c r="BM132" s="510"/>
      <c r="BN132" s="510"/>
      <c r="BO132" s="510"/>
      <c r="BP132" s="510"/>
      <c r="BQ132" s="510"/>
      <c r="BR132" s="510"/>
      <c r="BS132" s="510"/>
      <c r="BT132" s="510"/>
      <c r="BU132" s="510"/>
      <c r="BV132" s="512"/>
      <c r="BW132" s="509"/>
    </row>
    <row r="133" spans="2:75" ht="15.75" customHeight="1">
      <c r="B133" s="250" t="s">
        <v>1273</v>
      </c>
      <c r="C133" s="251">
        <v>41681126000156</v>
      </c>
      <c r="D133" s="252" t="s">
        <v>14</v>
      </c>
      <c r="E133" s="252" t="s">
        <v>607</v>
      </c>
      <c r="F133" s="252" t="s">
        <v>1317</v>
      </c>
      <c r="G133" s="253"/>
      <c r="H133" s="253" t="s">
        <v>34</v>
      </c>
      <c r="I133" s="253" t="s">
        <v>34</v>
      </c>
      <c r="J133" s="253" t="s">
        <v>608</v>
      </c>
      <c r="K133" s="254" t="s">
        <v>48</v>
      </c>
      <c r="L133" s="255" t="s">
        <v>1339</v>
      </c>
      <c r="M133" s="255" t="s">
        <v>34</v>
      </c>
      <c r="N133" s="254">
        <v>606715</v>
      </c>
      <c r="O133" s="254" t="s">
        <v>1321</v>
      </c>
      <c r="P133" s="258">
        <v>44375</v>
      </c>
      <c r="Q133" s="259">
        <v>40015932.350000001</v>
      </c>
      <c r="R133" s="259">
        <v>21570627.780952372</v>
      </c>
      <c r="S133" s="254">
        <v>47</v>
      </c>
      <c r="T133" s="256">
        <v>-9.1387952338244816E-2</v>
      </c>
      <c r="U133" s="256">
        <v>-1.1813898971020484</v>
      </c>
      <c r="V133" s="256">
        <v>-0.25749992953947098</v>
      </c>
      <c r="W133" s="256">
        <v>-2.5243603210891723</v>
      </c>
      <c r="X133" s="256" t="s">
        <v>1417</v>
      </c>
      <c r="Y133" s="256" t="s">
        <v>1417</v>
      </c>
      <c r="Z133" s="256" t="s">
        <v>1417</v>
      </c>
      <c r="AA133" s="256" t="s">
        <v>1417</v>
      </c>
      <c r="AB133" s="256">
        <v>0.23014981663002376</v>
      </c>
      <c r="AC133" s="260">
        <v>-1.6002365126511835</v>
      </c>
      <c r="AD133" s="405">
        <v>0</v>
      </c>
      <c r="AE133" s="257" t="s">
        <v>2438</v>
      </c>
      <c r="AF133" s="257" t="s">
        <v>2112</v>
      </c>
      <c r="AG133" s="261" t="s">
        <v>59</v>
      </c>
      <c r="AH133" s="261" t="s">
        <v>2110</v>
      </c>
      <c r="AI133" s="261">
        <v>300000</v>
      </c>
      <c r="AJ133" s="261">
        <v>1000</v>
      </c>
      <c r="AK133" s="261">
        <v>300000</v>
      </c>
      <c r="AL133" s="256">
        <v>0.01</v>
      </c>
      <c r="AM133" s="256">
        <v>0.1</v>
      </c>
      <c r="AN133" s="256" t="s">
        <v>666</v>
      </c>
      <c r="AO133" s="254" t="s">
        <v>1324</v>
      </c>
      <c r="AP133" s="257" t="s">
        <v>716</v>
      </c>
      <c r="AQ133" s="263" t="s">
        <v>659</v>
      </c>
      <c r="AR133" s="256">
        <v>4.5000000000000005E-3</v>
      </c>
      <c r="AS133" s="256">
        <v>4.5000000000000005E-3</v>
      </c>
      <c r="AT133" s="256"/>
      <c r="AW133" s="508"/>
      <c r="AX133" s="509"/>
      <c r="AY133" s="509"/>
      <c r="AZ133" s="509"/>
      <c r="BA133" s="509"/>
      <c r="BB133" s="520"/>
      <c r="BC133" s="509"/>
      <c r="BD133" s="509"/>
      <c r="BE133" s="509"/>
      <c r="BF133" s="509"/>
      <c r="BG133" s="521"/>
      <c r="BH133" s="510"/>
      <c r="BI133" s="511"/>
      <c r="BJ133" s="511"/>
      <c r="BK133" s="511"/>
      <c r="BL133" s="195"/>
      <c r="BM133" s="510"/>
      <c r="BN133" s="510"/>
      <c r="BO133" s="510"/>
      <c r="BP133" s="510"/>
      <c r="BQ133" s="510"/>
      <c r="BR133" s="510"/>
      <c r="BS133" s="510"/>
      <c r="BT133" s="510"/>
      <c r="BU133" s="510"/>
      <c r="BV133" s="512"/>
      <c r="BW133" s="509"/>
    </row>
    <row r="134" spans="2:75" ht="15.75" customHeight="1">
      <c r="B134" s="250" t="s">
        <v>438</v>
      </c>
      <c r="C134" s="251">
        <v>24140275000199</v>
      </c>
      <c r="D134" s="252" t="s">
        <v>13</v>
      </c>
      <c r="E134" s="252" t="s">
        <v>615</v>
      </c>
      <c r="F134" s="252" t="s">
        <v>619</v>
      </c>
      <c r="G134" s="253" t="s">
        <v>34</v>
      </c>
      <c r="H134" s="253" t="s">
        <v>865</v>
      </c>
      <c r="I134" s="253" t="s">
        <v>34</v>
      </c>
      <c r="J134" s="253" t="s">
        <v>611</v>
      </c>
      <c r="K134" s="254" t="s">
        <v>48</v>
      </c>
      <c r="L134" s="255" t="s">
        <v>1339</v>
      </c>
      <c r="M134" s="255" t="s">
        <v>1414</v>
      </c>
      <c r="N134" s="254">
        <v>420808</v>
      </c>
      <c r="O134" s="254" t="s">
        <v>1321</v>
      </c>
      <c r="P134" s="258">
        <v>42564</v>
      </c>
      <c r="Q134" s="259">
        <v>424907541.95999998</v>
      </c>
      <c r="R134" s="259">
        <v>423902290.92373037</v>
      </c>
      <c r="S134" s="254">
        <v>47</v>
      </c>
      <c r="T134" s="256">
        <v>0.11177775752764352</v>
      </c>
      <c r="U134" s="256">
        <v>1.444972888495476</v>
      </c>
      <c r="V134" s="256">
        <v>0.11044002663839891</v>
      </c>
      <c r="W134" s="256">
        <v>1.0826815432711445</v>
      </c>
      <c r="X134" s="256">
        <v>0.19322386131810143</v>
      </c>
      <c r="Y134" s="256">
        <v>1.4652516415280639</v>
      </c>
      <c r="Z134" s="256">
        <v>0.28922990977778507</v>
      </c>
      <c r="AA134" s="256">
        <v>1.6440765721188226</v>
      </c>
      <c r="AB134" s="256">
        <v>5.4785357468539145E-2</v>
      </c>
      <c r="AC134" s="260">
        <v>0.16649123685329231</v>
      </c>
      <c r="AD134" s="405">
        <v>0</v>
      </c>
      <c r="AE134" s="257" t="s">
        <v>2438</v>
      </c>
      <c r="AF134" s="257" t="s">
        <v>2112</v>
      </c>
      <c r="AG134" s="261" t="s">
        <v>59</v>
      </c>
      <c r="AH134" s="261" t="s">
        <v>2110</v>
      </c>
      <c r="AI134" s="261">
        <v>300000</v>
      </c>
      <c r="AJ134" s="261">
        <v>1000</v>
      </c>
      <c r="AK134" s="261">
        <v>300000</v>
      </c>
      <c r="AL134" s="256">
        <v>0.01</v>
      </c>
      <c r="AM134" s="256" t="s">
        <v>34</v>
      </c>
      <c r="AN134" s="256" t="s">
        <v>64</v>
      </c>
      <c r="AO134" s="254" t="s">
        <v>1324</v>
      </c>
      <c r="AP134" s="257" t="s">
        <v>13</v>
      </c>
      <c r="AQ134" s="263" t="s">
        <v>668</v>
      </c>
      <c r="AR134" s="256">
        <v>3.0000000000000001E-3</v>
      </c>
      <c r="AS134" s="256">
        <v>3.0000000000000001E-3</v>
      </c>
      <c r="AT134" s="256"/>
      <c r="AW134" s="508"/>
      <c r="AX134" s="509"/>
      <c r="AY134" s="509"/>
      <c r="AZ134" s="509"/>
      <c r="BA134" s="509"/>
      <c r="BB134" s="520"/>
      <c r="BC134" s="509"/>
      <c r="BD134" s="509"/>
      <c r="BE134" s="509"/>
      <c r="BF134" s="509"/>
      <c r="BG134" s="521"/>
      <c r="BH134" s="510"/>
      <c r="BI134" s="511"/>
      <c r="BJ134" s="511"/>
      <c r="BK134" s="511"/>
      <c r="BL134" s="195"/>
      <c r="BM134" s="510"/>
      <c r="BN134" s="510"/>
      <c r="BO134" s="510"/>
      <c r="BP134" s="510"/>
      <c r="BQ134" s="510"/>
      <c r="BR134" s="510"/>
      <c r="BS134" s="510"/>
      <c r="BT134" s="510"/>
      <c r="BU134" s="510"/>
      <c r="BV134" s="512"/>
      <c r="BW134" s="509"/>
    </row>
    <row r="135" spans="2:75" ht="15.75" customHeight="1">
      <c r="B135" s="250" t="s">
        <v>258</v>
      </c>
      <c r="C135" s="251">
        <v>12105992000109</v>
      </c>
      <c r="D135" s="252" t="s">
        <v>13</v>
      </c>
      <c r="E135" s="252" t="s">
        <v>615</v>
      </c>
      <c r="F135" s="252" t="s">
        <v>619</v>
      </c>
      <c r="G135" s="253" t="s">
        <v>34</v>
      </c>
      <c r="H135" s="253" t="s">
        <v>1338</v>
      </c>
      <c r="I135" s="253" t="s">
        <v>34</v>
      </c>
      <c r="J135" s="253" t="s">
        <v>611</v>
      </c>
      <c r="K135" s="254" t="s">
        <v>48</v>
      </c>
      <c r="L135" s="255" t="s">
        <v>1339</v>
      </c>
      <c r="M135" s="255" t="s">
        <v>1414</v>
      </c>
      <c r="N135" s="254">
        <v>255343</v>
      </c>
      <c r="O135" s="254" t="s">
        <v>1324</v>
      </c>
      <c r="P135" s="258">
        <v>40422</v>
      </c>
      <c r="Q135" s="259">
        <v>2439103580.8200002</v>
      </c>
      <c r="R135" s="259">
        <v>2249387210.3833327</v>
      </c>
      <c r="S135" s="254">
        <v>61</v>
      </c>
      <c r="T135" s="256">
        <v>0.14858742165618377</v>
      </c>
      <c r="U135" s="256">
        <v>1.9208186012457169</v>
      </c>
      <c r="V135" s="256">
        <v>0.1988667507830435</v>
      </c>
      <c r="W135" s="256">
        <v>1.949559115447032</v>
      </c>
      <c r="X135" s="256">
        <v>0.3639277990633436</v>
      </c>
      <c r="Y135" s="256">
        <v>2.759730611621436</v>
      </c>
      <c r="Z135" s="256">
        <v>0.36272818723949052</v>
      </c>
      <c r="AA135" s="256">
        <v>2.0618646084900178</v>
      </c>
      <c r="AB135" s="256">
        <v>7.0854447009592855E-2</v>
      </c>
      <c r="AC135" s="260">
        <v>1.2249019945672033</v>
      </c>
      <c r="AD135" s="405">
        <v>12083748000184</v>
      </c>
      <c r="AE135" s="257" t="s">
        <v>2294</v>
      </c>
      <c r="AF135" s="257" t="s">
        <v>2115</v>
      </c>
      <c r="AG135" s="261" t="s">
        <v>719</v>
      </c>
      <c r="AH135" s="261" t="s">
        <v>2110</v>
      </c>
      <c r="AI135" s="261">
        <v>100000</v>
      </c>
      <c r="AJ135" s="261">
        <v>50000</v>
      </c>
      <c r="AK135" s="261">
        <v>100000</v>
      </c>
      <c r="AL135" s="256">
        <v>0.02</v>
      </c>
      <c r="AM135" s="256">
        <v>0.2</v>
      </c>
      <c r="AN135" s="256" t="s">
        <v>64</v>
      </c>
      <c r="AO135" s="254" t="s">
        <v>1324</v>
      </c>
      <c r="AP135" s="257" t="s">
        <v>13</v>
      </c>
      <c r="AQ135" s="263" t="s">
        <v>668</v>
      </c>
      <c r="AR135" s="256" t="s">
        <v>34</v>
      </c>
      <c r="AS135" s="256" t="s">
        <v>34</v>
      </c>
      <c r="AT135" s="256"/>
      <c r="AW135" s="508"/>
      <c r="AX135" s="509"/>
      <c r="AY135" s="509"/>
      <c r="AZ135" s="509"/>
      <c r="BA135" s="509"/>
      <c r="BB135" s="520"/>
      <c r="BC135" s="509"/>
      <c r="BD135" s="509"/>
      <c r="BE135" s="509"/>
      <c r="BF135" s="509"/>
      <c r="BG135" s="521"/>
      <c r="BH135" s="510"/>
      <c r="BI135" s="511"/>
      <c r="BJ135" s="511"/>
      <c r="BK135" s="511"/>
      <c r="BL135" s="195"/>
      <c r="BM135" s="510"/>
      <c r="BN135" s="510"/>
      <c r="BO135" s="510"/>
      <c r="BP135" s="510"/>
      <c r="BQ135" s="510"/>
      <c r="BR135" s="510"/>
      <c r="BS135" s="510"/>
      <c r="BT135" s="510"/>
      <c r="BU135" s="510"/>
      <c r="BV135" s="512"/>
      <c r="BW135" s="509"/>
    </row>
    <row r="136" spans="2:75" ht="15.75" customHeight="1">
      <c r="B136" s="250" t="s">
        <v>46</v>
      </c>
      <c r="C136" s="251">
        <v>34581406000127</v>
      </c>
      <c r="D136" s="252" t="s">
        <v>14</v>
      </c>
      <c r="E136" s="252" t="s">
        <v>607</v>
      </c>
      <c r="F136" s="252" t="s">
        <v>1317</v>
      </c>
      <c r="G136" s="253"/>
      <c r="H136" s="253" t="s">
        <v>34</v>
      </c>
      <c r="I136" s="253" t="s">
        <v>34</v>
      </c>
      <c r="J136" s="253" t="s">
        <v>608</v>
      </c>
      <c r="K136" s="254" t="s">
        <v>48</v>
      </c>
      <c r="L136" s="255" t="s">
        <v>1339</v>
      </c>
      <c r="M136" s="255" t="s">
        <v>1414</v>
      </c>
      <c r="N136" s="254">
        <v>507113</v>
      </c>
      <c r="O136" s="254" t="s">
        <v>1321</v>
      </c>
      <c r="P136" s="258">
        <v>43725</v>
      </c>
      <c r="Q136" s="259">
        <v>325036116.47000003</v>
      </c>
      <c r="R136" s="259">
        <v>372906796.45376998</v>
      </c>
      <c r="S136" s="254">
        <v>62</v>
      </c>
      <c r="T136" s="256">
        <v>-5.7841895190463344E-2</v>
      </c>
      <c r="U136" s="256">
        <v>-0.7477334687873517</v>
      </c>
      <c r="V136" s="256">
        <v>-0.27710168408410962</v>
      </c>
      <c r="W136" s="256">
        <v>-2.7165230587051075</v>
      </c>
      <c r="X136" s="256">
        <v>-0.21405088885937384</v>
      </c>
      <c r="Y136" s="256">
        <v>-1.6231867748228086</v>
      </c>
      <c r="Z136" s="256" t="s">
        <v>1417</v>
      </c>
      <c r="AA136" s="256" t="s">
        <v>1417</v>
      </c>
      <c r="AB136" s="256">
        <v>0.25424376767240997</v>
      </c>
      <c r="AC136" s="260">
        <v>-1.5307758206907245</v>
      </c>
      <c r="AD136" s="405">
        <v>34270949000123</v>
      </c>
      <c r="AE136" s="257" t="s">
        <v>2123</v>
      </c>
      <c r="AF136" s="257" t="s">
        <v>2109</v>
      </c>
      <c r="AG136" s="261" t="s">
        <v>1432</v>
      </c>
      <c r="AH136" s="261" t="s">
        <v>2110</v>
      </c>
      <c r="AI136" s="261">
        <v>10000</v>
      </c>
      <c r="AJ136" s="261">
        <v>10000</v>
      </c>
      <c r="AK136" s="261">
        <v>10000</v>
      </c>
      <c r="AL136" s="519">
        <v>0</v>
      </c>
      <c r="AM136" s="519" t="s">
        <v>34</v>
      </c>
      <c r="AN136" s="256" t="s">
        <v>34</v>
      </c>
      <c r="AO136" s="254" t="s">
        <v>1324</v>
      </c>
      <c r="AP136" s="257" t="s">
        <v>716</v>
      </c>
      <c r="AQ136" s="263" t="s">
        <v>659</v>
      </c>
      <c r="AR136" s="256">
        <v>2.2839506172839504E-3</v>
      </c>
      <c r="AS136" s="256">
        <v>2.2839506172839504E-3</v>
      </c>
      <c r="AT136" s="256"/>
      <c r="AW136" s="508"/>
      <c r="AX136" s="509"/>
      <c r="AY136" s="509"/>
      <c r="AZ136" s="509"/>
      <c r="BA136" s="509"/>
      <c r="BB136" s="520"/>
      <c r="BC136" s="509"/>
      <c r="BD136" s="509"/>
      <c r="BE136" s="509"/>
      <c r="BF136" s="509"/>
      <c r="BG136" s="521"/>
      <c r="BH136" s="510"/>
      <c r="BI136" s="511"/>
      <c r="BJ136" s="511"/>
      <c r="BK136" s="511"/>
      <c r="BL136" s="195"/>
      <c r="BM136" s="510"/>
      <c r="BN136" s="510"/>
      <c r="BO136" s="510"/>
      <c r="BP136" s="510"/>
      <c r="BQ136" s="510"/>
      <c r="BR136" s="510"/>
      <c r="BS136" s="510"/>
      <c r="BT136" s="510"/>
      <c r="BU136" s="510"/>
      <c r="BV136" s="512"/>
      <c r="BW136" s="509"/>
    </row>
    <row r="137" spans="2:75" ht="15.75" customHeight="1">
      <c r="B137" s="250" t="s">
        <v>913</v>
      </c>
      <c r="C137" s="251">
        <v>27717327000135</v>
      </c>
      <c r="D137" s="252" t="s">
        <v>14</v>
      </c>
      <c r="E137" s="252" t="s">
        <v>607</v>
      </c>
      <c r="F137" s="252" t="s">
        <v>1317</v>
      </c>
      <c r="G137" s="253"/>
      <c r="H137" s="253" t="s">
        <v>34</v>
      </c>
      <c r="I137" s="253" t="s">
        <v>34</v>
      </c>
      <c r="J137" s="253" t="s">
        <v>608</v>
      </c>
      <c r="K137" s="254" t="s">
        <v>48</v>
      </c>
      <c r="L137" s="255" t="s">
        <v>1339</v>
      </c>
      <c r="M137" s="255" t="s">
        <v>34</v>
      </c>
      <c r="N137" s="254">
        <v>449792</v>
      </c>
      <c r="O137" s="254" t="s">
        <v>1321</v>
      </c>
      <c r="P137" s="258">
        <v>42982</v>
      </c>
      <c r="Q137" s="259">
        <v>75416027.230000004</v>
      </c>
      <c r="R137" s="259">
        <v>152412291.53301585</v>
      </c>
      <c r="S137" s="254">
        <v>62</v>
      </c>
      <c r="T137" s="256">
        <v>-8.5951894053384437E-2</v>
      </c>
      <c r="U137" s="256">
        <v>-1.1111169106363656</v>
      </c>
      <c r="V137" s="256">
        <v>-0.3248826344876321</v>
      </c>
      <c r="W137" s="256">
        <v>-3.1849361395098272</v>
      </c>
      <c r="X137" s="256">
        <v>-0.27866411026554894</v>
      </c>
      <c r="Y137" s="256">
        <v>-2.1131605704191658</v>
      </c>
      <c r="Z137" s="256">
        <v>-9.6214559622065932E-2</v>
      </c>
      <c r="AA137" s="256">
        <v>-0.54691474852272659</v>
      </c>
      <c r="AB137" s="256">
        <v>0.26094978121617562</v>
      </c>
      <c r="AC137" s="260">
        <v>-1.7463940233891491</v>
      </c>
      <c r="AD137" s="405">
        <v>34473526000100</v>
      </c>
      <c r="AE137" s="257" t="s">
        <v>2123</v>
      </c>
      <c r="AF137" s="257" t="s">
        <v>2109</v>
      </c>
      <c r="AG137" s="261" t="s">
        <v>1432</v>
      </c>
      <c r="AH137" s="261" t="s">
        <v>2113</v>
      </c>
      <c r="AI137" s="261">
        <v>5000</v>
      </c>
      <c r="AJ137" s="261">
        <v>1000</v>
      </c>
      <c r="AK137" s="261">
        <v>5000</v>
      </c>
      <c r="AL137" s="256">
        <v>0</v>
      </c>
      <c r="AM137" s="256" t="s">
        <v>34</v>
      </c>
      <c r="AN137" s="256" t="s">
        <v>34</v>
      </c>
      <c r="AO137" s="254" t="s">
        <v>1324</v>
      </c>
      <c r="AP137" s="257" t="s">
        <v>716</v>
      </c>
      <c r="AQ137" s="263" t="s">
        <v>665</v>
      </c>
      <c r="AR137" s="256">
        <v>5.3333333333333332E-3</v>
      </c>
      <c r="AS137" s="256">
        <v>5.3333333333333332E-3</v>
      </c>
      <c r="AT137" s="256"/>
      <c r="AW137" s="508"/>
      <c r="AX137" s="509"/>
      <c r="AY137" s="509"/>
      <c r="AZ137" s="509"/>
      <c r="BA137" s="509"/>
      <c r="BB137" s="520"/>
      <c r="BC137" s="509"/>
      <c r="BD137" s="509"/>
      <c r="BE137" s="509"/>
      <c r="BF137" s="509"/>
      <c r="BG137" s="521"/>
      <c r="BH137" s="510"/>
      <c r="BI137" s="511"/>
      <c r="BJ137" s="511"/>
      <c r="BK137" s="511"/>
      <c r="BL137" s="195"/>
      <c r="BM137" s="510"/>
      <c r="BN137" s="510"/>
      <c r="BO137" s="510"/>
      <c r="BP137" s="510"/>
      <c r="BQ137" s="510"/>
      <c r="BR137" s="510"/>
      <c r="BS137" s="510"/>
      <c r="BT137" s="510"/>
      <c r="BU137" s="510"/>
      <c r="BV137" s="512"/>
      <c r="BW137" s="509"/>
    </row>
    <row r="138" spans="2:75" ht="15.75" customHeight="1">
      <c r="B138" s="250" t="s">
        <v>1198</v>
      </c>
      <c r="C138" s="251">
        <v>17447468000121</v>
      </c>
      <c r="D138" s="252" t="s">
        <v>14</v>
      </c>
      <c r="E138" s="252" t="s">
        <v>614</v>
      </c>
      <c r="F138" s="252"/>
      <c r="G138" s="253"/>
      <c r="H138" s="253" t="s">
        <v>865</v>
      </c>
      <c r="I138" s="253" t="s">
        <v>34</v>
      </c>
      <c r="J138" s="253" t="s">
        <v>608</v>
      </c>
      <c r="K138" s="254" t="s">
        <v>48</v>
      </c>
      <c r="L138" s="255" t="s">
        <v>1339</v>
      </c>
      <c r="M138" s="255" t="s">
        <v>1414</v>
      </c>
      <c r="N138" s="254">
        <v>331155</v>
      </c>
      <c r="O138" s="254" t="s">
        <v>1321</v>
      </c>
      <c r="P138" s="258">
        <v>41353</v>
      </c>
      <c r="Q138" s="259">
        <v>131139578.97</v>
      </c>
      <c r="R138" s="259">
        <v>119233983.18507934</v>
      </c>
      <c r="S138" s="254">
        <v>62</v>
      </c>
      <c r="T138" s="256">
        <v>0.13220060891469143</v>
      </c>
      <c r="U138" s="256">
        <v>1.7089830745359169</v>
      </c>
      <c r="V138" s="256">
        <v>7.9250181052307411E-2</v>
      </c>
      <c r="W138" s="256">
        <v>0.77691676593997716</v>
      </c>
      <c r="X138" s="256">
        <v>0.32849990848505062</v>
      </c>
      <c r="Y138" s="256">
        <v>2.4910744815161561</v>
      </c>
      <c r="Z138" s="256">
        <v>0.31632752035788703</v>
      </c>
      <c r="AA138" s="256">
        <v>1.7981081753834118</v>
      </c>
      <c r="AB138" s="256">
        <v>0.16198021772291463</v>
      </c>
      <c r="AC138" s="260">
        <v>-4.8131310812850804E-2</v>
      </c>
      <c r="AD138" s="405">
        <v>17735052000109</v>
      </c>
      <c r="AE138" s="257" t="s">
        <v>2123</v>
      </c>
      <c r="AF138" s="257" t="s">
        <v>2109</v>
      </c>
      <c r="AG138" s="261" t="s">
        <v>1432</v>
      </c>
      <c r="AH138" s="261" t="s">
        <v>2110</v>
      </c>
      <c r="AI138" s="261">
        <v>5000</v>
      </c>
      <c r="AJ138" s="261">
        <v>5000</v>
      </c>
      <c r="AK138" s="261">
        <v>5000</v>
      </c>
      <c r="AL138" s="256">
        <v>0</v>
      </c>
      <c r="AM138" s="256" t="s">
        <v>34</v>
      </c>
      <c r="AN138" s="256" t="s">
        <v>2127</v>
      </c>
      <c r="AO138" s="254" t="s">
        <v>1324</v>
      </c>
      <c r="AP138" s="257" t="s">
        <v>716</v>
      </c>
      <c r="AQ138" s="263" t="s">
        <v>659</v>
      </c>
      <c r="AR138" s="256">
        <v>3.3333333333333331E-3</v>
      </c>
      <c r="AS138" s="256">
        <v>3.3333333333333331E-3</v>
      </c>
      <c r="AT138" s="256"/>
      <c r="AW138" s="508"/>
      <c r="AX138" s="509"/>
      <c r="AY138" s="509"/>
      <c r="AZ138" s="509"/>
      <c r="BA138" s="509"/>
      <c r="BB138" s="520"/>
      <c r="BC138" s="509"/>
      <c r="BD138" s="509"/>
      <c r="BE138" s="509"/>
      <c r="BF138" s="509"/>
      <c r="BG138" s="521"/>
      <c r="BH138" s="510"/>
      <c r="BI138" s="511"/>
      <c r="BJ138" s="511"/>
      <c r="BK138" s="511"/>
      <c r="BL138" s="195"/>
      <c r="BM138" s="510"/>
      <c r="BN138" s="510"/>
      <c r="BO138" s="510"/>
      <c r="BP138" s="510"/>
      <c r="BQ138" s="510"/>
      <c r="BR138" s="510"/>
      <c r="BS138" s="510"/>
      <c r="BT138" s="510"/>
      <c r="BU138" s="510"/>
      <c r="BV138" s="512"/>
      <c r="BW138" s="509"/>
    </row>
    <row r="139" spans="2:75" ht="15.75" customHeight="1">
      <c r="B139" s="250" t="s">
        <v>243</v>
      </c>
      <c r="C139" s="251">
        <v>19488866000111</v>
      </c>
      <c r="D139" s="252" t="s">
        <v>11</v>
      </c>
      <c r="E139" s="252" t="s">
        <v>620</v>
      </c>
      <c r="F139" s="252" t="s">
        <v>663</v>
      </c>
      <c r="G139" s="253" t="s">
        <v>738</v>
      </c>
      <c r="H139" s="253" t="s">
        <v>34</v>
      </c>
      <c r="I139" s="253"/>
      <c r="J139" s="253" t="s">
        <v>608</v>
      </c>
      <c r="K139" s="254" t="s">
        <v>48</v>
      </c>
      <c r="L139" s="255" t="s">
        <v>1339</v>
      </c>
      <c r="M139" s="255" t="s">
        <v>34</v>
      </c>
      <c r="N139" s="254">
        <v>425338</v>
      </c>
      <c r="O139" s="254" t="s">
        <v>1321</v>
      </c>
      <c r="P139" s="258">
        <v>42551</v>
      </c>
      <c r="Q139" s="259">
        <v>576336343</v>
      </c>
      <c r="R139" s="259">
        <v>414029785.15519845</v>
      </c>
      <c r="S139" s="254">
        <v>76</v>
      </c>
      <c r="T139" s="256">
        <v>9.0146879912603062E-2</v>
      </c>
      <c r="U139" s="256">
        <v>1.1653463116215637</v>
      </c>
      <c r="V139" s="256">
        <v>0.1189423656208386</v>
      </c>
      <c r="W139" s="256">
        <v>1.1660328948699825</v>
      </c>
      <c r="X139" s="256">
        <v>0.21258817921009343</v>
      </c>
      <c r="Y139" s="256">
        <v>1.6120947818356759</v>
      </c>
      <c r="Z139" s="256">
        <v>0.19866145666730595</v>
      </c>
      <c r="AA139" s="256">
        <v>1.1292561234094147</v>
      </c>
      <c r="AB139" s="256">
        <v>2.8312156416509982E-3</v>
      </c>
      <c r="AC139" s="260">
        <v>5.3902304817843829</v>
      </c>
      <c r="AD139" s="405">
        <v>18990334000115</v>
      </c>
      <c r="AE139" s="257" t="s">
        <v>2288</v>
      </c>
      <c r="AF139" s="257" t="s">
        <v>2118</v>
      </c>
      <c r="AG139" s="261" t="s">
        <v>1433</v>
      </c>
      <c r="AH139" s="261" t="s">
        <v>2113</v>
      </c>
      <c r="AI139" s="261">
        <v>100000</v>
      </c>
      <c r="AJ139" s="261">
        <v>50000</v>
      </c>
      <c r="AK139" s="261">
        <v>100000</v>
      </c>
      <c r="AL139" s="256">
        <v>7.4999999999999997E-3</v>
      </c>
      <c r="AM139" s="256">
        <v>0.2</v>
      </c>
      <c r="AN139" s="256" t="s">
        <v>64</v>
      </c>
      <c r="AO139" s="254" t="s">
        <v>1324</v>
      </c>
      <c r="AP139" s="257" t="s">
        <v>13</v>
      </c>
      <c r="AQ139" s="263" t="s">
        <v>671</v>
      </c>
      <c r="AR139" s="256">
        <v>1E-3</v>
      </c>
      <c r="AS139" s="256">
        <v>1E-3</v>
      </c>
      <c r="AT139" s="256"/>
      <c r="AW139" s="508"/>
      <c r="AX139" s="509"/>
      <c r="AY139" s="509"/>
      <c r="AZ139" s="509"/>
      <c r="BA139" s="509"/>
      <c r="BB139" s="520"/>
      <c r="BC139" s="509"/>
      <c r="BD139" s="509"/>
      <c r="BE139" s="509"/>
      <c r="BF139" s="509"/>
      <c r="BG139" s="521"/>
      <c r="BH139" s="510"/>
      <c r="BI139" s="511"/>
      <c r="BJ139" s="511"/>
      <c r="BK139" s="511"/>
      <c r="BL139" s="195"/>
      <c r="BM139" s="510"/>
      <c r="BN139" s="510"/>
      <c r="BO139" s="510"/>
      <c r="BP139" s="510"/>
      <c r="BQ139" s="510"/>
      <c r="BR139" s="510"/>
      <c r="BS139" s="510"/>
      <c r="BT139" s="510"/>
      <c r="BU139" s="510"/>
      <c r="BV139" s="512"/>
      <c r="BW139" s="509"/>
    </row>
    <row r="140" spans="2:75" ht="15.75" customHeight="1">
      <c r="B140" s="250" t="s">
        <v>249</v>
      </c>
      <c r="C140" s="251">
        <v>21946695000179</v>
      </c>
      <c r="D140" s="252" t="s">
        <v>11</v>
      </c>
      <c r="E140" s="252" t="s">
        <v>620</v>
      </c>
      <c r="F140" s="252" t="s">
        <v>663</v>
      </c>
      <c r="G140" s="253" t="s">
        <v>738</v>
      </c>
      <c r="H140" s="253" t="s">
        <v>34</v>
      </c>
      <c r="I140" s="253"/>
      <c r="J140" s="253" t="s">
        <v>608</v>
      </c>
      <c r="K140" s="254" t="s">
        <v>48</v>
      </c>
      <c r="L140" s="255" t="s">
        <v>1339</v>
      </c>
      <c r="M140" s="255" t="s">
        <v>34</v>
      </c>
      <c r="N140" s="254">
        <v>393185</v>
      </c>
      <c r="O140" s="254" t="s">
        <v>1321</v>
      </c>
      <c r="P140" s="258">
        <v>42118</v>
      </c>
      <c r="Q140" s="259">
        <v>327919925.73000002</v>
      </c>
      <c r="R140" s="259">
        <v>342931780.14373022</v>
      </c>
      <c r="S140" s="254">
        <v>76</v>
      </c>
      <c r="T140" s="256">
        <v>8.7314327036811967E-2</v>
      </c>
      <c r="U140" s="256">
        <v>1.1287293477346669</v>
      </c>
      <c r="V140" s="256">
        <v>0.11049730768022203</v>
      </c>
      <c r="W140" s="256">
        <v>1.0832430890136524</v>
      </c>
      <c r="X140" s="256">
        <v>0.22309032086324643</v>
      </c>
      <c r="Y140" s="256">
        <v>1.6917344298163628</v>
      </c>
      <c r="Z140" s="256">
        <v>0.17917301327133872</v>
      </c>
      <c r="AA140" s="256">
        <v>1.0184774932221352</v>
      </c>
      <c r="AB140" s="256">
        <v>6.7166321318470647E-3</v>
      </c>
      <c r="AC140" s="260">
        <v>1.1464267141977618</v>
      </c>
      <c r="AD140" s="405">
        <v>21762085000115</v>
      </c>
      <c r="AE140" s="257" t="s">
        <v>2288</v>
      </c>
      <c r="AF140" s="257" t="s">
        <v>2118</v>
      </c>
      <c r="AG140" s="261" t="s">
        <v>1433</v>
      </c>
      <c r="AH140" s="261" t="s">
        <v>2113</v>
      </c>
      <c r="AI140" s="261">
        <v>100000</v>
      </c>
      <c r="AJ140" s="261">
        <v>50000</v>
      </c>
      <c r="AK140" s="261">
        <v>100000</v>
      </c>
      <c r="AL140" s="256">
        <v>8.5000000000000006E-3</v>
      </c>
      <c r="AM140" s="256">
        <v>0.2</v>
      </c>
      <c r="AN140" s="256" t="s">
        <v>64</v>
      </c>
      <c r="AO140" s="254" t="s">
        <v>1324</v>
      </c>
      <c r="AP140" s="257" t="s">
        <v>13</v>
      </c>
      <c r="AQ140" s="263" t="s">
        <v>671</v>
      </c>
      <c r="AR140" s="256">
        <v>1.6665666666666665E-3</v>
      </c>
      <c r="AS140" s="256">
        <v>1.6665666666666665E-3</v>
      </c>
      <c r="AT140" s="256"/>
      <c r="AW140" s="508"/>
      <c r="AX140" s="509"/>
      <c r="AY140" s="509"/>
      <c r="AZ140" s="509"/>
      <c r="BA140" s="509"/>
      <c r="BB140" s="520"/>
      <c r="BC140" s="509"/>
      <c r="BD140" s="509"/>
      <c r="BE140" s="509"/>
      <c r="BF140" s="509"/>
      <c r="BG140" s="521"/>
      <c r="BH140" s="510"/>
      <c r="BI140" s="511"/>
      <c r="BJ140" s="511"/>
      <c r="BK140" s="511"/>
      <c r="BL140" s="195"/>
      <c r="BM140" s="510"/>
      <c r="BN140" s="510"/>
      <c r="BO140" s="510"/>
      <c r="BP140" s="510"/>
      <c r="BQ140" s="510"/>
      <c r="BR140" s="510"/>
      <c r="BS140" s="510"/>
      <c r="BT140" s="510"/>
      <c r="BU140" s="510"/>
      <c r="BV140" s="512"/>
      <c r="BW140" s="509"/>
    </row>
    <row r="141" spans="2:75" ht="15.75" customHeight="1">
      <c r="B141" s="250" t="s">
        <v>1016</v>
      </c>
      <c r="C141" s="251">
        <v>26525450000191</v>
      </c>
      <c r="D141" s="252" t="s">
        <v>11</v>
      </c>
      <c r="E141" s="252" t="s">
        <v>620</v>
      </c>
      <c r="F141" s="252" t="s">
        <v>663</v>
      </c>
      <c r="G141" s="253" t="s">
        <v>738</v>
      </c>
      <c r="H141" s="253" t="s">
        <v>34</v>
      </c>
      <c r="I141" s="253"/>
      <c r="J141" s="253" t="s">
        <v>611</v>
      </c>
      <c r="K141" s="254" t="s">
        <v>48</v>
      </c>
      <c r="L141" s="255" t="s">
        <v>1339</v>
      </c>
      <c r="M141" s="255" t="s">
        <v>34</v>
      </c>
      <c r="N141" s="254">
        <v>444456</v>
      </c>
      <c r="O141" s="254" t="s">
        <v>1321</v>
      </c>
      <c r="P141" s="258">
        <v>42754</v>
      </c>
      <c r="Q141" s="259">
        <v>123214972.52</v>
      </c>
      <c r="R141" s="259">
        <v>140474322.83630961</v>
      </c>
      <c r="S141" s="254">
        <v>76</v>
      </c>
      <c r="T141" s="256">
        <v>8.1994216607156556E-2</v>
      </c>
      <c r="U141" s="256">
        <v>1.0599552418240799</v>
      </c>
      <c r="V141" s="256">
        <v>9.7303882433552813E-2</v>
      </c>
      <c r="W141" s="256">
        <v>0.95390340627466053</v>
      </c>
      <c r="X141" s="256">
        <v>0.23360340470767627</v>
      </c>
      <c r="Y141" s="256">
        <v>1.7714570544212667</v>
      </c>
      <c r="Z141" s="256">
        <v>0.14736897421939466</v>
      </c>
      <c r="AA141" s="256">
        <v>0.83769302475472673</v>
      </c>
      <c r="AB141" s="256">
        <v>1.3080325510591198E-2</v>
      </c>
      <c r="AC141" s="260">
        <v>-0.32060437788296559</v>
      </c>
      <c r="AD141" s="405">
        <v>0</v>
      </c>
      <c r="AE141" s="257" t="s">
        <v>2288</v>
      </c>
      <c r="AF141" s="257" t="s">
        <v>2118</v>
      </c>
      <c r="AG141" s="261" t="s">
        <v>1433</v>
      </c>
      <c r="AH141" s="261" t="s">
        <v>726</v>
      </c>
      <c r="AI141" s="261">
        <v>100000</v>
      </c>
      <c r="AJ141" s="261">
        <v>50000</v>
      </c>
      <c r="AK141" s="261">
        <v>100000</v>
      </c>
      <c r="AL141" s="256">
        <v>1.3000000000000001E-2</v>
      </c>
      <c r="AM141" s="256">
        <v>0.2</v>
      </c>
      <c r="AN141" s="256" t="s">
        <v>64</v>
      </c>
      <c r="AO141" s="254" t="s">
        <v>1324</v>
      </c>
      <c r="AP141" s="257" t="s">
        <v>13</v>
      </c>
      <c r="AQ141" s="263" t="s">
        <v>679</v>
      </c>
      <c r="AR141" s="256">
        <v>2.0002666666666664E-3</v>
      </c>
      <c r="AS141" s="256">
        <v>2.0002666666666664E-3</v>
      </c>
      <c r="AT141" s="256"/>
      <c r="AW141" s="508"/>
      <c r="AX141" s="509"/>
      <c r="AY141" s="509"/>
      <c r="AZ141" s="509"/>
      <c r="BA141" s="509"/>
      <c r="BB141" s="520"/>
      <c r="BC141" s="509"/>
      <c r="BD141" s="509"/>
      <c r="BE141" s="509"/>
      <c r="BF141" s="509"/>
      <c r="BG141" s="521"/>
      <c r="BH141" s="510"/>
      <c r="BI141" s="511"/>
      <c r="BJ141" s="511"/>
      <c r="BK141" s="511"/>
      <c r="BL141" s="195"/>
      <c r="BM141" s="510"/>
      <c r="BN141" s="510"/>
      <c r="BO141" s="510"/>
      <c r="BP141" s="510"/>
      <c r="BQ141" s="510"/>
      <c r="BR141" s="510"/>
      <c r="BS141" s="510"/>
      <c r="BT141" s="510"/>
      <c r="BU141" s="510"/>
      <c r="BV141" s="512"/>
      <c r="BW141" s="509"/>
    </row>
    <row r="142" spans="2:75" ht="15.75" customHeight="1">
      <c r="B142" s="250" t="s">
        <v>375</v>
      </c>
      <c r="C142" s="251">
        <v>25423215000146</v>
      </c>
      <c r="D142" s="252" t="s">
        <v>13</v>
      </c>
      <c r="E142" s="252" t="s">
        <v>616</v>
      </c>
      <c r="F142" s="252" t="s">
        <v>617</v>
      </c>
      <c r="G142" s="253" t="s">
        <v>34</v>
      </c>
      <c r="H142" s="253" t="s">
        <v>1338</v>
      </c>
      <c r="I142" s="253" t="s">
        <v>34</v>
      </c>
      <c r="J142" s="253" t="s">
        <v>608</v>
      </c>
      <c r="K142" s="254" t="s">
        <v>48</v>
      </c>
      <c r="L142" s="255" t="s">
        <v>1339</v>
      </c>
      <c r="M142" s="255" t="s">
        <v>1414</v>
      </c>
      <c r="N142" s="254">
        <v>428035</v>
      </c>
      <c r="O142" s="254" t="s">
        <v>1321</v>
      </c>
      <c r="P142" s="258">
        <v>42677</v>
      </c>
      <c r="Q142" s="259">
        <v>254165199.18000001</v>
      </c>
      <c r="R142" s="259">
        <v>277670602.60123003</v>
      </c>
      <c r="S142" s="254">
        <v>77</v>
      </c>
      <c r="T142" s="256">
        <v>0.11084835139601412</v>
      </c>
      <c r="U142" s="256">
        <v>1.4329582740291427</v>
      </c>
      <c r="V142" s="256">
        <v>9.3096863405803365E-2</v>
      </c>
      <c r="W142" s="256">
        <v>0.91266055264471435</v>
      </c>
      <c r="X142" s="256">
        <v>0.23928114709756376</v>
      </c>
      <c r="Y142" s="256">
        <v>1.8145124063855882</v>
      </c>
      <c r="Z142" s="256">
        <v>0.41164107467953692</v>
      </c>
      <c r="AA142" s="256">
        <v>2.3399013176832311</v>
      </c>
      <c r="AB142" s="256">
        <v>0.10238768640090619</v>
      </c>
      <c r="AC142" s="260">
        <v>-2.8278200454801703E-2</v>
      </c>
      <c r="AD142" s="405">
        <v>25423226000126</v>
      </c>
      <c r="AE142" s="257" t="s">
        <v>2395</v>
      </c>
      <c r="AF142" s="257" t="s">
        <v>2115</v>
      </c>
      <c r="AG142" s="261" t="s">
        <v>719</v>
      </c>
      <c r="AH142" s="261" t="s">
        <v>2110</v>
      </c>
      <c r="AI142" s="261">
        <v>100000</v>
      </c>
      <c r="AJ142" s="261">
        <v>50000</v>
      </c>
      <c r="AK142" s="261">
        <v>100000</v>
      </c>
      <c r="AL142" s="256">
        <v>1.8500000000000003E-2</v>
      </c>
      <c r="AM142" s="256">
        <v>0.2</v>
      </c>
      <c r="AN142" s="256" t="s">
        <v>64</v>
      </c>
      <c r="AO142" s="254" t="s">
        <v>1324</v>
      </c>
      <c r="AP142" s="257" t="s">
        <v>13</v>
      </c>
      <c r="AQ142" s="263" t="s">
        <v>668</v>
      </c>
      <c r="AR142" s="256">
        <v>3.6999999999999993E-3</v>
      </c>
      <c r="AS142" s="256">
        <v>3.6999999999999993E-3</v>
      </c>
      <c r="AT142" s="256"/>
      <c r="AW142" s="508"/>
      <c r="AX142" s="509"/>
      <c r="AY142" s="509"/>
      <c r="AZ142" s="509"/>
      <c r="BA142" s="509"/>
      <c r="BB142" s="520"/>
      <c r="BC142" s="509"/>
      <c r="BD142" s="509"/>
      <c r="BE142" s="509"/>
      <c r="BF142" s="509"/>
      <c r="BG142" s="521"/>
      <c r="BH142" s="510"/>
      <c r="BI142" s="511"/>
      <c r="BJ142" s="511"/>
      <c r="BK142" s="511"/>
      <c r="BL142" s="195"/>
      <c r="BM142" s="510"/>
      <c r="BN142" s="510"/>
      <c r="BO142" s="510"/>
      <c r="BP142" s="510"/>
      <c r="BQ142" s="510"/>
      <c r="BR142" s="510"/>
      <c r="BS142" s="510"/>
      <c r="BT142" s="510"/>
      <c r="BU142" s="510"/>
      <c r="BV142" s="512"/>
      <c r="BW142" s="509"/>
    </row>
    <row r="143" spans="2:75" ht="15.75" customHeight="1">
      <c r="B143" s="250" t="s">
        <v>1184</v>
      </c>
      <c r="C143" s="251">
        <v>19366052000104</v>
      </c>
      <c r="D143" s="252" t="s">
        <v>13</v>
      </c>
      <c r="E143" s="252" t="s">
        <v>616</v>
      </c>
      <c r="F143" s="252" t="s">
        <v>617</v>
      </c>
      <c r="G143" s="253" t="s">
        <v>34</v>
      </c>
      <c r="H143" s="253" t="s">
        <v>1337</v>
      </c>
      <c r="I143" s="253" t="s">
        <v>34</v>
      </c>
      <c r="J143" s="253" t="s">
        <v>608</v>
      </c>
      <c r="K143" s="254" t="s">
        <v>48</v>
      </c>
      <c r="L143" s="255" t="s">
        <v>1339</v>
      </c>
      <c r="M143" s="255" t="s">
        <v>34</v>
      </c>
      <c r="N143" s="254">
        <v>396941</v>
      </c>
      <c r="O143" s="254" t="s">
        <v>1324</v>
      </c>
      <c r="P143" s="258">
        <v>42163</v>
      </c>
      <c r="Q143" s="259">
        <v>1478017400.52</v>
      </c>
      <c r="R143" s="259">
        <v>1467760374.0115087</v>
      </c>
      <c r="S143" s="254">
        <v>91</v>
      </c>
      <c r="T143" s="256">
        <v>0.10238824671930824</v>
      </c>
      <c r="U143" s="256">
        <v>1.3235928496185614</v>
      </c>
      <c r="V143" s="256">
        <v>0.1276545029266849</v>
      </c>
      <c r="W143" s="256">
        <v>1.2514409715482635</v>
      </c>
      <c r="X143" s="256">
        <v>0.19398174520344869</v>
      </c>
      <c r="Y143" s="256">
        <v>1.4709988127082554</v>
      </c>
      <c r="Z143" s="256">
        <v>0.42957164056046571</v>
      </c>
      <c r="AA143" s="256">
        <v>2.4418244670294276</v>
      </c>
      <c r="AB143" s="256">
        <v>3.0040434172156533E-2</v>
      </c>
      <c r="AC143" s="260">
        <v>0.7811351680676718</v>
      </c>
      <c r="AD143" s="405">
        <v>32318967000102</v>
      </c>
      <c r="AE143" s="257" t="s">
        <v>2391</v>
      </c>
      <c r="AF143" s="257" t="s">
        <v>2118</v>
      </c>
      <c r="AG143" s="261" t="s">
        <v>1433</v>
      </c>
      <c r="AH143" s="261" t="s">
        <v>2113</v>
      </c>
      <c r="AI143" s="261">
        <v>50000</v>
      </c>
      <c r="AJ143" s="261">
        <v>5000</v>
      </c>
      <c r="AK143" s="261">
        <v>5000</v>
      </c>
      <c r="AL143" s="256">
        <v>1.9450000000000002E-2</v>
      </c>
      <c r="AM143" s="256">
        <v>0.2</v>
      </c>
      <c r="AN143" s="256" t="s">
        <v>64</v>
      </c>
      <c r="AO143" s="254" t="s">
        <v>1324</v>
      </c>
      <c r="AP143" s="257" t="s">
        <v>13</v>
      </c>
      <c r="AQ143" s="263" t="s">
        <v>668</v>
      </c>
      <c r="AR143" s="256">
        <v>3.8899999999999994E-3</v>
      </c>
      <c r="AS143" s="256">
        <v>3.8899999999999994E-3</v>
      </c>
      <c r="AT143" s="256"/>
      <c r="AW143" s="508"/>
      <c r="AX143" s="509"/>
      <c r="AY143" s="509"/>
      <c r="AZ143" s="509"/>
      <c r="BA143" s="509"/>
      <c r="BB143" s="520"/>
      <c r="BC143" s="509"/>
      <c r="BD143" s="509"/>
      <c r="BE143" s="509"/>
      <c r="BF143" s="509"/>
      <c r="BG143" s="521"/>
      <c r="BH143" s="510"/>
      <c r="BI143" s="511"/>
      <c r="BJ143" s="511"/>
      <c r="BK143" s="511"/>
      <c r="BL143" s="195"/>
      <c r="BM143" s="510"/>
      <c r="BN143" s="510"/>
      <c r="BO143" s="510"/>
      <c r="BP143" s="510"/>
      <c r="BQ143" s="510"/>
      <c r="BR143" s="510"/>
      <c r="BS143" s="510"/>
      <c r="BT143" s="510"/>
      <c r="BU143" s="510"/>
      <c r="BV143" s="512"/>
      <c r="BW143" s="509"/>
    </row>
    <row r="144" spans="2:75" ht="15.75" customHeight="1">
      <c r="B144" s="250" t="s">
        <v>43</v>
      </c>
      <c r="C144" s="251">
        <v>32068007000131</v>
      </c>
      <c r="D144" s="252" t="s">
        <v>14</v>
      </c>
      <c r="E144" s="252" t="s">
        <v>614</v>
      </c>
      <c r="F144" s="252"/>
      <c r="G144" s="253"/>
      <c r="H144" s="253" t="s">
        <v>865</v>
      </c>
      <c r="I144" s="253" t="s">
        <v>34</v>
      </c>
      <c r="J144" s="253" t="s">
        <v>608</v>
      </c>
      <c r="K144" s="254" t="s">
        <v>48</v>
      </c>
      <c r="L144" s="255" t="s">
        <v>1339</v>
      </c>
      <c r="M144" s="255" t="s">
        <v>34</v>
      </c>
      <c r="N144" s="254">
        <v>482544</v>
      </c>
      <c r="O144" s="254" t="s">
        <v>1324</v>
      </c>
      <c r="P144" s="258">
        <v>43454</v>
      </c>
      <c r="Q144" s="259">
        <v>884158128.36000001</v>
      </c>
      <c r="R144" s="259">
        <v>1062945874.6573014</v>
      </c>
      <c r="S144" s="254">
        <v>92</v>
      </c>
      <c r="T144" s="256">
        <v>9.0159993990920562E-2</v>
      </c>
      <c r="U144" s="256">
        <v>1.1655158398715977</v>
      </c>
      <c r="V144" s="256">
        <v>-1.8668492786545698E-2</v>
      </c>
      <c r="W144" s="256">
        <v>-0.1830136518063461</v>
      </c>
      <c r="X144" s="256">
        <v>0.11093781511009482</v>
      </c>
      <c r="Y144" s="256">
        <v>0.84126160500434655</v>
      </c>
      <c r="Z144" s="256">
        <v>0.52678239275015559</v>
      </c>
      <c r="AA144" s="256">
        <v>2.9944018970604662</v>
      </c>
      <c r="AB144" s="256">
        <v>0.16335882985711056</v>
      </c>
      <c r="AC144" s="260">
        <v>-0.62872409383284</v>
      </c>
      <c r="AD144" s="405">
        <v>32064571000186</v>
      </c>
      <c r="AE144" s="257" t="s">
        <v>2391</v>
      </c>
      <c r="AF144" s="257" t="s">
        <v>2109</v>
      </c>
      <c r="AG144" s="261" t="s">
        <v>1432</v>
      </c>
      <c r="AH144" s="261" t="s">
        <v>2110</v>
      </c>
      <c r="AI144" s="261">
        <v>50000</v>
      </c>
      <c r="AJ144" s="261">
        <v>5000</v>
      </c>
      <c r="AK144" s="261">
        <v>5000</v>
      </c>
      <c r="AL144" s="256">
        <v>1.9450000000000002E-2</v>
      </c>
      <c r="AM144" s="256">
        <v>0.2</v>
      </c>
      <c r="AN144" s="256" t="s">
        <v>2127</v>
      </c>
      <c r="AO144" s="254" t="s">
        <v>1324</v>
      </c>
      <c r="AP144" s="257" t="s">
        <v>716</v>
      </c>
      <c r="AQ144" s="263" t="s">
        <v>659</v>
      </c>
      <c r="AR144" s="256">
        <v>3.8999999999999998E-3</v>
      </c>
      <c r="AS144" s="256">
        <v>3.8999999999999998E-3</v>
      </c>
      <c r="AT144" s="256"/>
      <c r="AW144" s="508"/>
      <c r="AX144" s="509"/>
      <c r="AY144" s="509"/>
      <c r="AZ144" s="509"/>
      <c r="BA144" s="509"/>
      <c r="BB144" s="520"/>
      <c r="BC144" s="509"/>
      <c r="BD144" s="509"/>
      <c r="BE144" s="509"/>
      <c r="BF144" s="509"/>
      <c r="BG144" s="521"/>
      <c r="BH144" s="510"/>
      <c r="BI144" s="511"/>
      <c r="BJ144" s="511"/>
      <c r="BK144" s="511"/>
      <c r="BL144" s="195"/>
      <c r="BM144" s="510"/>
      <c r="BN144" s="510"/>
      <c r="BO144" s="510"/>
      <c r="BP144" s="510"/>
      <c r="BQ144" s="510"/>
      <c r="BR144" s="510"/>
      <c r="BS144" s="510"/>
      <c r="BT144" s="510"/>
      <c r="BU144" s="510"/>
      <c r="BV144" s="512"/>
      <c r="BW144" s="509"/>
    </row>
    <row r="145" spans="2:75" ht="15.75" customHeight="1">
      <c r="B145" s="250" t="s">
        <v>606</v>
      </c>
      <c r="C145" s="251">
        <v>41545099000194</v>
      </c>
      <c r="D145" s="252" t="s">
        <v>11</v>
      </c>
      <c r="E145" s="252" t="s">
        <v>620</v>
      </c>
      <c r="F145" s="252" t="s">
        <v>663</v>
      </c>
      <c r="G145" s="253" t="s">
        <v>738</v>
      </c>
      <c r="H145" s="253" t="s">
        <v>34</v>
      </c>
      <c r="I145" s="253"/>
      <c r="J145" s="253" t="s">
        <v>608</v>
      </c>
      <c r="K145" s="254" t="s">
        <v>48</v>
      </c>
      <c r="L145" s="255" t="s">
        <v>1339</v>
      </c>
      <c r="M145" s="255" t="s">
        <v>34</v>
      </c>
      <c r="N145" s="254">
        <v>591572</v>
      </c>
      <c r="O145" s="254" t="s">
        <v>1321</v>
      </c>
      <c r="P145" s="258">
        <v>44347</v>
      </c>
      <c r="Q145" s="259">
        <v>168603426</v>
      </c>
      <c r="R145" s="259">
        <v>116651389.36654758</v>
      </c>
      <c r="S145" s="254">
        <v>121</v>
      </c>
      <c r="T145" s="256">
        <v>8.4438975362377766E-2</v>
      </c>
      <c r="U145" s="256">
        <v>1.0915591154241826</v>
      </c>
      <c r="V145" s="256">
        <v>0.11973554738585568</v>
      </c>
      <c r="W145" s="256">
        <v>1.1738087283570113</v>
      </c>
      <c r="X145" s="256" t="s">
        <v>1417</v>
      </c>
      <c r="Y145" s="256" t="s">
        <v>1417</v>
      </c>
      <c r="Z145" s="256" t="s">
        <v>1417</v>
      </c>
      <c r="AA145" s="256" t="s">
        <v>1417</v>
      </c>
      <c r="AB145" s="256">
        <v>9.9404167330734653E-3</v>
      </c>
      <c r="AC145" s="260">
        <v>1.6111020365758408</v>
      </c>
      <c r="AD145" s="405">
        <v>41545043000130</v>
      </c>
      <c r="AE145" s="257" t="s">
        <v>2274</v>
      </c>
      <c r="AF145" s="257" t="s">
        <v>2115</v>
      </c>
      <c r="AG145" s="261" t="s">
        <v>719</v>
      </c>
      <c r="AH145" s="261" t="s">
        <v>2110</v>
      </c>
      <c r="AI145" s="261">
        <v>5000</v>
      </c>
      <c r="AJ145" s="261">
        <v>1000</v>
      </c>
      <c r="AK145" s="261">
        <v>5000</v>
      </c>
      <c r="AL145" s="256">
        <v>1.1575E-2</v>
      </c>
      <c r="AM145" s="256">
        <v>0.2</v>
      </c>
      <c r="AN145" s="256" t="s">
        <v>64</v>
      </c>
      <c r="AO145" s="254" t="s">
        <v>1324</v>
      </c>
      <c r="AP145" s="257" t="s">
        <v>13</v>
      </c>
      <c r="AQ145" s="263" t="s">
        <v>688</v>
      </c>
      <c r="AR145" s="256">
        <v>2.3702666666666661E-3</v>
      </c>
      <c r="AS145" s="256">
        <v>2.3702666666666661E-3</v>
      </c>
      <c r="AT145" s="256"/>
      <c r="AW145" s="508"/>
      <c r="AX145" s="509"/>
      <c r="AY145" s="509"/>
      <c r="AZ145" s="509"/>
      <c r="BA145" s="509"/>
      <c r="BB145" s="520"/>
      <c r="BC145" s="509"/>
      <c r="BD145" s="509"/>
      <c r="BE145" s="509"/>
      <c r="BF145" s="509"/>
      <c r="BG145" s="521"/>
      <c r="BH145" s="510"/>
      <c r="BI145" s="511"/>
      <c r="BJ145" s="511"/>
      <c r="BK145" s="511"/>
      <c r="BL145" s="195"/>
      <c r="BM145" s="510"/>
      <c r="BN145" s="510"/>
      <c r="BO145" s="510"/>
      <c r="BP145" s="510"/>
      <c r="BQ145" s="510"/>
      <c r="BR145" s="510"/>
      <c r="BS145" s="510"/>
      <c r="BT145" s="510"/>
      <c r="BU145" s="510"/>
      <c r="BV145" s="512"/>
      <c r="BW145" s="509"/>
    </row>
    <row r="146" spans="2:75" ht="15.75" customHeight="1">
      <c r="B146" s="250" t="s">
        <v>519</v>
      </c>
      <c r="C146" s="251">
        <v>39469191000170</v>
      </c>
      <c r="D146" s="252" t="s">
        <v>11</v>
      </c>
      <c r="E146" s="252" t="s">
        <v>620</v>
      </c>
      <c r="F146" s="252" t="s">
        <v>685</v>
      </c>
      <c r="G146" s="253" t="s">
        <v>738</v>
      </c>
      <c r="H146" s="253" t="s">
        <v>34</v>
      </c>
      <c r="I146" s="253" t="s">
        <v>1319</v>
      </c>
      <c r="J146" s="253" t="s">
        <v>608</v>
      </c>
      <c r="K146" s="254" t="s">
        <v>48</v>
      </c>
      <c r="L146" s="255" t="s">
        <v>1339</v>
      </c>
      <c r="M146" s="255" t="s">
        <v>34</v>
      </c>
      <c r="N146" s="254">
        <v>579610</v>
      </c>
      <c r="O146" s="254" t="s">
        <v>1321</v>
      </c>
      <c r="P146" s="258">
        <v>44252</v>
      </c>
      <c r="Q146" s="259">
        <v>49267296.009999998</v>
      </c>
      <c r="R146" s="259">
        <v>42848325.929126993</v>
      </c>
      <c r="S146" s="254">
        <v>151</v>
      </c>
      <c r="T146" s="256">
        <v>9.937898078414098E-2</v>
      </c>
      <c r="U146" s="256">
        <v>1.2846914815220123</v>
      </c>
      <c r="V146" s="256">
        <v>0.1381031590094588</v>
      </c>
      <c r="W146" s="256">
        <v>1.3538727386995566</v>
      </c>
      <c r="X146" s="256" t="s">
        <v>1417</v>
      </c>
      <c r="Y146" s="256" t="s">
        <v>1417</v>
      </c>
      <c r="Z146" s="256" t="s">
        <v>1417</v>
      </c>
      <c r="AA146" s="256" t="s">
        <v>1417</v>
      </c>
      <c r="AB146" s="256">
        <v>9.0952244771324176E-3</v>
      </c>
      <c r="AC146" s="260">
        <v>3.5496845160417316</v>
      </c>
      <c r="AD146" s="405">
        <v>0</v>
      </c>
      <c r="AE146" s="257" t="s">
        <v>2235</v>
      </c>
      <c r="AF146" s="257" t="s">
        <v>2109</v>
      </c>
      <c r="AG146" s="261" t="s">
        <v>1432</v>
      </c>
      <c r="AH146" s="261" t="s">
        <v>2110</v>
      </c>
      <c r="AI146" s="261">
        <v>5000</v>
      </c>
      <c r="AJ146" s="261">
        <v>5000</v>
      </c>
      <c r="AK146" s="261">
        <v>5000</v>
      </c>
      <c r="AL146" s="256">
        <v>1.95E-2</v>
      </c>
      <c r="AM146" s="256">
        <v>0.2</v>
      </c>
      <c r="AN146" s="256" t="s">
        <v>64</v>
      </c>
      <c r="AO146" s="254" t="s">
        <v>1324</v>
      </c>
      <c r="AP146" s="257" t="s">
        <v>13</v>
      </c>
      <c r="AQ146" s="263" t="s">
        <v>668</v>
      </c>
      <c r="AR146" s="256">
        <v>6.4999999999999997E-3</v>
      </c>
      <c r="AS146" s="256">
        <v>6.4999999999999997E-3</v>
      </c>
      <c r="AT146" s="256"/>
      <c r="AW146" s="508"/>
      <c r="AX146" s="509"/>
      <c r="AY146" s="509"/>
      <c r="AZ146" s="509"/>
      <c r="BA146" s="509"/>
      <c r="BB146" s="520"/>
      <c r="BC146" s="509"/>
      <c r="BD146" s="509"/>
      <c r="BE146" s="509"/>
      <c r="BF146" s="509"/>
      <c r="BG146" s="521"/>
      <c r="BH146" s="510"/>
      <c r="BI146" s="511"/>
      <c r="BJ146" s="511"/>
      <c r="BK146" s="511"/>
      <c r="BL146" s="195"/>
      <c r="BM146" s="510"/>
      <c r="BN146" s="510"/>
      <c r="BO146" s="510"/>
      <c r="BP146" s="510"/>
      <c r="BQ146" s="510"/>
      <c r="BR146" s="510"/>
      <c r="BS146" s="510"/>
      <c r="BT146" s="510"/>
      <c r="BU146" s="510"/>
      <c r="BV146" s="512"/>
      <c r="BW146" s="509"/>
    </row>
    <row r="147" spans="2:75" ht="15.75" customHeight="1">
      <c r="B147" s="250" t="s">
        <v>1048</v>
      </c>
      <c r="C147" s="251">
        <v>35420451000162</v>
      </c>
      <c r="D147" s="252" t="s">
        <v>11</v>
      </c>
      <c r="E147" s="252" t="s">
        <v>620</v>
      </c>
      <c r="F147" s="252" t="s">
        <v>685</v>
      </c>
      <c r="G147" s="253" t="s">
        <v>738</v>
      </c>
      <c r="H147" s="253" t="s">
        <v>34</v>
      </c>
      <c r="I147" s="253" t="s">
        <v>1319</v>
      </c>
      <c r="J147" s="253" t="s">
        <v>690</v>
      </c>
      <c r="K147" s="254" t="s">
        <v>48</v>
      </c>
      <c r="L147" s="255" t="s">
        <v>1339</v>
      </c>
      <c r="M147" s="255" t="s">
        <v>34</v>
      </c>
      <c r="N147" s="254">
        <v>535133</v>
      </c>
      <c r="O147" s="254" t="s">
        <v>1321</v>
      </c>
      <c r="P147" s="258">
        <v>43871</v>
      </c>
      <c r="Q147" s="259">
        <v>30553039.27</v>
      </c>
      <c r="R147" s="259">
        <v>21799312.630793668</v>
      </c>
      <c r="S147" s="254">
        <v>211</v>
      </c>
      <c r="T147" s="256">
        <v>0.10553165737850656</v>
      </c>
      <c r="U147" s="256">
        <v>1.3642283327452107</v>
      </c>
      <c r="V147" s="256">
        <v>0.18195143453248042</v>
      </c>
      <c r="W147" s="256">
        <v>1.7837324558515739</v>
      </c>
      <c r="X147" s="256">
        <v>0.28127756786304037</v>
      </c>
      <c r="Y147" s="256">
        <v>2.1329788941430876</v>
      </c>
      <c r="Z147" s="256" t="s">
        <v>1417</v>
      </c>
      <c r="AA147" s="256" t="s">
        <v>1417</v>
      </c>
      <c r="AB147" s="256">
        <v>1.250433545981448E-2</v>
      </c>
      <c r="AC147" s="260">
        <v>5.6098634865074795</v>
      </c>
      <c r="AD147" s="405">
        <v>22681938000157</v>
      </c>
      <c r="AE147" s="257" t="s">
        <v>2307</v>
      </c>
      <c r="AF147" s="257" t="s">
        <v>761</v>
      </c>
      <c r="AG147" s="261" t="s">
        <v>761</v>
      </c>
      <c r="AH147" s="261" t="s">
        <v>2110</v>
      </c>
      <c r="AI147" s="261">
        <v>50000</v>
      </c>
      <c r="AJ147" s="261">
        <v>10000</v>
      </c>
      <c r="AK147" s="261">
        <v>30000</v>
      </c>
      <c r="AL147" s="256">
        <v>0.02</v>
      </c>
      <c r="AM147" s="256">
        <v>0.2</v>
      </c>
      <c r="AN147" s="256" t="s">
        <v>64</v>
      </c>
      <c r="AO147" s="254" t="s">
        <v>1324</v>
      </c>
      <c r="AP147" s="257" t="s">
        <v>13</v>
      </c>
      <c r="AQ147" s="263" t="s">
        <v>679</v>
      </c>
      <c r="AR147" s="256">
        <v>5.3333333333333332E-3</v>
      </c>
      <c r="AS147" s="256">
        <v>5.3333333333333332E-3</v>
      </c>
      <c r="AT147" s="256"/>
      <c r="AW147" s="508"/>
      <c r="AX147" s="509"/>
      <c r="AY147" s="509"/>
      <c r="AZ147" s="509"/>
      <c r="BA147" s="509"/>
      <c r="BB147" s="520"/>
      <c r="BC147" s="509"/>
      <c r="BD147" s="509"/>
      <c r="BE147" s="509"/>
      <c r="BF147" s="509"/>
      <c r="BG147" s="521"/>
      <c r="BH147" s="510"/>
      <c r="BI147" s="511"/>
      <c r="BJ147" s="511"/>
      <c r="BK147" s="511"/>
      <c r="BL147" s="195"/>
      <c r="BM147" s="510"/>
      <c r="BN147" s="510"/>
      <c r="BO147" s="510"/>
      <c r="BP147" s="510"/>
      <c r="BQ147" s="510"/>
      <c r="BR147" s="510"/>
      <c r="BS147" s="510"/>
      <c r="BT147" s="510"/>
      <c r="BU147" s="510"/>
      <c r="BV147" s="512"/>
      <c r="BW147" s="509"/>
    </row>
    <row r="148" spans="2:75" ht="15.75" customHeight="1">
      <c r="B148" s="250" t="s">
        <v>1047</v>
      </c>
      <c r="C148" s="251">
        <v>34096240000153</v>
      </c>
      <c r="D148" s="252" t="s">
        <v>11</v>
      </c>
      <c r="E148" s="252" t="s">
        <v>620</v>
      </c>
      <c r="F148" s="252" t="s">
        <v>685</v>
      </c>
      <c r="G148" s="253" t="s">
        <v>738</v>
      </c>
      <c r="H148" s="253" t="s">
        <v>34</v>
      </c>
      <c r="I148" s="253" t="s">
        <v>1319</v>
      </c>
      <c r="J148" s="253" t="s">
        <v>608</v>
      </c>
      <c r="K148" s="254" t="s">
        <v>48</v>
      </c>
      <c r="L148" s="255" t="s">
        <v>1339</v>
      </c>
      <c r="M148" s="255" t="s">
        <v>34</v>
      </c>
      <c r="N148" s="254">
        <v>503843</v>
      </c>
      <c r="O148" s="254" t="s">
        <v>1321</v>
      </c>
      <c r="P148" s="258">
        <v>43682</v>
      </c>
      <c r="Q148" s="259">
        <v>62753784.649999999</v>
      </c>
      <c r="R148" s="259">
        <v>69979582.245873034</v>
      </c>
      <c r="S148" s="254">
        <v>271</v>
      </c>
      <c r="T148" s="256">
        <v>8.8183372652447911E-2</v>
      </c>
      <c r="U148" s="256">
        <v>1.1399636700295048</v>
      </c>
      <c r="V148" s="256">
        <v>0.12453491435592756</v>
      </c>
      <c r="W148" s="256">
        <v>1.2208585724764378</v>
      </c>
      <c r="X148" s="256">
        <v>0.22376752668622513</v>
      </c>
      <c r="Y148" s="256">
        <v>1.6968698045935926</v>
      </c>
      <c r="Z148" s="256">
        <v>0.33400955469299021</v>
      </c>
      <c r="AA148" s="256">
        <v>1.8986185908521256</v>
      </c>
      <c r="AB148" s="256">
        <v>5.491381739765485E-3</v>
      </c>
      <c r="AC148" s="260">
        <v>3.6893794898233097</v>
      </c>
      <c r="AD148" s="405">
        <v>0</v>
      </c>
      <c r="AE148" s="257" t="s">
        <v>2307</v>
      </c>
      <c r="AF148" s="257" t="s">
        <v>2109</v>
      </c>
      <c r="AG148" s="261" t="s">
        <v>1432</v>
      </c>
      <c r="AH148" s="261" t="s">
        <v>2110</v>
      </c>
      <c r="AI148" s="261">
        <v>5000</v>
      </c>
      <c r="AJ148" s="261">
        <v>5000</v>
      </c>
      <c r="AK148" s="261">
        <v>5000</v>
      </c>
      <c r="AL148" s="256">
        <v>0.02</v>
      </c>
      <c r="AM148" s="256">
        <v>0.2</v>
      </c>
      <c r="AN148" s="256" t="s">
        <v>34</v>
      </c>
      <c r="AO148" s="254" t="s">
        <v>1324</v>
      </c>
      <c r="AP148" s="257" t="s">
        <v>13</v>
      </c>
      <c r="AQ148" s="263" t="s">
        <v>668</v>
      </c>
      <c r="AR148" s="256">
        <v>3.3333333333333331E-3</v>
      </c>
      <c r="AS148" s="256">
        <v>3.3333333333333331E-3</v>
      </c>
      <c r="AT148" s="256"/>
      <c r="AW148" s="508"/>
      <c r="AX148" s="509"/>
      <c r="AY148" s="509"/>
      <c r="AZ148" s="509"/>
      <c r="BA148" s="509"/>
      <c r="BB148" s="520"/>
      <c r="BC148" s="509"/>
      <c r="BD148" s="509"/>
      <c r="BE148" s="509"/>
      <c r="BF148" s="509"/>
      <c r="BG148" s="521"/>
      <c r="BH148" s="510"/>
      <c r="BI148" s="511"/>
      <c r="BJ148" s="511"/>
      <c r="BK148" s="511"/>
      <c r="BL148" s="195"/>
      <c r="BM148" s="510"/>
      <c r="BN148" s="510"/>
      <c r="BO148" s="510"/>
      <c r="BP148" s="510"/>
      <c r="BQ148" s="510"/>
      <c r="BR148" s="510"/>
      <c r="BS148" s="510"/>
      <c r="BT148" s="510"/>
      <c r="BU148" s="510"/>
      <c r="BV148" s="512"/>
      <c r="BW148" s="509"/>
    </row>
    <row r="149" spans="2:75" ht="15.75" customHeight="1">
      <c r="B149" s="250" t="s">
        <v>473</v>
      </c>
      <c r="C149" s="251">
        <v>2733791000194</v>
      </c>
      <c r="D149" s="252" t="s">
        <v>11</v>
      </c>
      <c r="E149" s="252" t="s">
        <v>620</v>
      </c>
      <c r="F149" s="252" t="s">
        <v>663</v>
      </c>
      <c r="G149" s="253" t="s">
        <v>866</v>
      </c>
      <c r="H149" s="253" t="s">
        <v>34</v>
      </c>
      <c r="I149" s="253" t="s">
        <v>1304</v>
      </c>
      <c r="J149" s="253" t="s">
        <v>608</v>
      </c>
      <c r="K149" s="254" t="s">
        <v>48</v>
      </c>
      <c r="L149" s="255"/>
      <c r="M149" s="255" t="s">
        <v>34</v>
      </c>
      <c r="N149" s="254">
        <v>59447</v>
      </c>
      <c r="O149" s="254" t="s">
        <v>1321</v>
      </c>
      <c r="P149" s="258">
        <v>36059</v>
      </c>
      <c r="Q149" s="259">
        <v>138574701.36000001</v>
      </c>
      <c r="R149" s="259">
        <v>136012044.12579376</v>
      </c>
      <c r="S149" s="254">
        <v>0</v>
      </c>
      <c r="T149" s="256">
        <v>8.0935429742379883E-2</v>
      </c>
      <c r="U149" s="256">
        <v>1.046268097367643</v>
      </c>
      <c r="V149" s="256">
        <v>0.10535111951660237</v>
      </c>
      <c r="W149" s="256">
        <v>1.0327932375191922</v>
      </c>
      <c r="X149" s="256">
        <v>0.14490295139807752</v>
      </c>
      <c r="Y149" s="256">
        <v>1.0988254036014549</v>
      </c>
      <c r="Z149" s="256">
        <v>0.17303840998925235</v>
      </c>
      <c r="AA149" s="256">
        <v>0.98360641940037752</v>
      </c>
      <c r="AB149" s="256">
        <v>4.6532675934484891E-3</v>
      </c>
      <c r="AC149" s="260">
        <v>0.65366075677618429</v>
      </c>
      <c r="AD149" s="405">
        <v>0</v>
      </c>
      <c r="AE149" s="257" t="s">
        <v>2136</v>
      </c>
      <c r="AF149" s="257" t="s">
        <v>2136</v>
      </c>
      <c r="AG149" s="261" t="s">
        <v>719</v>
      </c>
      <c r="AH149" s="261" t="s">
        <v>2113</v>
      </c>
      <c r="AI149" s="261">
        <v>1000</v>
      </c>
      <c r="AJ149" s="261">
        <v>100</v>
      </c>
      <c r="AK149" s="261">
        <v>100</v>
      </c>
      <c r="AL149" s="519">
        <v>5.0000000000000001E-3</v>
      </c>
      <c r="AM149" s="519" t="s">
        <v>34</v>
      </c>
      <c r="AN149" s="256" t="s">
        <v>64</v>
      </c>
      <c r="AO149" s="254" t="s">
        <v>1324</v>
      </c>
      <c r="AP149" s="257" t="s">
        <v>11</v>
      </c>
      <c r="AQ149" s="263" t="s">
        <v>1373</v>
      </c>
      <c r="AR149" s="256">
        <v>1.3335E-3</v>
      </c>
      <c r="AS149" s="256">
        <v>1.3335E-3</v>
      </c>
      <c r="AT149" s="256"/>
      <c r="AW149" s="508"/>
      <c r="AX149" s="509"/>
      <c r="AY149" s="509"/>
      <c r="AZ149" s="509"/>
      <c r="BA149" s="509"/>
      <c r="BB149" s="520"/>
      <c r="BC149" s="509"/>
      <c r="BD149" s="509"/>
      <c r="BE149" s="509"/>
      <c r="BF149" s="509"/>
      <c r="BG149" s="521"/>
      <c r="BH149" s="510"/>
      <c r="BI149" s="511"/>
      <c r="BJ149" s="511"/>
      <c r="BK149" s="511"/>
      <c r="BL149" s="195"/>
      <c r="BM149" s="510"/>
      <c r="BN149" s="510"/>
      <c r="BO149" s="510"/>
      <c r="BP149" s="510"/>
      <c r="BQ149" s="510"/>
      <c r="BR149" s="510"/>
      <c r="BS149" s="510"/>
      <c r="BT149" s="510"/>
      <c r="BU149" s="510"/>
      <c r="BV149" s="512"/>
      <c r="BW149" s="509"/>
    </row>
    <row r="150" spans="2:75" ht="15.75" customHeight="1">
      <c r="B150" s="250" t="s">
        <v>474</v>
      </c>
      <c r="C150" s="251">
        <v>9636619000161</v>
      </c>
      <c r="D150" s="252" t="s">
        <v>11</v>
      </c>
      <c r="E150" s="252" t="s">
        <v>620</v>
      </c>
      <c r="F150" s="252" t="s">
        <v>663</v>
      </c>
      <c r="G150" s="253" t="s">
        <v>738</v>
      </c>
      <c r="H150" s="253" t="s">
        <v>34</v>
      </c>
      <c r="I150" s="253" t="s">
        <v>1304</v>
      </c>
      <c r="J150" s="253" t="s">
        <v>608</v>
      </c>
      <c r="K150" s="254" t="s">
        <v>48</v>
      </c>
      <c r="L150" s="255"/>
      <c r="M150" s="255" t="s">
        <v>1414</v>
      </c>
      <c r="N150" s="254">
        <v>218111</v>
      </c>
      <c r="O150" s="254" t="s">
        <v>1321</v>
      </c>
      <c r="P150" s="258">
        <v>39731</v>
      </c>
      <c r="Q150" s="259">
        <v>619122466.57000005</v>
      </c>
      <c r="R150" s="259">
        <v>642876560.52563477</v>
      </c>
      <c r="S150" s="254">
        <v>0</v>
      </c>
      <c r="T150" s="256">
        <v>7.6553259069936486E-2</v>
      </c>
      <c r="U150" s="256">
        <v>0.98961892176690047</v>
      </c>
      <c r="V150" s="256">
        <v>0.10104028852784919</v>
      </c>
      <c r="W150" s="256">
        <v>0.99053267955169166</v>
      </c>
      <c r="X150" s="256">
        <v>0.12656958193643697</v>
      </c>
      <c r="Y150" s="256">
        <v>0.95980013252385665</v>
      </c>
      <c r="Z150" s="256">
        <v>0.16637399569525924</v>
      </c>
      <c r="AA150" s="256">
        <v>0.94572372802843063</v>
      </c>
      <c r="AB150" s="256">
        <v>1.5422483499167787E-3</v>
      </c>
      <c r="AC150" s="260">
        <v>-0.56868435150045693</v>
      </c>
      <c r="AD150" s="405">
        <v>14167491000174</v>
      </c>
      <c r="AE150" s="257" t="s">
        <v>2128</v>
      </c>
      <c r="AF150" s="257" t="s">
        <v>728</v>
      </c>
      <c r="AG150" s="261" t="s">
        <v>728</v>
      </c>
      <c r="AH150" s="261" t="s">
        <v>2113</v>
      </c>
      <c r="AI150" s="261">
        <v>300</v>
      </c>
      <c r="AJ150" s="261">
        <v>100</v>
      </c>
      <c r="AK150" s="261">
        <v>0</v>
      </c>
      <c r="AL150" s="256">
        <v>2.2000000000000001E-3</v>
      </c>
      <c r="AM150" s="256" t="s">
        <v>34</v>
      </c>
      <c r="AN150" s="256" t="s">
        <v>64</v>
      </c>
      <c r="AO150" s="254" t="s">
        <v>1324</v>
      </c>
      <c r="AP150" s="257" t="s">
        <v>11</v>
      </c>
      <c r="AQ150" s="263" t="s">
        <v>684</v>
      </c>
      <c r="AR150" s="256">
        <v>5.8666666666666665E-4</v>
      </c>
      <c r="AS150" s="256">
        <v>5.8666666666666665E-4</v>
      </c>
      <c r="AT150" s="256"/>
      <c r="AW150" s="508"/>
      <c r="AX150" s="508"/>
      <c r="AY150" s="509"/>
      <c r="AZ150" s="509"/>
      <c r="BA150" s="509"/>
      <c r="BB150" s="510"/>
      <c r="BC150" s="509"/>
      <c r="BD150" s="509"/>
      <c r="BE150" s="509"/>
      <c r="BF150" s="509"/>
      <c r="BG150" s="510"/>
      <c r="BH150" s="510"/>
      <c r="BI150" s="511"/>
      <c r="BJ150" s="511"/>
      <c r="BK150" s="511"/>
      <c r="BL150" s="510"/>
      <c r="BM150" s="510"/>
      <c r="BN150" s="510"/>
      <c r="BO150" s="510"/>
      <c r="BP150" s="510"/>
      <c r="BQ150" s="510"/>
      <c r="BR150" s="510"/>
      <c r="BS150" s="510"/>
      <c r="BT150" s="513"/>
      <c r="BU150" s="514"/>
      <c r="BV150" s="512"/>
      <c r="BW150" s="515"/>
    </row>
    <row r="151" spans="2:75" ht="15.75" customHeight="1">
      <c r="B151" s="250" t="s">
        <v>148</v>
      </c>
      <c r="C151" s="251">
        <v>4501865000192</v>
      </c>
      <c r="D151" s="252" t="s">
        <v>11</v>
      </c>
      <c r="E151" s="252" t="s">
        <v>620</v>
      </c>
      <c r="F151" s="252" t="s">
        <v>663</v>
      </c>
      <c r="G151" s="253" t="s">
        <v>738</v>
      </c>
      <c r="H151" s="253" t="s">
        <v>34</v>
      </c>
      <c r="I151" s="253" t="s">
        <v>1304</v>
      </c>
      <c r="J151" s="253" t="s">
        <v>608</v>
      </c>
      <c r="K151" s="254" t="s">
        <v>48</v>
      </c>
      <c r="L151" s="255"/>
      <c r="M151" s="255" t="s">
        <v>1414</v>
      </c>
      <c r="N151" s="254">
        <v>91367</v>
      </c>
      <c r="O151" s="254" t="s">
        <v>1321</v>
      </c>
      <c r="P151" s="258">
        <v>37074</v>
      </c>
      <c r="Q151" s="259">
        <v>843308935.74000001</v>
      </c>
      <c r="R151" s="259">
        <v>839777846.7092067</v>
      </c>
      <c r="S151" s="254">
        <v>0</v>
      </c>
      <c r="T151" s="256">
        <v>8.0532938499925377E-2</v>
      </c>
      <c r="U151" s="256">
        <v>1.0410650145176423</v>
      </c>
      <c r="V151" s="256">
        <v>0.10656187370179304</v>
      </c>
      <c r="W151" s="256">
        <v>1.0446626769755611</v>
      </c>
      <c r="X151" s="256">
        <v>0.141542848120777</v>
      </c>
      <c r="Y151" s="256">
        <v>1.0733451300514758</v>
      </c>
      <c r="Z151" s="256">
        <v>0.13791178151583083</v>
      </c>
      <c r="AA151" s="256">
        <v>0.78393527551679998</v>
      </c>
      <c r="AB151" s="256">
        <v>1.5986467080750582E-3</v>
      </c>
      <c r="AC151" s="260">
        <v>2.5817736909739994</v>
      </c>
      <c r="AD151" s="405">
        <v>0</v>
      </c>
      <c r="AE151" s="257" t="s">
        <v>2144</v>
      </c>
      <c r="AF151" s="257" t="s">
        <v>2109</v>
      </c>
      <c r="AG151" s="261" t="s">
        <v>1432</v>
      </c>
      <c r="AH151" s="261" t="s">
        <v>2113</v>
      </c>
      <c r="AI151" s="261">
        <v>500</v>
      </c>
      <c r="AJ151" s="261">
        <v>100</v>
      </c>
      <c r="AK151" s="261">
        <v>100</v>
      </c>
      <c r="AL151" s="256">
        <v>2.5000000000000001E-3</v>
      </c>
      <c r="AM151" s="256" t="s">
        <v>34</v>
      </c>
      <c r="AN151" s="256" t="s">
        <v>2127</v>
      </c>
      <c r="AO151" s="254" t="s">
        <v>1324</v>
      </c>
      <c r="AP151" s="257" t="s">
        <v>11</v>
      </c>
      <c r="AQ151" s="263" t="s">
        <v>669</v>
      </c>
      <c r="AR151" s="256">
        <v>8.7499999999999991E-4</v>
      </c>
      <c r="AS151" s="256">
        <v>8.7499999999999991E-4</v>
      </c>
      <c r="AT151" s="256"/>
      <c r="AW151" s="508"/>
      <c r="AX151" s="508"/>
      <c r="AY151" s="509"/>
      <c r="AZ151" s="509"/>
      <c r="BA151" s="509"/>
      <c r="BB151" s="510"/>
      <c r="BC151" s="509"/>
      <c r="BD151" s="509"/>
      <c r="BE151" s="509"/>
      <c r="BF151" s="509"/>
      <c r="BG151" s="510"/>
      <c r="BH151" s="510"/>
      <c r="BI151" s="511"/>
      <c r="BJ151" s="511"/>
      <c r="BK151" s="511"/>
      <c r="BL151" s="510"/>
      <c r="BM151" s="510"/>
      <c r="BN151" s="510"/>
      <c r="BO151" s="510"/>
      <c r="BP151" s="510"/>
      <c r="BQ151" s="510"/>
      <c r="BR151" s="510"/>
      <c r="BS151" s="510"/>
      <c r="BT151" s="513"/>
      <c r="BU151" s="514"/>
      <c r="BV151" s="512"/>
      <c r="BW151" s="515"/>
    </row>
    <row r="152" spans="2:75" ht="15.75" customHeight="1">
      <c r="B152" s="250" t="s">
        <v>35</v>
      </c>
      <c r="C152" s="251">
        <v>27717359000130</v>
      </c>
      <c r="D152" s="252" t="s">
        <v>11</v>
      </c>
      <c r="E152" s="252" t="s">
        <v>620</v>
      </c>
      <c r="F152" s="252" t="s">
        <v>663</v>
      </c>
      <c r="G152" s="253" t="s">
        <v>738</v>
      </c>
      <c r="H152" s="253" t="s">
        <v>34</v>
      </c>
      <c r="I152" s="253" t="s">
        <v>1304</v>
      </c>
      <c r="J152" s="253" t="s">
        <v>608</v>
      </c>
      <c r="K152" s="254" t="s">
        <v>48</v>
      </c>
      <c r="L152" s="255"/>
      <c r="M152" s="255" t="s">
        <v>34</v>
      </c>
      <c r="N152" s="254">
        <v>453420</v>
      </c>
      <c r="O152" s="254" t="s">
        <v>1321</v>
      </c>
      <c r="P152" s="258">
        <v>43059</v>
      </c>
      <c r="Q152" s="259">
        <v>4715672196.3199997</v>
      </c>
      <c r="R152" s="259">
        <v>2279012140.0326982</v>
      </c>
      <c r="S152" s="254">
        <v>0</v>
      </c>
      <c r="T152" s="256">
        <v>8.085571250939716E-2</v>
      </c>
      <c r="U152" s="256">
        <v>1.0452375771375568</v>
      </c>
      <c r="V152" s="256">
        <v>0.1079139621002474</v>
      </c>
      <c r="W152" s="256">
        <v>1.057917664306111</v>
      </c>
      <c r="X152" s="256">
        <v>0.14338010413047675</v>
      </c>
      <c r="Y152" s="256">
        <v>1.0872773761299661</v>
      </c>
      <c r="Z152" s="256">
        <v>0.15942104915663924</v>
      </c>
      <c r="AA152" s="256">
        <v>0.90620092583925749</v>
      </c>
      <c r="AB152" s="256">
        <v>1.6107160272013509E-3</v>
      </c>
      <c r="AC152" s="260">
        <v>3.3208792440063455</v>
      </c>
      <c r="AD152" s="405">
        <v>0</v>
      </c>
      <c r="AE152" s="257" t="s">
        <v>2144</v>
      </c>
      <c r="AF152" s="257" t="s">
        <v>2109</v>
      </c>
      <c r="AG152" s="261" t="s">
        <v>1432</v>
      </c>
      <c r="AH152" s="261" t="s">
        <v>2113</v>
      </c>
      <c r="AI152" s="261">
        <v>500</v>
      </c>
      <c r="AJ152" s="261">
        <v>100</v>
      </c>
      <c r="AK152" s="261">
        <v>100</v>
      </c>
      <c r="AL152" s="256">
        <v>3.0000000000000001E-3</v>
      </c>
      <c r="AM152" s="256" t="s">
        <v>34</v>
      </c>
      <c r="AN152" s="256" t="s">
        <v>64</v>
      </c>
      <c r="AO152" s="254" t="s">
        <v>1324</v>
      </c>
      <c r="AP152" s="257" t="s">
        <v>11</v>
      </c>
      <c r="AQ152" s="263" t="s">
        <v>669</v>
      </c>
      <c r="AR152" s="256">
        <v>1.0499999999999999E-3</v>
      </c>
      <c r="AS152" s="256">
        <v>1.0499999999999999E-3</v>
      </c>
      <c r="AT152" s="256"/>
      <c r="AW152" s="508"/>
      <c r="AX152" s="508"/>
      <c r="AY152" s="509"/>
      <c r="AZ152" s="509"/>
      <c r="BA152" s="509"/>
      <c r="BB152" s="510"/>
      <c r="BC152" s="509"/>
      <c r="BD152" s="509"/>
      <c r="BE152" s="509"/>
      <c r="BF152" s="509"/>
      <c r="BG152" s="510"/>
      <c r="BH152" s="510"/>
      <c r="BI152" s="511"/>
      <c r="BJ152" s="511"/>
      <c r="BK152" s="511"/>
      <c r="BL152" s="510"/>
      <c r="BM152" s="510"/>
      <c r="BN152" s="510"/>
      <c r="BO152" s="510"/>
      <c r="BP152" s="510"/>
      <c r="BQ152" s="510"/>
      <c r="BR152" s="510"/>
      <c r="BS152" s="510"/>
      <c r="BT152" s="513"/>
      <c r="BU152" s="514"/>
      <c r="BV152" s="512"/>
      <c r="BW152" s="515"/>
    </row>
    <row r="153" spans="2:75" ht="15.75" customHeight="1">
      <c r="B153" s="250" t="s">
        <v>479</v>
      </c>
      <c r="C153" s="251">
        <v>6866051000187</v>
      </c>
      <c r="D153" s="252" t="s">
        <v>11</v>
      </c>
      <c r="E153" s="252" t="s">
        <v>620</v>
      </c>
      <c r="F153" s="252" t="s">
        <v>663</v>
      </c>
      <c r="G153" s="253" t="s">
        <v>738</v>
      </c>
      <c r="H153" s="253" t="s">
        <v>34</v>
      </c>
      <c r="I153" s="253"/>
      <c r="J153" s="253" t="s">
        <v>608</v>
      </c>
      <c r="K153" s="254" t="s">
        <v>48</v>
      </c>
      <c r="L153" s="255"/>
      <c r="M153" s="255" t="s">
        <v>1414</v>
      </c>
      <c r="N153" s="254">
        <v>142468</v>
      </c>
      <c r="O153" s="254" t="s">
        <v>1321</v>
      </c>
      <c r="P153" s="258">
        <v>38406</v>
      </c>
      <c r="Q153" s="259">
        <v>1370833927.29</v>
      </c>
      <c r="R153" s="259">
        <v>998494275.39563513</v>
      </c>
      <c r="S153" s="254">
        <v>0</v>
      </c>
      <c r="T153" s="256">
        <v>8.6420500465807182E-2</v>
      </c>
      <c r="U153" s="256">
        <v>1.1171746771929951</v>
      </c>
      <c r="V153" s="256">
        <v>0.11684516274258527</v>
      </c>
      <c r="W153" s="256">
        <v>1.1454732941718193</v>
      </c>
      <c r="X153" s="256">
        <v>0.16320293959468679</v>
      </c>
      <c r="Y153" s="256">
        <v>1.2375975384822619</v>
      </c>
      <c r="Z153" s="256">
        <v>0.19910730522903397</v>
      </c>
      <c r="AA153" s="256">
        <v>1.1317904711731475</v>
      </c>
      <c r="AB153" s="256">
        <v>1.6172802968333095E-3</v>
      </c>
      <c r="AC153" s="260">
        <v>8.2739866069530557</v>
      </c>
      <c r="AD153" s="405">
        <v>0</v>
      </c>
      <c r="AE153" s="257" t="s">
        <v>469</v>
      </c>
      <c r="AF153" s="257" t="s">
        <v>469</v>
      </c>
      <c r="AG153" s="261" t="s">
        <v>469</v>
      </c>
      <c r="AH153" s="261" t="s">
        <v>2113</v>
      </c>
      <c r="AI153" s="261">
        <v>1000</v>
      </c>
      <c r="AJ153" s="261">
        <v>1000</v>
      </c>
      <c r="AK153" s="261">
        <v>1000</v>
      </c>
      <c r="AL153" s="256">
        <v>2E-3</v>
      </c>
      <c r="AM153" s="256" t="s">
        <v>34</v>
      </c>
      <c r="AN153" s="256" t="s">
        <v>64</v>
      </c>
      <c r="AO153" s="254" t="s">
        <v>1324</v>
      </c>
      <c r="AP153" s="257" t="s">
        <v>11</v>
      </c>
      <c r="AQ153" s="263" t="s">
        <v>669</v>
      </c>
      <c r="AR153" s="256">
        <v>2.6660000000000003E-4</v>
      </c>
      <c r="AS153" s="256">
        <v>2.6660000000000003E-4</v>
      </c>
      <c r="AT153" s="256"/>
      <c r="AW153" s="508"/>
      <c r="AX153" s="508"/>
      <c r="AY153" s="509"/>
      <c r="AZ153" s="509"/>
      <c r="BA153" s="509"/>
      <c r="BB153" s="510"/>
      <c r="BC153" s="509"/>
      <c r="BD153" s="509"/>
      <c r="BE153" s="509"/>
      <c r="BF153" s="509"/>
      <c r="BG153" s="510"/>
      <c r="BH153" s="510"/>
      <c r="BI153" s="511"/>
      <c r="BJ153" s="511"/>
      <c r="BK153" s="511"/>
      <c r="BL153" s="510"/>
      <c r="BM153" s="510"/>
      <c r="BN153" s="510"/>
      <c r="BO153" s="510"/>
      <c r="BP153" s="510"/>
      <c r="BQ153" s="510"/>
      <c r="BR153" s="510"/>
      <c r="BS153" s="510"/>
      <c r="BT153" s="513"/>
      <c r="BU153" s="514"/>
      <c r="BV153" s="512"/>
      <c r="BW153" s="515"/>
    </row>
    <row r="154" spans="2:75" ht="15.75" customHeight="1">
      <c r="B154" s="250" t="s">
        <v>475</v>
      </c>
      <c r="C154" s="251">
        <v>9238487000110</v>
      </c>
      <c r="D154" s="252" t="s">
        <v>11</v>
      </c>
      <c r="E154" s="252" t="s">
        <v>620</v>
      </c>
      <c r="F154" s="252" t="s">
        <v>663</v>
      </c>
      <c r="G154" s="253" t="s">
        <v>738</v>
      </c>
      <c r="H154" s="253" t="s">
        <v>34</v>
      </c>
      <c r="I154" s="253" t="s">
        <v>1304</v>
      </c>
      <c r="J154" s="253" t="s">
        <v>608</v>
      </c>
      <c r="K154" s="254" t="s">
        <v>48</v>
      </c>
      <c r="L154" s="255"/>
      <c r="M154" s="255" t="s">
        <v>1414</v>
      </c>
      <c r="N154" s="254">
        <v>208401</v>
      </c>
      <c r="O154" s="254" t="s">
        <v>1321</v>
      </c>
      <c r="P154" s="258">
        <v>39568</v>
      </c>
      <c r="Q154" s="259">
        <v>2243421838.6100001</v>
      </c>
      <c r="R154" s="259">
        <v>2052611662.600157</v>
      </c>
      <c r="S154" s="254">
        <v>0</v>
      </c>
      <c r="T154" s="256">
        <v>7.7840758392161202E-2</v>
      </c>
      <c r="U154" s="256">
        <v>1.0062626768011784</v>
      </c>
      <c r="V154" s="256">
        <v>0.10311930577444528</v>
      </c>
      <c r="W154" s="256">
        <v>1.0109140002516757</v>
      </c>
      <c r="X154" s="256">
        <v>0.1262275582997141</v>
      </c>
      <c r="Y154" s="256">
        <v>0.95720650515438521</v>
      </c>
      <c r="Z154" s="256">
        <v>0.16767903712279342</v>
      </c>
      <c r="AA154" s="256">
        <v>0.95314200658164772</v>
      </c>
      <c r="AB154" s="256">
        <v>1.5727327152420035E-3</v>
      </c>
      <c r="AC154" s="260">
        <v>0.64230367343467054</v>
      </c>
      <c r="AD154" s="405">
        <v>0</v>
      </c>
      <c r="AE154" s="257" t="s">
        <v>469</v>
      </c>
      <c r="AF154" s="257" t="s">
        <v>469</v>
      </c>
      <c r="AG154" s="261" t="s">
        <v>469</v>
      </c>
      <c r="AH154" s="261" t="s">
        <v>2113</v>
      </c>
      <c r="AI154" s="261">
        <v>10000</v>
      </c>
      <c r="AJ154" s="261">
        <v>10000</v>
      </c>
      <c r="AK154" s="261">
        <v>10000</v>
      </c>
      <c r="AL154" s="256">
        <v>1.5E-3</v>
      </c>
      <c r="AM154" s="256" t="s">
        <v>34</v>
      </c>
      <c r="AN154" s="256" t="s">
        <v>64</v>
      </c>
      <c r="AO154" s="254" t="s">
        <v>1324</v>
      </c>
      <c r="AP154" s="257" t="s">
        <v>11</v>
      </c>
      <c r="AQ154" s="263" t="s">
        <v>680</v>
      </c>
      <c r="AR154" s="256">
        <v>1.9995000000000001E-4</v>
      </c>
      <c r="AS154" s="256">
        <v>1.9995000000000001E-4</v>
      </c>
      <c r="AT154" s="256"/>
      <c r="AW154" s="508"/>
      <c r="AX154" s="508"/>
      <c r="AY154" s="509"/>
      <c r="AZ154" s="509"/>
      <c r="BA154" s="509"/>
      <c r="BB154" s="510"/>
      <c r="BC154" s="509"/>
      <c r="BD154" s="509"/>
      <c r="BE154" s="509"/>
      <c r="BF154" s="509"/>
      <c r="BG154" s="510"/>
      <c r="BH154" s="510"/>
      <c r="BI154" s="511"/>
      <c r="BJ154" s="511"/>
      <c r="BK154" s="511"/>
      <c r="BL154" s="510"/>
      <c r="BM154" s="510"/>
      <c r="BN154" s="510"/>
      <c r="BO154" s="510"/>
      <c r="BP154" s="510"/>
      <c r="BQ154" s="510"/>
      <c r="BR154" s="510"/>
      <c r="BS154" s="510"/>
      <c r="BT154" s="513"/>
      <c r="BU154" s="514"/>
      <c r="BV154" s="512"/>
      <c r="BW154" s="515"/>
    </row>
    <row r="155" spans="2:75" ht="15.75" customHeight="1">
      <c r="B155" s="250" t="s">
        <v>476</v>
      </c>
      <c r="C155" s="251">
        <v>807777000162</v>
      </c>
      <c r="D155" s="252" t="s">
        <v>11</v>
      </c>
      <c r="E155" s="252" t="s">
        <v>620</v>
      </c>
      <c r="F155" s="252" t="s">
        <v>663</v>
      </c>
      <c r="G155" s="253" t="s">
        <v>738</v>
      </c>
      <c r="H155" s="253" t="s">
        <v>34</v>
      </c>
      <c r="I155" s="253" t="s">
        <v>1304</v>
      </c>
      <c r="J155" s="253" t="s">
        <v>608</v>
      </c>
      <c r="K155" s="254" t="s">
        <v>48</v>
      </c>
      <c r="L155" s="255"/>
      <c r="M155" s="255" t="s">
        <v>1414</v>
      </c>
      <c r="N155" s="254">
        <v>19119</v>
      </c>
      <c r="O155" s="254" t="s">
        <v>1321</v>
      </c>
      <c r="P155" s="258">
        <v>34974</v>
      </c>
      <c r="Q155" s="259">
        <v>508292963.69</v>
      </c>
      <c r="R155" s="259">
        <v>335332890.36464292</v>
      </c>
      <c r="S155" s="254">
        <v>0</v>
      </c>
      <c r="T155" s="256">
        <v>7.8443038330331394E-2</v>
      </c>
      <c r="U155" s="256">
        <v>1.0140484671157268</v>
      </c>
      <c r="V155" s="256">
        <v>0.10465733630486462</v>
      </c>
      <c r="W155" s="256">
        <v>1.0259918422167515</v>
      </c>
      <c r="X155" s="256">
        <v>0.13667399648355061</v>
      </c>
      <c r="Y155" s="256">
        <v>1.0364237436081225</v>
      </c>
      <c r="Z155" s="256">
        <v>0.17315194492776609</v>
      </c>
      <c r="AA155" s="256">
        <v>0.98425178879758413</v>
      </c>
      <c r="AB155" s="256">
        <v>1.5056997745612327E-3</v>
      </c>
      <c r="AC155" s="260">
        <v>1.596533821977534</v>
      </c>
      <c r="AD155" s="405">
        <v>0</v>
      </c>
      <c r="AE155" s="257" t="s">
        <v>2224</v>
      </c>
      <c r="AF155" s="257" t="s">
        <v>741</v>
      </c>
      <c r="AG155" s="261" t="s">
        <v>741</v>
      </c>
      <c r="AH155" s="261" t="s">
        <v>2113</v>
      </c>
      <c r="AI155" s="261">
        <v>1</v>
      </c>
      <c r="AJ155" s="261">
        <v>1</v>
      </c>
      <c r="AK155" s="261">
        <v>1</v>
      </c>
      <c r="AL155" s="256">
        <v>2.5000000000000001E-3</v>
      </c>
      <c r="AM155" s="256" t="s">
        <v>34</v>
      </c>
      <c r="AN155" s="256" t="s">
        <v>64</v>
      </c>
      <c r="AO155" s="254" t="s">
        <v>1324</v>
      </c>
      <c r="AP155" s="257" t="s">
        <v>11</v>
      </c>
      <c r="AQ155" s="263" t="s">
        <v>662</v>
      </c>
      <c r="AR155" s="256">
        <v>3.3333333333333332E-4</v>
      </c>
      <c r="AS155" s="256">
        <v>3.3333333333333332E-4</v>
      </c>
      <c r="AT155" s="256"/>
      <c r="AW155" s="508"/>
      <c r="AX155" s="508"/>
      <c r="AY155" s="509"/>
      <c r="AZ155" s="509"/>
      <c r="BA155" s="509"/>
      <c r="BB155" s="510"/>
      <c r="BC155" s="509"/>
      <c r="BD155" s="509"/>
      <c r="BE155" s="509"/>
      <c r="BF155" s="509"/>
      <c r="BG155" s="510"/>
      <c r="BH155" s="510"/>
      <c r="BI155" s="511"/>
      <c r="BJ155" s="511"/>
      <c r="BK155" s="511"/>
      <c r="BL155" s="510"/>
      <c r="BM155" s="510"/>
      <c r="BN155" s="510"/>
      <c r="BO155" s="510"/>
      <c r="BP155" s="510"/>
      <c r="BQ155" s="510"/>
      <c r="BR155" s="510"/>
      <c r="BS155" s="510"/>
      <c r="BT155" s="513"/>
      <c r="BU155" s="514"/>
      <c r="BV155" s="512"/>
      <c r="BW155" s="515"/>
    </row>
    <row r="156" spans="2:75" ht="15.75" customHeight="1">
      <c r="B156" s="250" t="s">
        <v>193</v>
      </c>
      <c r="C156" s="251">
        <v>40054275000122</v>
      </c>
      <c r="D156" s="252" t="s">
        <v>11</v>
      </c>
      <c r="E156" s="252" t="s">
        <v>620</v>
      </c>
      <c r="F156" s="252" t="s">
        <v>663</v>
      </c>
      <c r="G156" s="253" t="s">
        <v>738</v>
      </c>
      <c r="H156" s="253" t="s">
        <v>34</v>
      </c>
      <c r="I156" s="253" t="s">
        <v>1304</v>
      </c>
      <c r="J156" s="253" t="s">
        <v>608</v>
      </c>
      <c r="K156" s="254" t="s">
        <v>48</v>
      </c>
      <c r="L156" s="255"/>
      <c r="M156" s="255" t="s">
        <v>1414</v>
      </c>
      <c r="N156" s="254">
        <v>567833</v>
      </c>
      <c r="O156" s="254" t="s">
        <v>1321</v>
      </c>
      <c r="P156" s="258">
        <v>44193</v>
      </c>
      <c r="Q156" s="259">
        <v>553192688.89999998</v>
      </c>
      <c r="R156" s="259">
        <v>376973539.21698409</v>
      </c>
      <c r="S156" s="254">
        <v>0</v>
      </c>
      <c r="T156" s="256">
        <v>7.9475190460861045E-2</v>
      </c>
      <c r="U156" s="256">
        <v>1.0273912991639484</v>
      </c>
      <c r="V156" s="256">
        <v>0.10462741618316662</v>
      </c>
      <c r="W156" s="256">
        <v>1.0256985249791442</v>
      </c>
      <c r="X156" s="256" t="s">
        <v>1417</v>
      </c>
      <c r="Y156" s="256" t="s">
        <v>1417</v>
      </c>
      <c r="Z156" s="256" t="s">
        <v>1417</v>
      </c>
      <c r="AA156" s="256" t="s">
        <v>1417</v>
      </c>
      <c r="AB156" s="256">
        <v>1.6670566538005281E-3</v>
      </c>
      <c r="AC156" s="260">
        <v>1.4259017304930224</v>
      </c>
      <c r="AD156" s="405">
        <v>0</v>
      </c>
      <c r="AE156" s="257" t="s">
        <v>2214</v>
      </c>
      <c r="AF156" s="257" t="s">
        <v>2109</v>
      </c>
      <c r="AG156" s="261" t="s">
        <v>1432</v>
      </c>
      <c r="AH156" s="261" t="s">
        <v>2113</v>
      </c>
      <c r="AI156" s="261">
        <v>100</v>
      </c>
      <c r="AJ156" s="261">
        <v>100</v>
      </c>
      <c r="AK156" s="261">
        <v>100</v>
      </c>
      <c r="AL156" s="256">
        <v>2.5000000000000001E-3</v>
      </c>
      <c r="AM156" s="256" t="s">
        <v>34</v>
      </c>
      <c r="AN156" s="256" t="s">
        <v>34</v>
      </c>
      <c r="AO156" s="254" t="s">
        <v>1324</v>
      </c>
      <c r="AP156" s="257" t="s">
        <v>11</v>
      </c>
      <c r="AQ156" s="263" t="s">
        <v>669</v>
      </c>
      <c r="AR156" s="256">
        <v>3.3333333333333332E-4</v>
      </c>
      <c r="AS156" s="256">
        <v>3.3333333333333332E-4</v>
      </c>
      <c r="AT156" s="256"/>
      <c r="AW156" s="508"/>
      <c r="AX156" s="508"/>
      <c r="AY156" s="509"/>
      <c r="AZ156" s="509"/>
      <c r="BA156" s="509"/>
      <c r="BB156" s="510"/>
      <c r="BC156" s="509"/>
      <c r="BD156" s="509"/>
      <c r="BE156" s="509"/>
      <c r="BF156" s="509"/>
      <c r="BG156" s="510"/>
      <c r="BH156" s="510"/>
      <c r="BI156" s="511"/>
      <c r="BJ156" s="511"/>
      <c r="BK156" s="511"/>
      <c r="BL156" s="510"/>
      <c r="BM156" s="510"/>
      <c r="BN156" s="510"/>
      <c r="BO156" s="510"/>
      <c r="BP156" s="510"/>
      <c r="BQ156" s="510"/>
      <c r="BR156" s="510"/>
      <c r="BS156" s="510"/>
      <c r="BT156" s="513"/>
      <c r="BU156" s="514"/>
      <c r="BV156" s="512"/>
      <c r="BW156" s="515"/>
    </row>
    <row r="157" spans="2:75" ht="15.75" customHeight="1">
      <c r="B157" s="250" t="s">
        <v>1057</v>
      </c>
      <c r="C157" s="251">
        <v>26374829000148</v>
      </c>
      <c r="D157" s="252" t="s">
        <v>11</v>
      </c>
      <c r="E157" s="252" t="s">
        <v>620</v>
      </c>
      <c r="F157" s="252" t="s">
        <v>663</v>
      </c>
      <c r="G157" s="253" t="s">
        <v>738</v>
      </c>
      <c r="H157" s="253" t="s">
        <v>34</v>
      </c>
      <c r="I157" s="253" t="s">
        <v>1304</v>
      </c>
      <c r="J157" s="253" t="s">
        <v>608</v>
      </c>
      <c r="K157" s="254" t="s">
        <v>48</v>
      </c>
      <c r="L157" s="255"/>
      <c r="M157" s="255" t="s">
        <v>1414</v>
      </c>
      <c r="N157" s="254">
        <v>442984</v>
      </c>
      <c r="O157" s="254" t="s">
        <v>1321</v>
      </c>
      <c r="P157" s="258">
        <v>42832</v>
      </c>
      <c r="Q157" s="259">
        <v>305362937.57999998</v>
      </c>
      <c r="R157" s="259">
        <v>105743172.61587296</v>
      </c>
      <c r="S157" s="254">
        <v>0</v>
      </c>
      <c r="T157" s="256">
        <v>7.6499273807270063E-2</v>
      </c>
      <c r="U157" s="256">
        <v>0.98892104373949419</v>
      </c>
      <c r="V157" s="256">
        <v>0.1011493227918332</v>
      </c>
      <c r="W157" s="256">
        <v>0.99160157992045161</v>
      </c>
      <c r="X157" s="256">
        <v>0.11970395711930104</v>
      </c>
      <c r="Y157" s="256">
        <v>0.90773685232233525</v>
      </c>
      <c r="Z157" s="256">
        <v>0.15964493834154725</v>
      </c>
      <c r="AA157" s="256">
        <v>0.90747358454852045</v>
      </c>
      <c r="AB157" s="256">
        <v>1.7188295231151658E-3</v>
      </c>
      <c r="AC157" s="260">
        <v>-0.45246170166359617</v>
      </c>
      <c r="AD157" s="405">
        <v>0</v>
      </c>
      <c r="AE157" s="257" t="s">
        <v>2314</v>
      </c>
      <c r="AF157" s="257" t="s">
        <v>2109</v>
      </c>
      <c r="AG157" s="261" t="s">
        <v>1432</v>
      </c>
      <c r="AH157" s="261" t="s">
        <v>2110</v>
      </c>
      <c r="AI157" s="261">
        <v>0</v>
      </c>
      <c r="AJ157" s="261">
        <v>0</v>
      </c>
      <c r="AK157" s="261">
        <v>0</v>
      </c>
      <c r="AL157" s="256">
        <v>3.0000000000000001E-3</v>
      </c>
      <c r="AM157" s="256" t="s">
        <v>34</v>
      </c>
      <c r="AN157" s="256" t="s">
        <v>64</v>
      </c>
      <c r="AO157" s="254" t="s">
        <v>1324</v>
      </c>
      <c r="AP157" s="257" t="s">
        <v>11</v>
      </c>
      <c r="AQ157" s="263" t="s">
        <v>680</v>
      </c>
      <c r="AR157" s="256">
        <v>8.0009999999999999E-4</v>
      </c>
      <c r="AS157" s="256">
        <v>8.0009999999999999E-4</v>
      </c>
      <c r="AT157" s="256"/>
      <c r="AW157" s="508"/>
      <c r="AX157" s="508"/>
      <c r="AY157" s="509"/>
      <c r="AZ157" s="509"/>
      <c r="BA157" s="509"/>
      <c r="BB157" s="510"/>
      <c r="BC157" s="509"/>
      <c r="BD157" s="509"/>
      <c r="BE157" s="509"/>
      <c r="BF157" s="509"/>
      <c r="BG157" s="510"/>
      <c r="BH157" s="510"/>
      <c r="BI157" s="511"/>
      <c r="BJ157" s="511"/>
      <c r="BK157" s="511"/>
      <c r="BL157" s="510"/>
      <c r="BM157" s="510"/>
      <c r="BN157" s="510"/>
      <c r="BO157" s="510"/>
      <c r="BP157" s="510"/>
      <c r="BQ157" s="510"/>
      <c r="BR157" s="510"/>
      <c r="BS157" s="510"/>
      <c r="BT157" s="513"/>
      <c r="BU157" s="514"/>
      <c r="BV157" s="512"/>
      <c r="BW157" s="515"/>
    </row>
    <row r="158" spans="2:75" ht="15.75" customHeight="1">
      <c r="B158" s="250" t="s">
        <v>1058</v>
      </c>
      <c r="C158" s="251">
        <v>11435287000107</v>
      </c>
      <c r="D158" s="252" t="s">
        <v>11</v>
      </c>
      <c r="E158" s="252" t="s">
        <v>620</v>
      </c>
      <c r="F158" s="252" t="s">
        <v>663</v>
      </c>
      <c r="G158" s="253" t="s">
        <v>738</v>
      </c>
      <c r="H158" s="253" t="s">
        <v>34</v>
      </c>
      <c r="I158" s="253" t="s">
        <v>1304</v>
      </c>
      <c r="J158" s="253" t="s">
        <v>608</v>
      </c>
      <c r="K158" s="254" t="s">
        <v>48</v>
      </c>
      <c r="L158" s="255"/>
      <c r="M158" s="255" t="s">
        <v>34</v>
      </c>
      <c r="N158" s="254">
        <v>256765</v>
      </c>
      <c r="O158" s="254" t="s">
        <v>1321</v>
      </c>
      <c r="P158" s="258">
        <v>40422</v>
      </c>
      <c r="Q158" s="259">
        <v>672431455.71000004</v>
      </c>
      <c r="R158" s="259">
        <v>426302371.62353194</v>
      </c>
      <c r="S158" s="254">
        <v>0</v>
      </c>
      <c r="T158" s="256">
        <v>7.7858592171284435E-2</v>
      </c>
      <c r="U158" s="256">
        <v>1.0064932175447259</v>
      </c>
      <c r="V158" s="256">
        <v>0.10536835299665848</v>
      </c>
      <c r="W158" s="256">
        <v>1.0329621832479376</v>
      </c>
      <c r="X158" s="256">
        <v>0.14076270211285347</v>
      </c>
      <c r="Y158" s="256">
        <v>1.067429141151639</v>
      </c>
      <c r="Z158" s="256">
        <v>0.16944535994665499</v>
      </c>
      <c r="AA158" s="256">
        <v>0.96318235813360409</v>
      </c>
      <c r="AB158" s="256">
        <v>1.8751379563372791E-3</v>
      </c>
      <c r="AC158" s="260">
        <v>1.6255998009156321</v>
      </c>
      <c r="AD158" s="405">
        <v>0</v>
      </c>
      <c r="AE158" s="257" t="s">
        <v>2317</v>
      </c>
      <c r="AF158" s="257" t="s">
        <v>2115</v>
      </c>
      <c r="AG158" s="261" t="s">
        <v>719</v>
      </c>
      <c r="AH158" s="261" t="s">
        <v>2113</v>
      </c>
      <c r="AI158" s="261">
        <v>1000</v>
      </c>
      <c r="AJ158" s="261">
        <v>500</v>
      </c>
      <c r="AK158" s="261">
        <v>0</v>
      </c>
      <c r="AL158" s="256">
        <v>3.0000000000000001E-3</v>
      </c>
      <c r="AM158" s="256" t="s">
        <v>34</v>
      </c>
      <c r="AN158" s="256" t="s">
        <v>64</v>
      </c>
      <c r="AO158" s="254" t="s">
        <v>1324</v>
      </c>
      <c r="AP158" s="257" t="s">
        <v>11</v>
      </c>
      <c r="AQ158" s="263" t="s">
        <v>669</v>
      </c>
      <c r="AR158" s="256">
        <v>1.1999999999999999E-3</v>
      </c>
      <c r="AS158" s="256">
        <v>1.1999999999999999E-3</v>
      </c>
      <c r="AT158" s="256"/>
      <c r="AW158" s="508"/>
      <c r="AX158" s="508"/>
      <c r="AY158" s="509"/>
      <c r="AZ158" s="509"/>
      <c r="BA158" s="509"/>
      <c r="BB158" s="510"/>
      <c r="BC158" s="509"/>
      <c r="BD158" s="509"/>
      <c r="BE158" s="509"/>
      <c r="BF158" s="509"/>
      <c r="BG158" s="510"/>
      <c r="BH158" s="510"/>
      <c r="BI158" s="511"/>
      <c r="BJ158" s="511"/>
      <c r="BK158" s="511"/>
      <c r="BL158" s="510"/>
      <c r="BM158" s="510"/>
      <c r="BN158" s="510"/>
      <c r="BO158" s="510"/>
      <c r="BP158" s="510"/>
      <c r="BQ158" s="510"/>
      <c r="BR158" s="510"/>
      <c r="BS158" s="510"/>
      <c r="BT158" s="513"/>
      <c r="BU158" s="514"/>
      <c r="BV158" s="512"/>
      <c r="BW158" s="515"/>
    </row>
    <row r="159" spans="2:75" ht="15.75" customHeight="1">
      <c r="B159" s="250" t="s">
        <v>1067</v>
      </c>
      <c r="C159" s="251">
        <v>8610270000126</v>
      </c>
      <c r="D159" s="252" t="s">
        <v>11</v>
      </c>
      <c r="E159" s="252" t="s">
        <v>620</v>
      </c>
      <c r="F159" s="252" t="s">
        <v>663</v>
      </c>
      <c r="G159" s="253" t="s">
        <v>738</v>
      </c>
      <c r="H159" s="253" t="s">
        <v>34</v>
      </c>
      <c r="I159" s="253" t="s">
        <v>1304</v>
      </c>
      <c r="J159" s="253" t="s">
        <v>608</v>
      </c>
      <c r="K159" s="254" t="s">
        <v>48</v>
      </c>
      <c r="L159" s="255"/>
      <c r="M159" s="255" t="s">
        <v>34</v>
      </c>
      <c r="N159" s="254">
        <v>180203</v>
      </c>
      <c r="O159" s="254" t="s">
        <v>1321</v>
      </c>
      <c r="P159" s="258">
        <v>39160</v>
      </c>
      <c r="Q159" s="259">
        <v>106008271.56999999</v>
      </c>
      <c r="R159" s="259">
        <v>105933340.52686517</v>
      </c>
      <c r="S159" s="254">
        <v>0</v>
      </c>
      <c r="T159" s="256">
        <v>7.5610551302297546E-2</v>
      </c>
      <c r="U159" s="256">
        <v>0.97743235445564014</v>
      </c>
      <c r="V159" s="256">
        <v>0.10154275070472796</v>
      </c>
      <c r="W159" s="256">
        <v>0.99545848898561784</v>
      </c>
      <c r="X159" s="256">
        <v>0.12039623781237707</v>
      </c>
      <c r="Y159" s="256">
        <v>0.91298654257802214</v>
      </c>
      <c r="Z159" s="256">
        <v>0.15704579326790769</v>
      </c>
      <c r="AA159" s="256">
        <v>0.89269920133762792</v>
      </c>
      <c r="AB159" s="256">
        <v>6.1778892221894663E-3</v>
      </c>
      <c r="AC159" s="260">
        <v>-6.5203084842171369E-2</v>
      </c>
      <c r="AD159" s="405">
        <v>0</v>
      </c>
      <c r="AE159" s="257" t="s">
        <v>2320</v>
      </c>
      <c r="AF159" s="257" t="s">
        <v>2118</v>
      </c>
      <c r="AG159" s="261" t="s">
        <v>1433</v>
      </c>
      <c r="AH159" s="261" t="s">
        <v>2113</v>
      </c>
      <c r="AI159" s="261">
        <v>100</v>
      </c>
      <c r="AJ159" s="261">
        <v>0</v>
      </c>
      <c r="AK159" s="261">
        <v>0</v>
      </c>
      <c r="AL159" s="256">
        <v>4.5000000000000005E-3</v>
      </c>
      <c r="AM159" s="256" t="s">
        <v>34</v>
      </c>
      <c r="AN159" s="256" t="s">
        <v>34</v>
      </c>
      <c r="AO159" s="254" t="s">
        <v>1324</v>
      </c>
      <c r="AP159" s="257" t="s">
        <v>11</v>
      </c>
      <c r="AQ159" s="263" t="s">
        <v>675</v>
      </c>
      <c r="AR159" s="256">
        <v>1.4999999999999998E-3</v>
      </c>
      <c r="AS159" s="256">
        <v>1.4999999999999998E-3</v>
      </c>
      <c r="AT159" s="256"/>
      <c r="AW159" s="508"/>
      <c r="AX159" s="508"/>
      <c r="AY159" s="509"/>
      <c r="AZ159" s="509"/>
      <c r="BA159" s="509"/>
      <c r="BB159" s="510"/>
      <c r="BC159" s="509"/>
      <c r="BD159" s="509"/>
      <c r="BE159" s="509"/>
      <c r="BF159" s="509"/>
      <c r="BG159" s="510"/>
      <c r="BH159" s="510"/>
      <c r="BI159" s="511"/>
      <c r="BJ159" s="511"/>
      <c r="BK159" s="511"/>
      <c r="BL159" s="510"/>
      <c r="BM159" s="510"/>
      <c r="BN159" s="510"/>
      <c r="BO159" s="510"/>
      <c r="BP159" s="510"/>
      <c r="BQ159" s="510"/>
      <c r="BR159" s="510"/>
      <c r="BS159" s="510"/>
      <c r="BT159" s="513"/>
      <c r="BU159" s="514"/>
      <c r="BV159" s="512"/>
      <c r="BW159" s="515"/>
    </row>
    <row r="160" spans="2:75" ht="15.75" customHeight="1">
      <c r="B160" s="250" t="s">
        <v>310</v>
      </c>
      <c r="C160" s="251">
        <v>35726805000100</v>
      </c>
      <c r="D160" s="252" t="s">
        <v>11</v>
      </c>
      <c r="E160" s="252" t="s">
        <v>620</v>
      </c>
      <c r="F160" s="252" t="s">
        <v>663</v>
      </c>
      <c r="G160" s="253" t="s">
        <v>738</v>
      </c>
      <c r="H160" s="253" t="s">
        <v>34</v>
      </c>
      <c r="I160" s="253" t="s">
        <v>1304</v>
      </c>
      <c r="J160" s="253" t="s">
        <v>608</v>
      </c>
      <c r="K160" s="254" t="s">
        <v>48</v>
      </c>
      <c r="L160" s="255"/>
      <c r="M160" s="255" t="s">
        <v>1414</v>
      </c>
      <c r="N160" s="254">
        <v>522929</v>
      </c>
      <c r="O160" s="254" t="s">
        <v>1321</v>
      </c>
      <c r="P160" s="258">
        <v>43846</v>
      </c>
      <c r="Q160" s="259">
        <v>118316769.22</v>
      </c>
      <c r="R160" s="259">
        <v>83642551.898968339</v>
      </c>
      <c r="S160" s="254">
        <v>0</v>
      </c>
      <c r="T160" s="256">
        <v>7.8015913089023226E-2</v>
      </c>
      <c r="U160" s="256">
        <v>1.0085269357544471</v>
      </c>
      <c r="V160" s="256">
        <v>0.10281976112345159</v>
      </c>
      <c r="W160" s="256">
        <v>1.0079774610739161</v>
      </c>
      <c r="X160" s="256">
        <v>0.12969076537825019</v>
      </c>
      <c r="Y160" s="256">
        <v>0.98346863355902669</v>
      </c>
      <c r="Z160" s="256" t="s">
        <v>1417</v>
      </c>
      <c r="AA160" s="256" t="s">
        <v>1417</v>
      </c>
      <c r="AB160" s="256">
        <v>1.6446274430425211E-3</v>
      </c>
      <c r="AC160" s="260">
        <v>0.44909947221992907</v>
      </c>
      <c r="AD160" s="405">
        <v>0</v>
      </c>
      <c r="AE160" s="257" t="s">
        <v>2335</v>
      </c>
      <c r="AF160" s="257" t="s">
        <v>2109</v>
      </c>
      <c r="AG160" s="261" t="s">
        <v>1432</v>
      </c>
      <c r="AH160" s="261" t="s">
        <v>2113</v>
      </c>
      <c r="AI160" s="261">
        <v>30</v>
      </c>
      <c r="AJ160" s="261">
        <v>30</v>
      </c>
      <c r="AK160" s="261">
        <v>30</v>
      </c>
      <c r="AL160" s="256">
        <v>2.2000000000000001E-3</v>
      </c>
      <c r="AM160" s="256" t="s">
        <v>34</v>
      </c>
      <c r="AN160" s="256" t="s">
        <v>64</v>
      </c>
      <c r="AO160" s="254" t="s">
        <v>1324</v>
      </c>
      <c r="AP160" s="257" t="s">
        <v>11</v>
      </c>
      <c r="AQ160" s="263" t="s">
        <v>669</v>
      </c>
      <c r="AR160" s="256" t="s">
        <v>34</v>
      </c>
      <c r="AS160" s="256" t="s">
        <v>34</v>
      </c>
      <c r="AT160" s="256"/>
      <c r="AW160" s="508"/>
      <c r="AX160" s="508"/>
      <c r="AY160" s="509"/>
      <c r="AZ160" s="509"/>
      <c r="BA160" s="509"/>
      <c r="BB160" s="510"/>
      <c r="BC160" s="509"/>
      <c r="BD160" s="509"/>
      <c r="BE160" s="509"/>
      <c r="BF160" s="509"/>
      <c r="BG160" s="510"/>
      <c r="BH160" s="510"/>
      <c r="BI160" s="511"/>
      <c r="BJ160" s="511"/>
      <c r="BK160" s="511"/>
      <c r="BL160" s="510"/>
      <c r="BM160" s="510"/>
      <c r="BN160" s="510"/>
      <c r="BO160" s="510"/>
      <c r="BP160" s="510"/>
      <c r="BQ160" s="510"/>
      <c r="BR160" s="510"/>
      <c r="BS160" s="510"/>
      <c r="BT160" s="513"/>
      <c r="BU160" s="514"/>
      <c r="BV160" s="512"/>
      <c r="BW160" s="515"/>
    </row>
    <row r="161" spans="2:75" ht="15.75" customHeight="1">
      <c r="B161" s="250" t="s">
        <v>1196</v>
      </c>
      <c r="C161" s="251">
        <v>12923387000137</v>
      </c>
      <c r="D161" s="252" t="s">
        <v>11</v>
      </c>
      <c r="E161" s="252" t="s">
        <v>620</v>
      </c>
      <c r="F161" s="252" t="s">
        <v>663</v>
      </c>
      <c r="G161" s="253" t="s">
        <v>738</v>
      </c>
      <c r="H161" s="253" t="s">
        <v>34</v>
      </c>
      <c r="I161" s="253" t="s">
        <v>1304</v>
      </c>
      <c r="J161" s="253" t="s">
        <v>608</v>
      </c>
      <c r="K161" s="254" t="s">
        <v>48</v>
      </c>
      <c r="L161" s="255"/>
      <c r="M161" s="255" t="s">
        <v>1414</v>
      </c>
      <c r="N161" s="254">
        <v>389651</v>
      </c>
      <c r="O161" s="254" t="s">
        <v>1321</v>
      </c>
      <c r="P161" s="258">
        <v>40542</v>
      </c>
      <c r="Q161" s="259">
        <v>60755491.840000004</v>
      </c>
      <c r="R161" s="259">
        <v>64009500.657142885</v>
      </c>
      <c r="S161" s="254">
        <v>0</v>
      </c>
      <c r="T161" s="256">
        <v>7.7464009551649005E-2</v>
      </c>
      <c r="U161" s="256">
        <v>1.0013923710055233</v>
      </c>
      <c r="V161" s="256">
        <v>0.10185368381009718</v>
      </c>
      <c r="W161" s="256">
        <v>0.99850667309623453</v>
      </c>
      <c r="X161" s="256">
        <v>0.12455526465557942</v>
      </c>
      <c r="Y161" s="256">
        <v>0.94452519866112894</v>
      </c>
      <c r="Z161" s="256">
        <v>0.16191333076292791</v>
      </c>
      <c r="AA161" s="256">
        <v>0.92036786245784574</v>
      </c>
      <c r="AB161" s="256">
        <v>1.7033107613670067E-3</v>
      </c>
      <c r="AC161" s="260">
        <v>-8.1036438669811389E-2</v>
      </c>
      <c r="AD161" s="405">
        <v>0</v>
      </c>
      <c r="AE161" s="257" t="s">
        <v>2398</v>
      </c>
      <c r="AF161" s="257" t="s">
        <v>2118</v>
      </c>
      <c r="AG161" s="261" t="s">
        <v>1433</v>
      </c>
      <c r="AH161" s="261" t="s">
        <v>2113</v>
      </c>
      <c r="AI161" s="261">
        <v>500</v>
      </c>
      <c r="AJ161" s="261">
        <v>100</v>
      </c>
      <c r="AK161" s="261">
        <v>100</v>
      </c>
      <c r="AL161" s="256">
        <v>3.0000000000000001E-3</v>
      </c>
      <c r="AM161" s="256" t="s">
        <v>34</v>
      </c>
      <c r="AN161" s="256" t="s">
        <v>64</v>
      </c>
      <c r="AO161" s="254" t="s">
        <v>1324</v>
      </c>
      <c r="AP161" s="257" t="s">
        <v>11</v>
      </c>
      <c r="AQ161" s="263" t="s">
        <v>662</v>
      </c>
      <c r="AR161" s="256">
        <v>7.5000000000000002E-4</v>
      </c>
      <c r="AS161" s="256">
        <v>7.5000000000000002E-4</v>
      </c>
      <c r="AT161" s="256"/>
      <c r="AW161" s="508"/>
      <c r="AX161" s="508"/>
      <c r="AY161" s="509"/>
      <c r="AZ161" s="509"/>
      <c r="BA161" s="509"/>
      <c r="BB161" s="510"/>
      <c r="BC161" s="509"/>
      <c r="BD161" s="509"/>
      <c r="BE161" s="509"/>
      <c r="BF161" s="509"/>
      <c r="BG161" s="510"/>
      <c r="BH161" s="510"/>
      <c r="BI161" s="511"/>
      <c r="BJ161" s="511"/>
      <c r="BK161" s="511"/>
      <c r="BL161" s="510"/>
      <c r="BM161" s="510"/>
      <c r="BN161" s="510"/>
      <c r="BO161" s="510"/>
      <c r="BP161" s="510"/>
      <c r="BQ161" s="510"/>
      <c r="BR161" s="510"/>
      <c r="BS161" s="510"/>
      <c r="BT161" s="513"/>
      <c r="BU161" s="514"/>
      <c r="BV161" s="512"/>
      <c r="BW161" s="515"/>
    </row>
    <row r="162" spans="2:75" ht="15.75" customHeight="1">
      <c r="B162" s="250" t="s">
        <v>416</v>
      </c>
      <c r="C162" s="251">
        <v>30509221000150</v>
      </c>
      <c r="D162" s="252" t="s">
        <v>11</v>
      </c>
      <c r="E162" s="252" t="s">
        <v>620</v>
      </c>
      <c r="F162" s="252" t="s">
        <v>663</v>
      </c>
      <c r="G162" s="253" t="s">
        <v>738</v>
      </c>
      <c r="H162" s="253" t="s">
        <v>34</v>
      </c>
      <c r="I162" s="253" t="s">
        <v>1304</v>
      </c>
      <c r="J162" s="253" t="s">
        <v>608</v>
      </c>
      <c r="K162" s="254" t="s">
        <v>48</v>
      </c>
      <c r="L162" s="255"/>
      <c r="M162" s="255" t="s">
        <v>1414</v>
      </c>
      <c r="N162" s="254">
        <v>497606</v>
      </c>
      <c r="O162" s="254" t="s">
        <v>1321</v>
      </c>
      <c r="P162" s="258">
        <v>43616</v>
      </c>
      <c r="Q162" s="259">
        <v>1222062275.29</v>
      </c>
      <c r="R162" s="259">
        <v>572200123.36480129</v>
      </c>
      <c r="S162" s="254">
        <v>0</v>
      </c>
      <c r="T162" s="256">
        <v>7.9395604782524387E-2</v>
      </c>
      <c r="U162" s="256">
        <v>1.0263624795664488</v>
      </c>
      <c r="V162" s="256">
        <v>0.10522890259427564</v>
      </c>
      <c r="W162" s="256">
        <v>1.0315951030193538</v>
      </c>
      <c r="X162" s="256">
        <v>0.14245996969986674</v>
      </c>
      <c r="Y162" s="256">
        <v>1.0802998295905237</v>
      </c>
      <c r="Z162" s="256">
        <v>0.18900553746278881</v>
      </c>
      <c r="AA162" s="256">
        <v>1.0743687483152704</v>
      </c>
      <c r="AB162" s="256">
        <v>2.2579405910727016E-3</v>
      </c>
      <c r="AC162" s="260">
        <v>1.294452099195132</v>
      </c>
      <c r="AD162" s="405">
        <v>0</v>
      </c>
      <c r="AE162" s="257" t="s">
        <v>2421</v>
      </c>
      <c r="AF162" s="257" t="s">
        <v>736</v>
      </c>
      <c r="AG162" s="261" t="s">
        <v>736</v>
      </c>
      <c r="AH162" s="261" t="s">
        <v>2113</v>
      </c>
      <c r="AI162" s="261">
        <v>100</v>
      </c>
      <c r="AJ162" s="261">
        <v>100</v>
      </c>
      <c r="AK162" s="261">
        <v>100</v>
      </c>
      <c r="AL162" s="256">
        <v>4.0000000000000001E-3</v>
      </c>
      <c r="AM162" s="256" t="s">
        <v>34</v>
      </c>
      <c r="AN162" s="256" t="s">
        <v>64</v>
      </c>
      <c r="AO162" s="254" t="s">
        <v>1324</v>
      </c>
      <c r="AP162" s="257" t="s">
        <v>11</v>
      </c>
      <c r="AQ162" s="263" t="s">
        <v>675</v>
      </c>
      <c r="AR162" s="256">
        <v>7.9999999999999993E-4</v>
      </c>
      <c r="AS162" s="256">
        <v>7.9999999999999993E-4</v>
      </c>
      <c r="AT162" s="256"/>
      <c r="AW162" s="508"/>
      <c r="AX162" s="508"/>
      <c r="AY162" s="509"/>
      <c r="AZ162" s="509"/>
      <c r="BA162" s="509"/>
      <c r="BB162" s="510"/>
      <c r="BC162" s="509"/>
      <c r="BD162" s="509"/>
      <c r="BE162" s="509"/>
      <c r="BF162" s="509"/>
      <c r="BG162" s="510"/>
      <c r="BH162" s="510"/>
      <c r="BI162" s="511"/>
      <c r="BJ162" s="511"/>
      <c r="BK162" s="511"/>
      <c r="BL162" s="510"/>
      <c r="BM162" s="510"/>
      <c r="BN162" s="510"/>
      <c r="BO162" s="510"/>
      <c r="BP162" s="510"/>
      <c r="BQ162" s="510"/>
      <c r="BR162" s="510"/>
      <c r="BS162" s="510"/>
      <c r="BT162" s="513"/>
      <c r="BU162" s="514"/>
      <c r="BV162" s="512"/>
      <c r="BW162" s="515"/>
    </row>
    <row r="163" spans="2:75" ht="15.75" customHeight="1">
      <c r="B163" s="250" t="s">
        <v>1251</v>
      </c>
      <c r="C163" s="251">
        <v>44839845000140</v>
      </c>
      <c r="D163" s="252" t="s">
        <v>11</v>
      </c>
      <c r="E163" s="252" t="s">
        <v>620</v>
      </c>
      <c r="F163" s="252" t="s">
        <v>663</v>
      </c>
      <c r="G163" s="253" t="s">
        <v>738</v>
      </c>
      <c r="H163" s="253" t="s">
        <v>34</v>
      </c>
      <c r="I163" s="253"/>
      <c r="J163" s="253"/>
      <c r="K163" s="254" t="s">
        <v>48</v>
      </c>
      <c r="L163" s="255"/>
      <c r="M163" s="255" t="s">
        <v>1414</v>
      </c>
      <c r="N163" s="254">
        <v>640948</v>
      </c>
      <c r="O163" s="254" t="s">
        <v>1321</v>
      </c>
      <c r="P163" s="258">
        <v>44634</v>
      </c>
      <c r="Q163" s="259">
        <v>40436437.340000004</v>
      </c>
      <c r="R163" s="259" t="s">
        <v>1417</v>
      </c>
      <c r="S163" s="254">
        <v>0</v>
      </c>
      <c r="T163" s="256" t="s">
        <v>1417</v>
      </c>
      <c r="U163" s="256" t="s">
        <v>1417</v>
      </c>
      <c r="V163" s="256" t="s">
        <v>1417</v>
      </c>
      <c r="W163" s="256" t="s">
        <v>1417</v>
      </c>
      <c r="X163" s="256" t="s">
        <v>1417</v>
      </c>
      <c r="Y163" s="256" t="s">
        <v>1417</v>
      </c>
      <c r="Z163" s="256" t="s">
        <v>1417</v>
      </c>
      <c r="AA163" s="256" t="s">
        <v>1417</v>
      </c>
      <c r="AB163" s="256" t="s">
        <v>1417</v>
      </c>
      <c r="AC163" s="260" t="s">
        <v>1417</v>
      </c>
      <c r="AD163" s="405">
        <v>0</v>
      </c>
      <c r="AE163" s="257" t="s">
        <v>2427</v>
      </c>
      <c r="AF163" s="257" t="s">
        <v>2109</v>
      </c>
      <c r="AG163" s="261" t="s">
        <v>1432</v>
      </c>
      <c r="AH163" s="261" t="s">
        <v>2113</v>
      </c>
      <c r="AI163" s="261">
        <v>1000</v>
      </c>
      <c r="AJ163" s="261">
        <v>100</v>
      </c>
      <c r="AK163" s="261">
        <v>1000</v>
      </c>
      <c r="AL163" s="256">
        <v>1.4000000000000002E-3</v>
      </c>
      <c r="AM163" s="256" t="s">
        <v>34</v>
      </c>
      <c r="AN163" s="256" t="s">
        <v>2127</v>
      </c>
      <c r="AO163" s="254" t="s">
        <v>1324</v>
      </c>
      <c r="AP163" s="257" t="s">
        <v>11</v>
      </c>
      <c r="AQ163" s="263" t="s">
        <v>669</v>
      </c>
      <c r="AR163" s="256">
        <v>9.3333333333333072E-4</v>
      </c>
      <c r="AS163" s="256">
        <v>9.3333333333333072E-4</v>
      </c>
      <c r="AT163" s="256"/>
      <c r="AW163" s="508"/>
      <c r="AX163" s="508"/>
      <c r="AY163" s="509"/>
      <c r="AZ163" s="509"/>
      <c r="BA163" s="509"/>
      <c r="BB163" s="510"/>
      <c r="BC163" s="509"/>
      <c r="BD163" s="509"/>
      <c r="BE163" s="509"/>
      <c r="BF163" s="509"/>
      <c r="BG163" s="510"/>
      <c r="BH163" s="510"/>
      <c r="BI163" s="511"/>
      <c r="BJ163" s="511"/>
      <c r="BK163" s="511"/>
      <c r="BL163" s="510"/>
      <c r="BM163" s="510"/>
      <c r="BN163" s="510"/>
      <c r="BO163" s="510"/>
      <c r="BP163" s="510"/>
      <c r="BQ163" s="510"/>
      <c r="BR163" s="510"/>
      <c r="BS163" s="510"/>
      <c r="BT163" s="513"/>
      <c r="BU163" s="514"/>
      <c r="BV163" s="512"/>
      <c r="BW163" s="515"/>
    </row>
    <row r="164" spans="2:75" ht="15.75" customHeight="1">
      <c r="B164" s="250" t="s">
        <v>90</v>
      </c>
      <c r="C164" s="251">
        <v>24773832000109</v>
      </c>
      <c r="D164" s="252" t="s">
        <v>11</v>
      </c>
      <c r="E164" s="252" t="s">
        <v>620</v>
      </c>
      <c r="F164" s="252" t="s">
        <v>685</v>
      </c>
      <c r="G164" s="253" t="s">
        <v>738</v>
      </c>
      <c r="H164" s="253" t="s">
        <v>34</v>
      </c>
      <c r="I164" s="253" t="s">
        <v>1304</v>
      </c>
      <c r="J164" s="253" t="s">
        <v>608</v>
      </c>
      <c r="K164" s="254" t="s">
        <v>48</v>
      </c>
      <c r="L164" s="255"/>
      <c r="M164" s="255" t="s">
        <v>34</v>
      </c>
      <c r="N164" s="254">
        <v>420530</v>
      </c>
      <c r="O164" s="254" t="s">
        <v>1321</v>
      </c>
      <c r="P164" s="258">
        <v>42534</v>
      </c>
      <c r="Q164" s="259">
        <v>412741933.02999997</v>
      </c>
      <c r="R164" s="259">
        <v>242059182.6264683</v>
      </c>
      <c r="S164" s="254">
        <v>0</v>
      </c>
      <c r="T164" s="256">
        <v>7.8190244995797853E-2</v>
      </c>
      <c r="U164" s="256">
        <v>1.0107805583396627</v>
      </c>
      <c r="V164" s="256">
        <v>0.10480633139818241</v>
      </c>
      <c r="W164" s="256">
        <v>1.0274524923314179</v>
      </c>
      <c r="X164" s="256">
        <v>0.13880557472719568</v>
      </c>
      <c r="Y164" s="256">
        <v>1.0525878886533588</v>
      </c>
      <c r="Z164" s="256">
        <v>0.18455327083159601</v>
      </c>
      <c r="AA164" s="256">
        <v>1.0490606214109874</v>
      </c>
      <c r="AB164" s="256">
        <v>1.4190792661087223E-3</v>
      </c>
      <c r="AC164" s="260">
        <v>1.788975270732577</v>
      </c>
      <c r="AD164" s="405">
        <v>0</v>
      </c>
      <c r="AE164" s="257" t="s">
        <v>2150</v>
      </c>
      <c r="AF164" s="257" t="s">
        <v>761</v>
      </c>
      <c r="AG164" s="261" t="s">
        <v>1434</v>
      </c>
      <c r="AH164" s="261" t="s">
        <v>2113</v>
      </c>
      <c r="AI164" s="261">
        <v>1000</v>
      </c>
      <c r="AJ164" s="261">
        <v>1000</v>
      </c>
      <c r="AK164" s="261">
        <v>1000</v>
      </c>
      <c r="AL164" s="519">
        <v>5.0000000000000001E-3</v>
      </c>
      <c r="AM164" s="519" t="s">
        <v>34</v>
      </c>
      <c r="AN164" s="256" t="s">
        <v>64</v>
      </c>
      <c r="AO164" s="254" t="s">
        <v>1324</v>
      </c>
      <c r="AP164" s="257" t="s">
        <v>11</v>
      </c>
      <c r="AQ164" s="263" t="s">
        <v>669</v>
      </c>
      <c r="AR164" s="256">
        <v>1.3333333333333333E-3</v>
      </c>
      <c r="AS164" s="256">
        <v>1.3333333333333333E-3</v>
      </c>
      <c r="AT164" s="256"/>
      <c r="AW164" s="508"/>
      <c r="AX164" s="508"/>
      <c r="AY164" s="509"/>
      <c r="AZ164" s="509"/>
      <c r="BA164" s="509"/>
      <c r="BB164" s="510"/>
      <c r="BC164" s="509"/>
      <c r="BD164" s="509"/>
      <c r="BE164" s="509"/>
      <c r="BF164" s="509"/>
      <c r="BG164" s="510"/>
      <c r="BH164" s="510"/>
      <c r="BI164" s="511"/>
      <c r="BJ164" s="511"/>
      <c r="BK164" s="511"/>
      <c r="BL164" s="510"/>
      <c r="BM164" s="510"/>
      <c r="BN164" s="510"/>
      <c r="BO164" s="510"/>
      <c r="BP164" s="510"/>
      <c r="BQ164" s="510"/>
      <c r="BR164" s="510"/>
      <c r="BS164" s="510"/>
      <c r="BT164" s="513"/>
      <c r="BU164" s="514"/>
      <c r="BV164" s="512"/>
      <c r="BW164" s="515"/>
    </row>
    <row r="165" spans="2:75" ht="15.75" customHeight="1">
      <c r="B165" s="250" t="s">
        <v>487</v>
      </c>
      <c r="C165" s="251">
        <v>34867354000150</v>
      </c>
      <c r="D165" s="252" t="s">
        <v>11</v>
      </c>
      <c r="E165" s="252" t="s">
        <v>620</v>
      </c>
      <c r="F165" s="252" t="s">
        <v>685</v>
      </c>
      <c r="G165" s="253" t="s">
        <v>738</v>
      </c>
      <c r="H165" s="253" t="s">
        <v>34</v>
      </c>
      <c r="I165" s="253" t="s">
        <v>1319</v>
      </c>
      <c r="J165" s="253" t="s">
        <v>608</v>
      </c>
      <c r="K165" s="254" t="s">
        <v>48</v>
      </c>
      <c r="L165" s="255"/>
      <c r="M165" s="255" t="s">
        <v>34</v>
      </c>
      <c r="N165" s="254">
        <v>523453</v>
      </c>
      <c r="O165" s="254" t="s">
        <v>1321</v>
      </c>
      <c r="P165" s="258">
        <v>43844</v>
      </c>
      <c r="Q165" s="259">
        <v>339925921.83999997</v>
      </c>
      <c r="R165" s="259">
        <v>184075942.26718265</v>
      </c>
      <c r="S165" s="254">
        <v>0</v>
      </c>
      <c r="T165" s="256">
        <v>0.13496956904973101</v>
      </c>
      <c r="U165" s="256">
        <v>1.7447779626510007</v>
      </c>
      <c r="V165" s="256">
        <v>0.16500565453311955</v>
      </c>
      <c r="W165" s="256">
        <v>1.6176071496551854</v>
      </c>
      <c r="X165" s="256">
        <v>0.26727721280994565</v>
      </c>
      <c r="Y165" s="256">
        <v>2.0268116584632723</v>
      </c>
      <c r="Z165" s="256" t="s">
        <v>1417</v>
      </c>
      <c r="AA165" s="256" t="s">
        <v>1417</v>
      </c>
      <c r="AB165" s="256">
        <v>0.11555699566124844</v>
      </c>
      <c r="AC165" s="260">
        <v>0.53869449052346408</v>
      </c>
      <c r="AD165" s="405">
        <v>0</v>
      </c>
      <c r="AE165" s="257" t="s">
        <v>2272</v>
      </c>
      <c r="AF165" s="257" t="s">
        <v>976</v>
      </c>
      <c r="AG165" s="261" t="s">
        <v>976</v>
      </c>
      <c r="AH165" s="261" t="s">
        <v>726</v>
      </c>
      <c r="AI165" s="261">
        <v>1000</v>
      </c>
      <c r="AJ165" s="261">
        <v>1000</v>
      </c>
      <c r="AK165" s="261">
        <v>1000</v>
      </c>
      <c r="AL165" s="256">
        <v>3.0000000000000001E-5</v>
      </c>
      <c r="AM165" s="256">
        <v>0.3</v>
      </c>
      <c r="AN165" s="256" t="s">
        <v>64</v>
      </c>
      <c r="AO165" s="254" t="s">
        <v>1324</v>
      </c>
      <c r="AP165" s="257" t="s">
        <v>13</v>
      </c>
      <c r="AQ165" s="263" t="s">
        <v>679</v>
      </c>
      <c r="AR165" s="256">
        <v>2E-3</v>
      </c>
      <c r="AS165" s="256">
        <v>2E-3</v>
      </c>
      <c r="AT165" s="256"/>
      <c r="AW165" s="508"/>
      <c r="AX165" s="508"/>
      <c r="AY165" s="509"/>
      <c r="AZ165" s="509"/>
      <c r="BA165" s="509"/>
      <c r="BB165" s="509"/>
      <c r="BC165" s="509"/>
      <c r="BD165" s="509"/>
      <c r="BE165" s="509"/>
      <c r="BF165" s="509"/>
      <c r="BG165" s="510"/>
      <c r="BH165" s="510"/>
      <c r="BI165" s="511"/>
      <c r="BJ165" s="511"/>
      <c r="BK165" s="511"/>
      <c r="BL165" s="195"/>
      <c r="BM165" s="510"/>
      <c r="BN165" s="510"/>
      <c r="BO165" s="510"/>
      <c r="BP165" s="510"/>
      <c r="BQ165" s="510"/>
      <c r="BR165" s="510"/>
      <c r="BS165" s="510"/>
      <c r="BT165" s="510"/>
      <c r="BU165" s="510"/>
      <c r="BV165" s="512"/>
      <c r="BW165" s="509"/>
    </row>
    <row r="166" spans="2:75" ht="15.75" customHeight="1">
      <c r="B166" s="250" t="s">
        <v>1502</v>
      </c>
      <c r="C166" s="251">
        <v>25108905000100</v>
      </c>
      <c r="D166" s="252" t="s">
        <v>11</v>
      </c>
      <c r="E166" s="252" t="s">
        <v>621</v>
      </c>
      <c r="F166" s="252" t="s">
        <v>692</v>
      </c>
      <c r="G166" s="253" t="s">
        <v>738</v>
      </c>
      <c r="H166" s="253" t="s">
        <v>34</v>
      </c>
      <c r="I166" s="253"/>
      <c r="J166" s="253" t="s">
        <v>608</v>
      </c>
      <c r="K166" s="254" t="s">
        <v>48</v>
      </c>
      <c r="L166" s="255"/>
      <c r="M166" s="255"/>
      <c r="N166" s="254">
        <v>432016</v>
      </c>
      <c r="O166" s="254" t="s">
        <v>1321</v>
      </c>
      <c r="P166" s="258">
        <v>42733</v>
      </c>
      <c r="Q166" s="259">
        <v>500860645.56999999</v>
      </c>
      <c r="R166" s="259">
        <v>534864293.56289661</v>
      </c>
      <c r="S166" s="254">
        <v>0</v>
      </c>
      <c r="T166" s="256">
        <v>6.4380906075456323E-2</v>
      </c>
      <c r="U166" s="256">
        <v>0.72415086400975093</v>
      </c>
      <c r="V166" s="256">
        <v>9.2612220456388838E-2</v>
      </c>
      <c r="W166" s="256">
        <v>0.84996795474816844</v>
      </c>
      <c r="X166" s="256">
        <v>0.18749600665433719</v>
      </c>
      <c r="Y166" s="256">
        <v>1.3184326287817545</v>
      </c>
      <c r="Z166" s="256">
        <v>0.22481498078942042</v>
      </c>
      <c r="AA166" s="256">
        <v>1.2285157807432099</v>
      </c>
      <c r="AB166" s="256">
        <v>3.6642577227716959E-2</v>
      </c>
      <c r="AC166" s="260">
        <v>-0.38724720188376455</v>
      </c>
      <c r="AD166" s="405">
        <v>0</v>
      </c>
      <c r="AE166" s="257" t="s">
        <v>2128</v>
      </c>
      <c r="AF166" s="257" t="s">
        <v>728</v>
      </c>
      <c r="AG166" s="261" t="s">
        <v>728</v>
      </c>
      <c r="AH166" s="261" t="s">
        <v>2113</v>
      </c>
      <c r="AI166" s="261">
        <v>1000</v>
      </c>
      <c r="AJ166" s="261">
        <v>1000</v>
      </c>
      <c r="AK166" s="261">
        <v>1000</v>
      </c>
      <c r="AL166" s="256">
        <v>2.0000000000000001E-4</v>
      </c>
      <c r="AM166" s="256" t="s">
        <v>34</v>
      </c>
      <c r="AN166" s="256" t="s">
        <v>34</v>
      </c>
      <c r="AO166" s="254" t="s">
        <v>1324</v>
      </c>
      <c r="AP166" s="257" t="s">
        <v>11</v>
      </c>
      <c r="AQ166" s="263" t="s">
        <v>675</v>
      </c>
      <c r="AR166" s="256">
        <v>3.3000000000000004E-3</v>
      </c>
      <c r="AS166" s="256">
        <v>3.3000000000000004E-3</v>
      </c>
      <c r="AT166" s="256"/>
      <c r="AW166" s="508"/>
      <c r="AX166" s="508"/>
      <c r="AY166" s="509"/>
      <c r="AZ166" s="509"/>
      <c r="BA166" s="509"/>
      <c r="BB166" s="510"/>
      <c r="BC166" s="509"/>
      <c r="BD166" s="509"/>
      <c r="BE166" s="509"/>
      <c r="BF166" s="509"/>
      <c r="BG166" s="510"/>
      <c r="BH166" s="510"/>
      <c r="BI166" s="511"/>
      <c r="BJ166" s="511"/>
      <c r="BK166" s="511"/>
      <c r="BL166" s="510"/>
      <c r="BM166" s="510"/>
      <c r="BN166" s="510"/>
      <c r="BO166" s="510"/>
      <c r="BP166" s="510"/>
      <c r="BQ166" s="510"/>
      <c r="BR166" s="510"/>
      <c r="BS166" s="510"/>
      <c r="BT166" s="513"/>
      <c r="BU166" s="514"/>
      <c r="BV166" s="512"/>
      <c r="BW166" s="515"/>
    </row>
    <row r="167" spans="2:75" ht="15.75" customHeight="1">
      <c r="B167" s="250" t="s">
        <v>810</v>
      </c>
      <c r="C167" s="251">
        <v>9636393000107</v>
      </c>
      <c r="D167" s="252" t="s">
        <v>11</v>
      </c>
      <c r="E167" s="252" t="s">
        <v>620</v>
      </c>
      <c r="F167" s="252" t="s">
        <v>672</v>
      </c>
      <c r="G167" s="253" t="s">
        <v>738</v>
      </c>
      <c r="H167" s="253" t="s">
        <v>34</v>
      </c>
      <c r="I167" s="253"/>
      <c r="J167" s="253" t="s">
        <v>608</v>
      </c>
      <c r="K167" s="254" t="s">
        <v>48</v>
      </c>
      <c r="L167" s="255"/>
      <c r="M167" s="255" t="s">
        <v>34</v>
      </c>
      <c r="N167" s="254">
        <v>217018</v>
      </c>
      <c r="O167" s="254" t="s">
        <v>1321</v>
      </c>
      <c r="P167" s="258">
        <v>39706</v>
      </c>
      <c r="Q167" s="259">
        <v>2607300906.21</v>
      </c>
      <c r="R167" s="259">
        <v>1236068084.8405557</v>
      </c>
      <c r="S167" s="254">
        <v>0</v>
      </c>
      <c r="T167" s="256">
        <v>8.2870779758294821E-2</v>
      </c>
      <c r="U167" s="256">
        <v>1.0712867447676391</v>
      </c>
      <c r="V167" s="256">
        <v>0.11565162255560368</v>
      </c>
      <c r="W167" s="256">
        <v>1.1337726094569527</v>
      </c>
      <c r="X167" s="256">
        <v>0.14636187644631682</v>
      </c>
      <c r="Y167" s="256">
        <v>1.10988869727138</v>
      </c>
      <c r="Z167" s="256">
        <v>0.17613207773154027</v>
      </c>
      <c r="AA167" s="256">
        <v>1.001191829778312</v>
      </c>
      <c r="AB167" s="256">
        <v>1.7520036111370067E-3</v>
      </c>
      <c r="AC167" s="260">
        <v>7.0273098250547967</v>
      </c>
      <c r="AD167" s="405">
        <v>0</v>
      </c>
      <c r="AE167" s="257" t="s">
        <v>2128</v>
      </c>
      <c r="AF167" s="257" t="s">
        <v>728</v>
      </c>
      <c r="AG167" s="261" t="s">
        <v>728</v>
      </c>
      <c r="AH167" s="261" t="s">
        <v>2113</v>
      </c>
      <c r="AI167" s="261">
        <v>100</v>
      </c>
      <c r="AJ167" s="261">
        <v>100</v>
      </c>
      <c r="AK167" s="261">
        <v>100</v>
      </c>
      <c r="AL167" s="256">
        <v>3.4999999999999996E-3</v>
      </c>
      <c r="AM167" s="256" t="s">
        <v>34</v>
      </c>
      <c r="AN167" s="256" t="s">
        <v>64</v>
      </c>
      <c r="AO167" s="254" t="s">
        <v>1324</v>
      </c>
      <c r="AP167" s="257" t="s">
        <v>11</v>
      </c>
      <c r="AQ167" s="263" t="s">
        <v>662</v>
      </c>
      <c r="AR167" s="256">
        <v>1.1666666666666665E-3</v>
      </c>
      <c r="AS167" s="256">
        <v>1.1666666666666665E-3</v>
      </c>
      <c r="AT167" s="256"/>
      <c r="AW167" s="508"/>
      <c r="AX167" s="508"/>
      <c r="AY167" s="509"/>
      <c r="AZ167" s="509"/>
      <c r="BA167" s="509"/>
      <c r="BB167" s="510"/>
      <c r="BC167" s="509"/>
      <c r="BD167" s="509"/>
      <c r="BE167" s="509"/>
      <c r="BF167" s="509"/>
      <c r="BG167" s="510"/>
      <c r="BH167" s="510"/>
      <c r="BI167" s="511"/>
      <c r="BJ167" s="511"/>
      <c r="BK167" s="511"/>
      <c r="BL167" s="510"/>
      <c r="BM167" s="510"/>
      <c r="BN167" s="510"/>
      <c r="BO167" s="510"/>
      <c r="BP167" s="510"/>
      <c r="BQ167" s="510"/>
      <c r="BR167" s="510"/>
      <c r="BS167" s="510"/>
      <c r="BT167" s="513"/>
      <c r="BU167" s="514"/>
      <c r="BV167" s="512"/>
      <c r="BW167" s="515"/>
    </row>
    <row r="168" spans="2:75" ht="15.75" customHeight="1">
      <c r="B168" s="250" t="s">
        <v>1504</v>
      </c>
      <c r="C168" s="251">
        <v>17898543000170</v>
      </c>
      <c r="D168" s="252" t="s">
        <v>11</v>
      </c>
      <c r="E168" s="252" t="s">
        <v>620</v>
      </c>
      <c r="F168" s="252" t="s">
        <v>672</v>
      </c>
      <c r="G168" s="253" t="s">
        <v>738</v>
      </c>
      <c r="H168" s="253" t="s">
        <v>34</v>
      </c>
      <c r="I168" s="253"/>
      <c r="J168" s="253" t="s">
        <v>608</v>
      </c>
      <c r="K168" s="254" t="s">
        <v>48</v>
      </c>
      <c r="L168" s="255"/>
      <c r="M168" s="255"/>
      <c r="N168" s="254">
        <v>339423</v>
      </c>
      <c r="O168" s="254" t="s">
        <v>1321</v>
      </c>
      <c r="P168" s="258">
        <v>41442</v>
      </c>
      <c r="Q168" s="259">
        <v>2435344821.4400001</v>
      </c>
      <c r="R168" s="259">
        <v>2665371307.8814669</v>
      </c>
      <c r="S168" s="254">
        <v>0</v>
      </c>
      <c r="T168" s="256">
        <v>8.7725633454393437E-2</v>
      </c>
      <c r="U168" s="256">
        <v>0.98673033876451932</v>
      </c>
      <c r="V168" s="256">
        <v>0.10798148475731106</v>
      </c>
      <c r="W168" s="256">
        <v>0.99102258101091378</v>
      </c>
      <c r="X168" s="256">
        <v>0.13675574795211132</v>
      </c>
      <c r="Y168" s="256">
        <v>0.96163776226935627</v>
      </c>
      <c r="Z168" s="256">
        <v>0.16735449078931519</v>
      </c>
      <c r="AA168" s="256">
        <v>0.91451927354208207</v>
      </c>
      <c r="AB168" s="256">
        <v>1.36171402756506E-3</v>
      </c>
      <c r="AC168" s="260">
        <v>-0.64831763157318723</v>
      </c>
      <c r="AD168" s="405">
        <v>0</v>
      </c>
      <c r="AE168" s="257" t="s">
        <v>2152</v>
      </c>
      <c r="AF168" s="257" t="s">
        <v>2118</v>
      </c>
      <c r="AG168" s="261" t="s">
        <v>1433</v>
      </c>
      <c r="AH168" s="261" t="s">
        <v>2113</v>
      </c>
      <c r="AI168" s="261">
        <v>0</v>
      </c>
      <c r="AJ168" s="261">
        <v>0</v>
      </c>
      <c r="AK168" s="261">
        <v>0</v>
      </c>
      <c r="AL168" s="256">
        <v>2E-3</v>
      </c>
      <c r="AM168" s="256" t="s">
        <v>34</v>
      </c>
      <c r="AN168" s="256" t="s">
        <v>64</v>
      </c>
      <c r="AO168" s="254" t="s">
        <v>1324</v>
      </c>
      <c r="AP168" s="257" t="s">
        <v>11</v>
      </c>
      <c r="AQ168" s="263" t="s">
        <v>1505</v>
      </c>
      <c r="AR168" s="256" t="s">
        <v>34</v>
      </c>
      <c r="AS168" s="256" t="s">
        <v>34</v>
      </c>
      <c r="AT168" s="256"/>
      <c r="AW168" s="508"/>
      <c r="AX168" s="508"/>
      <c r="AY168" s="509"/>
      <c r="AZ168" s="509"/>
      <c r="BA168" s="509"/>
      <c r="BB168" s="510"/>
      <c r="BC168" s="509"/>
      <c r="BD168" s="509"/>
      <c r="BE168" s="509"/>
      <c r="BF168" s="509"/>
      <c r="BG168" s="510"/>
      <c r="BH168" s="510"/>
      <c r="BI168" s="511"/>
      <c r="BJ168" s="511"/>
      <c r="BK168" s="511"/>
      <c r="BL168" s="510"/>
      <c r="BM168" s="510"/>
      <c r="BN168" s="510"/>
      <c r="BO168" s="510"/>
      <c r="BP168" s="510"/>
      <c r="BQ168" s="510"/>
      <c r="BR168" s="510"/>
      <c r="BS168" s="510"/>
      <c r="BT168" s="513"/>
      <c r="BU168" s="514"/>
      <c r="BV168" s="512"/>
      <c r="BW168" s="515"/>
    </row>
    <row r="169" spans="2:75" ht="15.75" customHeight="1">
      <c r="B169" s="250" t="s">
        <v>815</v>
      </c>
      <c r="C169" s="251">
        <v>32158410000151</v>
      </c>
      <c r="D169" s="252" t="s">
        <v>11</v>
      </c>
      <c r="E169" s="252" t="s">
        <v>620</v>
      </c>
      <c r="F169" s="252" t="s">
        <v>672</v>
      </c>
      <c r="G169" s="253" t="s">
        <v>738</v>
      </c>
      <c r="H169" s="253" t="s">
        <v>34</v>
      </c>
      <c r="I169" s="253" t="s">
        <v>1304</v>
      </c>
      <c r="J169" s="253" t="s">
        <v>608</v>
      </c>
      <c r="K169" s="254" t="s">
        <v>48</v>
      </c>
      <c r="L169" s="255"/>
      <c r="M169" s="255" t="s">
        <v>1414</v>
      </c>
      <c r="N169" s="254">
        <v>484040</v>
      </c>
      <c r="O169" s="254" t="s">
        <v>1321</v>
      </c>
      <c r="P169" s="258">
        <v>43462</v>
      </c>
      <c r="Q169" s="259">
        <v>33329935.239999998</v>
      </c>
      <c r="R169" s="259">
        <v>33923472.502341285</v>
      </c>
      <c r="S169" s="254">
        <v>0</v>
      </c>
      <c r="T169" s="256">
        <v>7.6998152512314455E-2</v>
      </c>
      <c r="U169" s="256">
        <v>0.99537014613143115</v>
      </c>
      <c r="V169" s="256">
        <v>0.10157559032091346</v>
      </c>
      <c r="W169" s="256">
        <v>0.99578042703121938</v>
      </c>
      <c r="X169" s="256">
        <v>0.13016877924043468</v>
      </c>
      <c r="Y169" s="256">
        <v>0.9870934995122328</v>
      </c>
      <c r="Z169" s="256">
        <v>0.16693537380845469</v>
      </c>
      <c r="AA169" s="256">
        <v>0.94891478321602873</v>
      </c>
      <c r="AB169" s="256">
        <v>1.9172692974224537E-3</v>
      </c>
      <c r="AC169" s="260">
        <v>-0.20349795371401441</v>
      </c>
      <c r="AD169" s="405">
        <v>32312120000110</v>
      </c>
      <c r="AE169" s="257" t="s">
        <v>2179</v>
      </c>
      <c r="AF169" s="257" t="s">
        <v>2115</v>
      </c>
      <c r="AG169" s="261" t="s">
        <v>719</v>
      </c>
      <c r="AH169" s="261" t="s">
        <v>2113</v>
      </c>
      <c r="AI169" s="261">
        <v>30</v>
      </c>
      <c r="AJ169" s="261">
        <v>30</v>
      </c>
      <c r="AK169" s="261">
        <v>30</v>
      </c>
      <c r="AL169" s="256">
        <v>2.5000000000000001E-3</v>
      </c>
      <c r="AM169" s="256" t="s">
        <v>34</v>
      </c>
      <c r="AN169" s="256" t="s">
        <v>64</v>
      </c>
      <c r="AO169" s="254" t="s">
        <v>1324</v>
      </c>
      <c r="AP169" s="257" t="s">
        <v>11</v>
      </c>
      <c r="AQ169" s="263" t="s">
        <v>669</v>
      </c>
      <c r="AR169" s="256">
        <v>6.6666666666666664E-4</v>
      </c>
      <c r="AS169" s="256">
        <v>6.6666666666666664E-4</v>
      </c>
      <c r="AT169" s="256"/>
      <c r="AW169" s="508"/>
      <c r="AX169" s="508"/>
      <c r="AY169" s="509"/>
      <c r="AZ169" s="509"/>
      <c r="BA169" s="509"/>
      <c r="BB169" s="510"/>
      <c r="BC169" s="509"/>
      <c r="BD169" s="509"/>
      <c r="BE169" s="509"/>
      <c r="BF169" s="509"/>
      <c r="BG169" s="510"/>
      <c r="BH169" s="510"/>
      <c r="BI169" s="511"/>
      <c r="BJ169" s="511"/>
      <c r="BK169" s="511"/>
      <c r="BL169" s="510"/>
      <c r="BM169" s="510"/>
      <c r="BN169" s="510"/>
      <c r="BO169" s="510"/>
      <c r="BP169" s="510"/>
      <c r="BQ169" s="510"/>
      <c r="BR169" s="510"/>
      <c r="BS169" s="510"/>
      <c r="BT169" s="513"/>
      <c r="BU169" s="514"/>
      <c r="BV169" s="512"/>
      <c r="BW169" s="515"/>
    </row>
    <row r="170" spans="2:75" ht="15.75" customHeight="1">
      <c r="B170" s="250" t="s">
        <v>829</v>
      </c>
      <c r="C170" s="251">
        <v>11616354000181</v>
      </c>
      <c r="D170" s="252" t="s">
        <v>11</v>
      </c>
      <c r="E170" s="252" t="s">
        <v>620</v>
      </c>
      <c r="F170" s="252" t="s">
        <v>672</v>
      </c>
      <c r="G170" s="253" t="s">
        <v>738</v>
      </c>
      <c r="H170" s="253" t="s">
        <v>34</v>
      </c>
      <c r="I170" s="253" t="s">
        <v>1304</v>
      </c>
      <c r="J170" s="253" t="s">
        <v>608</v>
      </c>
      <c r="K170" s="254" t="s">
        <v>48</v>
      </c>
      <c r="L170" s="255"/>
      <c r="M170" s="255" t="s">
        <v>1414</v>
      </c>
      <c r="N170" s="254">
        <v>245062</v>
      </c>
      <c r="O170" s="254" t="s">
        <v>1321</v>
      </c>
      <c r="P170" s="258">
        <v>40259</v>
      </c>
      <c r="Q170" s="259">
        <v>258607948.81</v>
      </c>
      <c r="R170" s="259">
        <v>257356937.53869042</v>
      </c>
      <c r="S170" s="254">
        <v>0</v>
      </c>
      <c r="T170" s="256">
        <v>7.6741891951440877E-2</v>
      </c>
      <c r="U170" s="256">
        <v>0.99205741584373164</v>
      </c>
      <c r="V170" s="256">
        <v>0.10153239390433932</v>
      </c>
      <c r="W170" s="256">
        <v>0.99535695771141031</v>
      </c>
      <c r="X170" s="256">
        <v>0.12828076165436464</v>
      </c>
      <c r="Y170" s="256">
        <v>0.97277631917875074</v>
      </c>
      <c r="Z170" s="256">
        <v>0.16482917187977364</v>
      </c>
      <c r="AA170" s="256">
        <v>0.93694244864746201</v>
      </c>
      <c r="AB170" s="256">
        <v>1.5307394173028662E-3</v>
      </c>
      <c r="AC170" s="260">
        <v>-0.28094462930933778</v>
      </c>
      <c r="AD170" s="405">
        <v>0</v>
      </c>
      <c r="AE170" s="257" t="s">
        <v>2183</v>
      </c>
      <c r="AF170" s="257" t="s">
        <v>2118</v>
      </c>
      <c r="AG170" s="261" t="s">
        <v>1433</v>
      </c>
      <c r="AH170" s="261" t="s">
        <v>2113</v>
      </c>
      <c r="AI170" s="261">
        <v>3000</v>
      </c>
      <c r="AJ170" s="261">
        <v>0</v>
      </c>
      <c r="AK170" s="261">
        <v>0</v>
      </c>
      <c r="AL170" s="256">
        <v>1.5E-3</v>
      </c>
      <c r="AM170" s="256" t="s">
        <v>34</v>
      </c>
      <c r="AN170" s="256" t="s">
        <v>64</v>
      </c>
      <c r="AO170" s="254" t="s">
        <v>1324</v>
      </c>
      <c r="AP170" s="257" t="s">
        <v>11</v>
      </c>
      <c r="AQ170" s="263" t="s">
        <v>662</v>
      </c>
      <c r="AR170" s="256">
        <v>3.7500000000000001E-4</v>
      </c>
      <c r="AS170" s="256">
        <v>3.7500000000000001E-4</v>
      </c>
      <c r="AT170" s="256"/>
      <c r="AW170" s="508"/>
      <c r="AX170" s="508"/>
      <c r="AY170" s="509"/>
      <c r="AZ170" s="509"/>
      <c r="BA170" s="509"/>
      <c r="BB170" s="510"/>
      <c r="BC170" s="509"/>
      <c r="BD170" s="509"/>
      <c r="BE170" s="509"/>
      <c r="BF170" s="509"/>
      <c r="BG170" s="510"/>
      <c r="BH170" s="510"/>
      <c r="BI170" s="511"/>
      <c r="BJ170" s="511"/>
      <c r="BK170" s="511"/>
      <c r="BL170" s="510"/>
      <c r="BM170" s="510"/>
      <c r="BN170" s="510"/>
      <c r="BO170" s="510"/>
      <c r="BP170" s="510"/>
      <c r="BQ170" s="510"/>
      <c r="BR170" s="510"/>
      <c r="BS170" s="510"/>
      <c r="BT170" s="513"/>
      <c r="BU170" s="514"/>
      <c r="BV170" s="512"/>
      <c r="BW170" s="515"/>
    </row>
    <row r="171" spans="2:75" ht="15.75" customHeight="1">
      <c r="B171" s="250" t="s">
        <v>1522</v>
      </c>
      <c r="C171" s="251">
        <v>37953612000109</v>
      </c>
      <c r="D171" s="252" t="s">
        <v>11</v>
      </c>
      <c r="E171" s="252" t="s">
        <v>620</v>
      </c>
      <c r="F171" s="252" t="s">
        <v>672</v>
      </c>
      <c r="G171" s="253" t="s">
        <v>738</v>
      </c>
      <c r="H171" s="253" t="s">
        <v>34</v>
      </c>
      <c r="I171" s="253" t="s">
        <v>1304</v>
      </c>
      <c r="J171" s="253" t="s">
        <v>608</v>
      </c>
      <c r="K171" s="254" t="s">
        <v>48</v>
      </c>
      <c r="L171" s="255"/>
      <c r="M171" s="255"/>
      <c r="N171" s="254">
        <v>548065</v>
      </c>
      <c r="O171" s="254" t="s">
        <v>1321</v>
      </c>
      <c r="P171" s="258">
        <v>44055</v>
      </c>
      <c r="Q171" s="259">
        <v>96163540.150000006</v>
      </c>
      <c r="R171" s="259">
        <v>52910133.475357138</v>
      </c>
      <c r="S171" s="254">
        <v>0</v>
      </c>
      <c r="T171" s="256">
        <v>9.0757787967766124E-2</v>
      </c>
      <c r="U171" s="256">
        <v>1.0208357505165135</v>
      </c>
      <c r="V171" s="256">
        <v>0.11150719263726927</v>
      </c>
      <c r="W171" s="256">
        <v>1.0233804998795013</v>
      </c>
      <c r="X171" s="256">
        <v>0.14540895792048958</v>
      </c>
      <c r="Y171" s="256">
        <v>1.0224853214765355</v>
      </c>
      <c r="Z171" s="256" t="s">
        <v>1417</v>
      </c>
      <c r="AA171" s="256" t="s">
        <v>1417</v>
      </c>
      <c r="AB171" s="256">
        <v>1.3665615018689098E-3</v>
      </c>
      <c r="AC171" s="260">
        <v>1.6797957844900773</v>
      </c>
      <c r="AD171" s="405">
        <v>0</v>
      </c>
      <c r="AE171" s="257" t="s">
        <v>2144</v>
      </c>
      <c r="AF171" s="257" t="s">
        <v>2109</v>
      </c>
      <c r="AG171" s="261" t="s">
        <v>1432</v>
      </c>
      <c r="AH171" s="261" t="s">
        <v>2131</v>
      </c>
      <c r="AI171" s="261">
        <v>0</v>
      </c>
      <c r="AJ171" s="261">
        <v>50</v>
      </c>
      <c r="AK171" s="261">
        <v>1</v>
      </c>
      <c r="AL171" s="256">
        <v>0</v>
      </c>
      <c r="AM171" s="256" t="s">
        <v>34</v>
      </c>
      <c r="AN171" s="256" t="s">
        <v>64</v>
      </c>
      <c r="AO171" s="254" t="s">
        <v>1324</v>
      </c>
      <c r="AP171" s="257" t="s">
        <v>11</v>
      </c>
      <c r="AQ171" s="263" t="s">
        <v>684</v>
      </c>
      <c r="AR171" s="256" t="s">
        <v>34</v>
      </c>
      <c r="AS171" s="256" t="s">
        <v>34</v>
      </c>
      <c r="AT171" s="256"/>
      <c r="AW171" s="508"/>
      <c r="AX171" s="508"/>
      <c r="AY171" s="509"/>
      <c r="AZ171" s="509"/>
      <c r="BA171" s="509"/>
      <c r="BB171" s="510"/>
      <c r="BC171" s="509"/>
      <c r="BD171" s="509"/>
      <c r="BE171" s="509"/>
      <c r="BF171" s="509"/>
      <c r="BG171" s="510"/>
      <c r="BH171" s="510"/>
      <c r="BI171" s="511"/>
      <c r="BJ171" s="511"/>
      <c r="BK171" s="511"/>
      <c r="BL171" s="510"/>
      <c r="BM171" s="510"/>
      <c r="BN171" s="510"/>
      <c r="BO171" s="510"/>
      <c r="BP171" s="510"/>
      <c r="BQ171" s="510"/>
      <c r="BR171" s="510"/>
      <c r="BS171" s="510"/>
      <c r="BT171" s="513"/>
      <c r="BU171" s="514"/>
      <c r="BV171" s="512"/>
      <c r="BW171" s="515"/>
    </row>
    <row r="172" spans="2:75" ht="15.75" customHeight="1">
      <c r="B172" s="250" t="s">
        <v>1523</v>
      </c>
      <c r="C172" s="251">
        <v>11110904000196</v>
      </c>
      <c r="D172" s="252" t="s">
        <v>11</v>
      </c>
      <c r="E172" s="252" t="s">
        <v>620</v>
      </c>
      <c r="F172" s="252" t="s">
        <v>672</v>
      </c>
      <c r="G172" s="253" t="s">
        <v>738</v>
      </c>
      <c r="H172" s="253" t="s">
        <v>34</v>
      </c>
      <c r="I172" s="253" t="s">
        <v>1304</v>
      </c>
      <c r="J172" s="253" t="s">
        <v>608</v>
      </c>
      <c r="K172" s="254" t="s">
        <v>48</v>
      </c>
      <c r="L172" s="255"/>
      <c r="M172" s="255"/>
      <c r="N172" s="254">
        <v>236977</v>
      </c>
      <c r="O172" s="254" t="s">
        <v>1321</v>
      </c>
      <c r="P172" s="258">
        <v>40121</v>
      </c>
      <c r="Q172" s="259">
        <v>667299773.79999995</v>
      </c>
      <c r="R172" s="259">
        <v>487366108.29488117</v>
      </c>
      <c r="S172" s="254">
        <v>0</v>
      </c>
      <c r="T172" s="256">
        <v>8.556389629863026E-2</v>
      </c>
      <c r="U172" s="256">
        <v>0.96241530617903259</v>
      </c>
      <c r="V172" s="256">
        <v>0.10406254713189811</v>
      </c>
      <c r="W172" s="256">
        <v>0.95505571419956836</v>
      </c>
      <c r="X172" s="256">
        <v>0.13172305897127656</v>
      </c>
      <c r="Y172" s="256">
        <v>0.92624894796209734</v>
      </c>
      <c r="Z172" s="256">
        <v>0.16546544893459436</v>
      </c>
      <c r="AA172" s="256">
        <v>0.90419648401595731</v>
      </c>
      <c r="AB172" s="256">
        <v>1.4273532503102724E-3</v>
      </c>
      <c r="AC172" s="260">
        <v>-3.1018429526135143</v>
      </c>
      <c r="AD172" s="405">
        <v>0</v>
      </c>
      <c r="AE172" s="257" t="s">
        <v>2144</v>
      </c>
      <c r="AF172" s="257" t="s">
        <v>2109</v>
      </c>
      <c r="AG172" s="261" t="s">
        <v>1432</v>
      </c>
      <c r="AH172" s="261" t="s">
        <v>2192</v>
      </c>
      <c r="AI172" s="261">
        <v>3000</v>
      </c>
      <c r="AJ172" s="261">
        <v>1000</v>
      </c>
      <c r="AK172" s="261">
        <v>1000</v>
      </c>
      <c r="AL172" s="256">
        <v>5.0000000000000001E-3</v>
      </c>
      <c r="AM172" s="256" t="s">
        <v>34</v>
      </c>
      <c r="AN172" s="256" t="s">
        <v>64</v>
      </c>
      <c r="AO172" s="254" t="s">
        <v>1324</v>
      </c>
      <c r="AP172" s="257" t="s">
        <v>11</v>
      </c>
      <c r="AQ172" s="263" t="s">
        <v>669</v>
      </c>
      <c r="AR172" s="256">
        <v>1.7499999999999998E-3</v>
      </c>
      <c r="AS172" s="256">
        <v>1.7499999999999998E-3</v>
      </c>
      <c r="AT172" s="256"/>
      <c r="AW172" s="508"/>
      <c r="AX172" s="508"/>
      <c r="AY172" s="509"/>
      <c r="AZ172" s="509"/>
      <c r="BA172" s="509"/>
      <c r="BB172" s="510"/>
      <c r="BC172" s="509"/>
      <c r="BD172" s="509"/>
      <c r="BE172" s="509"/>
      <c r="BF172" s="509"/>
      <c r="BG172" s="510"/>
      <c r="BH172" s="510"/>
      <c r="BI172" s="511"/>
      <c r="BJ172" s="511"/>
      <c r="BK172" s="511"/>
      <c r="BL172" s="510"/>
      <c r="BM172" s="510"/>
      <c r="BN172" s="510"/>
      <c r="BO172" s="510"/>
      <c r="BP172" s="510"/>
      <c r="BQ172" s="510"/>
      <c r="BR172" s="510"/>
      <c r="BS172" s="510"/>
      <c r="BT172" s="513"/>
      <c r="BU172" s="514"/>
      <c r="BV172" s="512"/>
      <c r="BW172" s="515"/>
    </row>
    <row r="173" spans="2:75" ht="15.75" customHeight="1">
      <c r="B173" s="250" t="s">
        <v>1528</v>
      </c>
      <c r="C173" s="251">
        <v>9215250000113</v>
      </c>
      <c r="D173" s="252" t="s">
        <v>11</v>
      </c>
      <c r="E173" s="252" t="s">
        <v>620</v>
      </c>
      <c r="F173" s="252" t="s">
        <v>672</v>
      </c>
      <c r="G173" s="253" t="s">
        <v>738</v>
      </c>
      <c r="H173" s="253" t="s">
        <v>34</v>
      </c>
      <c r="I173" s="253" t="s">
        <v>1304</v>
      </c>
      <c r="J173" s="253" t="s">
        <v>608</v>
      </c>
      <c r="K173" s="254" t="s">
        <v>48</v>
      </c>
      <c r="L173" s="255"/>
      <c r="M173" s="255"/>
      <c r="N173" s="254">
        <v>204102</v>
      </c>
      <c r="O173" s="254" t="s">
        <v>1321</v>
      </c>
      <c r="P173" s="258">
        <v>39492</v>
      </c>
      <c r="Q173" s="259">
        <v>10698982404.83</v>
      </c>
      <c r="R173" s="259">
        <v>9127237641.6234856</v>
      </c>
      <c r="S173" s="254">
        <v>0</v>
      </c>
      <c r="T173" s="256">
        <v>8.8322811732032713E-2</v>
      </c>
      <c r="U173" s="256">
        <v>0.99344734838866933</v>
      </c>
      <c r="V173" s="256">
        <v>0.10842185449709252</v>
      </c>
      <c r="W173" s="256">
        <v>0.99506416607615134</v>
      </c>
      <c r="X173" s="256">
        <v>0.13713147620984656</v>
      </c>
      <c r="Y173" s="256">
        <v>0.96427980464344654</v>
      </c>
      <c r="Z173" s="256">
        <v>0.17112567314421123</v>
      </c>
      <c r="AA173" s="256">
        <v>0.93512713970287731</v>
      </c>
      <c r="AB173" s="256">
        <v>1.3447418186967397E-3</v>
      </c>
      <c r="AC173" s="260">
        <v>-0.36089510998525387</v>
      </c>
      <c r="AD173" s="405">
        <v>0</v>
      </c>
      <c r="AE173" s="257" t="s">
        <v>2144</v>
      </c>
      <c r="AF173" s="257" t="s">
        <v>2109</v>
      </c>
      <c r="AG173" s="261" t="s">
        <v>1432</v>
      </c>
      <c r="AH173" s="261" t="s">
        <v>2113</v>
      </c>
      <c r="AI173" s="261">
        <v>1000</v>
      </c>
      <c r="AJ173" s="261">
        <v>100</v>
      </c>
      <c r="AK173" s="261">
        <v>1000</v>
      </c>
      <c r="AL173" s="256">
        <v>2E-3</v>
      </c>
      <c r="AM173" s="256" t="s">
        <v>34</v>
      </c>
      <c r="AN173" s="256" t="s">
        <v>64</v>
      </c>
      <c r="AO173" s="254" t="s">
        <v>1324</v>
      </c>
      <c r="AP173" s="257" t="s">
        <v>11</v>
      </c>
      <c r="AQ173" s="263" t="s">
        <v>669</v>
      </c>
      <c r="AR173" s="256">
        <v>6.9999999999999999E-4</v>
      </c>
      <c r="AS173" s="256">
        <v>6.9999999999999999E-4</v>
      </c>
      <c r="AT173" s="256"/>
      <c r="AW173" s="508"/>
      <c r="AX173" s="508"/>
      <c r="AY173" s="509"/>
      <c r="AZ173" s="509"/>
      <c r="BA173" s="509"/>
      <c r="BB173" s="510"/>
      <c r="BC173" s="509"/>
      <c r="BD173" s="509"/>
      <c r="BE173" s="509"/>
      <c r="BF173" s="509"/>
      <c r="BG173" s="510"/>
      <c r="BH173" s="510"/>
      <c r="BI173" s="511"/>
      <c r="BJ173" s="511"/>
      <c r="BK173" s="511"/>
      <c r="BL173" s="510"/>
      <c r="BM173" s="510"/>
      <c r="BN173" s="510"/>
      <c r="BO173" s="510"/>
      <c r="BP173" s="510"/>
      <c r="BQ173" s="510"/>
      <c r="BR173" s="510"/>
      <c r="BS173" s="510"/>
      <c r="BT173" s="513"/>
      <c r="BU173" s="514"/>
      <c r="BV173" s="512"/>
      <c r="BW173" s="515"/>
    </row>
    <row r="174" spans="2:75" ht="15.75" customHeight="1">
      <c r="B174" s="250" t="s">
        <v>1529</v>
      </c>
      <c r="C174" s="251">
        <v>37927707000158</v>
      </c>
      <c r="D174" s="252" t="s">
        <v>11</v>
      </c>
      <c r="E174" s="252" t="s">
        <v>620</v>
      </c>
      <c r="F174" s="252" t="s">
        <v>672</v>
      </c>
      <c r="G174" s="253" t="s">
        <v>738</v>
      </c>
      <c r="H174" s="253" t="s">
        <v>34</v>
      </c>
      <c r="I174" s="253" t="s">
        <v>1304</v>
      </c>
      <c r="J174" s="253" t="s">
        <v>608</v>
      </c>
      <c r="K174" s="254" t="s">
        <v>48</v>
      </c>
      <c r="L174" s="255"/>
      <c r="M174" s="255"/>
      <c r="N174" s="254">
        <v>547999</v>
      </c>
      <c r="O174" s="254" t="s">
        <v>1321</v>
      </c>
      <c r="P174" s="258">
        <v>44054</v>
      </c>
      <c r="Q174" s="259">
        <v>487886575.26999998</v>
      </c>
      <c r="R174" s="259">
        <v>440246234.25857097</v>
      </c>
      <c r="S174" s="254">
        <v>0</v>
      </c>
      <c r="T174" s="256">
        <v>8.912339080948728E-2</v>
      </c>
      <c r="U174" s="256">
        <v>1.0024521926194632</v>
      </c>
      <c r="V174" s="256">
        <v>0.10949772736163266</v>
      </c>
      <c r="W174" s="256">
        <v>1.0049382135154183</v>
      </c>
      <c r="X174" s="256">
        <v>0.13409001627476314</v>
      </c>
      <c r="Y174" s="256">
        <v>0.94289289572149237</v>
      </c>
      <c r="Z174" s="256" t="s">
        <v>1417</v>
      </c>
      <c r="AA174" s="256" t="s">
        <v>1417</v>
      </c>
      <c r="AB174" s="256">
        <v>1.3451539031086E-3</v>
      </c>
      <c r="AC174" s="260">
        <v>0.36074096641673947</v>
      </c>
      <c r="AD174" s="405">
        <v>0</v>
      </c>
      <c r="AE174" s="257" t="s">
        <v>2144</v>
      </c>
      <c r="AF174" s="257" t="s">
        <v>2109</v>
      </c>
      <c r="AG174" s="261" t="s">
        <v>1432</v>
      </c>
      <c r="AH174" s="261" t="s">
        <v>2119</v>
      </c>
      <c r="AI174" s="261">
        <v>1000</v>
      </c>
      <c r="AJ174" s="261">
        <v>1000</v>
      </c>
      <c r="AK174" s="261">
        <v>1000</v>
      </c>
      <c r="AL174" s="256">
        <v>7.5000000000000002E-4</v>
      </c>
      <c r="AM174" s="256" t="s">
        <v>34</v>
      </c>
      <c r="AN174" s="256" t="s">
        <v>64</v>
      </c>
      <c r="AO174" s="254" t="s">
        <v>1321</v>
      </c>
      <c r="AP174" s="257" t="s">
        <v>11</v>
      </c>
      <c r="AQ174" s="263" t="s">
        <v>684</v>
      </c>
      <c r="AR174" s="256" t="s">
        <v>34</v>
      </c>
      <c r="AS174" s="256" t="s">
        <v>34</v>
      </c>
      <c r="AT174" s="256"/>
      <c r="AW174" s="508"/>
      <c r="AX174" s="508"/>
      <c r="AY174" s="509"/>
      <c r="AZ174" s="509"/>
      <c r="BA174" s="509"/>
      <c r="BB174" s="510"/>
      <c r="BC174" s="509"/>
      <c r="BD174" s="509"/>
      <c r="BE174" s="509"/>
      <c r="BF174" s="509"/>
      <c r="BG174" s="510"/>
      <c r="BH174" s="510"/>
      <c r="BI174" s="511"/>
      <c r="BJ174" s="511"/>
      <c r="BK174" s="511"/>
      <c r="BL174" s="510"/>
      <c r="BM174" s="510"/>
      <c r="BN174" s="510"/>
      <c r="BO174" s="510"/>
      <c r="BP174" s="510"/>
      <c r="BQ174" s="510"/>
      <c r="BR174" s="510"/>
      <c r="BS174" s="510"/>
      <c r="BT174" s="513"/>
      <c r="BU174" s="514"/>
      <c r="BV174" s="512"/>
      <c r="BW174" s="515"/>
    </row>
    <row r="175" spans="2:75" ht="15.75" customHeight="1">
      <c r="B175" s="250" t="s">
        <v>868</v>
      </c>
      <c r="C175" s="251">
        <v>840011000180</v>
      </c>
      <c r="D175" s="252" t="s">
        <v>11</v>
      </c>
      <c r="E175" s="252" t="s">
        <v>620</v>
      </c>
      <c r="F175" s="252" t="s">
        <v>672</v>
      </c>
      <c r="G175" s="253" t="s">
        <v>738</v>
      </c>
      <c r="H175" s="253" t="s">
        <v>34</v>
      </c>
      <c r="I175" s="253"/>
      <c r="J175" s="253" t="s">
        <v>608</v>
      </c>
      <c r="K175" s="254" t="s">
        <v>48</v>
      </c>
      <c r="L175" s="255"/>
      <c r="M175" s="255" t="s">
        <v>34</v>
      </c>
      <c r="N175" s="254">
        <v>108766</v>
      </c>
      <c r="O175" s="254" t="s">
        <v>1321</v>
      </c>
      <c r="P175" s="258">
        <v>34974</v>
      </c>
      <c r="Q175" s="259">
        <v>3445271758.04</v>
      </c>
      <c r="R175" s="259">
        <v>2869350722.3467894</v>
      </c>
      <c r="S175" s="254">
        <v>0</v>
      </c>
      <c r="T175" s="256">
        <v>8.1671761189475056E-2</v>
      </c>
      <c r="U175" s="256">
        <v>1.0557867977024216</v>
      </c>
      <c r="V175" s="256">
        <v>0.10843989897615569</v>
      </c>
      <c r="W175" s="256">
        <v>1.0630736042837061</v>
      </c>
      <c r="X175" s="256">
        <v>0.1455294411457102</v>
      </c>
      <c r="Y175" s="256">
        <v>1.1035761891662255</v>
      </c>
      <c r="Z175" s="256">
        <v>0.12575313737147353</v>
      </c>
      <c r="AA175" s="256">
        <v>0.71482160051055454</v>
      </c>
      <c r="AB175" s="256">
        <v>1.6810297823881372E-3</v>
      </c>
      <c r="AC175" s="260">
        <v>3.4644827019148838</v>
      </c>
      <c r="AD175" s="405">
        <v>0</v>
      </c>
      <c r="AE175" s="257" t="s">
        <v>2144</v>
      </c>
      <c r="AF175" s="257" t="s">
        <v>2109</v>
      </c>
      <c r="AG175" s="261" t="s">
        <v>1432</v>
      </c>
      <c r="AH175" s="261" t="s">
        <v>2113</v>
      </c>
      <c r="AI175" s="261">
        <v>500</v>
      </c>
      <c r="AJ175" s="261">
        <v>100</v>
      </c>
      <c r="AK175" s="261">
        <v>100</v>
      </c>
      <c r="AL175" s="256">
        <v>3.0000000000000001E-3</v>
      </c>
      <c r="AM175" s="256" t="s">
        <v>34</v>
      </c>
      <c r="AN175" s="256" t="s">
        <v>64</v>
      </c>
      <c r="AO175" s="254" t="s">
        <v>1324</v>
      </c>
      <c r="AP175" s="257" t="s">
        <v>11</v>
      </c>
      <c r="AQ175" s="263" t="s">
        <v>669</v>
      </c>
      <c r="AR175" s="256">
        <v>1.0499999999999999E-3</v>
      </c>
      <c r="AS175" s="256">
        <v>1.0499999999999999E-3</v>
      </c>
      <c r="AT175" s="256"/>
      <c r="AW175" s="508"/>
      <c r="AX175" s="508"/>
      <c r="AY175" s="509"/>
      <c r="AZ175" s="509"/>
      <c r="BA175" s="509"/>
      <c r="BB175" s="509"/>
      <c r="BC175" s="509"/>
      <c r="BD175" s="509"/>
      <c r="BE175" s="509"/>
      <c r="BF175" s="509"/>
      <c r="BG175" s="510"/>
      <c r="BH175" s="510"/>
      <c r="BI175" s="511"/>
      <c r="BJ175" s="511"/>
      <c r="BK175" s="511"/>
      <c r="BL175" s="195"/>
      <c r="BM175" s="510"/>
      <c r="BN175" s="510"/>
      <c r="BO175" s="510"/>
      <c r="BP175" s="510"/>
      <c r="BQ175" s="510"/>
      <c r="BR175" s="510"/>
      <c r="BS175" s="510"/>
      <c r="BT175" s="510"/>
      <c r="BU175" s="510"/>
      <c r="BV175" s="512"/>
      <c r="BW175" s="509"/>
    </row>
    <row r="176" spans="2:75" ht="15.75" customHeight="1">
      <c r="B176" s="250" t="s">
        <v>885</v>
      </c>
      <c r="C176" s="251">
        <v>8669394000187</v>
      </c>
      <c r="D176" s="252" t="s">
        <v>11</v>
      </c>
      <c r="E176" s="252" t="s">
        <v>620</v>
      </c>
      <c r="F176" s="252" t="s">
        <v>672</v>
      </c>
      <c r="G176" s="253" t="s">
        <v>738</v>
      </c>
      <c r="H176" s="253" t="s">
        <v>34</v>
      </c>
      <c r="I176" s="253" t="s">
        <v>1304</v>
      </c>
      <c r="J176" s="253" t="s">
        <v>608</v>
      </c>
      <c r="K176" s="254" t="s">
        <v>48</v>
      </c>
      <c r="L176" s="255"/>
      <c r="M176" s="255" t="s">
        <v>1414</v>
      </c>
      <c r="N176" s="254">
        <v>204285</v>
      </c>
      <c r="O176" s="254" t="s">
        <v>1321</v>
      </c>
      <c r="P176" s="258">
        <v>39338</v>
      </c>
      <c r="Q176" s="259">
        <v>422040478.97000003</v>
      </c>
      <c r="R176" s="259">
        <v>827828540.54765916</v>
      </c>
      <c r="S176" s="254">
        <v>0</v>
      </c>
      <c r="T176" s="256">
        <v>7.8029161170708461E-2</v>
      </c>
      <c r="U176" s="256">
        <v>1.0086981962921708</v>
      </c>
      <c r="V176" s="256">
        <v>0.10328593154423937</v>
      </c>
      <c r="W176" s="256">
        <v>1.012547489948125</v>
      </c>
      <c r="X176" s="256">
        <v>0.12541498010154029</v>
      </c>
      <c r="Y176" s="256">
        <v>0.95104457706423084</v>
      </c>
      <c r="Z176" s="256">
        <v>0.16585247475165366</v>
      </c>
      <c r="AA176" s="256">
        <v>0.94275923391400795</v>
      </c>
      <c r="AB176" s="256">
        <v>1.6432172019253098E-3</v>
      </c>
      <c r="AC176" s="260">
        <v>0.70677324164045519</v>
      </c>
      <c r="AD176" s="405">
        <v>10347582000130</v>
      </c>
      <c r="AE176" s="257" t="s">
        <v>469</v>
      </c>
      <c r="AF176" s="257" t="s">
        <v>469</v>
      </c>
      <c r="AG176" s="261" t="s">
        <v>469</v>
      </c>
      <c r="AH176" s="261" t="s">
        <v>2113</v>
      </c>
      <c r="AI176" s="261">
        <v>100</v>
      </c>
      <c r="AJ176" s="261">
        <v>100</v>
      </c>
      <c r="AK176" s="261">
        <v>100</v>
      </c>
      <c r="AL176" s="256">
        <v>5.0000000000000001E-4</v>
      </c>
      <c r="AM176" s="256" t="s">
        <v>34</v>
      </c>
      <c r="AN176" s="256" t="s">
        <v>64</v>
      </c>
      <c r="AO176" s="254" t="s">
        <v>1324</v>
      </c>
      <c r="AP176" s="257" t="s">
        <v>11</v>
      </c>
      <c r="AQ176" s="263" t="s">
        <v>662</v>
      </c>
      <c r="AR176" s="256">
        <v>1.4999999999999999E-4</v>
      </c>
      <c r="AS176" s="256">
        <v>1.4999999999999999E-4</v>
      </c>
      <c r="AT176" s="256"/>
      <c r="AW176" s="508"/>
      <c r="AX176" s="508"/>
      <c r="AY176" s="509"/>
      <c r="AZ176" s="509"/>
      <c r="BA176" s="509"/>
      <c r="BB176" s="510"/>
      <c r="BC176" s="509"/>
      <c r="BD176" s="509"/>
      <c r="BE176" s="509"/>
      <c r="BF176" s="509"/>
      <c r="BG176" s="510"/>
      <c r="BH176" s="510"/>
      <c r="BI176" s="511"/>
      <c r="BJ176" s="511"/>
      <c r="BK176" s="511"/>
      <c r="BL176" s="510"/>
      <c r="BM176" s="510"/>
      <c r="BN176" s="510"/>
      <c r="BO176" s="510"/>
      <c r="BP176" s="510"/>
      <c r="BQ176" s="510"/>
      <c r="BR176" s="510"/>
      <c r="BS176" s="510"/>
      <c r="BT176" s="513"/>
      <c r="BU176" s="514"/>
      <c r="BV176" s="512"/>
      <c r="BW176" s="515"/>
    </row>
    <row r="177" spans="2:75" ht="15.75" customHeight="1">
      <c r="B177" s="250" t="s">
        <v>890</v>
      </c>
      <c r="C177" s="251">
        <v>2546749000164</v>
      </c>
      <c r="D177" s="252" t="s">
        <v>11</v>
      </c>
      <c r="E177" s="252" t="s">
        <v>620</v>
      </c>
      <c r="F177" s="252" t="s">
        <v>672</v>
      </c>
      <c r="G177" s="253" t="s">
        <v>738</v>
      </c>
      <c r="H177" s="253" t="s">
        <v>34</v>
      </c>
      <c r="I177" s="253" t="s">
        <v>1304</v>
      </c>
      <c r="J177" s="253" t="s">
        <v>608</v>
      </c>
      <c r="K177" s="254" t="s">
        <v>48</v>
      </c>
      <c r="L177" s="255"/>
      <c r="M177" s="255" t="s">
        <v>1414</v>
      </c>
      <c r="N177" s="254">
        <v>62812</v>
      </c>
      <c r="O177" s="254" t="s">
        <v>1321</v>
      </c>
      <c r="P177" s="258">
        <v>36131</v>
      </c>
      <c r="Q177" s="259">
        <v>145394931.19999999</v>
      </c>
      <c r="R177" s="259">
        <v>46306555.997579381</v>
      </c>
      <c r="S177" s="254">
        <v>0</v>
      </c>
      <c r="T177" s="256">
        <v>8.3969510283433912E-2</v>
      </c>
      <c r="U177" s="256">
        <v>1.0854902487178391</v>
      </c>
      <c r="V177" s="256">
        <v>0.1169801406414126</v>
      </c>
      <c r="W177" s="256">
        <v>1.1467965289106912</v>
      </c>
      <c r="X177" s="256">
        <v>0.1461682127542403</v>
      </c>
      <c r="Y177" s="256">
        <v>1.1084201103133109</v>
      </c>
      <c r="Z177" s="256">
        <v>0.13745374979630354</v>
      </c>
      <c r="AA177" s="256">
        <v>0.7813316747344996</v>
      </c>
      <c r="AB177" s="256">
        <v>1.1691609583938696E-2</v>
      </c>
      <c r="AC177" s="260">
        <v>1.1605551576204307</v>
      </c>
      <c r="AD177" s="405">
        <v>2536364000116</v>
      </c>
      <c r="AE177" s="257" t="s">
        <v>2195</v>
      </c>
      <c r="AF177" s="257" t="s">
        <v>2195</v>
      </c>
      <c r="AG177" s="261" t="s">
        <v>719</v>
      </c>
      <c r="AH177" s="261" t="s">
        <v>2113</v>
      </c>
      <c r="AI177" s="261">
        <v>1000</v>
      </c>
      <c r="AJ177" s="261">
        <v>1000</v>
      </c>
      <c r="AK177" s="261">
        <v>1000</v>
      </c>
      <c r="AL177" s="256">
        <v>3.4999999999999996E-3</v>
      </c>
      <c r="AM177" s="256" t="s">
        <v>34</v>
      </c>
      <c r="AN177" s="256" t="s">
        <v>64</v>
      </c>
      <c r="AO177" s="254" t="s">
        <v>1324</v>
      </c>
      <c r="AP177" s="257" t="s">
        <v>11</v>
      </c>
      <c r="AQ177" s="263" t="s">
        <v>662</v>
      </c>
      <c r="AR177" s="256">
        <v>8.166666666666666E-4</v>
      </c>
      <c r="AS177" s="256">
        <v>8.166666666666666E-4</v>
      </c>
      <c r="AT177" s="256"/>
      <c r="AW177" s="508"/>
      <c r="AX177" s="508"/>
      <c r="AY177" s="509"/>
      <c r="AZ177" s="509"/>
      <c r="BA177" s="509"/>
      <c r="BB177" s="510"/>
      <c r="BC177" s="509"/>
      <c r="BD177" s="509"/>
      <c r="BE177" s="509"/>
      <c r="BF177" s="509"/>
      <c r="BG177" s="510"/>
      <c r="BH177" s="510"/>
      <c r="BI177" s="511"/>
      <c r="BJ177" s="511"/>
      <c r="BK177" s="511"/>
      <c r="BL177" s="510"/>
      <c r="BM177" s="510"/>
      <c r="BN177" s="510"/>
      <c r="BO177" s="510"/>
      <c r="BP177" s="510"/>
      <c r="BQ177" s="510"/>
      <c r="BR177" s="510"/>
      <c r="BS177" s="510"/>
      <c r="BT177" s="513"/>
      <c r="BU177" s="514"/>
      <c r="BV177" s="512"/>
      <c r="BW177" s="515"/>
    </row>
    <row r="178" spans="2:75" ht="15.75" customHeight="1">
      <c r="B178" s="250" t="s">
        <v>1573</v>
      </c>
      <c r="C178" s="251">
        <v>826901000137</v>
      </c>
      <c r="D178" s="252" t="s">
        <v>11</v>
      </c>
      <c r="E178" s="252" t="s">
        <v>620</v>
      </c>
      <c r="F178" s="252" t="s">
        <v>672</v>
      </c>
      <c r="G178" s="253" t="s">
        <v>738</v>
      </c>
      <c r="H178" s="253" t="s">
        <v>34</v>
      </c>
      <c r="I178" s="253" t="s">
        <v>1304</v>
      </c>
      <c r="J178" s="253" t="s">
        <v>608</v>
      </c>
      <c r="K178" s="254" t="s">
        <v>48</v>
      </c>
      <c r="L178" s="255"/>
      <c r="M178" s="255"/>
      <c r="N178" s="254">
        <v>7552</v>
      </c>
      <c r="O178" s="254" t="s">
        <v>1321</v>
      </c>
      <c r="P178" s="258">
        <v>34974</v>
      </c>
      <c r="Q178" s="259">
        <v>37729774.630000003</v>
      </c>
      <c r="R178" s="259">
        <v>34229158.554603167</v>
      </c>
      <c r="S178" s="254">
        <v>0</v>
      </c>
      <c r="T178" s="256">
        <v>8.5632419415489602E-2</v>
      </c>
      <c r="U178" s="256">
        <v>0.96318604827172971</v>
      </c>
      <c r="V178" s="256">
        <v>0.10435591187556525</v>
      </c>
      <c r="W178" s="256">
        <v>0.95774813027534322</v>
      </c>
      <c r="X178" s="256">
        <v>0.13084671853109753</v>
      </c>
      <c r="Y178" s="256">
        <v>0.92008670562494155</v>
      </c>
      <c r="Z178" s="256">
        <v>0.15088883774320871</v>
      </c>
      <c r="AA178" s="256">
        <v>0.82454166379225957</v>
      </c>
      <c r="AB178" s="256">
        <v>1.4390733720338771E-3</v>
      </c>
      <c r="AC178" s="260">
        <v>-2.8918788040225758</v>
      </c>
      <c r="AD178" s="405">
        <v>9329721000114</v>
      </c>
      <c r="AE178" s="257" t="s">
        <v>1547</v>
      </c>
      <c r="AF178" s="257" t="s">
        <v>2121</v>
      </c>
      <c r="AG178" s="261" t="s">
        <v>59</v>
      </c>
      <c r="AH178" s="261" t="s">
        <v>2113</v>
      </c>
      <c r="AI178" s="261">
        <v>1</v>
      </c>
      <c r="AJ178" s="261">
        <v>1</v>
      </c>
      <c r="AK178" s="261">
        <v>1</v>
      </c>
      <c r="AL178" s="256">
        <v>0.01</v>
      </c>
      <c r="AM178" s="256" t="s">
        <v>34</v>
      </c>
      <c r="AN178" s="256" t="s">
        <v>64</v>
      </c>
      <c r="AO178" s="254" t="s">
        <v>1324</v>
      </c>
      <c r="AP178" s="257" t="s">
        <v>11</v>
      </c>
      <c r="AQ178" s="263" t="s">
        <v>662</v>
      </c>
      <c r="AR178" s="256" t="s">
        <v>34</v>
      </c>
      <c r="AS178" s="256" t="s">
        <v>34</v>
      </c>
      <c r="AT178" s="256"/>
      <c r="AW178" s="508"/>
      <c r="AX178" s="508"/>
      <c r="AY178" s="509"/>
      <c r="AZ178" s="509"/>
      <c r="BA178" s="509"/>
      <c r="BB178" s="510"/>
      <c r="BC178" s="509"/>
      <c r="BD178" s="509"/>
      <c r="BE178" s="509"/>
      <c r="BF178" s="509"/>
      <c r="BG178" s="510"/>
      <c r="BH178" s="510"/>
      <c r="BI178" s="511"/>
      <c r="BJ178" s="511"/>
      <c r="BK178" s="511"/>
      <c r="BL178" s="510"/>
      <c r="BM178" s="510"/>
      <c r="BN178" s="510"/>
      <c r="BO178" s="510"/>
      <c r="BP178" s="510"/>
      <c r="BQ178" s="510"/>
      <c r="BR178" s="510"/>
      <c r="BS178" s="510"/>
      <c r="BT178" s="513"/>
      <c r="BU178" s="514"/>
      <c r="BV178" s="512"/>
      <c r="BW178" s="515"/>
    </row>
    <row r="179" spans="2:75" ht="15.75" customHeight="1">
      <c r="B179" s="250" t="s">
        <v>1580</v>
      </c>
      <c r="C179" s="251">
        <v>4299610000199</v>
      </c>
      <c r="D179" s="252" t="s">
        <v>11</v>
      </c>
      <c r="E179" s="252" t="s">
        <v>620</v>
      </c>
      <c r="F179" s="252" t="s">
        <v>672</v>
      </c>
      <c r="G179" s="253" t="s">
        <v>738</v>
      </c>
      <c r="H179" s="253" t="s">
        <v>34</v>
      </c>
      <c r="I179" s="253" t="s">
        <v>1304</v>
      </c>
      <c r="J179" s="253" t="s">
        <v>608</v>
      </c>
      <c r="K179" s="254" t="s">
        <v>48</v>
      </c>
      <c r="L179" s="255"/>
      <c r="M179" s="255"/>
      <c r="N179" s="254">
        <v>89796</v>
      </c>
      <c r="O179" s="254" t="s">
        <v>1321</v>
      </c>
      <c r="P179" s="258">
        <v>37020</v>
      </c>
      <c r="Q179" s="259">
        <v>3396887103.29</v>
      </c>
      <c r="R179" s="259">
        <v>3442186550.5433731</v>
      </c>
      <c r="S179" s="254">
        <v>0</v>
      </c>
      <c r="T179" s="256">
        <v>9.130696739638422E-2</v>
      </c>
      <c r="U179" s="256">
        <v>1.027012873237714</v>
      </c>
      <c r="V179" s="256">
        <v>0.1119738869254252</v>
      </c>
      <c r="W179" s="256">
        <v>1.0276636839738007</v>
      </c>
      <c r="X179" s="256">
        <v>0.14690496238248052</v>
      </c>
      <c r="Y179" s="256">
        <v>1.0330049113637387</v>
      </c>
      <c r="Z179" s="256">
        <v>0.17590148209281931</v>
      </c>
      <c r="AA179" s="256">
        <v>0.9612248518685772</v>
      </c>
      <c r="AB179" s="256">
        <v>1.4355995186401487E-3</v>
      </c>
      <c r="AC179" s="260">
        <v>1.8916167583514401</v>
      </c>
      <c r="AD179" s="405">
        <v>9329721000114</v>
      </c>
      <c r="AE179" s="257" t="s">
        <v>1547</v>
      </c>
      <c r="AF179" s="257" t="s">
        <v>2121</v>
      </c>
      <c r="AG179" s="261" t="s">
        <v>59</v>
      </c>
      <c r="AH179" s="261" t="s">
        <v>2113</v>
      </c>
      <c r="AI179" s="261">
        <v>1</v>
      </c>
      <c r="AJ179" s="261">
        <v>1</v>
      </c>
      <c r="AK179" s="261">
        <v>1</v>
      </c>
      <c r="AL179" s="256">
        <v>4.0000000000000001E-3</v>
      </c>
      <c r="AM179" s="256" t="s">
        <v>34</v>
      </c>
      <c r="AN179" s="256" t="s">
        <v>64</v>
      </c>
      <c r="AO179" s="254" t="s">
        <v>1324</v>
      </c>
      <c r="AP179" s="257" t="s">
        <v>11</v>
      </c>
      <c r="AQ179" s="263" t="s">
        <v>662</v>
      </c>
      <c r="AR179" s="256" t="s">
        <v>34</v>
      </c>
      <c r="AS179" s="256" t="s">
        <v>34</v>
      </c>
      <c r="AT179" s="256"/>
      <c r="AW179" s="508"/>
      <c r="AX179" s="508"/>
      <c r="AY179" s="509"/>
      <c r="AZ179" s="509"/>
      <c r="BA179" s="509"/>
      <c r="BB179" s="510"/>
      <c r="BC179" s="509"/>
      <c r="BD179" s="509"/>
      <c r="BE179" s="509"/>
      <c r="BF179" s="509"/>
      <c r="BG179" s="510"/>
      <c r="BH179" s="510"/>
      <c r="BI179" s="511"/>
      <c r="BJ179" s="511"/>
      <c r="BK179" s="511"/>
      <c r="BL179" s="510"/>
      <c r="BM179" s="510"/>
      <c r="BN179" s="510"/>
      <c r="BO179" s="510"/>
      <c r="BP179" s="510"/>
      <c r="BQ179" s="510"/>
      <c r="BR179" s="510"/>
      <c r="BS179" s="510"/>
      <c r="BT179" s="513"/>
      <c r="BU179" s="514"/>
      <c r="BV179" s="512"/>
      <c r="BW179" s="515"/>
    </row>
    <row r="180" spans="2:75" ht="15.75" customHeight="1">
      <c r="B180" s="250" t="s">
        <v>1582</v>
      </c>
      <c r="C180" s="251">
        <v>9639909000169</v>
      </c>
      <c r="D180" s="252" t="s">
        <v>11</v>
      </c>
      <c r="E180" s="252" t="s">
        <v>620</v>
      </c>
      <c r="F180" s="252" t="s">
        <v>672</v>
      </c>
      <c r="G180" s="253" t="s">
        <v>738</v>
      </c>
      <c r="H180" s="253" t="s">
        <v>34</v>
      </c>
      <c r="I180" s="253" t="s">
        <v>1304</v>
      </c>
      <c r="J180" s="253" t="s">
        <v>608</v>
      </c>
      <c r="K180" s="254" t="s">
        <v>48</v>
      </c>
      <c r="L180" s="255"/>
      <c r="M180" s="255"/>
      <c r="N180" s="254">
        <v>219746</v>
      </c>
      <c r="O180" s="254" t="s">
        <v>1321</v>
      </c>
      <c r="P180" s="258">
        <v>39759</v>
      </c>
      <c r="Q180" s="259">
        <v>256897225.63999999</v>
      </c>
      <c r="R180" s="259">
        <v>273494234.46579379</v>
      </c>
      <c r="S180" s="254">
        <v>0</v>
      </c>
      <c r="T180" s="256">
        <v>8.6881888201987501E-2</v>
      </c>
      <c r="U180" s="256">
        <v>0.97723996513079359</v>
      </c>
      <c r="V180" s="256">
        <v>0.10665343302731789</v>
      </c>
      <c r="W180" s="256">
        <v>0.97883410947681837</v>
      </c>
      <c r="X180" s="256">
        <v>0.13443556836468784</v>
      </c>
      <c r="Y180" s="256">
        <v>0.94532274560699081</v>
      </c>
      <c r="Z180" s="256">
        <v>0.16449031436985795</v>
      </c>
      <c r="AA180" s="256">
        <v>0.89886779908170489</v>
      </c>
      <c r="AB180" s="256">
        <v>1.4076253476562862E-3</v>
      </c>
      <c r="AC180" s="260">
        <v>-1.4795036003625739</v>
      </c>
      <c r="AD180" s="405">
        <v>9639924000107</v>
      </c>
      <c r="AE180" s="257" t="s">
        <v>1547</v>
      </c>
      <c r="AF180" s="257" t="s">
        <v>2121</v>
      </c>
      <c r="AG180" s="261" t="s">
        <v>59</v>
      </c>
      <c r="AH180" s="261" t="s">
        <v>2113</v>
      </c>
      <c r="AI180" s="261">
        <v>100</v>
      </c>
      <c r="AJ180" s="261">
        <v>1</v>
      </c>
      <c r="AK180" s="261">
        <v>100</v>
      </c>
      <c r="AL180" s="256">
        <v>4.0000000000000001E-3</v>
      </c>
      <c r="AM180" s="256" t="s">
        <v>34</v>
      </c>
      <c r="AN180" s="256" t="s">
        <v>64</v>
      </c>
      <c r="AO180" s="254" t="s">
        <v>1324</v>
      </c>
      <c r="AP180" s="257" t="s">
        <v>11</v>
      </c>
      <c r="AQ180" s="263" t="s">
        <v>662</v>
      </c>
      <c r="AR180" s="256" t="s">
        <v>34</v>
      </c>
      <c r="AS180" s="256" t="s">
        <v>34</v>
      </c>
      <c r="AT180" s="256"/>
      <c r="AW180" s="508"/>
      <c r="AX180" s="508"/>
      <c r="AY180" s="509"/>
      <c r="AZ180" s="509"/>
      <c r="BA180" s="509"/>
      <c r="BB180" s="510"/>
      <c r="BC180" s="509"/>
      <c r="BD180" s="509"/>
      <c r="BE180" s="509"/>
      <c r="BF180" s="509"/>
      <c r="BG180" s="510"/>
      <c r="BH180" s="510"/>
      <c r="BI180" s="511"/>
      <c r="BJ180" s="511"/>
      <c r="BK180" s="511"/>
      <c r="BL180" s="510"/>
      <c r="BM180" s="510"/>
      <c r="BN180" s="510"/>
      <c r="BO180" s="510"/>
      <c r="BP180" s="510"/>
      <c r="BQ180" s="510"/>
      <c r="BR180" s="510"/>
      <c r="BS180" s="510"/>
      <c r="BT180" s="513"/>
      <c r="BU180" s="514"/>
      <c r="BV180" s="512"/>
      <c r="BW180" s="515"/>
    </row>
    <row r="181" spans="2:75" ht="15.75" customHeight="1">
      <c r="B181" s="250" t="s">
        <v>918</v>
      </c>
      <c r="C181" s="251">
        <v>12265822000183</v>
      </c>
      <c r="D181" s="252" t="s">
        <v>11</v>
      </c>
      <c r="E181" s="252" t="s">
        <v>661</v>
      </c>
      <c r="F181" s="252" t="s">
        <v>672</v>
      </c>
      <c r="G181" s="253" t="s">
        <v>738</v>
      </c>
      <c r="H181" s="253" t="s">
        <v>34</v>
      </c>
      <c r="I181" s="253" t="s">
        <v>1304</v>
      </c>
      <c r="J181" s="253" t="s">
        <v>608</v>
      </c>
      <c r="K181" s="254" t="s">
        <v>48</v>
      </c>
      <c r="L181" s="255"/>
      <c r="M181" s="255" t="s">
        <v>1414</v>
      </c>
      <c r="N181" s="254">
        <v>259640</v>
      </c>
      <c r="O181" s="254" t="s">
        <v>1321</v>
      </c>
      <c r="P181" s="258">
        <v>40389</v>
      </c>
      <c r="Q181" s="259">
        <v>48950357.060000002</v>
      </c>
      <c r="R181" s="259">
        <v>36209903.546627</v>
      </c>
      <c r="S181" s="254">
        <v>0</v>
      </c>
      <c r="T181" s="256">
        <v>7.2821446844013815E-2</v>
      </c>
      <c r="U181" s="256">
        <v>0.94137705674218264</v>
      </c>
      <c r="V181" s="256">
        <v>8.8288698236010488E-2</v>
      </c>
      <c r="W181" s="256">
        <v>0.86552445674917122</v>
      </c>
      <c r="X181" s="256">
        <v>0.10771922105474707</v>
      </c>
      <c r="Y181" s="256">
        <v>0.81685442159107857</v>
      </c>
      <c r="Z181" s="256">
        <v>0.15821318215630908</v>
      </c>
      <c r="AA181" s="256">
        <v>0.89933501823307682</v>
      </c>
      <c r="AB181" s="256">
        <v>7.3207048868881904E-3</v>
      </c>
      <c r="AC181" s="260">
        <v>-1.7081290702242762</v>
      </c>
      <c r="AD181" s="405">
        <v>0</v>
      </c>
      <c r="AE181" s="257" t="s">
        <v>2224</v>
      </c>
      <c r="AF181" s="257" t="s">
        <v>741</v>
      </c>
      <c r="AG181" s="261" t="s">
        <v>741</v>
      </c>
      <c r="AH181" s="261" t="s">
        <v>2113</v>
      </c>
      <c r="AI181" s="261">
        <v>500</v>
      </c>
      <c r="AJ181" s="261">
        <v>500</v>
      </c>
      <c r="AK181" s="261">
        <v>500</v>
      </c>
      <c r="AL181" s="256">
        <v>2E-3</v>
      </c>
      <c r="AM181" s="256" t="s">
        <v>34</v>
      </c>
      <c r="AN181" s="256" t="s">
        <v>64</v>
      </c>
      <c r="AO181" s="254" t="s">
        <v>1324</v>
      </c>
      <c r="AP181" s="257" t="s">
        <v>11</v>
      </c>
      <c r="AQ181" s="263" t="s">
        <v>676</v>
      </c>
      <c r="AR181" s="256">
        <v>4.6666666666666666E-4</v>
      </c>
      <c r="AS181" s="256">
        <v>4.6666666666666666E-4</v>
      </c>
      <c r="AT181" s="256"/>
      <c r="AW181" s="508"/>
      <c r="AX181" s="508"/>
      <c r="AY181" s="509"/>
      <c r="AZ181" s="509"/>
      <c r="BA181" s="509"/>
      <c r="BB181" s="510"/>
      <c r="BC181" s="509"/>
      <c r="BD181" s="509"/>
      <c r="BE181" s="509"/>
      <c r="BF181" s="509"/>
      <c r="BG181" s="510"/>
      <c r="BH181" s="510"/>
      <c r="BI181" s="511"/>
      <c r="BJ181" s="511"/>
      <c r="BK181" s="511"/>
      <c r="BL181" s="510"/>
      <c r="BM181" s="510"/>
      <c r="BN181" s="510"/>
      <c r="BO181" s="510"/>
      <c r="BP181" s="510"/>
      <c r="BQ181" s="510"/>
      <c r="BR181" s="510"/>
      <c r="BS181" s="510"/>
      <c r="BT181" s="513"/>
      <c r="BU181" s="514"/>
      <c r="BV181" s="512"/>
      <c r="BW181" s="515"/>
    </row>
    <row r="182" spans="2:75" ht="15.75" customHeight="1">
      <c r="B182" s="250" t="s">
        <v>1004</v>
      </c>
      <c r="C182" s="251">
        <v>41745741000189</v>
      </c>
      <c r="D182" s="252" t="s">
        <v>11</v>
      </c>
      <c r="E182" s="252" t="s">
        <v>620</v>
      </c>
      <c r="F182" s="252" t="s">
        <v>672</v>
      </c>
      <c r="G182" s="253" t="s">
        <v>738</v>
      </c>
      <c r="H182" s="253" t="s">
        <v>34</v>
      </c>
      <c r="I182" s="253" t="s">
        <v>1304</v>
      </c>
      <c r="J182" s="253"/>
      <c r="K182" s="254" t="s">
        <v>48</v>
      </c>
      <c r="L182" s="255"/>
      <c r="M182" s="255" t="s">
        <v>1414</v>
      </c>
      <c r="N182" s="254">
        <v>627402</v>
      </c>
      <c r="O182" s="254" t="s">
        <v>1321</v>
      </c>
      <c r="P182" s="258">
        <v>44498</v>
      </c>
      <c r="Q182" s="259">
        <v>197533506.69</v>
      </c>
      <c r="R182" s="259" t="s">
        <v>1417</v>
      </c>
      <c r="S182" s="254">
        <v>0</v>
      </c>
      <c r="T182" s="256">
        <v>8.2304469324841145E-2</v>
      </c>
      <c r="U182" s="256">
        <v>1.0639659392611382</v>
      </c>
      <c r="V182" s="256" t="s">
        <v>1417</v>
      </c>
      <c r="W182" s="256" t="s">
        <v>1417</v>
      </c>
      <c r="X182" s="256" t="s">
        <v>1417</v>
      </c>
      <c r="Y182" s="256" t="s">
        <v>1417</v>
      </c>
      <c r="Z182" s="256" t="s">
        <v>1417</v>
      </c>
      <c r="AA182" s="256" t="s">
        <v>1417</v>
      </c>
      <c r="AB182" s="256" t="s">
        <v>1417</v>
      </c>
      <c r="AC182" s="260" t="s">
        <v>1417</v>
      </c>
      <c r="AD182" s="405">
        <v>0</v>
      </c>
      <c r="AE182" s="257" t="s">
        <v>2284</v>
      </c>
      <c r="AF182" s="257" t="s">
        <v>2112</v>
      </c>
      <c r="AG182" s="261" t="s">
        <v>59</v>
      </c>
      <c r="AH182" s="261" t="s">
        <v>2113</v>
      </c>
      <c r="AI182" s="261">
        <v>1</v>
      </c>
      <c r="AJ182" s="261">
        <v>1</v>
      </c>
      <c r="AK182" s="261">
        <v>1</v>
      </c>
      <c r="AL182" s="256">
        <v>3.0000000000000001E-3</v>
      </c>
      <c r="AM182" s="256" t="s">
        <v>34</v>
      </c>
      <c r="AN182" s="256" t="s">
        <v>64</v>
      </c>
      <c r="AO182" s="254" t="s">
        <v>1324</v>
      </c>
      <c r="AP182" s="257" t="s">
        <v>11</v>
      </c>
      <c r="AQ182" s="263" t="s">
        <v>662</v>
      </c>
      <c r="AR182" s="256">
        <v>6.9999999999999999E-4</v>
      </c>
      <c r="AS182" s="256">
        <v>6.9999999999999999E-4</v>
      </c>
      <c r="AT182" s="256"/>
      <c r="AW182" s="508"/>
      <c r="AX182" s="508"/>
      <c r="AY182" s="509"/>
      <c r="AZ182" s="509"/>
      <c r="BA182" s="509"/>
      <c r="BB182" s="510"/>
      <c r="BC182" s="509"/>
      <c r="BD182" s="509"/>
      <c r="BE182" s="509"/>
      <c r="BF182" s="509"/>
      <c r="BG182" s="510"/>
      <c r="BH182" s="510"/>
      <c r="BI182" s="511"/>
      <c r="BJ182" s="511"/>
      <c r="BK182" s="511"/>
      <c r="BL182" s="510"/>
      <c r="BM182" s="510"/>
      <c r="BN182" s="510"/>
      <c r="BO182" s="510"/>
      <c r="BP182" s="510"/>
      <c r="BQ182" s="510"/>
      <c r="BR182" s="510"/>
      <c r="BS182" s="510"/>
      <c r="BT182" s="513"/>
      <c r="BU182" s="514"/>
      <c r="BV182" s="512"/>
      <c r="BW182" s="515"/>
    </row>
    <row r="183" spans="2:75" ht="15.75" customHeight="1">
      <c r="B183" s="250" t="s">
        <v>1601</v>
      </c>
      <c r="C183" s="251">
        <v>10388050000141</v>
      </c>
      <c r="D183" s="252" t="s">
        <v>11</v>
      </c>
      <c r="E183" s="252" t="s">
        <v>620</v>
      </c>
      <c r="F183" s="252" t="s">
        <v>672</v>
      </c>
      <c r="G183" s="253" t="s">
        <v>738</v>
      </c>
      <c r="H183" s="253" t="s">
        <v>34</v>
      </c>
      <c r="I183" s="253" t="s">
        <v>1304</v>
      </c>
      <c r="J183" s="253" t="s">
        <v>608</v>
      </c>
      <c r="K183" s="254" t="s">
        <v>48</v>
      </c>
      <c r="L183" s="255"/>
      <c r="M183" s="255"/>
      <c r="N183" s="254">
        <v>222585</v>
      </c>
      <c r="O183" s="254" t="s">
        <v>1321</v>
      </c>
      <c r="P183" s="258">
        <v>39829</v>
      </c>
      <c r="Q183" s="259">
        <v>46039474.189999998</v>
      </c>
      <c r="R183" s="259">
        <v>54502906.735992044</v>
      </c>
      <c r="S183" s="254">
        <v>0</v>
      </c>
      <c r="T183" s="256">
        <v>8.7199914243692112E-2</v>
      </c>
      <c r="U183" s="256">
        <v>0.9808170945456558</v>
      </c>
      <c r="V183" s="256">
        <v>0.10688929658608259</v>
      </c>
      <c r="W183" s="256">
        <v>0.98099879644420696</v>
      </c>
      <c r="X183" s="256">
        <v>0.13733546812875153</v>
      </c>
      <c r="Y183" s="256">
        <v>0.96571423307043669</v>
      </c>
      <c r="Z183" s="256">
        <v>0.17302336155145626</v>
      </c>
      <c r="AA183" s="256">
        <v>0.94549717886595996</v>
      </c>
      <c r="AB183" s="256">
        <v>1.3792051714657028E-3</v>
      </c>
      <c r="AC183" s="260">
        <v>-1.355440704666939</v>
      </c>
      <c r="AD183" s="405">
        <v>35823433000121</v>
      </c>
      <c r="AE183" s="257" t="s">
        <v>59</v>
      </c>
      <c r="AF183" s="257" t="s">
        <v>59</v>
      </c>
      <c r="AG183" s="261" t="s">
        <v>59</v>
      </c>
      <c r="AH183" s="261" t="s">
        <v>2113</v>
      </c>
      <c r="AI183" s="261">
        <v>1000</v>
      </c>
      <c r="AJ183" s="261">
        <v>1000</v>
      </c>
      <c r="AK183" s="261">
        <v>1000</v>
      </c>
      <c r="AL183" s="256">
        <v>3.0000000000000001E-3</v>
      </c>
      <c r="AM183" s="256" t="s">
        <v>34</v>
      </c>
      <c r="AN183" s="256" t="s">
        <v>64</v>
      </c>
      <c r="AO183" s="254" t="s">
        <v>1324</v>
      </c>
      <c r="AP183" s="257" t="s">
        <v>11</v>
      </c>
      <c r="AQ183" s="263" t="s">
        <v>1505</v>
      </c>
      <c r="AR183" s="256" t="s">
        <v>34</v>
      </c>
      <c r="AS183" s="256" t="s">
        <v>34</v>
      </c>
      <c r="AT183" s="256"/>
      <c r="AW183" s="508"/>
      <c r="AX183" s="508"/>
      <c r="AY183" s="509"/>
      <c r="AZ183" s="509"/>
      <c r="BA183" s="509"/>
      <c r="BB183" s="510"/>
      <c r="BC183" s="509"/>
      <c r="BD183" s="509"/>
      <c r="BE183" s="509"/>
      <c r="BF183" s="509"/>
      <c r="BG183" s="510"/>
      <c r="BH183" s="510"/>
      <c r="BI183" s="511"/>
      <c r="BJ183" s="511"/>
      <c r="BK183" s="511"/>
      <c r="BL183" s="510"/>
      <c r="BM183" s="510"/>
      <c r="BN183" s="510"/>
      <c r="BO183" s="510"/>
      <c r="BP183" s="510"/>
      <c r="BQ183" s="510"/>
      <c r="BR183" s="510"/>
      <c r="BS183" s="510"/>
      <c r="BT183" s="513"/>
      <c r="BU183" s="514"/>
      <c r="BV183" s="512"/>
      <c r="BW183" s="515"/>
    </row>
    <row r="184" spans="2:75" ht="15.75" customHeight="1">
      <c r="B184" s="250" t="s">
        <v>1170</v>
      </c>
      <c r="C184" s="251">
        <v>3593195000119</v>
      </c>
      <c r="D184" s="252" t="s">
        <v>11</v>
      </c>
      <c r="E184" s="252" t="s">
        <v>620</v>
      </c>
      <c r="F184" s="252" t="s">
        <v>672</v>
      </c>
      <c r="G184" s="253" t="s">
        <v>738</v>
      </c>
      <c r="H184" s="253" t="s">
        <v>34</v>
      </c>
      <c r="I184" s="253" t="s">
        <v>1304</v>
      </c>
      <c r="J184" s="253" t="s">
        <v>608</v>
      </c>
      <c r="K184" s="254" t="s">
        <v>48</v>
      </c>
      <c r="L184" s="255"/>
      <c r="M184" s="255" t="s">
        <v>34</v>
      </c>
      <c r="N184" s="254">
        <v>137057</v>
      </c>
      <c r="O184" s="254" t="s">
        <v>1321</v>
      </c>
      <c r="P184" s="258">
        <v>36556</v>
      </c>
      <c r="Q184" s="259">
        <v>5671690865.6899996</v>
      </c>
      <c r="R184" s="259">
        <v>4631156914.236269</v>
      </c>
      <c r="S184" s="254">
        <v>0</v>
      </c>
      <c r="T184" s="256">
        <v>7.9744366097143526E-2</v>
      </c>
      <c r="U184" s="256">
        <v>1.0308709851522411</v>
      </c>
      <c r="V184" s="256">
        <v>0.10692414937719308</v>
      </c>
      <c r="W184" s="256">
        <v>1.0482141899484432</v>
      </c>
      <c r="X184" s="256">
        <v>0.15389790598607589</v>
      </c>
      <c r="Y184" s="256">
        <v>1.1670357782706433</v>
      </c>
      <c r="Z184" s="256">
        <v>0.17898730906955773</v>
      </c>
      <c r="AA184" s="256">
        <v>1.0174218903360894</v>
      </c>
      <c r="AB184" s="256">
        <v>1.7264723761913892E-3</v>
      </c>
      <c r="AC184" s="260">
        <v>2.5804191387296638</v>
      </c>
      <c r="AD184" s="405">
        <v>10347228000106</v>
      </c>
      <c r="AE184" s="257" t="s">
        <v>2318</v>
      </c>
      <c r="AF184" s="257" t="s">
        <v>2318</v>
      </c>
      <c r="AG184" s="261" t="s">
        <v>1436</v>
      </c>
      <c r="AH184" s="261" t="s">
        <v>2113</v>
      </c>
      <c r="AI184" s="261">
        <v>1000</v>
      </c>
      <c r="AJ184" s="261">
        <v>100</v>
      </c>
      <c r="AK184" s="261">
        <v>100</v>
      </c>
      <c r="AL184" s="256">
        <v>4.5000000000000005E-3</v>
      </c>
      <c r="AM184" s="256" t="s">
        <v>34</v>
      </c>
      <c r="AN184" s="256" t="s">
        <v>64</v>
      </c>
      <c r="AO184" s="254" t="s">
        <v>1324</v>
      </c>
      <c r="AP184" s="257" t="s">
        <v>11</v>
      </c>
      <c r="AQ184" s="263" t="s">
        <v>662</v>
      </c>
      <c r="AR184" s="256">
        <v>1.4999999999999998E-3</v>
      </c>
      <c r="AS184" s="256">
        <v>1.4999999999999998E-3</v>
      </c>
      <c r="AT184" s="256"/>
      <c r="AW184" s="508"/>
      <c r="AX184" s="508"/>
      <c r="AY184" s="509"/>
      <c r="AZ184" s="509"/>
      <c r="BA184" s="509"/>
      <c r="BB184" s="510"/>
      <c r="BC184" s="509"/>
      <c r="BD184" s="509"/>
      <c r="BE184" s="509"/>
      <c r="BF184" s="509"/>
      <c r="BG184" s="510"/>
      <c r="BH184" s="510"/>
      <c r="BI184" s="511"/>
      <c r="BJ184" s="511"/>
      <c r="BK184" s="511"/>
      <c r="BL184" s="510"/>
      <c r="BM184" s="510"/>
      <c r="BN184" s="510"/>
      <c r="BO184" s="510"/>
      <c r="BP184" s="510"/>
      <c r="BQ184" s="510"/>
      <c r="BR184" s="510"/>
      <c r="BS184" s="510"/>
      <c r="BT184" s="513"/>
      <c r="BU184" s="514"/>
      <c r="BV184" s="512"/>
      <c r="BW184" s="515"/>
    </row>
    <row r="185" spans="2:75" ht="15.75" customHeight="1">
      <c r="B185" s="250" t="s">
        <v>1698</v>
      </c>
      <c r="C185" s="251">
        <v>4839017000198</v>
      </c>
      <c r="D185" s="252" t="s">
        <v>11</v>
      </c>
      <c r="E185" s="252" t="s">
        <v>620</v>
      </c>
      <c r="F185" s="252" t="s">
        <v>672</v>
      </c>
      <c r="G185" s="253" t="s">
        <v>738</v>
      </c>
      <c r="H185" s="253" t="s">
        <v>34</v>
      </c>
      <c r="I185" s="253" t="s">
        <v>1304</v>
      </c>
      <c r="J185" s="253" t="s">
        <v>608</v>
      </c>
      <c r="K185" s="254" t="s">
        <v>48</v>
      </c>
      <c r="L185" s="255"/>
      <c r="M185" s="255"/>
      <c r="N185" s="254">
        <v>104019</v>
      </c>
      <c r="O185" s="254" t="s">
        <v>1321</v>
      </c>
      <c r="P185" s="258">
        <v>37293</v>
      </c>
      <c r="Q185" s="259">
        <v>1731770647.52</v>
      </c>
      <c r="R185" s="259">
        <v>1519679638.7103164</v>
      </c>
      <c r="S185" s="254">
        <v>0</v>
      </c>
      <c r="T185" s="256">
        <v>8.9524600706190727E-2</v>
      </c>
      <c r="U185" s="256">
        <v>1.0069649668417853</v>
      </c>
      <c r="V185" s="256">
        <v>0.11023447041755641</v>
      </c>
      <c r="W185" s="256">
        <v>1.0116998264573442</v>
      </c>
      <c r="X185" s="256">
        <v>0.14237464714398773</v>
      </c>
      <c r="Y185" s="256">
        <v>1.0011486839396122</v>
      </c>
      <c r="Z185" s="256">
        <v>0.17802510956598572</v>
      </c>
      <c r="AA185" s="256">
        <v>0.97282954944719846</v>
      </c>
      <c r="AB185" s="256">
        <v>1.4724043578255538E-3</v>
      </c>
      <c r="AC185" s="260">
        <v>0.78070797006381054</v>
      </c>
      <c r="AD185" s="405">
        <v>0</v>
      </c>
      <c r="AE185" s="257" t="s">
        <v>2289</v>
      </c>
      <c r="AF185" s="257" t="s">
        <v>2289</v>
      </c>
      <c r="AG185" s="261" t="s">
        <v>719</v>
      </c>
      <c r="AH185" s="261" t="s">
        <v>2113</v>
      </c>
      <c r="AI185" s="261">
        <v>1000</v>
      </c>
      <c r="AJ185" s="261">
        <v>1000</v>
      </c>
      <c r="AK185" s="261">
        <v>1000</v>
      </c>
      <c r="AL185" s="256">
        <v>1.5E-3</v>
      </c>
      <c r="AM185" s="256" t="s">
        <v>34</v>
      </c>
      <c r="AN185" s="256" t="s">
        <v>64</v>
      </c>
      <c r="AO185" s="254" t="s">
        <v>1324</v>
      </c>
      <c r="AP185" s="257" t="s">
        <v>11</v>
      </c>
      <c r="AQ185" s="263" t="s">
        <v>1505</v>
      </c>
      <c r="AR185" s="256" t="s">
        <v>34</v>
      </c>
      <c r="AS185" s="256" t="s">
        <v>34</v>
      </c>
      <c r="AT185" s="256"/>
      <c r="AW185" s="508"/>
      <c r="AX185" s="508"/>
      <c r="AY185" s="509"/>
      <c r="AZ185" s="509"/>
      <c r="BA185" s="509"/>
      <c r="BB185" s="510"/>
      <c r="BC185" s="509"/>
      <c r="BD185" s="509"/>
      <c r="BE185" s="509"/>
      <c r="BF185" s="509"/>
      <c r="BG185" s="510"/>
      <c r="BH185" s="510"/>
      <c r="BI185" s="511"/>
      <c r="BJ185" s="511"/>
      <c r="BK185" s="511"/>
      <c r="BL185" s="510"/>
      <c r="BM185" s="510"/>
      <c r="BN185" s="510"/>
      <c r="BO185" s="510"/>
      <c r="BP185" s="510"/>
      <c r="BQ185" s="510"/>
      <c r="BR185" s="510"/>
      <c r="BS185" s="510"/>
      <c r="BT185" s="513"/>
      <c r="BU185" s="514"/>
      <c r="BV185" s="512"/>
      <c r="BW185" s="515"/>
    </row>
    <row r="186" spans="2:75" ht="15.75" customHeight="1">
      <c r="B186" s="250" t="s">
        <v>1701</v>
      </c>
      <c r="C186" s="251">
        <v>27036105000157</v>
      </c>
      <c r="D186" s="252" t="s">
        <v>11</v>
      </c>
      <c r="E186" s="252" t="s">
        <v>620</v>
      </c>
      <c r="F186" s="252" t="s">
        <v>672</v>
      </c>
      <c r="G186" s="253" t="s">
        <v>738</v>
      </c>
      <c r="H186" s="253" t="s">
        <v>34</v>
      </c>
      <c r="I186" s="253" t="s">
        <v>1304</v>
      </c>
      <c r="J186" s="253" t="s">
        <v>608</v>
      </c>
      <c r="K186" s="254" t="s">
        <v>48</v>
      </c>
      <c r="L186" s="255"/>
      <c r="M186" s="255"/>
      <c r="N186" s="254">
        <v>436410</v>
      </c>
      <c r="O186" s="254" t="s">
        <v>1324</v>
      </c>
      <c r="P186" s="258">
        <v>42781</v>
      </c>
      <c r="Q186" s="259">
        <v>4959184.3899999997</v>
      </c>
      <c r="R186" s="259">
        <v>6843841.8969444437</v>
      </c>
      <c r="S186" s="254">
        <v>0</v>
      </c>
      <c r="T186" s="256">
        <v>8.8054927273747197E-2</v>
      </c>
      <c r="U186" s="256">
        <v>0.99043420716796515</v>
      </c>
      <c r="V186" s="256">
        <v>0.1079138108325477</v>
      </c>
      <c r="W186" s="256">
        <v>0.99040148946233153</v>
      </c>
      <c r="X186" s="256">
        <v>0.13417197025146677</v>
      </c>
      <c r="Y186" s="256">
        <v>0.94346917891211879</v>
      </c>
      <c r="Z186" s="256">
        <v>0.16761299167708765</v>
      </c>
      <c r="AA186" s="256">
        <v>0.91593186810695248</v>
      </c>
      <c r="AB186" s="256">
        <v>1.3533268112212863E-3</v>
      </c>
      <c r="AC186" s="260">
        <v>-0.69749584723158475</v>
      </c>
      <c r="AD186" s="405">
        <v>0</v>
      </c>
      <c r="AE186" s="257" t="s">
        <v>2144</v>
      </c>
      <c r="AF186" s="257" t="s">
        <v>2109</v>
      </c>
      <c r="AG186" s="261" t="s">
        <v>1432</v>
      </c>
      <c r="AH186" s="261" t="s">
        <v>2113</v>
      </c>
      <c r="AI186" s="261">
        <v>0</v>
      </c>
      <c r="AJ186" s="261">
        <v>0</v>
      </c>
      <c r="AK186" s="261">
        <v>0</v>
      </c>
      <c r="AL186" s="256">
        <v>0</v>
      </c>
      <c r="AM186" s="256" t="s">
        <v>34</v>
      </c>
      <c r="AN186" s="256" t="s">
        <v>34</v>
      </c>
      <c r="AO186" s="254" t="s">
        <v>1324</v>
      </c>
      <c r="AP186" s="257" t="s">
        <v>11</v>
      </c>
      <c r="AQ186" s="263" t="s">
        <v>684</v>
      </c>
      <c r="AR186" s="256" t="s">
        <v>34</v>
      </c>
      <c r="AS186" s="256" t="s">
        <v>34</v>
      </c>
      <c r="AT186" s="256"/>
      <c r="AW186" s="508"/>
      <c r="AX186" s="508"/>
      <c r="AY186" s="509"/>
      <c r="AZ186" s="509"/>
      <c r="BA186" s="509"/>
      <c r="BB186" s="510"/>
      <c r="BC186" s="509"/>
      <c r="BD186" s="509"/>
      <c r="BE186" s="509"/>
      <c r="BF186" s="509"/>
      <c r="BG186" s="510"/>
      <c r="BH186" s="510"/>
      <c r="BI186" s="511"/>
      <c r="BJ186" s="511"/>
      <c r="BK186" s="511"/>
      <c r="BL186" s="195"/>
      <c r="BM186" s="510"/>
      <c r="BN186" s="510"/>
      <c r="BO186" s="510"/>
      <c r="BP186" s="510"/>
      <c r="BQ186" s="510"/>
      <c r="BR186" s="510"/>
      <c r="BS186" s="510"/>
      <c r="BT186" s="513"/>
      <c r="BU186" s="514"/>
      <c r="BV186" s="512"/>
      <c r="BW186" s="515"/>
    </row>
    <row r="187" spans="2:75" ht="15.75" customHeight="1">
      <c r="B187" s="250" t="s">
        <v>1513</v>
      </c>
      <c r="C187" s="251">
        <v>16565016000181</v>
      </c>
      <c r="D187" s="252" t="s">
        <v>11</v>
      </c>
      <c r="E187" s="252"/>
      <c r="F187" s="252"/>
      <c r="G187" s="253"/>
      <c r="H187" s="253" t="s">
        <v>34</v>
      </c>
      <c r="I187" s="253"/>
      <c r="J187" s="253"/>
      <c r="K187" s="254"/>
      <c r="L187" s="255"/>
      <c r="M187" s="255"/>
      <c r="N187" s="254">
        <v>311715</v>
      </c>
      <c r="O187" s="254" t="s">
        <v>1321</v>
      </c>
      <c r="P187" s="258">
        <v>41138</v>
      </c>
      <c r="Q187" s="259">
        <v>2054424528.1800001</v>
      </c>
      <c r="R187" s="259">
        <v>2044275373.5107944</v>
      </c>
      <c r="S187" s="254">
        <v>0</v>
      </c>
      <c r="T187" s="256">
        <v>9.204103869757474E-2</v>
      </c>
      <c r="U187" s="256">
        <v>1.0352696437525442</v>
      </c>
      <c r="V187" s="256">
        <v>0.11239290349994224</v>
      </c>
      <c r="W187" s="256">
        <v>1.0315092959145655</v>
      </c>
      <c r="X187" s="256">
        <v>0.1473227422697545</v>
      </c>
      <c r="Y187" s="256">
        <v>1.0359426519847763</v>
      </c>
      <c r="Z187" s="256">
        <v>0.16683443775145324</v>
      </c>
      <c r="AA187" s="256">
        <v>0.91167741059507812</v>
      </c>
      <c r="AB187" s="256">
        <v>1.5624223823114385E-3</v>
      </c>
      <c r="AC187" s="260">
        <v>1.9794286667487915</v>
      </c>
      <c r="AD187" s="405">
        <v>16157572000119</v>
      </c>
      <c r="AE187" s="257" t="s">
        <v>2144</v>
      </c>
      <c r="AF187" s="257" t="s">
        <v>2109</v>
      </c>
      <c r="AG187" s="261" t="s">
        <v>1432</v>
      </c>
      <c r="AH187" s="261" t="s">
        <v>2113</v>
      </c>
      <c r="AI187" s="261">
        <v>500</v>
      </c>
      <c r="AJ187" s="261">
        <v>100</v>
      </c>
      <c r="AK187" s="261">
        <v>100</v>
      </c>
      <c r="AL187" s="256">
        <v>1.5E-3</v>
      </c>
      <c r="AM187" s="256" t="s">
        <v>34</v>
      </c>
      <c r="AN187" s="256" t="s">
        <v>2127</v>
      </c>
      <c r="AO187" s="254" t="s">
        <v>1324</v>
      </c>
      <c r="AP187" s="257" t="s">
        <v>11</v>
      </c>
      <c r="AQ187" s="263" t="s">
        <v>669</v>
      </c>
      <c r="AR187" s="256" t="s">
        <v>34</v>
      </c>
      <c r="AS187" s="256" t="s">
        <v>34</v>
      </c>
      <c r="AT187" s="256"/>
      <c r="AW187" s="508"/>
      <c r="AX187" s="508"/>
      <c r="AY187" s="509"/>
      <c r="AZ187" s="509"/>
      <c r="BA187" s="509"/>
      <c r="BB187" s="510"/>
      <c r="BC187" s="509"/>
      <c r="BD187" s="509"/>
      <c r="BE187" s="509"/>
      <c r="BF187" s="509"/>
      <c r="BG187" s="510"/>
      <c r="BH187" s="510"/>
      <c r="BI187" s="511"/>
      <c r="BJ187" s="511"/>
      <c r="BK187" s="511"/>
      <c r="BL187" s="510"/>
      <c r="BM187" s="510"/>
      <c r="BN187" s="510"/>
      <c r="BO187" s="510"/>
      <c r="BP187" s="510"/>
      <c r="BQ187" s="510"/>
      <c r="BR187" s="510"/>
      <c r="BS187" s="510"/>
      <c r="BT187" s="513"/>
      <c r="BU187" s="514"/>
      <c r="BV187" s="512"/>
      <c r="BW187" s="515"/>
    </row>
    <row r="188" spans="2:75" ht="15.75" customHeight="1">
      <c r="B188" s="250" t="s">
        <v>1572</v>
      </c>
      <c r="C188" s="251">
        <v>832453000184</v>
      </c>
      <c r="D188" s="252" t="s">
        <v>11</v>
      </c>
      <c r="E188" s="252"/>
      <c r="F188" s="252"/>
      <c r="G188" s="253"/>
      <c r="H188" s="253" t="s">
        <v>34</v>
      </c>
      <c r="I188" s="253"/>
      <c r="J188" s="253"/>
      <c r="K188" s="254"/>
      <c r="L188" s="255"/>
      <c r="M188" s="255"/>
      <c r="N188" s="254">
        <v>21369</v>
      </c>
      <c r="O188" s="254" t="s">
        <v>1321</v>
      </c>
      <c r="P188" s="258">
        <v>34974</v>
      </c>
      <c r="Q188" s="259">
        <v>4698254.1900000004</v>
      </c>
      <c r="R188" s="259">
        <v>4808821.4421031745</v>
      </c>
      <c r="S188" s="254">
        <v>0</v>
      </c>
      <c r="T188" s="256">
        <v>7.9233016615339658E-2</v>
      </c>
      <c r="U188" s="256">
        <v>0.89120611898270008</v>
      </c>
      <c r="V188" s="256">
        <v>9.6092213227597645E-2</v>
      </c>
      <c r="W188" s="256">
        <v>0.88190631367862549</v>
      </c>
      <c r="X188" s="256">
        <v>0.11554686229585887</v>
      </c>
      <c r="Y188" s="256">
        <v>0.81250132268184294</v>
      </c>
      <c r="Z188" s="256">
        <v>0.14249179405017265</v>
      </c>
      <c r="AA188" s="256">
        <v>0.77865548373316584</v>
      </c>
      <c r="AB188" s="256">
        <v>1.3818957624716422E-3</v>
      </c>
      <c r="AC188" s="260">
        <v>-8.4489092634864242</v>
      </c>
      <c r="AD188" s="405">
        <v>0</v>
      </c>
      <c r="AE188" s="257" t="s">
        <v>1547</v>
      </c>
      <c r="AF188" s="257" t="s">
        <v>2121</v>
      </c>
      <c r="AG188" s="261" t="s">
        <v>59</v>
      </c>
      <c r="AH188" s="261" t="s">
        <v>2113</v>
      </c>
      <c r="AI188" s="261">
        <v>1</v>
      </c>
      <c r="AJ188" s="261">
        <v>1</v>
      </c>
      <c r="AK188" s="261">
        <v>1</v>
      </c>
      <c r="AL188" s="256">
        <v>4.0000000000000001E-3</v>
      </c>
      <c r="AM188" s="256" t="s">
        <v>34</v>
      </c>
      <c r="AN188" s="256" t="s">
        <v>64</v>
      </c>
      <c r="AO188" s="254" t="s">
        <v>1324</v>
      </c>
      <c r="AP188" s="257" t="s">
        <v>11</v>
      </c>
      <c r="AQ188" s="263" t="s">
        <v>662</v>
      </c>
      <c r="AR188" s="256" t="s">
        <v>34</v>
      </c>
      <c r="AS188" s="256" t="s">
        <v>34</v>
      </c>
      <c r="AT188" s="256"/>
      <c r="AW188" s="508"/>
      <c r="AX188" s="508"/>
      <c r="AY188" s="509"/>
      <c r="AZ188" s="509"/>
      <c r="BA188" s="509"/>
      <c r="BB188" s="510"/>
      <c r="BC188" s="509"/>
      <c r="BD188" s="509"/>
      <c r="BE188" s="509"/>
      <c r="BF188" s="509"/>
      <c r="BG188" s="510"/>
      <c r="BH188" s="510"/>
      <c r="BI188" s="511"/>
      <c r="BJ188" s="511"/>
      <c r="BK188" s="511"/>
      <c r="BL188" s="510"/>
      <c r="BM188" s="510"/>
      <c r="BN188" s="510"/>
      <c r="BO188" s="510"/>
      <c r="BP188" s="510"/>
      <c r="BQ188" s="510"/>
      <c r="BR188" s="510"/>
      <c r="BS188" s="510"/>
      <c r="BT188" s="513"/>
      <c r="BU188" s="514"/>
      <c r="BV188" s="512"/>
      <c r="BW188" s="515"/>
    </row>
    <row r="189" spans="2:75" ht="15.75" customHeight="1">
      <c r="B189" s="250" t="s">
        <v>353</v>
      </c>
      <c r="C189" s="251">
        <v>7967080000106</v>
      </c>
      <c r="D189" s="252" t="s">
        <v>13</v>
      </c>
      <c r="E189" s="252" t="s">
        <v>616</v>
      </c>
      <c r="F189" s="252" t="s">
        <v>618</v>
      </c>
      <c r="G189" s="253" t="s">
        <v>34</v>
      </c>
      <c r="H189" s="253" t="s">
        <v>1337</v>
      </c>
      <c r="I189" s="253" t="s">
        <v>34</v>
      </c>
      <c r="J189" s="253"/>
      <c r="K189" s="254"/>
      <c r="L189" s="255"/>
      <c r="M189" s="255" t="s">
        <v>34</v>
      </c>
      <c r="N189" s="254">
        <v>159824</v>
      </c>
      <c r="O189" s="254" t="s">
        <v>1321</v>
      </c>
      <c r="P189" s="258">
        <v>38861</v>
      </c>
      <c r="Q189" s="259">
        <v>19163705.370000001</v>
      </c>
      <c r="R189" s="259">
        <v>23163294.013611112</v>
      </c>
      <c r="S189" s="254">
        <v>1</v>
      </c>
      <c r="T189" s="256">
        <v>3.6328325674927608E-2</v>
      </c>
      <c r="U189" s="256">
        <v>0.46962335661209226</v>
      </c>
      <c r="V189" s="256">
        <v>2.5229937513629341E-2</v>
      </c>
      <c r="W189" s="256">
        <v>0.2473377498660731</v>
      </c>
      <c r="X189" s="256">
        <v>6.5865095186278699E-2</v>
      </c>
      <c r="Y189" s="256">
        <v>0.49946698188696209</v>
      </c>
      <c r="Z189" s="256">
        <v>0.13407829411138827</v>
      </c>
      <c r="AA189" s="256">
        <v>0.76214449033832787</v>
      </c>
      <c r="AB189" s="256">
        <v>4.4189133890895897E-2</v>
      </c>
      <c r="AC189" s="260">
        <v>-1.6126532518055283</v>
      </c>
      <c r="AD189" s="405">
        <v>0</v>
      </c>
      <c r="AE189" s="257" t="s">
        <v>2377</v>
      </c>
      <c r="AF189" s="257" t="s">
        <v>2115</v>
      </c>
      <c r="AG189" s="261" t="s">
        <v>719</v>
      </c>
      <c r="AH189" s="261" t="s">
        <v>2113</v>
      </c>
      <c r="AI189" s="261">
        <v>10000</v>
      </c>
      <c r="AJ189" s="261">
        <v>1000</v>
      </c>
      <c r="AK189" s="261">
        <v>5000</v>
      </c>
      <c r="AL189" s="256">
        <v>1.8000000000000002E-2</v>
      </c>
      <c r="AM189" s="256">
        <v>0.2</v>
      </c>
      <c r="AN189" s="256" t="s">
        <v>64</v>
      </c>
      <c r="AO189" s="254" t="s">
        <v>1324</v>
      </c>
      <c r="AP189" s="257" t="s">
        <v>13</v>
      </c>
      <c r="AQ189" s="263" t="s">
        <v>678</v>
      </c>
      <c r="AR189" s="256">
        <v>5.3999999999999994E-3</v>
      </c>
      <c r="AS189" s="256">
        <v>5.3999999999999994E-3</v>
      </c>
      <c r="AT189" s="256"/>
      <c r="AW189" s="508"/>
      <c r="AX189" s="508"/>
      <c r="AY189" s="509"/>
      <c r="AZ189" s="509"/>
      <c r="BA189" s="509"/>
      <c r="BB189" s="510"/>
      <c r="BC189" s="509"/>
      <c r="BD189" s="509"/>
      <c r="BE189" s="509"/>
      <c r="BF189" s="509"/>
      <c r="BG189" s="510"/>
      <c r="BH189" s="510"/>
      <c r="BI189" s="511"/>
      <c r="BJ189" s="511"/>
      <c r="BK189" s="511"/>
      <c r="BL189" s="195"/>
      <c r="BM189" s="510"/>
      <c r="BN189" s="510"/>
      <c r="BO189" s="510"/>
      <c r="BP189" s="510"/>
      <c r="BQ189" s="510"/>
      <c r="BR189" s="510"/>
      <c r="BS189" s="510"/>
      <c r="BT189" s="513"/>
      <c r="BU189" s="514"/>
      <c r="BV189" s="512"/>
      <c r="BW189" s="515"/>
    </row>
    <row r="190" spans="2:75" ht="15.75" customHeight="1">
      <c r="B190" s="250" t="s">
        <v>849</v>
      </c>
      <c r="C190" s="251">
        <v>33144687000198</v>
      </c>
      <c r="D190" s="252" t="s">
        <v>14</v>
      </c>
      <c r="E190" s="252" t="s">
        <v>15</v>
      </c>
      <c r="F190" s="252" t="s">
        <v>17</v>
      </c>
      <c r="G190" s="253"/>
      <c r="H190" s="253" t="s">
        <v>34</v>
      </c>
      <c r="I190" s="253" t="s">
        <v>34</v>
      </c>
      <c r="J190" s="253" t="s">
        <v>611</v>
      </c>
      <c r="K190" s="254" t="s">
        <v>49</v>
      </c>
      <c r="L190" s="255"/>
      <c r="M190" s="255" t="s">
        <v>1414</v>
      </c>
      <c r="N190" s="254">
        <v>494828</v>
      </c>
      <c r="O190" s="254" t="s">
        <v>1321</v>
      </c>
      <c r="P190" s="258">
        <v>43592</v>
      </c>
      <c r="Q190" s="259">
        <v>261147854.91</v>
      </c>
      <c r="R190" s="259">
        <v>229187742.51460323</v>
      </c>
      <c r="S190" s="254">
        <v>1</v>
      </c>
      <c r="T190" s="256">
        <v>-5.9340498467779113E-2</v>
      </c>
      <c r="U190" s="256">
        <v>-0.76710620585265044</v>
      </c>
      <c r="V190" s="256">
        <v>1.5764509264952098E-2</v>
      </c>
      <c r="W190" s="256">
        <v>0.15454490314253724</v>
      </c>
      <c r="X190" s="256">
        <v>-3.206218760047741E-2</v>
      </c>
      <c r="Y190" s="256">
        <v>-0.24313339300905068</v>
      </c>
      <c r="Z190" s="256">
        <v>0.27976199630408272</v>
      </c>
      <c r="AA190" s="256">
        <v>1.5902578825478806</v>
      </c>
      <c r="AB190" s="256">
        <v>0.16741195332455844</v>
      </c>
      <c r="AC190" s="260">
        <v>-0.40369478589850699</v>
      </c>
      <c r="AD190" s="405">
        <v>0</v>
      </c>
      <c r="AE190" s="257" t="s">
        <v>2144</v>
      </c>
      <c r="AF190" s="257" t="s">
        <v>2109</v>
      </c>
      <c r="AG190" s="261" t="s">
        <v>1432</v>
      </c>
      <c r="AH190" s="261" t="s">
        <v>2113</v>
      </c>
      <c r="AI190" s="261">
        <v>500</v>
      </c>
      <c r="AJ190" s="261">
        <v>500</v>
      </c>
      <c r="AK190" s="261">
        <v>500</v>
      </c>
      <c r="AL190" s="256">
        <v>1.5E-3</v>
      </c>
      <c r="AM190" s="256" t="s">
        <v>34</v>
      </c>
      <c r="AN190" s="256" t="s">
        <v>34</v>
      </c>
      <c r="AO190" s="254" t="s">
        <v>1324</v>
      </c>
      <c r="AP190" s="257" t="s">
        <v>17</v>
      </c>
      <c r="AQ190" s="263" t="s">
        <v>17</v>
      </c>
      <c r="AR190" s="256">
        <v>3.5E-4</v>
      </c>
      <c r="AS190" s="256">
        <v>3.5E-4</v>
      </c>
      <c r="AT190" s="256"/>
      <c r="AW190" s="508"/>
      <c r="AX190" s="508"/>
      <c r="AY190" s="509"/>
      <c r="AZ190" s="509"/>
      <c r="BA190" s="509"/>
      <c r="BB190" s="510"/>
      <c r="BC190" s="509"/>
      <c r="BD190" s="509"/>
      <c r="BE190" s="509"/>
      <c r="BF190" s="509"/>
      <c r="BG190" s="510"/>
      <c r="BH190" s="510"/>
      <c r="BI190" s="511"/>
      <c r="BJ190" s="511"/>
      <c r="BK190" s="511"/>
      <c r="BL190" s="510"/>
      <c r="BM190" s="510"/>
      <c r="BN190" s="510"/>
      <c r="BO190" s="510"/>
      <c r="BP190" s="510"/>
      <c r="BQ190" s="510"/>
      <c r="BR190" s="510"/>
      <c r="BS190" s="510"/>
      <c r="BT190" s="513"/>
      <c r="BU190" s="514"/>
      <c r="BV190" s="512"/>
      <c r="BW190" s="515"/>
    </row>
    <row r="191" spans="2:75" ht="15.75" customHeight="1">
      <c r="B191" s="250" t="s">
        <v>883</v>
      </c>
      <c r="C191" s="251">
        <v>3319016000150</v>
      </c>
      <c r="D191" s="252" t="s">
        <v>14</v>
      </c>
      <c r="E191" s="252" t="s">
        <v>15</v>
      </c>
      <c r="F191" s="252" t="s">
        <v>17</v>
      </c>
      <c r="G191" s="253"/>
      <c r="H191" s="253" t="s">
        <v>34</v>
      </c>
      <c r="I191" s="253" t="s">
        <v>34</v>
      </c>
      <c r="J191" s="253" t="s">
        <v>611</v>
      </c>
      <c r="K191" s="254" t="s">
        <v>49</v>
      </c>
      <c r="L191" s="255"/>
      <c r="M191" s="255" t="s">
        <v>1414</v>
      </c>
      <c r="N191" s="254">
        <v>72176</v>
      </c>
      <c r="O191" s="254" t="s">
        <v>1321</v>
      </c>
      <c r="P191" s="258">
        <v>36409</v>
      </c>
      <c r="Q191" s="259">
        <v>214862217.80000001</v>
      </c>
      <c r="R191" s="259">
        <v>254404176.45079359</v>
      </c>
      <c r="S191" s="254">
        <v>1</v>
      </c>
      <c r="T191" s="256">
        <v>-6.5279656812986309E-2</v>
      </c>
      <c r="U191" s="256">
        <v>-0.84388286499419451</v>
      </c>
      <c r="V191" s="256">
        <v>7.170848420292586E-3</v>
      </c>
      <c r="W191" s="256">
        <v>7.0298291937811327E-2</v>
      </c>
      <c r="X191" s="256">
        <v>-4.1136665161876862E-2</v>
      </c>
      <c r="Y191" s="256">
        <v>-0.3119468048317266</v>
      </c>
      <c r="Z191" s="256">
        <v>0.254411932684945</v>
      </c>
      <c r="AA191" s="256">
        <v>1.4461599027436247</v>
      </c>
      <c r="AB191" s="256">
        <v>0.16758234877092398</v>
      </c>
      <c r="AC191" s="260">
        <v>-0.45382135818011821</v>
      </c>
      <c r="AD191" s="405">
        <v>9352825000140</v>
      </c>
      <c r="AE191" s="257" t="s">
        <v>469</v>
      </c>
      <c r="AF191" s="257" t="s">
        <v>469</v>
      </c>
      <c r="AG191" s="261" t="s">
        <v>469</v>
      </c>
      <c r="AH191" s="261" t="s">
        <v>2113</v>
      </c>
      <c r="AI191" s="261">
        <v>100</v>
      </c>
      <c r="AJ191" s="261">
        <v>100</v>
      </c>
      <c r="AK191" s="261">
        <v>100</v>
      </c>
      <c r="AL191" s="256">
        <v>8.5000000000000006E-3</v>
      </c>
      <c r="AM191" s="256" t="s">
        <v>34</v>
      </c>
      <c r="AN191" s="256" t="s">
        <v>2194</v>
      </c>
      <c r="AO191" s="254" t="s">
        <v>1324</v>
      </c>
      <c r="AP191" s="257" t="s">
        <v>17</v>
      </c>
      <c r="AQ191" s="263" t="s">
        <v>17</v>
      </c>
      <c r="AR191" s="256">
        <v>3.1166666666666673E-3</v>
      </c>
      <c r="AS191" s="256">
        <v>3.1166666666666673E-3</v>
      </c>
      <c r="AT191" s="256"/>
      <c r="AW191" s="508"/>
      <c r="AX191" s="508"/>
      <c r="AY191" s="509"/>
      <c r="AZ191" s="509"/>
      <c r="BA191" s="509"/>
      <c r="BB191" s="510"/>
      <c r="BC191" s="509"/>
      <c r="BD191" s="509"/>
      <c r="BE191" s="509"/>
      <c r="BF191" s="509"/>
      <c r="BG191" s="510"/>
      <c r="BH191" s="510"/>
      <c r="BI191" s="511"/>
      <c r="BJ191" s="511"/>
      <c r="BK191" s="511"/>
      <c r="BL191" s="510"/>
      <c r="BM191" s="510"/>
      <c r="BN191" s="510"/>
      <c r="BO191" s="510"/>
      <c r="BP191" s="510"/>
      <c r="BQ191" s="510"/>
      <c r="BR191" s="510"/>
      <c r="BS191" s="510"/>
      <c r="BT191" s="513"/>
      <c r="BU191" s="514"/>
      <c r="BV191" s="512"/>
      <c r="BW191" s="515"/>
    </row>
    <row r="192" spans="2:75" ht="15.75" customHeight="1">
      <c r="B192" s="250" t="s">
        <v>888</v>
      </c>
      <c r="C192" s="251">
        <v>32471624000183</v>
      </c>
      <c r="D192" s="252" t="s">
        <v>14</v>
      </c>
      <c r="E192" s="252" t="s">
        <v>15</v>
      </c>
      <c r="F192" s="252" t="s">
        <v>17</v>
      </c>
      <c r="G192" s="253"/>
      <c r="H192" s="253" t="s">
        <v>34</v>
      </c>
      <c r="I192" s="253" t="s">
        <v>34</v>
      </c>
      <c r="J192" s="253" t="s">
        <v>611</v>
      </c>
      <c r="K192" s="254" t="s">
        <v>49</v>
      </c>
      <c r="L192" s="255"/>
      <c r="M192" s="255" t="s">
        <v>1414</v>
      </c>
      <c r="N192" s="254">
        <v>551201</v>
      </c>
      <c r="O192" s="254" t="s">
        <v>1321</v>
      </c>
      <c r="P192" s="258">
        <v>44055</v>
      </c>
      <c r="Q192" s="259">
        <v>3772162.89</v>
      </c>
      <c r="R192" s="259">
        <v>5058033.1005952377</v>
      </c>
      <c r="S192" s="254">
        <v>1</v>
      </c>
      <c r="T192" s="256">
        <v>0.19352579451170882</v>
      </c>
      <c r="U192" s="256">
        <v>2.5017457182821796</v>
      </c>
      <c r="V192" s="256">
        <v>0.15377485786932255</v>
      </c>
      <c r="W192" s="256">
        <v>1.5075077895388009</v>
      </c>
      <c r="X192" s="256">
        <v>0.20370719902932533</v>
      </c>
      <c r="Y192" s="256">
        <v>1.544748695801168</v>
      </c>
      <c r="Z192" s="256" t="s">
        <v>1417</v>
      </c>
      <c r="AA192" s="256" t="s">
        <v>1417</v>
      </c>
      <c r="AB192" s="256">
        <v>0.16596396892498572</v>
      </c>
      <c r="AC192" s="260">
        <v>0.35953114426124377</v>
      </c>
      <c r="AD192" s="405">
        <v>32485602000172</v>
      </c>
      <c r="AE192" s="257" t="s">
        <v>469</v>
      </c>
      <c r="AF192" s="257" t="s">
        <v>469</v>
      </c>
      <c r="AG192" s="261" t="s">
        <v>469</v>
      </c>
      <c r="AH192" s="261" t="s">
        <v>2113</v>
      </c>
      <c r="AI192" s="261">
        <v>100</v>
      </c>
      <c r="AJ192" s="261">
        <v>100</v>
      </c>
      <c r="AK192" s="261">
        <v>100</v>
      </c>
      <c r="AL192" s="256">
        <v>8.5000000000000006E-3</v>
      </c>
      <c r="AM192" s="256" t="s">
        <v>34</v>
      </c>
      <c r="AN192" s="256" t="s">
        <v>2194</v>
      </c>
      <c r="AO192" s="254" t="s">
        <v>1324</v>
      </c>
      <c r="AP192" s="257" t="s">
        <v>17</v>
      </c>
      <c r="AQ192" s="263" t="s">
        <v>17</v>
      </c>
      <c r="AR192" s="256">
        <v>2.2666666666666668E-3</v>
      </c>
      <c r="AS192" s="256">
        <v>2.2666666666666668E-3</v>
      </c>
      <c r="AT192" s="256"/>
      <c r="AW192" s="508"/>
      <c r="AX192" s="508"/>
      <c r="AY192" s="509"/>
      <c r="AZ192" s="509"/>
      <c r="BA192" s="509"/>
      <c r="BB192" s="510"/>
      <c r="BC192" s="509"/>
      <c r="BD192" s="509"/>
      <c r="BE192" s="509"/>
      <c r="BF192" s="509"/>
      <c r="BG192" s="510"/>
      <c r="BH192" s="510"/>
      <c r="BI192" s="511"/>
      <c r="BJ192" s="511"/>
      <c r="BK192" s="511"/>
      <c r="BL192" s="510"/>
      <c r="BM192" s="510"/>
      <c r="BN192" s="510"/>
      <c r="BO192" s="510"/>
      <c r="BP192" s="510"/>
      <c r="BQ192" s="510"/>
      <c r="BR192" s="510"/>
      <c r="BS192" s="510"/>
      <c r="BT192" s="513"/>
      <c r="BU192" s="514"/>
      <c r="BV192" s="512"/>
      <c r="BW192" s="515"/>
    </row>
    <row r="193" spans="2:75" ht="15.75" customHeight="1">
      <c r="B193" s="250" t="s">
        <v>979</v>
      </c>
      <c r="C193" s="251">
        <v>32745560000161</v>
      </c>
      <c r="D193" s="252" t="s">
        <v>14</v>
      </c>
      <c r="E193" s="252" t="s">
        <v>15</v>
      </c>
      <c r="F193" s="252" t="s">
        <v>17</v>
      </c>
      <c r="G193" s="253"/>
      <c r="H193" s="253" t="s">
        <v>34</v>
      </c>
      <c r="I193" s="253" t="s">
        <v>34</v>
      </c>
      <c r="J193" s="253" t="s">
        <v>611</v>
      </c>
      <c r="K193" s="254" t="s">
        <v>49</v>
      </c>
      <c r="L193" s="255"/>
      <c r="M193" s="255" t="s">
        <v>1414</v>
      </c>
      <c r="N193" s="254">
        <v>494976</v>
      </c>
      <c r="O193" s="254" t="s">
        <v>1321</v>
      </c>
      <c r="P193" s="258">
        <v>43585</v>
      </c>
      <c r="Q193" s="259">
        <v>3162455.99</v>
      </c>
      <c r="R193" s="259">
        <v>9174557.1683730111</v>
      </c>
      <c r="S193" s="254">
        <v>1</v>
      </c>
      <c r="T193" s="256">
        <v>-5.7531137092417639E-2</v>
      </c>
      <c r="U193" s="256">
        <v>-0.74371623819972421</v>
      </c>
      <c r="V193" s="256">
        <v>1.4712810745604044E-2</v>
      </c>
      <c r="W193" s="256">
        <v>0.14423474105146955</v>
      </c>
      <c r="X193" s="256">
        <v>-1.8907305904531047E-2</v>
      </c>
      <c r="Y193" s="256">
        <v>-0.14337753538564665</v>
      </c>
      <c r="Z193" s="256">
        <v>0.27189320237731818</v>
      </c>
      <c r="AA193" s="256">
        <v>1.5455291068975203</v>
      </c>
      <c r="AB193" s="256">
        <v>0.1621114474147643</v>
      </c>
      <c r="AC193" s="260">
        <v>-0.42863312223261657</v>
      </c>
      <c r="AD193" s="405">
        <v>0</v>
      </c>
      <c r="AE193" s="257" t="s">
        <v>2275</v>
      </c>
      <c r="AF193" s="257" t="s">
        <v>2115</v>
      </c>
      <c r="AG193" s="261" t="s">
        <v>719</v>
      </c>
      <c r="AH193" s="261" t="s">
        <v>2113</v>
      </c>
      <c r="AI193" s="261">
        <v>500</v>
      </c>
      <c r="AJ193" s="261">
        <v>500</v>
      </c>
      <c r="AK193" s="261">
        <v>500</v>
      </c>
      <c r="AL193" s="256">
        <v>2.2300000000000002E-3</v>
      </c>
      <c r="AM193" s="256" t="s">
        <v>34</v>
      </c>
      <c r="AN193" s="256" t="s">
        <v>2194</v>
      </c>
      <c r="AO193" s="254" t="s">
        <v>1324</v>
      </c>
      <c r="AP193" s="257" t="s">
        <v>17</v>
      </c>
      <c r="AQ193" s="263" t="s">
        <v>17</v>
      </c>
      <c r="AR193" s="256">
        <v>1.4866666666666668E-4</v>
      </c>
      <c r="AS193" s="256">
        <v>1.4866666666666668E-4</v>
      </c>
      <c r="AT193" s="256"/>
      <c r="AW193" s="508"/>
      <c r="AX193" s="508"/>
      <c r="AY193" s="509"/>
      <c r="AZ193" s="509"/>
      <c r="BA193" s="509"/>
      <c r="BB193" s="510"/>
      <c r="BC193" s="509"/>
      <c r="BD193" s="509"/>
      <c r="BE193" s="509"/>
      <c r="BF193" s="509"/>
      <c r="BG193" s="510"/>
      <c r="BH193" s="510"/>
      <c r="BI193" s="511"/>
      <c r="BJ193" s="511"/>
      <c r="BK193" s="511"/>
      <c r="BL193" s="510"/>
      <c r="BM193" s="510"/>
      <c r="BN193" s="510"/>
      <c r="BO193" s="510"/>
      <c r="BP193" s="510"/>
      <c r="BQ193" s="510"/>
      <c r="BR193" s="510"/>
      <c r="BS193" s="510"/>
      <c r="BT193" s="513"/>
      <c r="BU193" s="514"/>
      <c r="BV193" s="512"/>
      <c r="BW193" s="515"/>
    </row>
    <row r="194" spans="2:75" ht="15.75" customHeight="1">
      <c r="B194" s="250" t="s">
        <v>693</v>
      </c>
      <c r="C194" s="251">
        <v>23711486000171</v>
      </c>
      <c r="D194" s="252" t="s">
        <v>14</v>
      </c>
      <c r="E194" s="252" t="s">
        <v>15</v>
      </c>
      <c r="F194" s="252" t="s">
        <v>17</v>
      </c>
      <c r="G194" s="253"/>
      <c r="H194" s="253" t="s">
        <v>34</v>
      </c>
      <c r="I194" s="253" t="s">
        <v>34</v>
      </c>
      <c r="J194" s="253" t="s">
        <v>611</v>
      </c>
      <c r="K194" s="254" t="s">
        <v>49</v>
      </c>
      <c r="L194" s="255"/>
      <c r="M194" s="255" t="s">
        <v>1414</v>
      </c>
      <c r="N194" s="254">
        <v>412831</v>
      </c>
      <c r="O194" s="254" t="s">
        <v>1321</v>
      </c>
      <c r="P194" s="258">
        <v>42415</v>
      </c>
      <c r="Q194" s="259">
        <v>69946576.950000003</v>
      </c>
      <c r="R194" s="259">
        <v>74545537.910714239</v>
      </c>
      <c r="S194" s="254">
        <v>1</v>
      </c>
      <c r="T194" s="256">
        <v>-6.2127869967336213E-2</v>
      </c>
      <c r="U194" s="256">
        <v>-0.80313910127040755</v>
      </c>
      <c r="V194" s="256">
        <v>1.0173125872655175E-2</v>
      </c>
      <c r="W194" s="256">
        <v>9.9730649792041673E-2</v>
      </c>
      <c r="X194" s="256">
        <v>-3.5777286241276962E-2</v>
      </c>
      <c r="Y194" s="256">
        <v>-0.27130566088909569</v>
      </c>
      <c r="Z194" s="256">
        <v>0.26487655727134896</v>
      </c>
      <c r="AA194" s="256">
        <v>1.5056442214012065</v>
      </c>
      <c r="AB194" s="256">
        <v>0.1657425958797292</v>
      </c>
      <c r="AC194" s="260">
        <v>-0.44272695079195812</v>
      </c>
      <c r="AD194" s="405">
        <v>0</v>
      </c>
      <c r="AE194" s="257" t="s">
        <v>2344</v>
      </c>
      <c r="AF194" s="257" t="s">
        <v>2118</v>
      </c>
      <c r="AG194" s="261" t="s">
        <v>1433</v>
      </c>
      <c r="AH194" s="261" t="s">
        <v>2113</v>
      </c>
      <c r="AI194" s="261">
        <v>5000</v>
      </c>
      <c r="AJ194" s="261">
        <v>0</v>
      </c>
      <c r="AK194" s="261">
        <v>0</v>
      </c>
      <c r="AL194" s="256">
        <v>7.4999999999999997E-3</v>
      </c>
      <c r="AM194" s="256" t="s">
        <v>34</v>
      </c>
      <c r="AN194" s="256" t="s">
        <v>34</v>
      </c>
      <c r="AO194" s="254" t="s">
        <v>1324</v>
      </c>
      <c r="AP194" s="257" t="s">
        <v>17</v>
      </c>
      <c r="AQ194" s="263" t="s">
        <v>17</v>
      </c>
      <c r="AR194" s="256">
        <v>1.7499999999999998E-3</v>
      </c>
      <c r="AS194" s="256">
        <v>1.7499999999999998E-3</v>
      </c>
      <c r="AT194" s="256"/>
      <c r="AW194" s="508"/>
      <c r="AX194" s="508"/>
      <c r="AY194" s="509"/>
      <c r="AZ194" s="509"/>
      <c r="BA194" s="509"/>
      <c r="BB194" s="510"/>
      <c r="BC194" s="509"/>
      <c r="BD194" s="509"/>
      <c r="BE194" s="509"/>
      <c r="BF194" s="509"/>
      <c r="BG194" s="510"/>
      <c r="BH194" s="510"/>
      <c r="BI194" s="511"/>
      <c r="BJ194" s="511"/>
      <c r="BK194" s="511"/>
      <c r="BL194" s="510"/>
      <c r="BM194" s="510"/>
      <c r="BN194" s="510"/>
      <c r="BO194" s="510"/>
      <c r="BP194" s="510"/>
      <c r="BQ194" s="510"/>
      <c r="BR194" s="510"/>
      <c r="BS194" s="510"/>
      <c r="BT194" s="513"/>
      <c r="BU194" s="514"/>
      <c r="BV194" s="512"/>
      <c r="BW194" s="515"/>
    </row>
    <row r="195" spans="2:75" ht="15.75" customHeight="1">
      <c r="B195" s="250" t="s">
        <v>1279</v>
      </c>
      <c r="C195" s="251">
        <v>819889000133</v>
      </c>
      <c r="D195" s="252" t="s">
        <v>14</v>
      </c>
      <c r="E195" s="252" t="s">
        <v>15</v>
      </c>
      <c r="F195" s="252" t="s">
        <v>17</v>
      </c>
      <c r="G195" s="253"/>
      <c r="H195" s="253" t="s">
        <v>34</v>
      </c>
      <c r="I195" s="253" t="s">
        <v>34</v>
      </c>
      <c r="J195" s="253" t="s">
        <v>611</v>
      </c>
      <c r="K195" s="254" t="s">
        <v>49</v>
      </c>
      <c r="L195" s="255"/>
      <c r="M195" s="255" t="s">
        <v>1414</v>
      </c>
      <c r="N195" s="254">
        <v>17973</v>
      </c>
      <c r="O195" s="254" t="s">
        <v>1321</v>
      </c>
      <c r="P195" s="258">
        <v>34974</v>
      </c>
      <c r="Q195" s="259">
        <v>82218910.109999999</v>
      </c>
      <c r="R195" s="259">
        <v>92783091.596666664</v>
      </c>
      <c r="S195" s="254">
        <v>1</v>
      </c>
      <c r="T195" s="256">
        <v>-5.9821658396485122E-2</v>
      </c>
      <c r="U195" s="256">
        <v>-0.77332625416448608</v>
      </c>
      <c r="V195" s="256">
        <v>1.2953168625424061E-2</v>
      </c>
      <c r="W195" s="256">
        <v>0.12698436449624534</v>
      </c>
      <c r="X195" s="256">
        <v>-3.808811421157865E-2</v>
      </c>
      <c r="Y195" s="256">
        <v>-0.28882908917417321</v>
      </c>
      <c r="Z195" s="256">
        <v>0.245667187873152</v>
      </c>
      <c r="AA195" s="256">
        <v>1.3964519382897673</v>
      </c>
      <c r="AB195" s="256">
        <v>0.16381413738617651</v>
      </c>
      <c r="AC195" s="260">
        <v>-0.4330833011790991</v>
      </c>
      <c r="AD195" s="405">
        <v>0</v>
      </c>
      <c r="AE195" s="257" t="s">
        <v>2306</v>
      </c>
      <c r="AF195" s="257" t="s">
        <v>728</v>
      </c>
      <c r="AG195" s="261" t="s">
        <v>728</v>
      </c>
      <c r="AH195" s="261" t="s">
        <v>2113</v>
      </c>
      <c r="AI195" s="261">
        <v>5000</v>
      </c>
      <c r="AJ195" s="261">
        <v>100</v>
      </c>
      <c r="AK195" s="261">
        <v>1000</v>
      </c>
      <c r="AL195" s="256">
        <v>0.01</v>
      </c>
      <c r="AM195" s="256" t="s">
        <v>34</v>
      </c>
      <c r="AN195" s="256" t="s">
        <v>2194</v>
      </c>
      <c r="AO195" s="254" t="s">
        <v>1324</v>
      </c>
      <c r="AP195" s="257" t="s">
        <v>17</v>
      </c>
      <c r="AQ195" s="263" t="s">
        <v>17</v>
      </c>
      <c r="AR195" s="256">
        <v>2.6666666666666666E-3</v>
      </c>
      <c r="AS195" s="256">
        <v>2.6666666666666666E-3</v>
      </c>
      <c r="AT195" s="256"/>
      <c r="AW195" s="508"/>
      <c r="AX195" s="508"/>
      <c r="AY195" s="509"/>
      <c r="AZ195" s="509"/>
      <c r="BA195" s="509"/>
      <c r="BB195" s="510"/>
      <c r="BC195" s="509"/>
      <c r="BD195" s="509"/>
      <c r="BE195" s="509"/>
      <c r="BF195" s="509"/>
      <c r="BG195" s="510"/>
      <c r="BH195" s="510"/>
      <c r="BI195" s="511"/>
      <c r="BJ195" s="511"/>
      <c r="BK195" s="511"/>
      <c r="BL195" s="510"/>
      <c r="BM195" s="510"/>
      <c r="BN195" s="510"/>
      <c r="BO195" s="510"/>
      <c r="BP195" s="510"/>
      <c r="BQ195" s="510"/>
      <c r="BR195" s="510"/>
      <c r="BS195" s="510"/>
      <c r="BT195" s="513"/>
      <c r="BU195" s="514"/>
      <c r="BV195" s="512"/>
      <c r="BW195" s="515"/>
    </row>
    <row r="196" spans="2:75" ht="15.75" customHeight="1">
      <c r="B196" s="250" t="s">
        <v>737</v>
      </c>
      <c r="C196" s="251">
        <v>9720734000110</v>
      </c>
      <c r="D196" s="252" t="s">
        <v>11</v>
      </c>
      <c r="E196" s="252" t="s">
        <v>620</v>
      </c>
      <c r="F196" s="252" t="s">
        <v>663</v>
      </c>
      <c r="G196" s="253" t="s">
        <v>738</v>
      </c>
      <c r="H196" s="253" t="s">
        <v>34</v>
      </c>
      <c r="I196" s="253"/>
      <c r="J196" s="253" t="s">
        <v>608</v>
      </c>
      <c r="K196" s="254" t="s">
        <v>48</v>
      </c>
      <c r="L196" s="255"/>
      <c r="M196" s="255" t="s">
        <v>34</v>
      </c>
      <c r="N196" s="254">
        <v>216658</v>
      </c>
      <c r="O196" s="254" t="s">
        <v>1321</v>
      </c>
      <c r="P196" s="258">
        <v>39702</v>
      </c>
      <c r="Q196" s="259">
        <v>684045534.51999998</v>
      </c>
      <c r="R196" s="259">
        <v>638612874.14674568</v>
      </c>
      <c r="S196" s="254">
        <v>1</v>
      </c>
      <c r="T196" s="256">
        <v>8.758739299185625E-2</v>
      </c>
      <c r="U196" s="256">
        <v>1.1322593246329111</v>
      </c>
      <c r="V196" s="256">
        <v>0.12052902420139477</v>
      </c>
      <c r="W196" s="256">
        <v>1.1815874543257268</v>
      </c>
      <c r="X196" s="256">
        <v>0.15658886288038509</v>
      </c>
      <c r="Y196" s="256">
        <v>1.1874417932408992</v>
      </c>
      <c r="Z196" s="256">
        <v>0.1535154078532377</v>
      </c>
      <c r="AA196" s="256">
        <v>0.87263134613113047</v>
      </c>
      <c r="AB196" s="256">
        <v>5.0418813438807093E-3</v>
      </c>
      <c r="AC196" s="260">
        <v>3.3097104473724785</v>
      </c>
      <c r="AD196" s="405">
        <v>0</v>
      </c>
      <c r="AE196" s="257" t="s">
        <v>2132</v>
      </c>
      <c r="AF196" s="257" t="s">
        <v>2109</v>
      </c>
      <c r="AG196" s="261" t="s">
        <v>1432</v>
      </c>
      <c r="AH196" s="261" t="s">
        <v>2113</v>
      </c>
      <c r="AI196" s="261">
        <v>1000</v>
      </c>
      <c r="AJ196" s="261">
        <v>1000</v>
      </c>
      <c r="AK196" s="261">
        <v>500</v>
      </c>
      <c r="AL196" s="519">
        <v>4.0000000000000001E-3</v>
      </c>
      <c r="AM196" s="519" t="s">
        <v>34</v>
      </c>
      <c r="AN196" s="256" t="s">
        <v>64</v>
      </c>
      <c r="AO196" s="254" t="s">
        <v>1324</v>
      </c>
      <c r="AP196" s="257" t="s">
        <v>11</v>
      </c>
      <c r="AQ196" s="263" t="s">
        <v>669</v>
      </c>
      <c r="AR196" s="256">
        <v>1.0666666666666667E-3</v>
      </c>
      <c r="AS196" s="256">
        <v>1.0666666666666667E-3</v>
      </c>
      <c r="AT196" s="256"/>
      <c r="AW196" s="508"/>
      <c r="AX196" s="508"/>
      <c r="AY196" s="509"/>
      <c r="AZ196" s="509"/>
      <c r="BA196" s="509"/>
      <c r="BB196" s="510"/>
      <c r="BC196" s="509"/>
      <c r="BD196" s="509"/>
      <c r="BE196" s="509"/>
      <c r="BF196" s="509"/>
      <c r="BG196" s="510"/>
      <c r="BH196" s="510"/>
      <c r="BI196" s="511"/>
      <c r="BJ196" s="511"/>
      <c r="BK196" s="511"/>
      <c r="BL196" s="510"/>
      <c r="BM196" s="510"/>
      <c r="BN196" s="510"/>
      <c r="BO196" s="510"/>
      <c r="BP196" s="510"/>
      <c r="BQ196" s="510"/>
      <c r="BR196" s="510"/>
      <c r="BS196" s="510"/>
      <c r="BT196" s="513"/>
      <c r="BU196" s="514"/>
      <c r="BV196" s="512"/>
      <c r="BW196" s="515"/>
    </row>
    <row r="197" spans="2:75" ht="15.75" customHeight="1">
      <c r="B197" s="250" t="s">
        <v>80</v>
      </c>
      <c r="C197" s="251">
        <v>28504521000103</v>
      </c>
      <c r="D197" s="252" t="s">
        <v>11</v>
      </c>
      <c r="E197" s="252" t="s">
        <v>620</v>
      </c>
      <c r="F197" s="252" t="s">
        <v>663</v>
      </c>
      <c r="G197" s="253" t="s">
        <v>738</v>
      </c>
      <c r="H197" s="253" t="s">
        <v>34</v>
      </c>
      <c r="I197" s="253"/>
      <c r="J197" s="253" t="s">
        <v>608</v>
      </c>
      <c r="K197" s="254" t="s">
        <v>48</v>
      </c>
      <c r="L197" s="255"/>
      <c r="M197" s="255" t="s">
        <v>1414</v>
      </c>
      <c r="N197" s="254">
        <v>475696</v>
      </c>
      <c r="O197" s="254" t="s">
        <v>1321</v>
      </c>
      <c r="P197" s="258">
        <v>43368</v>
      </c>
      <c r="Q197" s="259">
        <v>401346609.35000002</v>
      </c>
      <c r="R197" s="259">
        <v>272517833.13757938</v>
      </c>
      <c r="S197" s="254">
        <v>1</v>
      </c>
      <c r="T197" s="256">
        <v>8.6389021628113127E-2</v>
      </c>
      <c r="U197" s="256">
        <v>1.1167677441140416</v>
      </c>
      <c r="V197" s="256">
        <v>0.11704831136158411</v>
      </c>
      <c r="W197" s="256">
        <v>1.1474648299132149</v>
      </c>
      <c r="X197" s="256">
        <v>0.17028302854268929</v>
      </c>
      <c r="Y197" s="256">
        <v>1.2912871391478165</v>
      </c>
      <c r="Z197" s="256">
        <v>0.20077818381667956</v>
      </c>
      <c r="AA197" s="256">
        <v>1.1412882867445511</v>
      </c>
      <c r="AB197" s="256">
        <v>2.8075864808123447E-3</v>
      </c>
      <c r="AC197" s="260">
        <v>4.8318848611713205</v>
      </c>
      <c r="AD197" s="405">
        <v>0</v>
      </c>
      <c r="AE197" s="257" t="s">
        <v>2136</v>
      </c>
      <c r="AF197" s="257" t="s">
        <v>2136</v>
      </c>
      <c r="AG197" s="261" t="s">
        <v>719</v>
      </c>
      <c r="AH197" s="261" t="s">
        <v>2113</v>
      </c>
      <c r="AI197" s="261">
        <v>1000</v>
      </c>
      <c r="AJ197" s="261">
        <v>0</v>
      </c>
      <c r="AK197" s="261">
        <v>0</v>
      </c>
      <c r="AL197" s="519">
        <v>4.0000000000000001E-3</v>
      </c>
      <c r="AM197" s="519" t="s">
        <v>34</v>
      </c>
      <c r="AN197" s="256" t="s">
        <v>64</v>
      </c>
      <c r="AO197" s="254" t="s">
        <v>1324</v>
      </c>
      <c r="AP197" s="257" t="s">
        <v>11</v>
      </c>
      <c r="AQ197" s="263" t="s">
        <v>1373</v>
      </c>
      <c r="AR197" s="256">
        <v>7.9999999999999993E-4</v>
      </c>
      <c r="AS197" s="256">
        <v>7.9999999999999993E-4</v>
      </c>
      <c r="AT197" s="256"/>
      <c r="AW197" s="508"/>
      <c r="AX197" s="508"/>
      <c r="AY197" s="509"/>
      <c r="AZ197" s="509"/>
      <c r="BA197" s="509"/>
      <c r="BB197" s="510"/>
      <c r="BC197" s="509"/>
      <c r="BD197" s="509"/>
      <c r="BE197" s="509"/>
      <c r="BF197" s="509"/>
      <c r="BG197" s="510"/>
      <c r="BH197" s="510"/>
      <c r="BI197" s="511"/>
      <c r="BJ197" s="511"/>
      <c r="BK197" s="511"/>
      <c r="BL197" s="510"/>
      <c r="BM197" s="510"/>
      <c r="BN197" s="510"/>
      <c r="BO197" s="510"/>
      <c r="BP197" s="510"/>
      <c r="BQ197" s="510"/>
      <c r="BR197" s="510"/>
      <c r="BS197" s="510"/>
      <c r="BT197" s="513"/>
      <c r="BU197" s="514"/>
      <c r="BV197" s="512"/>
      <c r="BW197" s="515"/>
    </row>
    <row r="198" spans="2:75" ht="15.75" customHeight="1">
      <c r="B198" s="250" t="s">
        <v>760</v>
      </c>
      <c r="C198" s="251">
        <v>8815380000124</v>
      </c>
      <c r="D198" s="252" t="s">
        <v>11</v>
      </c>
      <c r="E198" s="252" t="s">
        <v>620</v>
      </c>
      <c r="F198" s="252" t="s">
        <v>663</v>
      </c>
      <c r="G198" s="253" t="s">
        <v>738</v>
      </c>
      <c r="H198" s="253" t="s">
        <v>34</v>
      </c>
      <c r="I198" s="253"/>
      <c r="J198" s="253" t="s">
        <v>608</v>
      </c>
      <c r="K198" s="254" t="s">
        <v>48</v>
      </c>
      <c r="L198" s="255"/>
      <c r="M198" s="255" t="s">
        <v>1414</v>
      </c>
      <c r="N198" s="254">
        <v>187941</v>
      </c>
      <c r="O198" s="254" t="s">
        <v>1321</v>
      </c>
      <c r="P198" s="258">
        <v>39265</v>
      </c>
      <c r="Q198" s="259">
        <v>6460762.4800000004</v>
      </c>
      <c r="R198" s="259">
        <v>6905246.0776190525</v>
      </c>
      <c r="S198" s="254">
        <v>1</v>
      </c>
      <c r="T198" s="256">
        <v>5.967927045362087E-2</v>
      </c>
      <c r="U198" s="256">
        <v>0.77148557743560642</v>
      </c>
      <c r="V198" s="256">
        <v>6.3764022242158491E-2</v>
      </c>
      <c r="W198" s="256">
        <v>0.62510062798475063</v>
      </c>
      <c r="X198" s="256">
        <v>9.8328936943589129E-2</v>
      </c>
      <c r="Y198" s="256">
        <v>0.7456461913319925</v>
      </c>
      <c r="Z198" s="256">
        <v>0.14438539981287146</v>
      </c>
      <c r="AA198" s="256">
        <v>0.82073342058824628</v>
      </c>
      <c r="AB198" s="256">
        <v>2.1498032751792788E-2</v>
      </c>
      <c r="AC198" s="260">
        <v>-1.6327408692923959</v>
      </c>
      <c r="AD198" s="405">
        <v>0</v>
      </c>
      <c r="AE198" s="257" t="s">
        <v>2145</v>
      </c>
      <c r="AF198" s="257" t="s">
        <v>761</v>
      </c>
      <c r="AG198" s="261" t="s">
        <v>761</v>
      </c>
      <c r="AH198" s="261" t="s">
        <v>2113</v>
      </c>
      <c r="AI198" s="261">
        <v>1000</v>
      </c>
      <c r="AJ198" s="261">
        <v>1000</v>
      </c>
      <c r="AK198" s="261">
        <v>1000</v>
      </c>
      <c r="AL198" s="519">
        <v>1.2500000000000001E-2</v>
      </c>
      <c r="AM198" s="519">
        <v>0.2</v>
      </c>
      <c r="AN198" s="256" t="s">
        <v>64</v>
      </c>
      <c r="AO198" s="254" t="s">
        <v>1324</v>
      </c>
      <c r="AP198" s="257" t="s">
        <v>13</v>
      </c>
      <c r="AQ198" s="263" t="s">
        <v>668</v>
      </c>
      <c r="AR198" s="256" t="s">
        <v>34</v>
      </c>
      <c r="AS198" s="256" t="s">
        <v>34</v>
      </c>
      <c r="AT198" s="256"/>
      <c r="AW198" s="508"/>
      <c r="AX198" s="508"/>
      <c r="AY198" s="509"/>
      <c r="AZ198" s="509"/>
      <c r="BA198" s="509"/>
      <c r="BB198" s="510"/>
      <c r="BC198" s="509"/>
      <c r="BD198" s="509"/>
      <c r="BE198" s="509"/>
      <c r="BF198" s="509"/>
      <c r="BG198" s="510"/>
      <c r="BH198" s="510"/>
      <c r="BI198" s="511"/>
      <c r="BJ198" s="511"/>
      <c r="BK198" s="511"/>
      <c r="BL198" s="510"/>
      <c r="BM198" s="510"/>
      <c r="BN198" s="510"/>
      <c r="BO198" s="510"/>
      <c r="BP198" s="510"/>
      <c r="BQ198" s="510"/>
      <c r="BR198" s="510"/>
      <c r="BS198" s="510"/>
      <c r="BT198" s="513"/>
      <c r="BU198" s="514"/>
      <c r="BV198" s="512"/>
      <c r="BW198" s="515"/>
    </row>
    <row r="199" spans="2:75" ht="15.75" customHeight="1">
      <c r="B199" s="250" t="s">
        <v>781</v>
      </c>
      <c r="C199" s="251">
        <v>17627210000107</v>
      </c>
      <c r="D199" s="252" t="s">
        <v>11</v>
      </c>
      <c r="E199" s="252" t="s">
        <v>620</v>
      </c>
      <c r="F199" s="252" t="s">
        <v>663</v>
      </c>
      <c r="G199" s="253" t="s">
        <v>738</v>
      </c>
      <c r="H199" s="253" t="s">
        <v>34</v>
      </c>
      <c r="I199" s="253"/>
      <c r="J199" s="253" t="s">
        <v>608</v>
      </c>
      <c r="K199" s="254" t="s">
        <v>48</v>
      </c>
      <c r="L199" s="255"/>
      <c r="M199" s="255" t="s">
        <v>1414</v>
      </c>
      <c r="N199" s="254">
        <v>375322</v>
      </c>
      <c r="O199" s="254" t="s">
        <v>1321</v>
      </c>
      <c r="P199" s="258">
        <v>41460</v>
      </c>
      <c r="Q199" s="259">
        <v>166153255.49000001</v>
      </c>
      <c r="R199" s="259">
        <v>173232125.05115083</v>
      </c>
      <c r="S199" s="254">
        <v>1</v>
      </c>
      <c r="T199" s="256">
        <v>8.2298965477876518E-2</v>
      </c>
      <c r="U199" s="256">
        <v>1.0638947899571782</v>
      </c>
      <c r="V199" s="256">
        <v>0.11011465859230785</v>
      </c>
      <c r="W199" s="256">
        <v>1.0794918484748333</v>
      </c>
      <c r="X199" s="256">
        <v>0.15111685549501574</v>
      </c>
      <c r="Y199" s="256">
        <v>1.1459465671897726</v>
      </c>
      <c r="Z199" s="256">
        <v>0.19365280596030665</v>
      </c>
      <c r="AA199" s="256">
        <v>1.1007853290450611</v>
      </c>
      <c r="AB199" s="256">
        <v>1.6564605559546131E-3</v>
      </c>
      <c r="AC199" s="260">
        <v>4.4276665221036069</v>
      </c>
      <c r="AD199" s="405">
        <v>23225882000199</v>
      </c>
      <c r="AE199" s="257" t="s">
        <v>2157</v>
      </c>
      <c r="AF199" s="257" t="s">
        <v>2109</v>
      </c>
      <c r="AG199" s="261" t="s">
        <v>1432</v>
      </c>
      <c r="AH199" s="261" t="s">
        <v>2110</v>
      </c>
      <c r="AI199" s="261">
        <v>1000</v>
      </c>
      <c r="AJ199" s="261">
        <v>1000</v>
      </c>
      <c r="AK199" s="261">
        <v>1000</v>
      </c>
      <c r="AL199" s="519">
        <v>5.0000000000000001E-3</v>
      </c>
      <c r="AM199" s="519">
        <v>0.15</v>
      </c>
      <c r="AN199" s="256" t="s">
        <v>34</v>
      </c>
      <c r="AO199" s="254" t="s">
        <v>1324</v>
      </c>
      <c r="AP199" s="257" t="s">
        <v>11</v>
      </c>
      <c r="AQ199" s="263" t="s">
        <v>675</v>
      </c>
      <c r="AR199" s="256" t="s">
        <v>34</v>
      </c>
      <c r="AS199" s="256" t="s">
        <v>34</v>
      </c>
      <c r="AT199" s="256"/>
      <c r="AW199" s="508"/>
      <c r="AX199" s="508"/>
      <c r="AY199" s="509"/>
      <c r="AZ199" s="509"/>
      <c r="BA199" s="509"/>
      <c r="BB199" s="509"/>
      <c r="BC199" s="509"/>
      <c r="BD199" s="509"/>
      <c r="BE199" s="509"/>
      <c r="BF199" s="509"/>
      <c r="BG199" s="510"/>
      <c r="BH199" s="510"/>
      <c r="BI199" s="511"/>
      <c r="BJ199" s="511"/>
      <c r="BK199" s="511"/>
      <c r="BL199" s="195"/>
      <c r="BM199" s="510"/>
      <c r="BN199" s="510"/>
      <c r="BO199" s="510"/>
      <c r="BP199" s="510"/>
      <c r="BQ199" s="510"/>
      <c r="BR199" s="510"/>
      <c r="BS199" s="510"/>
      <c r="BT199" s="510"/>
      <c r="BU199" s="510"/>
      <c r="BV199" s="512"/>
      <c r="BW199" s="509"/>
    </row>
    <row r="200" spans="2:75" ht="15.75" customHeight="1">
      <c r="B200" s="250" t="s">
        <v>787</v>
      </c>
      <c r="C200" s="251">
        <v>23556185000110</v>
      </c>
      <c r="D200" s="252" t="s">
        <v>11</v>
      </c>
      <c r="E200" s="252" t="s">
        <v>620</v>
      </c>
      <c r="F200" s="252" t="s">
        <v>663</v>
      </c>
      <c r="G200" s="253" t="s">
        <v>738</v>
      </c>
      <c r="H200" s="253" t="s">
        <v>34</v>
      </c>
      <c r="I200" s="253"/>
      <c r="J200" s="253" t="s">
        <v>608</v>
      </c>
      <c r="K200" s="254" t="s">
        <v>48</v>
      </c>
      <c r="L200" s="255"/>
      <c r="M200" s="255" t="s">
        <v>34</v>
      </c>
      <c r="N200" s="254">
        <v>412449</v>
      </c>
      <c r="O200" s="254" t="s">
        <v>1321</v>
      </c>
      <c r="P200" s="258">
        <v>42349</v>
      </c>
      <c r="Q200" s="259">
        <v>2945408411.1500001</v>
      </c>
      <c r="R200" s="259">
        <v>2559284001.9100413</v>
      </c>
      <c r="S200" s="254">
        <v>1</v>
      </c>
      <c r="T200" s="256">
        <v>8.4438826907685893E-2</v>
      </c>
      <c r="U200" s="256">
        <v>1.0915571963214052</v>
      </c>
      <c r="V200" s="256">
        <v>0.11345599280493701</v>
      </c>
      <c r="W200" s="256">
        <v>1.1122480962957315</v>
      </c>
      <c r="X200" s="256">
        <v>0.17237983815575442</v>
      </c>
      <c r="Y200" s="256">
        <v>1.3071876273512766</v>
      </c>
      <c r="Z200" s="256">
        <v>0.17156283109520931</v>
      </c>
      <c r="AA200" s="256">
        <v>0.97521875060127916</v>
      </c>
      <c r="AB200" s="256">
        <v>1.7446514852788449E-3</v>
      </c>
      <c r="AC200" s="260">
        <v>5.9272856670421392</v>
      </c>
      <c r="AD200" s="405">
        <v>23556204000109</v>
      </c>
      <c r="AE200" s="257" t="s">
        <v>2164</v>
      </c>
      <c r="AF200" s="257" t="s">
        <v>2118</v>
      </c>
      <c r="AG200" s="261" t="s">
        <v>1433</v>
      </c>
      <c r="AH200" s="261" t="s">
        <v>2113</v>
      </c>
      <c r="AI200" s="261">
        <v>5000</v>
      </c>
      <c r="AJ200" s="261">
        <v>2500</v>
      </c>
      <c r="AK200" s="261">
        <v>5000</v>
      </c>
      <c r="AL200" s="519">
        <v>4.0000000000000001E-3</v>
      </c>
      <c r="AM200" s="519" t="s">
        <v>34</v>
      </c>
      <c r="AN200" s="256" t="s">
        <v>64</v>
      </c>
      <c r="AO200" s="254" t="s">
        <v>1324</v>
      </c>
      <c r="AP200" s="257" t="s">
        <v>11</v>
      </c>
      <c r="AQ200" s="263" t="s">
        <v>669</v>
      </c>
      <c r="AR200" s="256">
        <v>1.08E-3</v>
      </c>
      <c r="AS200" s="256">
        <v>1.08E-3</v>
      </c>
      <c r="AT200" s="256"/>
      <c r="AW200" s="508"/>
      <c r="AX200" s="508"/>
      <c r="AY200" s="509"/>
      <c r="AZ200" s="509"/>
      <c r="BA200" s="509"/>
      <c r="BB200" s="509"/>
      <c r="BC200" s="509"/>
      <c r="BD200" s="509"/>
      <c r="BE200" s="509"/>
      <c r="BF200" s="509"/>
      <c r="BG200" s="510"/>
      <c r="BH200" s="510"/>
      <c r="BI200" s="511"/>
      <c r="BJ200" s="511"/>
      <c r="BK200" s="511"/>
      <c r="BL200" s="195"/>
      <c r="BM200" s="510"/>
      <c r="BN200" s="510"/>
      <c r="BO200" s="510"/>
      <c r="BP200" s="510"/>
      <c r="BQ200" s="510"/>
      <c r="BR200" s="510"/>
      <c r="BS200" s="510"/>
      <c r="BT200" s="510"/>
      <c r="BU200" s="510"/>
      <c r="BV200" s="512"/>
      <c r="BW200" s="509"/>
    </row>
    <row r="201" spans="2:75" ht="15.75" customHeight="1">
      <c r="B201" s="250" t="s">
        <v>1378</v>
      </c>
      <c r="C201" s="251">
        <v>16599968000116</v>
      </c>
      <c r="D201" s="252" t="s">
        <v>11</v>
      </c>
      <c r="E201" s="252" t="s">
        <v>620</v>
      </c>
      <c r="F201" s="252" t="s">
        <v>663</v>
      </c>
      <c r="G201" s="253" t="s">
        <v>738</v>
      </c>
      <c r="H201" s="253" t="s">
        <v>34</v>
      </c>
      <c r="I201" s="253"/>
      <c r="J201" s="253" t="s">
        <v>608</v>
      </c>
      <c r="K201" s="254" t="s">
        <v>48</v>
      </c>
      <c r="L201" s="255"/>
      <c r="M201" s="255" t="s">
        <v>34</v>
      </c>
      <c r="N201" s="254">
        <v>314331</v>
      </c>
      <c r="O201" s="254" t="s">
        <v>1321</v>
      </c>
      <c r="P201" s="258">
        <v>41172</v>
      </c>
      <c r="Q201" s="259">
        <v>29261872.57</v>
      </c>
      <c r="R201" s="259">
        <v>61767361.294523828</v>
      </c>
      <c r="S201" s="254">
        <v>1</v>
      </c>
      <c r="T201" s="256">
        <v>5.6608086839499805E-2</v>
      </c>
      <c r="U201" s="256">
        <v>0.73178378741804417</v>
      </c>
      <c r="V201" s="256">
        <v>7.0502911527797973E-2</v>
      </c>
      <c r="W201" s="256">
        <v>0.69116427604595776</v>
      </c>
      <c r="X201" s="256">
        <v>6.7193390385681173E-2</v>
      </c>
      <c r="Y201" s="256">
        <v>0.50953968568286745</v>
      </c>
      <c r="Z201" s="256">
        <v>0.12786458418514046</v>
      </c>
      <c r="AA201" s="256">
        <v>0.72682374870571109</v>
      </c>
      <c r="AB201" s="256">
        <v>1.4664445129234574E-2</v>
      </c>
      <c r="AC201" s="260">
        <v>-1.9712467031433543</v>
      </c>
      <c r="AD201" s="405">
        <v>16802143000157</v>
      </c>
      <c r="AE201" s="257" t="s">
        <v>2164</v>
      </c>
      <c r="AF201" s="257" t="s">
        <v>2115</v>
      </c>
      <c r="AG201" s="261" t="s">
        <v>719</v>
      </c>
      <c r="AH201" s="261" t="s">
        <v>2113</v>
      </c>
      <c r="AI201" s="261">
        <v>1000</v>
      </c>
      <c r="AJ201" s="261">
        <v>1000</v>
      </c>
      <c r="AK201" s="261">
        <v>1000</v>
      </c>
      <c r="AL201" s="256">
        <v>0.01</v>
      </c>
      <c r="AM201" s="256">
        <v>0.2</v>
      </c>
      <c r="AN201" s="256" t="s">
        <v>64</v>
      </c>
      <c r="AO201" s="254" t="s">
        <v>1324</v>
      </c>
      <c r="AP201" s="257" t="s">
        <v>11</v>
      </c>
      <c r="AQ201" s="263" t="s">
        <v>669</v>
      </c>
      <c r="AR201" s="256">
        <v>2.5000000000000001E-3</v>
      </c>
      <c r="AS201" s="256">
        <v>2.5000000000000001E-3</v>
      </c>
      <c r="AT201" s="256"/>
      <c r="AW201" s="508"/>
      <c r="AX201" s="508"/>
      <c r="AY201" s="509"/>
      <c r="AZ201" s="509"/>
      <c r="BA201" s="509"/>
      <c r="BB201" s="510"/>
      <c r="BC201" s="509"/>
      <c r="BD201" s="509"/>
      <c r="BE201" s="509"/>
      <c r="BF201" s="509"/>
      <c r="BG201" s="510"/>
      <c r="BH201" s="510"/>
      <c r="BI201" s="511"/>
      <c r="BJ201" s="511"/>
      <c r="BK201" s="511"/>
      <c r="BL201" s="510"/>
      <c r="BM201" s="510"/>
      <c r="BN201" s="510"/>
      <c r="BO201" s="510"/>
      <c r="BP201" s="510"/>
      <c r="BQ201" s="510"/>
      <c r="BR201" s="510"/>
      <c r="BS201" s="510"/>
      <c r="BT201" s="513"/>
      <c r="BU201" s="514"/>
      <c r="BV201" s="512"/>
      <c r="BW201" s="515"/>
    </row>
    <row r="202" spans="2:75" ht="15.75" customHeight="1">
      <c r="B202" s="250" t="s">
        <v>811</v>
      </c>
      <c r="C202" s="251">
        <v>2539921000152</v>
      </c>
      <c r="D202" s="252" t="s">
        <v>11</v>
      </c>
      <c r="E202" s="252" t="s">
        <v>620</v>
      </c>
      <c r="F202" s="252" t="s">
        <v>663</v>
      </c>
      <c r="G202" s="253" t="s">
        <v>738</v>
      </c>
      <c r="H202" s="253" t="s">
        <v>34</v>
      </c>
      <c r="I202" s="253" t="s">
        <v>1304</v>
      </c>
      <c r="J202" s="253" t="s">
        <v>608</v>
      </c>
      <c r="K202" s="254" t="s">
        <v>48</v>
      </c>
      <c r="L202" s="255"/>
      <c r="M202" s="255" t="s">
        <v>34</v>
      </c>
      <c r="N202" s="254">
        <v>56448</v>
      </c>
      <c r="O202" s="254" t="s">
        <v>1321</v>
      </c>
      <c r="P202" s="258">
        <v>35971</v>
      </c>
      <c r="Q202" s="259">
        <v>200613335.31</v>
      </c>
      <c r="R202" s="259">
        <v>245201934.37575376</v>
      </c>
      <c r="S202" s="254">
        <v>1</v>
      </c>
      <c r="T202" s="256">
        <v>7.9533301100455533E-2</v>
      </c>
      <c r="U202" s="256">
        <v>1.0281425067441006</v>
      </c>
      <c r="V202" s="256">
        <v>0.10325257352867023</v>
      </c>
      <c r="W202" s="256">
        <v>1.0122204698551733</v>
      </c>
      <c r="X202" s="256">
        <v>0.13257337687783255</v>
      </c>
      <c r="Y202" s="256">
        <v>1.0053280002171499</v>
      </c>
      <c r="Z202" s="256">
        <v>0.18292153592415095</v>
      </c>
      <c r="AA202" s="256">
        <v>1.0397853112077653</v>
      </c>
      <c r="AB202" s="256">
        <v>7.5372799731017182E-3</v>
      </c>
      <c r="AC202" s="260">
        <v>0.15364609590869749</v>
      </c>
      <c r="AD202" s="405">
        <v>0</v>
      </c>
      <c r="AE202" s="257" t="s">
        <v>2128</v>
      </c>
      <c r="AF202" s="257" t="s">
        <v>728</v>
      </c>
      <c r="AG202" s="261" t="s">
        <v>728</v>
      </c>
      <c r="AH202" s="261" t="s">
        <v>2113</v>
      </c>
      <c r="AI202" s="261">
        <v>300</v>
      </c>
      <c r="AJ202" s="261">
        <v>100</v>
      </c>
      <c r="AK202" s="261">
        <v>100</v>
      </c>
      <c r="AL202" s="256">
        <v>5.1999999999999998E-3</v>
      </c>
      <c r="AM202" s="256" t="s">
        <v>34</v>
      </c>
      <c r="AN202" s="256" t="s">
        <v>34</v>
      </c>
      <c r="AO202" s="254" t="s">
        <v>1324</v>
      </c>
      <c r="AP202" s="257" t="s">
        <v>11</v>
      </c>
      <c r="AQ202" s="263" t="s">
        <v>662</v>
      </c>
      <c r="AR202" s="256">
        <v>1.6639999999999999E-3</v>
      </c>
      <c r="AS202" s="256">
        <v>1.6639999999999999E-3</v>
      </c>
      <c r="AT202" s="256"/>
      <c r="AW202" s="508"/>
      <c r="AX202" s="508"/>
      <c r="AY202" s="509"/>
      <c r="AZ202" s="509"/>
      <c r="BA202" s="509"/>
      <c r="BB202" s="510"/>
      <c r="BC202" s="509"/>
      <c r="BD202" s="509"/>
      <c r="BE202" s="509"/>
      <c r="BF202" s="509"/>
      <c r="BG202" s="510"/>
      <c r="BH202" s="510"/>
      <c r="BI202" s="511"/>
      <c r="BJ202" s="511"/>
      <c r="BK202" s="511"/>
      <c r="BL202" s="510"/>
      <c r="BM202" s="510"/>
      <c r="BN202" s="510"/>
      <c r="BO202" s="510"/>
      <c r="BP202" s="510"/>
      <c r="BQ202" s="510"/>
      <c r="BR202" s="510"/>
      <c r="BS202" s="510"/>
      <c r="BT202" s="513"/>
      <c r="BU202" s="514"/>
      <c r="BV202" s="512"/>
      <c r="BW202" s="515"/>
    </row>
    <row r="203" spans="2:75" ht="15.75" customHeight="1">
      <c r="B203" s="250" t="s">
        <v>813</v>
      </c>
      <c r="C203" s="251">
        <v>5862906000139</v>
      </c>
      <c r="D203" s="252" t="s">
        <v>11</v>
      </c>
      <c r="E203" s="252" t="s">
        <v>620</v>
      </c>
      <c r="F203" s="252" t="s">
        <v>663</v>
      </c>
      <c r="G203" s="253" t="s">
        <v>738</v>
      </c>
      <c r="H203" s="253" t="s">
        <v>34</v>
      </c>
      <c r="I203" s="253"/>
      <c r="J203" s="253" t="s">
        <v>608</v>
      </c>
      <c r="K203" s="254" t="s">
        <v>48</v>
      </c>
      <c r="L203" s="255"/>
      <c r="M203" s="255" t="s">
        <v>34</v>
      </c>
      <c r="N203" s="254">
        <v>143529</v>
      </c>
      <c r="O203" s="254" t="s">
        <v>1321</v>
      </c>
      <c r="P203" s="258">
        <v>38502</v>
      </c>
      <c r="Q203" s="259">
        <v>408124332.89999998</v>
      </c>
      <c r="R203" s="259">
        <v>476743191.26055598</v>
      </c>
      <c r="S203" s="254">
        <v>1</v>
      </c>
      <c r="T203" s="256">
        <v>8.3387587799053753E-2</v>
      </c>
      <c r="U203" s="256">
        <v>1.0779676231818303</v>
      </c>
      <c r="V203" s="256">
        <v>0.11272098923649243</v>
      </c>
      <c r="W203" s="256">
        <v>1.1050426036676024</v>
      </c>
      <c r="X203" s="256">
        <v>0.15309574276991267</v>
      </c>
      <c r="Y203" s="256">
        <v>1.1609528288810667</v>
      </c>
      <c r="Z203" s="256">
        <v>0.18199696102350216</v>
      </c>
      <c r="AA203" s="256">
        <v>1.0345297277361472</v>
      </c>
      <c r="AB203" s="256">
        <v>1.6326311324063381E-3</v>
      </c>
      <c r="AC203" s="260">
        <v>5.9292331292113847</v>
      </c>
      <c r="AD203" s="405">
        <v>0</v>
      </c>
      <c r="AE203" s="257" t="s">
        <v>2128</v>
      </c>
      <c r="AF203" s="257" t="s">
        <v>728</v>
      </c>
      <c r="AG203" s="261" t="s">
        <v>728</v>
      </c>
      <c r="AH203" s="261" t="s">
        <v>2113</v>
      </c>
      <c r="AI203" s="261">
        <v>5000</v>
      </c>
      <c r="AJ203" s="261">
        <v>200</v>
      </c>
      <c r="AK203" s="261">
        <v>0</v>
      </c>
      <c r="AL203" s="256">
        <v>3.4000000000000002E-3</v>
      </c>
      <c r="AM203" s="256" t="s">
        <v>34</v>
      </c>
      <c r="AN203" s="256" t="s">
        <v>34</v>
      </c>
      <c r="AO203" s="254" t="s">
        <v>1324</v>
      </c>
      <c r="AP203" s="257" t="s">
        <v>11</v>
      </c>
      <c r="AQ203" s="263" t="s">
        <v>662</v>
      </c>
      <c r="AR203" s="256">
        <v>1.088E-3</v>
      </c>
      <c r="AS203" s="256">
        <v>1.088E-3</v>
      </c>
      <c r="AT203" s="256"/>
      <c r="AW203" s="508"/>
      <c r="AX203" s="508"/>
      <c r="AY203" s="509"/>
      <c r="AZ203" s="509"/>
      <c r="BA203" s="509"/>
      <c r="BB203" s="510"/>
      <c r="BC203" s="509"/>
      <c r="BD203" s="509"/>
      <c r="BE203" s="509"/>
      <c r="BF203" s="509"/>
      <c r="BG203" s="510"/>
      <c r="BH203" s="510"/>
      <c r="BI203" s="511"/>
      <c r="BJ203" s="511"/>
      <c r="BK203" s="511"/>
      <c r="BL203" s="510"/>
      <c r="BM203" s="510"/>
      <c r="BN203" s="510"/>
      <c r="BO203" s="510"/>
      <c r="BP203" s="510"/>
      <c r="BQ203" s="510"/>
      <c r="BR203" s="510"/>
      <c r="BS203" s="510"/>
      <c r="BT203" s="513"/>
      <c r="BU203" s="514"/>
      <c r="BV203" s="512"/>
      <c r="BW203" s="515"/>
    </row>
    <row r="204" spans="2:75" ht="15.75" customHeight="1">
      <c r="B204" s="250" t="s">
        <v>138</v>
      </c>
      <c r="C204" s="251">
        <v>15350679000116</v>
      </c>
      <c r="D204" s="252" t="s">
        <v>11</v>
      </c>
      <c r="E204" s="252" t="s">
        <v>620</v>
      </c>
      <c r="F204" s="252" t="s">
        <v>663</v>
      </c>
      <c r="G204" s="253" t="s">
        <v>738</v>
      </c>
      <c r="H204" s="253" t="s">
        <v>34</v>
      </c>
      <c r="I204" s="253" t="s">
        <v>1304</v>
      </c>
      <c r="J204" s="253" t="s">
        <v>608</v>
      </c>
      <c r="K204" s="254" t="s">
        <v>48</v>
      </c>
      <c r="L204" s="255"/>
      <c r="M204" s="255" t="s">
        <v>1414</v>
      </c>
      <c r="N204" s="254">
        <v>305121</v>
      </c>
      <c r="O204" s="254" t="s">
        <v>1321</v>
      </c>
      <c r="P204" s="258">
        <v>41058</v>
      </c>
      <c r="Q204" s="259">
        <v>250220906.84</v>
      </c>
      <c r="R204" s="259">
        <v>219649515.07746032</v>
      </c>
      <c r="S204" s="254">
        <v>1</v>
      </c>
      <c r="T204" s="256">
        <v>8.0638838689314873E-2</v>
      </c>
      <c r="U204" s="256">
        <v>1.0424340069356242</v>
      </c>
      <c r="V204" s="256">
        <v>0.10717533783403033</v>
      </c>
      <c r="W204" s="256">
        <v>1.0506766767331566</v>
      </c>
      <c r="X204" s="256">
        <v>0.14400042693018356</v>
      </c>
      <c r="Y204" s="256">
        <v>1.0919813966083238</v>
      </c>
      <c r="Z204" s="256">
        <v>0.16263068153856475</v>
      </c>
      <c r="AA204" s="256">
        <v>0.92444551682326703</v>
      </c>
      <c r="AB204" s="256">
        <v>1.564646651573355E-3</v>
      </c>
      <c r="AC204" s="260">
        <v>2.9922076980516374</v>
      </c>
      <c r="AD204" s="405">
        <v>0</v>
      </c>
      <c r="AE204" s="257" t="s">
        <v>2183</v>
      </c>
      <c r="AF204" s="257" t="s">
        <v>2118</v>
      </c>
      <c r="AG204" s="261" t="s">
        <v>1433</v>
      </c>
      <c r="AH204" s="261" t="s">
        <v>2113</v>
      </c>
      <c r="AI204" s="261">
        <v>3000</v>
      </c>
      <c r="AJ204" s="261">
        <v>100</v>
      </c>
      <c r="AK204" s="261">
        <v>100</v>
      </c>
      <c r="AL204" s="256">
        <v>2.5000000000000001E-3</v>
      </c>
      <c r="AM204" s="256" t="s">
        <v>34</v>
      </c>
      <c r="AN204" s="256" t="s">
        <v>64</v>
      </c>
      <c r="AO204" s="254" t="s">
        <v>1324</v>
      </c>
      <c r="AP204" s="257" t="s">
        <v>11</v>
      </c>
      <c r="AQ204" s="263" t="s">
        <v>669</v>
      </c>
      <c r="AR204" s="256">
        <v>6.2500000000000001E-4</v>
      </c>
      <c r="AS204" s="256">
        <v>6.2500000000000001E-4</v>
      </c>
      <c r="AT204" s="256"/>
      <c r="AW204" s="508"/>
      <c r="AX204" s="508"/>
      <c r="AY204" s="509"/>
      <c r="AZ204" s="509"/>
      <c r="BA204" s="509"/>
      <c r="BB204" s="510"/>
      <c r="BC204" s="509"/>
      <c r="BD204" s="509"/>
      <c r="BE204" s="509"/>
      <c r="BF204" s="509"/>
      <c r="BG204" s="510"/>
      <c r="BH204" s="510"/>
      <c r="BI204" s="511"/>
      <c r="BJ204" s="511"/>
      <c r="BK204" s="511"/>
      <c r="BL204" s="195"/>
      <c r="BM204" s="510"/>
      <c r="BN204" s="510"/>
      <c r="BO204" s="510"/>
      <c r="BP204" s="510"/>
      <c r="BQ204" s="510"/>
      <c r="BR204" s="510"/>
      <c r="BS204" s="510"/>
      <c r="BT204" s="513"/>
      <c r="BU204" s="514"/>
      <c r="BV204" s="512"/>
      <c r="BW204" s="515"/>
    </row>
    <row r="205" spans="2:75" ht="15.75" customHeight="1">
      <c r="B205" s="250" t="s">
        <v>881</v>
      </c>
      <c r="C205" s="251">
        <v>22344843000148</v>
      </c>
      <c r="D205" s="252" t="s">
        <v>11</v>
      </c>
      <c r="E205" s="252" t="s">
        <v>620</v>
      </c>
      <c r="F205" s="252" t="s">
        <v>663</v>
      </c>
      <c r="G205" s="253" t="s">
        <v>738</v>
      </c>
      <c r="H205" s="253" t="s">
        <v>34</v>
      </c>
      <c r="I205" s="253"/>
      <c r="J205" s="253" t="s">
        <v>608</v>
      </c>
      <c r="K205" s="254" t="s">
        <v>48</v>
      </c>
      <c r="L205" s="255"/>
      <c r="M205" s="255" t="s">
        <v>34</v>
      </c>
      <c r="N205" s="254">
        <v>412570</v>
      </c>
      <c r="O205" s="254" t="s">
        <v>1321</v>
      </c>
      <c r="P205" s="258">
        <v>42338</v>
      </c>
      <c r="Q205" s="259">
        <v>117397988.31</v>
      </c>
      <c r="R205" s="259">
        <v>104405714.34515879</v>
      </c>
      <c r="S205" s="254">
        <v>1</v>
      </c>
      <c r="T205" s="256">
        <v>8.9309748506498421E-2</v>
      </c>
      <c r="U205" s="256">
        <v>1.154524550542396</v>
      </c>
      <c r="V205" s="256">
        <v>0.12408449565726642</v>
      </c>
      <c r="W205" s="256">
        <v>1.2164429631486593</v>
      </c>
      <c r="X205" s="256">
        <v>0.1603520015519424</v>
      </c>
      <c r="Y205" s="256">
        <v>1.2159783574011587</v>
      </c>
      <c r="Z205" s="256">
        <v>0.16773865972328661</v>
      </c>
      <c r="AA205" s="256">
        <v>0.95348092077179825</v>
      </c>
      <c r="AB205" s="256">
        <v>5.9410408538221205E-3</v>
      </c>
      <c r="AC205" s="260">
        <v>3.343109521396245</v>
      </c>
      <c r="AD205" s="405">
        <v>23225888000166</v>
      </c>
      <c r="AE205" s="257" t="s">
        <v>2193</v>
      </c>
      <c r="AF205" s="257" t="s">
        <v>2109</v>
      </c>
      <c r="AG205" s="261" t="s">
        <v>1432</v>
      </c>
      <c r="AH205" s="261" t="s">
        <v>2113</v>
      </c>
      <c r="AI205" s="261">
        <v>100</v>
      </c>
      <c r="AJ205" s="261">
        <v>0</v>
      </c>
      <c r="AK205" s="261">
        <v>0</v>
      </c>
      <c r="AL205" s="256">
        <v>5.0000000000000001E-3</v>
      </c>
      <c r="AM205" s="256" t="s">
        <v>34</v>
      </c>
      <c r="AN205" s="256" t="s">
        <v>34</v>
      </c>
      <c r="AO205" s="254" t="s">
        <v>1324</v>
      </c>
      <c r="AP205" s="257" t="s">
        <v>11</v>
      </c>
      <c r="AQ205" s="263" t="s">
        <v>669</v>
      </c>
      <c r="AR205" s="256">
        <v>1.1666666666666665E-3</v>
      </c>
      <c r="AS205" s="256">
        <v>1.1666666666666665E-3</v>
      </c>
      <c r="AT205" s="256"/>
      <c r="AW205" s="508"/>
      <c r="AX205" s="508"/>
      <c r="AY205" s="509"/>
      <c r="AZ205" s="509"/>
      <c r="BA205" s="509"/>
      <c r="BB205" s="510"/>
      <c r="BC205" s="509"/>
      <c r="BD205" s="509"/>
      <c r="BE205" s="509"/>
      <c r="BF205" s="509"/>
      <c r="BG205" s="510"/>
      <c r="BH205" s="510"/>
      <c r="BI205" s="511"/>
      <c r="BJ205" s="511"/>
      <c r="BK205" s="511"/>
      <c r="BL205" s="195"/>
      <c r="BM205" s="510"/>
      <c r="BN205" s="510"/>
      <c r="BO205" s="510"/>
      <c r="BP205" s="510"/>
      <c r="BQ205" s="510"/>
      <c r="BR205" s="510"/>
      <c r="BS205" s="510"/>
      <c r="BT205" s="513"/>
      <c r="BU205" s="514"/>
      <c r="BV205" s="512"/>
      <c r="BW205" s="515"/>
    </row>
    <row r="206" spans="2:75" ht="15.75" customHeight="1">
      <c r="B206" s="250" t="s">
        <v>1389</v>
      </c>
      <c r="C206" s="251">
        <v>836263000135</v>
      </c>
      <c r="D206" s="252" t="s">
        <v>11</v>
      </c>
      <c r="E206" s="252" t="s">
        <v>620</v>
      </c>
      <c r="F206" s="252" t="s">
        <v>663</v>
      </c>
      <c r="G206" s="253" t="s">
        <v>738</v>
      </c>
      <c r="H206" s="253" t="s">
        <v>34</v>
      </c>
      <c r="I206" s="253" t="s">
        <v>1304</v>
      </c>
      <c r="J206" s="253" t="s">
        <v>608</v>
      </c>
      <c r="K206" s="254" t="s">
        <v>48</v>
      </c>
      <c r="L206" s="255"/>
      <c r="M206" s="255" t="s">
        <v>34</v>
      </c>
      <c r="N206" s="254">
        <v>180734</v>
      </c>
      <c r="O206" s="254" t="s">
        <v>1321</v>
      </c>
      <c r="P206" s="258">
        <v>34988</v>
      </c>
      <c r="Q206" s="259">
        <v>137396061.59999999</v>
      </c>
      <c r="R206" s="259">
        <v>173615102.74011922</v>
      </c>
      <c r="S206" s="254">
        <v>1</v>
      </c>
      <c r="T206" s="256">
        <v>7.4184519539845839E-2</v>
      </c>
      <c r="U206" s="256">
        <v>0.95899776352759669</v>
      </c>
      <c r="V206" s="256">
        <v>0.10251580226900314</v>
      </c>
      <c r="W206" s="256">
        <v>1.0049976479423721</v>
      </c>
      <c r="X206" s="256">
        <v>0.13423306747868868</v>
      </c>
      <c r="Y206" s="256">
        <v>1.0179137355437491</v>
      </c>
      <c r="Z206" s="256">
        <v>0.16750117797983766</v>
      </c>
      <c r="AA206" s="256">
        <v>0.95213099755324071</v>
      </c>
      <c r="AB206" s="256">
        <v>6.6447415356422658E-3</v>
      </c>
      <c r="AC206" s="260">
        <v>7.2760139471334986E-2</v>
      </c>
      <c r="AD206" s="405">
        <v>0</v>
      </c>
      <c r="AE206" s="257" t="s">
        <v>469</v>
      </c>
      <c r="AF206" s="257" t="s">
        <v>469</v>
      </c>
      <c r="AG206" s="261" t="s">
        <v>469</v>
      </c>
      <c r="AH206" s="261" t="s">
        <v>2113</v>
      </c>
      <c r="AI206" s="261">
        <v>1000</v>
      </c>
      <c r="AJ206" s="261">
        <v>1000</v>
      </c>
      <c r="AK206" s="261">
        <v>1000</v>
      </c>
      <c r="AL206" s="256">
        <v>5.0000000000000001E-3</v>
      </c>
      <c r="AM206" s="256">
        <v>0.2</v>
      </c>
      <c r="AN206" s="256" t="s">
        <v>64</v>
      </c>
      <c r="AO206" s="254" t="s">
        <v>1324</v>
      </c>
      <c r="AP206" s="257" t="s">
        <v>11</v>
      </c>
      <c r="AQ206" s="263" t="s">
        <v>669</v>
      </c>
      <c r="AR206" s="256">
        <v>1.5E-3</v>
      </c>
      <c r="AS206" s="256">
        <v>1.5E-3</v>
      </c>
      <c r="AT206" s="256"/>
      <c r="AW206" s="508"/>
      <c r="AX206" s="508"/>
      <c r="AY206" s="509"/>
      <c r="AZ206" s="509"/>
      <c r="BA206" s="509"/>
      <c r="BB206" s="510"/>
      <c r="BC206" s="509"/>
      <c r="BD206" s="509"/>
      <c r="BE206" s="509"/>
      <c r="BF206" s="509"/>
      <c r="BG206" s="510"/>
      <c r="BH206" s="510"/>
      <c r="BI206" s="511"/>
      <c r="BJ206" s="511"/>
      <c r="BK206" s="511"/>
      <c r="BL206" s="195"/>
      <c r="BM206" s="510"/>
      <c r="BN206" s="510"/>
      <c r="BO206" s="510"/>
      <c r="BP206" s="510"/>
      <c r="BQ206" s="510"/>
      <c r="BR206" s="510"/>
      <c r="BS206" s="510"/>
      <c r="BT206" s="513"/>
      <c r="BU206" s="514"/>
      <c r="BV206" s="512"/>
      <c r="BW206" s="515"/>
    </row>
    <row r="207" spans="2:75" ht="15.75" customHeight="1">
      <c r="B207" s="250" t="s">
        <v>904</v>
      </c>
      <c r="C207" s="251">
        <v>10705335000169</v>
      </c>
      <c r="D207" s="252" t="s">
        <v>11</v>
      </c>
      <c r="E207" s="252" t="s">
        <v>620</v>
      </c>
      <c r="F207" s="252" t="s">
        <v>663</v>
      </c>
      <c r="G207" s="253" t="s">
        <v>738</v>
      </c>
      <c r="H207" s="253" t="s">
        <v>34</v>
      </c>
      <c r="I207" s="253"/>
      <c r="J207" s="253" t="s">
        <v>608</v>
      </c>
      <c r="K207" s="254" t="s">
        <v>48</v>
      </c>
      <c r="L207" s="255"/>
      <c r="M207" s="255" t="s">
        <v>34</v>
      </c>
      <c r="N207" s="254">
        <v>230065</v>
      </c>
      <c r="O207" s="254" t="s">
        <v>1321</v>
      </c>
      <c r="P207" s="258">
        <v>39986</v>
      </c>
      <c r="Q207" s="259">
        <v>48331756.75</v>
      </c>
      <c r="R207" s="259">
        <v>675040036.81071401</v>
      </c>
      <c r="S207" s="254">
        <v>1</v>
      </c>
      <c r="T207" s="256">
        <v>7.6418381054490281E-2</v>
      </c>
      <c r="U207" s="256">
        <v>0.98787532733555183</v>
      </c>
      <c r="V207" s="256">
        <v>9.4704625850451807E-2</v>
      </c>
      <c r="W207" s="256">
        <v>0.92842200053429813</v>
      </c>
      <c r="X207" s="256">
        <v>0.11269755605703513</v>
      </c>
      <c r="Y207" s="256">
        <v>0.85460604028050302</v>
      </c>
      <c r="Z207" s="256">
        <v>0.1736651938672984</v>
      </c>
      <c r="AA207" s="256">
        <v>0.98716926215916767</v>
      </c>
      <c r="AB207" s="256">
        <v>7.2567744291637268E-3</v>
      </c>
      <c r="AC207" s="260">
        <v>-0.91294423840405625</v>
      </c>
      <c r="AD207" s="405">
        <v>41888721000167</v>
      </c>
      <c r="AE207" s="257" t="s">
        <v>2209</v>
      </c>
      <c r="AF207" s="257" t="s">
        <v>2118</v>
      </c>
      <c r="AG207" s="261" t="s">
        <v>1433</v>
      </c>
      <c r="AH207" s="261" t="s">
        <v>2113</v>
      </c>
      <c r="AI207" s="261">
        <v>1000</v>
      </c>
      <c r="AJ207" s="261">
        <v>1000</v>
      </c>
      <c r="AK207" s="261">
        <v>1000</v>
      </c>
      <c r="AL207" s="256">
        <v>9.7199999999999995E-3</v>
      </c>
      <c r="AM207" s="256">
        <v>0.2</v>
      </c>
      <c r="AN207" s="256" t="s">
        <v>64</v>
      </c>
      <c r="AO207" s="254" t="s">
        <v>1324</v>
      </c>
      <c r="AP207" s="257" t="s">
        <v>13</v>
      </c>
      <c r="AQ207" s="263" t="s">
        <v>668</v>
      </c>
      <c r="AR207" s="256">
        <v>3.3333333333333331E-3</v>
      </c>
      <c r="AS207" s="256">
        <v>3.3333333333333331E-3</v>
      </c>
      <c r="AT207" s="256"/>
      <c r="AW207" s="508"/>
      <c r="AX207" s="508"/>
      <c r="AY207" s="509"/>
      <c r="AZ207" s="509"/>
      <c r="BA207" s="509"/>
      <c r="BB207" s="510"/>
      <c r="BC207" s="509"/>
      <c r="BD207" s="509"/>
      <c r="BE207" s="509"/>
      <c r="BF207" s="509"/>
      <c r="BG207" s="510"/>
      <c r="BH207" s="510"/>
      <c r="BI207" s="511"/>
      <c r="BJ207" s="511"/>
      <c r="BK207" s="511"/>
      <c r="BL207" s="195"/>
      <c r="BM207" s="510"/>
      <c r="BN207" s="510"/>
      <c r="BO207" s="510"/>
      <c r="BP207" s="510"/>
      <c r="BQ207" s="510"/>
      <c r="BR207" s="510"/>
      <c r="BS207" s="510"/>
      <c r="BT207" s="513"/>
      <c r="BU207" s="514"/>
      <c r="BV207" s="512"/>
      <c r="BW207" s="515"/>
    </row>
    <row r="208" spans="2:75" ht="15.75" customHeight="1">
      <c r="B208" s="250" t="s">
        <v>906</v>
      </c>
      <c r="C208" s="251">
        <v>35408329000170</v>
      </c>
      <c r="D208" s="252" t="s">
        <v>11</v>
      </c>
      <c r="E208" s="252" t="s">
        <v>620</v>
      </c>
      <c r="F208" s="252" t="s">
        <v>663</v>
      </c>
      <c r="G208" s="253" t="s">
        <v>738</v>
      </c>
      <c r="H208" s="253" t="s">
        <v>34</v>
      </c>
      <c r="I208" s="253"/>
      <c r="J208" s="253" t="s">
        <v>608</v>
      </c>
      <c r="K208" s="254" t="s">
        <v>48</v>
      </c>
      <c r="L208" s="255"/>
      <c r="M208" s="255" t="s">
        <v>34</v>
      </c>
      <c r="N208" s="254">
        <v>520901</v>
      </c>
      <c r="O208" s="254" t="s">
        <v>1321</v>
      </c>
      <c r="P208" s="258">
        <v>43826</v>
      </c>
      <c r="Q208" s="259">
        <v>70129035.269999996</v>
      </c>
      <c r="R208" s="259">
        <v>54018571.656547643</v>
      </c>
      <c r="S208" s="254">
        <v>1</v>
      </c>
      <c r="T208" s="256">
        <v>8.5559962505823206E-2</v>
      </c>
      <c r="U208" s="256">
        <v>1.1060503350233062</v>
      </c>
      <c r="V208" s="256">
        <v>0.11215862733415038</v>
      </c>
      <c r="W208" s="256">
        <v>1.0995295766353099</v>
      </c>
      <c r="X208" s="256">
        <v>0.16324821715042548</v>
      </c>
      <c r="Y208" s="256">
        <v>1.237940886412574</v>
      </c>
      <c r="Z208" s="256" t="s">
        <v>1417</v>
      </c>
      <c r="AA208" s="256" t="s">
        <v>1417</v>
      </c>
      <c r="AB208" s="256">
        <v>2.32570085506914E-3</v>
      </c>
      <c r="AC208" s="260">
        <v>3.9454263156813729</v>
      </c>
      <c r="AD208" s="405">
        <v>35399404000184</v>
      </c>
      <c r="AE208" s="257" t="s">
        <v>2212</v>
      </c>
      <c r="AF208" s="257" t="s">
        <v>2118</v>
      </c>
      <c r="AG208" s="261" t="s">
        <v>1433</v>
      </c>
      <c r="AH208" s="261" t="s">
        <v>2113</v>
      </c>
      <c r="AI208" s="261">
        <v>500</v>
      </c>
      <c r="AJ208" s="261">
        <v>500</v>
      </c>
      <c r="AK208" s="261">
        <v>0</v>
      </c>
      <c r="AL208" s="256">
        <v>3.4999999999999996E-3</v>
      </c>
      <c r="AM208" s="256" t="s">
        <v>34</v>
      </c>
      <c r="AN208" s="256" t="s">
        <v>64</v>
      </c>
      <c r="AO208" s="254" t="s">
        <v>1324</v>
      </c>
      <c r="AP208" s="257" t="s">
        <v>11</v>
      </c>
      <c r="AQ208" s="263" t="s">
        <v>675</v>
      </c>
      <c r="AR208" s="256">
        <v>1.08E-3</v>
      </c>
      <c r="AS208" s="256">
        <v>1.08E-3</v>
      </c>
      <c r="AT208" s="256"/>
      <c r="AW208" s="508"/>
      <c r="AX208" s="508"/>
      <c r="AY208" s="509"/>
      <c r="AZ208" s="509"/>
      <c r="BA208" s="509"/>
      <c r="BB208" s="510"/>
      <c r="BC208" s="509"/>
      <c r="BD208" s="509"/>
      <c r="BE208" s="509"/>
      <c r="BF208" s="509"/>
      <c r="BG208" s="510"/>
      <c r="BH208" s="510"/>
      <c r="BI208" s="511"/>
      <c r="BJ208" s="511"/>
      <c r="BK208" s="511"/>
      <c r="BL208" s="195"/>
      <c r="BM208" s="510"/>
      <c r="BN208" s="510"/>
      <c r="BO208" s="510"/>
      <c r="BP208" s="510"/>
      <c r="BQ208" s="510"/>
      <c r="BR208" s="510"/>
      <c r="BS208" s="510"/>
      <c r="BT208" s="513"/>
      <c r="BU208" s="514"/>
      <c r="BV208" s="512"/>
      <c r="BW208" s="515"/>
    </row>
    <row r="209" spans="2:75" ht="15.75" customHeight="1">
      <c r="B209" s="250" t="s">
        <v>485</v>
      </c>
      <c r="C209" s="251">
        <v>42887856000170</v>
      </c>
      <c r="D209" s="252" t="s">
        <v>11</v>
      </c>
      <c r="E209" s="252" t="s">
        <v>620</v>
      </c>
      <c r="F209" s="252" t="s">
        <v>663</v>
      </c>
      <c r="G209" s="253" t="s">
        <v>738</v>
      </c>
      <c r="H209" s="253" t="s">
        <v>34</v>
      </c>
      <c r="I209" s="253"/>
      <c r="J209" s="253" t="s">
        <v>611</v>
      </c>
      <c r="K209" s="254" t="s">
        <v>48</v>
      </c>
      <c r="L209" s="255"/>
      <c r="M209" s="255" t="s">
        <v>34</v>
      </c>
      <c r="N209" s="254">
        <v>609323</v>
      </c>
      <c r="O209" s="254" t="s">
        <v>1321</v>
      </c>
      <c r="P209" s="258">
        <v>44432</v>
      </c>
      <c r="Q209" s="259">
        <v>366515201.44999999</v>
      </c>
      <c r="R209" s="259">
        <v>94753092.101031736</v>
      </c>
      <c r="S209" s="254">
        <v>1</v>
      </c>
      <c r="T209" s="256">
        <v>9.1237490775329277E-2</v>
      </c>
      <c r="U209" s="256">
        <v>1.1794448511109457</v>
      </c>
      <c r="V209" s="256">
        <v>0.12111576154133341</v>
      </c>
      <c r="W209" s="256">
        <v>1.1873394421514767</v>
      </c>
      <c r="X209" s="256" t="s">
        <v>1417</v>
      </c>
      <c r="Y209" s="256" t="s">
        <v>1417</v>
      </c>
      <c r="Z209" s="256" t="s">
        <v>1417</v>
      </c>
      <c r="AA209" s="256" t="s">
        <v>1417</v>
      </c>
      <c r="AB209" s="256">
        <v>2.88303029807155E-3</v>
      </c>
      <c r="AC209" s="260">
        <v>5.966780274780084</v>
      </c>
      <c r="AD209" s="405">
        <v>0</v>
      </c>
      <c r="AE209" s="257" t="s">
        <v>2178</v>
      </c>
      <c r="AF209" s="257" t="s">
        <v>2109</v>
      </c>
      <c r="AG209" s="261" t="s">
        <v>1432</v>
      </c>
      <c r="AH209" s="261" t="s">
        <v>2113</v>
      </c>
      <c r="AI209" s="261">
        <v>100</v>
      </c>
      <c r="AJ209" s="261">
        <v>100</v>
      </c>
      <c r="AK209" s="261">
        <v>100</v>
      </c>
      <c r="AL209" s="256">
        <v>3.0000000000000001E-3</v>
      </c>
      <c r="AM209" s="256" t="s">
        <v>34</v>
      </c>
      <c r="AN209" s="256" t="s">
        <v>34</v>
      </c>
      <c r="AO209" s="254" t="s">
        <v>1324</v>
      </c>
      <c r="AP209" s="257" t="s">
        <v>11</v>
      </c>
      <c r="AQ209" s="263" t="s">
        <v>675</v>
      </c>
      <c r="AR209" s="256">
        <v>9.9989999999999996E-4</v>
      </c>
      <c r="AS209" s="256">
        <v>9.9989999999999996E-4</v>
      </c>
      <c r="AT209" s="256"/>
      <c r="AW209" s="508"/>
      <c r="AX209" s="508"/>
      <c r="AY209" s="509"/>
      <c r="AZ209" s="509"/>
      <c r="BA209" s="509"/>
      <c r="BB209" s="510"/>
      <c r="BC209" s="509"/>
      <c r="BD209" s="509"/>
      <c r="BE209" s="509"/>
      <c r="BF209" s="509"/>
      <c r="BG209" s="510"/>
      <c r="BH209" s="510"/>
      <c r="BI209" s="511"/>
      <c r="BJ209" s="511"/>
      <c r="BK209" s="511"/>
      <c r="BL209" s="195"/>
      <c r="BM209" s="510"/>
      <c r="BN209" s="510"/>
      <c r="BO209" s="510"/>
      <c r="BP209" s="510"/>
      <c r="BQ209" s="510"/>
      <c r="BR209" s="510"/>
      <c r="BS209" s="510"/>
      <c r="BT209" s="513"/>
      <c r="BU209" s="514"/>
      <c r="BV209" s="512"/>
      <c r="BW209" s="515"/>
    </row>
    <row r="210" spans="2:75" ht="15.75" customHeight="1">
      <c r="B210" s="250" t="s">
        <v>958</v>
      </c>
      <c r="C210" s="251">
        <v>26434293000109</v>
      </c>
      <c r="D210" s="252" t="s">
        <v>11</v>
      </c>
      <c r="E210" s="252" t="s">
        <v>620</v>
      </c>
      <c r="F210" s="252" t="s">
        <v>663</v>
      </c>
      <c r="G210" s="253" t="s">
        <v>738</v>
      </c>
      <c r="H210" s="253" t="s">
        <v>34</v>
      </c>
      <c r="I210" s="253" t="s">
        <v>1304</v>
      </c>
      <c r="J210" s="253" t="s">
        <v>608</v>
      </c>
      <c r="K210" s="254" t="s">
        <v>48</v>
      </c>
      <c r="L210" s="255"/>
      <c r="M210" s="255" t="s">
        <v>34</v>
      </c>
      <c r="N210" s="254">
        <v>436070</v>
      </c>
      <c r="O210" s="254" t="s">
        <v>1321</v>
      </c>
      <c r="P210" s="258">
        <v>42759</v>
      </c>
      <c r="Q210" s="259">
        <v>43983168.060000002</v>
      </c>
      <c r="R210" s="259">
        <v>59792002.019007966</v>
      </c>
      <c r="S210" s="254">
        <v>1</v>
      </c>
      <c r="T210" s="256">
        <v>7.8365441617056053E-2</v>
      </c>
      <c r="U210" s="256">
        <v>1.0130453592577837</v>
      </c>
      <c r="V210" s="256">
        <v>9.4795925455467778E-2</v>
      </c>
      <c r="W210" s="256">
        <v>0.92931704194516618</v>
      </c>
      <c r="X210" s="256">
        <v>0.14232191978131881</v>
      </c>
      <c r="Y210" s="256">
        <v>1.0792529719799506</v>
      </c>
      <c r="Z210" s="256">
        <v>0.1207572753787709</v>
      </c>
      <c r="AA210" s="256">
        <v>0.68642350134421404</v>
      </c>
      <c r="AB210" s="256">
        <v>7.8661833997217597E-3</v>
      </c>
      <c r="AC210" s="260">
        <v>-0.83102509574193129</v>
      </c>
      <c r="AD210" s="405">
        <v>25682025000143</v>
      </c>
      <c r="AE210" s="257" t="s">
        <v>2254</v>
      </c>
      <c r="AF210" s="257" t="s">
        <v>2118</v>
      </c>
      <c r="AG210" s="261" t="s">
        <v>1433</v>
      </c>
      <c r="AH210" s="261" t="s">
        <v>2113</v>
      </c>
      <c r="AI210" s="261">
        <v>1000</v>
      </c>
      <c r="AJ210" s="261">
        <v>500</v>
      </c>
      <c r="AK210" s="261">
        <v>1000</v>
      </c>
      <c r="AL210" s="256">
        <v>4.5000000000000005E-3</v>
      </c>
      <c r="AM210" s="256" t="s">
        <v>34</v>
      </c>
      <c r="AN210" s="256" t="s">
        <v>64</v>
      </c>
      <c r="AO210" s="254" t="s">
        <v>1324</v>
      </c>
      <c r="AP210" s="257" t="s">
        <v>11</v>
      </c>
      <c r="AQ210" s="263" t="s">
        <v>669</v>
      </c>
      <c r="AR210" s="256">
        <v>1.3499999999999999E-3</v>
      </c>
      <c r="AS210" s="256">
        <v>1.3499999999999999E-3</v>
      </c>
      <c r="AT210" s="256"/>
      <c r="AW210" s="508"/>
      <c r="AX210" s="508"/>
      <c r="AY210" s="509"/>
      <c r="AZ210" s="509"/>
      <c r="BA210" s="509"/>
      <c r="BB210" s="510"/>
      <c r="BC210" s="509"/>
      <c r="BD210" s="509"/>
      <c r="BE210" s="509"/>
      <c r="BF210" s="509"/>
      <c r="BG210" s="510"/>
      <c r="BH210" s="510"/>
      <c r="BI210" s="511"/>
      <c r="BJ210" s="511"/>
      <c r="BK210" s="511"/>
      <c r="BL210" s="510"/>
      <c r="BM210" s="510"/>
      <c r="BN210" s="510"/>
      <c r="BO210" s="510"/>
      <c r="BP210" s="510"/>
      <c r="BQ210" s="510"/>
      <c r="BR210" s="510"/>
      <c r="BS210" s="510"/>
      <c r="BT210" s="513"/>
      <c r="BU210" s="514"/>
      <c r="BV210" s="512"/>
      <c r="BW210" s="515"/>
    </row>
    <row r="211" spans="2:75" ht="15.75" customHeight="1">
      <c r="B211" s="250" t="s">
        <v>985</v>
      </c>
      <c r="C211" s="251">
        <v>20879578000177</v>
      </c>
      <c r="D211" s="252" t="s">
        <v>11</v>
      </c>
      <c r="E211" s="252" t="s">
        <v>620</v>
      </c>
      <c r="F211" s="252" t="s">
        <v>663</v>
      </c>
      <c r="G211" s="253" t="s">
        <v>738</v>
      </c>
      <c r="H211" s="253" t="s">
        <v>34</v>
      </c>
      <c r="I211" s="253"/>
      <c r="J211" s="253" t="s">
        <v>608</v>
      </c>
      <c r="K211" s="254" t="s">
        <v>48</v>
      </c>
      <c r="L211" s="255"/>
      <c r="M211" s="255" t="s">
        <v>34</v>
      </c>
      <c r="N211" s="254">
        <v>387444</v>
      </c>
      <c r="O211" s="254" t="s">
        <v>1321</v>
      </c>
      <c r="P211" s="258">
        <v>42034</v>
      </c>
      <c r="Q211" s="259">
        <v>1197980249.77</v>
      </c>
      <c r="R211" s="259">
        <v>542667184.17476165</v>
      </c>
      <c r="S211" s="254">
        <v>1</v>
      </c>
      <c r="T211" s="256">
        <v>8.6943226516678518E-2</v>
      </c>
      <c r="U211" s="256">
        <v>1.1239320588789947</v>
      </c>
      <c r="V211" s="256">
        <v>0.12882364377044753</v>
      </c>
      <c r="W211" s="256">
        <v>1.2629024611146391</v>
      </c>
      <c r="X211" s="256">
        <v>0.16762286363087697</v>
      </c>
      <c r="Y211" s="256">
        <v>1.2711146253745229</v>
      </c>
      <c r="Z211" s="256">
        <v>0.15687408056775287</v>
      </c>
      <c r="AA211" s="256">
        <v>0.89172313068270614</v>
      </c>
      <c r="AB211" s="256">
        <v>7.1659042756956537E-3</v>
      </c>
      <c r="AC211" s="260">
        <v>3.3601643171341418</v>
      </c>
      <c r="AD211" s="405">
        <v>0</v>
      </c>
      <c r="AE211" s="257" t="s">
        <v>2279</v>
      </c>
      <c r="AF211" s="257" t="s">
        <v>2109</v>
      </c>
      <c r="AG211" s="261" t="s">
        <v>1432</v>
      </c>
      <c r="AH211" s="261" t="s">
        <v>2113</v>
      </c>
      <c r="AI211" s="261">
        <v>500</v>
      </c>
      <c r="AJ211" s="261">
        <v>100</v>
      </c>
      <c r="AK211" s="261">
        <v>500</v>
      </c>
      <c r="AL211" s="256">
        <v>5.0000000000000001E-3</v>
      </c>
      <c r="AM211" s="256" t="s">
        <v>34</v>
      </c>
      <c r="AN211" s="256" t="s">
        <v>64</v>
      </c>
      <c r="AO211" s="254" t="s">
        <v>1324</v>
      </c>
      <c r="AP211" s="257" t="s">
        <v>11</v>
      </c>
      <c r="AQ211" s="263" t="s">
        <v>675</v>
      </c>
      <c r="AR211" s="256">
        <v>1.5E-3</v>
      </c>
      <c r="AS211" s="256">
        <v>1.5E-3</v>
      </c>
      <c r="AT211" s="256"/>
      <c r="AW211" s="508"/>
      <c r="AX211" s="508"/>
      <c r="AY211" s="509"/>
      <c r="AZ211" s="509"/>
      <c r="BA211" s="509"/>
      <c r="BB211" s="510"/>
      <c r="BC211" s="509"/>
      <c r="BD211" s="509"/>
      <c r="BE211" s="509"/>
      <c r="BF211" s="509"/>
      <c r="BG211" s="510"/>
      <c r="BH211" s="510"/>
      <c r="BI211" s="511"/>
      <c r="BJ211" s="511"/>
      <c r="BK211" s="511"/>
      <c r="BL211" s="510"/>
      <c r="BM211" s="510"/>
      <c r="BN211" s="510"/>
      <c r="BO211" s="510"/>
      <c r="BP211" s="510"/>
      <c r="BQ211" s="510"/>
      <c r="BR211" s="510"/>
      <c r="BS211" s="510"/>
      <c r="BT211" s="513"/>
      <c r="BU211" s="514"/>
      <c r="BV211" s="512"/>
      <c r="BW211" s="515"/>
    </row>
    <row r="212" spans="2:75" ht="15.75" customHeight="1">
      <c r="B212" s="250" t="s">
        <v>986</v>
      </c>
      <c r="C212" s="251">
        <v>9720710000160</v>
      </c>
      <c r="D212" s="252" t="s">
        <v>11</v>
      </c>
      <c r="E212" s="252" t="s">
        <v>620</v>
      </c>
      <c r="F212" s="252" t="s">
        <v>663</v>
      </c>
      <c r="G212" s="253" t="s">
        <v>738</v>
      </c>
      <c r="H212" s="253" t="s">
        <v>34</v>
      </c>
      <c r="I212" s="253"/>
      <c r="J212" s="253" t="s">
        <v>608</v>
      </c>
      <c r="K212" s="254" t="s">
        <v>48</v>
      </c>
      <c r="L212" s="255"/>
      <c r="M212" s="255" t="s">
        <v>34</v>
      </c>
      <c r="N212" s="254">
        <v>217913</v>
      </c>
      <c r="O212" s="254" t="s">
        <v>1321</v>
      </c>
      <c r="P212" s="258">
        <v>39720</v>
      </c>
      <c r="Q212" s="259">
        <v>277370412.95999998</v>
      </c>
      <c r="R212" s="259">
        <v>193207404.05670646</v>
      </c>
      <c r="S212" s="254">
        <v>1</v>
      </c>
      <c r="T212" s="256">
        <v>8.390704599104315E-2</v>
      </c>
      <c r="U212" s="256">
        <v>1.0846827606182377</v>
      </c>
      <c r="V212" s="256">
        <v>0.11558738627840337</v>
      </c>
      <c r="W212" s="256">
        <v>1.1331428791512825</v>
      </c>
      <c r="X212" s="256">
        <v>0.15208771011383093</v>
      </c>
      <c r="Y212" s="256">
        <v>1.1533087341302322</v>
      </c>
      <c r="Z212" s="256">
        <v>0.16900110529935586</v>
      </c>
      <c r="AA212" s="256">
        <v>0.96065707069621364</v>
      </c>
      <c r="AB212" s="256">
        <v>3.1760000930810745E-3</v>
      </c>
      <c r="AC212" s="260">
        <v>3.8594958533754338</v>
      </c>
      <c r="AD212" s="405">
        <v>0</v>
      </c>
      <c r="AE212" s="257" t="s">
        <v>2279</v>
      </c>
      <c r="AF212" s="257" t="s">
        <v>2109</v>
      </c>
      <c r="AG212" s="261" t="s">
        <v>1432</v>
      </c>
      <c r="AH212" s="261" t="s">
        <v>2113</v>
      </c>
      <c r="AI212" s="261">
        <v>1</v>
      </c>
      <c r="AJ212" s="261">
        <v>1</v>
      </c>
      <c r="AK212" s="261">
        <v>1</v>
      </c>
      <c r="AL212" s="256">
        <v>8.0000000000000002E-3</v>
      </c>
      <c r="AM212" s="256">
        <v>0.2</v>
      </c>
      <c r="AN212" s="256" t="s">
        <v>64</v>
      </c>
      <c r="AO212" s="254" t="s">
        <v>1324</v>
      </c>
      <c r="AP212" s="257" t="s">
        <v>11</v>
      </c>
      <c r="AQ212" s="263" t="s">
        <v>675</v>
      </c>
      <c r="AR212" s="256">
        <v>2.3999999999999998E-3</v>
      </c>
      <c r="AS212" s="256">
        <v>2.3999999999999998E-3</v>
      </c>
      <c r="AT212" s="256"/>
      <c r="AW212" s="508"/>
      <c r="AX212" s="508"/>
      <c r="AY212" s="509"/>
      <c r="AZ212" s="509"/>
      <c r="BA212" s="509"/>
      <c r="BB212" s="510"/>
      <c r="BC212" s="509"/>
      <c r="BD212" s="509"/>
      <c r="BE212" s="509"/>
      <c r="BF212" s="509"/>
      <c r="BG212" s="510"/>
      <c r="BH212" s="510"/>
      <c r="BI212" s="511"/>
      <c r="BJ212" s="511"/>
      <c r="BK212" s="511"/>
      <c r="BL212" s="510"/>
      <c r="BM212" s="510"/>
      <c r="BN212" s="510"/>
      <c r="BO212" s="510"/>
      <c r="BP212" s="510"/>
      <c r="BQ212" s="510"/>
      <c r="BR212" s="510"/>
      <c r="BS212" s="510"/>
      <c r="BT212" s="513"/>
      <c r="BU212" s="514"/>
      <c r="BV212" s="512"/>
      <c r="BW212" s="515"/>
    </row>
    <row r="213" spans="2:75" ht="15.75" customHeight="1">
      <c r="B213" s="250" t="s">
        <v>239</v>
      </c>
      <c r="C213" s="251">
        <v>26978438000132</v>
      </c>
      <c r="D213" s="252" t="s">
        <v>11</v>
      </c>
      <c r="E213" s="252" t="s">
        <v>620</v>
      </c>
      <c r="F213" s="252" t="s">
        <v>663</v>
      </c>
      <c r="G213" s="253" t="s">
        <v>738</v>
      </c>
      <c r="H213" s="253" t="s">
        <v>34</v>
      </c>
      <c r="I213" s="253"/>
      <c r="J213" s="253" t="s">
        <v>608</v>
      </c>
      <c r="K213" s="254" t="s">
        <v>48</v>
      </c>
      <c r="L213" s="255"/>
      <c r="M213" s="255" t="s">
        <v>34</v>
      </c>
      <c r="N213" s="254">
        <v>456497</v>
      </c>
      <c r="O213" s="254" t="s">
        <v>1321</v>
      </c>
      <c r="P213" s="258">
        <v>43047</v>
      </c>
      <c r="Q213" s="259">
        <v>2217380204.5900002</v>
      </c>
      <c r="R213" s="259">
        <v>1134157373.3624208</v>
      </c>
      <c r="S213" s="254">
        <v>1</v>
      </c>
      <c r="T213" s="256">
        <v>8.7695265885642915E-2</v>
      </c>
      <c r="U213" s="256">
        <v>1.1336538185856702</v>
      </c>
      <c r="V213" s="256">
        <v>0.12169453943694153</v>
      </c>
      <c r="W213" s="256">
        <v>1.1930134008085127</v>
      </c>
      <c r="X213" s="256">
        <v>0.17312031243344728</v>
      </c>
      <c r="Y213" s="256">
        <v>1.3128027783139862</v>
      </c>
      <c r="Z213" s="256">
        <v>0.16992127553756675</v>
      </c>
      <c r="AA213" s="256">
        <v>0.96588761663859501</v>
      </c>
      <c r="AB213" s="256">
        <v>2.6340404169740684E-3</v>
      </c>
      <c r="AC213" s="260">
        <v>6.7265771468244688</v>
      </c>
      <c r="AD213" s="405">
        <v>0</v>
      </c>
      <c r="AE213" s="257" t="s">
        <v>2283</v>
      </c>
      <c r="AF213" s="257" t="s">
        <v>2118</v>
      </c>
      <c r="AG213" s="261" t="s">
        <v>1433</v>
      </c>
      <c r="AH213" s="261" t="s">
        <v>2113</v>
      </c>
      <c r="AI213" s="261">
        <v>500</v>
      </c>
      <c r="AJ213" s="261">
        <v>100</v>
      </c>
      <c r="AK213" s="261">
        <v>500</v>
      </c>
      <c r="AL213" s="256">
        <v>4.0000000000000001E-3</v>
      </c>
      <c r="AM213" s="256">
        <v>0.1</v>
      </c>
      <c r="AN213" s="256" t="s">
        <v>64</v>
      </c>
      <c r="AO213" s="254" t="s">
        <v>1324</v>
      </c>
      <c r="AP213" s="257" t="s">
        <v>11</v>
      </c>
      <c r="AQ213" s="263" t="s">
        <v>669</v>
      </c>
      <c r="AR213" s="256">
        <v>1.4E-3</v>
      </c>
      <c r="AS213" s="256">
        <v>1.4E-3</v>
      </c>
      <c r="AT213" s="256"/>
      <c r="AW213" s="508"/>
      <c r="AX213" s="508"/>
      <c r="AY213" s="509"/>
      <c r="AZ213" s="509"/>
      <c r="BA213" s="509"/>
      <c r="BB213" s="510"/>
      <c r="BC213" s="509"/>
      <c r="BD213" s="509"/>
      <c r="BE213" s="509"/>
      <c r="BF213" s="509"/>
      <c r="BG213" s="510"/>
      <c r="BH213" s="510"/>
      <c r="BI213" s="511"/>
      <c r="BJ213" s="511"/>
      <c r="BK213" s="511"/>
      <c r="BL213" s="510"/>
      <c r="BM213" s="510"/>
      <c r="BN213" s="510"/>
      <c r="BO213" s="510"/>
      <c r="BP213" s="510"/>
      <c r="BQ213" s="510"/>
      <c r="BR213" s="510"/>
      <c r="BS213" s="510"/>
      <c r="BT213" s="513"/>
      <c r="BU213" s="514"/>
      <c r="BV213" s="512"/>
      <c r="BW213" s="515"/>
    </row>
    <row r="214" spans="2:75" ht="15.75" customHeight="1">
      <c r="B214" s="250" t="s">
        <v>477</v>
      </c>
      <c r="C214" s="251">
        <v>41993440000174</v>
      </c>
      <c r="D214" s="252" t="s">
        <v>11</v>
      </c>
      <c r="E214" s="252" t="s">
        <v>620</v>
      </c>
      <c r="F214" s="252" t="s">
        <v>663</v>
      </c>
      <c r="G214" s="253" t="s">
        <v>738</v>
      </c>
      <c r="H214" s="253" t="s">
        <v>34</v>
      </c>
      <c r="I214" s="253"/>
      <c r="J214" s="253" t="s">
        <v>608</v>
      </c>
      <c r="K214" s="254" t="s">
        <v>48</v>
      </c>
      <c r="L214" s="255"/>
      <c r="M214" s="255" t="s">
        <v>34</v>
      </c>
      <c r="N214" s="254">
        <v>627372</v>
      </c>
      <c r="O214" s="254" t="s">
        <v>1321</v>
      </c>
      <c r="P214" s="258">
        <v>44439</v>
      </c>
      <c r="Q214" s="259">
        <v>99208994.569999993</v>
      </c>
      <c r="R214" s="259">
        <v>49569223.182182521</v>
      </c>
      <c r="S214" s="254">
        <v>1</v>
      </c>
      <c r="T214" s="256">
        <v>6.6557278197399317E-2</v>
      </c>
      <c r="U214" s="256">
        <v>0.86039892599839107</v>
      </c>
      <c r="V214" s="256">
        <v>0.10321338000000013</v>
      </c>
      <c r="W214" s="256">
        <v>1.0118362422214213</v>
      </c>
      <c r="X214" s="256" t="s">
        <v>1417</v>
      </c>
      <c r="Y214" s="256" t="s">
        <v>1417</v>
      </c>
      <c r="Z214" s="256" t="s">
        <v>1417</v>
      </c>
      <c r="AA214" s="256" t="s">
        <v>1417</v>
      </c>
      <c r="AB214" s="256">
        <v>2.0698908575775412E-2</v>
      </c>
      <c r="AC214" s="260">
        <v>6.316421023533926E-2</v>
      </c>
      <c r="AD214" s="405">
        <v>29197090000134</v>
      </c>
      <c r="AE214" s="257" t="s">
        <v>59</v>
      </c>
      <c r="AF214" s="257" t="s">
        <v>2112</v>
      </c>
      <c r="AG214" s="261" t="s">
        <v>59</v>
      </c>
      <c r="AH214" s="261" t="s">
        <v>2113</v>
      </c>
      <c r="AI214" s="261">
        <v>100</v>
      </c>
      <c r="AJ214" s="261">
        <v>1</v>
      </c>
      <c r="AK214" s="261">
        <v>100</v>
      </c>
      <c r="AL214" s="256">
        <v>9.0000000000000011E-3</v>
      </c>
      <c r="AM214" s="256">
        <v>0.2</v>
      </c>
      <c r="AN214" s="256" t="s">
        <v>64</v>
      </c>
      <c r="AO214" s="254" t="s">
        <v>1324</v>
      </c>
      <c r="AP214" s="257" t="s">
        <v>11</v>
      </c>
      <c r="AQ214" s="263" t="s">
        <v>669</v>
      </c>
      <c r="AR214" s="256">
        <v>2.0996999999999999E-3</v>
      </c>
      <c r="AS214" s="256">
        <v>2.0996999999999999E-3</v>
      </c>
      <c r="AT214" s="256"/>
      <c r="AW214" s="508"/>
      <c r="AX214" s="508"/>
      <c r="AY214" s="509"/>
      <c r="AZ214" s="509"/>
      <c r="BA214" s="509"/>
      <c r="BB214" s="510"/>
      <c r="BC214" s="509"/>
      <c r="BD214" s="509"/>
      <c r="BE214" s="509"/>
      <c r="BF214" s="509"/>
      <c r="BG214" s="510"/>
      <c r="BH214" s="510"/>
      <c r="BI214" s="511"/>
      <c r="BJ214" s="511"/>
      <c r="BK214" s="511"/>
      <c r="BL214" s="510"/>
      <c r="BM214" s="510"/>
      <c r="BN214" s="510"/>
      <c r="BO214" s="510"/>
      <c r="BP214" s="510"/>
      <c r="BQ214" s="510"/>
      <c r="BR214" s="510"/>
      <c r="BS214" s="510"/>
      <c r="BT214" s="513"/>
      <c r="BU214" s="514"/>
      <c r="BV214" s="512"/>
      <c r="BW214" s="515"/>
    </row>
    <row r="215" spans="2:75" ht="15.75" customHeight="1">
      <c r="B215" s="250" t="s">
        <v>1297</v>
      </c>
      <c r="C215" s="251">
        <v>38145457000167</v>
      </c>
      <c r="D215" s="252" t="s">
        <v>11</v>
      </c>
      <c r="E215" s="252" t="s">
        <v>621</v>
      </c>
      <c r="F215" s="252" t="s">
        <v>663</v>
      </c>
      <c r="G215" s="253" t="s">
        <v>738</v>
      </c>
      <c r="H215" s="253" t="s">
        <v>34</v>
      </c>
      <c r="I215" s="253"/>
      <c r="J215" s="253" t="s">
        <v>608</v>
      </c>
      <c r="K215" s="254" t="s">
        <v>48</v>
      </c>
      <c r="L215" s="255"/>
      <c r="M215" s="255" t="s">
        <v>34</v>
      </c>
      <c r="N215" s="254">
        <v>562335</v>
      </c>
      <c r="O215" s="254" t="s">
        <v>1321</v>
      </c>
      <c r="P215" s="258">
        <v>44165</v>
      </c>
      <c r="Q215" s="259">
        <v>1817864150.0999999</v>
      </c>
      <c r="R215" s="259">
        <v>1724007961.8055551</v>
      </c>
      <c r="S215" s="254">
        <v>1</v>
      </c>
      <c r="T215" s="256">
        <v>0.10137276045709909</v>
      </c>
      <c r="U215" s="256">
        <v>1.3104654605029857</v>
      </c>
      <c r="V215" s="256">
        <v>0.13828838952626099</v>
      </c>
      <c r="W215" s="256">
        <v>1.3556886171260345</v>
      </c>
      <c r="X215" s="256" t="s">
        <v>1417</v>
      </c>
      <c r="Y215" s="256" t="s">
        <v>1417</v>
      </c>
      <c r="Z215" s="256" t="s">
        <v>1417</v>
      </c>
      <c r="AA215" s="256" t="s">
        <v>1417</v>
      </c>
      <c r="AB215" s="256">
        <v>4.0383068350215191E-2</v>
      </c>
      <c r="AC215" s="260">
        <v>0.82259313423156255</v>
      </c>
      <c r="AD215" s="405">
        <v>39586858000115</v>
      </c>
      <c r="AE215" s="257" t="s">
        <v>2295</v>
      </c>
      <c r="AF215" s="257" t="s">
        <v>2112</v>
      </c>
      <c r="AG215" s="261" t="s">
        <v>59</v>
      </c>
      <c r="AH215" s="261" t="s">
        <v>2113</v>
      </c>
      <c r="AI215" s="261">
        <v>1</v>
      </c>
      <c r="AJ215" s="261">
        <v>1</v>
      </c>
      <c r="AK215" s="261">
        <v>1</v>
      </c>
      <c r="AL215" s="256">
        <v>9.1999999999999998E-3</v>
      </c>
      <c r="AM215" s="256" t="s">
        <v>34</v>
      </c>
      <c r="AN215" s="256" t="s">
        <v>2141</v>
      </c>
      <c r="AO215" s="254" t="s">
        <v>1324</v>
      </c>
      <c r="AP215" s="257" t="s">
        <v>11</v>
      </c>
      <c r="AQ215" s="263" t="s">
        <v>675</v>
      </c>
      <c r="AR215" s="256">
        <v>2.2147466666666664E-3</v>
      </c>
      <c r="AS215" s="256">
        <v>2.2147466666666664E-3</v>
      </c>
      <c r="AT215" s="256"/>
      <c r="AW215" s="508"/>
      <c r="AX215" s="508"/>
      <c r="AY215" s="509"/>
      <c r="AZ215" s="509"/>
      <c r="BA215" s="509"/>
      <c r="BB215" s="510"/>
      <c r="BC215" s="509"/>
      <c r="BD215" s="509"/>
      <c r="BE215" s="509"/>
      <c r="BF215" s="509"/>
      <c r="BG215" s="510"/>
      <c r="BH215" s="510"/>
      <c r="BI215" s="511"/>
      <c r="BJ215" s="511"/>
      <c r="BK215" s="511"/>
      <c r="BL215" s="510"/>
      <c r="BM215" s="510"/>
      <c r="BN215" s="510"/>
      <c r="BO215" s="510"/>
      <c r="BP215" s="510"/>
      <c r="BQ215" s="510"/>
      <c r="BR215" s="510"/>
      <c r="BS215" s="510"/>
      <c r="BT215" s="513"/>
      <c r="BU215" s="514"/>
      <c r="BV215" s="512"/>
      <c r="BW215" s="515"/>
    </row>
    <row r="216" spans="2:75" ht="15.75" customHeight="1">
      <c r="B216" s="250" t="s">
        <v>1034</v>
      </c>
      <c r="C216" s="251">
        <v>27945264000174</v>
      </c>
      <c r="D216" s="252" t="s">
        <v>11</v>
      </c>
      <c r="E216" s="252" t="s">
        <v>620</v>
      </c>
      <c r="F216" s="252" t="s">
        <v>663</v>
      </c>
      <c r="G216" s="253" t="s">
        <v>738</v>
      </c>
      <c r="H216" s="253" t="s">
        <v>34</v>
      </c>
      <c r="I216" s="253"/>
      <c r="J216" s="253" t="s">
        <v>608</v>
      </c>
      <c r="K216" s="254" t="s">
        <v>48</v>
      </c>
      <c r="L216" s="255"/>
      <c r="M216" s="255" t="s">
        <v>34</v>
      </c>
      <c r="N216" s="254">
        <v>467286</v>
      </c>
      <c r="O216" s="254" t="s">
        <v>1321</v>
      </c>
      <c r="P216" s="258">
        <v>43131</v>
      </c>
      <c r="Q216" s="259">
        <v>3845445724.0500002</v>
      </c>
      <c r="R216" s="259">
        <v>4335816542.0791273</v>
      </c>
      <c r="S216" s="254">
        <v>1</v>
      </c>
      <c r="T216" s="256">
        <v>8.5000320423177289E-2</v>
      </c>
      <c r="U216" s="256">
        <v>1.0988157325892349</v>
      </c>
      <c r="V216" s="256">
        <v>0.1099392143553255</v>
      </c>
      <c r="W216" s="256">
        <v>1.077771908313319</v>
      </c>
      <c r="X216" s="256">
        <v>0.13857701950606161</v>
      </c>
      <c r="Y216" s="256">
        <v>1.050854712892032</v>
      </c>
      <c r="Z216" s="256">
        <v>0.17488463541923505</v>
      </c>
      <c r="AA216" s="256">
        <v>0.99410096326901343</v>
      </c>
      <c r="AB216" s="256">
        <v>9.0139194576166187E-3</v>
      </c>
      <c r="AC216" s="260">
        <v>0.80045375065401336</v>
      </c>
      <c r="AD216" s="405">
        <v>0</v>
      </c>
      <c r="AE216" s="257" t="s">
        <v>2295</v>
      </c>
      <c r="AF216" s="257" t="s">
        <v>2112</v>
      </c>
      <c r="AG216" s="261" t="s">
        <v>59</v>
      </c>
      <c r="AH216" s="261" t="s">
        <v>2113</v>
      </c>
      <c r="AI216" s="261">
        <v>1</v>
      </c>
      <c r="AJ216" s="261">
        <v>1</v>
      </c>
      <c r="AK216" s="261">
        <v>1</v>
      </c>
      <c r="AL216" s="256">
        <v>8.0000000000000002E-3</v>
      </c>
      <c r="AM216" s="256">
        <v>0.2</v>
      </c>
      <c r="AN216" s="256" t="s">
        <v>64</v>
      </c>
      <c r="AO216" s="254" t="s">
        <v>1324</v>
      </c>
      <c r="AP216" s="257" t="s">
        <v>11</v>
      </c>
      <c r="AQ216" s="263" t="s">
        <v>675</v>
      </c>
      <c r="AR216" s="256">
        <v>1.9258666666666664E-3</v>
      </c>
      <c r="AS216" s="256">
        <v>1.9258666666666664E-3</v>
      </c>
      <c r="AT216" s="256"/>
      <c r="AW216" s="508"/>
      <c r="AX216" s="508"/>
      <c r="AY216" s="509"/>
      <c r="AZ216" s="509"/>
      <c r="BA216" s="509"/>
      <c r="BB216" s="510"/>
      <c r="BC216" s="509"/>
      <c r="BD216" s="509"/>
      <c r="BE216" s="509"/>
      <c r="BF216" s="509"/>
      <c r="BG216" s="510"/>
      <c r="BH216" s="510"/>
      <c r="BI216" s="511"/>
      <c r="BJ216" s="511"/>
      <c r="BK216" s="511"/>
      <c r="BL216" s="510"/>
      <c r="BM216" s="510"/>
      <c r="BN216" s="510"/>
      <c r="BO216" s="510"/>
      <c r="BP216" s="510"/>
      <c r="BQ216" s="510"/>
      <c r="BR216" s="510"/>
      <c r="BS216" s="510"/>
      <c r="BT216" s="513"/>
      <c r="BU216" s="514"/>
      <c r="BV216" s="512"/>
      <c r="BW216" s="515"/>
    </row>
    <row r="217" spans="2:75" ht="15.75" customHeight="1">
      <c r="B217" s="250" t="s">
        <v>1059</v>
      </c>
      <c r="C217" s="251">
        <v>19488768000184</v>
      </c>
      <c r="D217" s="252" t="s">
        <v>11</v>
      </c>
      <c r="E217" s="252" t="s">
        <v>620</v>
      </c>
      <c r="F217" s="252" t="s">
        <v>663</v>
      </c>
      <c r="G217" s="253" t="s">
        <v>738</v>
      </c>
      <c r="H217" s="253" t="s">
        <v>34</v>
      </c>
      <c r="I217" s="253"/>
      <c r="J217" s="253" t="s">
        <v>608</v>
      </c>
      <c r="K217" s="254" t="s">
        <v>48</v>
      </c>
      <c r="L217" s="255"/>
      <c r="M217" s="255" t="s">
        <v>34</v>
      </c>
      <c r="N217" s="254">
        <v>378615</v>
      </c>
      <c r="O217" s="254" t="s">
        <v>1321</v>
      </c>
      <c r="P217" s="258">
        <v>41912</v>
      </c>
      <c r="Q217" s="259">
        <v>1167245726.6500001</v>
      </c>
      <c r="R217" s="259">
        <v>812993112.68154812</v>
      </c>
      <c r="S217" s="254">
        <v>1</v>
      </c>
      <c r="T217" s="256">
        <v>8.4841218008667729E-2</v>
      </c>
      <c r="U217" s="256">
        <v>1.096758984623043</v>
      </c>
      <c r="V217" s="256">
        <v>0.11429609524201489</v>
      </c>
      <c r="W217" s="256">
        <v>1.1204839092592636</v>
      </c>
      <c r="X217" s="256">
        <v>0.17254769012368976</v>
      </c>
      <c r="Y217" s="256">
        <v>1.3084604793162111</v>
      </c>
      <c r="Z217" s="256">
        <v>0.16749901758243113</v>
      </c>
      <c r="AA217" s="256">
        <v>0.95211871715400653</v>
      </c>
      <c r="AB217" s="256">
        <v>1.7574770495408295E-3</v>
      </c>
      <c r="AC217" s="260">
        <v>6.3133731623673226</v>
      </c>
      <c r="AD217" s="405">
        <v>0</v>
      </c>
      <c r="AE217" s="257" t="s">
        <v>2317</v>
      </c>
      <c r="AF217" s="257" t="s">
        <v>2115</v>
      </c>
      <c r="AG217" s="261" t="s">
        <v>719</v>
      </c>
      <c r="AH217" s="261" t="s">
        <v>2113</v>
      </c>
      <c r="AI217" s="261">
        <v>1000</v>
      </c>
      <c r="AJ217" s="261">
        <v>0</v>
      </c>
      <c r="AK217" s="261">
        <v>0</v>
      </c>
      <c r="AL217" s="256">
        <v>4.5000000000000005E-3</v>
      </c>
      <c r="AM217" s="256" t="s">
        <v>34</v>
      </c>
      <c r="AN217" s="256" t="s">
        <v>64</v>
      </c>
      <c r="AO217" s="254" t="s">
        <v>1324</v>
      </c>
      <c r="AP217" s="257" t="s">
        <v>11</v>
      </c>
      <c r="AQ217" s="263" t="s">
        <v>669</v>
      </c>
      <c r="AR217" s="256">
        <v>1.6199999999999999E-3</v>
      </c>
      <c r="AS217" s="256">
        <v>1.6199999999999999E-3</v>
      </c>
      <c r="AT217" s="256"/>
      <c r="AW217" s="508"/>
      <c r="AX217" s="508"/>
      <c r="AY217" s="509"/>
      <c r="AZ217" s="509"/>
      <c r="BA217" s="509"/>
      <c r="BB217" s="510"/>
      <c r="BC217" s="509"/>
      <c r="BD217" s="509"/>
      <c r="BE217" s="509"/>
      <c r="BF217" s="509"/>
      <c r="BG217" s="510"/>
      <c r="BH217" s="510"/>
      <c r="BI217" s="511"/>
      <c r="BJ217" s="511"/>
      <c r="BK217" s="511"/>
      <c r="BL217" s="510"/>
      <c r="BM217" s="510"/>
      <c r="BN217" s="510"/>
      <c r="BO217" s="510"/>
      <c r="BP217" s="510"/>
      <c r="BQ217" s="510"/>
      <c r="BR217" s="510"/>
      <c r="BS217" s="510"/>
      <c r="BT217" s="513"/>
      <c r="BU217" s="514"/>
      <c r="BV217" s="512"/>
      <c r="BW217" s="515"/>
    </row>
    <row r="218" spans="2:75" ht="15.75" customHeight="1">
      <c r="B218" s="250" t="s">
        <v>1135</v>
      </c>
      <c r="C218" s="251">
        <v>2603461000184</v>
      </c>
      <c r="D218" s="252" t="s">
        <v>11</v>
      </c>
      <c r="E218" s="252" t="s">
        <v>620</v>
      </c>
      <c r="F218" s="252" t="s">
        <v>663</v>
      </c>
      <c r="G218" s="253" t="s">
        <v>738</v>
      </c>
      <c r="H218" s="253" t="s">
        <v>34</v>
      </c>
      <c r="I218" s="253"/>
      <c r="J218" s="253" t="s">
        <v>608</v>
      </c>
      <c r="K218" s="254" t="s">
        <v>48</v>
      </c>
      <c r="L218" s="255"/>
      <c r="M218" s="255" t="s">
        <v>34</v>
      </c>
      <c r="N218" s="254">
        <v>143367</v>
      </c>
      <c r="O218" s="254" t="s">
        <v>1321</v>
      </c>
      <c r="P218" s="258">
        <v>35979</v>
      </c>
      <c r="Q218" s="259">
        <v>500494478.97000003</v>
      </c>
      <c r="R218" s="259">
        <v>745060673.88750017</v>
      </c>
      <c r="S218" s="254">
        <v>1</v>
      </c>
      <c r="T218" s="256">
        <v>6.9787652752610008E-2</v>
      </c>
      <c r="U218" s="256">
        <v>0.9021586083825246</v>
      </c>
      <c r="V218" s="256">
        <v>9.0814147353874164E-2</v>
      </c>
      <c r="W218" s="256">
        <v>0.89028230253758145</v>
      </c>
      <c r="X218" s="256">
        <v>0.10740191880284589</v>
      </c>
      <c r="Y218" s="256">
        <v>0.81444826097361034</v>
      </c>
      <c r="Z218" s="256">
        <v>0.15691079665446228</v>
      </c>
      <c r="AA218" s="256">
        <v>0.89193183682248678</v>
      </c>
      <c r="AB218" s="256">
        <v>1.1901142833524076E-2</v>
      </c>
      <c r="AC218" s="260">
        <v>-0.85220205607998634</v>
      </c>
      <c r="AD218" s="405">
        <v>14284014000199</v>
      </c>
      <c r="AE218" s="257" t="s">
        <v>2366</v>
      </c>
      <c r="AF218" s="257" t="s">
        <v>2112</v>
      </c>
      <c r="AG218" s="261" t="s">
        <v>59</v>
      </c>
      <c r="AH218" s="261" t="s">
        <v>2113</v>
      </c>
      <c r="AI218" s="261">
        <v>20000</v>
      </c>
      <c r="AJ218" s="261">
        <v>100</v>
      </c>
      <c r="AK218" s="261">
        <v>1000</v>
      </c>
      <c r="AL218" s="256">
        <v>5.0000000000000001E-3</v>
      </c>
      <c r="AM218" s="256">
        <v>0.2</v>
      </c>
      <c r="AN218" s="256" t="s">
        <v>64</v>
      </c>
      <c r="AO218" s="254" t="s">
        <v>1324</v>
      </c>
      <c r="AP218" s="257" t="s">
        <v>11</v>
      </c>
      <c r="AQ218" s="263" t="s">
        <v>669</v>
      </c>
      <c r="AR218" s="256">
        <v>1.3333333333333333E-3</v>
      </c>
      <c r="AS218" s="256">
        <v>1.3333333333333333E-3</v>
      </c>
      <c r="AT218" s="256"/>
      <c r="AW218" s="508"/>
      <c r="AX218" s="508"/>
      <c r="AY218" s="509"/>
      <c r="AZ218" s="509"/>
      <c r="BA218" s="509"/>
      <c r="BB218" s="510"/>
      <c r="BC218" s="509"/>
      <c r="BD218" s="509"/>
      <c r="BE218" s="509"/>
      <c r="BF218" s="509"/>
      <c r="BG218" s="510"/>
      <c r="BH218" s="510"/>
      <c r="BI218" s="511"/>
      <c r="BJ218" s="511"/>
      <c r="BK218" s="511"/>
      <c r="BL218" s="195"/>
      <c r="BM218" s="510"/>
      <c r="BN218" s="510"/>
      <c r="BO218" s="510"/>
      <c r="BP218" s="510"/>
      <c r="BQ218" s="510"/>
      <c r="BR218" s="510"/>
      <c r="BS218" s="510"/>
      <c r="BT218" s="513"/>
      <c r="BU218" s="514"/>
      <c r="BV218" s="512"/>
      <c r="BW218" s="515"/>
    </row>
    <row r="219" spans="2:75" ht="15.75" customHeight="1">
      <c r="B219" s="250" t="s">
        <v>1138</v>
      </c>
      <c r="C219" s="251">
        <v>21625026000103</v>
      </c>
      <c r="D219" s="252" t="s">
        <v>11</v>
      </c>
      <c r="E219" s="252" t="s">
        <v>621</v>
      </c>
      <c r="F219" s="252" t="s">
        <v>663</v>
      </c>
      <c r="G219" s="253" t="s">
        <v>865</v>
      </c>
      <c r="H219" s="253" t="s">
        <v>34</v>
      </c>
      <c r="I219" s="253"/>
      <c r="J219" s="253" t="s">
        <v>608</v>
      </c>
      <c r="K219" s="254" t="s">
        <v>48</v>
      </c>
      <c r="L219" s="255"/>
      <c r="M219" s="255" t="s">
        <v>34</v>
      </c>
      <c r="N219" s="254">
        <v>392979</v>
      </c>
      <c r="O219" s="254" t="s">
        <v>1321</v>
      </c>
      <c r="P219" s="258">
        <v>42111</v>
      </c>
      <c r="Q219" s="259">
        <v>30297980.579999998</v>
      </c>
      <c r="R219" s="259">
        <v>58509984.523333259</v>
      </c>
      <c r="S219" s="254">
        <v>1</v>
      </c>
      <c r="T219" s="256">
        <v>4.4223853818012415E-2</v>
      </c>
      <c r="U219" s="256">
        <v>0.57169038997773369</v>
      </c>
      <c r="V219" s="256">
        <v>4.7547044760299473E-2</v>
      </c>
      <c r="W219" s="256">
        <v>0.46612002338257968</v>
      </c>
      <c r="X219" s="256">
        <v>7.5312127738699441E-2</v>
      </c>
      <c r="Y219" s="256">
        <v>0.57110554588509699</v>
      </c>
      <c r="Z219" s="256">
        <v>0.16191985678127674</v>
      </c>
      <c r="AA219" s="256">
        <v>0.92040495846179904</v>
      </c>
      <c r="AB219" s="256">
        <v>5.9012305256822425E-2</v>
      </c>
      <c r="AC219" s="260">
        <v>-0.82977160605293754</v>
      </c>
      <c r="AD219" s="405">
        <v>0</v>
      </c>
      <c r="AE219" s="257" t="s">
        <v>2366</v>
      </c>
      <c r="AF219" s="257" t="s">
        <v>2112</v>
      </c>
      <c r="AG219" s="261" t="s">
        <v>59</v>
      </c>
      <c r="AH219" s="261" t="s">
        <v>2113</v>
      </c>
      <c r="AI219" s="261">
        <v>20000</v>
      </c>
      <c r="AJ219" s="261">
        <v>100</v>
      </c>
      <c r="AK219" s="261">
        <v>1000</v>
      </c>
      <c r="AL219" s="256">
        <v>5.0000000000000001E-3</v>
      </c>
      <c r="AM219" s="256">
        <v>0.2</v>
      </c>
      <c r="AN219" s="256" t="s">
        <v>2218</v>
      </c>
      <c r="AO219" s="254" t="s">
        <v>1324</v>
      </c>
      <c r="AP219" s="257" t="s">
        <v>11</v>
      </c>
      <c r="AQ219" s="263" t="s">
        <v>669</v>
      </c>
      <c r="AR219" s="256">
        <v>1.3333333333333333E-3</v>
      </c>
      <c r="AS219" s="256">
        <v>1.3333333333333333E-3</v>
      </c>
      <c r="AT219" s="256"/>
      <c r="AW219" s="508"/>
      <c r="AX219" s="508"/>
      <c r="AY219" s="509"/>
      <c r="AZ219" s="509"/>
      <c r="BA219" s="509"/>
      <c r="BB219" s="510"/>
      <c r="BC219" s="509"/>
      <c r="BD219" s="509"/>
      <c r="BE219" s="509"/>
      <c r="BF219" s="509"/>
      <c r="BG219" s="510"/>
      <c r="BH219" s="510"/>
      <c r="BI219" s="511"/>
      <c r="BJ219" s="511"/>
      <c r="BK219" s="511"/>
      <c r="BL219" s="510"/>
      <c r="BM219" s="510"/>
      <c r="BN219" s="510"/>
      <c r="BO219" s="510"/>
      <c r="BP219" s="510"/>
      <c r="BQ219" s="510"/>
      <c r="BR219" s="510"/>
      <c r="BS219" s="510"/>
      <c r="BT219" s="513"/>
      <c r="BU219" s="514"/>
      <c r="BV219" s="512"/>
      <c r="BW219" s="515"/>
    </row>
    <row r="220" spans="2:75" ht="15.75" customHeight="1">
      <c r="B220" s="250" t="s">
        <v>346</v>
      </c>
      <c r="C220" s="251">
        <v>29206196000157</v>
      </c>
      <c r="D220" s="252" t="s">
        <v>11</v>
      </c>
      <c r="E220" s="252" t="s">
        <v>620</v>
      </c>
      <c r="F220" s="252" t="s">
        <v>663</v>
      </c>
      <c r="G220" s="253" t="s">
        <v>738</v>
      </c>
      <c r="H220" s="253" t="s">
        <v>34</v>
      </c>
      <c r="I220" s="253"/>
      <c r="J220" s="253" t="s">
        <v>608</v>
      </c>
      <c r="K220" s="254" t="s">
        <v>48</v>
      </c>
      <c r="L220" s="255"/>
      <c r="M220" s="255" t="s">
        <v>34</v>
      </c>
      <c r="N220" s="254">
        <v>471501</v>
      </c>
      <c r="O220" s="254" t="s">
        <v>1321</v>
      </c>
      <c r="P220" s="258">
        <v>43181</v>
      </c>
      <c r="Q220" s="259">
        <v>983913530.38</v>
      </c>
      <c r="R220" s="259">
        <v>1032256938.0063094</v>
      </c>
      <c r="S220" s="254">
        <v>1</v>
      </c>
      <c r="T220" s="256">
        <v>8.4250860256838811E-2</v>
      </c>
      <c r="U220" s="256">
        <v>1.0891273147383169</v>
      </c>
      <c r="V220" s="256">
        <v>0.11321491130263439</v>
      </c>
      <c r="W220" s="256">
        <v>1.1098846914604381</v>
      </c>
      <c r="X220" s="256">
        <v>0.16786394824696593</v>
      </c>
      <c r="Y220" s="256">
        <v>1.2729428138138894</v>
      </c>
      <c r="Z220" s="256">
        <v>0.15867839428008246</v>
      </c>
      <c r="AA220" s="256">
        <v>0.90197943476091469</v>
      </c>
      <c r="AB220" s="256">
        <v>1.7329252628448398E-3</v>
      </c>
      <c r="AC220" s="260">
        <v>5.8423727546508752</v>
      </c>
      <c r="AD220" s="405">
        <v>0</v>
      </c>
      <c r="AE220" s="257" t="s">
        <v>2370</v>
      </c>
      <c r="AF220" s="257" t="s">
        <v>2118</v>
      </c>
      <c r="AG220" s="261" t="s">
        <v>1433</v>
      </c>
      <c r="AH220" s="261" t="s">
        <v>2113</v>
      </c>
      <c r="AI220" s="261">
        <v>500</v>
      </c>
      <c r="AJ220" s="261">
        <v>100</v>
      </c>
      <c r="AK220" s="261">
        <v>100</v>
      </c>
      <c r="AL220" s="256">
        <v>4.0000000000000001E-3</v>
      </c>
      <c r="AM220" s="256" t="s">
        <v>34</v>
      </c>
      <c r="AN220" s="256" t="s">
        <v>64</v>
      </c>
      <c r="AO220" s="254" t="s">
        <v>1324</v>
      </c>
      <c r="AP220" s="257" t="s">
        <v>11</v>
      </c>
      <c r="AQ220" s="263" t="s">
        <v>662</v>
      </c>
      <c r="AR220" s="256">
        <v>1.1200000000000001E-3</v>
      </c>
      <c r="AS220" s="256">
        <v>1.1200000000000001E-3</v>
      </c>
      <c r="AT220" s="256"/>
      <c r="AW220" s="508"/>
      <c r="AX220" s="508"/>
      <c r="AY220" s="509"/>
      <c r="AZ220" s="509"/>
      <c r="BA220" s="509"/>
      <c r="BB220" s="510"/>
      <c r="BC220" s="509"/>
      <c r="BD220" s="509"/>
      <c r="BE220" s="509"/>
      <c r="BF220" s="509"/>
      <c r="BG220" s="510"/>
      <c r="BH220" s="510"/>
      <c r="BI220" s="511"/>
      <c r="BJ220" s="511"/>
      <c r="BK220" s="511"/>
      <c r="BL220" s="510"/>
      <c r="BM220" s="510"/>
      <c r="BN220" s="510"/>
      <c r="BO220" s="510"/>
      <c r="BP220" s="510"/>
      <c r="BQ220" s="510"/>
      <c r="BR220" s="510"/>
      <c r="BS220" s="510"/>
      <c r="BT220" s="513"/>
      <c r="BU220" s="514"/>
      <c r="BV220" s="512"/>
      <c r="BW220" s="515"/>
    </row>
    <row r="221" spans="2:75" ht="15.75" customHeight="1">
      <c r="B221" s="250" t="s">
        <v>1157</v>
      </c>
      <c r="C221" s="251">
        <v>9543255000175</v>
      </c>
      <c r="D221" s="252" t="s">
        <v>11</v>
      </c>
      <c r="E221" s="252" t="s">
        <v>620</v>
      </c>
      <c r="F221" s="252" t="s">
        <v>663</v>
      </c>
      <c r="G221" s="253" t="s">
        <v>738</v>
      </c>
      <c r="H221" s="253" t="s">
        <v>34</v>
      </c>
      <c r="I221" s="253"/>
      <c r="J221" s="253" t="s">
        <v>608</v>
      </c>
      <c r="K221" s="254" t="s">
        <v>48</v>
      </c>
      <c r="L221" s="255"/>
      <c r="M221" s="255" t="s">
        <v>34</v>
      </c>
      <c r="N221" s="254">
        <v>215740</v>
      </c>
      <c r="O221" s="254" t="s">
        <v>1321</v>
      </c>
      <c r="P221" s="258">
        <v>39674</v>
      </c>
      <c r="Q221" s="259">
        <v>287228059.02999997</v>
      </c>
      <c r="R221" s="259">
        <v>197590884.85452387</v>
      </c>
      <c r="S221" s="254">
        <v>1</v>
      </c>
      <c r="T221" s="256">
        <v>8.4782965863557935E-2</v>
      </c>
      <c r="U221" s="256">
        <v>1.0960059477734754</v>
      </c>
      <c r="V221" s="256">
        <v>0.1130948871637607</v>
      </c>
      <c r="W221" s="256">
        <v>1.1087080535705269</v>
      </c>
      <c r="X221" s="256">
        <v>0.1568490325327323</v>
      </c>
      <c r="Y221" s="256">
        <v>1.1894147069772101</v>
      </c>
      <c r="Z221" s="256">
        <v>0.16266521428665714</v>
      </c>
      <c r="AA221" s="256">
        <v>0.9246418121585358</v>
      </c>
      <c r="AB221" s="256">
        <v>2.2642982912659398E-3</v>
      </c>
      <c r="AC221" s="260">
        <v>4.4241449775988313</v>
      </c>
      <c r="AD221" s="405">
        <v>0</v>
      </c>
      <c r="AE221" s="257" t="s">
        <v>2378</v>
      </c>
      <c r="AF221" s="257" t="s">
        <v>2115</v>
      </c>
      <c r="AG221" s="261" t="s">
        <v>719</v>
      </c>
      <c r="AH221" s="261" t="s">
        <v>2113</v>
      </c>
      <c r="AI221" s="261">
        <v>1000</v>
      </c>
      <c r="AJ221" s="261">
        <v>100</v>
      </c>
      <c r="AK221" s="261">
        <v>1000</v>
      </c>
      <c r="AL221" s="256">
        <v>3.9000000000000003E-3</v>
      </c>
      <c r="AM221" s="256" t="s">
        <v>34</v>
      </c>
      <c r="AN221" s="256" t="s">
        <v>64</v>
      </c>
      <c r="AO221" s="254" t="s">
        <v>1324</v>
      </c>
      <c r="AP221" s="257" t="s">
        <v>11</v>
      </c>
      <c r="AQ221" s="263" t="s">
        <v>669</v>
      </c>
      <c r="AR221" s="256">
        <v>1.0399999999999999E-3</v>
      </c>
      <c r="AS221" s="256">
        <v>1.0399999999999999E-3</v>
      </c>
      <c r="AT221" s="256"/>
      <c r="AW221" s="508"/>
      <c r="AX221" s="508"/>
      <c r="AY221" s="509"/>
      <c r="AZ221" s="509"/>
      <c r="BA221" s="509"/>
      <c r="BB221" s="510"/>
      <c r="BC221" s="509"/>
      <c r="BD221" s="509"/>
      <c r="BE221" s="509"/>
      <c r="BF221" s="509"/>
      <c r="BG221" s="510"/>
      <c r="BH221" s="510"/>
      <c r="BI221" s="511"/>
      <c r="BJ221" s="511"/>
      <c r="BK221" s="511"/>
      <c r="BL221" s="510"/>
      <c r="BM221" s="510"/>
      <c r="BN221" s="510"/>
      <c r="BO221" s="510"/>
      <c r="BP221" s="510"/>
      <c r="BQ221" s="510"/>
      <c r="BR221" s="510"/>
      <c r="BS221" s="510"/>
      <c r="BT221" s="513"/>
      <c r="BU221" s="514"/>
      <c r="BV221" s="512"/>
      <c r="BW221" s="515"/>
    </row>
    <row r="222" spans="2:75" ht="15.75" customHeight="1">
      <c r="B222" s="250" t="s">
        <v>1161</v>
      </c>
      <c r="C222" s="251">
        <v>36248893000136</v>
      </c>
      <c r="D222" s="252" t="s">
        <v>11</v>
      </c>
      <c r="E222" s="252" t="s">
        <v>620</v>
      </c>
      <c r="F222" s="252" t="s">
        <v>663</v>
      </c>
      <c r="G222" s="253" t="s">
        <v>738</v>
      </c>
      <c r="H222" s="253" t="s">
        <v>34</v>
      </c>
      <c r="I222" s="253" t="s">
        <v>1304</v>
      </c>
      <c r="J222" s="253" t="s">
        <v>608</v>
      </c>
      <c r="K222" s="254" t="s">
        <v>48</v>
      </c>
      <c r="L222" s="255"/>
      <c r="M222" s="255" t="s">
        <v>34</v>
      </c>
      <c r="N222" s="254">
        <v>531154</v>
      </c>
      <c r="O222" s="254" t="s">
        <v>1321</v>
      </c>
      <c r="P222" s="258">
        <v>43899</v>
      </c>
      <c r="Q222" s="259">
        <v>2324522.77</v>
      </c>
      <c r="R222" s="259">
        <v>17114247.041547611</v>
      </c>
      <c r="S222" s="254">
        <v>1</v>
      </c>
      <c r="T222" s="256">
        <v>0.22494259920678639</v>
      </c>
      <c r="U222" s="256">
        <v>2.9078768845503666</v>
      </c>
      <c r="V222" s="256">
        <v>0.26044278482125471</v>
      </c>
      <c r="W222" s="256">
        <v>2.5532101429797209</v>
      </c>
      <c r="X222" s="256">
        <v>0.33208723888258773</v>
      </c>
      <c r="Y222" s="256">
        <v>2.5182778595970929</v>
      </c>
      <c r="Z222" s="256" t="s">
        <v>1417</v>
      </c>
      <c r="AA222" s="256" t="s">
        <v>1417</v>
      </c>
      <c r="AB222" s="256">
        <v>0.11364713310311063</v>
      </c>
      <c r="AC222" s="260">
        <v>1.2372879876940654</v>
      </c>
      <c r="AD222" s="405">
        <v>0</v>
      </c>
      <c r="AE222" s="257" t="s">
        <v>2380</v>
      </c>
      <c r="AF222" s="257" t="s">
        <v>2109</v>
      </c>
      <c r="AG222" s="261" t="s">
        <v>1432</v>
      </c>
      <c r="AH222" s="261" t="s">
        <v>2131</v>
      </c>
      <c r="AI222" s="261">
        <v>0</v>
      </c>
      <c r="AJ222" s="261">
        <v>0</v>
      </c>
      <c r="AK222" s="261">
        <v>0</v>
      </c>
      <c r="AL222" s="256">
        <v>9.300000000000001E-3</v>
      </c>
      <c r="AM222" s="256">
        <v>0.2</v>
      </c>
      <c r="AN222" s="256" t="s">
        <v>34</v>
      </c>
      <c r="AO222" s="254" t="s">
        <v>1324</v>
      </c>
      <c r="AP222" s="257" t="s">
        <v>13</v>
      </c>
      <c r="AQ222" s="263" t="s">
        <v>679</v>
      </c>
      <c r="AR222" s="256">
        <v>2.4799999999999996E-3</v>
      </c>
      <c r="AS222" s="256">
        <v>2.4799999999999996E-3</v>
      </c>
      <c r="AT222" s="256"/>
      <c r="AW222" s="508"/>
      <c r="AX222" s="508"/>
      <c r="AY222" s="509"/>
      <c r="AZ222" s="509"/>
      <c r="BA222" s="509"/>
      <c r="BB222" s="510"/>
      <c r="BC222" s="509"/>
      <c r="BD222" s="509"/>
      <c r="BE222" s="509"/>
      <c r="BF222" s="509"/>
      <c r="BG222" s="510"/>
      <c r="BH222" s="510"/>
      <c r="BI222" s="511"/>
      <c r="BJ222" s="511"/>
      <c r="BK222" s="511"/>
      <c r="BL222" s="510"/>
      <c r="BM222" s="510"/>
      <c r="BN222" s="510"/>
      <c r="BO222" s="510"/>
      <c r="BP222" s="510"/>
      <c r="BQ222" s="510"/>
      <c r="BR222" s="510"/>
      <c r="BS222" s="510"/>
      <c r="BT222" s="513"/>
      <c r="BU222" s="514"/>
      <c r="BV222" s="512"/>
      <c r="BW222" s="515"/>
    </row>
    <row r="223" spans="2:75" ht="15.75" customHeight="1">
      <c r="B223" s="250" t="s">
        <v>400</v>
      </c>
      <c r="C223" s="251">
        <v>24769058000162</v>
      </c>
      <c r="D223" s="252" t="s">
        <v>11</v>
      </c>
      <c r="E223" s="252" t="s">
        <v>620</v>
      </c>
      <c r="F223" s="252" t="s">
        <v>663</v>
      </c>
      <c r="G223" s="253" t="s">
        <v>738</v>
      </c>
      <c r="H223" s="253" t="s">
        <v>34</v>
      </c>
      <c r="I223" s="253"/>
      <c r="J223" s="253" t="s">
        <v>608</v>
      </c>
      <c r="K223" s="254" t="s">
        <v>48</v>
      </c>
      <c r="L223" s="255"/>
      <c r="M223" s="255" t="s">
        <v>1414</v>
      </c>
      <c r="N223" s="254">
        <v>427128</v>
      </c>
      <c r="O223" s="254" t="s">
        <v>1321</v>
      </c>
      <c r="P223" s="258">
        <v>42543</v>
      </c>
      <c r="Q223" s="259">
        <v>37675941.770000003</v>
      </c>
      <c r="R223" s="259">
        <v>48204590.673412688</v>
      </c>
      <c r="S223" s="254">
        <v>1</v>
      </c>
      <c r="T223" s="256">
        <v>8.2040700920181564E-2</v>
      </c>
      <c r="U223" s="256">
        <v>1.0605561536114259</v>
      </c>
      <c r="V223" s="256">
        <v>0.11093891369126463</v>
      </c>
      <c r="W223" s="256">
        <v>1.0875723045354746</v>
      </c>
      <c r="X223" s="256">
        <v>0.14233284951427105</v>
      </c>
      <c r="Y223" s="256">
        <v>1.079335854130429</v>
      </c>
      <c r="Z223" s="256">
        <v>0.19098101724486494</v>
      </c>
      <c r="AA223" s="256">
        <v>1.0855980158239491</v>
      </c>
      <c r="AB223" s="256">
        <v>2.1576632597109721E-3</v>
      </c>
      <c r="AC223" s="260">
        <v>3.7437421300989531</v>
      </c>
      <c r="AD223" s="405">
        <v>0</v>
      </c>
      <c r="AE223" s="257" t="s">
        <v>2412</v>
      </c>
      <c r="AF223" s="257" t="s">
        <v>2109</v>
      </c>
      <c r="AG223" s="261" t="s">
        <v>1432</v>
      </c>
      <c r="AH223" s="261" t="s">
        <v>2113</v>
      </c>
      <c r="AI223" s="261">
        <v>100</v>
      </c>
      <c r="AJ223" s="261">
        <v>0</v>
      </c>
      <c r="AK223" s="261">
        <v>100</v>
      </c>
      <c r="AL223" s="256">
        <v>3.4999999999999996E-3</v>
      </c>
      <c r="AM223" s="256" t="s">
        <v>34</v>
      </c>
      <c r="AN223" s="256" t="s">
        <v>64</v>
      </c>
      <c r="AO223" s="254" t="s">
        <v>1324</v>
      </c>
      <c r="AP223" s="257" t="s">
        <v>11</v>
      </c>
      <c r="AQ223" s="263" t="s">
        <v>676</v>
      </c>
      <c r="AR223" s="256">
        <v>8.166666666666666E-4</v>
      </c>
      <c r="AS223" s="256">
        <v>8.166666666666666E-4</v>
      </c>
      <c r="AT223" s="256"/>
      <c r="AW223" s="508"/>
      <c r="AX223" s="508"/>
      <c r="AY223" s="509"/>
      <c r="AZ223" s="509"/>
      <c r="BA223" s="509"/>
      <c r="BB223" s="510"/>
      <c r="BC223" s="509"/>
      <c r="BD223" s="509"/>
      <c r="BE223" s="509"/>
      <c r="BF223" s="509"/>
      <c r="BG223" s="510"/>
      <c r="BH223" s="510"/>
      <c r="BI223" s="511"/>
      <c r="BJ223" s="511"/>
      <c r="BK223" s="511"/>
      <c r="BL223" s="510"/>
      <c r="BM223" s="510"/>
      <c r="BN223" s="510"/>
      <c r="BO223" s="510"/>
      <c r="BP223" s="510"/>
      <c r="BQ223" s="510"/>
      <c r="BR223" s="510"/>
      <c r="BS223" s="510"/>
      <c r="BT223" s="513"/>
      <c r="BU223" s="514"/>
      <c r="BV223" s="512"/>
      <c r="BW223" s="515"/>
    </row>
    <row r="224" spans="2:75" ht="15.75" customHeight="1">
      <c r="B224" s="250" t="s">
        <v>421</v>
      </c>
      <c r="C224" s="251">
        <v>37240631000198</v>
      </c>
      <c r="D224" s="252" t="s">
        <v>11</v>
      </c>
      <c r="E224" s="252" t="s">
        <v>620</v>
      </c>
      <c r="F224" s="252" t="s">
        <v>663</v>
      </c>
      <c r="G224" s="253" t="s">
        <v>738</v>
      </c>
      <c r="H224" s="253" t="s">
        <v>34</v>
      </c>
      <c r="I224" s="253" t="s">
        <v>1304</v>
      </c>
      <c r="J224" s="253" t="s">
        <v>608</v>
      </c>
      <c r="K224" s="254" t="s">
        <v>48</v>
      </c>
      <c r="L224" s="255"/>
      <c r="M224" s="255" t="s">
        <v>1414</v>
      </c>
      <c r="N224" s="254">
        <v>539937</v>
      </c>
      <c r="O224" s="254" t="s">
        <v>1321</v>
      </c>
      <c r="P224" s="258">
        <v>43999</v>
      </c>
      <c r="Q224" s="259">
        <v>32686319.219999999</v>
      </c>
      <c r="R224" s="259">
        <v>19833793.904841267</v>
      </c>
      <c r="S224" s="254">
        <v>1</v>
      </c>
      <c r="T224" s="256">
        <v>7.1749767941888365E-2</v>
      </c>
      <c r="U224" s="256">
        <v>0.92752325440265282</v>
      </c>
      <c r="V224" s="256">
        <v>9.4580226869816153E-2</v>
      </c>
      <c r="W224" s="256">
        <v>0.92720247456680671</v>
      </c>
      <c r="X224" s="256">
        <v>0.1137872197313472</v>
      </c>
      <c r="Y224" s="256">
        <v>0.8628691578717137</v>
      </c>
      <c r="Z224" s="256" t="s">
        <v>1417</v>
      </c>
      <c r="AA224" s="256" t="s">
        <v>1417</v>
      </c>
      <c r="AB224" s="256">
        <v>6.6013961287267097E-3</v>
      </c>
      <c r="AC224" s="260">
        <v>-1.0214771716720683</v>
      </c>
      <c r="AD224" s="405">
        <v>0</v>
      </c>
      <c r="AE224" s="257" t="s">
        <v>2422</v>
      </c>
      <c r="AF224" s="257" t="s">
        <v>2109</v>
      </c>
      <c r="AG224" s="261" t="s">
        <v>1432</v>
      </c>
      <c r="AH224" s="261" t="s">
        <v>2113</v>
      </c>
      <c r="AI224" s="261">
        <v>1000</v>
      </c>
      <c r="AJ224" s="261">
        <v>100</v>
      </c>
      <c r="AK224" s="261">
        <v>500</v>
      </c>
      <c r="AL224" s="256">
        <v>5.5000000000000005E-3</v>
      </c>
      <c r="AM224" s="256" t="s">
        <v>34</v>
      </c>
      <c r="AN224" s="256" t="s">
        <v>64</v>
      </c>
      <c r="AO224" s="254" t="s">
        <v>1324</v>
      </c>
      <c r="AP224" s="257" t="s">
        <v>11</v>
      </c>
      <c r="AQ224" s="263" t="s">
        <v>675</v>
      </c>
      <c r="AR224" s="256">
        <v>7.3333333333333323E-4</v>
      </c>
      <c r="AS224" s="256">
        <v>7.3333333333333323E-4</v>
      </c>
      <c r="AT224" s="256"/>
      <c r="AW224" s="508"/>
      <c r="AX224" s="508"/>
      <c r="AY224" s="509"/>
      <c r="AZ224" s="509"/>
      <c r="BA224" s="509"/>
      <c r="BB224" s="510"/>
      <c r="BC224" s="509"/>
      <c r="BD224" s="509"/>
      <c r="BE224" s="509"/>
      <c r="BF224" s="509"/>
      <c r="BG224" s="510"/>
      <c r="BH224" s="510"/>
      <c r="BI224" s="511"/>
      <c r="BJ224" s="511"/>
      <c r="BK224" s="511"/>
      <c r="BL224" s="510"/>
      <c r="BM224" s="510"/>
      <c r="BN224" s="510"/>
      <c r="BO224" s="510"/>
      <c r="BP224" s="510"/>
      <c r="BQ224" s="510"/>
      <c r="BR224" s="510"/>
      <c r="BS224" s="510"/>
      <c r="BT224" s="513"/>
      <c r="BU224" s="514"/>
      <c r="BV224" s="512"/>
      <c r="BW224" s="515"/>
    </row>
    <row r="225" spans="2:75" ht="15.75" customHeight="1">
      <c r="B225" s="250" t="s">
        <v>1272</v>
      </c>
      <c r="C225" s="251">
        <v>14491665000150</v>
      </c>
      <c r="D225" s="252" t="s">
        <v>11</v>
      </c>
      <c r="E225" s="252" t="s">
        <v>620</v>
      </c>
      <c r="F225" s="252" t="s">
        <v>663</v>
      </c>
      <c r="G225" s="253" t="s">
        <v>738</v>
      </c>
      <c r="H225" s="253" t="s">
        <v>34</v>
      </c>
      <c r="I225" s="253"/>
      <c r="J225" s="253" t="s">
        <v>608</v>
      </c>
      <c r="K225" s="254" t="s">
        <v>48</v>
      </c>
      <c r="L225" s="255"/>
      <c r="M225" s="255" t="s">
        <v>34</v>
      </c>
      <c r="N225" s="254">
        <v>419958</v>
      </c>
      <c r="O225" s="254" t="s">
        <v>1321</v>
      </c>
      <c r="P225" s="258">
        <v>42499</v>
      </c>
      <c r="Q225" s="259">
        <v>375234052.83999997</v>
      </c>
      <c r="R225" s="259">
        <v>335271692.00452363</v>
      </c>
      <c r="S225" s="254">
        <v>1</v>
      </c>
      <c r="T225" s="256">
        <v>8.6329031897026232E-2</v>
      </c>
      <c r="U225" s="256">
        <v>1.1159922451514035</v>
      </c>
      <c r="V225" s="256">
        <v>0.11654996357929592</v>
      </c>
      <c r="W225" s="256">
        <v>1.1425793553037229</v>
      </c>
      <c r="X225" s="256">
        <v>0.15884609039945019</v>
      </c>
      <c r="Y225" s="256">
        <v>1.2045587595671621</v>
      </c>
      <c r="Z225" s="256">
        <v>0.18444626467390046</v>
      </c>
      <c r="AA225" s="256">
        <v>1.0484523637205057</v>
      </c>
      <c r="AB225" s="256">
        <v>1.6996459519897412E-3</v>
      </c>
      <c r="AC225" s="260">
        <v>7.7175046587445344</v>
      </c>
      <c r="AD225" s="405">
        <v>0</v>
      </c>
      <c r="AE225" s="257" t="s">
        <v>469</v>
      </c>
      <c r="AF225" s="257" t="s">
        <v>469</v>
      </c>
      <c r="AG225" s="261" t="s">
        <v>469</v>
      </c>
      <c r="AH225" s="261" t="s">
        <v>2110</v>
      </c>
      <c r="AI225" s="261">
        <v>500</v>
      </c>
      <c r="AJ225" s="261">
        <v>100</v>
      </c>
      <c r="AK225" s="261">
        <v>500</v>
      </c>
      <c r="AL225" s="256">
        <v>4.0000000000000001E-3</v>
      </c>
      <c r="AM225" s="256">
        <v>0.2</v>
      </c>
      <c r="AN225" s="256" t="s">
        <v>64</v>
      </c>
      <c r="AO225" s="254" t="s">
        <v>1324</v>
      </c>
      <c r="AP225" s="257" t="s">
        <v>11</v>
      </c>
      <c r="AQ225" s="263" t="s">
        <v>675</v>
      </c>
      <c r="AR225" s="256">
        <v>1.0666666666666667E-3</v>
      </c>
      <c r="AS225" s="256">
        <v>1.0666666666666667E-3</v>
      </c>
      <c r="AT225" s="256"/>
      <c r="AW225" s="508"/>
      <c r="AX225" s="508"/>
      <c r="AY225" s="509"/>
      <c r="AZ225" s="509"/>
      <c r="BA225" s="509"/>
      <c r="BB225" s="510"/>
      <c r="BC225" s="509"/>
      <c r="BD225" s="509"/>
      <c r="BE225" s="509"/>
      <c r="BF225" s="509"/>
      <c r="BG225" s="510"/>
      <c r="BH225" s="510"/>
      <c r="BI225" s="511"/>
      <c r="BJ225" s="511"/>
      <c r="BK225" s="511"/>
      <c r="BL225" s="510"/>
      <c r="BM225" s="510"/>
      <c r="BN225" s="510"/>
      <c r="BO225" s="510"/>
      <c r="BP225" s="510"/>
      <c r="BQ225" s="510"/>
      <c r="BR225" s="510"/>
      <c r="BS225" s="510"/>
      <c r="BT225" s="513"/>
      <c r="BU225" s="514"/>
      <c r="BV225" s="512"/>
      <c r="BW225" s="515"/>
    </row>
    <row r="226" spans="2:75" ht="15.75" customHeight="1">
      <c r="B226" s="250" t="s">
        <v>1274</v>
      </c>
      <c r="C226" s="251">
        <v>817677000117</v>
      </c>
      <c r="D226" s="252" t="s">
        <v>11</v>
      </c>
      <c r="E226" s="252" t="s">
        <v>620</v>
      </c>
      <c r="F226" s="252" t="s">
        <v>663</v>
      </c>
      <c r="G226" s="253" t="s">
        <v>738</v>
      </c>
      <c r="H226" s="253" t="s">
        <v>34</v>
      </c>
      <c r="I226" s="253"/>
      <c r="J226" s="253" t="s">
        <v>608</v>
      </c>
      <c r="K226" s="254" t="s">
        <v>48</v>
      </c>
      <c r="L226" s="255"/>
      <c r="M226" s="255" t="s">
        <v>34</v>
      </c>
      <c r="N226" s="254">
        <v>17949</v>
      </c>
      <c r="O226" s="254" t="s">
        <v>1321</v>
      </c>
      <c r="P226" s="258">
        <v>34974</v>
      </c>
      <c r="Q226" s="259">
        <v>418027767.66000003</v>
      </c>
      <c r="R226" s="259">
        <v>325044500.49884915</v>
      </c>
      <c r="S226" s="254">
        <v>1</v>
      </c>
      <c r="T226" s="256">
        <v>8.7767174395047221E-2</v>
      </c>
      <c r="U226" s="256">
        <v>1.134583393921941</v>
      </c>
      <c r="V226" s="256">
        <v>0.1201812092698411</v>
      </c>
      <c r="W226" s="256">
        <v>1.1781777049954387</v>
      </c>
      <c r="X226" s="256">
        <v>0.18405442729038723</v>
      </c>
      <c r="Y226" s="256">
        <v>1.3957181575714794</v>
      </c>
      <c r="Z226" s="256">
        <v>0.20225087311586232</v>
      </c>
      <c r="AA226" s="256">
        <v>1.1496595301496908</v>
      </c>
      <c r="AB226" s="256">
        <v>5.1987493772449288E-3</v>
      </c>
      <c r="AC226" s="260">
        <v>3.1502576362544565</v>
      </c>
      <c r="AD226" s="405">
        <v>0</v>
      </c>
      <c r="AE226" s="257" t="s">
        <v>2306</v>
      </c>
      <c r="AF226" s="257" t="s">
        <v>728</v>
      </c>
      <c r="AG226" s="261" t="s">
        <v>728</v>
      </c>
      <c r="AH226" s="261" t="s">
        <v>2113</v>
      </c>
      <c r="AI226" s="261">
        <v>0</v>
      </c>
      <c r="AJ226" s="261">
        <v>0</v>
      </c>
      <c r="AK226" s="261">
        <v>0</v>
      </c>
      <c r="AL226" s="256">
        <v>4.5000000000000005E-3</v>
      </c>
      <c r="AM226" s="256" t="s">
        <v>34</v>
      </c>
      <c r="AN226" s="256" t="s">
        <v>64</v>
      </c>
      <c r="AO226" s="254" t="s">
        <v>1324</v>
      </c>
      <c r="AP226" s="257" t="s">
        <v>11</v>
      </c>
      <c r="AQ226" s="263" t="s">
        <v>662</v>
      </c>
      <c r="AR226" s="256">
        <v>1.1999999999999999E-3</v>
      </c>
      <c r="AS226" s="256">
        <v>1.1999999999999999E-3</v>
      </c>
      <c r="AT226" s="256"/>
      <c r="AW226" s="508"/>
      <c r="AX226" s="508"/>
      <c r="AY226" s="509"/>
      <c r="AZ226" s="509"/>
      <c r="BA226" s="509"/>
      <c r="BB226" s="510"/>
      <c r="BC226" s="509"/>
      <c r="BD226" s="509"/>
      <c r="BE226" s="509"/>
      <c r="BF226" s="509"/>
      <c r="BG226" s="510"/>
      <c r="BH226" s="510"/>
      <c r="BI226" s="511"/>
      <c r="BJ226" s="511"/>
      <c r="BK226" s="511"/>
      <c r="BL226" s="510"/>
      <c r="BM226" s="510"/>
      <c r="BN226" s="510"/>
      <c r="BO226" s="510"/>
      <c r="BP226" s="510"/>
      <c r="BQ226" s="510"/>
      <c r="BR226" s="510"/>
      <c r="BS226" s="510"/>
      <c r="BT226" s="513"/>
      <c r="BU226" s="514"/>
      <c r="BV226" s="512"/>
      <c r="BW226" s="515"/>
    </row>
    <row r="227" spans="2:75" ht="15.75" customHeight="1">
      <c r="B227" s="250" t="s">
        <v>1275</v>
      </c>
      <c r="C227" s="251">
        <v>4192419000143</v>
      </c>
      <c r="D227" s="252" t="s">
        <v>11</v>
      </c>
      <c r="E227" s="252" t="s">
        <v>620</v>
      </c>
      <c r="F227" s="252" t="s">
        <v>663</v>
      </c>
      <c r="G227" s="253" t="s">
        <v>738</v>
      </c>
      <c r="H227" s="253" t="s">
        <v>34</v>
      </c>
      <c r="I227" s="253"/>
      <c r="J227" s="253" t="s">
        <v>608</v>
      </c>
      <c r="K227" s="254" t="s">
        <v>48</v>
      </c>
      <c r="L227" s="255"/>
      <c r="M227" s="255" t="s">
        <v>34</v>
      </c>
      <c r="N227" s="254">
        <v>184764</v>
      </c>
      <c r="O227" s="254" t="s">
        <v>1321</v>
      </c>
      <c r="P227" s="258">
        <v>38261</v>
      </c>
      <c r="Q227" s="259">
        <v>127929072.45</v>
      </c>
      <c r="R227" s="259">
        <v>233111460.6222617</v>
      </c>
      <c r="S227" s="254">
        <v>1</v>
      </c>
      <c r="T227" s="256">
        <v>4.7327930452094602E-2</v>
      </c>
      <c r="U227" s="256">
        <v>0.61181739448443806</v>
      </c>
      <c r="V227" s="256">
        <v>5.1814406365016108E-2</v>
      </c>
      <c r="W227" s="256">
        <v>0.50795443603640855</v>
      </c>
      <c r="X227" s="256">
        <v>1.2574998932561421E-2</v>
      </c>
      <c r="Y227" s="256">
        <v>9.5358501286834332E-2</v>
      </c>
      <c r="Z227" s="256">
        <v>0.12525474284600357</v>
      </c>
      <c r="AA227" s="256">
        <v>0.71198856445412806</v>
      </c>
      <c r="AB227" s="256">
        <v>2.3651164964613485E-2</v>
      </c>
      <c r="AC227" s="260">
        <v>-1.9598085343138136</v>
      </c>
      <c r="AD227" s="405">
        <v>0</v>
      </c>
      <c r="AE227" s="257" t="s">
        <v>2306</v>
      </c>
      <c r="AF227" s="257" t="s">
        <v>728</v>
      </c>
      <c r="AG227" s="261" t="s">
        <v>728</v>
      </c>
      <c r="AH227" s="261" t="s">
        <v>2113</v>
      </c>
      <c r="AI227" s="261">
        <v>1000</v>
      </c>
      <c r="AJ227" s="261">
        <v>100</v>
      </c>
      <c r="AK227" s="261">
        <v>500</v>
      </c>
      <c r="AL227" s="256">
        <v>8.0000000000000002E-3</v>
      </c>
      <c r="AM227" s="256" t="s">
        <v>34</v>
      </c>
      <c r="AN227" s="256" t="s">
        <v>34</v>
      </c>
      <c r="AO227" s="254" t="s">
        <v>1324</v>
      </c>
      <c r="AP227" s="257" t="s">
        <v>11</v>
      </c>
      <c r="AQ227" s="263" t="s">
        <v>680</v>
      </c>
      <c r="AR227" s="256">
        <v>2.1333333333333334E-3</v>
      </c>
      <c r="AS227" s="256">
        <v>2.1333333333333334E-3</v>
      </c>
      <c r="AT227" s="256"/>
      <c r="AW227" s="508"/>
      <c r="AX227" s="508"/>
      <c r="AY227" s="509"/>
      <c r="AZ227" s="509"/>
      <c r="BA227" s="509"/>
      <c r="BB227" s="510"/>
      <c r="BC227" s="509"/>
      <c r="BD227" s="509"/>
      <c r="BE227" s="509"/>
      <c r="BF227" s="509"/>
      <c r="BG227" s="510"/>
      <c r="BH227" s="510"/>
      <c r="BI227" s="511"/>
      <c r="BJ227" s="511"/>
      <c r="BK227" s="511"/>
      <c r="BL227" s="510"/>
      <c r="BM227" s="510"/>
      <c r="BN227" s="510"/>
      <c r="BO227" s="510"/>
      <c r="BP227" s="510"/>
      <c r="BQ227" s="510"/>
      <c r="BR227" s="510"/>
      <c r="BS227" s="510"/>
      <c r="BT227" s="513"/>
      <c r="BU227" s="514"/>
      <c r="BV227" s="512"/>
      <c r="BW227" s="515"/>
    </row>
    <row r="228" spans="2:75" ht="15.75" customHeight="1">
      <c r="B228" s="250" t="s">
        <v>1282</v>
      </c>
      <c r="C228" s="251">
        <v>3499367000190</v>
      </c>
      <c r="D228" s="252" t="s">
        <v>11</v>
      </c>
      <c r="E228" s="252" t="s">
        <v>620</v>
      </c>
      <c r="F228" s="252" t="s">
        <v>663</v>
      </c>
      <c r="G228" s="253" t="s">
        <v>738</v>
      </c>
      <c r="H228" s="253" t="s">
        <v>34</v>
      </c>
      <c r="I228" s="253" t="s">
        <v>1304</v>
      </c>
      <c r="J228" s="253" t="s">
        <v>608</v>
      </c>
      <c r="K228" s="254" t="s">
        <v>48</v>
      </c>
      <c r="L228" s="255"/>
      <c r="M228" s="255" t="s">
        <v>34</v>
      </c>
      <c r="N228" s="254">
        <v>75124</v>
      </c>
      <c r="O228" s="254" t="s">
        <v>1321</v>
      </c>
      <c r="P228" s="258">
        <v>36606</v>
      </c>
      <c r="Q228" s="259">
        <v>723507014.90999997</v>
      </c>
      <c r="R228" s="259">
        <v>942324645.49666655</v>
      </c>
      <c r="S228" s="254">
        <v>1</v>
      </c>
      <c r="T228" s="256">
        <v>7.6330697299257011E-2</v>
      </c>
      <c r="U228" s="256">
        <v>0.98674182231741603</v>
      </c>
      <c r="V228" s="256">
        <v>9.8654743086780794E-2</v>
      </c>
      <c r="W228" s="256">
        <v>0.96714635759673695</v>
      </c>
      <c r="X228" s="256">
        <v>0.11788167513139092</v>
      </c>
      <c r="Y228" s="256">
        <v>0.89391815697126475</v>
      </c>
      <c r="Z228" s="256">
        <v>0.18364044268339419</v>
      </c>
      <c r="AA228" s="256">
        <v>1.043871810288437</v>
      </c>
      <c r="AB228" s="256">
        <v>9.0630543921202209E-3</v>
      </c>
      <c r="AC228" s="260">
        <v>-0.33180220891450524</v>
      </c>
      <c r="AD228" s="405">
        <v>0</v>
      </c>
      <c r="AE228" s="257" t="s">
        <v>2306</v>
      </c>
      <c r="AF228" s="257" t="s">
        <v>728</v>
      </c>
      <c r="AG228" s="261" t="s">
        <v>728</v>
      </c>
      <c r="AH228" s="261" t="s">
        <v>2113</v>
      </c>
      <c r="AI228" s="261">
        <v>1000</v>
      </c>
      <c r="AJ228" s="261">
        <v>100</v>
      </c>
      <c r="AK228" s="261">
        <v>500</v>
      </c>
      <c r="AL228" s="256">
        <v>4.0000000000000001E-3</v>
      </c>
      <c r="AM228" s="256" t="s">
        <v>34</v>
      </c>
      <c r="AN228" s="256" t="s">
        <v>34</v>
      </c>
      <c r="AO228" s="254" t="s">
        <v>1324</v>
      </c>
      <c r="AP228" s="257" t="s">
        <v>11</v>
      </c>
      <c r="AQ228" s="263" t="s">
        <v>669</v>
      </c>
      <c r="AR228" s="256">
        <v>1.0666666666666667E-3</v>
      </c>
      <c r="AS228" s="256">
        <v>1.0666666666666667E-3</v>
      </c>
      <c r="AT228" s="256"/>
      <c r="AW228" s="508"/>
      <c r="AX228" s="508"/>
      <c r="AY228" s="509"/>
      <c r="AZ228" s="509"/>
      <c r="BA228" s="509"/>
      <c r="BB228" s="510"/>
      <c r="BC228" s="509"/>
      <c r="BD228" s="509"/>
      <c r="BE228" s="509"/>
      <c r="BF228" s="509"/>
      <c r="BG228" s="510"/>
      <c r="BH228" s="510"/>
      <c r="BI228" s="511"/>
      <c r="BJ228" s="511"/>
      <c r="BK228" s="511"/>
      <c r="BL228" s="510"/>
      <c r="BM228" s="510"/>
      <c r="BN228" s="510"/>
      <c r="BO228" s="510"/>
      <c r="BP228" s="510"/>
      <c r="BQ228" s="510"/>
      <c r="BR228" s="510"/>
      <c r="BS228" s="510"/>
      <c r="BT228" s="513"/>
      <c r="BU228" s="514"/>
      <c r="BV228" s="512"/>
      <c r="BW228" s="515"/>
    </row>
    <row r="229" spans="2:75" ht="15.75" customHeight="1">
      <c r="B229" s="250" t="s">
        <v>441</v>
      </c>
      <c r="C229" s="251">
        <v>21646712000152</v>
      </c>
      <c r="D229" s="252" t="s">
        <v>11</v>
      </c>
      <c r="E229" s="252" t="s">
        <v>620</v>
      </c>
      <c r="F229" s="252" t="s">
        <v>663</v>
      </c>
      <c r="G229" s="253" t="s">
        <v>738</v>
      </c>
      <c r="H229" s="253" t="s">
        <v>34</v>
      </c>
      <c r="I229" s="253" t="s">
        <v>34</v>
      </c>
      <c r="J229" s="253" t="s">
        <v>608</v>
      </c>
      <c r="K229" s="254" t="s">
        <v>48</v>
      </c>
      <c r="L229" s="255"/>
      <c r="M229" s="255" t="s">
        <v>1414</v>
      </c>
      <c r="N229" s="254">
        <v>388343</v>
      </c>
      <c r="O229" s="254" t="s">
        <v>1321</v>
      </c>
      <c r="P229" s="258">
        <v>42025</v>
      </c>
      <c r="Q229" s="259">
        <v>13425731.310000001</v>
      </c>
      <c r="R229" s="259">
        <v>15609694.365753962</v>
      </c>
      <c r="S229" s="254">
        <v>1</v>
      </c>
      <c r="T229" s="256">
        <v>7.7280167178874537E-2</v>
      </c>
      <c r="U229" s="256">
        <v>0.9990158047700618</v>
      </c>
      <c r="V229" s="256">
        <v>0.10214482481639253</v>
      </c>
      <c r="W229" s="256">
        <v>1.0013608284563869</v>
      </c>
      <c r="X229" s="256">
        <v>0.12693110531576424</v>
      </c>
      <c r="Y229" s="256">
        <v>0.96254162998383119</v>
      </c>
      <c r="Z229" s="256">
        <v>0.14960973931673793</v>
      </c>
      <c r="AA229" s="256">
        <v>0.85043025999776933</v>
      </c>
      <c r="AB229" s="256">
        <v>1.745957347202618E-3</v>
      </c>
      <c r="AC229" s="260">
        <v>7.2360444720658876E-2</v>
      </c>
      <c r="AD229" s="405">
        <v>0</v>
      </c>
      <c r="AE229" s="257" t="s">
        <v>2442</v>
      </c>
      <c r="AF229" s="257" t="s">
        <v>2109</v>
      </c>
      <c r="AG229" s="261" t="s">
        <v>1432</v>
      </c>
      <c r="AH229" s="261" t="s">
        <v>2113</v>
      </c>
      <c r="AI229" s="261">
        <v>1000</v>
      </c>
      <c r="AJ229" s="261">
        <v>1000</v>
      </c>
      <c r="AK229" s="261">
        <v>1000</v>
      </c>
      <c r="AL229" s="256">
        <v>5.0000000000000001E-3</v>
      </c>
      <c r="AM229" s="256" t="s">
        <v>34</v>
      </c>
      <c r="AN229" s="256" t="s">
        <v>64</v>
      </c>
      <c r="AO229" s="254" t="s">
        <v>1324</v>
      </c>
      <c r="AP229" s="257" t="s">
        <v>11</v>
      </c>
      <c r="AQ229" s="263" t="s">
        <v>675</v>
      </c>
      <c r="AR229" s="256" t="s">
        <v>34</v>
      </c>
      <c r="AS229" s="256" t="s">
        <v>34</v>
      </c>
      <c r="AT229" s="256"/>
      <c r="AW229" s="508"/>
      <c r="AX229" s="508"/>
      <c r="AY229" s="509"/>
      <c r="AZ229" s="509"/>
      <c r="BA229" s="509"/>
      <c r="BB229" s="510"/>
      <c r="BC229" s="509"/>
      <c r="BD229" s="509"/>
      <c r="BE229" s="509"/>
      <c r="BF229" s="509"/>
      <c r="BG229" s="510"/>
      <c r="BH229" s="510"/>
      <c r="BI229" s="511"/>
      <c r="BJ229" s="511"/>
      <c r="BK229" s="511"/>
      <c r="BL229" s="510"/>
      <c r="BM229" s="510"/>
      <c r="BN229" s="510"/>
      <c r="BO229" s="510"/>
      <c r="BP229" s="510"/>
      <c r="BQ229" s="510"/>
      <c r="BR229" s="510"/>
      <c r="BS229" s="510"/>
      <c r="BT229" s="513"/>
      <c r="BU229" s="514"/>
      <c r="BV229" s="512"/>
      <c r="BW229" s="515"/>
    </row>
    <row r="230" spans="2:75" ht="15.75" customHeight="1">
      <c r="B230" s="250" t="s">
        <v>1517</v>
      </c>
      <c r="C230" s="251">
        <v>31094141000144</v>
      </c>
      <c r="D230" s="252" t="s">
        <v>11</v>
      </c>
      <c r="E230" s="252" t="s">
        <v>621</v>
      </c>
      <c r="F230" s="252" t="s">
        <v>692</v>
      </c>
      <c r="G230" s="253" t="s">
        <v>738</v>
      </c>
      <c r="H230" s="253" t="s">
        <v>34</v>
      </c>
      <c r="I230" s="253"/>
      <c r="J230" s="253" t="s">
        <v>608</v>
      </c>
      <c r="K230" s="254" t="s">
        <v>48</v>
      </c>
      <c r="L230" s="255"/>
      <c r="M230" s="255"/>
      <c r="N230" s="254">
        <v>483397</v>
      </c>
      <c r="O230" s="254" t="s">
        <v>1321</v>
      </c>
      <c r="P230" s="258">
        <v>43437</v>
      </c>
      <c r="Q230" s="259">
        <v>455939987.19</v>
      </c>
      <c r="R230" s="259">
        <v>307048351.8189683</v>
      </c>
      <c r="S230" s="254">
        <v>1</v>
      </c>
      <c r="T230" s="256">
        <v>0.10413866731996868</v>
      </c>
      <c r="U230" s="256">
        <v>1.1713427243194452</v>
      </c>
      <c r="V230" s="256">
        <v>0.1341114632187419</v>
      </c>
      <c r="W230" s="256">
        <v>1.2308359041450307</v>
      </c>
      <c r="X230" s="256">
        <v>0.26247690632805543</v>
      </c>
      <c r="Y230" s="256">
        <v>1.8456826029504951</v>
      </c>
      <c r="Z230" s="256">
        <v>0.25921698148286754</v>
      </c>
      <c r="AA230" s="256">
        <v>1.4165077045582244</v>
      </c>
      <c r="AB230" s="256">
        <v>6.1871561964916373E-3</v>
      </c>
      <c r="AC230" s="260">
        <v>3.6293707395162902</v>
      </c>
      <c r="AD230" s="405">
        <v>0</v>
      </c>
      <c r="AE230" s="257" t="s">
        <v>2144</v>
      </c>
      <c r="AF230" s="257" t="s">
        <v>2109</v>
      </c>
      <c r="AG230" s="261" t="s">
        <v>1432</v>
      </c>
      <c r="AH230" s="261" t="s">
        <v>2170</v>
      </c>
      <c r="AI230" s="261">
        <v>1000</v>
      </c>
      <c r="AJ230" s="261">
        <v>1000</v>
      </c>
      <c r="AK230" s="261">
        <v>1000</v>
      </c>
      <c r="AL230" s="256">
        <v>0</v>
      </c>
      <c r="AM230" s="256" t="s">
        <v>34</v>
      </c>
      <c r="AN230" s="256" t="s">
        <v>34</v>
      </c>
      <c r="AO230" s="254" t="s">
        <v>1324</v>
      </c>
      <c r="AP230" s="257" t="s">
        <v>11</v>
      </c>
      <c r="AQ230" s="263" t="s">
        <v>675</v>
      </c>
      <c r="AR230" s="256" t="s">
        <v>34</v>
      </c>
      <c r="AS230" s="256" t="s">
        <v>34</v>
      </c>
      <c r="AT230" s="256"/>
      <c r="AW230" s="508"/>
      <c r="AX230" s="508"/>
      <c r="AY230" s="509"/>
      <c r="AZ230" s="509"/>
      <c r="BA230" s="509"/>
      <c r="BB230" s="510"/>
      <c r="BC230" s="509"/>
      <c r="BD230" s="509"/>
      <c r="BE230" s="509"/>
      <c r="BF230" s="509"/>
      <c r="BG230" s="510"/>
      <c r="BH230" s="510"/>
      <c r="BI230" s="511"/>
      <c r="BJ230" s="511"/>
      <c r="BK230" s="511"/>
      <c r="BL230" s="195"/>
      <c r="BM230" s="510"/>
      <c r="BN230" s="510"/>
      <c r="BO230" s="510"/>
      <c r="BP230" s="510"/>
      <c r="BQ230" s="510"/>
      <c r="BR230" s="510"/>
      <c r="BS230" s="510"/>
      <c r="BT230" s="513"/>
      <c r="BU230" s="514"/>
      <c r="BV230" s="512"/>
      <c r="BW230" s="515"/>
    </row>
    <row r="231" spans="2:75" ht="15.75" customHeight="1">
      <c r="B231" s="250" t="s">
        <v>151</v>
      </c>
      <c r="C231" s="251">
        <v>888897000131</v>
      </c>
      <c r="D231" s="252" t="s">
        <v>13</v>
      </c>
      <c r="E231" s="252" t="s">
        <v>616</v>
      </c>
      <c r="F231" s="252" t="s">
        <v>617</v>
      </c>
      <c r="G231" s="253" t="s">
        <v>34</v>
      </c>
      <c r="H231" s="253" t="s">
        <v>1337</v>
      </c>
      <c r="I231" s="253" t="s">
        <v>34</v>
      </c>
      <c r="J231" s="253" t="s">
        <v>608</v>
      </c>
      <c r="K231" s="254" t="s">
        <v>48</v>
      </c>
      <c r="L231" s="255"/>
      <c r="M231" s="255" t="s">
        <v>34</v>
      </c>
      <c r="N231" s="254">
        <v>22780</v>
      </c>
      <c r="O231" s="254" t="s">
        <v>1321</v>
      </c>
      <c r="P231" s="258">
        <v>35003</v>
      </c>
      <c r="Q231" s="259">
        <v>44507481.700000003</v>
      </c>
      <c r="R231" s="259">
        <v>34406624.464166664</v>
      </c>
      <c r="S231" s="254">
        <v>1</v>
      </c>
      <c r="T231" s="256">
        <v>0.11406879154823502</v>
      </c>
      <c r="U231" s="256">
        <v>1.4745895324468166</v>
      </c>
      <c r="V231" s="256">
        <v>0.12898379619745737</v>
      </c>
      <c r="W231" s="256">
        <v>1.264472490406658</v>
      </c>
      <c r="X231" s="256">
        <v>0.18860993118418667</v>
      </c>
      <c r="Y231" s="256">
        <v>1.4302633711535029</v>
      </c>
      <c r="Z231" s="256">
        <v>0.20485447799657486</v>
      </c>
      <c r="AA231" s="256">
        <v>1.1644592643498033</v>
      </c>
      <c r="AB231" s="256">
        <v>1.7124360348756799E-2</v>
      </c>
      <c r="AC231" s="260">
        <v>1.4214012585426599</v>
      </c>
      <c r="AD231" s="405">
        <v>0</v>
      </c>
      <c r="AE231" s="257" t="s">
        <v>2144</v>
      </c>
      <c r="AF231" s="257" t="s">
        <v>2109</v>
      </c>
      <c r="AG231" s="261" t="s">
        <v>1432</v>
      </c>
      <c r="AH231" s="261" t="s">
        <v>2113</v>
      </c>
      <c r="AI231" s="261">
        <v>1000</v>
      </c>
      <c r="AJ231" s="261">
        <v>1000</v>
      </c>
      <c r="AK231" s="261">
        <v>1000</v>
      </c>
      <c r="AL231" s="256">
        <v>1.4999999999999999E-2</v>
      </c>
      <c r="AM231" s="256">
        <v>0.2</v>
      </c>
      <c r="AN231" s="256" t="s">
        <v>2127</v>
      </c>
      <c r="AO231" s="254" t="s">
        <v>1324</v>
      </c>
      <c r="AP231" s="257" t="s">
        <v>13</v>
      </c>
      <c r="AQ231" s="263" t="s">
        <v>664</v>
      </c>
      <c r="AR231" s="256">
        <v>5.2499999999999995E-3</v>
      </c>
      <c r="AS231" s="256">
        <v>5.2499999999999995E-3</v>
      </c>
      <c r="AT231" s="256"/>
      <c r="AW231" s="508"/>
      <c r="AX231" s="508"/>
      <c r="AY231" s="509"/>
      <c r="AZ231" s="509"/>
      <c r="BA231" s="509"/>
      <c r="BB231" s="510"/>
      <c r="BC231" s="509"/>
      <c r="BD231" s="509"/>
      <c r="BE231" s="509"/>
      <c r="BF231" s="509"/>
      <c r="BG231" s="510"/>
      <c r="BH231" s="510"/>
      <c r="BI231" s="511"/>
      <c r="BJ231" s="511"/>
      <c r="BK231" s="511"/>
      <c r="BL231" s="510"/>
      <c r="BM231" s="510"/>
      <c r="BN231" s="510"/>
      <c r="BO231" s="510"/>
      <c r="BP231" s="510"/>
      <c r="BQ231" s="510"/>
      <c r="BR231" s="510"/>
      <c r="BS231" s="510"/>
      <c r="BT231" s="513"/>
      <c r="BU231" s="514"/>
      <c r="BV231" s="512"/>
      <c r="BW231" s="515"/>
    </row>
    <row r="232" spans="2:75" ht="15.75" customHeight="1">
      <c r="B232" s="250" t="s">
        <v>107</v>
      </c>
      <c r="C232" s="251">
        <v>10320188000109</v>
      </c>
      <c r="D232" s="252" t="s">
        <v>13</v>
      </c>
      <c r="E232" s="252" t="s">
        <v>615</v>
      </c>
      <c r="F232" s="252" t="s">
        <v>619</v>
      </c>
      <c r="G232" s="253" t="s">
        <v>34</v>
      </c>
      <c r="H232" s="253" t="s">
        <v>1337</v>
      </c>
      <c r="I232" s="253" t="s">
        <v>34</v>
      </c>
      <c r="J232" s="253"/>
      <c r="K232" s="254" t="s">
        <v>48</v>
      </c>
      <c r="L232" s="255"/>
      <c r="M232" s="255" t="s">
        <v>1414</v>
      </c>
      <c r="N232" s="254">
        <v>221260</v>
      </c>
      <c r="O232" s="254" t="s">
        <v>1321</v>
      </c>
      <c r="P232" s="258">
        <v>39780</v>
      </c>
      <c r="Q232" s="259">
        <v>329942442</v>
      </c>
      <c r="R232" s="259">
        <v>214361759.88587308</v>
      </c>
      <c r="S232" s="254">
        <v>1</v>
      </c>
      <c r="T232" s="256">
        <v>0.10020470134352322</v>
      </c>
      <c r="U232" s="256">
        <v>1.2953657323584147</v>
      </c>
      <c r="V232" s="256">
        <v>0.13322571253882454</v>
      </c>
      <c r="W232" s="256">
        <v>1.306057454397437</v>
      </c>
      <c r="X232" s="256">
        <v>0.1577419646636371</v>
      </c>
      <c r="Y232" s="256">
        <v>1.1961859735364031</v>
      </c>
      <c r="Z232" s="256">
        <v>0.18430891446767128</v>
      </c>
      <c r="AA232" s="256">
        <v>1.0476716206209742</v>
      </c>
      <c r="AB232" s="256">
        <v>1.4902040144529928E-2</v>
      </c>
      <c r="AC232" s="260">
        <v>1.8827917095473528</v>
      </c>
      <c r="AD232" s="405">
        <v>0</v>
      </c>
      <c r="AE232" s="257" t="s">
        <v>2164</v>
      </c>
      <c r="AF232" s="257" t="s">
        <v>2109</v>
      </c>
      <c r="AG232" s="261" t="s">
        <v>1432</v>
      </c>
      <c r="AH232" s="261" t="s">
        <v>2113</v>
      </c>
      <c r="AI232" s="261">
        <v>500</v>
      </c>
      <c r="AJ232" s="261">
        <v>300</v>
      </c>
      <c r="AK232" s="261">
        <v>300</v>
      </c>
      <c r="AL232" s="519">
        <v>8.5000000000000006E-3</v>
      </c>
      <c r="AM232" s="519">
        <v>0.2</v>
      </c>
      <c r="AN232" s="256" t="s">
        <v>34</v>
      </c>
      <c r="AO232" s="254" t="s">
        <v>1324</v>
      </c>
      <c r="AP232" s="257" t="s">
        <v>13</v>
      </c>
      <c r="AQ232" s="263" t="s">
        <v>686</v>
      </c>
      <c r="AR232" s="256">
        <v>2.5500000000000002E-3</v>
      </c>
      <c r="AS232" s="256">
        <v>2.5500000000000002E-3</v>
      </c>
      <c r="AT232" s="256"/>
      <c r="AW232" s="508"/>
      <c r="AX232" s="508"/>
      <c r="AY232" s="509"/>
      <c r="AZ232" s="509"/>
      <c r="BA232" s="509"/>
      <c r="BB232" s="510"/>
      <c r="BC232" s="509"/>
      <c r="BD232" s="509"/>
      <c r="BE232" s="509"/>
      <c r="BF232" s="509"/>
      <c r="BG232" s="510"/>
      <c r="BH232" s="510"/>
      <c r="BI232" s="511"/>
      <c r="BJ232" s="511"/>
      <c r="BK232" s="511"/>
      <c r="BL232" s="510"/>
      <c r="BM232" s="510"/>
      <c r="BN232" s="510"/>
      <c r="BO232" s="510"/>
      <c r="BP232" s="510"/>
      <c r="BQ232" s="510"/>
      <c r="BR232" s="510"/>
      <c r="BS232" s="510"/>
      <c r="BT232" s="513"/>
      <c r="BU232" s="514"/>
      <c r="BV232" s="512"/>
      <c r="BW232" s="515"/>
    </row>
    <row r="233" spans="2:75" ht="15.75" customHeight="1">
      <c r="B233" s="250" t="s">
        <v>108</v>
      </c>
      <c r="C233" s="251">
        <v>4455632000109</v>
      </c>
      <c r="D233" s="252" t="s">
        <v>13</v>
      </c>
      <c r="E233" s="252" t="s">
        <v>615</v>
      </c>
      <c r="F233" s="252" t="s">
        <v>619</v>
      </c>
      <c r="G233" s="253" t="s">
        <v>34</v>
      </c>
      <c r="H233" s="253" t="s">
        <v>1337</v>
      </c>
      <c r="I233" s="253" t="s">
        <v>34</v>
      </c>
      <c r="J233" s="253"/>
      <c r="K233" s="254" t="s">
        <v>48</v>
      </c>
      <c r="L233" s="255"/>
      <c r="M233" s="255" t="s">
        <v>34</v>
      </c>
      <c r="N233" s="254">
        <v>350631</v>
      </c>
      <c r="O233" s="254" t="s">
        <v>1321</v>
      </c>
      <c r="P233" s="258">
        <v>37039</v>
      </c>
      <c r="Q233" s="259">
        <v>177946135.25999999</v>
      </c>
      <c r="R233" s="259">
        <v>250700079.09988096</v>
      </c>
      <c r="S233" s="254">
        <v>1</v>
      </c>
      <c r="T233" s="256">
        <v>0.11833606208680658</v>
      </c>
      <c r="U233" s="256">
        <v>1.5297533715906326</v>
      </c>
      <c r="V233" s="256">
        <v>0.11535194712702213</v>
      </c>
      <c r="W233" s="256">
        <v>1.1308347882215464</v>
      </c>
      <c r="X233" s="256">
        <v>0.11957837794516624</v>
      </c>
      <c r="Y233" s="256">
        <v>0.90678456263208917</v>
      </c>
      <c r="Z233" s="256">
        <v>0.20637061691327419</v>
      </c>
      <c r="AA233" s="256">
        <v>1.1730774894667633</v>
      </c>
      <c r="AB233" s="256">
        <v>3.1724181902318842E-2</v>
      </c>
      <c r="AC233" s="260">
        <v>0.39536548207271061</v>
      </c>
      <c r="AD233" s="405">
        <v>0</v>
      </c>
      <c r="AE233" s="257" t="s">
        <v>2164</v>
      </c>
      <c r="AF233" s="257" t="s">
        <v>2118</v>
      </c>
      <c r="AG233" s="261" t="s">
        <v>1433</v>
      </c>
      <c r="AH233" s="261" t="s">
        <v>2113</v>
      </c>
      <c r="AI233" s="261">
        <v>1000</v>
      </c>
      <c r="AJ233" s="261">
        <v>500</v>
      </c>
      <c r="AK233" s="261">
        <v>500</v>
      </c>
      <c r="AL233" s="519">
        <v>1.4999999999999999E-2</v>
      </c>
      <c r="AM233" s="519">
        <v>0.2</v>
      </c>
      <c r="AN233" s="256" t="s">
        <v>64</v>
      </c>
      <c r="AO233" s="254" t="s">
        <v>1324</v>
      </c>
      <c r="AP233" s="257" t="s">
        <v>13</v>
      </c>
      <c r="AQ233" s="263" t="s">
        <v>664</v>
      </c>
      <c r="AR233" s="256">
        <v>4.0000000000000001E-3</v>
      </c>
      <c r="AS233" s="256">
        <v>4.0000000000000001E-3</v>
      </c>
      <c r="AT233" s="256"/>
      <c r="AW233" s="508"/>
      <c r="AX233" s="508"/>
      <c r="AY233" s="509"/>
      <c r="AZ233" s="509"/>
      <c r="BA233" s="509"/>
      <c r="BB233" s="510"/>
      <c r="BC233" s="509"/>
      <c r="BD233" s="509"/>
      <c r="BE233" s="509"/>
      <c r="BF233" s="509"/>
      <c r="BG233" s="510"/>
      <c r="BH233" s="510"/>
      <c r="BI233" s="511"/>
      <c r="BJ233" s="511"/>
      <c r="BK233" s="511"/>
      <c r="BL233" s="510"/>
      <c r="BM233" s="510"/>
      <c r="BN233" s="510"/>
      <c r="BO233" s="510"/>
      <c r="BP233" s="510"/>
      <c r="BQ233" s="510"/>
      <c r="BR233" s="510"/>
      <c r="BS233" s="510"/>
      <c r="BT233" s="513"/>
      <c r="BU233" s="514"/>
      <c r="BV233" s="512"/>
      <c r="BW233" s="515"/>
    </row>
    <row r="234" spans="2:75" ht="15.75" customHeight="1">
      <c r="B234" s="250" t="s">
        <v>1500</v>
      </c>
      <c r="C234" s="251">
        <v>6015368000100</v>
      </c>
      <c r="D234" s="252" t="s">
        <v>13</v>
      </c>
      <c r="E234" s="252" t="s">
        <v>615</v>
      </c>
      <c r="F234" s="252" t="s">
        <v>619</v>
      </c>
      <c r="G234" s="253" t="s">
        <v>34</v>
      </c>
      <c r="H234" s="253" t="s">
        <v>1337</v>
      </c>
      <c r="I234" s="253"/>
      <c r="J234" s="253" t="s">
        <v>608</v>
      </c>
      <c r="K234" s="254" t="s">
        <v>48</v>
      </c>
      <c r="L234" s="255"/>
      <c r="M234" s="255"/>
      <c r="N234" s="254">
        <v>158666</v>
      </c>
      <c r="O234" s="254" t="s">
        <v>1321</v>
      </c>
      <c r="P234" s="258">
        <v>38897</v>
      </c>
      <c r="Q234" s="259">
        <v>18582258987.48</v>
      </c>
      <c r="R234" s="259">
        <v>16582637115.111073</v>
      </c>
      <c r="S234" s="254">
        <v>1</v>
      </c>
      <c r="T234" s="256">
        <v>8.2759805332978775E-2</v>
      </c>
      <c r="U234" s="256">
        <v>0.93087513348934481</v>
      </c>
      <c r="V234" s="256">
        <v>0.10242625528549953</v>
      </c>
      <c r="W234" s="256">
        <v>0.94003830475618477</v>
      </c>
      <c r="X234" s="256">
        <v>0.14085672739394406</v>
      </c>
      <c r="Y234" s="256">
        <v>0.99047499033919695</v>
      </c>
      <c r="Z234" s="256">
        <v>0.19273966963985689</v>
      </c>
      <c r="AA234" s="256">
        <v>1.0532382001250513</v>
      </c>
      <c r="AB234" s="256">
        <v>4.6113378126949921E-3</v>
      </c>
      <c r="AC234" s="260">
        <v>-1.2798014097627102</v>
      </c>
      <c r="AD234" s="405">
        <v>12013309000103</v>
      </c>
      <c r="AE234" s="257" t="s">
        <v>2169</v>
      </c>
      <c r="AF234" s="257" t="s">
        <v>2169</v>
      </c>
      <c r="AG234" s="261" t="s">
        <v>1435</v>
      </c>
      <c r="AH234" s="261" t="s">
        <v>2113</v>
      </c>
      <c r="AI234" s="261">
        <v>0</v>
      </c>
      <c r="AJ234" s="261">
        <v>0</v>
      </c>
      <c r="AK234" s="261">
        <v>0</v>
      </c>
      <c r="AL234" s="256">
        <v>5.0000000000000001E-3</v>
      </c>
      <c r="AM234" s="256">
        <v>0.2</v>
      </c>
      <c r="AN234" s="256" t="s">
        <v>64</v>
      </c>
      <c r="AO234" s="254" t="s">
        <v>1324</v>
      </c>
      <c r="AP234" s="257" t="s">
        <v>13</v>
      </c>
      <c r="AQ234" s="263" t="s">
        <v>688</v>
      </c>
      <c r="AR234" s="256" t="s">
        <v>34</v>
      </c>
      <c r="AS234" s="256" t="s">
        <v>34</v>
      </c>
      <c r="AT234" s="256"/>
      <c r="AW234" s="508"/>
      <c r="AX234" s="508"/>
      <c r="AY234" s="509"/>
      <c r="AZ234" s="509"/>
      <c r="BA234" s="509"/>
      <c r="BB234" s="510"/>
      <c r="BC234" s="509"/>
      <c r="BD234" s="509"/>
      <c r="BE234" s="509"/>
      <c r="BF234" s="509"/>
      <c r="BG234" s="510"/>
      <c r="BH234" s="510"/>
      <c r="BI234" s="511"/>
      <c r="BJ234" s="511"/>
      <c r="BK234" s="511"/>
      <c r="BL234" s="510"/>
      <c r="BM234" s="510"/>
      <c r="BN234" s="510"/>
      <c r="BO234" s="510"/>
      <c r="BP234" s="510"/>
      <c r="BQ234" s="510"/>
      <c r="BR234" s="510"/>
      <c r="BS234" s="510"/>
      <c r="BT234" s="513"/>
      <c r="BU234" s="514"/>
      <c r="BV234" s="512"/>
      <c r="BW234" s="515"/>
    </row>
    <row r="235" spans="2:75" ht="15.75" customHeight="1">
      <c r="B235" s="250" t="s">
        <v>1501</v>
      </c>
      <c r="C235" s="251">
        <v>12013309000103</v>
      </c>
      <c r="D235" s="252" t="s">
        <v>13</v>
      </c>
      <c r="E235" s="252" t="s">
        <v>615</v>
      </c>
      <c r="F235" s="252" t="s">
        <v>619</v>
      </c>
      <c r="G235" s="253" t="s">
        <v>34</v>
      </c>
      <c r="H235" s="253" t="s">
        <v>1337</v>
      </c>
      <c r="I235" s="253"/>
      <c r="J235" s="253" t="s">
        <v>608</v>
      </c>
      <c r="K235" s="254" t="s">
        <v>48</v>
      </c>
      <c r="L235" s="255"/>
      <c r="M235" s="255"/>
      <c r="N235" s="254">
        <v>254843</v>
      </c>
      <c r="O235" s="254" t="s">
        <v>1321</v>
      </c>
      <c r="P235" s="258">
        <v>40417</v>
      </c>
      <c r="Q235" s="259">
        <v>18934320424.740002</v>
      </c>
      <c r="R235" s="259">
        <v>17357986246.126011</v>
      </c>
      <c r="S235" s="254">
        <v>1</v>
      </c>
      <c r="T235" s="256">
        <v>8.6854205957492381E-2</v>
      </c>
      <c r="U235" s="256">
        <v>0.9769285976386155</v>
      </c>
      <c r="V235" s="256">
        <v>0.10799844645810786</v>
      </c>
      <c r="W235" s="256">
        <v>0.99117825055500042</v>
      </c>
      <c r="X235" s="256">
        <v>0.15405757469676296</v>
      </c>
      <c r="Y235" s="256">
        <v>1.0833005823193418</v>
      </c>
      <c r="Z235" s="256">
        <v>0.21486499469739506</v>
      </c>
      <c r="AA235" s="256">
        <v>1.174143448039642</v>
      </c>
      <c r="AB235" s="256">
        <v>4.7036663184748138E-3</v>
      </c>
      <c r="AC235" s="260">
        <v>-0.18228721219379451</v>
      </c>
      <c r="AD235" s="405">
        <v>0</v>
      </c>
      <c r="AE235" s="257" t="s">
        <v>2169</v>
      </c>
      <c r="AF235" s="257" t="s">
        <v>2169</v>
      </c>
      <c r="AG235" s="261" t="s">
        <v>1435</v>
      </c>
      <c r="AH235" s="261" t="s">
        <v>2170</v>
      </c>
      <c r="AI235" s="261">
        <v>0</v>
      </c>
      <c r="AJ235" s="261">
        <v>0</v>
      </c>
      <c r="AK235" s="261">
        <v>0</v>
      </c>
      <c r="AL235" s="256">
        <v>5.0000000000000001E-3</v>
      </c>
      <c r="AM235" s="256" t="s">
        <v>34</v>
      </c>
      <c r="AN235" s="256" t="s">
        <v>64</v>
      </c>
      <c r="AO235" s="254" t="s">
        <v>1324</v>
      </c>
      <c r="AP235" s="257" t="s">
        <v>13</v>
      </c>
      <c r="AQ235" s="263" t="s">
        <v>688</v>
      </c>
      <c r="AR235" s="256" t="s">
        <v>34</v>
      </c>
      <c r="AS235" s="256" t="s">
        <v>34</v>
      </c>
      <c r="AT235" s="256"/>
      <c r="AW235" s="508"/>
      <c r="AX235" s="508"/>
      <c r="AY235" s="509"/>
      <c r="AZ235" s="509"/>
      <c r="BA235" s="509"/>
      <c r="BB235" s="510"/>
      <c r="BC235" s="509"/>
      <c r="BD235" s="509"/>
      <c r="BE235" s="509"/>
      <c r="BF235" s="509"/>
      <c r="BG235" s="510"/>
      <c r="BH235" s="510"/>
      <c r="BI235" s="511"/>
      <c r="BJ235" s="511"/>
      <c r="BK235" s="511"/>
      <c r="BL235" s="195"/>
      <c r="BM235" s="510"/>
      <c r="BN235" s="510"/>
      <c r="BO235" s="510"/>
      <c r="BP235" s="510"/>
      <c r="BQ235" s="510"/>
      <c r="BR235" s="510"/>
      <c r="BS235" s="510"/>
      <c r="BT235" s="513"/>
      <c r="BU235" s="514"/>
      <c r="BV235" s="512"/>
      <c r="BW235" s="515"/>
    </row>
    <row r="236" spans="2:75" ht="15.75" customHeight="1">
      <c r="B236" s="250" t="s">
        <v>1520</v>
      </c>
      <c r="C236" s="251">
        <v>33598974000178</v>
      </c>
      <c r="D236" s="252" t="s">
        <v>13</v>
      </c>
      <c r="E236" s="252" t="s">
        <v>615</v>
      </c>
      <c r="F236" s="252" t="s">
        <v>619</v>
      </c>
      <c r="G236" s="253"/>
      <c r="H236" s="253" t="s">
        <v>1337</v>
      </c>
      <c r="I236" s="253"/>
      <c r="J236" s="253" t="s">
        <v>611</v>
      </c>
      <c r="K236" s="254" t="s">
        <v>48</v>
      </c>
      <c r="L236" s="255"/>
      <c r="M236" s="255"/>
      <c r="N236" s="254">
        <v>503576</v>
      </c>
      <c r="O236" s="254" t="s">
        <v>1321</v>
      </c>
      <c r="P236" s="258">
        <v>43677</v>
      </c>
      <c r="Q236" s="259">
        <v>33157384.32</v>
      </c>
      <c r="R236" s="259">
        <v>56538228.269206367</v>
      </c>
      <c r="S236" s="254">
        <v>1</v>
      </c>
      <c r="T236" s="256">
        <v>0.17188820438883479</v>
      </c>
      <c r="U236" s="256">
        <v>1.9333836584308608</v>
      </c>
      <c r="V236" s="256">
        <v>0.15884091279882395</v>
      </c>
      <c r="W236" s="256">
        <v>1.4577955815833692</v>
      </c>
      <c r="X236" s="256">
        <v>0.18706892956235022</v>
      </c>
      <c r="Y236" s="256">
        <v>1.3154295121654154</v>
      </c>
      <c r="Z236" s="256">
        <v>0.19480049400561694</v>
      </c>
      <c r="AA236" s="256">
        <v>1.0644997061233894</v>
      </c>
      <c r="AB236" s="256">
        <v>3.6387801311359241E-2</v>
      </c>
      <c r="AC236" s="260">
        <v>1.2278470545135363</v>
      </c>
      <c r="AD236" s="405">
        <v>0</v>
      </c>
      <c r="AE236" s="257" t="s">
        <v>2144</v>
      </c>
      <c r="AF236" s="257" t="s">
        <v>2109</v>
      </c>
      <c r="AG236" s="261" t="s">
        <v>1432</v>
      </c>
      <c r="AH236" s="261" t="s">
        <v>2170</v>
      </c>
      <c r="AI236" s="261">
        <v>25000</v>
      </c>
      <c r="AJ236" s="261">
        <v>10000</v>
      </c>
      <c r="AK236" s="261">
        <v>25000</v>
      </c>
      <c r="AL236" s="256">
        <v>0</v>
      </c>
      <c r="AM236" s="256" t="s">
        <v>34</v>
      </c>
      <c r="AN236" s="256" t="s">
        <v>34</v>
      </c>
      <c r="AO236" s="254" t="s">
        <v>1324</v>
      </c>
      <c r="AP236" s="257" t="s">
        <v>13</v>
      </c>
      <c r="AQ236" s="263" t="s">
        <v>668</v>
      </c>
      <c r="AR236" s="256" t="s">
        <v>34</v>
      </c>
      <c r="AS236" s="256" t="s">
        <v>34</v>
      </c>
      <c r="AT236" s="256"/>
      <c r="AW236" s="508"/>
      <c r="AX236" s="508"/>
      <c r="AY236" s="509"/>
      <c r="AZ236" s="509"/>
      <c r="BA236" s="509"/>
      <c r="BB236" s="510"/>
      <c r="BC236" s="509"/>
      <c r="BD236" s="509"/>
      <c r="BE236" s="509"/>
      <c r="BF236" s="509"/>
      <c r="BG236" s="510"/>
      <c r="BH236" s="510"/>
      <c r="BI236" s="511"/>
      <c r="BJ236" s="511"/>
      <c r="BK236" s="511"/>
      <c r="BL236" s="510"/>
      <c r="BM236" s="510"/>
      <c r="BN236" s="510"/>
      <c r="BO236" s="510"/>
      <c r="BP236" s="510"/>
      <c r="BQ236" s="510"/>
      <c r="BR236" s="510"/>
      <c r="BS236" s="510"/>
      <c r="BT236" s="513"/>
      <c r="BU236" s="514"/>
      <c r="BV236" s="512"/>
      <c r="BW236" s="515"/>
    </row>
    <row r="237" spans="2:75" ht="15.75" customHeight="1">
      <c r="B237" s="250" t="s">
        <v>856</v>
      </c>
      <c r="C237" s="251">
        <v>9083998000100</v>
      </c>
      <c r="D237" s="252" t="s">
        <v>13</v>
      </c>
      <c r="E237" s="252" t="s">
        <v>615</v>
      </c>
      <c r="F237" s="252" t="s">
        <v>619</v>
      </c>
      <c r="G237" s="253" t="s">
        <v>34</v>
      </c>
      <c r="H237" s="253" t="s">
        <v>1337</v>
      </c>
      <c r="I237" s="253" t="s">
        <v>34</v>
      </c>
      <c r="J237" s="253" t="s">
        <v>608</v>
      </c>
      <c r="K237" s="254" t="s">
        <v>48</v>
      </c>
      <c r="L237" s="255"/>
      <c r="M237" s="255" t="s">
        <v>1414</v>
      </c>
      <c r="N237" s="254">
        <v>208728</v>
      </c>
      <c r="O237" s="254" t="s">
        <v>1321</v>
      </c>
      <c r="P237" s="258">
        <v>39567</v>
      </c>
      <c r="Q237" s="259">
        <v>3159947.32</v>
      </c>
      <c r="R237" s="259">
        <v>4049910.1230555563</v>
      </c>
      <c r="S237" s="254">
        <v>1</v>
      </c>
      <c r="T237" s="256">
        <v>8.7541084773088418E-2</v>
      </c>
      <c r="U237" s="256">
        <v>1.1316606892503978</v>
      </c>
      <c r="V237" s="256">
        <v>9.7241311281359932E-2</v>
      </c>
      <c r="W237" s="256">
        <v>0.9532899997618004</v>
      </c>
      <c r="X237" s="256">
        <v>7.6039440498939292E-2</v>
      </c>
      <c r="Y237" s="256">
        <v>0.57662089067003175</v>
      </c>
      <c r="Z237" s="256">
        <v>0.11067566099799042</v>
      </c>
      <c r="AA237" s="256">
        <v>0.62911633686280921</v>
      </c>
      <c r="AB237" s="256">
        <v>2.581795900447768E-2</v>
      </c>
      <c r="AC237" s="260">
        <v>-0.15508647963157407</v>
      </c>
      <c r="AD237" s="405">
        <v>0</v>
      </c>
      <c r="AE237" s="257" t="s">
        <v>2123</v>
      </c>
      <c r="AF237" s="257" t="s">
        <v>2109</v>
      </c>
      <c r="AG237" s="261" t="s">
        <v>1432</v>
      </c>
      <c r="AH237" s="261" t="s">
        <v>2110</v>
      </c>
      <c r="AI237" s="261">
        <v>0</v>
      </c>
      <c r="AJ237" s="261">
        <v>0</v>
      </c>
      <c r="AK237" s="261">
        <v>0</v>
      </c>
      <c r="AL237" s="256">
        <v>2E-3</v>
      </c>
      <c r="AM237" s="256" t="s">
        <v>34</v>
      </c>
      <c r="AN237" s="256" t="s">
        <v>34</v>
      </c>
      <c r="AO237" s="254" t="s">
        <v>1324</v>
      </c>
      <c r="AP237" s="257" t="s">
        <v>13</v>
      </c>
      <c r="AQ237" s="263" t="s">
        <v>668</v>
      </c>
      <c r="AR237" s="256">
        <v>1.6000000000000001E-3</v>
      </c>
      <c r="AS237" s="256">
        <v>1.6000000000000001E-3</v>
      </c>
      <c r="AT237" s="256"/>
      <c r="AW237" s="508"/>
      <c r="AX237" s="508"/>
      <c r="AY237" s="509"/>
      <c r="AZ237" s="509"/>
      <c r="BA237" s="509"/>
      <c r="BB237" s="510"/>
      <c r="BC237" s="509"/>
      <c r="BD237" s="509"/>
      <c r="BE237" s="509"/>
      <c r="BF237" s="509"/>
      <c r="BG237" s="510"/>
      <c r="BH237" s="510"/>
      <c r="BI237" s="511"/>
      <c r="BJ237" s="511"/>
      <c r="BK237" s="511"/>
      <c r="BL237" s="510"/>
      <c r="BM237" s="510"/>
      <c r="BN237" s="510"/>
      <c r="BO237" s="510"/>
      <c r="BP237" s="510"/>
      <c r="BQ237" s="510"/>
      <c r="BR237" s="510"/>
      <c r="BS237" s="510"/>
      <c r="BT237" s="513"/>
      <c r="BU237" s="514"/>
      <c r="BV237" s="512"/>
      <c r="BW237" s="515"/>
    </row>
    <row r="238" spans="2:75" ht="15.75" customHeight="1">
      <c r="B238" s="250" t="s">
        <v>1587</v>
      </c>
      <c r="C238" s="251">
        <v>1221890000124</v>
      </c>
      <c r="D238" s="252" t="s">
        <v>13</v>
      </c>
      <c r="E238" s="252" t="s">
        <v>615</v>
      </c>
      <c r="F238" s="252" t="s">
        <v>619</v>
      </c>
      <c r="G238" s="253" t="s">
        <v>34</v>
      </c>
      <c r="H238" s="253" t="s">
        <v>1338</v>
      </c>
      <c r="I238" s="253" t="s">
        <v>34</v>
      </c>
      <c r="J238" s="253" t="s">
        <v>611</v>
      </c>
      <c r="K238" s="254" t="s">
        <v>48</v>
      </c>
      <c r="L238" s="255"/>
      <c r="M238" s="255"/>
      <c r="N238" s="254">
        <v>40177</v>
      </c>
      <c r="O238" s="254" t="s">
        <v>1324</v>
      </c>
      <c r="P238" s="258">
        <v>35250</v>
      </c>
      <c r="Q238" s="259">
        <v>855185209.17999995</v>
      </c>
      <c r="R238" s="259">
        <v>901448903.33396745</v>
      </c>
      <c r="S238" s="254">
        <v>1</v>
      </c>
      <c r="T238" s="256">
        <v>0.11285342345145333</v>
      </c>
      <c r="U238" s="256">
        <v>1.2693655476523826</v>
      </c>
      <c r="V238" s="256">
        <v>8.415453978698717E-2</v>
      </c>
      <c r="W238" s="256">
        <v>0.77234582772153437</v>
      </c>
      <c r="X238" s="256">
        <v>0.16361372594527324</v>
      </c>
      <c r="Y238" s="256">
        <v>1.1504974353959885</v>
      </c>
      <c r="Z238" s="256">
        <v>0.17697236452909459</v>
      </c>
      <c r="AA238" s="256">
        <v>0.9670767571449308</v>
      </c>
      <c r="AB238" s="256">
        <v>8.2542842627447141E-2</v>
      </c>
      <c r="AC238" s="260">
        <v>-0.23309138069213739</v>
      </c>
      <c r="AD238" s="405">
        <v>7455507000189</v>
      </c>
      <c r="AE238" s="257" t="s">
        <v>2219</v>
      </c>
      <c r="AF238" s="257" t="s">
        <v>2121</v>
      </c>
      <c r="AG238" s="261" t="s">
        <v>59</v>
      </c>
      <c r="AH238" s="261" t="s">
        <v>2113</v>
      </c>
      <c r="AI238" s="261">
        <v>5000</v>
      </c>
      <c r="AJ238" s="261">
        <v>2000</v>
      </c>
      <c r="AK238" s="261">
        <v>5000</v>
      </c>
      <c r="AL238" s="256">
        <v>1.4999999999999999E-2</v>
      </c>
      <c r="AM238" s="256">
        <v>0.2</v>
      </c>
      <c r="AN238" s="256" t="s">
        <v>64</v>
      </c>
      <c r="AO238" s="254" t="s">
        <v>1324</v>
      </c>
      <c r="AP238" s="257" t="s">
        <v>13</v>
      </c>
      <c r="AQ238" s="263" t="s">
        <v>664</v>
      </c>
      <c r="AR238" s="256" t="s">
        <v>34</v>
      </c>
      <c r="AS238" s="256" t="s">
        <v>34</v>
      </c>
      <c r="AT238" s="256"/>
      <c r="AW238" s="508"/>
      <c r="AX238" s="508"/>
      <c r="AY238" s="509"/>
      <c r="AZ238" s="509"/>
      <c r="BA238" s="509"/>
      <c r="BB238" s="510"/>
      <c r="BC238" s="509"/>
      <c r="BD238" s="509"/>
      <c r="BE238" s="509"/>
      <c r="BF238" s="509"/>
      <c r="BG238" s="510"/>
      <c r="BH238" s="510"/>
      <c r="BI238" s="511"/>
      <c r="BJ238" s="511"/>
      <c r="BK238" s="511"/>
      <c r="BL238" s="510"/>
      <c r="BM238" s="510"/>
      <c r="BN238" s="510"/>
      <c r="BO238" s="510"/>
      <c r="BP238" s="510"/>
      <c r="BQ238" s="510"/>
      <c r="BR238" s="510"/>
      <c r="BS238" s="510"/>
      <c r="BT238" s="513"/>
      <c r="BU238" s="514"/>
      <c r="BV238" s="512"/>
      <c r="BW238" s="515"/>
    </row>
    <row r="239" spans="2:75" ht="15.75" customHeight="1">
      <c r="B239" s="250" t="s">
        <v>186</v>
      </c>
      <c r="C239" s="251">
        <v>9274058000106</v>
      </c>
      <c r="D239" s="252" t="s">
        <v>13</v>
      </c>
      <c r="E239" s="252" t="s">
        <v>615</v>
      </c>
      <c r="F239" s="252" t="s">
        <v>619</v>
      </c>
      <c r="G239" s="253" t="s">
        <v>34</v>
      </c>
      <c r="H239" s="253" t="s">
        <v>1337</v>
      </c>
      <c r="I239" s="253" t="s">
        <v>34</v>
      </c>
      <c r="J239" s="253"/>
      <c r="K239" s="254" t="s">
        <v>48</v>
      </c>
      <c r="L239" s="255"/>
      <c r="M239" s="255" t="s">
        <v>1414</v>
      </c>
      <c r="N239" s="254">
        <v>223131</v>
      </c>
      <c r="O239" s="254" t="s">
        <v>1321</v>
      </c>
      <c r="P239" s="258">
        <v>39538</v>
      </c>
      <c r="Q239" s="259">
        <v>98309678.540000007</v>
      </c>
      <c r="R239" s="259">
        <v>111702866.97519842</v>
      </c>
      <c r="S239" s="254">
        <v>1</v>
      </c>
      <c r="T239" s="256">
        <v>8.0357704701044863E-2</v>
      </c>
      <c r="U239" s="256">
        <v>1.0387997329971412</v>
      </c>
      <c r="V239" s="256">
        <v>9.5969984667467756E-2</v>
      </c>
      <c r="W239" s="256">
        <v>0.9408267479659892</v>
      </c>
      <c r="X239" s="256">
        <v>0.1011171678571543</v>
      </c>
      <c r="Y239" s="256">
        <v>0.76678985286111823</v>
      </c>
      <c r="Z239" s="256">
        <v>0.16535584554399052</v>
      </c>
      <c r="AA239" s="256">
        <v>0.93993623249629088</v>
      </c>
      <c r="AB239" s="256">
        <v>1.48270265165957E-2</v>
      </c>
      <c r="AC239" s="260">
        <v>-0.3632653823103138</v>
      </c>
      <c r="AD239" s="405">
        <v>0</v>
      </c>
      <c r="AE239" s="257" t="s">
        <v>2224</v>
      </c>
      <c r="AF239" s="257" t="s">
        <v>741</v>
      </c>
      <c r="AG239" s="261" t="s">
        <v>741</v>
      </c>
      <c r="AH239" s="261" t="s">
        <v>2113</v>
      </c>
      <c r="AI239" s="261">
        <v>500</v>
      </c>
      <c r="AJ239" s="261">
        <v>0</v>
      </c>
      <c r="AK239" s="261">
        <v>0</v>
      </c>
      <c r="AL239" s="256">
        <v>0.01</v>
      </c>
      <c r="AM239" s="256">
        <v>0.2</v>
      </c>
      <c r="AN239" s="256" t="s">
        <v>64</v>
      </c>
      <c r="AO239" s="254" t="s">
        <v>1324</v>
      </c>
      <c r="AP239" s="257" t="s">
        <v>13</v>
      </c>
      <c r="AQ239" s="263" t="s">
        <v>678</v>
      </c>
      <c r="AR239" s="256">
        <v>1.3333333333333333E-3</v>
      </c>
      <c r="AS239" s="256">
        <v>1.3333333333333333E-3</v>
      </c>
      <c r="AT239" s="256"/>
      <c r="AW239" s="508"/>
      <c r="AX239" s="508"/>
      <c r="AY239" s="509"/>
      <c r="AZ239" s="509"/>
      <c r="BA239" s="509"/>
      <c r="BB239" s="510"/>
      <c r="BC239" s="509"/>
      <c r="BD239" s="509"/>
      <c r="BE239" s="509"/>
      <c r="BF239" s="509"/>
      <c r="BG239" s="510"/>
      <c r="BH239" s="510"/>
      <c r="BI239" s="511"/>
      <c r="BJ239" s="511"/>
      <c r="BK239" s="511"/>
      <c r="BL239" s="510"/>
      <c r="BM239" s="510"/>
      <c r="BN239" s="510"/>
      <c r="BO239" s="510"/>
      <c r="BP239" s="510"/>
      <c r="BQ239" s="510"/>
      <c r="BR239" s="510"/>
      <c r="BS239" s="510"/>
      <c r="BT239" s="513"/>
      <c r="BU239" s="514"/>
      <c r="BV239" s="512"/>
      <c r="BW239" s="515"/>
    </row>
    <row r="240" spans="2:75" ht="15.75" customHeight="1">
      <c r="B240" s="250" t="s">
        <v>950</v>
      </c>
      <c r="C240" s="251">
        <v>3804917000137</v>
      </c>
      <c r="D240" s="252" t="s">
        <v>13</v>
      </c>
      <c r="E240" s="252" t="s">
        <v>615</v>
      </c>
      <c r="F240" s="252" t="s">
        <v>619</v>
      </c>
      <c r="G240" s="253" t="s">
        <v>34</v>
      </c>
      <c r="H240" s="253" t="s">
        <v>1338</v>
      </c>
      <c r="I240" s="253" t="s">
        <v>34</v>
      </c>
      <c r="J240" s="253"/>
      <c r="K240" s="254" t="s">
        <v>48</v>
      </c>
      <c r="L240" s="255"/>
      <c r="M240" s="255" t="s">
        <v>34</v>
      </c>
      <c r="N240" s="254">
        <v>99589</v>
      </c>
      <c r="O240" s="254" t="s">
        <v>1324</v>
      </c>
      <c r="P240" s="258">
        <v>36665</v>
      </c>
      <c r="Q240" s="259">
        <v>130473399.69</v>
      </c>
      <c r="R240" s="259">
        <v>131245356.98908728</v>
      </c>
      <c r="S240" s="254">
        <v>1</v>
      </c>
      <c r="T240" s="256">
        <v>0.15856606376345961</v>
      </c>
      <c r="U240" s="256">
        <v>2.049814455411489</v>
      </c>
      <c r="V240" s="256">
        <v>0.29357185727156265</v>
      </c>
      <c r="W240" s="256">
        <v>2.8779858278415165</v>
      </c>
      <c r="X240" s="256">
        <v>0.26659280566871613</v>
      </c>
      <c r="Y240" s="256">
        <v>2.0216216747815512</v>
      </c>
      <c r="Z240" s="256">
        <v>0.45277037910667772</v>
      </c>
      <c r="AA240" s="256">
        <v>2.5736936176848362</v>
      </c>
      <c r="AB240" s="256">
        <v>7.6036732896463927E-2</v>
      </c>
      <c r="AC240" s="260">
        <v>2.1471690657535096</v>
      </c>
      <c r="AD240" s="405">
        <v>17891926000117</v>
      </c>
      <c r="AE240" s="257" t="s">
        <v>2251</v>
      </c>
      <c r="AF240" s="257" t="s">
        <v>2109</v>
      </c>
      <c r="AG240" s="261" t="s">
        <v>1432</v>
      </c>
      <c r="AH240" s="261" t="s">
        <v>2113</v>
      </c>
      <c r="AI240" s="261">
        <v>5000</v>
      </c>
      <c r="AJ240" s="261">
        <v>1000</v>
      </c>
      <c r="AK240" s="261">
        <v>1000</v>
      </c>
      <c r="AL240" s="256">
        <v>1.95E-2</v>
      </c>
      <c r="AM240" s="256">
        <v>0.2</v>
      </c>
      <c r="AN240" s="256" t="s">
        <v>64</v>
      </c>
      <c r="AO240" s="254" t="s">
        <v>1324</v>
      </c>
      <c r="AP240" s="257" t="s">
        <v>13</v>
      </c>
      <c r="AQ240" s="263" t="s">
        <v>668</v>
      </c>
      <c r="AR240" s="256">
        <v>3.8999999999999998E-3</v>
      </c>
      <c r="AS240" s="256">
        <v>3.8999999999999998E-3</v>
      </c>
      <c r="AT240" s="256"/>
      <c r="AW240" s="508"/>
      <c r="AX240" s="508"/>
      <c r="AY240" s="509"/>
      <c r="AZ240" s="509"/>
      <c r="BA240" s="509"/>
      <c r="BB240" s="510"/>
      <c r="BC240" s="509"/>
      <c r="BD240" s="509"/>
      <c r="BE240" s="509"/>
      <c r="BF240" s="509"/>
      <c r="BG240" s="510"/>
      <c r="BH240" s="510"/>
      <c r="BI240" s="511"/>
      <c r="BJ240" s="511"/>
      <c r="BK240" s="511"/>
      <c r="BL240" s="195"/>
      <c r="BM240" s="510"/>
      <c r="BN240" s="510"/>
      <c r="BO240" s="510"/>
      <c r="BP240" s="510"/>
      <c r="BQ240" s="510"/>
      <c r="BR240" s="510"/>
      <c r="BS240" s="510"/>
      <c r="BT240" s="513"/>
      <c r="BU240" s="514"/>
      <c r="BV240" s="512"/>
      <c r="BW240" s="515"/>
    </row>
    <row r="241" spans="2:75" ht="15.75" customHeight="1">
      <c r="B241" s="250" t="s">
        <v>1295</v>
      </c>
      <c r="C241" s="251">
        <v>39773639000145</v>
      </c>
      <c r="D241" s="252" t="s">
        <v>11</v>
      </c>
      <c r="E241" s="252" t="s">
        <v>620</v>
      </c>
      <c r="F241" s="252" t="s">
        <v>619</v>
      </c>
      <c r="G241" s="253" t="s">
        <v>738</v>
      </c>
      <c r="H241" s="253" t="s">
        <v>34</v>
      </c>
      <c r="I241" s="253"/>
      <c r="J241" s="253" t="s">
        <v>608</v>
      </c>
      <c r="K241" s="254" t="s">
        <v>48</v>
      </c>
      <c r="L241" s="255"/>
      <c r="M241" s="255" t="s">
        <v>34</v>
      </c>
      <c r="N241" s="254">
        <v>657638</v>
      </c>
      <c r="O241" s="254" t="s">
        <v>1321</v>
      </c>
      <c r="P241" s="258">
        <v>44712</v>
      </c>
      <c r="Q241" s="259">
        <v>5199392.3899999997</v>
      </c>
      <c r="R241" s="259" t="s">
        <v>1417</v>
      </c>
      <c r="S241" s="254">
        <v>1</v>
      </c>
      <c r="T241" s="256" t="s">
        <v>1417</v>
      </c>
      <c r="U241" s="256" t="s">
        <v>1417</v>
      </c>
      <c r="V241" s="256" t="s">
        <v>1417</v>
      </c>
      <c r="W241" s="256" t="s">
        <v>1417</v>
      </c>
      <c r="X241" s="256" t="s">
        <v>1417</v>
      </c>
      <c r="Y241" s="256" t="s">
        <v>1417</v>
      </c>
      <c r="Z241" s="256" t="s">
        <v>1417</v>
      </c>
      <c r="AA241" s="256" t="s">
        <v>1417</v>
      </c>
      <c r="AB241" s="256" t="s">
        <v>1417</v>
      </c>
      <c r="AC241" s="260" t="s">
        <v>1417</v>
      </c>
      <c r="AD241" s="405">
        <v>0</v>
      </c>
      <c r="AE241" s="257" t="s">
        <v>59</v>
      </c>
      <c r="AF241" s="257" t="s">
        <v>2112</v>
      </c>
      <c r="AG241" s="261" t="s">
        <v>59</v>
      </c>
      <c r="AH241" s="261" t="s">
        <v>2113</v>
      </c>
      <c r="AI241" s="261">
        <v>100</v>
      </c>
      <c r="AJ241" s="261">
        <v>1</v>
      </c>
      <c r="AK241" s="261">
        <v>100</v>
      </c>
      <c r="AL241" s="256">
        <v>9.0000000000000011E-3</v>
      </c>
      <c r="AM241" s="256">
        <v>0.2</v>
      </c>
      <c r="AN241" s="256" t="s">
        <v>64</v>
      </c>
      <c r="AO241" s="254" t="s">
        <v>1324</v>
      </c>
      <c r="AP241" s="257" t="s">
        <v>11</v>
      </c>
      <c r="AQ241" s="263" t="s">
        <v>669</v>
      </c>
      <c r="AR241" s="256">
        <v>2.0999999999999994E-3</v>
      </c>
      <c r="AS241" s="256">
        <v>2.0999999999999994E-3</v>
      </c>
      <c r="AT241" s="256"/>
      <c r="AW241" s="508"/>
      <c r="AX241" s="508"/>
      <c r="AY241" s="509"/>
      <c r="AZ241" s="509"/>
      <c r="BA241" s="509"/>
      <c r="BB241" s="510"/>
      <c r="BC241" s="509"/>
      <c r="BD241" s="509"/>
      <c r="BE241" s="509"/>
      <c r="BF241" s="509"/>
      <c r="BG241" s="510"/>
      <c r="BH241" s="510"/>
      <c r="BI241" s="511"/>
      <c r="BJ241" s="511"/>
      <c r="BK241" s="511"/>
      <c r="BL241" s="510"/>
      <c r="BM241" s="510"/>
      <c r="BN241" s="510"/>
      <c r="BO241" s="510"/>
      <c r="BP241" s="510"/>
      <c r="BQ241" s="510"/>
      <c r="BR241" s="510"/>
      <c r="BS241" s="510"/>
      <c r="BT241" s="513"/>
      <c r="BU241" s="514"/>
      <c r="BV241" s="512"/>
      <c r="BW241" s="515"/>
    </row>
    <row r="242" spans="2:75" ht="15.75" customHeight="1">
      <c r="B242" s="250" t="s">
        <v>246</v>
      </c>
      <c r="C242" s="251">
        <v>3119883000141</v>
      </c>
      <c r="D242" s="252" t="s">
        <v>13</v>
      </c>
      <c r="E242" s="252" t="s">
        <v>615</v>
      </c>
      <c r="F242" s="252" t="s">
        <v>619</v>
      </c>
      <c r="G242" s="253" t="s">
        <v>34</v>
      </c>
      <c r="H242" s="253" t="s">
        <v>1337</v>
      </c>
      <c r="I242" s="253" t="s">
        <v>34</v>
      </c>
      <c r="J242" s="253" t="s">
        <v>611</v>
      </c>
      <c r="K242" s="254" t="s">
        <v>48</v>
      </c>
      <c r="L242" s="255"/>
      <c r="M242" s="255" t="s">
        <v>1414</v>
      </c>
      <c r="N242" s="254">
        <v>73652</v>
      </c>
      <c r="O242" s="254" t="s">
        <v>1321</v>
      </c>
      <c r="P242" s="258">
        <v>36342</v>
      </c>
      <c r="Q242" s="259">
        <v>55815222.079999998</v>
      </c>
      <c r="R242" s="259">
        <v>54770027.610555544</v>
      </c>
      <c r="S242" s="254">
        <v>1</v>
      </c>
      <c r="T242" s="256">
        <v>8.337735731448026E-2</v>
      </c>
      <c r="U242" s="256">
        <v>1.0778353717109488</v>
      </c>
      <c r="V242" s="256">
        <v>0.10499784679546553</v>
      </c>
      <c r="W242" s="256">
        <v>1.0293299836015855</v>
      </c>
      <c r="X242" s="256">
        <v>0.11691266623525998</v>
      </c>
      <c r="Y242" s="256">
        <v>0.88656998648121488</v>
      </c>
      <c r="Z242" s="256">
        <v>0.18331949790886282</v>
      </c>
      <c r="AA242" s="256">
        <v>1.0420474561434721</v>
      </c>
      <c r="AB242" s="256">
        <v>8.6988946298215981E-3</v>
      </c>
      <c r="AC242" s="260">
        <v>0.31599051597447658</v>
      </c>
      <c r="AD242" s="405">
        <v>10841389000151</v>
      </c>
      <c r="AE242" s="257" t="s">
        <v>2288</v>
      </c>
      <c r="AF242" s="257" t="s">
        <v>2118</v>
      </c>
      <c r="AG242" s="261" t="s">
        <v>1433</v>
      </c>
      <c r="AH242" s="261" t="s">
        <v>2113</v>
      </c>
      <c r="AI242" s="261">
        <v>50000</v>
      </c>
      <c r="AJ242" s="261">
        <v>10000</v>
      </c>
      <c r="AK242" s="261">
        <v>50000</v>
      </c>
      <c r="AL242" s="256">
        <v>1.3500000000000002E-2</v>
      </c>
      <c r="AM242" s="256">
        <v>0.2</v>
      </c>
      <c r="AN242" s="256" t="s">
        <v>64</v>
      </c>
      <c r="AO242" s="254" t="s">
        <v>1324</v>
      </c>
      <c r="AP242" s="257" t="s">
        <v>13</v>
      </c>
      <c r="AQ242" s="263" t="s">
        <v>668</v>
      </c>
      <c r="AR242" s="256">
        <v>2.6999999999999997E-3</v>
      </c>
      <c r="AS242" s="256">
        <v>2.6999999999999997E-3</v>
      </c>
      <c r="AT242" s="256"/>
      <c r="AW242" s="508"/>
      <c r="AX242" s="508"/>
      <c r="AY242" s="509"/>
      <c r="AZ242" s="509"/>
      <c r="BA242" s="509"/>
      <c r="BB242" s="510"/>
      <c r="BC242" s="509"/>
      <c r="BD242" s="509"/>
      <c r="BE242" s="509"/>
      <c r="BF242" s="509"/>
      <c r="BG242" s="510"/>
      <c r="BH242" s="510"/>
      <c r="BI242" s="511"/>
      <c r="BJ242" s="511"/>
      <c r="BK242" s="511"/>
      <c r="BL242" s="510"/>
      <c r="BM242" s="510"/>
      <c r="BN242" s="510"/>
      <c r="BO242" s="510"/>
      <c r="BP242" s="510"/>
      <c r="BQ242" s="510"/>
      <c r="BR242" s="510"/>
      <c r="BS242" s="510"/>
      <c r="BT242" s="513"/>
      <c r="BU242" s="514"/>
      <c r="BV242" s="512"/>
      <c r="BW242" s="515"/>
    </row>
    <row r="243" spans="2:75" ht="15.75" customHeight="1">
      <c r="B243" s="250" t="s">
        <v>520</v>
      </c>
      <c r="C243" s="251">
        <v>34687662000101</v>
      </c>
      <c r="D243" s="252" t="s">
        <v>13</v>
      </c>
      <c r="E243" s="252" t="s">
        <v>615</v>
      </c>
      <c r="F243" s="252" t="s">
        <v>619</v>
      </c>
      <c r="G243" s="253" t="s">
        <v>34</v>
      </c>
      <c r="H243" s="253" t="s">
        <v>1337</v>
      </c>
      <c r="I243" s="253" t="s">
        <v>34</v>
      </c>
      <c r="J243" s="253" t="s">
        <v>611</v>
      </c>
      <c r="K243" s="254" t="s">
        <v>48</v>
      </c>
      <c r="L243" s="255"/>
      <c r="M243" s="255" t="s">
        <v>1414</v>
      </c>
      <c r="N243" s="254">
        <v>523771</v>
      </c>
      <c r="O243" s="254" t="s">
        <v>1321</v>
      </c>
      <c r="P243" s="258">
        <v>43798</v>
      </c>
      <c r="Q243" s="259">
        <v>905203020.04999995</v>
      </c>
      <c r="R243" s="259">
        <v>720945093.73388875</v>
      </c>
      <c r="S243" s="254">
        <v>1</v>
      </c>
      <c r="T243" s="256">
        <v>8.5279639495282833E-2</v>
      </c>
      <c r="U243" s="256">
        <v>1.1024265447522219</v>
      </c>
      <c r="V243" s="256">
        <v>0.11141509986455689</v>
      </c>
      <c r="W243" s="256">
        <v>1.0922405212742523</v>
      </c>
      <c r="X243" s="256">
        <v>0.14897845683233091</v>
      </c>
      <c r="Y243" s="256">
        <v>1.1297307016679565</v>
      </c>
      <c r="Z243" s="256" t="s">
        <v>1417</v>
      </c>
      <c r="AA243" s="256" t="s">
        <v>1417</v>
      </c>
      <c r="AB243" s="256">
        <v>6.5459065006033762E-3</v>
      </c>
      <c r="AC243" s="260">
        <v>1.3024130472692117</v>
      </c>
      <c r="AD243" s="405">
        <v>34687633000131</v>
      </c>
      <c r="AE243" s="257" t="s">
        <v>2295</v>
      </c>
      <c r="AF243" s="257" t="s">
        <v>2112</v>
      </c>
      <c r="AG243" s="261" t="s">
        <v>59</v>
      </c>
      <c r="AH243" s="261" t="s">
        <v>2113</v>
      </c>
      <c r="AI243" s="261">
        <v>1</v>
      </c>
      <c r="AJ243" s="261">
        <v>1</v>
      </c>
      <c r="AK243" s="261">
        <v>1</v>
      </c>
      <c r="AL243" s="256">
        <v>8.3999999999999995E-3</v>
      </c>
      <c r="AM243" s="256">
        <v>0.25</v>
      </c>
      <c r="AN243" s="256" t="s">
        <v>64</v>
      </c>
      <c r="AO243" s="254" t="s">
        <v>1324</v>
      </c>
      <c r="AP243" s="257" t="s">
        <v>13</v>
      </c>
      <c r="AQ243" s="263" t="s">
        <v>664</v>
      </c>
      <c r="AR243" s="256">
        <v>2.1333333333333334E-3</v>
      </c>
      <c r="AS243" s="256">
        <v>2.1333333333333334E-3</v>
      </c>
      <c r="AT243" s="256"/>
      <c r="AW243" s="508"/>
      <c r="AX243" s="508"/>
      <c r="AY243" s="509"/>
      <c r="AZ243" s="509"/>
      <c r="BA243" s="509"/>
      <c r="BB243" s="510"/>
      <c r="BC243" s="509"/>
      <c r="BD243" s="509"/>
      <c r="BE243" s="509"/>
      <c r="BF243" s="509"/>
      <c r="BG243" s="510"/>
      <c r="BH243" s="510"/>
      <c r="BI243" s="511"/>
      <c r="BJ243" s="511"/>
      <c r="BK243" s="511"/>
      <c r="BL243" s="510"/>
      <c r="BM243" s="510"/>
      <c r="BN243" s="510"/>
      <c r="BO243" s="510"/>
      <c r="BP243" s="510"/>
      <c r="BQ243" s="510"/>
      <c r="BR243" s="510"/>
      <c r="BS243" s="510"/>
      <c r="BT243" s="513"/>
      <c r="BU243" s="514"/>
      <c r="BV243" s="512"/>
      <c r="BW243" s="515"/>
    </row>
    <row r="244" spans="2:75" ht="15.75" customHeight="1">
      <c r="B244" s="250" t="s">
        <v>1061</v>
      </c>
      <c r="C244" s="251">
        <v>18683208000118</v>
      </c>
      <c r="D244" s="252" t="s">
        <v>13</v>
      </c>
      <c r="E244" s="252" t="s">
        <v>615</v>
      </c>
      <c r="F244" s="252" t="s">
        <v>619</v>
      </c>
      <c r="G244" s="253" t="s">
        <v>34</v>
      </c>
      <c r="H244" s="253" t="s">
        <v>1337</v>
      </c>
      <c r="I244" s="253" t="s">
        <v>34</v>
      </c>
      <c r="J244" s="253"/>
      <c r="K244" s="254" t="s">
        <v>48</v>
      </c>
      <c r="L244" s="255"/>
      <c r="M244" s="255" t="s">
        <v>1414</v>
      </c>
      <c r="N244" s="254">
        <v>382485</v>
      </c>
      <c r="O244" s="254" t="s">
        <v>1321</v>
      </c>
      <c r="P244" s="258">
        <v>41961</v>
      </c>
      <c r="Q244" s="259">
        <v>94825003.349999994</v>
      </c>
      <c r="R244" s="259">
        <v>85286486.052103147</v>
      </c>
      <c r="S244" s="254">
        <v>1</v>
      </c>
      <c r="T244" s="256">
        <v>5.3864626941139804E-2</v>
      </c>
      <c r="U244" s="256">
        <v>0.69631854583968844</v>
      </c>
      <c r="V244" s="256">
        <v>6.6249838674594663E-2</v>
      </c>
      <c r="W244" s="256">
        <v>0.64946994093476218</v>
      </c>
      <c r="X244" s="256">
        <v>0.10093704941926318</v>
      </c>
      <c r="Y244" s="256">
        <v>0.76542398202617545</v>
      </c>
      <c r="Z244" s="256">
        <v>0.12515556083230139</v>
      </c>
      <c r="AA244" s="256">
        <v>0.71142478173460022</v>
      </c>
      <c r="AB244" s="256">
        <v>2.3868156463970586E-2</v>
      </c>
      <c r="AC244" s="260">
        <v>-1.3705568734296305</v>
      </c>
      <c r="AD244" s="405">
        <v>0</v>
      </c>
      <c r="AE244" s="257" t="s">
        <v>2317</v>
      </c>
      <c r="AF244" s="257" t="s">
        <v>2118</v>
      </c>
      <c r="AG244" s="261" t="s">
        <v>1433</v>
      </c>
      <c r="AH244" s="261" t="s">
        <v>2113</v>
      </c>
      <c r="AI244" s="261">
        <v>1000</v>
      </c>
      <c r="AJ244" s="261">
        <v>0</v>
      </c>
      <c r="AK244" s="261">
        <v>500</v>
      </c>
      <c r="AL244" s="256">
        <v>3.0000000000000001E-3</v>
      </c>
      <c r="AM244" s="256">
        <v>0.15</v>
      </c>
      <c r="AN244" s="256" t="s">
        <v>64</v>
      </c>
      <c r="AO244" s="254" t="s">
        <v>1324</v>
      </c>
      <c r="AP244" s="257" t="s">
        <v>13</v>
      </c>
      <c r="AQ244" s="263" t="s">
        <v>668</v>
      </c>
      <c r="AR244" s="256">
        <v>8.0009999999999999E-4</v>
      </c>
      <c r="AS244" s="256">
        <v>8.0009999999999999E-4</v>
      </c>
      <c r="AT244" s="256"/>
      <c r="AW244" s="508"/>
      <c r="AX244" s="508"/>
      <c r="AY244" s="509"/>
      <c r="AZ244" s="509"/>
      <c r="BA244" s="509"/>
      <c r="BB244" s="510"/>
      <c r="BC244" s="509"/>
      <c r="BD244" s="509"/>
      <c r="BE244" s="509"/>
      <c r="BF244" s="509"/>
      <c r="BG244" s="510"/>
      <c r="BH244" s="510"/>
      <c r="BI244" s="511"/>
      <c r="BJ244" s="511"/>
      <c r="BK244" s="511"/>
      <c r="BL244" s="510"/>
      <c r="BM244" s="510"/>
      <c r="BN244" s="510"/>
      <c r="BO244" s="510"/>
      <c r="BP244" s="510"/>
      <c r="BQ244" s="510"/>
      <c r="BR244" s="510"/>
      <c r="BS244" s="510"/>
      <c r="BT244" s="513"/>
      <c r="BU244" s="514"/>
      <c r="BV244" s="512"/>
      <c r="BW244" s="515"/>
    </row>
    <row r="245" spans="2:75" ht="15.75" customHeight="1">
      <c r="B245" s="250" t="s">
        <v>1095</v>
      </c>
      <c r="C245" s="251">
        <v>6301947000119</v>
      </c>
      <c r="D245" s="252" t="s">
        <v>13</v>
      </c>
      <c r="E245" s="252" t="s">
        <v>615</v>
      </c>
      <c r="F245" s="252" t="s">
        <v>619</v>
      </c>
      <c r="G245" s="253" t="s">
        <v>34</v>
      </c>
      <c r="H245" s="253" t="s">
        <v>1337</v>
      </c>
      <c r="I245" s="253" t="s">
        <v>34</v>
      </c>
      <c r="J245" s="253"/>
      <c r="K245" s="254" t="s">
        <v>48</v>
      </c>
      <c r="L245" s="255"/>
      <c r="M245" s="255" t="s">
        <v>1414</v>
      </c>
      <c r="N245" s="254">
        <v>133825</v>
      </c>
      <c r="O245" s="254" t="s">
        <v>1321</v>
      </c>
      <c r="P245" s="258">
        <v>38300</v>
      </c>
      <c r="Q245" s="259">
        <v>204682303.74000001</v>
      </c>
      <c r="R245" s="259">
        <v>310288564.72900802</v>
      </c>
      <c r="S245" s="254">
        <v>1</v>
      </c>
      <c r="T245" s="256">
        <v>0.11169346120844015</v>
      </c>
      <c r="U245" s="256">
        <v>1.4438831735240631</v>
      </c>
      <c r="V245" s="256">
        <v>0.12577843190598625</v>
      </c>
      <c r="W245" s="256">
        <v>1.2330492024605326</v>
      </c>
      <c r="X245" s="256">
        <v>0.15072158125065416</v>
      </c>
      <c r="Y245" s="256">
        <v>1.1429491307890423</v>
      </c>
      <c r="Z245" s="256">
        <v>0.21222125958134308</v>
      </c>
      <c r="AA245" s="256">
        <v>1.2063344391017474</v>
      </c>
      <c r="AB245" s="256">
        <v>1.6086052186708607E-2</v>
      </c>
      <c r="AC245" s="260">
        <v>1.3352745422943142</v>
      </c>
      <c r="AD245" s="405">
        <v>28087314000192</v>
      </c>
      <c r="AE245" s="257" t="s">
        <v>2341</v>
      </c>
      <c r="AF245" s="257" t="s">
        <v>2112</v>
      </c>
      <c r="AG245" s="261" t="s">
        <v>59</v>
      </c>
      <c r="AH245" s="261" t="s">
        <v>2113</v>
      </c>
      <c r="AI245" s="261">
        <v>1000</v>
      </c>
      <c r="AJ245" s="261">
        <v>1000</v>
      </c>
      <c r="AK245" s="261">
        <v>1000</v>
      </c>
      <c r="AL245" s="256">
        <v>9.0000000000000011E-3</v>
      </c>
      <c r="AM245" s="256">
        <v>0.2</v>
      </c>
      <c r="AN245" s="256" t="s">
        <v>64</v>
      </c>
      <c r="AO245" s="254" t="s">
        <v>1324</v>
      </c>
      <c r="AP245" s="257" t="s">
        <v>13</v>
      </c>
      <c r="AQ245" s="263" t="s">
        <v>664</v>
      </c>
      <c r="AR245" s="256">
        <v>1.9997999999999995E-3</v>
      </c>
      <c r="AS245" s="256">
        <v>1.9997999999999995E-3</v>
      </c>
      <c r="AT245" s="256"/>
      <c r="AW245" s="508"/>
      <c r="AX245" s="508"/>
      <c r="AY245" s="509"/>
      <c r="AZ245" s="509"/>
      <c r="BA245" s="509"/>
      <c r="BB245" s="510"/>
      <c r="BC245" s="509"/>
      <c r="BD245" s="509"/>
      <c r="BE245" s="509"/>
      <c r="BF245" s="509"/>
      <c r="BG245" s="510"/>
      <c r="BH245" s="510"/>
      <c r="BI245" s="511"/>
      <c r="BJ245" s="511"/>
      <c r="BK245" s="511"/>
      <c r="BL245" s="510"/>
      <c r="BM245" s="510"/>
      <c r="BN245" s="510"/>
      <c r="BO245" s="510"/>
      <c r="BP245" s="510"/>
      <c r="BQ245" s="510"/>
      <c r="BR245" s="510"/>
      <c r="BS245" s="510"/>
      <c r="BT245" s="513"/>
      <c r="BU245" s="514"/>
      <c r="BV245" s="512"/>
      <c r="BW245" s="515"/>
    </row>
    <row r="246" spans="2:75" ht="15.75" customHeight="1">
      <c r="B246" s="250" t="s">
        <v>1100</v>
      </c>
      <c r="C246" s="251">
        <v>15578417000103</v>
      </c>
      <c r="D246" s="252" t="s">
        <v>13</v>
      </c>
      <c r="E246" s="252" t="s">
        <v>615</v>
      </c>
      <c r="F246" s="252" t="s">
        <v>619</v>
      </c>
      <c r="G246" s="253" t="s">
        <v>34</v>
      </c>
      <c r="H246" s="253" t="s">
        <v>1337</v>
      </c>
      <c r="I246" s="253" t="s">
        <v>34</v>
      </c>
      <c r="J246" s="253" t="s">
        <v>611</v>
      </c>
      <c r="K246" s="254" t="s">
        <v>48</v>
      </c>
      <c r="L246" s="255"/>
      <c r="M246" s="255" t="s">
        <v>1414</v>
      </c>
      <c r="N246" s="254">
        <v>307998</v>
      </c>
      <c r="O246" s="254" t="s">
        <v>1321</v>
      </c>
      <c r="P246" s="258">
        <v>41096</v>
      </c>
      <c r="Q246" s="259">
        <v>576947751.51999998</v>
      </c>
      <c r="R246" s="259">
        <v>988752002.73424709</v>
      </c>
      <c r="S246" s="254">
        <v>1</v>
      </c>
      <c r="T246" s="256">
        <v>6.7267472651461269E-2</v>
      </c>
      <c r="U246" s="256">
        <v>0.86957974832277507</v>
      </c>
      <c r="V246" s="256">
        <v>8.5347667051419052E-2</v>
      </c>
      <c r="W246" s="256">
        <v>0.83669251711040526</v>
      </c>
      <c r="X246" s="256">
        <v>0.11192606170317254</v>
      </c>
      <c r="Y246" s="256">
        <v>0.84875565844507439</v>
      </c>
      <c r="Z246" s="256">
        <v>0.15965762161945318</v>
      </c>
      <c r="AA246" s="256">
        <v>0.90754568041190764</v>
      </c>
      <c r="AB246" s="256">
        <v>8.484496795630533E-3</v>
      </c>
      <c r="AC246" s="260">
        <v>-1.7918039878121488</v>
      </c>
      <c r="AD246" s="405">
        <v>11616552000145</v>
      </c>
      <c r="AE246" s="257" t="s">
        <v>2344</v>
      </c>
      <c r="AF246" s="257" t="s">
        <v>2118</v>
      </c>
      <c r="AG246" s="261" t="s">
        <v>1433</v>
      </c>
      <c r="AH246" s="261" t="s">
        <v>2113</v>
      </c>
      <c r="AI246" s="261">
        <v>1000</v>
      </c>
      <c r="AJ246" s="261">
        <v>0</v>
      </c>
      <c r="AK246" s="261">
        <v>0</v>
      </c>
      <c r="AL246" s="256">
        <v>0.01</v>
      </c>
      <c r="AM246" s="256">
        <v>0.2</v>
      </c>
      <c r="AN246" s="256" t="s">
        <v>64</v>
      </c>
      <c r="AO246" s="254" t="s">
        <v>1324</v>
      </c>
      <c r="AP246" s="257" t="s">
        <v>13</v>
      </c>
      <c r="AQ246" s="263" t="s">
        <v>668</v>
      </c>
      <c r="AR246" s="256">
        <v>2.5000000000000001E-3</v>
      </c>
      <c r="AS246" s="256">
        <v>2.5000000000000001E-3</v>
      </c>
      <c r="AT246" s="256"/>
      <c r="AW246" s="508"/>
      <c r="AX246" s="508"/>
      <c r="AY246" s="509"/>
      <c r="AZ246" s="509"/>
      <c r="BA246" s="509"/>
      <c r="BB246" s="510"/>
      <c r="BC246" s="509"/>
      <c r="BD246" s="509"/>
      <c r="BE246" s="509"/>
      <c r="BF246" s="509"/>
      <c r="BG246" s="510"/>
      <c r="BH246" s="510"/>
      <c r="BI246" s="511"/>
      <c r="BJ246" s="511"/>
      <c r="BK246" s="511"/>
      <c r="BL246" s="510"/>
      <c r="BM246" s="510"/>
      <c r="BN246" s="510"/>
      <c r="BO246" s="510"/>
      <c r="BP246" s="510"/>
      <c r="BQ246" s="510"/>
      <c r="BR246" s="510"/>
      <c r="BS246" s="510"/>
      <c r="BT246" s="513"/>
      <c r="BU246" s="514"/>
      <c r="BV246" s="512"/>
      <c r="BW246" s="515"/>
    </row>
    <row r="247" spans="2:75" ht="15.75" customHeight="1">
      <c r="B247" s="250" t="s">
        <v>1682</v>
      </c>
      <c r="C247" s="251">
        <v>11628865000113</v>
      </c>
      <c r="D247" s="252" t="s">
        <v>13</v>
      </c>
      <c r="E247" s="252" t="s">
        <v>615</v>
      </c>
      <c r="F247" s="252" t="s">
        <v>619</v>
      </c>
      <c r="G247" s="253" t="s">
        <v>34</v>
      </c>
      <c r="H247" s="253" t="s">
        <v>1338</v>
      </c>
      <c r="I247" s="253" t="s">
        <v>34</v>
      </c>
      <c r="J247" s="253" t="s">
        <v>611</v>
      </c>
      <c r="K247" s="254" t="s">
        <v>48</v>
      </c>
      <c r="L247" s="255"/>
      <c r="M247" s="255"/>
      <c r="N247" s="254">
        <v>246972</v>
      </c>
      <c r="O247" s="254" t="s">
        <v>1324</v>
      </c>
      <c r="P247" s="258">
        <v>40269</v>
      </c>
      <c r="Q247" s="259" t="s">
        <v>1393</v>
      </c>
      <c r="R247" s="259" t="s">
        <v>1417</v>
      </c>
      <c r="S247" s="254">
        <v>1</v>
      </c>
      <c r="T247" s="256" t="s">
        <v>1417</v>
      </c>
      <c r="U247" s="256" t="s">
        <v>1417</v>
      </c>
      <c r="V247" s="256" t="s">
        <v>1417</v>
      </c>
      <c r="W247" s="256" t="s">
        <v>1417</v>
      </c>
      <c r="X247" s="256" t="s">
        <v>1417</v>
      </c>
      <c r="Y247" s="256" t="s">
        <v>1417</v>
      </c>
      <c r="Z247" s="256" t="s">
        <v>1417</v>
      </c>
      <c r="AA247" s="256" t="s">
        <v>1417</v>
      </c>
      <c r="AB247" s="256" t="s">
        <v>1417</v>
      </c>
      <c r="AC247" s="260" t="s">
        <v>1417</v>
      </c>
      <c r="AD247" s="405">
        <v>11616552000145</v>
      </c>
      <c r="AE247" s="257" t="s">
        <v>2344</v>
      </c>
      <c r="AF247" s="257" t="s">
        <v>2118</v>
      </c>
      <c r="AG247" s="261" t="s">
        <v>1433</v>
      </c>
      <c r="AH247" s="261" t="s">
        <v>2113</v>
      </c>
      <c r="AI247" s="261">
        <v>30000</v>
      </c>
      <c r="AJ247" s="261">
        <v>0</v>
      </c>
      <c r="AK247" s="261">
        <v>0</v>
      </c>
      <c r="AL247" s="256">
        <v>7.4999999999999997E-3</v>
      </c>
      <c r="AM247" s="256">
        <v>0.2</v>
      </c>
      <c r="AN247" s="256" t="s">
        <v>64</v>
      </c>
      <c r="AO247" s="254" t="s">
        <v>1324</v>
      </c>
      <c r="AP247" s="257" t="s">
        <v>13</v>
      </c>
      <c r="AQ247" s="263" t="s">
        <v>668</v>
      </c>
      <c r="AR247" s="256">
        <v>1.8749999999999999E-3</v>
      </c>
      <c r="AS247" s="256">
        <v>1.8749999999999999E-3</v>
      </c>
      <c r="AT247" s="256"/>
      <c r="AW247" s="508"/>
      <c r="AX247" s="508"/>
      <c r="AY247" s="509"/>
      <c r="AZ247" s="509"/>
      <c r="BA247" s="509"/>
      <c r="BB247" s="510"/>
      <c r="BC247" s="509"/>
      <c r="BD247" s="509"/>
      <c r="BE247" s="509"/>
      <c r="BF247" s="509"/>
      <c r="BG247" s="510"/>
      <c r="BH247" s="510"/>
      <c r="BI247" s="511"/>
      <c r="BJ247" s="511"/>
      <c r="BK247" s="511"/>
      <c r="BL247" s="510"/>
      <c r="BM247" s="510"/>
      <c r="BN247" s="510"/>
      <c r="BO247" s="510"/>
      <c r="BP247" s="510"/>
      <c r="BQ247" s="510"/>
      <c r="BR247" s="510"/>
      <c r="BS247" s="510"/>
      <c r="BT247" s="513"/>
      <c r="BU247" s="514"/>
      <c r="BV247" s="512"/>
      <c r="BW247" s="515"/>
    </row>
    <row r="248" spans="2:75" ht="15.75" customHeight="1">
      <c r="B248" s="250" t="s">
        <v>320</v>
      </c>
      <c r="C248" s="251">
        <v>947958000194</v>
      </c>
      <c r="D248" s="252" t="s">
        <v>13</v>
      </c>
      <c r="E248" s="252" t="s">
        <v>615</v>
      </c>
      <c r="F248" s="252" t="s">
        <v>619</v>
      </c>
      <c r="G248" s="253" t="s">
        <v>34</v>
      </c>
      <c r="H248" s="253" t="s">
        <v>1337</v>
      </c>
      <c r="I248" s="253" t="s">
        <v>34</v>
      </c>
      <c r="J248" s="253" t="s">
        <v>611</v>
      </c>
      <c r="K248" s="254" t="s">
        <v>48</v>
      </c>
      <c r="L248" s="255"/>
      <c r="M248" s="255" t="s">
        <v>34</v>
      </c>
      <c r="N248" s="254">
        <v>42651</v>
      </c>
      <c r="O248" s="254" t="s">
        <v>1321</v>
      </c>
      <c r="P248" s="258">
        <v>35219</v>
      </c>
      <c r="Q248" s="259">
        <v>84673923.680000007</v>
      </c>
      <c r="R248" s="259">
        <v>119352736.53972222</v>
      </c>
      <c r="S248" s="254">
        <v>1</v>
      </c>
      <c r="T248" s="256">
        <v>8.0689130919262775E-2</v>
      </c>
      <c r="U248" s="256">
        <v>1.043084144408267</v>
      </c>
      <c r="V248" s="256">
        <v>0.10815397863830456</v>
      </c>
      <c r="W248" s="256">
        <v>1.0602706289308403</v>
      </c>
      <c r="X248" s="256">
        <v>0.13304353295330462</v>
      </c>
      <c r="Y248" s="256">
        <v>1.0088932791462657</v>
      </c>
      <c r="Z248" s="256">
        <v>0.17835700427749002</v>
      </c>
      <c r="AA248" s="256">
        <v>1.0138390335605614</v>
      </c>
      <c r="AB248" s="256">
        <v>1.1110510350468434E-2</v>
      </c>
      <c r="AC248" s="260">
        <v>0.50635326069462749</v>
      </c>
      <c r="AD248" s="405">
        <v>0</v>
      </c>
      <c r="AE248" s="257" t="s">
        <v>2348</v>
      </c>
      <c r="AF248" s="257" t="s">
        <v>2118</v>
      </c>
      <c r="AG248" s="261" t="s">
        <v>1433</v>
      </c>
      <c r="AH248" s="261" t="s">
        <v>2113</v>
      </c>
      <c r="AI248" s="261">
        <v>50000</v>
      </c>
      <c r="AJ248" s="261">
        <v>5000</v>
      </c>
      <c r="AK248" s="261">
        <v>25000</v>
      </c>
      <c r="AL248" s="256">
        <v>1.4999999999999999E-2</v>
      </c>
      <c r="AM248" s="256">
        <v>0.2</v>
      </c>
      <c r="AN248" s="256" t="s">
        <v>64</v>
      </c>
      <c r="AO248" s="254" t="s">
        <v>1324</v>
      </c>
      <c r="AP248" s="257" t="s">
        <v>13</v>
      </c>
      <c r="AQ248" s="263" t="s">
        <v>664</v>
      </c>
      <c r="AR248" s="256">
        <v>4.0000000000000001E-3</v>
      </c>
      <c r="AS248" s="256">
        <v>4.0000000000000001E-3</v>
      </c>
      <c r="AT248" s="256"/>
      <c r="AW248" s="508"/>
      <c r="AX248" s="508"/>
      <c r="AY248" s="509"/>
      <c r="AZ248" s="509"/>
      <c r="BA248" s="509"/>
      <c r="BB248" s="510"/>
      <c r="BC248" s="509"/>
      <c r="BD248" s="509"/>
      <c r="BE248" s="509"/>
      <c r="BF248" s="509"/>
      <c r="BG248" s="510"/>
      <c r="BH248" s="510"/>
      <c r="BI248" s="511"/>
      <c r="BJ248" s="511"/>
      <c r="BK248" s="511"/>
      <c r="BL248" s="510"/>
      <c r="BM248" s="510"/>
      <c r="BN248" s="510"/>
      <c r="BO248" s="510"/>
      <c r="BP248" s="510"/>
      <c r="BQ248" s="510"/>
      <c r="BR248" s="510"/>
      <c r="BS248" s="510"/>
      <c r="BT248" s="513"/>
      <c r="BU248" s="514"/>
      <c r="BV248" s="512"/>
      <c r="BW248" s="515"/>
    </row>
    <row r="249" spans="2:75" ht="15.75" customHeight="1">
      <c r="B249" s="250" t="s">
        <v>1200</v>
      </c>
      <c r="C249" s="251">
        <v>12839769000187</v>
      </c>
      <c r="D249" s="252" t="s">
        <v>13</v>
      </c>
      <c r="E249" s="252" t="s">
        <v>615</v>
      </c>
      <c r="F249" s="252" t="s">
        <v>619</v>
      </c>
      <c r="G249" s="253" t="s">
        <v>34</v>
      </c>
      <c r="H249" s="253" t="s">
        <v>1337</v>
      </c>
      <c r="I249" s="253" t="s">
        <v>34</v>
      </c>
      <c r="J249" s="253"/>
      <c r="K249" s="254" t="s">
        <v>48</v>
      </c>
      <c r="L249" s="255"/>
      <c r="M249" s="255" t="s">
        <v>1414</v>
      </c>
      <c r="N249" s="254">
        <v>268471</v>
      </c>
      <c r="O249" s="254" t="s">
        <v>1321</v>
      </c>
      <c r="P249" s="258">
        <v>40597</v>
      </c>
      <c r="Q249" s="259">
        <v>23046359.25</v>
      </c>
      <c r="R249" s="259">
        <v>26589581.039761908</v>
      </c>
      <c r="S249" s="254">
        <v>1</v>
      </c>
      <c r="T249" s="256">
        <v>8.0052408551531062E-2</v>
      </c>
      <c r="U249" s="256">
        <v>1.0348531100842564</v>
      </c>
      <c r="V249" s="256">
        <v>7.7384387829990686E-2</v>
      </c>
      <c r="W249" s="256">
        <v>0.7586257536426263</v>
      </c>
      <c r="X249" s="256">
        <v>8.9445961060032664E-2</v>
      </c>
      <c r="Y249" s="256">
        <v>0.67828497152070011</v>
      </c>
      <c r="Z249" s="256">
        <v>8.4621650556171435E-2</v>
      </c>
      <c r="AA249" s="256">
        <v>0.4810168951071358</v>
      </c>
      <c r="AB249" s="256">
        <v>1.6388735952675385E-2</v>
      </c>
      <c r="AC249" s="260">
        <v>-1.3711166063304177</v>
      </c>
      <c r="AD249" s="405">
        <v>0</v>
      </c>
      <c r="AE249" s="257" t="s">
        <v>2289</v>
      </c>
      <c r="AF249" s="257" t="s">
        <v>2115</v>
      </c>
      <c r="AG249" s="261" t="s">
        <v>719</v>
      </c>
      <c r="AH249" s="261" t="s">
        <v>2113</v>
      </c>
      <c r="AI249" s="261">
        <v>5000</v>
      </c>
      <c r="AJ249" s="261">
        <v>2500</v>
      </c>
      <c r="AK249" s="261">
        <v>2500</v>
      </c>
      <c r="AL249" s="256">
        <v>0.01</v>
      </c>
      <c r="AM249" s="256">
        <v>0.2</v>
      </c>
      <c r="AN249" s="256" t="s">
        <v>64</v>
      </c>
      <c r="AO249" s="254" t="s">
        <v>1324</v>
      </c>
      <c r="AP249" s="257" t="s">
        <v>13</v>
      </c>
      <c r="AQ249" s="263" t="s">
        <v>664</v>
      </c>
      <c r="AR249" s="256">
        <v>3.5999999999999999E-3</v>
      </c>
      <c r="AS249" s="256">
        <v>3.5999999999999999E-3</v>
      </c>
      <c r="AT249" s="256"/>
      <c r="AW249" s="508"/>
      <c r="AX249" s="508"/>
      <c r="AY249" s="509"/>
      <c r="AZ249" s="509"/>
      <c r="BA249" s="509"/>
      <c r="BB249" s="510"/>
      <c r="BC249" s="509"/>
      <c r="BD249" s="509"/>
      <c r="BE249" s="509"/>
      <c r="BF249" s="509"/>
      <c r="BG249" s="510"/>
      <c r="BH249" s="510"/>
      <c r="BI249" s="511"/>
      <c r="BJ249" s="511"/>
      <c r="BK249" s="511"/>
      <c r="BL249" s="510"/>
      <c r="BM249" s="510"/>
      <c r="BN249" s="510"/>
      <c r="BO249" s="510"/>
      <c r="BP249" s="510"/>
      <c r="BQ249" s="510"/>
      <c r="BR249" s="510"/>
      <c r="BS249" s="510"/>
      <c r="BT249" s="513"/>
      <c r="BU249" s="514"/>
      <c r="BV249" s="512"/>
      <c r="BW249" s="515"/>
    </row>
    <row r="250" spans="2:75" ht="15.75" customHeight="1">
      <c r="B250" s="250" t="s">
        <v>1204</v>
      </c>
      <c r="C250" s="251">
        <v>7381653000107</v>
      </c>
      <c r="D250" s="252" t="s">
        <v>11</v>
      </c>
      <c r="E250" s="252" t="s">
        <v>620</v>
      </c>
      <c r="F250" s="252" t="s">
        <v>619</v>
      </c>
      <c r="G250" s="253" t="s">
        <v>738</v>
      </c>
      <c r="H250" s="253" t="s">
        <v>34</v>
      </c>
      <c r="I250" s="253" t="s">
        <v>34</v>
      </c>
      <c r="J250" s="253" t="s">
        <v>608</v>
      </c>
      <c r="K250" s="254" t="s">
        <v>48</v>
      </c>
      <c r="L250" s="255"/>
      <c r="M250" s="255" t="s">
        <v>34</v>
      </c>
      <c r="N250" s="254">
        <v>284701</v>
      </c>
      <c r="O250" s="254" t="s">
        <v>1321</v>
      </c>
      <c r="P250" s="258">
        <v>38497</v>
      </c>
      <c r="Q250" s="259">
        <v>68323864.590000004</v>
      </c>
      <c r="R250" s="259">
        <v>93153587.096388921</v>
      </c>
      <c r="S250" s="254">
        <v>1</v>
      </c>
      <c r="T250" s="256">
        <v>7.8763403891368711E-2</v>
      </c>
      <c r="U250" s="256">
        <v>1.0181898952526447</v>
      </c>
      <c r="V250" s="256">
        <v>8.8046531107292658E-2</v>
      </c>
      <c r="W250" s="256">
        <v>0.86315040914496133</v>
      </c>
      <c r="X250" s="256">
        <v>8.4314696425530133E-2</v>
      </c>
      <c r="Y250" s="256">
        <v>0.63937365964891224</v>
      </c>
      <c r="Z250" s="256">
        <v>0.12192529132718044</v>
      </c>
      <c r="AA250" s="256">
        <v>0.69306288265203464</v>
      </c>
      <c r="AB250" s="256">
        <v>8.8750819842201359E-3</v>
      </c>
      <c r="AC250" s="260">
        <v>-1.4326358250379927</v>
      </c>
      <c r="AD250" s="405">
        <v>0</v>
      </c>
      <c r="AE250" s="257" t="s">
        <v>2289</v>
      </c>
      <c r="AF250" s="257" t="s">
        <v>2115</v>
      </c>
      <c r="AG250" s="261" t="s">
        <v>719</v>
      </c>
      <c r="AH250" s="261" t="s">
        <v>2113</v>
      </c>
      <c r="AI250" s="261">
        <v>500</v>
      </c>
      <c r="AJ250" s="261">
        <v>500</v>
      </c>
      <c r="AK250" s="261">
        <v>500</v>
      </c>
      <c r="AL250" s="256">
        <v>5.0000000000000001E-3</v>
      </c>
      <c r="AM250" s="256">
        <v>0.2</v>
      </c>
      <c r="AN250" s="256" t="s">
        <v>64</v>
      </c>
      <c r="AO250" s="254" t="s">
        <v>1324</v>
      </c>
      <c r="AP250" s="257" t="s">
        <v>11</v>
      </c>
      <c r="AQ250" s="263" t="s">
        <v>669</v>
      </c>
      <c r="AR250" s="256">
        <v>1.8E-3</v>
      </c>
      <c r="AS250" s="256">
        <v>1.8E-3</v>
      </c>
      <c r="AT250" s="256"/>
      <c r="AW250" s="508"/>
      <c r="AX250" s="508"/>
      <c r="AY250" s="509"/>
      <c r="AZ250" s="509"/>
      <c r="BA250" s="509"/>
      <c r="BB250" s="510"/>
      <c r="BC250" s="509"/>
      <c r="BD250" s="509"/>
      <c r="BE250" s="509"/>
      <c r="BF250" s="509"/>
      <c r="BG250" s="510"/>
      <c r="BH250" s="510"/>
      <c r="BI250" s="511"/>
      <c r="BJ250" s="511"/>
      <c r="BK250" s="511"/>
      <c r="BL250" s="510"/>
      <c r="BM250" s="510"/>
      <c r="BN250" s="510"/>
      <c r="BO250" s="510"/>
      <c r="BP250" s="510"/>
      <c r="BQ250" s="510"/>
      <c r="BR250" s="510"/>
      <c r="BS250" s="510"/>
      <c r="BT250" s="513"/>
      <c r="BU250" s="514"/>
      <c r="BV250" s="512"/>
      <c r="BW250" s="515"/>
    </row>
    <row r="251" spans="2:75" ht="15.75" customHeight="1">
      <c r="B251" s="250" t="s">
        <v>394</v>
      </c>
      <c r="C251" s="251">
        <v>12120451000141</v>
      </c>
      <c r="D251" s="252" t="s">
        <v>13</v>
      </c>
      <c r="E251" s="252" t="s">
        <v>615</v>
      </c>
      <c r="F251" s="252" t="s">
        <v>619</v>
      </c>
      <c r="G251" s="253" t="s">
        <v>34</v>
      </c>
      <c r="H251" s="253" t="s">
        <v>1337</v>
      </c>
      <c r="I251" s="253" t="s">
        <v>34</v>
      </c>
      <c r="J251" s="253"/>
      <c r="K251" s="254" t="s">
        <v>48</v>
      </c>
      <c r="L251" s="255"/>
      <c r="M251" s="255" t="s">
        <v>34</v>
      </c>
      <c r="N251" s="254">
        <v>406619</v>
      </c>
      <c r="O251" s="254" t="s">
        <v>1324</v>
      </c>
      <c r="P251" s="258">
        <v>40387</v>
      </c>
      <c r="Q251" s="259">
        <v>12481911.859999999</v>
      </c>
      <c r="R251" s="259">
        <v>27007980.686031755</v>
      </c>
      <c r="S251" s="254">
        <v>1</v>
      </c>
      <c r="T251" s="256">
        <v>6.930169594002944E-2</v>
      </c>
      <c r="U251" s="256">
        <v>0.89587654981658016</v>
      </c>
      <c r="V251" s="256">
        <v>8.5281334566218892E-2</v>
      </c>
      <c r="W251" s="256">
        <v>0.83604223695717184</v>
      </c>
      <c r="X251" s="256">
        <v>9.9257250657065477E-2</v>
      </c>
      <c r="Y251" s="256">
        <v>0.75268576285926336</v>
      </c>
      <c r="Z251" s="256">
        <v>0.17993464602664755</v>
      </c>
      <c r="AA251" s="256">
        <v>1.0228068607157101</v>
      </c>
      <c r="AB251" s="256">
        <v>2.1228138618860214E-2</v>
      </c>
      <c r="AC251" s="260">
        <v>-0.7101573339739703</v>
      </c>
      <c r="AD251" s="405">
        <v>0</v>
      </c>
      <c r="AE251" s="257" t="s">
        <v>2407</v>
      </c>
      <c r="AF251" s="257" t="s">
        <v>2109</v>
      </c>
      <c r="AG251" s="261" t="s">
        <v>1432</v>
      </c>
      <c r="AH251" s="261" t="s">
        <v>2113</v>
      </c>
      <c r="AI251" s="261">
        <v>1000</v>
      </c>
      <c r="AJ251" s="261">
        <v>1000</v>
      </c>
      <c r="AK251" s="261">
        <v>1000</v>
      </c>
      <c r="AL251" s="256">
        <v>0.02</v>
      </c>
      <c r="AM251" s="256">
        <v>0.2</v>
      </c>
      <c r="AN251" s="256" t="s">
        <v>64</v>
      </c>
      <c r="AO251" s="254" t="s">
        <v>1324</v>
      </c>
      <c r="AP251" s="257" t="s">
        <v>13</v>
      </c>
      <c r="AQ251" s="263" t="s">
        <v>668</v>
      </c>
      <c r="AR251" s="256">
        <v>4.0000000000000001E-3</v>
      </c>
      <c r="AS251" s="256">
        <v>4.0000000000000001E-3</v>
      </c>
      <c r="AT251" s="256"/>
      <c r="AW251" s="508"/>
      <c r="AX251" s="508"/>
      <c r="AY251" s="509"/>
      <c r="AZ251" s="509"/>
      <c r="BA251" s="509"/>
      <c r="BB251" s="509"/>
      <c r="BC251" s="509"/>
      <c r="BD251" s="509"/>
      <c r="BE251" s="509"/>
      <c r="BF251" s="509"/>
      <c r="BG251" s="510"/>
      <c r="BH251" s="510"/>
      <c r="BI251" s="511"/>
      <c r="BJ251" s="511"/>
      <c r="BK251" s="511"/>
      <c r="BL251" s="195"/>
      <c r="BM251" s="510"/>
      <c r="BN251" s="510"/>
      <c r="BO251" s="510"/>
      <c r="BP251" s="510"/>
      <c r="BQ251" s="510"/>
      <c r="BR251" s="510"/>
      <c r="BS251" s="510"/>
      <c r="BT251" s="510"/>
      <c r="BU251" s="510"/>
      <c r="BV251" s="512"/>
      <c r="BW251" s="509"/>
    </row>
    <row r="252" spans="2:75" ht="15.75" customHeight="1">
      <c r="B252" s="250" t="s">
        <v>543</v>
      </c>
      <c r="C252" s="251">
        <v>22187946000141</v>
      </c>
      <c r="D252" s="252" t="s">
        <v>13</v>
      </c>
      <c r="E252" s="252" t="s">
        <v>615</v>
      </c>
      <c r="F252" s="252" t="s">
        <v>619</v>
      </c>
      <c r="G252" s="253" t="s">
        <v>34</v>
      </c>
      <c r="H252" s="253" t="s">
        <v>1338</v>
      </c>
      <c r="I252" s="253" t="s">
        <v>34</v>
      </c>
      <c r="J252" s="253" t="s">
        <v>611</v>
      </c>
      <c r="K252" s="254" t="s">
        <v>48</v>
      </c>
      <c r="L252" s="255"/>
      <c r="M252" s="255" t="s">
        <v>1414</v>
      </c>
      <c r="N252" s="254">
        <v>396052</v>
      </c>
      <c r="O252" s="254" t="s">
        <v>1324</v>
      </c>
      <c r="P252" s="258">
        <v>42145</v>
      </c>
      <c r="Q252" s="259">
        <v>1299480853.3399999</v>
      </c>
      <c r="R252" s="259">
        <v>1310603260.9276984</v>
      </c>
      <c r="S252" s="254">
        <v>1</v>
      </c>
      <c r="T252" s="256">
        <v>0.11805272250332388</v>
      </c>
      <c r="U252" s="256">
        <v>1.5260905854923443</v>
      </c>
      <c r="V252" s="256">
        <v>8.7886517384448526E-2</v>
      </c>
      <c r="W252" s="256">
        <v>0.86158173961755646</v>
      </c>
      <c r="X252" s="256">
        <v>0.14542380385287079</v>
      </c>
      <c r="Y252" s="256">
        <v>1.1027751223844955</v>
      </c>
      <c r="Z252" s="256">
        <v>0.20230400101710111</v>
      </c>
      <c r="AA252" s="256">
        <v>1.1499615263637741</v>
      </c>
      <c r="AB252" s="256">
        <v>8.3422229132051287E-2</v>
      </c>
      <c r="AC252" s="260">
        <v>-0.11312474830463629</v>
      </c>
      <c r="AD252" s="405">
        <v>7455507000189</v>
      </c>
      <c r="AE252" s="257" t="s">
        <v>2219</v>
      </c>
      <c r="AF252" s="257" t="s">
        <v>2112</v>
      </c>
      <c r="AG252" s="261" t="s">
        <v>59</v>
      </c>
      <c r="AH252" s="261" t="s">
        <v>2113</v>
      </c>
      <c r="AI252" s="261">
        <v>5000</v>
      </c>
      <c r="AJ252" s="261">
        <v>2000</v>
      </c>
      <c r="AK252" s="261">
        <v>5000</v>
      </c>
      <c r="AL252" s="256">
        <v>1.4999999999999999E-2</v>
      </c>
      <c r="AM252" s="256">
        <v>0.2</v>
      </c>
      <c r="AN252" s="256" t="s">
        <v>64</v>
      </c>
      <c r="AO252" s="254" t="s">
        <v>1324</v>
      </c>
      <c r="AP252" s="257" t="s">
        <v>13</v>
      </c>
      <c r="AQ252" s="263" t="s">
        <v>664</v>
      </c>
      <c r="AR252" s="256" t="s">
        <v>34</v>
      </c>
      <c r="AS252" s="256" t="s">
        <v>34</v>
      </c>
      <c r="AT252" s="256"/>
      <c r="AW252" s="508"/>
      <c r="AX252" s="508"/>
      <c r="AY252" s="509"/>
      <c r="AZ252" s="509"/>
      <c r="BA252" s="509"/>
      <c r="BB252" s="509"/>
      <c r="BC252" s="509"/>
      <c r="BD252" s="509"/>
      <c r="BE252" s="509"/>
      <c r="BF252" s="509"/>
      <c r="BG252" s="510"/>
      <c r="BH252" s="510"/>
      <c r="BI252" s="511"/>
      <c r="BJ252" s="511"/>
      <c r="BK252" s="511"/>
      <c r="BL252" s="195"/>
      <c r="BM252" s="510"/>
      <c r="BN252" s="510"/>
      <c r="BO252" s="510"/>
      <c r="BP252" s="510"/>
      <c r="BQ252" s="510"/>
      <c r="BR252" s="510"/>
      <c r="BS252" s="510"/>
      <c r="BT252" s="510"/>
      <c r="BU252" s="510"/>
      <c r="BV252" s="512"/>
      <c r="BW252" s="509"/>
    </row>
    <row r="253" spans="2:75" ht="15.75" customHeight="1">
      <c r="B253" s="250" t="s">
        <v>429</v>
      </c>
      <c r="C253" s="251">
        <v>30887013000195</v>
      </c>
      <c r="D253" s="252" t="s">
        <v>13</v>
      </c>
      <c r="E253" s="252" t="s">
        <v>615</v>
      </c>
      <c r="F253" s="252" t="s">
        <v>619</v>
      </c>
      <c r="G253" s="253" t="s">
        <v>34</v>
      </c>
      <c r="H253" s="253" t="s">
        <v>1338</v>
      </c>
      <c r="I253" s="253" t="s">
        <v>34</v>
      </c>
      <c r="J253" s="253"/>
      <c r="K253" s="254" t="s">
        <v>48</v>
      </c>
      <c r="L253" s="255"/>
      <c r="M253" s="255" t="s">
        <v>1414</v>
      </c>
      <c r="N253" s="254">
        <v>473677</v>
      </c>
      <c r="O253" s="254" t="s">
        <v>1321</v>
      </c>
      <c r="P253" s="258">
        <v>43339</v>
      </c>
      <c r="Q253" s="259">
        <v>26166403.07</v>
      </c>
      <c r="R253" s="259">
        <v>33147273.613412682</v>
      </c>
      <c r="S253" s="254">
        <v>1</v>
      </c>
      <c r="T253" s="256">
        <v>-0.17761154159432524</v>
      </c>
      <c r="U253" s="256">
        <v>-2.2960190646535068</v>
      </c>
      <c r="V253" s="256">
        <v>-0.34707622111817937</v>
      </c>
      <c r="W253" s="256">
        <v>-3.4025074979680863</v>
      </c>
      <c r="X253" s="256">
        <v>-0.41764228004498472</v>
      </c>
      <c r="Y253" s="256">
        <v>-3.1670572787073734</v>
      </c>
      <c r="Z253" s="256">
        <v>-0.26126781112649766</v>
      </c>
      <c r="AA253" s="256">
        <v>-1.4851309384007294</v>
      </c>
      <c r="AB253" s="256">
        <v>0.53069549395058413</v>
      </c>
      <c r="AC253" s="260">
        <v>-0.71861888146074848</v>
      </c>
      <c r="AD253" s="405">
        <v>0</v>
      </c>
      <c r="AE253" s="257" t="s">
        <v>2428</v>
      </c>
      <c r="AF253" s="257" t="s">
        <v>2118</v>
      </c>
      <c r="AG253" s="261" t="s">
        <v>1433</v>
      </c>
      <c r="AH253" s="261" t="s">
        <v>2113</v>
      </c>
      <c r="AI253" s="261">
        <v>500</v>
      </c>
      <c r="AJ253" s="261">
        <v>100</v>
      </c>
      <c r="AK253" s="261">
        <v>500</v>
      </c>
      <c r="AL253" s="256">
        <v>0.01</v>
      </c>
      <c r="AM253" s="256">
        <v>0.15</v>
      </c>
      <c r="AN253" s="256" t="s">
        <v>64</v>
      </c>
      <c r="AO253" s="254" t="s">
        <v>1324</v>
      </c>
      <c r="AP253" s="257" t="s">
        <v>13</v>
      </c>
      <c r="AQ253" s="263" t="s">
        <v>664</v>
      </c>
      <c r="AR253" s="256">
        <v>2E-3</v>
      </c>
      <c r="AS253" s="256">
        <v>2E-3</v>
      </c>
      <c r="AT253" s="256"/>
      <c r="AW253" s="508"/>
      <c r="AX253" s="508"/>
      <c r="AY253" s="509"/>
      <c r="AZ253" s="509"/>
      <c r="BA253" s="509"/>
      <c r="BB253" s="510"/>
      <c r="BC253" s="509"/>
      <c r="BD253" s="509"/>
      <c r="BE253" s="509"/>
      <c r="BF253" s="509"/>
      <c r="BG253" s="510"/>
      <c r="BH253" s="510"/>
      <c r="BI253" s="511"/>
      <c r="BJ253" s="511"/>
      <c r="BK253" s="511"/>
      <c r="BL253" s="510"/>
      <c r="BM253" s="510"/>
      <c r="BN253" s="510"/>
      <c r="BO253" s="510"/>
      <c r="BP253" s="510"/>
      <c r="BQ253" s="510"/>
      <c r="BR253" s="510"/>
      <c r="BS253" s="510"/>
      <c r="BT253" s="513"/>
      <c r="BU253" s="514"/>
      <c r="BV253" s="512"/>
      <c r="BW253" s="515"/>
    </row>
    <row r="254" spans="2:75" ht="15.75" customHeight="1">
      <c r="B254" s="250" t="s">
        <v>432</v>
      </c>
      <c r="C254" s="251">
        <v>12440825000106</v>
      </c>
      <c r="D254" s="252" t="s">
        <v>13</v>
      </c>
      <c r="E254" s="252" t="s">
        <v>615</v>
      </c>
      <c r="F254" s="252" t="s">
        <v>619</v>
      </c>
      <c r="G254" s="253" t="s">
        <v>34</v>
      </c>
      <c r="H254" s="253" t="s">
        <v>1337</v>
      </c>
      <c r="I254" s="253" t="s">
        <v>34</v>
      </c>
      <c r="J254" s="253"/>
      <c r="K254" s="254" t="s">
        <v>48</v>
      </c>
      <c r="L254" s="255"/>
      <c r="M254" s="255" t="s">
        <v>1414</v>
      </c>
      <c r="N254" s="254">
        <v>270679</v>
      </c>
      <c r="O254" s="254" t="s">
        <v>1321</v>
      </c>
      <c r="P254" s="258">
        <v>40633</v>
      </c>
      <c r="Q254" s="259">
        <v>537499979.03999996</v>
      </c>
      <c r="R254" s="259">
        <v>624718872.79412746</v>
      </c>
      <c r="S254" s="254">
        <v>1</v>
      </c>
      <c r="T254" s="256">
        <v>7.9038718071579916E-2</v>
      </c>
      <c r="U254" s="256">
        <v>1.0217489353964333</v>
      </c>
      <c r="V254" s="256">
        <v>9.982194213206097E-2</v>
      </c>
      <c r="W254" s="256">
        <v>0.97858881104512441</v>
      </c>
      <c r="X254" s="256">
        <v>0.11113700442169128</v>
      </c>
      <c r="Y254" s="256">
        <v>0.8427720937390224</v>
      </c>
      <c r="Z254" s="256">
        <v>0.1703393443745711</v>
      </c>
      <c r="AA254" s="256">
        <v>0.96826405544113758</v>
      </c>
      <c r="AB254" s="256">
        <v>7.1246606607448431E-3</v>
      </c>
      <c r="AC254" s="260">
        <v>-0.27517761341299546</v>
      </c>
      <c r="AD254" s="405">
        <v>0</v>
      </c>
      <c r="AE254" s="257" t="s">
        <v>2432</v>
      </c>
      <c r="AF254" s="257" t="s">
        <v>2115</v>
      </c>
      <c r="AG254" s="261" t="s">
        <v>719</v>
      </c>
      <c r="AH254" s="261" t="s">
        <v>2113</v>
      </c>
      <c r="AI254" s="261">
        <v>500</v>
      </c>
      <c r="AJ254" s="261">
        <v>0</v>
      </c>
      <c r="AK254" s="261">
        <v>500</v>
      </c>
      <c r="AL254" s="256">
        <v>9.5999999999999992E-3</v>
      </c>
      <c r="AM254" s="256">
        <v>0.2</v>
      </c>
      <c r="AN254" s="256" t="s">
        <v>64</v>
      </c>
      <c r="AO254" s="254" t="s">
        <v>1324</v>
      </c>
      <c r="AP254" s="257" t="s">
        <v>13</v>
      </c>
      <c r="AQ254" s="263" t="s">
        <v>688</v>
      </c>
      <c r="AR254" s="256">
        <v>1.9199999999999996E-3</v>
      </c>
      <c r="AS254" s="256">
        <v>1.9199999999999996E-3</v>
      </c>
      <c r="AT254" s="256"/>
      <c r="AW254" s="508"/>
      <c r="AX254" s="508"/>
      <c r="AY254" s="509"/>
      <c r="AZ254" s="509"/>
      <c r="BA254" s="509"/>
      <c r="BB254" s="510"/>
      <c r="BC254" s="509"/>
      <c r="BD254" s="509"/>
      <c r="BE254" s="509"/>
      <c r="BF254" s="509"/>
      <c r="BG254" s="510"/>
      <c r="BH254" s="510"/>
      <c r="BI254" s="511"/>
      <c r="BJ254" s="511"/>
      <c r="BK254" s="511"/>
      <c r="BL254" s="510"/>
      <c r="BM254" s="510"/>
      <c r="BN254" s="510"/>
      <c r="BO254" s="510"/>
      <c r="BP254" s="510"/>
      <c r="BQ254" s="510"/>
      <c r="BR254" s="510"/>
      <c r="BS254" s="510"/>
      <c r="BT254" s="513"/>
      <c r="BU254" s="514"/>
      <c r="BV254" s="512"/>
      <c r="BW254" s="515"/>
    </row>
    <row r="255" spans="2:75" ht="15.75" customHeight="1">
      <c r="B255" s="250" t="s">
        <v>1281</v>
      </c>
      <c r="C255" s="251">
        <v>5024659000100</v>
      </c>
      <c r="D255" s="252" t="s">
        <v>13</v>
      </c>
      <c r="E255" s="252" t="s">
        <v>615</v>
      </c>
      <c r="F255" s="252" t="s">
        <v>619</v>
      </c>
      <c r="G255" s="253" t="s">
        <v>34</v>
      </c>
      <c r="H255" s="253" t="s">
        <v>1337</v>
      </c>
      <c r="I255" s="253" t="s">
        <v>34</v>
      </c>
      <c r="J255" s="253"/>
      <c r="K255" s="254" t="s">
        <v>48</v>
      </c>
      <c r="L255" s="255"/>
      <c r="M255" s="255" t="s">
        <v>1414</v>
      </c>
      <c r="N255" s="254">
        <v>122041</v>
      </c>
      <c r="O255" s="254" t="s">
        <v>1321</v>
      </c>
      <c r="P255" s="258">
        <v>37635</v>
      </c>
      <c r="Q255" s="259">
        <v>21049008.989999998</v>
      </c>
      <c r="R255" s="259">
        <v>27306552.103809524</v>
      </c>
      <c r="S255" s="254">
        <v>1</v>
      </c>
      <c r="T255" s="256">
        <v>1.9412158337067442E-2</v>
      </c>
      <c r="U255" s="256">
        <v>0.25094475971489122</v>
      </c>
      <c r="V255" s="256">
        <v>2.2708773505222268E-2</v>
      </c>
      <c r="W255" s="256">
        <v>0.22262191247860932</v>
      </c>
      <c r="X255" s="256">
        <v>3.4301213311415779E-2</v>
      </c>
      <c r="Y255" s="256">
        <v>0.26011233171773823</v>
      </c>
      <c r="Z255" s="256">
        <v>9.2964901559129398E-2</v>
      </c>
      <c r="AA255" s="256">
        <v>0.52844263859199447</v>
      </c>
      <c r="AB255" s="256">
        <v>3.3908516185498921E-2</v>
      </c>
      <c r="AC255" s="260">
        <v>-2.1859903352442154</v>
      </c>
      <c r="AD255" s="405">
        <v>0</v>
      </c>
      <c r="AE255" s="257" t="s">
        <v>2306</v>
      </c>
      <c r="AF255" s="257" t="s">
        <v>728</v>
      </c>
      <c r="AG255" s="261" t="s">
        <v>728</v>
      </c>
      <c r="AH255" s="261" t="s">
        <v>2113</v>
      </c>
      <c r="AI255" s="261">
        <v>5000</v>
      </c>
      <c r="AJ255" s="261">
        <v>100</v>
      </c>
      <c r="AK255" s="261">
        <v>1000</v>
      </c>
      <c r="AL255" s="256">
        <v>1.1000000000000001E-2</v>
      </c>
      <c r="AM255" s="256" t="s">
        <v>34</v>
      </c>
      <c r="AN255" s="256" t="s">
        <v>2127</v>
      </c>
      <c r="AO255" s="254" t="s">
        <v>1324</v>
      </c>
      <c r="AP255" s="257" t="s">
        <v>13</v>
      </c>
      <c r="AQ255" s="263" t="s">
        <v>664</v>
      </c>
      <c r="AR255" s="256">
        <v>2.9333333333333329E-3</v>
      </c>
      <c r="AS255" s="256">
        <v>2.9333333333333329E-3</v>
      </c>
      <c r="AT255" s="256"/>
      <c r="AW255" s="508"/>
      <c r="AX255" s="508"/>
      <c r="AY255" s="509"/>
      <c r="AZ255" s="509"/>
      <c r="BA255" s="509"/>
      <c r="BB255" s="510"/>
      <c r="BC255" s="509"/>
      <c r="BD255" s="509"/>
      <c r="BE255" s="509"/>
      <c r="BF255" s="509"/>
      <c r="BG255" s="510"/>
      <c r="BH255" s="510"/>
      <c r="BI255" s="511"/>
      <c r="BJ255" s="511"/>
      <c r="BK255" s="511"/>
      <c r="BL255" s="510"/>
      <c r="BM255" s="510"/>
      <c r="BN255" s="510"/>
      <c r="BO255" s="510"/>
      <c r="BP255" s="510"/>
      <c r="BQ255" s="510"/>
      <c r="BR255" s="510"/>
      <c r="BS255" s="510"/>
      <c r="BT255" s="513"/>
      <c r="BU255" s="514"/>
      <c r="BV255" s="512"/>
      <c r="BW255" s="515"/>
    </row>
    <row r="256" spans="2:75" ht="15.75" customHeight="1">
      <c r="B256" s="250" t="s">
        <v>1545</v>
      </c>
      <c r="C256" s="251">
        <v>36348364000104</v>
      </c>
      <c r="D256" s="252" t="s">
        <v>14</v>
      </c>
      <c r="E256" s="252" t="s">
        <v>15</v>
      </c>
      <c r="F256" s="252" t="s">
        <v>1326</v>
      </c>
      <c r="G256" s="253"/>
      <c r="H256" s="253" t="s">
        <v>34</v>
      </c>
      <c r="I256" s="253"/>
      <c r="J256" s="253" t="s">
        <v>608</v>
      </c>
      <c r="K256" s="254" t="s">
        <v>48</v>
      </c>
      <c r="L256" s="255"/>
      <c r="M256" s="255"/>
      <c r="N256" s="254">
        <v>549576</v>
      </c>
      <c r="O256" s="254" t="s">
        <v>1324</v>
      </c>
      <c r="P256" s="258">
        <v>44060</v>
      </c>
      <c r="Q256" s="259">
        <v>411575321.07999998</v>
      </c>
      <c r="R256" s="259">
        <v>363268630.5015083</v>
      </c>
      <c r="S256" s="254">
        <v>1</v>
      </c>
      <c r="T256" s="256">
        <v>0.18662290650908431</v>
      </c>
      <c r="U256" s="256">
        <v>2.0991183136530047</v>
      </c>
      <c r="V256" s="256">
        <v>0.23329712329121421</v>
      </c>
      <c r="W256" s="256">
        <v>2.1411329709543239</v>
      </c>
      <c r="X256" s="256">
        <v>0.23952157472820401</v>
      </c>
      <c r="Y256" s="256">
        <v>1.6842655214574218</v>
      </c>
      <c r="Z256" s="256" t="s">
        <v>1417</v>
      </c>
      <c r="AA256" s="256" t="s">
        <v>1417</v>
      </c>
      <c r="AB256" s="256">
        <v>0.1064612065339951</v>
      </c>
      <c r="AC256" s="260">
        <v>1.0495847054697702</v>
      </c>
      <c r="AD256" s="405">
        <v>0</v>
      </c>
      <c r="AE256" s="257" t="s">
        <v>2217</v>
      </c>
      <c r="AF256" s="257" t="s">
        <v>59</v>
      </c>
      <c r="AG256" s="261" t="s">
        <v>59</v>
      </c>
      <c r="AH256" s="261" t="s">
        <v>2113</v>
      </c>
      <c r="AI256" s="261" t="s">
        <v>1427</v>
      </c>
      <c r="AJ256" s="261" t="s">
        <v>1427</v>
      </c>
      <c r="AK256" s="261" t="s">
        <v>1427</v>
      </c>
      <c r="AL256" s="256">
        <v>6.0000000000000001E-3</v>
      </c>
      <c r="AM256" s="256" t="s">
        <v>34</v>
      </c>
      <c r="AN256" s="256" t="s">
        <v>2122</v>
      </c>
      <c r="AO256" s="254" t="s">
        <v>1324</v>
      </c>
      <c r="AP256" s="257" t="s">
        <v>13</v>
      </c>
      <c r="AQ256" s="263" t="s">
        <v>671</v>
      </c>
      <c r="AR256" s="256" t="s">
        <v>34</v>
      </c>
      <c r="AS256" s="256" t="s">
        <v>34</v>
      </c>
      <c r="AT256" s="256"/>
      <c r="AW256" s="508"/>
      <c r="AX256" s="508"/>
      <c r="AY256" s="509"/>
      <c r="AZ256" s="509"/>
      <c r="BA256" s="509"/>
      <c r="BB256" s="510"/>
      <c r="BC256" s="509"/>
      <c r="BD256" s="509"/>
      <c r="BE256" s="509"/>
      <c r="BF256" s="509"/>
      <c r="BG256" s="510"/>
      <c r="BH256" s="510"/>
      <c r="BI256" s="511"/>
      <c r="BJ256" s="511"/>
      <c r="BK256" s="511"/>
      <c r="BL256" s="510"/>
      <c r="BM256" s="510"/>
      <c r="BN256" s="510"/>
      <c r="BO256" s="510"/>
      <c r="BP256" s="510"/>
      <c r="BQ256" s="510"/>
      <c r="BR256" s="510"/>
      <c r="BS256" s="510"/>
      <c r="BT256" s="513"/>
      <c r="BU256" s="514"/>
      <c r="BV256" s="512"/>
      <c r="BW256" s="515"/>
    </row>
    <row r="257" spans="2:75" ht="15.75" customHeight="1">
      <c r="B257" s="250" t="s">
        <v>1024</v>
      </c>
      <c r="C257" s="251">
        <v>8773805000180</v>
      </c>
      <c r="D257" s="252" t="s">
        <v>13</v>
      </c>
      <c r="E257" s="252" t="s">
        <v>616</v>
      </c>
      <c r="F257" s="252" t="s">
        <v>610</v>
      </c>
      <c r="G257" s="253" t="s">
        <v>34</v>
      </c>
      <c r="H257" s="253" t="s">
        <v>1337</v>
      </c>
      <c r="I257" s="253" t="s">
        <v>34</v>
      </c>
      <c r="J257" s="253"/>
      <c r="K257" s="254" t="s">
        <v>48</v>
      </c>
      <c r="L257" s="255"/>
      <c r="M257" s="255" t="s">
        <v>34</v>
      </c>
      <c r="N257" s="254">
        <v>184519</v>
      </c>
      <c r="O257" s="254" t="s">
        <v>1324</v>
      </c>
      <c r="P257" s="258">
        <v>39213</v>
      </c>
      <c r="Q257" s="259">
        <v>26054413.399999999</v>
      </c>
      <c r="R257" s="259">
        <v>42539272.284285694</v>
      </c>
      <c r="S257" s="254">
        <v>1</v>
      </c>
      <c r="T257" s="256">
        <v>3.8066329617901351E-2</v>
      </c>
      <c r="U257" s="256">
        <v>0.49209087280890101</v>
      </c>
      <c r="V257" s="256">
        <v>6.0530094856687588E-2</v>
      </c>
      <c r="W257" s="256">
        <v>0.59339732621000185</v>
      </c>
      <c r="X257" s="256">
        <v>8.1645728023381769E-2</v>
      </c>
      <c r="Y257" s="256">
        <v>0.61913438740915361</v>
      </c>
      <c r="Z257" s="256">
        <v>0.16926719564738057</v>
      </c>
      <c r="AA257" s="256">
        <v>0.96216961449775362</v>
      </c>
      <c r="AB257" s="256">
        <v>3.4703023739013322E-2</v>
      </c>
      <c r="AC257" s="260">
        <v>-1.0885969659981016</v>
      </c>
      <c r="AD257" s="405">
        <v>9412694000149</v>
      </c>
      <c r="AE257" s="257" t="s">
        <v>2293</v>
      </c>
      <c r="AF257" s="257" t="s">
        <v>2118</v>
      </c>
      <c r="AG257" s="261" t="s">
        <v>1433</v>
      </c>
      <c r="AH257" s="261" t="s">
        <v>2113</v>
      </c>
      <c r="AI257" s="261">
        <v>50000</v>
      </c>
      <c r="AJ257" s="261">
        <v>5000</v>
      </c>
      <c r="AK257" s="261">
        <v>25000</v>
      </c>
      <c r="AL257" s="256">
        <v>0.02</v>
      </c>
      <c r="AM257" s="256">
        <v>0.2</v>
      </c>
      <c r="AN257" s="256" t="s">
        <v>64</v>
      </c>
      <c r="AO257" s="254" t="s">
        <v>1324</v>
      </c>
      <c r="AP257" s="257" t="s">
        <v>13</v>
      </c>
      <c r="AQ257" s="263" t="s">
        <v>668</v>
      </c>
      <c r="AR257" s="256">
        <v>5.3333333333333332E-3</v>
      </c>
      <c r="AS257" s="256">
        <v>5.3333333333333332E-3</v>
      </c>
      <c r="AT257" s="256"/>
      <c r="AW257" s="508"/>
      <c r="AX257" s="508"/>
      <c r="AY257" s="509"/>
      <c r="AZ257" s="509"/>
      <c r="BA257" s="509"/>
      <c r="BB257" s="509"/>
      <c r="BC257" s="509"/>
      <c r="BD257" s="509"/>
      <c r="BE257" s="509"/>
      <c r="BF257" s="509"/>
      <c r="BG257" s="510"/>
      <c r="BH257" s="510"/>
      <c r="BI257" s="511"/>
      <c r="BJ257" s="511"/>
      <c r="BK257" s="511"/>
      <c r="BL257" s="195"/>
      <c r="BM257" s="510"/>
      <c r="BN257" s="510"/>
      <c r="BO257" s="510"/>
      <c r="BP257" s="510"/>
      <c r="BQ257" s="510"/>
      <c r="BR257" s="510"/>
      <c r="BS257" s="510"/>
      <c r="BT257" s="510"/>
      <c r="BU257" s="510"/>
      <c r="BV257" s="512"/>
      <c r="BW257" s="509"/>
    </row>
    <row r="258" spans="2:75" ht="15.75" customHeight="1">
      <c r="B258" s="250" t="s">
        <v>854</v>
      </c>
      <c r="C258" s="251">
        <v>9518581000122</v>
      </c>
      <c r="D258" s="252" t="s">
        <v>11</v>
      </c>
      <c r="E258" s="252" t="s">
        <v>621</v>
      </c>
      <c r="F258" s="252" t="s">
        <v>672</v>
      </c>
      <c r="G258" s="253" t="s">
        <v>865</v>
      </c>
      <c r="H258" s="253" t="s">
        <v>34</v>
      </c>
      <c r="I258" s="253"/>
      <c r="J258" s="253" t="s">
        <v>608</v>
      </c>
      <c r="K258" s="254" t="s">
        <v>48</v>
      </c>
      <c r="L258" s="255"/>
      <c r="M258" s="255" t="s">
        <v>34</v>
      </c>
      <c r="N258" s="254">
        <v>212385</v>
      </c>
      <c r="O258" s="254" t="s">
        <v>1321</v>
      </c>
      <c r="P258" s="258">
        <v>39629</v>
      </c>
      <c r="Q258" s="259">
        <v>307231314.64999998</v>
      </c>
      <c r="R258" s="259">
        <v>317697486.5158729</v>
      </c>
      <c r="S258" s="254">
        <v>1</v>
      </c>
      <c r="T258" s="256">
        <v>4.1777914958938123E-2</v>
      </c>
      <c r="U258" s="256">
        <v>0.54007126094478775</v>
      </c>
      <c r="V258" s="256">
        <v>4.7647993163878022E-2</v>
      </c>
      <c r="W258" s="256">
        <v>0.46710965528238924</v>
      </c>
      <c r="X258" s="256">
        <v>6.3045282766193367E-2</v>
      </c>
      <c r="Y258" s="256">
        <v>0.47808383205678018</v>
      </c>
      <c r="Z258" s="256">
        <v>0.13538119909656343</v>
      </c>
      <c r="AA258" s="256">
        <v>0.76955062466056667</v>
      </c>
      <c r="AB258" s="256">
        <v>5.4828185248425712E-2</v>
      </c>
      <c r="AC258" s="260">
        <v>-0.89564411497097818</v>
      </c>
      <c r="AD258" s="405">
        <v>0</v>
      </c>
      <c r="AE258" s="257" t="s">
        <v>2123</v>
      </c>
      <c r="AF258" s="257" t="s">
        <v>2109</v>
      </c>
      <c r="AG258" s="261" t="s">
        <v>1432</v>
      </c>
      <c r="AH258" s="261" t="s">
        <v>2113</v>
      </c>
      <c r="AI258" s="261">
        <v>0</v>
      </c>
      <c r="AJ258" s="261">
        <v>0</v>
      </c>
      <c r="AK258" s="261">
        <v>0</v>
      </c>
      <c r="AL258" s="256">
        <v>4.0000000000000001E-3</v>
      </c>
      <c r="AM258" s="256" t="s">
        <v>34</v>
      </c>
      <c r="AN258" s="256" t="s">
        <v>2122</v>
      </c>
      <c r="AO258" s="254" t="s">
        <v>1324</v>
      </c>
      <c r="AP258" s="257" t="s">
        <v>11</v>
      </c>
      <c r="AQ258" s="263" t="s">
        <v>675</v>
      </c>
      <c r="AR258" s="256">
        <v>3.2000000000000002E-3</v>
      </c>
      <c r="AS258" s="256">
        <v>3.2000000000000002E-3</v>
      </c>
      <c r="AT258" s="256"/>
      <c r="AW258" s="508"/>
      <c r="AX258" s="508"/>
      <c r="AY258" s="509"/>
      <c r="AZ258" s="509"/>
      <c r="BA258" s="509"/>
      <c r="BB258" s="510"/>
      <c r="BC258" s="509"/>
      <c r="BD258" s="509"/>
      <c r="BE258" s="509"/>
      <c r="BF258" s="509"/>
      <c r="BG258" s="510"/>
      <c r="BH258" s="510"/>
      <c r="BI258" s="511"/>
      <c r="BJ258" s="511"/>
      <c r="BK258" s="511"/>
      <c r="BL258" s="510"/>
      <c r="BM258" s="510"/>
      <c r="BN258" s="510"/>
      <c r="BO258" s="510"/>
      <c r="BP258" s="510"/>
      <c r="BQ258" s="510"/>
      <c r="BR258" s="510"/>
      <c r="BS258" s="510"/>
      <c r="BT258" s="513"/>
      <c r="BU258" s="514"/>
      <c r="BV258" s="512"/>
      <c r="BW258" s="515"/>
    </row>
    <row r="259" spans="2:75" ht="15.75" customHeight="1">
      <c r="B259" s="250" t="s">
        <v>1521</v>
      </c>
      <c r="C259" s="251">
        <v>9290807000180</v>
      </c>
      <c r="D259" s="252" t="s">
        <v>14</v>
      </c>
      <c r="E259" s="252" t="s">
        <v>607</v>
      </c>
      <c r="F259" s="252" t="s">
        <v>672</v>
      </c>
      <c r="G259" s="253"/>
      <c r="H259" s="253" t="s">
        <v>34</v>
      </c>
      <c r="I259" s="253"/>
      <c r="J259" s="253" t="s">
        <v>608</v>
      </c>
      <c r="K259" s="254" t="s">
        <v>48</v>
      </c>
      <c r="L259" s="255"/>
      <c r="M259" s="255"/>
      <c r="N259" s="254">
        <v>204579</v>
      </c>
      <c r="O259" s="254" t="s">
        <v>1321</v>
      </c>
      <c r="P259" s="258">
        <v>39507</v>
      </c>
      <c r="Q259" s="259">
        <v>6184322.8200000003</v>
      </c>
      <c r="R259" s="259">
        <v>11592020.041904768</v>
      </c>
      <c r="S259" s="254">
        <v>1</v>
      </c>
      <c r="T259" s="256">
        <v>5.2521104612613501E-2</v>
      </c>
      <c r="U259" s="256">
        <v>0.59075284276668216</v>
      </c>
      <c r="V259" s="256">
        <v>-2.7333937559850252E-3</v>
      </c>
      <c r="W259" s="256">
        <v>-2.5086290867953529E-2</v>
      </c>
      <c r="X259" s="256">
        <v>0.17673692054285728</v>
      </c>
      <c r="Y259" s="256">
        <v>1.2427769898251388</v>
      </c>
      <c r="Z259" s="256">
        <v>4.140934718051037E-2</v>
      </c>
      <c r="AA259" s="256">
        <v>0.22628401498377962</v>
      </c>
      <c r="AB259" s="256">
        <v>0.20165746566515944</v>
      </c>
      <c r="AC259" s="260">
        <v>-0.42588350729708696</v>
      </c>
      <c r="AD259" s="405">
        <v>0</v>
      </c>
      <c r="AE259" s="257" t="s">
        <v>2144</v>
      </c>
      <c r="AF259" s="257" t="s">
        <v>2109</v>
      </c>
      <c r="AG259" s="261" t="s">
        <v>1432</v>
      </c>
      <c r="AH259" s="261" t="s">
        <v>2110</v>
      </c>
      <c r="AI259" s="261">
        <v>50000</v>
      </c>
      <c r="AJ259" s="261">
        <v>50000</v>
      </c>
      <c r="AK259" s="261">
        <v>50000</v>
      </c>
      <c r="AL259" s="256">
        <v>0.01</v>
      </c>
      <c r="AM259" s="256" t="s">
        <v>34</v>
      </c>
      <c r="AN259" s="256" t="s">
        <v>2127</v>
      </c>
      <c r="AO259" s="254" t="s">
        <v>1324</v>
      </c>
      <c r="AP259" s="257" t="s">
        <v>13</v>
      </c>
      <c r="AQ259" s="263" t="s">
        <v>671</v>
      </c>
      <c r="AR259" s="256">
        <v>3.4999999999999996E-3</v>
      </c>
      <c r="AS259" s="256">
        <v>3.4999999999999996E-3</v>
      </c>
      <c r="AT259" s="256"/>
      <c r="AW259" s="508"/>
      <c r="AX259" s="508"/>
      <c r="AY259" s="509"/>
      <c r="AZ259" s="509"/>
      <c r="BA259" s="509"/>
      <c r="BB259" s="510"/>
      <c r="BC259" s="509"/>
      <c r="BD259" s="509"/>
      <c r="BE259" s="509"/>
      <c r="BF259" s="509"/>
      <c r="BG259" s="510"/>
      <c r="BH259" s="510"/>
      <c r="BI259" s="511"/>
      <c r="BJ259" s="511"/>
      <c r="BK259" s="511"/>
      <c r="BL259" s="195"/>
      <c r="BM259" s="510"/>
      <c r="BN259" s="510"/>
      <c r="BO259" s="510"/>
      <c r="BP259" s="510"/>
      <c r="BQ259" s="510"/>
      <c r="BR259" s="510"/>
      <c r="BS259" s="510"/>
      <c r="BT259" s="513"/>
      <c r="BU259" s="514"/>
      <c r="BV259" s="512"/>
      <c r="BW259" s="515"/>
    </row>
    <row r="260" spans="2:75" ht="15.75" customHeight="1">
      <c r="B260" s="250" t="s">
        <v>1524</v>
      </c>
      <c r="C260" s="251">
        <v>20997959000150</v>
      </c>
      <c r="D260" s="252" t="s">
        <v>11</v>
      </c>
      <c r="E260" s="252" t="s">
        <v>620</v>
      </c>
      <c r="F260" s="252" t="s">
        <v>672</v>
      </c>
      <c r="G260" s="253" t="s">
        <v>738</v>
      </c>
      <c r="H260" s="253" t="s">
        <v>34</v>
      </c>
      <c r="I260" s="253" t="s">
        <v>1304</v>
      </c>
      <c r="J260" s="253" t="s">
        <v>608</v>
      </c>
      <c r="K260" s="254" t="s">
        <v>48</v>
      </c>
      <c r="L260" s="255"/>
      <c r="M260" s="255"/>
      <c r="N260" s="254">
        <v>387150</v>
      </c>
      <c r="O260" s="254" t="s">
        <v>1321</v>
      </c>
      <c r="P260" s="258">
        <v>42011</v>
      </c>
      <c r="Q260" s="259">
        <v>594136770.71000004</v>
      </c>
      <c r="R260" s="259">
        <v>394044188.78797609</v>
      </c>
      <c r="S260" s="254">
        <v>1</v>
      </c>
      <c r="T260" s="256">
        <v>9.4049711252349066E-2</v>
      </c>
      <c r="U260" s="256">
        <v>1.0578630189428169</v>
      </c>
      <c r="V260" s="256">
        <v>0.1151367310764404</v>
      </c>
      <c r="W260" s="256">
        <v>1.056691345344813</v>
      </c>
      <c r="X260" s="256">
        <v>0.17331245632543801</v>
      </c>
      <c r="Y260" s="256">
        <v>1.2186968750488028</v>
      </c>
      <c r="Z260" s="256">
        <v>0.16687137707957533</v>
      </c>
      <c r="AA260" s="256">
        <v>0.91187926790622653</v>
      </c>
      <c r="AB260" s="256">
        <v>2.1316795858937667E-3</v>
      </c>
      <c r="AC260" s="260">
        <v>2.6075056210322889</v>
      </c>
      <c r="AD260" s="405">
        <v>0</v>
      </c>
      <c r="AE260" s="257" t="s">
        <v>2144</v>
      </c>
      <c r="AF260" s="257" t="s">
        <v>2109</v>
      </c>
      <c r="AG260" s="261" t="s">
        <v>1432</v>
      </c>
      <c r="AH260" s="261" t="s">
        <v>2119</v>
      </c>
      <c r="AI260" s="261">
        <v>1000</v>
      </c>
      <c r="AJ260" s="261">
        <v>0</v>
      </c>
      <c r="AK260" s="261">
        <v>0</v>
      </c>
      <c r="AL260" s="256">
        <v>2.5000000000000001E-3</v>
      </c>
      <c r="AM260" s="256" t="s">
        <v>34</v>
      </c>
      <c r="AN260" s="256" t="s">
        <v>34</v>
      </c>
      <c r="AO260" s="254" t="s">
        <v>1321</v>
      </c>
      <c r="AP260" s="257" t="s">
        <v>13</v>
      </c>
      <c r="AQ260" s="263" t="s">
        <v>2177</v>
      </c>
      <c r="AR260" s="256" t="s">
        <v>34</v>
      </c>
      <c r="AS260" s="256" t="s">
        <v>34</v>
      </c>
      <c r="AT260" s="256"/>
      <c r="AW260" s="508"/>
      <c r="AX260" s="508"/>
      <c r="AY260" s="509"/>
      <c r="AZ260" s="509"/>
      <c r="BA260" s="509"/>
      <c r="BB260" s="510"/>
      <c r="BC260" s="509"/>
      <c r="BD260" s="509"/>
      <c r="BE260" s="509"/>
      <c r="BF260" s="509"/>
      <c r="BG260" s="510"/>
      <c r="BH260" s="510"/>
      <c r="BI260" s="511"/>
      <c r="BJ260" s="511"/>
      <c r="BK260" s="511"/>
      <c r="BL260" s="510"/>
      <c r="BM260" s="510"/>
      <c r="BN260" s="510"/>
      <c r="BO260" s="510"/>
      <c r="BP260" s="510"/>
      <c r="BQ260" s="510"/>
      <c r="BR260" s="510"/>
      <c r="BS260" s="510"/>
      <c r="BT260" s="513"/>
      <c r="BU260" s="514"/>
      <c r="BV260" s="512"/>
      <c r="BW260" s="515"/>
    </row>
    <row r="261" spans="2:75" ht="15.75" customHeight="1">
      <c r="B261" s="250" t="s">
        <v>886</v>
      </c>
      <c r="C261" s="251">
        <v>9344799000108</v>
      </c>
      <c r="D261" s="252" t="s">
        <v>11</v>
      </c>
      <c r="E261" s="252" t="s">
        <v>621</v>
      </c>
      <c r="F261" s="252" t="s">
        <v>672</v>
      </c>
      <c r="G261" s="253" t="s">
        <v>738</v>
      </c>
      <c r="H261" s="253" t="s">
        <v>34</v>
      </c>
      <c r="I261" s="253"/>
      <c r="J261" s="253" t="s">
        <v>608</v>
      </c>
      <c r="K261" s="254" t="s">
        <v>48</v>
      </c>
      <c r="L261" s="255"/>
      <c r="M261" s="255" t="s">
        <v>34</v>
      </c>
      <c r="N261" s="254">
        <v>213403</v>
      </c>
      <c r="O261" s="254" t="s">
        <v>1321</v>
      </c>
      <c r="P261" s="258">
        <v>39646</v>
      </c>
      <c r="Q261" s="259">
        <v>138583416.49000001</v>
      </c>
      <c r="R261" s="259">
        <v>177783700.04718265</v>
      </c>
      <c r="S261" s="254">
        <v>1</v>
      </c>
      <c r="T261" s="256">
        <v>6.1805355684444896E-2</v>
      </c>
      <c r="U261" s="256">
        <v>0.79896989618669256</v>
      </c>
      <c r="V261" s="256">
        <v>9.1106729404675235E-2</v>
      </c>
      <c r="W261" s="256">
        <v>0.89315058495236133</v>
      </c>
      <c r="X261" s="256">
        <v>0.1341677984950449</v>
      </c>
      <c r="Y261" s="256">
        <v>1.0174187889839788</v>
      </c>
      <c r="Z261" s="256">
        <v>0.2352672480266278</v>
      </c>
      <c r="AA261" s="256">
        <v>1.3373353086636957</v>
      </c>
      <c r="AB261" s="256">
        <v>2.7380061837949363E-2</v>
      </c>
      <c r="AC261" s="260">
        <v>-0.34957039962799541</v>
      </c>
      <c r="AD261" s="405">
        <v>10347453000142</v>
      </c>
      <c r="AE261" s="257" t="s">
        <v>469</v>
      </c>
      <c r="AF261" s="257" t="s">
        <v>469</v>
      </c>
      <c r="AG261" s="261" t="s">
        <v>469</v>
      </c>
      <c r="AH261" s="261" t="s">
        <v>2113</v>
      </c>
      <c r="AI261" s="261">
        <v>100</v>
      </c>
      <c r="AJ261" s="261">
        <v>100</v>
      </c>
      <c r="AK261" s="261">
        <v>100</v>
      </c>
      <c r="AL261" s="256">
        <v>3.4999999999999996E-3</v>
      </c>
      <c r="AM261" s="256" t="s">
        <v>34</v>
      </c>
      <c r="AN261" s="256" t="s">
        <v>2122</v>
      </c>
      <c r="AO261" s="254" t="s">
        <v>1324</v>
      </c>
      <c r="AP261" s="257" t="s">
        <v>11</v>
      </c>
      <c r="AQ261" s="263" t="s">
        <v>676</v>
      </c>
      <c r="AR261" s="256">
        <v>1.5166666666666668E-3</v>
      </c>
      <c r="AS261" s="256">
        <v>1.5166666666666668E-3</v>
      </c>
      <c r="AT261" s="256"/>
      <c r="AW261" s="508"/>
      <c r="AX261" s="508"/>
      <c r="AY261" s="509"/>
      <c r="AZ261" s="509"/>
      <c r="BA261" s="509"/>
      <c r="BB261" s="510"/>
      <c r="BC261" s="509"/>
      <c r="BD261" s="509"/>
      <c r="BE261" s="509"/>
      <c r="BF261" s="509"/>
      <c r="BG261" s="510"/>
      <c r="BH261" s="510"/>
      <c r="BI261" s="511"/>
      <c r="BJ261" s="511"/>
      <c r="BK261" s="511"/>
      <c r="BL261" s="510"/>
      <c r="BM261" s="510"/>
      <c r="BN261" s="510"/>
      <c r="BO261" s="510"/>
      <c r="BP261" s="510"/>
      <c r="BQ261" s="510"/>
      <c r="BR261" s="510"/>
      <c r="BS261" s="510"/>
      <c r="BT261" s="513"/>
      <c r="BU261" s="514"/>
      <c r="BV261" s="512"/>
      <c r="BW261" s="515"/>
    </row>
    <row r="262" spans="2:75" ht="15.75" customHeight="1">
      <c r="B262" s="250" t="s">
        <v>170</v>
      </c>
      <c r="C262" s="251">
        <v>13176277000111</v>
      </c>
      <c r="D262" s="252" t="s">
        <v>11</v>
      </c>
      <c r="E262" s="252" t="s">
        <v>621</v>
      </c>
      <c r="F262" s="252" t="s">
        <v>672</v>
      </c>
      <c r="G262" s="253" t="s">
        <v>738</v>
      </c>
      <c r="H262" s="253" t="s">
        <v>34</v>
      </c>
      <c r="I262" s="253"/>
      <c r="J262" s="253" t="s">
        <v>608</v>
      </c>
      <c r="K262" s="254" t="s">
        <v>48</v>
      </c>
      <c r="L262" s="255"/>
      <c r="M262" s="255" t="s">
        <v>34</v>
      </c>
      <c r="N262" s="254">
        <v>288561</v>
      </c>
      <c r="O262" s="254" t="s">
        <v>1321</v>
      </c>
      <c r="P262" s="258">
        <v>40821</v>
      </c>
      <c r="Q262" s="259">
        <v>42837509.689999998</v>
      </c>
      <c r="R262" s="259">
        <v>54328746.878928572</v>
      </c>
      <c r="S262" s="254">
        <v>1</v>
      </c>
      <c r="T262" s="256">
        <v>6.5559730091542923E-2</v>
      </c>
      <c r="U262" s="256">
        <v>0.84750342693118152</v>
      </c>
      <c r="V262" s="256">
        <v>9.1284642257154047E-2</v>
      </c>
      <c r="W262" s="256">
        <v>0.89489472580013751</v>
      </c>
      <c r="X262" s="256">
        <v>0.13200162192990006</v>
      </c>
      <c r="Y262" s="256">
        <v>1.0009922785816596</v>
      </c>
      <c r="Z262" s="256">
        <v>0.26165661891518477</v>
      </c>
      <c r="AA262" s="256">
        <v>1.4873410479185483</v>
      </c>
      <c r="AB262" s="256">
        <v>3.0730113482416433E-2</v>
      </c>
      <c r="AC262" s="260">
        <v>-0.30300371666214809</v>
      </c>
      <c r="AD262" s="405">
        <v>0</v>
      </c>
      <c r="AE262" s="257" t="s">
        <v>2209</v>
      </c>
      <c r="AF262" s="257" t="s">
        <v>2109</v>
      </c>
      <c r="AG262" s="261" t="s">
        <v>1432</v>
      </c>
      <c r="AH262" s="261" t="s">
        <v>2113</v>
      </c>
      <c r="AI262" s="261">
        <v>1000</v>
      </c>
      <c r="AJ262" s="261">
        <v>1</v>
      </c>
      <c r="AK262" s="261">
        <v>1000</v>
      </c>
      <c r="AL262" s="256">
        <v>0.01</v>
      </c>
      <c r="AM262" s="256">
        <v>0.2</v>
      </c>
      <c r="AN262" s="256" t="s">
        <v>636</v>
      </c>
      <c r="AO262" s="254" t="s">
        <v>1324</v>
      </c>
      <c r="AP262" s="257" t="s">
        <v>13</v>
      </c>
      <c r="AQ262" s="263" t="s">
        <v>664</v>
      </c>
      <c r="AR262" s="256">
        <v>3.3333333333333331E-3</v>
      </c>
      <c r="AS262" s="256">
        <v>3.3333333333333331E-3</v>
      </c>
      <c r="AT262" s="256"/>
      <c r="AW262" s="508"/>
      <c r="AX262" s="508"/>
      <c r="AY262" s="509"/>
      <c r="AZ262" s="509"/>
      <c r="BA262" s="509"/>
      <c r="BB262" s="510"/>
      <c r="BC262" s="509"/>
      <c r="BD262" s="509"/>
      <c r="BE262" s="509"/>
      <c r="BF262" s="509"/>
      <c r="BG262" s="510"/>
      <c r="BH262" s="510"/>
      <c r="BI262" s="511"/>
      <c r="BJ262" s="511"/>
      <c r="BK262" s="511"/>
      <c r="BL262" s="510"/>
      <c r="BM262" s="510"/>
      <c r="BN262" s="510"/>
      <c r="BO262" s="510"/>
      <c r="BP262" s="510"/>
      <c r="BQ262" s="510"/>
      <c r="BR262" s="510"/>
      <c r="BS262" s="510"/>
      <c r="BT262" s="513"/>
      <c r="BU262" s="514"/>
      <c r="BV262" s="512"/>
      <c r="BW262" s="515"/>
    </row>
    <row r="263" spans="2:75" ht="15.75" customHeight="1">
      <c r="B263" s="250" t="s">
        <v>1383</v>
      </c>
      <c r="C263" s="251">
        <v>12682783000110</v>
      </c>
      <c r="D263" s="252" t="s">
        <v>11</v>
      </c>
      <c r="E263" s="252" t="s">
        <v>621</v>
      </c>
      <c r="F263" s="252" t="s">
        <v>672</v>
      </c>
      <c r="G263" s="253" t="s">
        <v>738</v>
      </c>
      <c r="H263" s="253" t="s">
        <v>34</v>
      </c>
      <c r="I263" s="253"/>
      <c r="J263" s="253" t="s">
        <v>608</v>
      </c>
      <c r="K263" s="254" t="s">
        <v>48</v>
      </c>
      <c r="L263" s="255"/>
      <c r="M263" s="255" t="s">
        <v>34</v>
      </c>
      <c r="N263" s="254">
        <v>263109</v>
      </c>
      <c r="O263" s="254" t="s">
        <v>1321</v>
      </c>
      <c r="P263" s="258">
        <v>40514</v>
      </c>
      <c r="Q263" s="259">
        <v>189581655.38</v>
      </c>
      <c r="R263" s="259">
        <v>215810693.79575399</v>
      </c>
      <c r="S263" s="254">
        <v>1</v>
      </c>
      <c r="T263" s="256">
        <v>6.1221303584819475E-2</v>
      </c>
      <c r="U263" s="256">
        <v>0.79141974069874688</v>
      </c>
      <c r="V263" s="256">
        <v>9.0768855083891875E-2</v>
      </c>
      <c r="W263" s="256">
        <v>0.88983828684639332</v>
      </c>
      <c r="X263" s="256">
        <v>0.13094036261536068</v>
      </c>
      <c r="Y263" s="256">
        <v>0.99294455641055679</v>
      </c>
      <c r="Z263" s="256">
        <v>0.22757404252176383</v>
      </c>
      <c r="AA263" s="256">
        <v>1.2936046345271237</v>
      </c>
      <c r="AB263" s="256">
        <v>2.6443610123613383E-2</v>
      </c>
      <c r="AC263" s="260">
        <v>-0.37461555941825242</v>
      </c>
      <c r="AD263" s="405">
        <v>10922432000103</v>
      </c>
      <c r="AE263" s="257" t="s">
        <v>2275</v>
      </c>
      <c r="AF263" s="257" t="s">
        <v>2115</v>
      </c>
      <c r="AG263" s="261" t="s">
        <v>719</v>
      </c>
      <c r="AH263" s="261" t="s">
        <v>2113</v>
      </c>
      <c r="AI263" s="261">
        <v>500</v>
      </c>
      <c r="AJ263" s="261">
        <v>500</v>
      </c>
      <c r="AK263" s="261">
        <v>500</v>
      </c>
      <c r="AL263" s="256">
        <v>5.0000000000000001E-3</v>
      </c>
      <c r="AM263" s="256" t="s">
        <v>34</v>
      </c>
      <c r="AN263" s="256" t="s">
        <v>636</v>
      </c>
      <c r="AO263" s="254" t="s">
        <v>1324</v>
      </c>
      <c r="AP263" s="257" t="s">
        <v>11</v>
      </c>
      <c r="AQ263" s="263" t="s">
        <v>669</v>
      </c>
      <c r="AR263" s="256">
        <v>1.25E-3</v>
      </c>
      <c r="AS263" s="256">
        <v>1.25E-3</v>
      </c>
      <c r="AT263" s="256"/>
      <c r="AW263" s="508"/>
      <c r="AX263" s="508"/>
      <c r="AY263" s="509"/>
      <c r="AZ263" s="509"/>
      <c r="BA263" s="509"/>
      <c r="BB263" s="509"/>
      <c r="BC263" s="509"/>
      <c r="BD263" s="509"/>
      <c r="BE263" s="509"/>
      <c r="BF263" s="509"/>
      <c r="BG263" s="510"/>
      <c r="BH263" s="510"/>
      <c r="BI263" s="511"/>
      <c r="BJ263" s="511"/>
      <c r="BK263" s="511"/>
      <c r="BL263" s="195"/>
      <c r="BM263" s="510"/>
      <c r="BN263" s="510"/>
      <c r="BO263" s="510"/>
      <c r="BP263" s="510"/>
      <c r="BQ263" s="510"/>
      <c r="BR263" s="510"/>
      <c r="BS263" s="510"/>
      <c r="BT263" s="510"/>
      <c r="BU263" s="510"/>
      <c r="BV263" s="512"/>
      <c r="BW263" s="509"/>
    </row>
    <row r="264" spans="2:75" ht="15.75" customHeight="1">
      <c r="B264" s="250" t="s">
        <v>1384</v>
      </c>
      <c r="C264" s="251">
        <v>7400556000114</v>
      </c>
      <c r="D264" s="252" t="s">
        <v>11</v>
      </c>
      <c r="E264" s="252" t="s">
        <v>621</v>
      </c>
      <c r="F264" s="252" t="s">
        <v>672</v>
      </c>
      <c r="G264" s="253" t="s">
        <v>866</v>
      </c>
      <c r="H264" s="253" t="s">
        <v>34</v>
      </c>
      <c r="I264" s="253"/>
      <c r="J264" s="253" t="s">
        <v>608</v>
      </c>
      <c r="K264" s="254" t="s">
        <v>48</v>
      </c>
      <c r="L264" s="255"/>
      <c r="M264" s="255" t="s">
        <v>34</v>
      </c>
      <c r="N264" s="254">
        <v>148342</v>
      </c>
      <c r="O264" s="254" t="s">
        <v>1321</v>
      </c>
      <c r="P264" s="258">
        <v>38534</v>
      </c>
      <c r="Q264" s="259">
        <v>96685221.709999993</v>
      </c>
      <c r="R264" s="259">
        <v>153154707.12698421</v>
      </c>
      <c r="S264" s="254">
        <v>1</v>
      </c>
      <c r="T264" s="256">
        <v>2.1154608151037202E-2</v>
      </c>
      <c r="U264" s="256">
        <v>0.27346974855381673</v>
      </c>
      <c r="V264" s="256">
        <v>5.804290968479231E-3</v>
      </c>
      <c r="W264" s="256">
        <v>5.6901459503658845E-2</v>
      </c>
      <c r="X264" s="256">
        <v>6.7201111294035165E-3</v>
      </c>
      <c r="Y264" s="256">
        <v>5.095982347335002E-2</v>
      </c>
      <c r="Z264" s="256">
        <v>6.2975490566236303E-2</v>
      </c>
      <c r="AA264" s="256">
        <v>0.35797310429334916</v>
      </c>
      <c r="AB264" s="256">
        <v>8.8085616630768998E-2</v>
      </c>
      <c r="AC264" s="260">
        <v>-0.99354084505585483</v>
      </c>
      <c r="AD264" s="405">
        <v>10756541000106</v>
      </c>
      <c r="AE264" s="257" t="s">
        <v>2275</v>
      </c>
      <c r="AF264" s="257" t="s">
        <v>2115</v>
      </c>
      <c r="AG264" s="261" t="s">
        <v>719</v>
      </c>
      <c r="AH264" s="261" t="s">
        <v>2113</v>
      </c>
      <c r="AI264" s="261">
        <v>500</v>
      </c>
      <c r="AJ264" s="261">
        <v>500</v>
      </c>
      <c r="AK264" s="261">
        <v>500</v>
      </c>
      <c r="AL264" s="256">
        <v>5.0000000000000001E-3</v>
      </c>
      <c r="AM264" s="256" t="s">
        <v>34</v>
      </c>
      <c r="AN264" s="256" t="s">
        <v>635</v>
      </c>
      <c r="AO264" s="254" t="s">
        <v>1324</v>
      </c>
      <c r="AP264" s="257" t="s">
        <v>11</v>
      </c>
      <c r="AQ264" s="263" t="s">
        <v>1374</v>
      </c>
      <c r="AR264" s="256">
        <v>1.25E-3</v>
      </c>
      <c r="AS264" s="256">
        <v>1.25E-3</v>
      </c>
      <c r="AT264" s="256"/>
      <c r="AW264" s="508"/>
      <c r="AX264" s="508"/>
      <c r="AY264" s="509"/>
      <c r="AZ264" s="509"/>
      <c r="BA264" s="509"/>
      <c r="BB264" s="510"/>
      <c r="BC264" s="509"/>
      <c r="BD264" s="509"/>
      <c r="BE264" s="509"/>
      <c r="BF264" s="509"/>
      <c r="BG264" s="510"/>
      <c r="BH264" s="510"/>
      <c r="BI264" s="511"/>
      <c r="BJ264" s="511"/>
      <c r="BK264" s="511"/>
      <c r="BL264" s="510"/>
      <c r="BM264" s="510"/>
      <c r="BN264" s="510"/>
      <c r="BO264" s="510"/>
      <c r="BP264" s="510"/>
      <c r="BQ264" s="510"/>
      <c r="BR264" s="510"/>
      <c r="BS264" s="510"/>
      <c r="BT264" s="513"/>
      <c r="BU264" s="514"/>
      <c r="BV264" s="512"/>
      <c r="BW264" s="515"/>
    </row>
    <row r="265" spans="2:75" ht="15.75" customHeight="1">
      <c r="B265" s="250" t="s">
        <v>982</v>
      </c>
      <c r="C265" s="251">
        <v>19418031000195</v>
      </c>
      <c r="D265" s="252" t="s">
        <v>11</v>
      </c>
      <c r="E265" s="252" t="s">
        <v>661</v>
      </c>
      <c r="F265" s="252" t="s">
        <v>672</v>
      </c>
      <c r="G265" s="253" t="s">
        <v>866</v>
      </c>
      <c r="H265" s="253" t="s">
        <v>34</v>
      </c>
      <c r="I265" s="253"/>
      <c r="J265" s="253" t="s">
        <v>608</v>
      </c>
      <c r="K265" s="254" t="s">
        <v>48</v>
      </c>
      <c r="L265" s="255"/>
      <c r="M265" s="255" t="s">
        <v>1414</v>
      </c>
      <c r="N265" s="254">
        <v>366153</v>
      </c>
      <c r="O265" s="254" t="s">
        <v>1321</v>
      </c>
      <c r="P265" s="258">
        <v>41740</v>
      </c>
      <c r="Q265" s="259">
        <v>99989929.400000006</v>
      </c>
      <c r="R265" s="259">
        <v>149422745.09769836</v>
      </c>
      <c r="S265" s="254">
        <v>1</v>
      </c>
      <c r="T265" s="256">
        <v>3.3209013846595692E-2</v>
      </c>
      <c r="U265" s="256">
        <v>0.42929940377569564</v>
      </c>
      <c r="V265" s="256">
        <v>2.8030925226411485E-2</v>
      </c>
      <c r="W265" s="256">
        <v>0.2747967952128087</v>
      </c>
      <c r="X265" s="256">
        <v>-4.0333556376846214E-2</v>
      </c>
      <c r="Y265" s="256">
        <v>-0.30585668502165564</v>
      </c>
      <c r="Z265" s="256">
        <v>7.2983191248894741E-2</v>
      </c>
      <c r="AA265" s="256">
        <v>0.41486011935267492</v>
      </c>
      <c r="AB265" s="256">
        <v>8.658167804094867E-2</v>
      </c>
      <c r="AC265" s="260">
        <v>-0.75959654404466881</v>
      </c>
      <c r="AD265" s="405">
        <v>0</v>
      </c>
      <c r="AE265" s="257" t="s">
        <v>2275</v>
      </c>
      <c r="AF265" s="257" t="s">
        <v>2115</v>
      </c>
      <c r="AG265" s="261" t="s">
        <v>719</v>
      </c>
      <c r="AH265" s="261" t="s">
        <v>2113</v>
      </c>
      <c r="AI265" s="261">
        <v>500</v>
      </c>
      <c r="AJ265" s="261">
        <v>500</v>
      </c>
      <c r="AK265" s="261">
        <v>500</v>
      </c>
      <c r="AL265" s="256">
        <v>3.0000000000000001E-3</v>
      </c>
      <c r="AM265" s="256">
        <v>0.2</v>
      </c>
      <c r="AN265" s="256" t="s">
        <v>633</v>
      </c>
      <c r="AO265" s="254" t="s">
        <v>1324</v>
      </c>
      <c r="AP265" s="257" t="s">
        <v>11</v>
      </c>
      <c r="AQ265" s="263" t="s">
        <v>673</v>
      </c>
      <c r="AR265" s="256">
        <v>7.5000000000000002E-4</v>
      </c>
      <c r="AS265" s="256">
        <v>7.5000000000000002E-4</v>
      </c>
      <c r="AT265" s="256"/>
      <c r="AW265" s="508"/>
      <c r="AX265" s="508"/>
      <c r="AY265" s="509"/>
      <c r="AZ265" s="509"/>
      <c r="BA265" s="509"/>
      <c r="BB265" s="510"/>
      <c r="BC265" s="509"/>
      <c r="BD265" s="509"/>
      <c r="BE265" s="509"/>
      <c r="BF265" s="509"/>
      <c r="BG265" s="510"/>
      <c r="BH265" s="510"/>
      <c r="BI265" s="511"/>
      <c r="BJ265" s="511"/>
      <c r="BK265" s="511"/>
      <c r="BL265" s="510"/>
      <c r="BM265" s="510"/>
      <c r="BN265" s="510"/>
      <c r="BO265" s="510"/>
      <c r="BP265" s="510"/>
      <c r="BQ265" s="510"/>
      <c r="BR265" s="510"/>
      <c r="BS265" s="510"/>
      <c r="BT265" s="513"/>
      <c r="BU265" s="514"/>
      <c r="BV265" s="512"/>
      <c r="BW265" s="515"/>
    </row>
    <row r="266" spans="2:75" ht="15.75" customHeight="1">
      <c r="B266" s="250" t="s">
        <v>1074</v>
      </c>
      <c r="C266" s="251">
        <v>13554383000191</v>
      </c>
      <c r="D266" s="252" t="s">
        <v>11</v>
      </c>
      <c r="E266" s="252" t="s">
        <v>621</v>
      </c>
      <c r="F266" s="252" t="s">
        <v>672</v>
      </c>
      <c r="G266" s="253" t="s">
        <v>865</v>
      </c>
      <c r="H266" s="253" t="s">
        <v>34</v>
      </c>
      <c r="I266" s="253"/>
      <c r="J266" s="253" t="s">
        <v>608</v>
      </c>
      <c r="K266" s="254" t="s">
        <v>48</v>
      </c>
      <c r="L266" s="255"/>
      <c r="M266" s="255" t="s">
        <v>1414</v>
      </c>
      <c r="N266" s="254">
        <v>278912</v>
      </c>
      <c r="O266" s="254" t="s">
        <v>1321</v>
      </c>
      <c r="P266" s="258">
        <v>40724</v>
      </c>
      <c r="Q266" s="259">
        <v>17035067.870000001</v>
      </c>
      <c r="R266" s="259">
        <v>27102204.571309496</v>
      </c>
      <c r="S266" s="254">
        <v>1</v>
      </c>
      <c r="T266" s="256">
        <v>4.0696686414830596E-2</v>
      </c>
      <c r="U266" s="256">
        <v>0.52609400851944343</v>
      </c>
      <c r="V266" s="256">
        <v>4.2334860055813328E-2</v>
      </c>
      <c r="W266" s="256">
        <v>0.41502318511266523</v>
      </c>
      <c r="X266" s="256">
        <v>5.8423519601407792E-2</v>
      </c>
      <c r="Y266" s="256">
        <v>0.4430361623861731</v>
      </c>
      <c r="Z266" s="256">
        <v>0.13636489846746569</v>
      </c>
      <c r="AA266" s="256">
        <v>0.77514229078856489</v>
      </c>
      <c r="AB266" s="256">
        <v>5.6725029341261203E-2</v>
      </c>
      <c r="AC266" s="260">
        <v>-0.95349103975532989</v>
      </c>
      <c r="AD266" s="405">
        <v>0</v>
      </c>
      <c r="AE266" s="257" t="s">
        <v>2128</v>
      </c>
      <c r="AF266" s="257" t="s">
        <v>736</v>
      </c>
      <c r="AG266" s="261" t="s">
        <v>736</v>
      </c>
      <c r="AH266" s="261" t="s">
        <v>2113</v>
      </c>
      <c r="AI266" s="261">
        <v>5000</v>
      </c>
      <c r="AJ266" s="261">
        <v>100</v>
      </c>
      <c r="AK266" s="261">
        <v>1000</v>
      </c>
      <c r="AL266" s="256">
        <v>3.0000000000000001E-3</v>
      </c>
      <c r="AM266" s="256" t="s">
        <v>34</v>
      </c>
      <c r="AN266" s="256" t="s">
        <v>150</v>
      </c>
      <c r="AO266" s="254" t="s">
        <v>1324</v>
      </c>
      <c r="AP266" s="257" t="s">
        <v>11</v>
      </c>
      <c r="AQ266" s="263" t="s">
        <v>669</v>
      </c>
      <c r="AR266" s="256">
        <v>8.9999999999999998E-4</v>
      </c>
      <c r="AS266" s="256">
        <v>8.9999999999999998E-4</v>
      </c>
      <c r="AT266" s="256"/>
      <c r="AW266" s="508"/>
      <c r="AX266" s="508"/>
      <c r="AY266" s="509"/>
      <c r="AZ266" s="509"/>
      <c r="BA266" s="509"/>
      <c r="BB266" s="510"/>
      <c r="BC266" s="509"/>
      <c r="BD266" s="509"/>
      <c r="BE266" s="509"/>
      <c r="BF266" s="509"/>
      <c r="BG266" s="510"/>
      <c r="BH266" s="510"/>
      <c r="BI266" s="511"/>
      <c r="BJ266" s="511"/>
      <c r="BK266" s="511"/>
      <c r="BL266" s="510"/>
      <c r="BM266" s="510"/>
      <c r="BN266" s="510"/>
      <c r="BO266" s="510"/>
      <c r="BP266" s="510"/>
      <c r="BQ266" s="510"/>
      <c r="BR266" s="510"/>
      <c r="BS266" s="510"/>
      <c r="BT266" s="513"/>
      <c r="BU266" s="514"/>
      <c r="BV266" s="512"/>
      <c r="BW266" s="515"/>
    </row>
    <row r="267" spans="2:75" ht="15.75" customHeight="1">
      <c r="B267" s="250" t="s">
        <v>1386</v>
      </c>
      <c r="C267" s="251">
        <v>13966590000153</v>
      </c>
      <c r="D267" s="252" t="s">
        <v>11</v>
      </c>
      <c r="E267" s="252" t="s">
        <v>621</v>
      </c>
      <c r="F267" s="252" t="s">
        <v>672</v>
      </c>
      <c r="G267" s="253" t="s">
        <v>738</v>
      </c>
      <c r="H267" s="253" t="s">
        <v>34</v>
      </c>
      <c r="I267" s="253"/>
      <c r="J267" s="253" t="s">
        <v>608</v>
      </c>
      <c r="K267" s="254" t="s">
        <v>48</v>
      </c>
      <c r="L267" s="255"/>
      <c r="M267" s="255" t="s">
        <v>1414</v>
      </c>
      <c r="N267" s="254">
        <v>291854</v>
      </c>
      <c r="O267" s="254" t="s">
        <v>1321</v>
      </c>
      <c r="P267" s="258">
        <v>40877</v>
      </c>
      <c r="Q267" s="259">
        <v>35694060.799999997</v>
      </c>
      <c r="R267" s="259">
        <v>39282110.15285714</v>
      </c>
      <c r="S267" s="254">
        <v>1</v>
      </c>
      <c r="T267" s="256">
        <v>5.6269546034566353E-2</v>
      </c>
      <c r="U267" s="256">
        <v>0.72740740435581208</v>
      </c>
      <c r="V267" s="256">
        <v>8.8388933487363541E-2</v>
      </c>
      <c r="W267" s="256">
        <v>0.86650709737257869</v>
      </c>
      <c r="X267" s="256">
        <v>0.12377229779694221</v>
      </c>
      <c r="Y267" s="256">
        <v>0.93858781873789288</v>
      </c>
      <c r="Z267" s="256">
        <v>0.21851054526578828</v>
      </c>
      <c r="AA267" s="256">
        <v>1.2420847778447319</v>
      </c>
      <c r="AB267" s="256">
        <v>3.1491897606939566E-2</v>
      </c>
      <c r="AC267" s="260">
        <v>-0.37932983211980431</v>
      </c>
      <c r="AD267" s="405">
        <v>0</v>
      </c>
      <c r="AE267" s="257" t="s">
        <v>2349</v>
      </c>
      <c r="AF267" s="257" t="s">
        <v>2109</v>
      </c>
      <c r="AG267" s="261" t="s">
        <v>1432</v>
      </c>
      <c r="AH267" s="261" t="s">
        <v>2113</v>
      </c>
      <c r="AI267" s="261">
        <v>0</v>
      </c>
      <c r="AJ267" s="261">
        <v>0</v>
      </c>
      <c r="AK267" s="261">
        <v>0</v>
      </c>
      <c r="AL267" s="256">
        <v>2E-3</v>
      </c>
      <c r="AM267" s="256" t="s">
        <v>34</v>
      </c>
      <c r="AN267" s="256" t="s">
        <v>2141</v>
      </c>
      <c r="AO267" s="254" t="s">
        <v>1324</v>
      </c>
      <c r="AP267" s="257" t="s">
        <v>11</v>
      </c>
      <c r="AQ267" s="263" t="s">
        <v>676</v>
      </c>
      <c r="AR267" s="256">
        <v>3.9999999999999996E-4</v>
      </c>
      <c r="AS267" s="256">
        <v>3.9999999999999996E-4</v>
      </c>
      <c r="AT267" s="256"/>
      <c r="AW267" s="508"/>
      <c r="AX267" s="508"/>
      <c r="AY267" s="509"/>
      <c r="AZ267" s="509"/>
      <c r="BA267" s="509"/>
      <c r="BB267" s="510"/>
      <c r="BC267" s="509"/>
      <c r="BD267" s="509"/>
      <c r="BE267" s="509"/>
      <c r="BF267" s="509"/>
      <c r="BG267" s="510"/>
      <c r="BH267" s="510"/>
      <c r="BI267" s="511"/>
      <c r="BJ267" s="511"/>
      <c r="BK267" s="511"/>
      <c r="BL267" s="510"/>
      <c r="BM267" s="510"/>
      <c r="BN267" s="510"/>
      <c r="BO267" s="510"/>
      <c r="BP267" s="510"/>
      <c r="BQ267" s="510"/>
      <c r="BR267" s="510"/>
      <c r="BS267" s="510"/>
      <c r="BT267" s="513"/>
      <c r="BU267" s="514"/>
      <c r="BV267" s="512"/>
      <c r="BW267" s="515"/>
    </row>
    <row r="268" spans="2:75" ht="15.75" customHeight="1">
      <c r="B268" s="250" t="s">
        <v>341</v>
      </c>
      <c r="C268" s="251">
        <v>24011864000177</v>
      </c>
      <c r="D268" s="252" t="s">
        <v>11</v>
      </c>
      <c r="E268" s="252" t="s">
        <v>621</v>
      </c>
      <c r="F268" s="252" t="s">
        <v>672</v>
      </c>
      <c r="G268" s="253" t="s">
        <v>738</v>
      </c>
      <c r="H268" s="253" t="s">
        <v>34</v>
      </c>
      <c r="I268" s="253"/>
      <c r="J268" s="253" t="s">
        <v>608</v>
      </c>
      <c r="K268" s="254" t="s">
        <v>48</v>
      </c>
      <c r="L268" s="255"/>
      <c r="M268" s="255" t="s">
        <v>34</v>
      </c>
      <c r="N268" s="254">
        <v>427950</v>
      </c>
      <c r="O268" s="254" t="s">
        <v>1321</v>
      </c>
      <c r="P268" s="258">
        <v>42430</v>
      </c>
      <c r="Q268" s="259">
        <v>158468351.18000001</v>
      </c>
      <c r="R268" s="259">
        <v>148413348.54519832</v>
      </c>
      <c r="S268" s="254">
        <v>1</v>
      </c>
      <c r="T268" s="256">
        <v>6.3828928128547791E-2</v>
      </c>
      <c r="U268" s="256">
        <v>0.82512901213524859</v>
      </c>
      <c r="V268" s="256">
        <v>9.6139449187127024E-2</v>
      </c>
      <c r="W268" s="256">
        <v>0.94248806690314535</v>
      </c>
      <c r="X268" s="256">
        <v>0.15176412094705838</v>
      </c>
      <c r="Y268" s="256">
        <v>1.1508548986952098</v>
      </c>
      <c r="Z268" s="256">
        <v>0.26059608119039468</v>
      </c>
      <c r="AA268" s="256">
        <v>1.4813126076769592</v>
      </c>
      <c r="AB268" s="256">
        <v>2.7720212260054063E-2</v>
      </c>
      <c r="AC268" s="260">
        <v>-0.1788768158317717</v>
      </c>
      <c r="AD268" s="405">
        <v>21624772000174</v>
      </c>
      <c r="AE268" s="257" t="s">
        <v>2366</v>
      </c>
      <c r="AF268" s="257" t="s">
        <v>2112</v>
      </c>
      <c r="AG268" s="261" t="s">
        <v>59</v>
      </c>
      <c r="AH268" s="261" t="s">
        <v>2113</v>
      </c>
      <c r="AI268" s="261">
        <v>20000</v>
      </c>
      <c r="AJ268" s="261">
        <v>100</v>
      </c>
      <c r="AK268" s="261">
        <v>1000</v>
      </c>
      <c r="AL268" s="256">
        <v>5.0000000000000001E-3</v>
      </c>
      <c r="AM268" s="256">
        <v>0.2</v>
      </c>
      <c r="AN268" s="256" t="s">
        <v>636</v>
      </c>
      <c r="AO268" s="254" t="s">
        <v>1324</v>
      </c>
      <c r="AP268" s="257" t="s">
        <v>11</v>
      </c>
      <c r="AQ268" s="263" t="s">
        <v>1373</v>
      </c>
      <c r="AR268" s="256">
        <v>1.3333333333333333E-3</v>
      </c>
      <c r="AS268" s="256">
        <v>1.3333333333333333E-3</v>
      </c>
      <c r="AT268" s="256"/>
      <c r="AW268" s="508"/>
      <c r="AX268" s="508"/>
      <c r="AY268" s="509"/>
      <c r="AZ268" s="509"/>
      <c r="BA268" s="509"/>
      <c r="BB268" s="510"/>
      <c r="BC268" s="509"/>
      <c r="BD268" s="509"/>
      <c r="BE268" s="509"/>
      <c r="BF268" s="509"/>
      <c r="BG268" s="510"/>
      <c r="BH268" s="510"/>
      <c r="BI268" s="511"/>
      <c r="BJ268" s="511"/>
      <c r="BK268" s="511"/>
      <c r="BL268" s="510"/>
      <c r="BM268" s="510"/>
      <c r="BN268" s="510"/>
      <c r="BO268" s="510"/>
      <c r="BP268" s="510"/>
      <c r="BQ268" s="510"/>
      <c r="BR268" s="510"/>
      <c r="BS268" s="510"/>
      <c r="BT268" s="513"/>
      <c r="BU268" s="514"/>
      <c r="BV268" s="512"/>
      <c r="BW268" s="515"/>
    </row>
    <row r="269" spans="2:75" ht="15.75" customHeight="1">
      <c r="B269" s="250" t="s">
        <v>406</v>
      </c>
      <c r="C269" s="251">
        <v>40938273000104</v>
      </c>
      <c r="D269" s="252" t="s">
        <v>14</v>
      </c>
      <c r="E269" s="252" t="s">
        <v>607</v>
      </c>
      <c r="F269" s="252" t="s">
        <v>672</v>
      </c>
      <c r="G269" s="253"/>
      <c r="H269" s="253" t="s">
        <v>34</v>
      </c>
      <c r="I269" s="253" t="s">
        <v>34</v>
      </c>
      <c r="J269" s="253" t="s">
        <v>690</v>
      </c>
      <c r="K269" s="254"/>
      <c r="L269" s="255"/>
      <c r="M269" s="255" t="s">
        <v>1414</v>
      </c>
      <c r="N269" s="254">
        <v>582905</v>
      </c>
      <c r="O269" s="254" t="s">
        <v>1321</v>
      </c>
      <c r="P269" s="258">
        <v>44291</v>
      </c>
      <c r="Q269" s="259">
        <v>4398227.0199999996</v>
      </c>
      <c r="R269" s="259">
        <v>11456454.074166674</v>
      </c>
      <c r="S269" s="254">
        <v>1</v>
      </c>
      <c r="T269" s="256">
        <v>-0.11896107536884715</v>
      </c>
      <c r="U269" s="256">
        <v>-1.5378330402785185</v>
      </c>
      <c r="V269" s="256">
        <v>-4.8736066173839521E-2</v>
      </c>
      <c r="W269" s="256">
        <v>-0.47777640900813678</v>
      </c>
      <c r="X269" s="256" t="s">
        <v>1417</v>
      </c>
      <c r="Y269" s="256" t="s">
        <v>1417</v>
      </c>
      <c r="Z269" s="256" t="s">
        <v>1417</v>
      </c>
      <c r="AA269" s="256" t="s">
        <v>1417</v>
      </c>
      <c r="AB269" s="256">
        <v>0.2119907009368949</v>
      </c>
      <c r="AC269" s="260">
        <v>-0.58797683076994633</v>
      </c>
      <c r="AD269" s="405">
        <v>0</v>
      </c>
      <c r="AE269" s="257" t="s">
        <v>2214</v>
      </c>
      <c r="AF269" s="257" t="s">
        <v>2109</v>
      </c>
      <c r="AG269" s="261" t="s">
        <v>1432</v>
      </c>
      <c r="AH269" s="261" t="s">
        <v>2113</v>
      </c>
      <c r="AI269" s="261">
        <v>500</v>
      </c>
      <c r="AJ269" s="261">
        <v>100</v>
      </c>
      <c r="AK269" s="261">
        <v>100</v>
      </c>
      <c r="AL269" s="256">
        <v>5.0000000000000001E-3</v>
      </c>
      <c r="AM269" s="256" t="s">
        <v>34</v>
      </c>
      <c r="AN269" s="256" t="s">
        <v>34</v>
      </c>
      <c r="AO269" s="254" t="s">
        <v>1324</v>
      </c>
      <c r="AP269" s="257" t="s">
        <v>13</v>
      </c>
      <c r="AQ269" s="263" t="s">
        <v>668</v>
      </c>
      <c r="AR269" s="256">
        <v>6.6649999999999999E-4</v>
      </c>
      <c r="AS269" s="256">
        <v>6.6649999999999999E-4</v>
      </c>
      <c r="AT269" s="256"/>
      <c r="AW269" s="508"/>
      <c r="AX269" s="508"/>
      <c r="AY269" s="509"/>
      <c r="AZ269" s="509"/>
      <c r="BA269" s="509"/>
      <c r="BB269" s="510"/>
      <c r="BC269" s="509"/>
      <c r="BD269" s="509"/>
      <c r="BE269" s="509"/>
      <c r="BF269" s="509"/>
      <c r="BG269" s="510"/>
      <c r="BH269" s="510"/>
      <c r="BI269" s="511"/>
      <c r="BJ269" s="511"/>
      <c r="BK269" s="511"/>
      <c r="BL269" s="510"/>
      <c r="BM269" s="510"/>
      <c r="BN269" s="510"/>
      <c r="BO269" s="510"/>
      <c r="BP269" s="510"/>
      <c r="BQ269" s="510"/>
      <c r="BR269" s="510"/>
      <c r="BS269" s="510"/>
      <c r="BT269" s="513"/>
      <c r="BU269" s="514"/>
      <c r="BV269" s="512"/>
      <c r="BW269" s="515"/>
    </row>
    <row r="270" spans="2:75" ht="15.75" customHeight="1">
      <c r="B270" s="250" t="s">
        <v>1391</v>
      </c>
      <c r="C270" s="251">
        <v>41395002000104</v>
      </c>
      <c r="D270" s="252" t="s">
        <v>11</v>
      </c>
      <c r="E270" s="252" t="s">
        <v>621</v>
      </c>
      <c r="F270" s="252" t="s">
        <v>672</v>
      </c>
      <c r="G270" s="253" t="s">
        <v>738</v>
      </c>
      <c r="H270" s="253" t="s">
        <v>34</v>
      </c>
      <c r="I270" s="253"/>
      <c r="J270" s="253" t="s">
        <v>608</v>
      </c>
      <c r="K270" s="254" t="s">
        <v>48</v>
      </c>
      <c r="L270" s="255"/>
      <c r="M270" s="255" t="s">
        <v>1414</v>
      </c>
      <c r="N270" s="254">
        <v>599433</v>
      </c>
      <c r="O270" s="254" t="s">
        <v>1321</v>
      </c>
      <c r="P270" s="258">
        <v>44376</v>
      </c>
      <c r="Q270" s="259">
        <v>9094843.9299999997</v>
      </c>
      <c r="R270" s="259">
        <v>15481342.00214286</v>
      </c>
      <c r="S270" s="254">
        <v>1</v>
      </c>
      <c r="T270" s="256">
        <v>6.469202178893485E-2</v>
      </c>
      <c r="U270" s="256">
        <v>0.8362863923428735</v>
      </c>
      <c r="V270" s="256">
        <v>9.5830466599715614E-2</v>
      </c>
      <c r="W270" s="256">
        <v>0.93945900439053109</v>
      </c>
      <c r="X270" s="256" t="s">
        <v>1417</v>
      </c>
      <c r="Y270" s="256" t="s">
        <v>1417</v>
      </c>
      <c r="Z270" s="256" t="s">
        <v>1417</v>
      </c>
      <c r="AA270" s="256" t="s">
        <v>1417</v>
      </c>
      <c r="AB270" s="256">
        <v>2.6347378191441059E-2</v>
      </c>
      <c r="AC270" s="260">
        <v>-0.20030108769832553</v>
      </c>
      <c r="AD270" s="405">
        <v>0</v>
      </c>
      <c r="AE270" s="257" t="s">
        <v>2214</v>
      </c>
      <c r="AF270" s="257" t="s">
        <v>2109</v>
      </c>
      <c r="AG270" s="261" t="s">
        <v>1432</v>
      </c>
      <c r="AH270" s="261" t="s">
        <v>2113</v>
      </c>
      <c r="AI270" s="261">
        <v>0</v>
      </c>
      <c r="AJ270" s="261">
        <v>0</v>
      </c>
      <c r="AK270" s="261">
        <v>0</v>
      </c>
      <c r="AL270" s="256">
        <v>3.0000000000000001E-3</v>
      </c>
      <c r="AM270" s="256" t="s">
        <v>34</v>
      </c>
      <c r="AN270" s="256" t="s">
        <v>636</v>
      </c>
      <c r="AO270" s="254" t="s">
        <v>1324</v>
      </c>
      <c r="AP270" s="257" t="s">
        <v>11</v>
      </c>
      <c r="AQ270" s="263" t="s">
        <v>676</v>
      </c>
      <c r="AR270" s="256">
        <v>6.6649999999999999E-4</v>
      </c>
      <c r="AS270" s="256">
        <v>6.6649999999999999E-4</v>
      </c>
      <c r="AT270" s="256"/>
      <c r="AW270" s="508"/>
      <c r="AX270" s="508"/>
      <c r="AY270" s="509"/>
      <c r="AZ270" s="509"/>
      <c r="BA270" s="509"/>
      <c r="BB270" s="510"/>
      <c r="BC270" s="509"/>
      <c r="BD270" s="509"/>
      <c r="BE270" s="509"/>
      <c r="BF270" s="509"/>
      <c r="BG270" s="510"/>
      <c r="BH270" s="510"/>
      <c r="BI270" s="511"/>
      <c r="BJ270" s="511"/>
      <c r="BK270" s="511"/>
      <c r="BL270" s="510"/>
      <c r="BM270" s="510"/>
      <c r="BN270" s="510"/>
      <c r="BO270" s="510"/>
      <c r="BP270" s="510"/>
      <c r="BQ270" s="510"/>
      <c r="BR270" s="510"/>
      <c r="BS270" s="510"/>
      <c r="BT270" s="513"/>
      <c r="BU270" s="514"/>
      <c r="BV270" s="512"/>
      <c r="BW270" s="515"/>
    </row>
    <row r="271" spans="2:75" ht="15.75" customHeight="1">
      <c r="B271" s="250" t="s">
        <v>1271</v>
      </c>
      <c r="C271" s="251">
        <v>13060032000124</v>
      </c>
      <c r="D271" s="252" t="s">
        <v>11</v>
      </c>
      <c r="E271" s="252" t="s">
        <v>661</v>
      </c>
      <c r="F271" s="252" t="s">
        <v>672</v>
      </c>
      <c r="G271" s="253" t="s">
        <v>738</v>
      </c>
      <c r="H271" s="253" t="s">
        <v>34</v>
      </c>
      <c r="I271" s="253"/>
      <c r="J271" s="253" t="s">
        <v>608</v>
      </c>
      <c r="K271" s="254" t="s">
        <v>48</v>
      </c>
      <c r="L271" s="255"/>
      <c r="M271" s="255" t="s">
        <v>34</v>
      </c>
      <c r="N271" s="254">
        <v>270148</v>
      </c>
      <c r="O271" s="254" t="s">
        <v>1321</v>
      </c>
      <c r="P271" s="258">
        <v>40623</v>
      </c>
      <c r="Q271" s="259">
        <v>181796551.62</v>
      </c>
      <c r="R271" s="259">
        <v>164286295.81813493</v>
      </c>
      <c r="S271" s="254">
        <v>1</v>
      </c>
      <c r="T271" s="256">
        <v>4.1323857336578618E-2</v>
      </c>
      <c r="U271" s="256">
        <v>0.53420156943695851</v>
      </c>
      <c r="V271" s="256">
        <v>4.0287070152024373E-2</v>
      </c>
      <c r="W271" s="256">
        <v>0.39494799678815939</v>
      </c>
      <c r="X271" s="256">
        <v>-5.4148172437522568E-3</v>
      </c>
      <c r="Y271" s="256">
        <v>-4.1061542818051466E-2</v>
      </c>
      <c r="Z271" s="256">
        <v>9.4002993043255767E-2</v>
      </c>
      <c r="AA271" s="256">
        <v>0.53434348712484325</v>
      </c>
      <c r="AB271" s="256">
        <v>5.3665041207068588E-2</v>
      </c>
      <c r="AC271" s="260">
        <v>-1.0475510321848824</v>
      </c>
      <c r="AD271" s="405">
        <v>10342116000162</v>
      </c>
      <c r="AE271" s="257" t="s">
        <v>469</v>
      </c>
      <c r="AF271" s="257" t="s">
        <v>469</v>
      </c>
      <c r="AG271" s="261" t="s">
        <v>469</v>
      </c>
      <c r="AH271" s="261" t="s">
        <v>2113</v>
      </c>
      <c r="AI271" s="261">
        <v>100</v>
      </c>
      <c r="AJ271" s="261">
        <v>100</v>
      </c>
      <c r="AK271" s="261">
        <v>100</v>
      </c>
      <c r="AL271" s="256">
        <v>3.4999999999999996E-3</v>
      </c>
      <c r="AM271" s="256" t="s">
        <v>34</v>
      </c>
      <c r="AN271" s="256" t="s">
        <v>633</v>
      </c>
      <c r="AO271" s="254" t="s">
        <v>1324</v>
      </c>
      <c r="AP271" s="257" t="s">
        <v>11</v>
      </c>
      <c r="AQ271" s="263" t="s">
        <v>676</v>
      </c>
      <c r="AR271" s="256">
        <v>1.1666666666666665E-3</v>
      </c>
      <c r="AS271" s="256">
        <v>1.1666666666666665E-3</v>
      </c>
      <c r="AT271" s="256"/>
      <c r="AW271" s="508"/>
      <c r="AX271" s="508"/>
      <c r="AY271" s="509"/>
      <c r="AZ271" s="509"/>
      <c r="BA271" s="509"/>
      <c r="BB271" s="510"/>
      <c r="BC271" s="509"/>
      <c r="BD271" s="509"/>
      <c r="BE271" s="509"/>
      <c r="BF271" s="509"/>
      <c r="BG271" s="510"/>
      <c r="BH271" s="510"/>
      <c r="BI271" s="511"/>
      <c r="BJ271" s="511"/>
      <c r="BK271" s="511"/>
      <c r="BL271" s="510"/>
      <c r="BM271" s="510"/>
      <c r="BN271" s="510"/>
      <c r="BO271" s="510"/>
      <c r="BP271" s="510"/>
      <c r="BQ271" s="510"/>
      <c r="BR271" s="510"/>
      <c r="BS271" s="510"/>
      <c r="BT271" s="513"/>
      <c r="BU271" s="514"/>
      <c r="BV271" s="512"/>
      <c r="BW271" s="515"/>
    </row>
    <row r="272" spans="2:75" ht="15.75" customHeight="1">
      <c r="B272" s="250" t="s">
        <v>472</v>
      </c>
      <c r="C272" s="251">
        <v>9087301000179</v>
      </c>
      <c r="D272" s="252" t="s">
        <v>11</v>
      </c>
      <c r="E272" s="252" t="s">
        <v>621</v>
      </c>
      <c r="F272" s="252" t="s">
        <v>672</v>
      </c>
      <c r="G272" s="253" t="s">
        <v>865</v>
      </c>
      <c r="H272" s="253" t="s">
        <v>34</v>
      </c>
      <c r="I272" s="253"/>
      <c r="J272" s="253" t="s">
        <v>608</v>
      </c>
      <c r="K272" s="254" t="s">
        <v>48</v>
      </c>
      <c r="L272" s="255"/>
      <c r="M272" s="255" t="s">
        <v>34</v>
      </c>
      <c r="N272" s="254">
        <v>257079</v>
      </c>
      <c r="O272" s="254" t="s">
        <v>1321</v>
      </c>
      <c r="P272" s="258">
        <v>40445</v>
      </c>
      <c r="Q272" s="259">
        <v>296996283.04000002</v>
      </c>
      <c r="R272" s="259">
        <v>334164084.2443254</v>
      </c>
      <c r="S272" s="254">
        <v>1</v>
      </c>
      <c r="T272" s="256">
        <v>3.2415036022067634E-2</v>
      </c>
      <c r="U272" s="256">
        <v>0.41903549746834345</v>
      </c>
      <c r="V272" s="256">
        <v>3.1179102903225342E-2</v>
      </c>
      <c r="W272" s="256">
        <v>0.30565946311839121</v>
      </c>
      <c r="X272" s="256">
        <v>2.6791348680481164E-2</v>
      </c>
      <c r="Y272" s="256">
        <v>0.20316366397522251</v>
      </c>
      <c r="Z272" s="256">
        <v>0.13158663322810948</v>
      </c>
      <c r="AA272" s="256">
        <v>0.74798108211055891</v>
      </c>
      <c r="AB272" s="256">
        <v>6.141236738054507E-2</v>
      </c>
      <c r="AC272" s="260">
        <v>-1.0514652254120922</v>
      </c>
      <c r="AD272" s="405">
        <v>0</v>
      </c>
      <c r="AE272" s="257" t="s">
        <v>2306</v>
      </c>
      <c r="AF272" s="257" t="s">
        <v>728</v>
      </c>
      <c r="AG272" s="261" t="s">
        <v>728</v>
      </c>
      <c r="AH272" s="261" t="s">
        <v>2113</v>
      </c>
      <c r="AI272" s="261">
        <v>1000</v>
      </c>
      <c r="AJ272" s="261">
        <v>100</v>
      </c>
      <c r="AK272" s="261">
        <v>500</v>
      </c>
      <c r="AL272" s="256">
        <v>5.0000000000000001E-3</v>
      </c>
      <c r="AM272" s="256" t="s">
        <v>34</v>
      </c>
      <c r="AN272" s="256" t="s">
        <v>150</v>
      </c>
      <c r="AO272" s="254" t="s">
        <v>1324</v>
      </c>
      <c r="AP272" s="257" t="s">
        <v>11</v>
      </c>
      <c r="AQ272" s="263" t="s">
        <v>680</v>
      </c>
      <c r="AR272" s="256">
        <v>1.3333333333333333E-3</v>
      </c>
      <c r="AS272" s="256">
        <v>1.3333333333333333E-3</v>
      </c>
      <c r="AT272" s="256"/>
      <c r="AW272" s="508"/>
      <c r="AX272" s="508"/>
      <c r="AY272" s="509"/>
      <c r="AZ272" s="509"/>
      <c r="BA272" s="509"/>
      <c r="BB272" s="510"/>
      <c r="BC272" s="509"/>
      <c r="BD272" s="509"/>
      <c r="BE272" s="509"/>
      <c r="BF272" s="509"/>
      <c r="BG272" s="510"/>
      <c r="BH272" s="510"/>
      <c r="BI272" s="511"/>
      <c r="BJ272" s="511"/>
      <c r="BK272" s="511"/>
      <c r="BL272" s="510"/>
      <c r="BM272" s="510"/>
      <c r="BN272" s="510"/>
      <c r="BO272" s="510"/>
      <c r="BP272" s="510"/>
      <c r="BQ272" s="510"/>
      <c r="BR272" s="510"/>
      <c r="BS272" s="510"/>
      <c r="BT272" s="513"/>
      <c r="BU272" s="514"/>
      <c r="BV272" s="512"/>
      <c r="BW272" s="515"/>
    </row>
    <row r="273" spans="2:75" ht="15.75" customHeight="1">
      <c r="B273" s="250" t="s">
        <v>38</v>
      </c>
      <c r="C273" s="251">
        <v>17517577000178</v>
      </c>
      <c r="D273" s="252" t="s">
        <v>11</v>
      </c>
      <c r="E273" s="252" t="s">
        <v>621</v>
      </c>
      <c r="F273" s="252" t="s">
        <v>672</v>
      </c>
      <c r="G273" s="253" t="s">
        <v>738</v>
      </c>
      <c r="H273" s="253" t="s">
        <v>34</v>
      </c>
      <c r="I273" s="253"/>
      <c r="J273" s="253" t="s">
        <v>608</v>
      </c>
      <c r="K273" s="254" t="s">
        <v>48</v>
      </c>
      <c r="L273" s="255"/>
      <c r="M273" s="255" t="s">
        <v>34</v>
      </c>
      <c r="N273" s="254">
        <v>348430</v>
      </c>
      <c r="O273" s="254" t="s">
        <v>1321</v>
      </c>
      <c r="P273" s="258">
        <v>41513</v>
      </c>
      <c r="Q273" s="259">
        <v>469779600.69</v>
      </c>
      <c r="R273" s="259">
        <v>787295987.14412677</v>
      </c>
      <c r="S273" s="254">
        <v>1</v>
      </c>
      <c r="T273" s="256">
        <v>5.3084415074470037E-2</v>
      </c>
      <c r="U273" s="256">
        <v>0.68623259475642884</v>
      </c>
      <c r="V273" s="256">
        <v>7.5682586094880433E-2</v>
      </c>
      <c r="W273" s="256">
        <v>0.7419424062640223</v>
      </c>
      <c r="X273" s="256">
        <v>9.0412167132698285E-2</v>
      </c>
      <c r="Y273" s="256">
        <v>0.68561188769125003</v>
      </c>
      <c r="Z273" s="256">
        <v>0.22296000077318467</v>
      </c>
      <c r="AA273" s="256">
        <v>1.2673769254100227</v>
      </c>
      <c r="AB273" s="256">
        <v>3.3685203020445045E-2</v>
      </c>
      <c r="AC273" s="260">
        <v>-0.70123674446598405</v>
      </c>
      <c r="AD273" s="405">
        <v>0</v>
      </c>
      <c r="AE273" s="257" t="s">
        <v>2306</v>
      </c>
      <c r="AF273" s="257" t="s">
        <v>728</v>
      </c>
      <c r="AG273" s="261" t="s">
        <v>728</v>
      </c>
      <c r="AH273" s="261" t="s">
        <v>2113</v>
      </c>
      <c r="AI273" s="261">
        <v>1000</v>
      </c>
      <c r="AJ273" s="261">
        <v>100</v>
      </c>
      <c r="AK273" s="261">
        <v>500</v>
      </c>
      <c r="AL273" s="256">
        <v>4.0000000000000001E-3</v>
      </c>
      <c r="AM273" s="256" t="s">
        <v>34</v>
      </c>
      <c r="AN273" s="256" t="s">
        <v>636</v>
      </c>
      <c r="AO273" s="254" t="s">
        <v>1324</v>
      </c>
      <c r="AP273" s="257" t="s">
        <v>11</v>
      </c>
      <c r="AQ273" s="263" t="s">
        <v>680</v>
      </c>
      <c r="AR273" s="256">
        <v>1.0666666666666667E-3</v>
      </c>
      <c r="AS273" s="256">
        <v>1.0666666666666667E-3</v>
      </c>
      <c r="AT273" s="256"/>
      <c r="AW273" s="508"/>
      <c r="AX273" s="508"/>
      <c r="AY273" s="509"/>
      <c r="AZ273" s="509"/>
      <c r="BA273" s="509"/>
      <c r="BB273" s="510"/>
      <c r="BC273" s="509"/>
      <c r="BD273" s="509"/>
      <c r="BE273" s="509"/>
      <c r="BF273" s="509"/>
      <c r="BG273" s="510"/>
      <c r="BH273" s="510"/>
      <c r="BI273" s="511"/>
      <c r="BJ273" s="511"/>
      <c r="BK273" s="511"/>
      <c r="BL273" s="510"/>
      <c r="BM273" s="510"/>
      <c r="BN273" s="510"/>
      <c r="BO273" s="510"/>
      <c r="BP273" s="510"/>
      <c r="BQ273" s="510"/>
      <c r="BR273" s="510"/>
      <c r="BS273" s="510"/>
      <c r="BT273" s="513"/>
      <c r="BU273" s="514"/>
      <c r="BV273" s="512"/>
      <c r="BW273" s="515"/>
    </row>
    <row r="274" spans="2:75" ht="15.75" customHeight="1">
      <c r="B274" s="250" t="s">
        <v>1509</v>
      </c>
      <c r="C274" s="251">
        <v>42870660000173</v>
      </c>
      <c r="D274" s="252" t="s">
        <v>14</v>
      </c>
      <c r="E274" s="252" t="s">
        <v>607</v>
      </c>
      <c r="F274" s="252"/>
      <c r="G274" s="253"/>
      <c r="H274" s="253" t="s">
        <v>34</v>
      </c>
      <c r="I274" s="253" t="s">
        <v>34</v>
      </c>
      <c r="J274" s="253" t="s">
        <v>608</v>
      </c>
      <c r="K274" s="254" t="s">
        <v>48</v>
      </c>
      <c r="L274" s="255"/>
      <c r="M274" s="255"/>
      <c r="N274" s="254">
        <v>617539</v>
      </c>
      <c r="O274" s="254" t="s">
        <v>1321</v>
      </c>
      <c r="P274" s="258">
        <v>44487</v>
      </c>
      <c r="Q274" s="259">
        <v>344978460.38999999</v>
      </c>
      <c r="R274" s="259" t="s">
        <v>1417</v>
      </c>
      <c r="S274" s="254">
        <v>1</v>
      </c>
      <c r="T274" s="256">
        <v>-4.1329559972799079E-2</v>
      </c>
      <c r="U274" s="256">
        <v>-0.46487131647957536</v>
      </c>
      <c r="V274" s="256" t="s">
        <v>1417</v>
      </c>
      <c r="W274" s="256" t="s">
        <v>1417</v>
      </c>
      <c r="X274" s="256" t="s">
        <v>1417</v>
      </c>
      <c r="Y274" s="256" t="s">
        <v>1417</v>
      </c>
      <c r="Z274" s="256" t="s">
        <v>1417</v>
      </c>
      <c r="AA274" s="256" t="s">
        <v>1417</v>
      </c>
      <c r="AB274" s="256" t="s">
        <v>1417</v>
      </c>
      <c r="AC274" s="260" t="s">
        <v>1417</v>
      </c>
      <c r="AD274" s="405">
        <v>0</v>
      </c>
      <c r="AE274" s="257" t="s">
        <v>2180</v>
      </c>
      <c r="AF274" s="257" t="s">
        <v>2118</v>
      </c>
      <c r="AG274" s="261" t="s">
        <v>1433</v>
      </c>
      <c r="AH274" s="261" t="s">
        <v>2131</v>
      </c>
      <c r="AI274" s="261">
        <v>0</v>
      </c>
      <c r="AJ274" s="261">
        <v>0</v>
      </c>
      <c r="AK274" s="261">
        <v>0</v>
      </c>
      <c r="AL274" s="256">
        <v>2.9999999999999997E-4</v>
      </c>
      <c r="AM274" s="256" t="s">
        <v>34</v>
      </c>
      <c r="AN274" s="256" t="s">
        <v>2127</v>
      </c>
      <c r="AO274" s="254" t="s">
        <v>1324</v>
      </c>
      <c r="AP274" s="257" t="s">
        <v>716</v>
      </c>
      <c r="AQ274" s="263" t="s">
        <v>2181</v>
      </c>
      <c r="AR274" s="256" t="s">
        <v>34</v>
      </c>
      <c r="AS274" s="256" t="s">
        <v>34</v>
      </c>
      <c r="AT274" s="256"/>
      <c r="AW274" s="508"/>
      <c r="AX274" s="508"/>
      <c r="AY274" s="509"/>
      <c r="AZ274" s="509"/>
      <c r="BA274" s="509"/>
      <c r="BB274" s="510"/>
      <c r="BC274" s="509"/>
      <c r="BD274" s="509"/>
      <c r="BE274" s="509"/>
      <c r="BF274" s="509"/>
      <c r="BG274" s="510"/>
      <c r="BH274" s="510"/>
      <c r="BI274" s="511"/>
      <c r="BJ274" s="511"/>
      <c r="BK274" s="511"/>
      <c r="BL274" s="510"/>
      <c r="BM274" s="510"/>
      <c r="BN274" s="510"/>
      <c r="BO274" s="510"/>
      <c r="BP274" s="510"/>
      <c r="BQ274" s="510"/>
      <c r="BR274" s="510"/>
      <c r="BS274" s="510"/>
      <c r="BT274" s="513"/>
      <c r="BU274" s="514"/>
      <c r="BV274" s="512"/>
      <c r="BW274" s="515"/>
    </row>
    <row r="275" spans="2:75" ht="15.75" customHeight="1">
      <c r="B275" s="250" t="s">
        <v>1539</v>
      </c>
      <c r="C275" s="251">
        <v>19729259000104</v>
      </c>
      <c r="D275" s="252" t="s">
        <v>13</v>
      </c>
      <c r="E275" s="252"/>
      <c r="F275" s="252"/>
      <c r="G275" s="253"/>
      <c r="H275" s="253" t="s">
        <v>1338</v>
      </c>
      <c r="I275" s="253"/>
      <c r="J275" s="253"/>
      <c r="K275" s="254"/>
      <c r="L275" s="255"/>
      <c r="M275" s="255"/>
      <c r="N275" s="254">
        <v>367745</v>
      </c>
      <c r="O275" s="254" t="s">
        <v>1324</v>
      </c>
      <c r="P275" s="258">
        <v>41782</v>
      </c>
      <c r="Q275" s="259" t="s">
        <v>1393</v>
      </c>
      <c r="R275" s="259" t="s">
        <v>1417</v>
      </c>
      <c r="S275" s="254">
        <v>1</v>
      </c>
      <c r="T275" s="256" t="s">
        <v>1417</v>
      </c>
      <c r="U275" s="256" t="s">
        <v>1417</v>
      </c>
      <c r="V275" s="256" t="s">
        <v>1417</v>
      </c>
      <c r="W275" s="256" t="s">
        <v>1417</v>
      </c>
      <c r="X275" s="256" t="s">
        <v>1417</v>
      </c>
      <c r="Y275" s="256" t="s">
        <v>1417</v>
      </c>
      <c r="Z275" s="256" t="s">
        <v>1417</v>
      </c>
      <c r="AA275" s="256" t="s">
        <v>1417</v>
      </c>
      <c r="AB275" s="256" t="s">
        <v>1417</v>
      </c>
      <c r="AC275" s="260" t="s">
        <v>1417</v>
      </c>
      <c r="AD275" s="405">
        <v>0</v>
      </c>
      <c r="AE275" s="257" t="s">
        <v>2203</v>
      </c>
      <c r="AF275" s="257" t="s">
        <v>2109</v>
      </c>
      <c r="AG275" s="261" t="s">
        <v>1432</v>
      </c>
      <c r="AH275" s="261" t="s">
        <v>2131</v>
      </c>
      <c r="AI275" s="261">
        <v>1000000</v>
      </c>
      <c r="AJ275" s="261" t="s">
        <v>2204</v>
      </c>
      <c r="AK275" s="261">
        <v>1000000</v>
      </c>
      <c r="AL275" s="256">
        <v>3.0000000000000001E-3</v>
      </c>
      <c r="AM275" s="256">
        <v>0.1</v>
      </c>
      <c r="AN275" s="256" t="s">
        <v>64</v>
      </c>
      <c r="AO275" s="254" t="s">
        <v>1324</v>
      </c>
      <c r="AP275" s="257" t="s">
        <v>13</v>
      </c>
      <c r="AQ275" s="263" t="s">
        <v>679</v>
      </c>
      <c r="AR275" s="256" t="s">
        <v>34</v>
      </c>
      <c r="AS275" s="256" t="s">
        <v>34</v>
      </c>
      <c r="AT275" s="256"/>
      <c r="AW275" s="508"/>
      <c r="AX275" s="508"/>
      <c r="AY275" s="509"/>
      <c r="AZ275" s="509"/>
      <c r="BA275" s="509"/>
      <c r="BB275" s="510"/>
      <c r="BC275" s="509"/>
      <c r="BD275" s="509"/>
      <c r="BE275" s="509"/>
      <c r="BF275" s="509"/>
      <c r="BG275" s="510"/>
      <c r="BH275" s="510"/>
      <c r="BI275" s="511"/>
      <c r="BJ275" s="511"/>
      <c r="BK275" s="511"/>
      <c r="BL275" s="510"/>
      <c r="BM275" s="510"/>
      <c r="BN275" s="510"/>
      <c r="BO275" s="510"/>
      <c r="BP275" s="510"/>
      <c r="BQ275" s="510"/>
      <c r="BR275" s="510"/>
      <c r="BS275" s="510"/>
      <c r="BT275" s="513"/>
      <c r="BU275" s="514"/>
      <c r="BV275" s="512"/>
      <c r="BW275" s="515"/>
    </row>
    <row r="276" spans="2:75" ht="15.75" customHeight="1">
      <c r="B276" s="250" t="s">
        <v>1574</v>
      </c>
      <c r="C276" s="251">
        <v>13703754000150</v>
      </c>
      <c r="D276" s="252" t="s">
        <v>11</v>
      </c>
      <c r="E276" s="252"/>
      <c r="F276" s="252"/>
      <c r="G276" s="253"/>
      <c r="H276" s="253" t="s">
        <v>34</v>
      </c>
      <c r="I276" s="253"/>
      <c r="J276" s="253"/>
      <c r="K276" s="254"/>
      <c r="L276" s="255"/>
      <c r="M276" s="255"/>
      <c r="N276" s="254">
        <v>286109</v>
      </c>
      <c r="O276" s="254" t="s">
        <v>1321</v>
      </c>
      <c r="P276" s="258">
        <v>40801</v>
      </c>
      <c r="Q276" s="259">
        <v>184497618.53</v>
      </c>
      <c r="R276" s="259">
        <v>194571180.16908738</v>
      </c>
      <c r="S276" s="254">
        <v>1</v>
      </c>
      <c r="T276" s="256">
        <v>6.6743838243742415E-2</v>
      </c>
      <c r="U276" s="256">
        <v>0.7507289206971689</v>
      </c>
      <c r="V276" s="256">
        <v>8.5765208056240994E-2</v>
      </c>
      <c r="W276" s="256">
        <v>0.78712807144540786</v>
      </c>
      <c r="X276" s="256">
        <v>0.14925216947207831</v>
      </c>
      <c r="Y276" s="256">
        <v>1.0495099797577485</v>
      </c>
      <c r="Z276" s="256">
        <v>0.23012828625757398</v>
      </c>
      <c r="AA276" s="256">
        <v>1.2575506768725297</v>
      </c>
      <c r="AB276" s="256">
        <v>2.7527188296858483E-2</v>
      </c>
      <c r="AC276" s="260">
        <v>-0.75448458426624654</v>
      </c>
      <c r="AD276" s="405">
        <v>31552311000197</v>
      </c>
      <c r="AE276" s="257" t="s">
        <v>1547</v>
      </c>
      <c r="AF276" s="257" t="s">
        <v>2121</v>
      </c>
      <c r="AG276" s="261" t="s">
        <v>59</v>
      </c>
      <c r="AH276" s="261" t="s">
        <v>2110</v>
      </c>
      <c r="AI276" s="261">
        <v>100000</v>
      </c>
      <c r="AJ276" s="261">
        <v>50000</v>
      </c>
      <c r="AK276" s="261">
        <v>100000</v>
      </c>
      <c r="AL276" s="256">
        <v>4.0000000000000001E-3</v>
      </c>
      <c r="AM276" s="256" t="s">
        <v>34</v>
      </c>
      <c r="AN276" s="256" t="s">
        <v>636</v>
      </c>
      <c r="AO276" s="254" t="s">
        <v>1324</v>
      </c>
      <c r="AP276" s="257" t="s">
        <v>11</v>
      </c>
      <c r="AQ276" s="263" t="s">
        <v>662</v>
      </c>
      <c r="AR276" s="256" t="s">
        <v>34</v>
      </c>
      <c r="AS276" s="256" t="s">
        <v>34</v>
      </c>
      <c r="AT276" s="256"/>
      <c r="AW276" s="508"/>
      <c r="AX276" s="508"/>
      <c r="AY276" s="509"/>
      <c r="AZ276" s="509"/>
      <c r="BA276" s="509"/>
      <c r="BB276" s="510"/>
      <c r="BC276" s="509"/>
      <c r="BD276" s="509"/>
      <c r="BE276" s="509"/>
      <c r="BF276" s="509"/>
      <c r="BG276" s="510"/>
      <c r="BH276" s="510"/>
      <c r="BI276" s="511"/>
      <c r="BJ276" s="511"/>
      <c r="BK276" s="511"/>
      <c r="BL276" s="195"/>
      <c r="BM276" s="510"/>
      <c r="BN276" s="510"/>
      <c r="BO276" s="510"/>
      <c r="BP276" s="510"/>
      <c r="BQ276" s="510"/>
      <c r="BR276" s="510"/>
      <c r="BS276" s="510"/>
      <c r="BT276" s="513"/>
      <c r="BU276" s="514"/>
      <c r="BV276" s="512"/>
      <c r="BW276" s="515"/>
    </row>
    <row r="277" spans="2:75" ht="15.75" customHeight="1">
      <c r="B277" s="250" t="s">
        <v>1575</v>
      </c>
      <c r="C277" s="251">
        <v>9463987000155</v>
      </c>
      <c r="D277" s="252" t="s">
        <v>11</v>
      </c>
      <c r="E277" s="252"/>
      <c r="F277" s="252"/>
      <c r="G277" s="253"/>
      <c r="H277" s="253" t="s">
        <v>34</v>
      </c>
      <c r="I277" s="253"/>
      <c r="J277" s="253"/>
      <c r="K277" s="254"/>
      <c r="L277" s="255"/>
      <c r="M277" s="255"/>
      <c r="N277" s="254">
        <v>210587</v>
      </c>
      <c r="O277" s="254" t="s">
        <v>1321</v>
      </c>
      <c r="P277" s="258">
        <v>39595</v>
      </c>
      <c r="Q277" s="259">
        <v>89711787.989999995</v>
      </c>
      <c r="R277" s="259">
        <v>92751520.538849205</v>
      </c>
      <c r="S277" s="254">
        <v>1</v>
      </c>
      <c r="T277" s="256">
        <v>5.9087415063382887E-2</v>
      </c>
      <c r="U277" s="256">
        <v>0.66461013487605247</v>
      </c>
      <c r="V277" s="256">
        <v>6.6828167992638576E-2</v>
      </c>
      <c r="W277" s="256">
        <v>0.61332943955293717</v>
      </c>
      <c r="X277" s="256">
        <v>0.12126088274690106</v>
      </c>
      <c r="Y277" s="256">
        <v>0.85268111711377936</v>
      </c>
      <c r="Z277" s="256">
        <v>0.14460803091245689</v>
      </c>
      <c r="AA277" s="256">
        <v>0.79021979484792149</v>
      </c>
      <c r="AB277" s="256">
        <v>5.5088118432756419E-2</v>
      </c>
      <c r="AC277" s="260">
        <v>-0.67598062075117782</v>
      </c>
      <c r="AD277" s="405">
        <v>31552352000183</v>
      </c>
      <c r="AE277" s="257" t="s">
        <v>1547</v>
      </c>
      <c r="AF277" s="257" t="s">
        <v>2121</v>
      </c>
      <c r="AG277" s="261" t="s">
        <v>59</v>
      </c>
      <c r="AH277" s="261" t="s">
        <v>2110</v>
      </c>
      <c r="AI277" s="261">
        <v>100000</v>
      </c>
      <c r="AJ277" s="261">
        <v>50000</v>
      </c>
      <c r="AK277" s="261">
        <v>100000</v>
      </c>
      <c r="AL277" s="256">
        <v>4.0000000000000001E-3</v>
      </c>
      <c r="AM277" s="256" t="s">
        <v>34</v>
      </c>
      <c r="AN277" s="256" t="s">
        <v>150</v>
      </c>
      <c r="AO277" s="254" t="s">
        <v>1324</v>
      </c>
      <c r="AP277" s="257" t="s">
        <v>11</v>
      </c>
      <c r="AQ277" s="263" t="s">
        <v>662</v>
      </c>
      <c r="AR277" s="256" t="s">
        <v>34</v>
      </c>
      <c r="AS277" s="256" t="s">
        <v>34</v>
      </c>
      <c r="AT277" s="256"/>
      <c r="AW277" s="508"/>
      <c r="AX277" s="508"/>
      <c r="AY277" s="509"/>
      <c r="AZ277" s="509"/>
      <c r="BA277" s="509"/>
      <c r="BB277" s="510"/>
      <c r="BC277" s="509"/>
      <c r="BD277" s="509"/>
      <c r="BE277" s="509"/>
      <c r="BF277" s="509"/>
      <c r="BG277" s="510"/>
      <c r="BH277" s="510"/>
      <c r="BI277" s="511"/>
      <c r="BJ277" s="511"/>
      <c r="BK277" s="511"/>
      <c r="BL277" s="510"/>
      <c r="BM277" s="510"/>
      <c r="BN277" s="510"/>
      <c r="BO277" s="510"/>
      <c r="BP277" s="510"/>
      <c r="BQ277" s="510"/>
      <c r="BR277" s="510"/>
      <c r="BS277" s="510"/>
      <c r="BT277" s="513"/>
      <c r="BU277" s="514"/>
      <c r="BV277" s="512"/>
      <c r="BW277" s="515"/>
    </row>
    <row r="278" spans="2:75" ht="15.75" customHeight="1">
      <c r="B278" s="250" t="s">
        <v>1579</v>
      </c>
      <c r="C278" s="251">
        <v>25247292000192</v>
      </c>
      <c r="D278" s="252" t="s">
        <v>11</v>
      </c>
      <c r="E278" s="252"/>
      <c r="F278" s="252"/>
      <c r="G278" s="253"/>
      <c r="H278" s="253" t="s">
        <v>34</v>
      </c>
      <c r="I278" s="253"/>
      <c r="J278" s="253"/>
      <c r="K278" s="254"/>
      <c r="L278" s="255"/>
      <c r="M278" s="255"/>
      <c r="N278" s="254">
        <v>423637</v>
      </c>
      <c r="O278" s="254" t="s">
        <v>1321</v>
      </c>
      <c r="P278" s="258">
        <v>42622</v>
      </c>
      <c r="Q278" s="259">
        <v>4866315.41</v>
      </c>
      <c r="R278" s="259">
        <v>8320910.6443650797</v>
      </c>
      <c r="S278" s="254">
        <v>1</v>
      </c>
      <c r="T278" s="256">
        <v>4.2050940007343884E-2</v>
      </c>
      <c r="U278" s="256">
        <v>0.4729853367246889</v>
      </c>
      <c r="V278" s="256">
        <v>6.3168852784514451E-2</v>
      </c>
      <c r="W278" s="256">
        <v>0.57974531158471965</v>
      </c>
      <c r="X278" s="256">
        <v>1.3195261609360021E-2</v>
      </c>
      <c r="Y278" s="256">
        <v>9.2786314554230878E-2</v>
      </c>
      <c r="Z278" s="256">
        <v>9.449358966295085E-2</v>
      </c>
      <c r="AA278" s="256">
        <v>0.51636623890622646</v>
      </c>
      <c r="AB278" s="256">
        <v>7.0727118370564862E-2</v>
      </c>
      <c r="AC278" s="260">
        <v>-0.56115065559137922</v>
      </c>
      <c r="AD278" s="405">
        <v>31552347000170</v>
      </c>
      <c r="AE278" s="257" t="s">
        <v>1547</v>
      </c>
      <c r="AF278" s="257" t="s">
        <v>2121</v>
      </c>
      <c r="AG278" s="261" t="s">
        <v>59</v>
      </c>
      <c r="AH278" s="261" t="s">
        <v>2110</v>
      </c>
      <c r="AI278" s="261">
        <v>100000</v>
      </c>
      <c r="AJ278" s="261">
        <v>50000</v>
      </c>
      <c r="AK278" s="261">
        <v>100000</v>
      </c>
      <c r="AL278" s="256">
        <v>4.0000000000000001E-3</v>
      </c>
      <c r="AM278" s="256" t="s">
        <v>34</v>
      </c>
      <c r="AN278" s="256" t="s">
        <v>2122</v>
      </c>
      <c r="AO278" s="254" t="s">
        <v>1324</v>
      </c>
      <c r="AP278" s="257" t="s">
        <v>11</v>
      </c>
      <c r="AQ278" s="263" t="s">
        <v>675</v>
      </c>
      <c r="AR278" s="256" t="s">
        <v>34</v>
      </c>
      <c r="AS278" s="256" t="s">
        <v>34</v>
      </c>
      <c r="AT278" s="256"/>
      <c r="AW278" s="508"/>
      <c r="AX278" s="508"/>
      <c r="AY278" s="509"/>
      <c r="AZ278" s="509"/>
      <c r="BA278" s="509"/>
      <c r="BB278" s="510"/>
      <c r="BC278" s="509"/>
      <c r="BD278" s="509"/>
      <c r="BE278" s="509"/>
      <c r="BF278" s="509"/>
      <c r="BG278" s="510"/>
      <c r="BH278" s="510"/>
      <c r="BI278" s="511"/>
      <c r="BJ278" s="511"/>
      <c r="BK278" s="511"/>
      <c r="BL278" s="510"/>
      <c r="BM278" s="510"/>
      <c r="BN278" s="510"/>
      <c r="BO278" s="510"/>
      <c r="BP278" s="510"/>
      <c r="BQ278" s="510"/>
      <c r="BR278" s="510"/>
      <c r="BS278" s="510"/>
      <c r="BT278" s="513"/>
      <c r="BU278" s="514"/>
      <c r="BV278" s="512"/>
      <c r="BW278" s="515"/>
    </row>
    <row r="279" spans="2:75" ht="15.75" customHeight="1">
      <c r="B279" s="250" t="s">
        <v>1687</v>
      </c>
      <c r="C279" s="251">
        <v>31964487000156</v>
      </c>
      <c r="D279" s="252"/>
      <c r="E279" s="252"/>
      <c r="F279" s="252"/>
      <c r="G279" s="253"/>
      <c r="H279" s="253" t="s">
        <v>34</v>
      </c>
      <c r="I279" s="253"/>
      <c r="J279" s="253"/>
      <c r="K279" s="254"/>
      <c r="L279" s="255"/>
      <c r="M279" s="255"/>
      <c r="N279" s="254">
        <v>482765</v>
      </c>
      <c r="O279" s="254" t="s">
        <v>1321</v>
      </c>
      <c r="P279" s="258">
        <v>43461</v>
      </c>
      <c r="Q279" s="259">
        <v>143869716.03999999</v>
      </c>
      <c r="R279" s="259">
        <v>150517776.48051581</v>
      </c>
      <c r="S279" s="254">
        <v>1</v>
      </c>
      <c r="T279" s="256">
        <v>0.10662493105241033</v>
      </c>
      <c r="U279" s="256">
        <v>1.1993080037750274</v>
      </c>
      <c r="V279" s="256">
        <v>0.12869284381007007</v>
      </c>
      <c r="W279" s="256">
        <v>1.18110539521596</v>
      </c>
      <c r="X279" s="256">
        <v>0.59305771282189013</v>
      </c>
      <c r="Y279" s="256">
        <v>4.1702575606133436</v>
      </c>
      <c r="Z279" s="256">
        <v>0.14906051678849042</v>
      </c>
      <c r="AA279" s="256">
        <v>0.8145506874914461</v>
      </c>
      <c r="AB279" s="256">
        <v>9.2681953983241819E-2</v>
      </c>
      <c r="AC279" s="260">
        <v>0.23657779843308399</v>
      </c>
      <c r="AD279" s="405">
        <v>0</v>
      </c>
      <c r="AE279" s="257" t="s">
        <v>2123</v>
      </c>
      <c r="AF279" s="257" t="s">
        <v>2109</v>
      </c>
      <c r="AG279" s="261" t="s">
        <v>1432</v>
      </c>
      <c r="AH279" s="261" t="s">
        <v>2170</v>
      </c>
      <c r="AI279" s="261">
        <v>0</v>
      </c>
      <c r="AJ279" s="261">
        <v>0</v>
      </c>
      <c r="AK279" s="261">
        <v>0</v>
      </c>
      <c r="AL279" s="256">
        <v>1E-3</v>
      </c>
      <c r="AM279" s="256">
        <v>0.1</v>
      </c>
      <c r="AN279" s="256" t="s">
        <v>34</v>
      </c>
      <c r="AO279" s="254" t="s">
        <v>1324</v>
      </c>
      <c r="AP279" s="257" t="s">
        <v>13</v>
      </c>
      <c r="AQ279" s="263" t="s">
        <v>668</v>
      </c>
      <c r="AR279" s="256" t="s">
        <v>34</v>
      </c>
      <c r="AS279" s="256" t="s">
        <v>34</v>
      </c>
      <c r="AT279" s="256"/>
      <c r="AW279" s="508"/>
      <c r="AX279" s="508"/>
      <c r="AY279" s="509"/>
      <c r="AZ279" s="509"/>
      <c r="BA279" s="509"/>
      <c r="BB279" s="510"/>
      <c r="BC279" s="509"/>
      <c r="BD279" s="509"/>
      <c r="BE279" s="509"/>
      <c r="BF279" s="509"/>
      <c r="BG279" s="510"/>
      <c r="BH279" s="510"/>
      <c r="BI279" s="511"/>
      <c r="BJ279" s="511"/>
      <c r="BK279" s="511"/>
      <c r="BL279" s="510"/>
      <c r="BM279" s="510"/>
      <c r="BN279" s="510"/>
      <c r="BO279" s="510"/>
      <c r="BP279" s="510"/>
      <c r="BQ279" s="510"/>
      <c r="BR279" s="510"/>
      <c r="BS279" s="510"/>
      <c r="BT279" s="513"/>
      <c r="BU279" s="514"/>
      <c r="BV279" s="512"/>
      <c r="BW279" s="515"/>
    </row>
    <row r="280" spans="2:75" ht="15.75" customHeight="1">
      <c r="B280" s="250" t="s">
        <v>1688</v>
      </c>
      <c r="C280" s="251">
        <v>27249854000162</v>
      </c>
      <c r="D280" s="252" t="s">
        <v>13</v>
      </c>
      <c r="E280" s="252"/>
      <c r="F280" s="252"/>
      <c r="G280" s="253"/>
      <c r="H280" s="253" t="s">
        <v>1338</v>
      </c>
      <c r="I280" s="253"/>
      <c r="J280" s="253"/>
      <c r="K280" s="254"/>
      <c r="L280" s="255"/>
      <c r="M280" s="255"/>
      <c r="N280" s="254">
        <v>446750</v>
      </c>
      <c r="O280" s="254" t="s">
        <v>1321</v>
      </c>
      <c r="P280" s="258">
        <v>42961</v>
      </c>
      <c r="Q280" s="259" t="s">
        <v>1393</v>
      </c>
      <c r="R280" s="259" t="s">
        <v>1417</v>
      </c>
      <c r="S280" s="254">
        <v>1</v>
      </c>
      <c r="T280" s="256" t="s">
        <v>1417</v>
      </c>
      <c r="U280" s="256" t="s">
        <v>1417</v>
      </c>
      <c r="V280" s="256" t="s">
        <v>1417</v>
      </c>
      <c r="W280" s="256" t="s">
        <v>1417</v>
      </c>
      <c r="X280" s="256" t="s">
        <v>1417</v>
      </c>
      <c r="Y280" s="256" t="s">
        <v>1417</v>
      </c>
      <c r="Z280" s="256" t="s">
        <v>1417</v>
      </c>
      <c r="AA280" s="256" t="s">
        <v>1417</v>
      </c>
      <c r="AB280" s="256" t="s">
        <v>1417</v>
      </c>
      <c r="AC280" s="260" t="s">
        <v>1417</v>
      </c>
      <c r="AD280" s="405">
        <v>0</v>
      </c>
      <c r="AE280" s="257" t="s">
        <v>2203</v>
      </c>
      <c r="AF280" s="257" t="s">
        <v>2109</v>
      </c>
      <c r="AG280" s="261" t="s">
        <v>1432</v>
      </c>
      <c r="AH280" s="261" t="s">
        <v>2131</v>
      </c>
      <c r="AI280" s="261">
        <v>0</v>
      </c>
      <c r="AJ280" s="261">
        <v>0</v>
      </c>
      <c r="AK280" s="261">
        <v>0</v>
      </c>
      <c r="AL280" s="256">
        <v>5.5000000000000005E-3</v>
      </c>
      <c r="AM280" s="256">
        <v>0.15</v>
      </c>
      <c r="AN280" s="256" t="s">
        <v>2127</v>
      </c>
      <c r="AO280" s="254" t="s">
        <v>1324</v>
      </c>
      <c r="AP280" s="257" t="s">
        <v>13</v>
      </c>
      <c r="AQ280" s="263" t="s">
        <v>679</v>
      </c>
      <c r="AR280" s="256" t="s">
        <v>34</v>
      </c>
      <c r="AS280" s="256" t="s">
        <v>34</v>
      </c>
      <c r="AT280" s="256"/>
      <c r="AW280" s="508"/>
      <c r="AX280" s="508"/>
      <c r="AY280" s="509"/>
      <c r="AZ280" s="509"/>
      <c r="BA280" s="509"/>
      <c r="BB280" s="510"/>
      <c r="BC280" s="509"/>
      <c r="BD280" s="509"/>
      <c r="BE280" s="509"/>
      <c r="BF280" s="509"/>
      <c r="BG280" s="510"/>
      <c r="BH280" s="510"/>
      <c r="BI280" s="511"/>
      <c r="BJ280" s="511"/>
      <c r="BK280" s="511"/>
      <c r="BL280" s="510"/>
      <c r="BM280" s="510"/>
      <c r="BN280" s="510"/>
      <c r="BO280" s="510"/>
      <c r="BP280" s="510"/>
      <c r="BQ280" s="510"/>
      <c r="BR280" s="510"/>
      <c r="BS280" s="510"/>
      <c r="BT280" s="513"/>
      <c r="BU280" s="514"/>
      <c r="BV280" s="512"/>
      <c r="BW280" s="515"/>
    </row>
    <row r="281" spans="2:75" ht="15.75" customHeight="1">
      <c r="B281" s="250" t="s">
        <v>1203</v>
      </c>
      <c r="C281" s="251">
        <v>9326708000101</v>
      </c>
      <c r="D281" s="252" t="s">
        <v>11</v>
      </c>
      <c r="E281" s="252" t="s">
        <v>621</v>
      </c>
      <c r="F281" s="252" t="s">
        <v>663</v>
      </c>
      <c r="G281" s="253" t="s">
        <v>865</v>
      </c>
      <c r="H281" s="253" t="s">
        <v>34</v>
      </c>
      <c r="I281" s="253"/>
      <c r="J281" s="253" t="s">
        <v>608</v>
      </c>
      <c r="K281" s="254" t="s">
        <v>48</v>
      </c>
      <c r="L281" s="255"/>
      <c r="M281" s="255" t="s">
        <v>34</v>
      </c>
      <c r="N281" s="254">
        <v>212873</v>
      </c>
      <c r="O281" s="254" t="s">
        <v>1321</v>
      </c>
      <c r="P281" s="258">
        <v>39640</v>
      </c>
      <c r="Q281" s="259">
        <v>259420110.06999999</v>
      </c>
      <c r="R281" s="259">
        <v>493471879.89373028</v>
      </c>
      <c r="S281" s="254">
        <v>2</v>
      </c>
      <c r="T281" s="256">
        <v>5.0884823613504437E-2</v>
      </c>
      <c r="U281" s="256">
        <v>0.65779804662125607</v>
      </c>
      <c r="V281" s="256">
        <v>2.7417799889529526E-2</v>
      </c>
      <c r="W281" s="256">
        <v>0.2687861167825375</v>
      </c>
      <c r="X281" s="256">
        <v>4.3303380649352574E-2</v>
      </c>
      <c r="Y281" s="256">
        <v>0.32837740197998183</v>
      </c>
      <c r="Z281" s="256">
        <v>0.11020741186504779</v>
      </c>
      <c r="AA281" s="256">
        <v>0.62645465699029057</v>
      </c>
      <c r="AB281" s="256">
        <v>5.6562151058118987E-2</v>
      </c>
      <c r="AC281" s="260">
        <v>-1.2112413036403691</v>
      </c>
      <c r="AD281" s="405">
        <v>0</v>
      </c>
      <c r="AE281" s="257" t="s">
        <v>2289</v>
      </c>
      <c r="AF281" s="257" t="s">
        <v>2115</v>
      </c>
      <c r="AG281" s="261" t="s">
        <v>719</v>
      </c>
      <c r="AH281" s="261" t="s">
        <v>2113</v>
      </c>
      <c r="AI281" s="261">
        <v>5000</v>
      </c>
      <c r="AJ281" s="261">
        <v>2500</v>
      </c>
      <c r="AK281" s="261">
        <v>2500</v>
      </c>
      <c r="AL281" s="256">
        <v>4.0000000000000001E-3</v>
      </c>
      <c r="AM281" s="256">
        <v>0.2</v>
      </c>
      <c r="AN281" s="256" t="s">
        <v>2122</v>
      </c>
      <c r="AO281" s="254" t="s">
        <v>1324</v>
      </c>
      <c r="AP281" s="257" t="s">
        <v>11</v>
      </c>
      <c r="AQ281" s="263" t="s">
        <v>683</v>
      </c>
      <c r="AR281" s="256">
        <v>1.4399999999999999E-3</v>
      </c>
      <c r="AS281" s="256">
        <v>1.4399999999999999E-3</v>
      </c>
      <c r="AT281" s="256"/>
      <c r="AW281" s="508"/>
      <c r="AX281" s="508"/>
      <c r="AY281" s="509"/>
      <c r="AZ281" s="509"/>
      <c r="BA281" s="509"/>
      <c r="BB281" s="510"/>
      <c r="BC281" s="509"/>
      <c r="BD281" s="509"/>
      <c r="BE281" s="509"/>
      <c r="BF281" s="509"/>
      <c r="BG281" s="510"/>
      <c r="BH281" s="510"/>
      <c r="BI281" s="511"/>
      <c r="BJ281" s="511"/>
      <c r="BK281" s="511"/>
      <c r="BL281" s="510"/>
      <c r="BM281" s="510"/>
      <c r="BN281" s="510"/>
      <c r="BO281" s="510"/>
      <c r="BP281" s="510"/>
      <c r="BQ281" s="510"/>
      <c r="BR281" s="510"/>
      <c r="BS281" s="510"/>
      <c r="BT281" s="513"/>
      <c r="BU281" s="514"/>
      <c r="BV281" s="512"/>
      <c r="BW281" s="515"/>
    </row>
    <row r="282" spans="2:75" ht="15.75" customHeight="1">
      <c r="B282" s="250" t="s">
        <v>91</v>
      </c>
      <c r="C282" s="251">
        <v>9625909000100</v>
      </c>
      <c r="D282" s="252" t="s">
        <v>11</v>
      </c>
      <c r="E282" s="252" t="s">
        <v>620</v>
      </c>
      <c r="F282" s="252" t="s">
        <v>685</v>
      </c>
      <c r="G282" s="253" t="s">
        <v>738</v>
      </c>
      <c r="H282" s="253" t="s">
        <v>34</v>
      </c>
      <c r="I282" s="253" t="s">
        <v>1304</v>
      </c>
      <c r="J282" s="253" t="s">
        <v>608</v>
      </c>
      <c r="K282" s="254" t="s">
        <v>48</v>
      </c>
      <c r="L282" s="255"/>
      <c r="M282" s="255" t="s">
        <v>34</v>
      </c>
      <c r="N282" s="254">
        <v>221201</v>
      </c>
      <c r="O282" s="254" t="s">
        <v>1321</v>
      </c>
      <c r="P282" s="258">
        <v>39791</v>
      </c>
      <c r="Q282" s="259">
        <v>358640650.20999998</v>
      </c>
      <c r="R282" s="259">
        <v>368469655.09357131</v>
      </c>
      <c r="S282" s="254">
        <v>2</v>
      </c>
      <c r="T282" s="256">
        <v>7.5730387443456948E-2</v>
      </c>
      <c r="U282" s="256">
        <v>0.97898149964218972</v>
      </c>
      <c r="V282" s="256">
        <v>0.10089061528942267</v>
      </c>
      <c r="W282" s="256">
        <v>0.98906538134742206</v>
      </c>
      <c r="X282" s="256">
        <v>0.1442085179478485</v>
      </c>
      <c r="Y282" s="256">
        <v>1.0935593885972057</v>
      </c>
      <c r="Z282" s="256">
        <v>0.22535403241466812</v>
      </c>
      <c r="AA282" s="256">
        <v>1.2809853773771724</v>
      </c>
      <c r="AB282" s="256">
        <v>6.4658879218129168E-3</v>
      </c>
      <c r="AC282" s="260">
        <v>-0.15364088142132418</v>
      </c>
      <c r="AD282" s="405">
        <v>22099999000100</v>
      </c>
      <c r="AE282" s="257" t="s">
        <v>2150</v>
      </c>
      <c r="AF282" s="257" t="s">
        <v>2109</v>
      </c>
      <c r="AG282" s="261" t="s">
        <v>1432</v>
      </c>
      <c r="AH282" s="261" t="s">
        <v>2113</v>
      </c>
      <c r="AI282" s="261">
        <v>100</v>
      </c>
      <c r="AJ282" s="261">
        <v>100</v>
      </c>
      <c r="AK282" s="261">
        <v>100</v>
      </c>
      <c r="AL282" s="519">
        <v>0.02</v>
      </c>
      <c r="AM282" s="519">
        <v>0.2</v>
      </c>
      <c r="AN282" s="256" t="s">
        <v>64</v>
      </c>
      <c r="AO282" s="254" t="s">
        <v>1324</v>
      </c>
      <c r="AP282" s="257" t="s">
        <v>13</v>
      </c>
      <c r="AQ282" s="263" t="s">
        <v>668</v>
      </c>
      <c r="AR282" s="256">
        <v>6.6666666666666662E-3</v>
      </c>
      <c r="AS282" s="256">
        <v>6.6666666666666662E-3</v>
      </c>
      <c r="AT282" s="256"/>
      <c r="AW282" s="508"/>
      <c r="AX282" s="508"/>
      <c r="AY282" s="509"/>
      <c r="AZ282" s="509"/>
      <c r="BA282" s="509"/>
      <c r="BB282" s="510"/>
      <c r="BC282" s="509"/>
      <c r="BD282" s="509"/>
      <c r="BE282" s="509"/>
      <c r="BF282" s="509"/>
      <c r="BG282" s="510"/>
      <c r="BH282" s="510"/>
      <c r="BI282" s="511"/>
      <c r="BJ282" s="511"/>
      <c r="BK282" s="511"/>
      <c r="BL282" s="510"/>
      <c r="BM282" s="510"/>
      <c r="BN282" s="510"/>
      <c r="BO282" s="510"/>
      <c r="BP282" s="510"/>
      <c r="BQ282" s="510"/>
      <c r="BR282" s="510"/>
      <c r="BS282" s="510"/>
      <c r="BT282" s="513"/>
      <c r="BU282" s="514"/>
      <c r="BV282" s="512"/>
      <c r="BW282" s="515"/>
    </row>
    <row r="283" spans="2:75" ht="15.75" customHeight="1">
      <c r="B283" s="250" t="s">
        <v>1287</v>
      </c>
      <c r="C283" s="251">
        <v>44315932000107</v>
      </c>
      <c r="D283" s="252" t="s">
        <v>11</v>
      </c>
      <c r="E283" s="252" t="s">
        <v>620</v>
      </c>
      <c r="F283" s="252" t="s">
        <v>619</v>
      </c>
      <c r="G283" s="253" t="s">
        <v>738</v>
      </c>
      <c r="H283" s="253" t="s">
        <v>34</v>
      </c>
      <c r="I283" s="253"/>
      <c r="J283" s="253" t="s">
        <v>608</v>
      </c>
      <c r="K283" s="254" t="s">
        <v>48</v>
      </c>
      <c r="L283" s="255"/>
      <c r="M283" s="255" t="s">
        <v>34</v>
      </c>
      <c r="N283" s="254">
        <v>644498</v>
      </c>
      <c r="O283" s="254" t="s">
        <v>1321</v>
      </c>
      <c r="P283" s="258">
        <v>44651</v>
      </c>
      <c r="Q283" s="259">
        <v>5896445.3099999996</v>
      </c>
      <c r="R283" s="259" t="s">
        <v>1417</v>
      </c>
      <c r="S283" s="254">
        <v>2</v>
      </c>
      <c r="T283" s="256" t="s">
        <v>1417</v>
      </c>
      <c r="U283" s="256" t="s">
        <v>1417</v>
      </c>
      <c r="V283" s="256" t="s">
        <v>1417</v>
      </c>
      <c r="W283" s="256" t="s">
        <v>1417</v>
      </c>
      <c r="X283" s="256" t="s">
        <v>1417</v>
      </c>
      <c r="Y283" s="256" t="s">
        <v>1417</v>
      </c>
      <c r="Z283" s="256" t="s">
        <v>1417</v>
      </c>
      <c r="AA283" s="256" t="s">
        <v>1417</v>
      </c>
      <c r="AB283" s="256" t="s">
        <v>1417</v>
      </c>
      <c r="AC283" s="260" t="s">
        <v>1417</v>
      </c>
      <c r="AD283" s="405">
        <v>0</v>
      </c>
      <c r="AE283" s="257" t="s">
        <v>2169</v>
      </c>
      <c r="AF283" s="257" t="s">
        <v>2169</v>
      </c>
      <c r="AG283" s="261" t="s">
        <v>1435</v>
      </c>
      <c r="AH283" s="261" t="s">
        <v>2113</v>
      </c>
      <c r="AI283" s="261">
        <v>200</v>
      </c>
      <c r="AJ283" s="261">
        <v>200</v>
      </c>
      <c r="AK283" s="261">
        <v>200</v>
      </c>
      <c r="AL283" s="256">
        <v>9.0000000000000011E-3</v>
      </c>
      <c r="AM283" s="256">
        <v>0.2</v>
      </c>
      <c r="AN283" s="256" t="s">
        <v>64</v>
      </c>
      <c r="AO283" s="254" t="s">
        <v>1324</v>
      </c>
      <c r="AP283" s="257" t="s">
        <v>11</v>
      </c>
      <c r="AQ283" s="263" t="s">
        <v>669</v>
      </c>
      <c r="AR283" s="256">
        <v>2.9999999999999996E-3</v>
      </c>
      <c r="AS283" s="256">
        <v>2.9999999999999996E-3</v>
      </c>
      <c r="AT283" s="256"/>
      <c r="AW283" s="508"/>
      <c r="AX283" s="508"/>
      <c r="AY283" s="509"/>
      <c r="AZ283" s="509"/>
      <c r="BA283" s="509"/>
      <c r="BB283" s="510"/>
      <c r="BC283" s="509"/>
      <c r="BD283" s="509"/>
      <c r="BE283" s="509"/>
      <c r="BF283" s="509"/>
      <c r="BG283" s="510"/>
      <c r="BH283" s="510"/>
      <c r="BI283" s="511"/>
      <c r="BJ283" s="511"/>
      <c r="BK283" s="511"/>
      <c r="BL283" s="510"/>
      <c r="BM283" s="510"/>
      <c r="BN283" s="510"/>
      <c r="BO283" s="510"/>
      <c r="BP283" s="510"/>
      <c r="BQ283" s="510"/>
      <c r="BR283" s="510"/>
      <c r="BS283" s="510"/>
      <c r="BT283" s="513"/>
      <c r="BU283" s="514"/>
      <c r="BV283" s="512"/>
      <c r="BW283" s="515"/>
    </row>
    <row r="284" spans="2:75" ht="15.75" customHeight="1">
      <c r="B284" s="250" t="s">
        <v>819</v>
      </c>
      <c r="C284" s="251">
        <v>32158424000175</v>
      </c>
      <c r="D284" s="252" t="s">
        <v>13</v>
      </c>
      <c r="E284" s="252" t="s">
        <v>615</v>
      </c>
      <c r="F284" s="252" t="s">
        <v>619</v>
      </c>
      <c r="G284" s="253" t="s">
        <v>34</v>
      </c>
      <c r="H284" s="253" t="s">
        <v>1337</v>
      </c>
      <c r="I284" s="253" t="s">
        <v>34</v>
      </c>
      <c r="J284" s="253"/>
      <c r="K284" s="254" t="s">
        <v>48</v>
      </c>
      <c r="L284" s="255"/>
      <c r="M284" s="255" t="s">
        <v>1414</v>
      </c>
      <c r="N284" s="254">
        <v>483214</v>
      </c>
      <c r="O284" s="254" t="s">
        <v>1321</v>
      </c>
      <c r="P284" s="258">
        <v>43462</v>
      </c>
      <c r="Q284" s="259">
        <v>12171750.109999999</v>
      </c>
      <c r="R284" s="259">
        <v>12101828.656428577</v>
      </c>
      <c r="S284" s="254">
        <v>2</v>
      </c>
      <c r="T284" s="256">
        <v>5.9840502781523863E-2</v>
      </c>
      <c r="U284" s="256">
        <v>0.77356985920795485</v>
      </c>
      <c r="V284" s="256">
        <v>7.6146212742636665E-2</v>
      </c>
      <c r="W284" s="256">
        <v>0.74648749765681832</v>
      </c>
      <c r="X284" s="256">
        <v>7.4026455118536116E-2</v>
      </c>
      <c r="Y284" s="256">
        <v>0.56135605685040335</v>
      </c>
      <c r="Z284" s="256">
        <v>0.13821023763157902</v>
      </c>
      <c r="AA284" s="256">
        <v>0.78563179683468232</v>
      </c>
      <c r="AB284" s="256">
        <v>1.2985107802596645E-2</v>
      </c>
      <c r="AC284" s="260">
        <v>-1.822941936581683</v>
      </c>
      <c r="AD284" s="405">
        <v>0</v>
      </c>
      <c r="AE284" s="257" t="s">
        <v>2179</v>
      </c>
      <c r="AF284" s="257" t="s">
        <v>2115</v>
      </c>
      <c r="AG284" s="261" t="s">
        <v>719</v>
      </c>
      <c r="AH284" s="261" t="s">
        <v>2113</v>
      </c>
      <c r="AI284" s="261">
        <v>100</v>
      </c>
      <c r="AJ284" s="261">
        <v>100</v>
      </c>
      <c r="AK284" s="261">
        <v>100</v>
      </c>
      <c r="AL284" s="256">
        <v>0.01</v>
      </c>
      <c r="AM284" s="256">
        <v>0.2</v>
      </c>
      <c r="AN284" s="256" t="s">
        <v>64</v>
      </c>
      <c r="AO284" s="254" t="s">
        <v>1324</v>
      </c>
      <c r="AP284" s="257" t="s">
        <v>13</v>
      </c>
      <c r="AQ284" s="263" t="s">
        <v>668</v>
      </c>
      <c r="AR284" s="256">
        <v>2.6666666666666666E-3</v>
      </c>
      <c r="AS284" s="256">
        <v>2.6666666666666666E-3</v>
      </c>
      <c r="AT284" s="256"/>
      <c r="AW284" s="508"/>
      <c r="AX284" s="508"/>
      <c r="AY284" s="509"/>
      <c r="AZ284" s="509"/>
      <c r="BA284" s="509"/>
      <c r="BB284" s="510"/>
      <c r="BC284" s="509"/>
      <c r="BD284" s="509"/>
      <c r="BE284" s="509"/>
      <c r="BF284" s="509"/>
      <c r="BG284" s="510"/>
      <c r="BH284" s="510"/>
      <c r="BI284" s="511"/>
      <c r="BJ284" s="511"/>
      <c r="BK284" s="511"/>
      <c r="BL284" s="510"/>
      <c r="BM284" s="510"/>
      <c r="BN284" s="510"/>
      <c r="BO284" s="510"/>
      <c r="BP284" s="510"/>
      <c r="BQ284" s="510"/>
      <c r="BR284" s="510"/>
      <c r="BS284" s="510"/>
      <c r="BT284" s="513"/>
      <c r="BU284" s="514"/>
      <c r="BV284" s="512"/>
      <c r="BW284" s="515"/>
    </row>
    <row r="285" spans="2:75" ht="15.75" customHeight="1">
      <c r="B285" s="250" t="s">
        <v>924</v>
      </c>
      <c r="C285" s="251">
        <v>44489239000142</v>
      </c>
      <c r="D285" s="252" t="s">
        <v>13</v>
      </c>
      <c r="E285" s="252" t="s">
        <v>615</v>
      </c>
      <c r="F285" s="252" t="s">
        <v>619</v>
      </c>
      <c r="G285" s="253" t="s">
        <v>34</v>
      </c>
      <c r="H285" s="253" t="s">
        <v>1338</v>
      </c>
      <c r="I285" s="253" t="s">
        <v>34</v>
      </c>
      <c r="J285" s="253"/>
      <c r="K285" s="254" t="s">
        <v>48</v>
      </c>
      <c r="L285" s="255"/>
      <c r="M285" s="255" t="s">
        <v>1414</v>
      </c>
      <c r="N285" s="254">
        <v>644651</v>
      </c>
      <c r="O285" s="254" t="s">
        <v>1321</v>
      </c>
      <c r="P285" s="258">
        <v>44651</v>
      </c>
      <c r="Q285" s="259">
        <v>10435264.699999999</v>
      </c>
      <c r="R285" s="259" t="s">
        <v>1417</v>
      </c>
      <c r="S285" s="254">
        <v>2</v>
      </c>
      <c r="T285" s="256" t="s">
        <v>1417</v>
      </c>
      <c r="U285" s="256" t="s">
        <v>1417</v>
      </c>
      <c r="V285" s="256" t="s">
        <v>1417</v>
      </c>
      <c r="W285" s="256" t="s">
        <v>1417</v>
      </c>
      <c r="X285" s="256" t="s">
        <v>1417</v>
      </c>
      <c r="Y285" s="256" t="s">
        <v>1417</v>
      </c>
      <c r="Z285" s="256" t="s">
        <v>1417</v>
      </c>
      <c r="AA285" s="256" t="s">
        <v>1417</v>
      </c>
      <c r="AB285" s="256" t="s">
        <v>1417</v>
      </c>
      <c r="AC285" s="260" t="s">
        <v>1417</v>
      </c>
      <c r="AD285" s="405">
        <v>0</v>
      </c>
      <c r="AE285" s="257" t="s">
        <v>2232</v>
      </c>
      <c r="AF285" s="257" t="s">
        <v>2118</v>
      </c>
      <c r="AG285" s="261" t="s">
        <v>1433</v>
      </c>
      <c r="AH285" s="261" t="s">
        <v>2113</v>
      </c>
      <c r="AI285" s="261">
        <v>5000</v>
      </c>
      <c r="AJ285" s="261">
        <v>0</v>
      </c>
      <c r="AK285" s="261">
        <v>5000</v>
      </c>
      <c r="AL285" s="256">
        <v>0.02</v>
      </c>
      <c r="AM285" s="256">
        <v>0.2</v>
      </c>
      <c r="AN285" s="256" t="s">
        <v>64</v>
      </c>
      <c r="AO285" s="254" t="s">
        <v>1324</v>
      </c>
      <c r="AP285" s="257" t="s">
        <v>13</v>
      </c>
      <c r="AQ285" s="263" t="s">
        <v>668</v>
      </c>
      <c r="AR285" s="256">
        <v>3.3333333333333331E-3</v>
      </c>
      <c r="AS285" s="256">
        <v>3.3333333333333331E-3</v>
      </c>
      <c r="AT285" s="256"/>
      <c r="AW285" s="508"/>
      <c r="AX285" s="508"/>
      <c r="AY285" s="509"/>
      <c r="AZ285" s="509"/>
      <c r="BA285" s="509"/>
      <c r="BB285" s="509"/>
      <c r="BC285" s="509"/>
      <c r="BD285" s="509"/>
      <c r="BE285" s="509"/>
      <c r="BF285" s="509"/>
      <c r="BG285" s="510"/>
      <c r="BH285" s="510"/>
      <c r="BI285" s="511"/>
      <c r="BJ285" s="511"/>
      <c r="BK285" s="511"/>
      <c r="BL285" s="195"/>
      <c r="BM285" s="510"/>
      <c r="BN285" s="510"/>
      <c r="BO285" s="510"/>
      <c r="BP285" s="510"/>
      <c r="BQ285" s="510"/>
      <c r="BR285" s="510"/>
      <c r="BS285" s="510"/>
      <c r="BT285" s="510"/>
      <c r="BU285" s="510"/>
      <c r="BV285" s="512"/>
      <c r="BW285" s="509"/>
    </row>
    <row r="286" spans="2:75" ht="15.75" customHeight="1">
      <c r="B286" s="250" t="s">
        <v>981</v>
      </c>
      <c r="C286" s="251">
        <v>22504092000180</v>
      </c>
      <c r="D286" s="252" t="s">
        <v>13</v>
      </c>
      <c r="E286" s="252" t="s">
        <v>615</v>
      </c>
      <c r="F286" s="252" t="s">
        <v>619</v>
      </c>
      <c r="G286" s="253" t="s">
        <v>34</v>
      </c>
      <c r="H286" s="253" t="s">
        <v>1337</v>
      </c>
      <c r="I286" s="253" t="s">
        <v>34</v>
      </c>
      <c r="J286" s="253"/>
      <c r="K286" s="254" t="s">
        <v>48</v>
      </c>
      <c r="L286" s="255"/>
      <c r="M286" s="255" t="s">
        <v>1414</v>
      </c>
      <c r="N286" s="254">
        <v>402354</v>
      </c>
      <c r="O286" s="254" t="s">
        <v>1321</v>
      </c>
      <c r="P286" s="258">
        <v>42237</v>
      </c>
      <c r="Q286" s="259">
        <v>89777530.439999998</v>
      </c>
      <c r="R286" s="259">
        <v>113899150.89571418</v>
      </c>
      <c r="S286" s="254">
        <v>2</v>
      </c>
      <c r="T286" s="256">
        <v>8.5689926305503983E-2</v>
      </c>
      <c r="U286" s="256">
        <v>1.1077304024282917</v>
      </c>
      <c r="V286" s="256">
        <v>0.12512873229305388</v>
      </c>
      <c r="W286" s="256">
        <v>1.2266799738302698</v>
      </c>
      <c r="X286" s="256">
        <v>0.15087985010365013</v>
      </c>
      <c r="Y286" s="256">
        <v>1.1441493122525175</v>
      </c>
      <c r="Z286" s="256">
        <v>0.19463239011052447</v>
      </c>
      <c r="AA286" s="256">
        <v>1.1063536029245826</v>
      </c>
      <c r="AB286" s="256">
        <v>2.1639529309446223E-2</v>
      </c>
      <c r="AC286" s="260">
        <v>0.9707275082387633</v>
      </c>
      <c r="AD286" s="405">
        <v>0</v>
      </c>
      <c r="AE286" s="257" t="s">
        <v>2275</v>
      </c>
      <c r="AF286" s="257" t="s">
        <v>2115</v>
      </c>
      <c r="AG286" s="261" t="s">
        <v>719</v>
      </c>
      <c r="AH286" s="261" t="s">
        <v>2113</v>
      </c>
      <c r="AI286" s="261">
        <v>500</v>
      </c>
      <c r="AJ286" s="261">
        <v>500</v>
      </c>
      <c r="AK286" s="261">
        <v>500</v>
      </c>
      <c r="AL286" s="256">
        <v>1.4999999999999999E-2</v>
      </c>
      <c r="AM286" s="256">
        <v>0.2</v>
      </c>
      <c r="AN286" s="256" t="s">
        <v>64</v>
      </c>
      <c r="AO286" s="254" t="s">
        <v>1324</v>
      </c>
      <c r="AP286" s="257" t="s">
        <v>13</v>
      </c>
      <c r="AQ286" s="263" t="s">
        <v>664</v>
      </c>
      <c r="AR286" s="256">
        <v>2.9999999999999996E-3</v>
      </c>
      <c r="AS286" s="256">
        <v>2.9999999999999996E-3</v>
      </c>
      <c r="AT286" s="256"/>
      <c r="AW286" s="508"/>
      <c r="AX286" s="508"/>
      <c r="AY286" s="509"/>
      <c r="AZ286" s="509"/>
      <c r="BA286" s="509"/>
      <c r="BB286" s="510"/>
      <c r="BC286" s="509"/>
      <c r="BD286" s="509"/>
      <c r="BE286" s="509"/>
      <c r="BF286" s="509"/>
      <c r="BG286" s="510"/>
      <c r="BH286" s="510"/>
      <c r="BI286" s="511"/>
      <c r="BJ286" s="511"/>
      <c r="BK286" s="511"/>
      <c r="BL286" s="510"/>
      <c r="BM286" s="510"/>
      <c r="BN286" s="510"/>
      <c r="BO286" s="510"/>
      <c r="BP286" s="510"/>
      <c r="BQ286" s="510"/>
      <c r="BR286" s="510"/>
      <c r="BS286" s="510"/>
      <c r="BT286" s="513"/>
      <c r="BU286" s="514"/>
      <c r="BV286" s="512"/>
      <c r="BW286" s="515"/>
    </row>
    <row r="287" spans="2:75" ht="15.75" customHeight="1">
      <c r="B287" s="250" t="s">
        <v>1075</v>
      </c>
      <c r="C287" s="251">
        <v>18908578000106</v>
      </c>
      <c r="D287" s="252" t="s">
        <v>13</v>
      </c>
      <c r="E287" s="252" t="s">
        <v>615</v>
      </c>
      <c r="F287" s="252" t="s">
        <v>619</v>
      </c>
      <c r="G287" s="253" t="s">
        <v>34</v>
      </c>
      <c r="H287" s="253" t="s">
        <v>1337</v>
      </c>
      <c r="I287" s="253" t="s">
        <v>34</v>
      </c>
      <c r="J287" s="253"/>
      <c r="K287" s="254" t="s">
        <v>48</v>
      </c>
      <c r="L287" s="255"/>
      <c r="M287" s="255" t="s">
        <v>34</v>
      </c>
      <c r="N287" s="254">
        <v>354341</v>
      </c>
      <c r="O287" s="254" t="s">
        <v>1321</v>
      </c>
      <c r="P287" s="258">
        <v>41607</v>
      </c>
      <c r="Q287" s="259">
        <v>23131314.260000002</v>
      </c>
      <c r="R287" s="259">
        <v>42049778.428730175</v>
      </c>
      <c r="S287" s="254">
        <v>2</v>
      </c>
      <c r="T287" s="256">
        <v>1.5887572846261966E-2</v>
      </c>
      <c r="U287" s="256">
        <v>0.20538175514183105</v>
      </c>
      <c r="V287" s="256">
        <v>-2.203359333553101E-2</v>
      </c>
      <c r="W287" s="256">
        <v>-0.21600288919187244</v>
      </c>
      <c r="X287" s="256">
        <v>-4.4191237933379868E-2</v>
      </c>
      <c r="Y287" s="256">
        <v>-0.33511018505340323</v>
      </c>
      <c r="Z287" s="256">
        <v>-3.4977483648334751E-2</v>
      </c>
      <c r="AA287" s="256">
        <v>-0.19882335634678266</v>
      </c>
      <c r="AB287" s="256">
        <v>3.8629652801593251E-2</v>
      </c>
      <c r="AC287" s="260">
        <v>-3.0724369198713717</v>
      </c>
      <c r="AD287" s="405">
        <v>0</v>
      </c>
      <c r="AE287" s="257" t="s">
        <v>2128</v>
      </c>
      <c r="AF287" s="257" t="s">
        <v>736</v>
      </c>
      <c r="AG287" s="261" t="s">
        <v>736</v>
      </c>
      <c r="AH287" s="261" t="s">
        <v>2113</v>
      </c>
      <c r="AI287" s="261">
        <v>500</v>
      </c>
      <c r="AJ287" s="261">
        <v>100</v>
      </c>
      <c r="AK287" s="261">
        <v>100</v>
      </c>
      <c r="AL287" s="256">
        <v>1.4999999999999999E-2</v>
      </c>
      <c r="AM287" s="256">
        <v>0.2</v>
      </c>
      <c r="AN287" s="256" t="s">
        <v>64</v>
      </c>
      <c r="AO287" s="254" t="s">
        <v>1324</v>
      </c>
      <c r="AP287" s="257" t="s">
        <v>13</v>
      </c>
      <c r="AQ287" s="263" t="s">
        <v>664</v>
      </c>
      <c r="AR287" s="256">
        <v>5.2499999999999995E-3</v>
      </c>
      <c r="AS287" s="256">
        <v>5.2499999999999995E-3</v>
      </c>
      <c r="AT287" s="256"/>
      <c r="AW287" s="508"/>
      <c r="AX287" s="508"/>
      <c r="AY287" s="509"/>
      <c r="AZ287" s="509"/>
      <c r="BA287" s="509"/>
      <c r="BB287" s="510"/>
      <c r="BC287" s="509"/>
      <c r="BD287" s="509"/>
      <c r="BE287" s="509"/>
      <c r="BF287" s="509"/>
      <c r="BG287" s="510"/>
      <c r="BH287" s="510"/>
      <c r="BI287" s="511"/>
      <c r="BJ287" s="511"/>
      <c r="BK287" s="511"/>
      <c r="BL287" s="510"/>
      <c r="BM287" s="510"/>
      <c r="BN287" s="510"/>
      <c r="BO287" s="510"/>
      <c r="BP287" s="510"/>
      <c r="BQ287" s="510"/>
      <c r="BR287" s="510"/>
      <c r="BS287" s="510"/>
      <c r="BT287" s="513"/>
      <c r="BU287" s="514"/>
      <c r="BV287" s="512"/>
      <c r="BW287" s="515"/>
    </row>
    <row r="288" spans="2:75" ht="15.75" customHeight="1">
      <c r="B288" s="250" t="s">
        <v>863</v>
      </c>
      <c r="C288" s="251">
        <v>32743215000199</v>
      </c>
      <c r="D288" s="252" t="s">
        <v>14</v>
      </c>
      <c r="E288" s="252" t="s">
        <v>607</v>
      </c>
      <c r="F288" s="252" t="s">
        <v>672</v>
      </c>
      <c r="G288" s="253"/>
      <c r="H288" s="253" t="s">
        <v>34</v>
      </c>
      <c r="I288" s="253" t="s">
        <v>34</v>
      </c>
      <c r="J288" s="253" t="s">
        <v>608</v>
      </c>
      <c r="K288" s="254" t="s">
        <v>48</v>
      </c>
      <c r="L288" s="255"/>
      <c r="M288" s="255" t="s">
        <v>1414</v>
      </c>
      <c r="N288" s="254">
        <v>490164</v>
      </c>
      <c r="O288" s="254" t="s">
        <v>1321</v>
      </c>
      <c r="P288" s="258">
        <v>43539</v>
      </c>
      <c r="Q288" s="259">
        <v>83480351.019999996</v>
      </c>
      <c r="R288" s="259">
        <v>74340752.937341288</v>
      </c>
      <c r="S288" s="254">
        <v>2</v>
      </c>
      <c r="T288" s="256">
        <v>3.5936361578431164E-2</v>
      </c>
      <c r="U288" s="256">
        <v>0.46455636023259417</v>
      </c>
      <c r="V288" s="256">
        <v>-7.3502711981270674E-2</v>
      </c>
      <c r="W288" s="256">
        <v>-0.72057235102863859</v>
      </c>
      <c r="X288" s="256">
        <v>7.4403358341049941E-2</v>
      </c>
      <c r="Y288" s="256">
        <v>0.5642141824551723</v>
      </c>
      <c r="Z288" s="256">
        <v>9.0583606064500666E-2</v>
      </c>
      <c r="AA288" s="256">
        <v>0.51490658301247605</v>
      </c>
      <c r="AB288" s="256">
        <v>0.20197253627279324</v>
      </c>
      <c r="AC288" s="260">
        <v>-0.75799125467858008</v>
      </c>
      <c r="AD288" s="405">
        <v>42427783000134</v>
      </c>
      <c r="AE288" s="257" t="s">
        <v>2144</v>
      </c>
      <c r="AF288" s="257" t="s">
        <v>2109</v>
      </c>
      <c r="AG288" s="261" t="s">
        <v>1432</v>
      </c>
      <c r="AH288" s="261" t="s">
        <v>2113</v>
      </c>
      <c r="AI288" s="261">
        <v>500</v>
      </c>
      <c r="AJ288" s="261">
        <v>500</v>
      </c>
      <c r="AK288" s="261">
        <v>500</v>
      </c>
      <c r="AL288" s="256">
        <v>1E-3</v>
      </c>
      <c r="AM288" s="256" t="s">
        <v>34</v>
      </c>
      <c r="AN288" s="256" t="s">
        <v>666</v>
      </c>
      <c r="AO288" s="254" t="s">
        <v>1324</v>
      </c>
      <c r="AP288" s="257" t="s">
        <v>716</v>
      </c>
      <c r="AQ288" s="263" t="s">
        <v>697</v>
      </c>
      <c r="AR288" s="256">
        <v>3.5E-4</v>
      </c>
      <c r="AS288" s="256">
        <v>3.5E-4</v>
      </c>
      <c r="AT288" s="256"/>
      <c r="AW288" s="508"/>
      <c r="AX288" s="508"/>
      <c r="AY288" s="509"/>
      <c r="AZ288" s="509"/>
      <c r="BA288" s="509"/>
      <c r="BB288" s="510"/>
      <c r="BC288" s="509"/>
      <c r="BD288" s="509"/>
      <c r="BE288" s="509"/>
      <c r="BF288" s="509"/>
      <c r="BG288" s="510"/>
      <c r="BH288" s="510"/>
      <c r="BI288" s="511"/>
      <c r="BJ288" s="511"/>
      <c r="BK288" s="511"/>
      <c r="BL288" s="195"/>
      <c r="BM288" s="510"/>
      <c r="BN288" s="510"/>
      <c r="BO288" s="510"/>
      <c r="BP288" s="510"/>
      <c r="BQ288" s="510"/>
      <c r="BR288" s="510"/>
      <c r="BS288" s="510"/>
      <c r="BT288" s="513"/>
      <c r="BU288" s="514"/>
      <c r="BV288" s="512"/>
      <c r="BW288" s="515"/>
    </row>
    <row r="289" spans="2:75" ht="15.75" customHeight="1">
      <c r="B289" s="250" t="s">
        <v>154</v>
      </c>
      <c r="C289" s="251">
        <v>36499594000174</v>
      </c>
      <c r="D289" s="252" t="s">
        <v>14</v>
      </c>
      <c r="E289" s="252" t="s">
        <v>607</v>
      </c>
      <c r="F289" s="252" t="s">
        <v>672</v>
      </c>
      <c r="G289" s="253"/>
      <c r="H289" s="253" t="s">
        <v>34</v>
      </c>
      <c r="I289" s="253" t="s">
        <v>34</v>
      </c>
      <c r="J289" s="253" t="s">
        <v>611</v>
      </c>
      <c r="K289" s="254" t="s">
        <v>48</v>
      </c>
      <c r="L289" s="255"/>
      <c r="M289" s="255" t="s">
        <v>1414</v>
      </c>
      <c r="N289" s="254">
        <v>533718</v>
      </c>
      <c r="O289" s="254" t="s">
        <v>1321</v>
      </c>
      <c r="P289" s="258">
        <v>43923</v>
      </c>
      <c r="Q289" s="259">
        <v>415457333.77999997</v>
      </c>
      <c r="R289" s="259">
        <v>370490083.31404734</v>
      </c>
      <c r="S289" s="254">
        <v>2</v>
      </c>
      <c r="T289" s="256">
        <v>-0.11921526975553864</v>
      </c>
      <c r="U289" s="256">
        <v>-1.5411190607292877</v>
      </c>
      <c r="V289" s="256">
        <v>-4.9190664195650546E-2</v>
      </c>
      <c r="W289" s="256">
        <v>-0.48223298967733447</v>
      </c>
      <c r="X289" s="256">
        <v>0.25001472643557832</v>
      </c>
      <c r="Y289" s="256">
        <v>1.8959070883736775</v>
      </c>
      <c r="Z289" s="256" t="s">
        <v>1417</v>
      </c>
      <c r="AA289" s="256" t="s">
        <v>1417</v>
      </c>
      <c r="AB289" s="256">
        <v>0.211479762437913</v>
      </c>
      <c r="AC289" s="260">
        <v>-0.59216837657162114</v>
      </c>
      <c r="AD289" s="405">
        <v>0</v>
      </c>
      <c r="AE289" s="257" t="s">
        <v>2144</v>
      </c>
      <c r="AF289" s="257" t="s">
        <v>2109</v>
      </c>
      <c r="AG289" s="261" t="s">
        <v>1432</v>
      </c>
      <c r="AH289" s="261" t="s">
        <v>2113</v>
      </c>
      <c r="AI289" s="261">
        <v>500</v>
      </c>
      <c r="AJ289" s="261">
        <v>100</v>
      </c>
      <c r="AK289" s="261">
        <v>100</v>
      </c>
      <c r="AL289" s="256">
        <v>2E-3</v>
      </c>
      <c r="AM289" s="256" t="s">
        <v>34</v>
      </c>
      <c r="AN289" s="256" t="s">
        <v>2122</v>
      </c>
      <c r="AO289" s="254" t="s">
        <v>1324</v>
      </c>
      <c r="AP289" s="257" t="s">
        <v>13</v>
      </c>
      <c r="AQ289" s="263" t="s">
        <v>668</v>
      </c>
      <c r="AR289" s="256">
        <v>6.9999999999999999E-4</v>
      </c>
      <c r="AS289" s="256">
        <v>6.9999999999999999E-4</v>
      </c>
      <c r="AT289" s="256"/>
      <c r="AW289" s="508"/>
      <c r="AX289" s="508"/>
      <c r="AY289" s="509"/>
      <c r="AZ289" s="509"/>
      <c r="BA289" s="509"/>
      <c r="BB289" s="510"/>
      <c r="BC289" s="509"/>
      <c r="BD289" s="509"/>
      <c r="BE289" s="509"/>
      <c r="BF289" s="509"/>
      <c r="BG289" s="510"/>
      <c r="BH289" s="510"/>
      <c r="BI289" s="511"/>
      <c r="BJ289" s="511"/>
      <c r="BK289" s="511"/>
      <c r="BL289" s="195"/>
      <c r="BM289" s="510"/>
      <c r="BN289" s="510"/>
      <c r="BO289" s="510"/>
      <c r="BP289" s="510"/>
      <c r="BQ289" s="510"/>
      <c r="BR289" s="510"/>
      <c r="BS289" s="510"/>
      <c r="BT289" s="513"/>
      <c r="BU289" s="514"/>
      <c r="BV289" s="512"/>
      <c r="BW289" s="515"/>
    </row>
    <row r="290" spans="2:75" ht="15.75" customHeight="1">
      <c r="B290" s="250" t="s">
        <v>867</v>
      </c>
      <c r="C290" s="251">
        <v>43140671000160</v>
      </c>
      <c r="D290" s="252" t="s">
        <v>11</v>
      </c>
      <c r="E290" s="252" t="s">
        <v>661</v>
      </c>
      <c r="F290" s="252" t="s">
        <v>672</v>
      </c>
      <c r="G290" s="253" t="s">
        <v>865</v>
      </c>
      <c r="H290" s="253" t="s">
        <v>34</v>
      </c>
      <c r="I290" s="253"/>
      <c r="J290" s="253" t="s">
        <v>608</v>
      </c>
      <c r="K290" s="254" t="s">
        <v>48</v>
      </c>
      <c r="L290" s="255"/>
      <c r="M290" s="255" t="s">
        <v>1414</v>
      </c>
      <c r="N290" s="254">
        <v>631264</v>
      </c>
      <c r="O290" s="254" t="s">
        <v>1321</v>
      </c>
      <c r="P290" s="258">
        <v>44558</v>
      </c>
      <c r="Q290" s="259">
        <v>143180143.41</v>
      </c>
      <c r="R290" s="259" t="s">
        <v>1417</v>
      </c>
      <c r="S290" s="254">
        <v>2</v>
      </c>
      <c r="T290" s="256">
        <v>4.225253185511435E-2</v>
      </c>
      <c r="U290" s="256">
        <v>0.5462067261980329</v>
      </c>
      <c r="V290" s="256" t="s">
        <v>1417</v>
      </c>
      <c r="W290" s="256" t="s">
        <v>1417</v>
      </c>
      <c r="X290" s="256" t="s">
        <v>1417</v>
      </c>
      <c r="Y290" s="256" t="s">
        <v>1417</v>
      </c>
      <c r="Z290" s="256" t="s">
        <v>1417</v>
      </c>
      <c r="AA290" s="256" t="s">
        <v>1417</v>
      </c>
      <c r="AB290" s="256" t="s">
        <v>1417</v>
      </c>
      <c r="AC290" s="260" t="s">
        <v>1417</v>
      </c>
      <c r="AD290" s="405">
        <v>0</v>
      </c>
      <c r="AE290" s="257" t="s">
        <v>2144</v>
      </c>
      <c r="AF290" s="257" t="s">
        <v>2109</v>
      </c>
      <c r="AG290" s="261" t="s">
        <v>1432</v>
      </c>
      <c r="AH290" s="261" t="s">
        <v>2113</v>
      </c>
      <c r="AI290" s="261">
        <v>3000</v>
      </c>
      <c r="AJ290" s="261">
        <v>1000</v>
      </c>
      <c r="AK290" s="261">
        <v>1000</v>
      </c>
      <c r="AL290" s="256">
        <v>2E-3</v>
      </c>
      <c r="AM290" s="256" t="s">
        <v>34</v>
      </c>
      <c r="AN290" s="256" t="s">
        <v>633</v>
      </c>
      <c r="AO290" s="254" t="s">
        <v>1324</v>
      </c>
      <c r="AP290" s="257" t="s">
        <v>11</v>
      </c>
      <c r="AQ290" s="263" t="s">
        <v>680</v>
      </c>
      <c r="AR290" s="256">
        <v>6.9999999999999999E-4</v>
      </c>
      <c r="AS290" s="256">
        <v>6.9999999999999999E-4</v>
      </c>
      <c r="AT290" s="256"/>
      <c r="AW290" s="508"/>
      <c r="AX290" s="508"/>
      <c r="AY290" s="509"/>
      <c r="AZ290" s="509"/>
      <c r="BA290" s="509"/>
      <c r="BB290" s="510"/>
      <c r="BC290" s="509"/>
      <c r="BD290" s="509"/>
      <c r="BE290" s="509"/>
      <c r="BF290" s="509"/>
      <c r="BG290" s="510"/>
      <c r="BH290" s="510"/>
      <c r="BI290" s="511"/>
      <c r="BJ290" s="511"/>
      <c r="BK290" s="511"/>
      <c r="BL290" s="195"/>
      <c r="BM290" s="510"/>
      <c r="BN290" s="510"/>
      <c r="BO290" s="510"/>
      <c r="BP290" s="510"/>
      <c r="BQ290" s="510"/>
      <c r="BR290" s="510"/>
      <c r="BS290" s="510"/>
      <c r="BT290" s="513"/>
      <c r="BU290" s="514"/>
      <c r="BV290" s="512"/>
      <c r="BW290" s="515"/>
    </row>
    <row r="291" spans="2:75" ht="15.75" customHeight="1">
      <c r="B291" s="250" t="s">
        <v>1387</v>
      </c>
      <c r="C291" s="251">
        <v>16892116000112</v>
      </c>
      <c r="D291" s="252" t="s">
        <v>11</v>
      </c>
      <c r="E291" s="252" t="s">
        <v>621</v>
      </c>
      <c r="F291" s="252" t="s">
        <v>672</v>
      </c>
      <c r="G291" s="253" t="s">
        <v>738</v>
      </c>
      <c r="H291" s="253" t="s">
        <v>34</v>
      </c>
      <c r="I291" s="253"/>
      <c r="J291" s="253" t="s">
        <v>608</v>
      </c>
      <c r="K291" s="254" t="s">
        <v>48</v>
      </c>
      <c r="L291" s="255"/>
      <c r="M291" s="255" t="s">
        <v>1414</v>
      </c>
      <c r="N291" s="254">
        <v>329355</v>
      </c>
      <c r="O291" s="254" t="s">
        <v>1321</v>
      </c>
      <c r="P291" s="258">
        <v>41332</v>
      </c>
      <c r="Q291" s="259">
        <v>26422984.280000001</v>
      </c>
      <c r="R291" s="259">
        <v>96552052.144722253</v>
      </c>
      <c r="S291" s="254">
        <v>2</v>
      </c>
      <c r="T291" s="256">
        <v>7.1167943341137185E-2</v>
      </c>
      <c r="U291" s="256">
        <v>0.92000189422742074</v>
      </c>
      <c r="V291" s="256">
        <v>7.5889569585004368E-2</v>
      </c>
      <c r="W291" s="256">
        <v>0.74397153656523785</v>
      </c>
      <c r="X291" s="256">
        <v>8.9314119764022815E-2</v>
      </c>
      <c r="Y291" s="256">
        <v>0.67728519502269513</v>
      </c>
      <c r="Z291" s="256">
        <v>0.19082040097068731</v>
      </c>
      <c r="AA291" s="256">
        <v>1.0846850208516126</v>
      </c>
      <c r="AB291" s="256">
        <v>3.5488753975560609E-2</v>
      </c>
      <c r="AC291" s="260">
        <v>-0.65840858069880592</v>
      </c>
      <c r="AD291" s="405">
        <v>0</v>
      </c>
      <c r="AE291" s="257" t="s">
        <v>2289</v>
      </c>
      <c r="AF291" s="257" t="s">
        <v>2115</v>
      </c>
      <c r="AG291" s="261" t="s">
        <v>719</v>
      </c>
      <c r="AH291" s="261" t="s">
        <v>2113</v>
      </c>
      <c r="AI291" s="261">
        <v>5000</v>
      </c>
      <c r="AJ291" s="261">
        <v>2500</v>
      </c>
      <c r="AK291" s="261">
        <v>2500</v>
      </c>
      <c r="AL291" s="256">
        <v>2.5000000000000001E-3</v>
      </c>
      <c r="AM291" s="256">
        <v>0.2</v>
      </c>
      <c r="AN291" s="256" t="s">
        <v>636</v>
      </c>
      <c r="AO291" s="254" t="s">
        <v>1324</v>
      </c>
      <c r="AP291" s="257" t="s">
        <v>11</v>
      </c>
      <c r="AQ291" s="263" t="s">
        <v>680</v>
      </c>
      <c r="AR291" s="256">
        <v>8.3333333333333328E-4</v>
      </c>
      <c r="AS291" s="256">
        <v>8.3333333333333328E-4</v>
      </c>
      <c r="AT291" s="256"/>
      <c r="AW291" s="508"/>
      <c r="AX291" s="508"/>
      <c r="AY291" s="509"/>
      <c r="AZ291" s="509"/>
      <c r="BA291" s="509"/>
      <c r="BB291" s="510"/>
      <c r="BC291" s="509"/>
      <c r="BD291" s="509"/>
      <c r="BE291" s="509"/>
      <c r="BF291" s="509"/>
      <c r="BG291" s="510"/>
      <c r="BH291" s="510"/>
      <c r="BI291" s="511"/>
      <c r="BJ291" s="511"/>
      <c r="BK291" s="511"/>
      <c r="BL291" s="195"/>
      <c r="BM291" s="510"/>
      <c r="BN291" s="510"/>
      <c r="BO291" s="510"/>
      <c r="BP291" s="510"/>
      <c r="BQ291" s="510"/>
      <c r="BR291" s="510"/>
      <c r="BS291" s="510"/>
      <c r="BT291" s="513"/>
      <c r="BU291" s="514"/>
      <c r="BV291" s="512"/>
      <c r="BW291" s="515"/>
    </row>
    <row r="292" spans="2:75" ht="15.75" customHeight="1">
      <c r="B292" s="250" t="s">
        <v>1709</v>
      </c>
      <c r="C292" s="251">
        <v>33796273000143</v>
      </c>
      <c r="D292" s="252" t="s">
        <v>11</v>
      </c>
      <c r="E292" s="252" t="s">
        <v>621</v>
      </c>
      <c r="F292" s="252" t="s">
        <v>672</v>
      </c>
      <c r="G292" s="253" t="s">
        <v>738</v>
      </c>
      <c r="H292" s="253" t="s">
        <v>34</v>
      </c>
      <c r="I292" s="253" t="s">
        <v>34</v>
      </c>
      <c r="J292" s="253" t="s">
        <v>608</v>
      </c>
      <c r="K292" s="254" t="s">
        <v>48</v>
      </c>
      <c r="L292" s="255"/>
      <c r="M292" s="255"/>
      <c r="N292" s="254">
        <v>527971</v>
      </c>
      <c r="O292" s="254" t="s">
        <v>1321</v>
      </c>
      <c r="P292" s="258">
        <v>43889</v>
      </c>
      <c r="Q292" s="259">
        <v>208466102.31999999</v>
      </c>
      <c r="R292" s="259">
        <v>205754798.08218238</v>
      </c>
      <c r="S292" s="254">
        <v>2</v>
      </c>
      <c r="T292" s="256">
        <v>8.0472648666306323E-2</v>
      </c>
      <c r="U292" s="256">
        <v>0.90514939309116915</v>
      </c>
      <c r="V292" s="256">
        <v>8.4541275100216806E-2</v>
      </c>
      <c r="W292" s="256">
        <v>0.77589517165902777</v>
      </c>
      <c r="X292" s="256">
        <v>0.14738683336452318</v>
      </c>
      <c r="Y292" s="256">
        <v>1.0363933271328243</v>
      </c>
      <c r="Z292" s="256" t="s">
        <v>1417</v>
      </c>
      <c r="AA292" s="256" t="s">
        <v>1417</v>
      </c>
      <c r="AB292" s="256">
        <v>2.0140468910568286E-2</v>
      </c>
      <c r="AC292" s="260">
        <v>-1.0959173113838703</v>
      </c>
      <c r="AD292" s="405">
        <v>0</v>
      </c>
      <c r="AE292" s="257" t="s">
        <v>2432</v>
      </c>
      <c r="AF292" s="257" t="s">
        <v>2118</v>
      </c>
      <c r="AG292" s="261" t="s">
        <v>1433</v>
      </c>
      <c r="AH292" s="261" t="s">
        <v>2119</v>
      </c>
      <c r="AI292" s="261">
        <v>0</v>
      </c>
      <c r="AJ292" s="261">
        <v>0</v>
      </c>
      <c r="AK292" s="261">
        <v>0</v>
      </c>
      <c r="AL292" s="256">
        <v>0.01</v>
      </c>
      <c r="AM292" s="256">
        <v>0.2</v>
      </c>
      <c r="AN292" s="256" t="s">
        <v>635</v>
      </c>
      <c r="AO292" s="254" t="s">
        <v>1321</v>
      </c>
      <c r="AP292" s="257" t="s">
        <v>13</v>
      </c>
      <c r="AQ292" s="263" t="s">
        <v>2433</v>
      </c>
      <c r="AR292" s="256" t="s">
        <v>34</v>
      </c>
      <c r="AS292" s="256" t="s">
        <v>34</v>
      </c>
      <c r="AT292" s="256"/>
      <c r="AW292" s="508"/>
      <c r="AX292" s="508"/>
      <c r="AY292" s="509"/>
      <c r="AZ292" s="509"/>
      <c r="BA292" s="509"/>
      <c r="BB292" s="510"/>
      <c r="BC292" s="509"/>
      <c r="BD292" s="509"/>
      <c r="BE292" s="509"/>
      <c r="BF292" s="509"/>
      <c r="BG292" s="510"/>
      <c r="BH292" s="510"/>
      <c r="BI292" s="511"/>
      <c r="BJ292" s="511"/>
      <c r="BK292" s="511"/>
      <c r="BL292" s="195"/>
      <c r="BM292" s="510"/>
      <c r="BN292" s="510"/>
      <c r="BO292" s="510"/>
      <c r="BP292" s="510"/>
      <c r="BQ292" s="510"/>
      <c r="BR292" s="510"/>
      <c r="BS292" s="510"/>
      <c r="BT292" s="513"/>
      <c r="BU292" s="514"/>
      <c r="BV292" s="512"/>
      <c r="BW292" s="515"/>
    </row>
    <row r="293" spans="2:75" ht="15.75" customHeight="1">
      <c r="B293" s="250" t="s">
        <v>191</v>
      </c>
      <c r="C293" s="251">
        <v>37532896000160</v>
      </c>
      <c r="D293" s="252" t="s">
        <v>14</v>
      </c>
      <c r="E293" s="252" t="s">
        <v>607</v>
      </c>
      <c r="F293" s="252"/>
      <c r="G293" s="253"/>
      <c r="H293" s="253" t="s">
        <v>34</v>
      </c>
      <c r="I293" s="253" t="s">
        <v>34</v>
      </c>
      <c r="J293" s="253" t="s">
        <v>608</v>
      </c>
      <c r="K293" s="254" t="s">
        <v>48</v>
      </c>
      <c r="L293" s="255"/>
      <c r="M293" s="255" t="s">
        <v>1414</v>
      </c>
      <c r="N293" s="254">
        <v>547409</v>
      </c>
      <c r="O293" s="254" t="s">
        <v>1321</v>
      </c>
      <c r="P293" s="258">
        <v>44050</v>
      </c>
      <c r="Q293" s="259">
        <v>11024623.67</v>
      </c>
      <c r="R293" s="259">
        <v>12291953.680595241</v>
      </c>
      <c r="S293" s="254">
        <v>2</v>
      </c>
      <c r="T293" s="256">
        <v>-0.13886914437638875</v>
      </c>
      <c r="U293" s="256">
        <v>-1.7951885340231524</v>
      </c>
      <c r="V293" s="256">
        <v>-0.39544245286859059</v>
      </c>
      <c r="W293" s="256">
        <v>-3.8766582929982114</v>
      </c>
      <c r="X293" s="256">
        <v>-0.31127514236123033</v>
      </c>
      <c r="Y293" s="256">
        <v>-2.3604559509387411</v>
      </c>
      <c r="Z293" s="256" t="s">
        <v>1417</v>
      </c>
      <c r="AA293" s="256" t="s">
        <v>1417</v>
      </c>
      <c r="AB293" s="256">
        <v>0.28275589710498711</v>
      </c>
      <c r="AC293" s="260">
        <v>-1.9804122488114342</v>
      </c>
      <c r="AD293" s="405">
        <v>0</v>
      </c>
      <c r="AE293" s="257" t="s">
        <v>2232</v>
      </c>
      <c r="AF293" s="257" t="s">
        <v>2118</v>
      </c>
      <c r="AG293" s="261" t="s">
        <v>1433</v>
      </c>
      <c r="AH293" s="261" t="s">
        <v>2110</v>
      </c>
      <c r="AI293" s="261">
        <v>5000</v>
      </c>
      <c r="AJ293" s="261">
        <v>1000</v>
      </c>
      <c r="AK293" s="261">
        <v>5000</v>
      </c>
      <c r="AL293" s="256">
        <v>0.02</v>
      </c>
      <c r="AM293" s="256">
        <v>0.2</v>
      </c>
      <c r="AN293" s="256" t="s">
        <v>34</v>
      </c>
      <c r="AO293" s="254" t="s">
        <v>1324</v>
      </c>
      <c r="AP293" s="257" t="s">
        <v>716</v>
      </c>
      <c r="AQ293" s="263" t="s">
        <v>665</v>
      </c>
      <c r="AR293" s="256">
        <v>2.6666666666666666E-3</v>
      </c>
      <c r="AS293" s="256">
        <v>2.6666666666666666E-3</v>
      </c>
      <c r="AT293" s="256"/>
      <c r="AW293" s="508"/>
      <c r="AX293" s="508"/>
      <c r="AY293" s="509"/>
      <c r="AZ293" s="509"/>
      <c r="BA293" s="509"/>
      <c r="BB293" s="510"/>
      <c r="BC293" s="509"/>
      <c r="BD293" s="509"/>
      <c r="BE293" s="509"/>
      <c r="BF293" s="509"/>
      <c r="BG293" s="510"/>
      <c r="BH293" s="510"/>
      <c r="BI293" s="511"/>
      <c r="BJ293" s="511"/>
      <c r="BK293" s="511"/>
      <c r="BL293" s="195"/>
      <c r="BM293" s="510"/>
      <c r="BN293" s="510"/>
      <c r="BO293" s="510"/>
      <c r="BP293" s="510"/>
      <c r="BQ293" s="510"/>
      <c r="BR293" s="510"/>
      <c r="BS293" s="510"/>
      <c r="BT293" s="513"/>
      <c r="BU293" s="514"/>
      <c r="BV293" s="512"/>
      <c r="BW293" s="515"/>
    </row>
    <row r="294" spans="2:75" ht="15.75" customHeight="1">
      <c r="B294" s="250" t="s">
        <v>1187</v>
      </c>
      <c r="C294" s="251">
        <v>35726822000139</v>
      </c>
      <c r="D294" s="252" t="s">
        <v>14</v>
      </c>
      <c r="E294" s="252" t="s">
        <v>607</v>
      </c>
      <c r="F294" s="252"/>
      <c r="G294" s="253"/>
      <c r="H294" s="253" t="s">
        <v>34</v>
      </c>
      <c r="I294" s="253" t="s">
        <v>34</v>
      </c>
      <c r="J294" s="253" t="s">
        <v>608</v>
      </c>
      <c r="K294" s="254" t="s">
        <v>48</v>
      </c>
      <c r="L294" s="255"/>
      <c r="M294" s="255" t="s">
        <v>1414</v>
      </c>
      <c r="N294" s="254">
        <v>528854</v>
      </c>
      <c r="O294" s="254" t="s">
        <v>1321</v>
      </c>
      <c r="P294" s="258">
        <v>43892</v>
      </c>
      <c r="Q294" s="259">
        <v>8736896.9499999993</v>
      </c>
      <c r="R294" s="259">
        <v>10135274.986468244</v>
      </c>
      <c r="S294" s="254">
        <v>2</v>
      </c>
      <c r="T294" s="256">
        <v>5.0928716915881411E-2</v>
      </c>
      <c r="U294" s="256">
        <v>0.65836546390823802</v>
      </c>
      <c r="V294" s="256">
        <v>-7.2788039290268447E-2</v>
      </c>
      <c r="W294" s="256">
        <v>-0.71356616898051695</v>
      </c>
      <c r="X294" s="256">
        <v>0.10488864237626427</v>
      </c>
      <c r="Y294" s="256">
        <v>0.79538962926766421</v>
      </c>
      <c r="Z294" s="256" t="s">
        <v>1417</v>
      </c>
      <c r="AA294" s="256" t="s">
        <v>1417</v>
      </c>
      <c r="AB294" s="256">
        <v>0.19821249094598095</v>
      </c>
      <c r="AC294" s="260">
        <v>-0.77235929403745907</v>
      </c>
      <c r="AD294" s="405">
        <v>0</v>
      </c>
      <c r="AE294" s="257" t="s">
        <v>2394</v>
      </c>
      <c r="AF294" s="257" t="s">
        <v>2109</v>
      </c>
      <c r="AG294" s="261" t="s">
        <v>1432</v>
      </c>
      <c r="AH294" s="261" t="s">
        <v>2113</v>
      </c>
      <c r="AI294" s="261">
        <v>500</v>
      </c>
      <c r="AJ294" s="261">
        <v>100</v>
      </c>
      <c r="AK294" s="261">
        <v>100</v>
      </c>
      <c r="AL294" s="256">
        <v>1.4999999999999999E-2</v>
      </c>
      <c r="AM294" s="256">
        <v>0.2</v>
      </c>
      <c r="AN294" s="256" t="s">
        <v>2127</v>
      </c>
      <c r="AO294" s="254" t="s">
        <v>1324</v>
      </c>
      <c r="AP294" s="257" t="s">
        <v>716</v>
      </c>
      <c r="AQ294" s="263" t="s">
        <v>659</v>
      </c>
      <c r="AR294" s="256">
        <v>1E-3</v>
      </c>
      <c r="AS294" s="256">
        <v>1E-3</v>
      </c>
      <c r="AT294" s="256"/>
      <c r="AW294" s="508"/>
      <c r="AX294" s="508"/>
      <c r="AY294" s="509"/>
      <c r="AZ294" s="509"/>
      <c r="BA294" s="509"/>
      <c r="BB294" s="510"/>
      <c r="BC294" s="509"/>
      <c r="BD294" s="509"/>
      <c r="BE294" s="509"/>
      <c r="BF294" s="509"/>
      <c r="BG294" s="510"/>
      <c r="BH294" s="510"/>
      <c r="BI294" s="511"/>
      <c r="BJ294" s="511"/>
      <c r="BK294" s="511"/>
      <c r="BL294" s="195"/>
      <c r="BM294" s="510"/>
      <c r="BN294" s="510"/>
      <c r="BO294" s="510"/>
      <c r="BP294" s="510"/>
      <c r="BQ294" s="510"/>
      <c r="BR294" s="510"/>
      <c r="BS294" s="510"/>
      <c r="BT294" s="513"/>
      <c r="BU294" s="514"/>
      <c r="BV294" s="512"/>
      <c r="BW294" s="515"/>
    </row>
    <row r="295" spans="2:75" ht="15.75" customHeight="1">
      <c r="B295" s="250" t="s">
        <v>550</v>
      </c>
      <c r="C295" s="251">
        <v>20077065000142</v>
      </c>
      <c r="D295" s="252" t="s">
        <v>14</v>
      </c>
      <c r="E295" s="252" t="s">
        <v>15</v>
      </c>
      <c r="F295" s="252" t="s">
        <v>17</v>
      </c>
      <c r="G295" s="253"/>
      <c r="H295" s="253" t="s">
        <v>34</v>
      </c>
      <c r="I295" s="253" t="s">
        <v>34</v>
      </c>
      <c r="J295" s="253" t="s">
        <v>611</v>
      </c>
      <c r="K295" s="254" t="s">
        <v>49</v>
      </c>
      <c r="L295" s="255"/>
      <c r="M295" s="255" t="s">
        <v>1414</v>
      </c>
      <c r="N295" s="254">
        <v>367044</v>
      </c>
      <c r="O295" s="254" t="s">
        <v>1321</v>
      </c>
      <c r="P295" s="258">
        <v>41774</v>
      </c>
      <c r="Q295" s="259">
        <v>13904308.9</v>
      </c>
      <c r="R295" s="259">
        <v>13449171.167261917</v>
      </c>
      <c r="S295" s="254">
        <v>3</v>
      </c>
      <c r="T295" s="256">
        <v>-6.2457374740868876E-2</v>
      </c>
      <c r="U295" s="256">
        <v>-0.80739867379105668</v>
      </c>
      <c r="V295" s="256">
        <v>1.2268100672079729E-2</v>
      </c>
      <c r="W295" s="256">
        <v>0.12026840786757716</v>
      </c>
      <c r="X295" s="256">
        <v>-1.6195100056115463E-2</v>
      </c>
      <c r="Y295" s="256">
        <v>-0.12281038573630543</v>
      </c>
      <c r="Z295" s="256">
        <v>0.27653374264900554</v>
      </c>
      <c r="AA295" s="256">
        <v>1.5719074422104788</v>
      </c>
      <c r="AB295" s="256">
        <v>0.16026457612036854</v>
      </c>
      <c r="AC295" s="260">
        <v>-0.45045915356589594</v>
      </c>
      <c r="AD295" s="405">
        <v>0</v>
      </c>
      <c r="AE295" s="257" t="s">
        <v>2320</v>
      </c>
      <c r="AF295" s="257" t="s">
        <v>2118</v>
      </c>
      <c r="AG295" s="261" t="s">
        <v>1433</v>
      </c>
      <c r="AH295" s="261" t="s">
        <v>2113</v>
      </c>
      <c r="AI295" s="261">
        <v>500</v>
      </c>
      <c r="AJ295" s="261">
        <v>0</v>
      </c>
      <c r="AK295" s="261">
        <v>0</v>
      </c>
      <c r="AL295" s="256">
        <v>1.7000000000000001E-3</v>
      </c>
      <c r="AM295" s="256" t="s">
        <v>34</v>
      </c>
      <c r="AN295" s="256" t="s">
        <v>34</v>
      </c>
      <c r="AO295" s="254" t="s">
        <v>1324</v>
      </c>
      <c r="AP295" s="257" t="s">
        <v>17</v>
      </c>
      <c r="AQ295" s="263" t="s">
        <v>17</v>
      </c>
      <c r="AR295" s="256">
        <v>5.666666666666666E-4</v>
      </c>
      <c r="AS295" s="256">
        <v>5.666666666666666E-4</v>
      </c>
      <c r="AT295" s="256"/>
      <c r="AW295" s="508"/>
      <c r="AX295" s="508"/>
      <c r="AY295" s="509"/>
      <c r="AZ295" s="509"/>
      <c r="BA295" s="509"/>
      <c r="BB295" s="510"/>
      <c r="BC295" s="509"/>
      <c r="BD295" s="509"/>
      <c r="BE295" s="509"/>
      <c r="BF295" s="509"/>
      <c r="BG295" s="510"/>
      <c r="BH295" s="510"/>
      <c r="BI295" s="511"/>
      <c r="BJ295" s="511"/>
      <c r="BK295" s="511"/>
      <c r="BL295" s="195"/>
      <c r="BM295" s="510"/>
      <c r="BN295" s="510"/>
      <c r="BO295" s="510"/>
      <c r="BP295" s="510"/>
      <c r="BQ295" s="510"/>
      <c r="BR295" s="510"/>
      <c r="BS295" s="510"/>
      <c r="BT295" s="513"/>
      <c r="BU295" s="514"/>
      <c r="BV295" s="512"/>
      <c r="BW295" s="515"/>
    </row>
    <row r="296" spans="2:75" ht="15.75" customHeight="1">
      <c r="B296" s="250" t="s">
        <v>326</v>
      </c>
      <c r="C296" s="251">
        <v>23970201000117</v>
      </c>
      <c r="D296" s="252" t="s">
        <v>11</v>
      </c>
      <c r="E296" s="252" t="s">
        <v>620</v>
      </c>
      <c r="F296" s="252" t="s">
        <v>663</v>
      </c>
      <c r="G296" s="253" t="s">
        <v>738</v>
      </c>
      <c r="H296" s="253" t="s">
        <v>34</v>
      </c>
      <c r="I296" s="253"/>
      <c r="J296" s="253" t="s">
        <v>608</v>
      </c>
      <c r="K296" s="254" t="s">
        <v>48</v>
      </c>
      <c r="L296" s="255"/>
      <c r="M296" s="255" t="s">
        <v>1414</v>
      </c>
      <c r="N296" s="254">
        <v>422991</v>
      </c>
      <c r="O296" s="254" t="s">
        <v>1321</v>
      </c>
      <c r="P296" s="258">
        <v>42621</v>
      </c>
      <c r="Q296" s="259">
        <v>107710970.29000001</v>
      </c>
      <c r="R296" s="259">
        <v>106311071.86845236</v>
      </c>
      <c r="S296" s="254">
        <v>3</v>
      </c>
      <c r="T296" s="256">
        <v>8.2282258592376811E-2</v>
      </c>
      <c r="U296" s="256">
        <v>1.0636788167874507</v>
      </c>
      <c r="V296" s="256">
        <v>0.11119504632800381</v>
      </c>
      <c r="W296" s="256">
        <v>1.0900832608152558</v>
      </c>
      <c r="X296" s="256">
        <v>0.15032917711589899</v>
      </c>
      <c r="Y296" s="256">
        <v>1.1399734589508428</v>
      </c>
      <c r="Z296" s="256">
        <v>0.19923078433870889</v>
      </c>
      <c r="AA296" s="256">
        <v>1.1324923664630178</v>
      </c>
      <c r="AB296" s="256">
        <v>1.4340968569625033E-3</v>
      </c>
      <c r="AC296" s="260">
        <v>5.7925422335620631</v>
      </c>
      <c r="AD296" s="405">
        <v>0</v>
      </c>
      <c r="AE296" s="257" t="s">
        <v>2353</v>
      </c>
      <c r="AF296" s="257" t="s">
        <v>741</v>
      </c>
      <c r="AG296" s="261" t="s">
        <v>741</v>
      </c>
      <c r="AH296" s="261" t="s">
        <v>2113</v>
      </c>
      <c r="AI296" s="261">
        <v>0</v>
      </c>
      <c r="AJ296" s="261">
        <v>0</v>
      </c>
      <c r="AK296" s="261">
        <v>0</v>
      </c>
      <c r="AL296" s="256">
        <v>6.0000000000000001E-3</v>
      </c>
      <c r="AM296" s="256" t="s">
        <v>34</v>
      </c>
      <c r="AN296" s="256" t="s">
        <v>64</v>
      </c>
      <c r="AO296" s="254" t="s">
        <v>1324</v>
      </c>
      <c r="AP296" s="257" t="s">
        <v>11</v>
      </c>
      <c r="AQ296" s="263" t="s">
        <v>675</v>
      </c>
      <c r="AR296" s="256">
        <v>1.6000000000000001E-3</v>
      </c>
      <c r="AS296" s="256">
        <v>1.6000000000000001E-3</v>
      </c>
      <c r="AT296" s="256"/>
      <c r="AW296" s="508"/>
      <c r="AX296" s="508"/>
      <c r="AY296" s="509"/>
      <c r="AZ296" s="509"/>
      <c r="BA296" s="509"/>
      <c r="BB296" s="510"/>
      <c r="BC296" s="509"/>
      <c r="BD296" s="509"/>
      <c r="BE296" s="509"/>
      <c r="BF296" s="509"/>
      <c r="BG296" s="510"/>
      <c r="BH296" s="510"/>
      <c r="BI296" s="511"/>
      <c r="BJ296" s="511"/>
      <c r="BK296" s="511"/>
      <c r="BL296" s="195"/>
      <c r="BM296" s="510"/>
      <c r="BN296" s="510"/>
      <c r="BO296" s="510"/>
      <c r="BP296" s="510"/>
      <c r="BQ296" s="510"/>
      <c r="BR296" s="510"/>
      <c r="BS296" s="510"/>
      <c r="BT296" s="513"/>
      <c r="BU296" s="514"/>
      <c r="BV296" s="512"/>
      <c r="BW296" s="515"/>
    </row>
    <row r="297" spans="2:75" ht="15.75" customHeight="1">
      <c r="B297" s="250" t="s">
        <v>374</v>
      </c>
      <c r="C297" s="251">
        <v>28579477000192</v>
      </c>
      <c r="D297" s="252" t="s">
        <v>11</v>
      </c>
      <c r="E297" s="252" t="s">
        <v>620</v>
      </c>
      <c r="F297" s="252" t="s">
        <v>663</v>
      </c>
      <c r="G297" s="253" t="s">
        <v>738</v>
      </c>
      <c r="H297" s="253" t="s">
        <v>34</v>
      </c>
      <c r="I297" s="253"/>
      <c r="J297" s="253" t="s">
        <v>608</v>
      </c>
      <c r="K297" s="254" t="s">
        <v>48</v>
      </c>
      <c r="L297" s="255"/>
      <c r="M297" s="255" t="s">
        <v>1414</v>
      </c>
      <c r="N297" s="254">
        <v>453791</v>
      </c>
      <c r="O297" s="254" t="s">
        <v>1321</v>
      </c>
      <c r="P297" s="258">
        <v>43066</v>
      </c>
      <c r="Q297" s="259">
        <v>11385344.279999999</v>
      </c>
      <c r="R297" s="259">
        <v>10520212.859365087</v>
      </c>
      <c r="S297" s="254">
        <v>3</v>
      </c>
      <c r="T297" s="256">
        <v>5.8025511396484486E-2</v>
      </c>
      <c r="U297" s="256">
        <v>0.75010711132104924</v>
      </c>
      <c r="V297" s="256">
        <v>8.8492291301787152E-2</v>
      </c>
      <c r="W297" s="256">
        <v>0.86752034955510193</v>
      </c>
      <c r="X297" s="256">
        <v>0.13248156789937671</v>
      </c>
      <c r="Y297" s="256">
        <v>1.0046317960554496</v>
      </c>
      <c r="Z297" s="256">
        <v>0.23298028065453447</v>
      </c>
      <c r="AA297" s="256">
        <v>1.3243354447127387</v>
      </c>
      <c r="AB297" s="256">
        <v>2.7944343876041312E-2</v>
      </c>
      <c r="AC297" s="260">
        <v>-0.42783758090165858</v>
      </c>
      <c r="AD297" s="405">
        <v>0</v>
      </c>
      <c r="AE297" s="257" t="s">
        <v>2243</v>
      </c>
      <c r="AF297" s="257" t="s">
        <v>2109</v>
      </c>
      <c r="AG297" s="261" t="s">
        <v>1432</v>
      </c>
      <c r="AH297" s="261" t="s">
        <v>2113</v>
      </c>
      <c r="AI297" s="261">
        <v>25000</v>
      </c>
      <c r="AJ297" s="261">
        <v>1000</v>
      </c>
      <c r="AK297" s="261">
        <v>1000</v>
      </c>
      <c r="AL297" s="256">
        <v>8.0000000000000002E-3</v>
      </c>
      <c r="AM297" s="256" t="s">
        <v>34</v>
      </c>
      <c r="AN297" s="256" t="s">
        <v>34</v>
      </c>
      <c r="AO297" s="254" t="s">
        <v>1324</v>
      </c>
      <c r="AP297" s="257" t="s">
        <v>13</v>
      </c>
      <c r="AQ297" s="263" t="s">
        <v>668</v>
      </c>
      <c r="AR297" s="256">
        <v>1.5999999999999999E-3</v>
      </c>
      <c r="AS297" s="256">
        <v>1.5999999999999999E-3</v>
      </c>
      <c r="AT297" s="256"/>
      <c r="AW297" s="508"/>
      <c r="AX297" s="508"/>
      <c r="AY297" s="509"/>
      <c r="AZ297" s="509"/>
      <c r="BA297" s="509"/>
      <c r="BB297" s="510"/>
      <c r="BC297" s="509"/>
      <c r="BD297" s="509"/>
      <c r="BE297" s="509"/>
      <c r="BF297" s="509"/>
      <c r="BG297" s="510"/>
      <c r="BH297" s="510"/>
      <c r="BI297" s="511"/>
      <c r="BJ297" s="511"/>
      <c r="BK297" s="511"/>
      <c r="BL297" s="510"/>
      <c r="BM297" s="510"/>
      <c r="BN297" s="510"/>
      <c r="BO297" s="510"/>
      <c r="BP297" s="510"/>
      <c r="BQ297" s="510"/>
      <c r="BR297" s="510"/>
      <c r="BS297" s="510"/>
      <c r="BT297" s="513"/>
      <c r="BU297" s="514"/>
      <c r="BV297" s="512"/>
      <c r="BW297" s="515"/>
    </row>
    <row r="298" spans="2:75" ht="15.75" customHeight="1">
      <c r="B298" s="250" t="s">
        <v>861</v>
      </c>
      <c r="C298" s="251">
        <v>40916758000199</v>
      </c>
      <c r="D298" s="252" t="s">
        <v>14</v>
      </c>
      <c r="E298" s="252" t="s">
        <v>15</v>
      </c>
      <c r="F298" s="252" t="s">
        <v>701</v>
      </c>
      <c r="G298" s="253"/>
      <c r="H298" s="253" t="s">
        <v>34</v>
      </c>
      <c r="I298" s="253" t="s">
        <v>34</v>
      </c>
      <c r="J298" s="253" t="s">
        <v>611</v>
      </c>
      <c r="K298" s="254" t="s">
        <v>49</v>
      </c>
      <c r="L298" s="255"/>
      <c r="M298" s="255" t="s">
        <v>1414</v>
      </c>
      <c r="N298" s="254">
        <v>582425</v>
      </c>
      <c r="O298" s="254" t="s">
        <v>1321</v>
      </c>
      <c r="P298" s="258">
        <v>44287</v>
      </c>
      <c r="Q298" s="259">
        <v>10748833.039999999</v>
      </c>
      <c r="R298" s="259">
        <v>12684972.112976197</v>
      </c>
      <c r="S298" s="254">
        <v>3</v>
      </c>
      <c r="T298" s="256">
        <v>-8.8677969144826396E-2</v>
      </c>
      <c r="U298" s="256">
        <v>-1.1463574154225016</v>
      </c>
      <c r="V298" s="256">
        <v>-7.3024993247410075E-2</v>
      </c>
      <c r="W298" s="256">
        <v>-0.71588911007181422</v>
      </c>
      <c r="X298" s="256" t="s">
        <v>1417</v>
      </c>
      <c r="Y298" s="256" t="s">
        <v>1417</v>
      </c>
      <c r="Z298" s="256" t="s">
        <v>1417</v>
      </c>
      <c r="AA298" s="256" t="s">
        <v>1417</v>
      </c>
      <c r="AB298" s="256">
        <v>0.11345103820928543</v>
      </c>
      <c r="AC298" s="260">
        <v>-1.4680445513358578</v>
      </c>
      <c r="AD298" s="405">
        <v>0</v>
      </c>
      <c r="AE298" s="257" t="s">
        <v>2144</v>
      </c>
      <c r="AF298" s="257" t="s">
        <v>2109</v>
      </c>
      <c r="AG298" s="261" t="s">
        <v>1432</v>
      </c>
      <c r="AH298" s="261" t="s">
        <v>2113</v>
      </c>
      <c r="AI298" s="261">
        <v>1</v>
      </c>
      <c r="AJ298" s="261">
        <v>1</v>
      </c>
      <c r="AK298" s="261">
        <v>1</v>
      </c>
      <c r="AL298" s="256">
        <v>5.0000000000000001E-3</v>
      </c>
      <c r="AM298" s="256" t="s">
        <v>34</v>
      </c>
      <c r="AN298" s="256" t="s">
        <v>34</v>
      </c>
      <c r="AO298" s="254" t="s">
        <v>1324</v>
      </c>
      <c r="AP298" s="257" t="s">
        <v>13</v>
      </c>
      <c r="AQ298" s="263" t="s">
        <v>668</v>
      </c>
      <c r="AR298" s="256">
        <v>1.7499999999999998E-3</v>
      </c>
      <c r="AS298" s="256">
        <v>1.7499999999999998E-3</v>
      </c>
      <c r="AT298" s="256"/>
      <c r="AW298" s="508"/>
      <c r="AX298" s="508"/>
      <c r="AY298" s="509"/>
      <c r="AZ298" s="509"/>
      <c r="BA298" s="509"/>
      <c r="BB298" s="510"/>
      <c r="BC298" s="509"/>
      <c r="BD298" s="509"/>
      <c r="BE298" s="509"/>
      <c r="BF298" s="509"/>
      <c r="BG298" s="510"/>
      <c r="BH298" s="510"/>
      <c r="BI298" s="511"/>
      <c r="BJ298" s="511"/>
      <c r="BK298" s="511"/>
      <c r="BL298" s="510"/>
      <c r="BM298" s="510"/>
      <c r="BN298" s="510"/>
      <c r="BO298" s="510"/>
      <c r="BP298" s="510"/>
      <c r="BQ298" s="510"/>
      <c r="BR298" s="510"/>
      <c r="BS298" s="510"/>
      <c r="BT298" s="513"/>
      <c r="BU298" s="514"/>
      <c r="BV298" s="512"/>
      <c r="BW298" s="515"/>
    </row>
    <row r="299" spans="2:75" ht="15.75" customHeight="1">
      <c r="B299" s="250" t="s">
        <v>862</v>
      </c>
      <c r="C299" s="251">
        <v>44347311000105</v>
      </c>
      <c r="D299" s="252" t="s">
        <v>14</v>
      </c>
      <c r="E299" s="252" t="s">
        <v>15</v>
      </c>
      <c r="F299" s="252" t="s">
        <v>701</v>
      </c>
      <c r="G299" s="253"/>
      <c r="H299" s="253" t="s">
        <v>34</v>
      </c>
      <c r="I299" s="253" t="s">
        <v>34</v>
      </c>
      <c r="J299" s="253" t="s">
        <v>611</v>
      </c>
      <c r="K299" s="254" t="s">
        <v>49</v>
      </c>
      <c r="L299" s="255"/>
      <c r="M299" s="255" t="s">
        <v>1414</v>
      </c>
      <c r="N299" s="254">
        <v>626198</v>
      </c>
      <c r="O299" s="254" t="s">
        <v>1321</v>
      </c>
      <c r="P299" s="258">
        <v>44532</v>
      </c>
      <c r="Q299" s="259">
        <v>9915886.6899999995</v>
      </c>
      <c r="R299" s="259" t="s">
        <v>1417</v>
      </c>
      <c r="S299" s="254">
        <v>3</v>
      </c>
      <c r="T299" s="256">
        <v>-5.6220644845948575E-2</v>
      </c>
      <c r="U299" s="256">
        <v>-0.72677524914594915</v>
      </c>
      <c r="V299" s="256" t="s">
        <v>1417</v>
      </c>
      <c r="W299" s="256" t="s">
        <v>1417</v>
      </c>
      <c r="X299" s="256" t="s">
        <v>1417</v>
      </c>
      <c r="Y299" s="256" t="s">
        <v>1417</v>
      </c>
      <c r="Z299" s="256" t="s">
        <v>1417</v>
      </c>
      <c r="AA299" s="256" t="s">
        <v>1417</v>
      </c>
      <c r="AB299" s="256" t="s">
        <v>1417</v>
      </c>
      <c r="AC299" s="260" t="s">
        <v>1417</v>
      </c>
      <c r="AD299" s="405">
        <v>0</v>
      </c>
      <c r="AE299" s="257" t="s">
        <v>2144</v>
      </c>
      <c r="AF299" s="257" t="s">
        <v>2109</v>
      </c>
      <c r="AG299" s="261" t="s">
        <v>1432</v>
      </c>
      <c r="AH299" s="261" t="s">
        <v>2113</v>
      </c>
      <c r="AI299" s="261">
        <v>1</v>
      </c>
      <c r="AJ299" s="261">
        <v>1</v>
      </c>
      <c r="AK299" s="261">
        <v>1</v>
      </c>
      <c r="AL299" s="256">
        <v>5.0000000000000001E-3</v>
      </c>
      <c r="AM299" s="256" t="s">
        <v>34</v>
      </c>
      <c r="AN299" s="256" t="s">
        <v>2127</v>
      </c>
      <c r="AO299" s="254" t="s">
        <v>1324</v>
      </c>
      <c r="AP299" s="257" t="s">
        <v>13</v>
      </c>
      <c r="AQ299" s="263" t="s">
        <v>668</v>
      </c>
      <c r="AR299" s="256">
        <v>1.7499999999999998E-3</v>
      </c>
      <c r="AS299" s="256">
        <v>1.7499999999999998E-3</v>
      </c>
      <c r="AT299" s="256"/>
      <c r="AW299" s="508"/>
      <c r="AX299" s="508"/>
      <c r="AY299" s="509"/>
      <c r="AZ299" s="509"/>
      <c r="BA299" s="509"/>
      <c r="BB299" s="510"/>
      <c r="BC299" s="509"/>
      <c r="BD299" s="509"/>
      <c r="BE299" s="509"/>
      <c r="BF299" s="509"/>
      <c r="BG299" s="510"/>
      <c r="BH299" s="510"/>
      <c r="BI299" s="511"/>
      <c r="BJ299" s="511"/>
      <c r="BK299" s="511"/>
      <c r="BL299" s="510"/>
      <c r="BM299" s="510"/>
      <c r="BN299" s="510"/>
      <c r="BO299" s="510"/>
      <c r="BP299" s="510"/>
      <c r="BQ299" s="510"/>
      <c r="BR299" s="510"/>
      <c r="BS299" s="510"/>
      <c r="BT299" s="513"/>
      <c r="BU299" s="514"/>
      <c r="BV299" s="512"/>
      <c r="BW299" s="515"/>
    </row>
    <row r="300" spans="2:75" ht="15.75" customHeight="1">
      <c r="B300" s="250" t="s">
        <v>1390</v>
      </c>
      <c r="C300" s="251">
        <v>18956729000100</v>
      </c>
      <c r="D300" s="252" t="s">
        <v>13</v>
      </c>
      <c r="E300" s="252" t="s">
        <v>616</v>
      </c>
      <c r="F300" s="252" t="s">
        <v>617</v>
      </c>
      <c r="G300" s="253" t="s">
        <v>34</v>
      </c>
      <c r="H300" s="253" t="s">
        <v>1338</v>
      </c>
      <c r="I300" s="253" t="s">
        <v>34</v>
      </c>
      <c r="J300" s="253" t="s">
        <v>608</v>
      </c>
      <c r="K300" s="254" t="s">
        <v>48</v>
      </c>
      <c r="L300" s="255"/>
      <c r="M300" s="255" t="s">
        <v>1414</v>
      </c>
      <c r="N300" s="254">
        <v>352691</v>
      </c>
      <c r="O300" s="254" t="s">
        <v>1321</v>
      </c>
      <c r="P300" s="258">
        <v>41579</v>
      </c>
      <c r="Q300" s="259">
        <v>171472496.72999999</v>
      </c>
      <c r="R300" s="259">
        <v>223634643.09630981</v>
      </c>
      <c r="S300" s="254">
        <v>3</v>
      </c>
      <c r="T300" s="256">
        <v>0.12163598683071908</v>
      </c>
      <c r="U300" s="256">
        <v>1.5724121428390154</v>
      </c>
      <c r="V300" s="256">
        <v>0.10366133145380774</v>
      </c>
      <c r="W300" s="256">
        <v>1.0162276642998216</v>
      </c>
      <c r="X300" s="256">
        <v>0.23082748137724263</v>
      </c>
      <c r="Y300" s="256">
        <v>1.7504067235308296</v>
      </c>
      <c r="Z300" s="256">
        <v>0.39822312170356633</v>
      </c>
      <c r="AA300" s="256">
        <v>2.2636293230249538</v>
      </c>
      <c r="AB300" s="256">
        <v>0.10953873543332432</v>
      </c>
      <c r="AC300" s="260">
        <v>6.8234462814633343E-2</v>
      </c>
      <c r="AD300" s="405">
        <v>0</v>
      </c>
      <c r="AE300" s="257" t="s">
        <v>2220</v>
      </c>
      <c r="AF300" s="257" t="s">
        <v>741</v>
      </c>
      <c r="AG300" s="261" t="s">
        <v>741</v>
      </c>
      <c r="AH300" s="261" t="s">
        <v>2113</v>
      </c>
      <c r="AI300" s="261">
        <v>2000</v>
      </c>
      <c r="AJ300" s="261">
        <v>0</v>
      </c>
      <c r="AK300" s="261">
        <v>1000</v>
      </c>
      <c r="AL300" s="256">
        <v>1.3000000000000001E-2</v>
      </c>
      <c r="AM300" s="256">
        <v>0.2</v>
      </c>
      <c r="AN300" s="256" t="s">
        <v>2122</v>
      </c>
      <c r="AO300" s="254" t="s">
        <v>1324</v>
      </c>
      <c r="AP300" s="257" t="s">
        <v>13</v>
      </c>
      <c r="AQ300" s="263" t="s">
        <v>668</v>
      </c>
      <c r="AR300" s="256">
        <v>2.5999999999999999E-3</v>
      </c>
      <c r="AS300" s="256">
        <v>2.5999999999999999E-3</v>
      </c>
      <c r="AT300" s="256"/>
      <c r="AW300" s="508"/>
      <c r="AX300" s="508"/>
      <c r="AY300" s="509"/>
      <c r="AZ300" s="509"/>
      <c r="BA300" s="509"/>
      <c r="BB300" s="510"/>
      <c r="BC300" s="509"/>
      <c r="BD300" s="509"/>
      <c r="BE300" s="509"/>
      <c r="BF300" s="509"/>
      <c r="BG300" s="510"/>
      <c r="BH300" s="510"/>
      <c r="BI300" s="511"/>
      <c r="BJ300" s="511"/>
      <c r="BK300" s="511"/>
      <c r="BL300" s="510"/>
      <c r="BM300" s="510"/>
      <c r="BN300" s="510"/>
      <c r="BO300" s="510"/>
      <c r="BP300" s="510"/>
      <c r="BQ300" s="510"/>
      <c r="BR300" s="510"/>
      <c r="BS300" s="510"/>
      <c r="BT300" s="513"/>
      <c r="BU300" s="514"/>
      <c r="BV300" s="512"/>
      <c r="BW300" s="515"/>
    </row>
    <row r="301" spans="2:75" ht="15.75" customHeight="1">
      <c r="B301" s="250" t="s">
        <v>511</v>
      </c>
      <c r="C301" s="251">
        <v>38860877000125</v>
      </c>
      <c r="D301" s="252" t="s">
        <v>13</v>
      </c>
      <c r="E301" s="252" t="s">
        <v>616</v>
      </c>
      <c r="F301" s="252" t="s">
        <v>619</v>
      </c>
      <c r="G301" s="253"/>
      <c r="H301" s="253" t="s">
        <v>865</v>
      </c>
      <c r="I301" s="253" t="s">
        <v>34</v>
      </c>
      <c r="J301" s="253" t="s">
        <v>611</v>
      </c>
      <c r="K301" s="254"/>
      <c r="L301" s="255"/>
      <c r="M301" s="255" t="s">
        <v>1414</v>
      </c>
      <c r="N301" s="254">
        <v>563153</v>
      </c>
      <c r="O301" s="254" t="s">
        <v>1321</v>
      </c>
      <c r="P301" s="258">
        <v>44162</v>
      </c>
      <c r="Q301" s="259">
        <v>16149486.039999999</v>
      </c>
      <c r="R301" s="259">
        <v>17215751.785119049</v>
      </c>
      <c r="S301" s="254">
        <v>3</v>
      </c>
      <c r="T301" s="256">
        <v>-6.0440552461631381E-3</v>
      </c>
      <c r="U301" s="256">
        <v>-7.8132681854122213E-2</v>
      </c>
      <c r="V301" s="256">
        <v>-3.1576015385792466E-4</v>
      </c>
      <c r="W301" s="256">
        <v>-3.0955053261782525E-3</v>
      </c>
      <c r="X301" s="256" t="s">
        <v>1417</v>
      </c>
      <c r="Y301" s="256" t="s">
        <v>1417</v>
      </c>
      <c r="Z301" s="256" t="s">
        <v>1417</v>
      </c>
      <c r="AA301" s="256" t="s">
        <v>1417</v>
      </c>
      <c r="AB301" s="256">
        <v>5.4855327928405632E-2</v>
      </c>
      <c r="AC301" s="260">
        <v>-1.7495007690415298</v>
      </c>
      <c r="AD301" s="405">
        <v>0</v>
      </c>
      <c r="AE301" s="257" t="s">
        <v>2179</v>
      </c>
      <c r="AF301" s="257" t="s">
        <v>719</v>
      </c>
      <c r="AG301" s="261" t="s">
        <v>719</v>
      </c>
      <c r="AH301" s="261" t="s">
        <v>2113</v>
      </c>
      <c r="AI301" s="261">
        <v>100</v>
      </c>
      <c r="AJ301" s="261">
        <v>100</v>
      </c>
      <c r="AK301" s="261">
        <v>100</v>
      </c>
      <c r="AL301" s="256">
        <v>2.5000000000000001E-3</v>
      </c>
      <c r="AM301" s="256" t="s">
        <v>34</v>
      </c>
      <c r="AN301" s="256" t="s">
        <v>2122</v>
      </c>
      <c r="AO301" s="254" t="s">
        <v>1324</v>
      </c>
      <c r="AP301" s="257" t="s">
        <v>13</v>
      </c>
      <c r="AQ301" s="263" t="s">
        <v>668</v>
      </c>
      <c r="AR301" s="256" t="s">
        <v>34</v>
      </c>
      <c r="AS301" s="256" t="s">
        <v>34</v>
      </c>
      <c r="AT301" s="256"/>
      <c r="AW301" s="508"/>
      <c r="AX301" s="508"/>
      <c r="AY301" s="509"/>
      <c r="AZ301" s="509"/>
      <c r="BA301" s="509"/>
      <c r="BB301" s="510"/>
      <c r="BC301" s="509"/>
      <c r="BD301" s="509"/>
      <c r="BE301" s="509"/>
      <c r="BF301" s="509"/>
      <c r="BG301" s="510"/>
      <c r="BH301" s="510"/>
      <c r="BI301" s="511"/>
      <c r="BJ301" s="511"/>
      <c r="BK301" s="511"/>
      <c r="BL301" s="510"/>
      <c r="BM301" s="510"/>
      <c r="BN301" s="510"/>
      <c r="BO301" s="510"/>
      <c r="BP301" s="510"/>
      <c r="BQ301" s="510"/>
      <c r="BR301" s="510"/>
      <c r="BS301" s="510"/>
      <c r="BT301" s="513"/>
      <c r="BU301" s="514"/>
      <c r="BV301" s="512"/>
      <c r="BW301" s="515"/>
    </row>
    <row r="302" spans="2:75" ht="15.75" customHeight="1">
      <c r="B302" s="250" t="s">
        <v>825</v>
      </c>
      <c r="C302" s="251">
        <v>35847901000106</v>
      </c>
      <c r="D302" s="252" t="s">
        <v>13</v>
      </c>
      <c r="E302" s="252" t="s">
        <v>615</v>
      </c>
      <c r="F302" s="252" t="s">
        <v>619</v>
      </c>
      <c r="G302" s="253" t="s">
        <v>34</v>
      </c>
      <c r="H302" s="253" t="s">
        <v>1337</v>
      </c>
      <c r="I302" s="253" t="s">
        <v>34</v>
      </c>
      <c r="J302" s="253"/>
      <c r="K302" s="254" t="s">
        <v>48</v>
      </c>
      <c r="L302" s="255"/>
      <c r="M302" s="255" t="s">
        <v>1414</v>
      </c>
      <c r="N302" s="254">
        <v>531626</v>
      </c>
      <c r="O302" s="254" t="s">
        <v>1321</v>
      </c>
      <c r="P302" s="258">
        <v>43921</v>
      </c>
      <c r="Q302" s="259">
        <v>53500113.259999998</v>
      </c>
      <c r="R302" s="259">
        <v>68287806.664999977</v>
      </c>
      <c r="S302" s="254">
        <v>3</v>
      </c>
      <c r="T302" s="256">
        <v>7.331909331099884E-2</v>
      </c>
      <c r="U302" s="256">
        <v>0.94781022975221629</v>
      </c>
      <c r="V302" s="256">
        <v>7.4426912460505923E-2</v>
      </c>
      <c r="W302" s="256">
        <v>0.72963260600690438</v>
      </c>
      <c r="X302" s="256">
        <v>8.6990190768906572E-2</v>
      </c>
      <c r="Y302" s="256">
        <v>0.65966241928650948</v>
      </c>
      <c r="Z302" s="256" t="s">
        <v>1417</v>
      </c>
      <c r="AA302" s="256" t="s">
        <v>1417</v>
      </c>
      <c r="AB302" s="256">
        <v>2.1225580064202922E-2</v>
      </c>
      <c r="AC302" s="260">
        <v>-1.1839451413876576</v>
      </c>
      <c r="AD302" s="405">
        <v>0</v>
      </c>
      <c r="AE302" s="257" t="s">
        <v>2179</v>
      </c>
      <c r="AF302" s="257" t="s">
        <v>719</v>
      </c>
      <c r="AG302" s="261" t="s">
        <v>719</v>
      </c>
      <c r="AH302" s="261" t="s">
        <v>2113</v>
      </c>
      <c r="AI302" s="261">
        <v>100</v>
      </c>
      <c r="AJ302" s="261">
        <v>100</v>
      </c>
      <c r="AK302" s="261">
        <v>100</v>
      </c>
      <c r="AL302" s="256">
        <v>0.01</v>
      </c>
      <c r="AM302" s="256">
        <v>0.3</v>
      </c>
      <c r="AN302" s="256" t="s">
        <v>2122</v>
      </c>
      <c r="AO302" s="254" t="s">
        <v>1324</v>
      </c>
      <c r="AP302" s="257" t="s">
        <v>13</v>
      </c>
      <c r="AQ302" s="263" t="s">
        <v>668</v>
      </c>
      <c r="AR302" s="256">
        <v>2.6666666666666666E-3</v>
      </c>
      <c r="AS302" s="256">
        <v>2.6666666666666666E-3</v>
      </c>
      <c r="AT302" s="256"/>
      <c r="AW302" s="508"/>
      <c r="AX302" s="508"/>
      <c r="AY302" s="509"/>
      <c r="AZ302" s="509"/>
      <c r="BA302" s="509"/>
      <c r="BB302" s="510"/>
      <c r="BC302" s="509"/>
      <c r="BD302" s="509"/>
      <c r="BE302" s="509"/>
      <c r="BF302" s="509"/>
      <c r="BG302" s="510"/>
      <c r="BH302" s="510"/>
      <c r="BI302" s="511"/>
      <c r="BJ302" s="511"/>
      <c r="BK302" s="511"/>
      <c r="BL302" s="510"/>
      <c r="BM302" s="510"/>
      <c r="BN302" s="510"/>
      <c r="BO302" s="510"/>
      <c r="BP302" s="510"/>
      <c r="BQ302" s="510"/>
      <c r="BR302" s="510"/>
      <c r="BS302" s="510"/>
      <c r="BT302" s="513"/>
      <c r="BU302" s="514"/>
      <c r="BV302" s="512"/>
      <c r="BW302" s="515"/>
    </row>
    <row r="303" spans="2:75" ht="15.75" customHeight="1">
      <c r="B303" s="250" t="s">
        <v>852</v>
      </c>
      <c r="C303" s="251">
        <v>11952873000110</v>
      </c>
      <c r="D303" s="252" t="s">
        <v>13</v>
      </c>
      <c r="E303" s="252" t="s">
        <v>615</v>
      </c>
      <c r="F303" s="252" t="s">
        <v>619</v>
      </c>
      <c r="G303" s="253" t="s">
        <v>34</v>
      </c>
      <c r="H303" s="253" t="s">
        <v>1337</v>
      </c>
      <c r="I303" s="253" t="s">
        <v>34</v>
      </c>
      <c r="J303" s="253"/>
      <c r="K303" s="254" t="s">
        <v>48</v>
      </c>
      <c r="L303" s="255"/>
      <c r="M303" s="255" t="s">
        <v>34</v>
      </c>
      <c r="N303" s="254">
        <v>249378</v>
      </c>
      <c r="O303" s="254" t="s">
        <v>1321</v>
      </c>
      <c r="P303" s="258">
        <v>40330</v>
      </c>
      <c r="Q303" s="259">
        <v>139644007.13999999</v>
      </c>
      <c r="R303" s="259">
        <v>70034949.857698366</v>
      </c>
      <c r="S303" s="254">
        <v>3</v>
      </c>
      <c r="T303" s="256">
        <v>0.13176763749650244</v>
      </c>
      <c r="U303" s="256">
        <v>1.7033859685050343</v>
      </c>
      <c r="V303" s="256">
        <v>0.15190551570832422</v>
      </c>
      <c r="W303" s="256">
        <v>1.489181985775659</v>
      </c>
      <c r="X303" s="256">
        <v>0.21004412149872387</v>
      </c>
      <c r="Y303" s="256">
        <v>1.5928027300554377</v>
      </c>
      <c r="Z303" s="256">
        <v>0.24415698511675132</v>
      </c>
      <c r="AA303" s="256">
        <v>1.3878674562323785</v>
      </c>
      <c r="AB303" s="256">
        <v>3.2727123473399108E-2</v>
      </c>
      <c r="AC303" s="260">
        <v>1.3700852728707009</v>
      </c>
      <c r="AD303" s="405">
        <v>0</v>
      </c>
      <c r="AE303" s="257" t="s">
        <v>2144</v>
      </c>
      <c r="AF303" s="257" t="s">
        <v>2109</v>
      </c>
      <c r="AG303" s="261" t="s">
        <v>1432</v>
      </c>
      <c r="AH303" s="261" t="s">
        <v>2113</v>
      </c>
      <c r="AI303" s="261">
        <v>5000</v>
      </c>
      <c r="AJ303" s="261">
        <v>1000</v>
      </c>
      <c r="AK303" s="261">
        <v>1000</v>
      </c>
      <c r="AL303" s="256">
        <v>1.2500000000000001E-2</v>
      </c>
      <c r="AM303" s="256">
        <v>0.2</v>
      </c>
      <c r="AN303" s="256" t="s">
        <v>2127</v>
      </c>
      <c r="AO303" s="254" t="s">
        <v>1324</v>
      </c>
      <c r="AP303" s="257" t="s">
        <v>11</v>
      </c>
      <c r="AQ303" s="263" t="s">
        <v>688</v>
      </c>
      <c r="AR303" s="256">
        <v>4.3749999999999995E-3</v>
      </c>
      <c r="AS303" s="256">
        <v>4.3749999999999995E-3</v>
      </c>
      <c r="AT303" s="256"/>
      <c r="AW303" s="508"/>
      <c r="AX303" s="508"/>
      <c r="AY303" s="509"/>
      <c r="AZ303" s="509"/>
      <c r="BA303" s="509"/>
      <c r="BB303" s="510"/>
      <c r="BC303" s="509"/>
      <c r="BD303" s="509"/>
      <c r="BE303" s="509"/>
      <c r="BF303" s="509"/>
      <c r="BG303" s="510"/>
      <c r="BH303" s="510"/>
      <c r="BI303" s="511"/>
      <c r="BJ303" s="511"/>
      <c r="BK303" s="511"/>
      <c r="BL303" s="510"/>
      <c r="BM303" s="510"/>
      <c r="BN303" s="510"/>
      <c r="BO303" s="510"/>
      <c r="BP303" s="510"/>
      <c r="BQ303" s="510"/>
      <c r="BR303" s="510"/>
      <c r="BS303" s="510"/>
      <c r="BT303" s="513"/>
      <c r="BU303" s="514"/>
      <c r="BV303" s="512"/>
      <c r="BW303" s="515"/>
    </row>
    <row r="304" spans="2:75" ht="15.75" customHeight="1">
      <c r="B304" s="250" t="s">
        <v>512</v>
      </c>
      <c r="C304" s="251">
        <v>12672120000114</v>
      </c>
      <c r="D304" s="252" t="s">
        <v>13</v>
      </c>
      <c r="E304" s="252" t="s">
        <v>615</v>
      </c>
      <c r="F304" s="252" t="s">
        <v>619</v>
      </c>
      <c r="G304" s="253" t="s">
        <v>34</v>
      </c>
      <c r="H304" s="253" t="s">
        <v>1337</v>
      </c>
      <c r="I304" s="253" t="s">
        <v>34</v>
      </c>
      <c r="J304" s="253"/>
      <c r="K304" s="254" t="s">
        <v>48</v>
      </c>
      <c r="L304" s="255"/>
      <c r="M304" s="255" t="s">
        <v>1414</v>
      </c>
      <c r="N304" s="254">
        <v>403679</v>
      </c>
      <c r="O304" s="254" t="s">
        <v>1321</v>
      </c>
      <c r="P304" s="258">
        <v>42199</v>
      </c>
      <c r="Q304" s="259">
        <v>178351074.72999999</v>
      </c>
      <c r="R304" s="259">
        <v>145298474.96234128</v>
      </c>
      <c r="S304" s="254">
        <v>3</v>
      </c>
      <c r="T304" s="256">
        <v>6.167042060029515E-2</v>
      </c>
      <c r="U304" s="256">
        <v>0.79722556401707445</v>
      </c>
      <c r="V304" s="256">
        <v>9.0583148238009725E-2</v>
      </c>
      <c r="W304" s="256">
        <v>0.88801773880221357</v>
      </c>
      <c r="X304" s="256">
        <v>0.13216995250107821</v>
      </c>
      <c r="Y304" s="256">
        <v>1.0022687598819275</v>
      </c>
      <c r="Z304" s="256">
        <v>0.23054571466852281</v>
      </c>
      <c r="AA304" s="256">
        <v>1.3104965823905315</v>
      </c>
      <c r="AB304" s="256">
        <v>2.6975459011612673E-2</v>
      </c>
      <c r="AC304" s="260">
        <v>-0.37302063573785382</v>
      </c>
      <c r="AD304" s="405">
        <v>0</v>
      </c>
      <c r="AE304" s="257" t="s">
        <v>2224</v>
      </c>
      <c r="AF304" s="257" t="s">
        <v>741</v>
      </c>
      <c r="AG304" s="261" t="s">
        <v>741</v>
      </c>
      <c r="AH304" s="261" t="s">
        <v>2113</v>
      </c>
      <c r="AI304" s="261">
        <v>500</v>
      </c>
      <c r="AJ304" s="261">
        <v>500</v>
      </c>
      <c r="AK304" s="261">
        <v>500</v>
      </c>
      <c r="AL304" s="256">
        <v>5.0000000000000001E-3</v>
      </c>
      <c r="AM304" s="256" t="s">
        <v>34</v>
      </c>
      <c r="AN304" s="256" t="s">
        <v>636</v>
      </c>
      <c r="AO304" s="254" t="s">
        <v>1324</v>
      </c>
      <c r="AP304" s="257" t="s">
        <v>11</v>
      </c>
      <c r="AQ304" s="263" t="s">
        <v>676</v>
      </c>
      <c r="AR304" s="256">
        <v>6.6666666666666664E-4</v>
      </c>
      <c r="AS304" s="256">
        <v>6.6666666666666664E-4</v>
      </c>
      <c r="AT304" s="256"/>
      <c r="AW304" s="508"/>
      <c r="AX304" s="508"/>
      <c r="AY304" s="509"/>
      <c r="AZ304" s="509"/>
      <c r="BA304" s="509"/>
      <c r="BB304" s="510"/>
      <c r="BC304" s="509"/>
      <c r="BD304" s="509"/>
      <c r="BE304" s="509"/>
      <c r="BF304" s="509"/>
      <c r="BG304" s="510"/>
      <c r="BH304" s="510"/>
      <c r="BI304" s="511"/>
      <c r="BJ304" s="511"/>
      <c r="BK304" s="511"/>
      <c r="BL304" s="510"/>
      <c r="BM304" s="510"/>
      <c r="BN304" s="510"/>
      <c r="BO304" s="510"/>
      <c r="BP304" s="510"/>
      <c r="BQ304" s="510"/>
      <c r="BR304" s="510"/>
      <c r="BS304" s="510"/>
      <c r="BT304" s="513"/>
      <c r="BU304" s="514"/>
      <c r="BV304" s="512"/>
      <c r="BW304" s="515"/>
    </row>
    <row r="305" spans="2:75" ht="15.75" customHeight="1">
      <c r="B305" s="250" t="s">
        <v>1602</v>
      </c>
      <c r="C305" s="251">
        <v>38075290000105</v>
      </c>
      <c r="D305" s="252" t="s">
        <v>13</v>
      </c>
      <c r="E305" s="252" t="s">
        <v>615</v>
      </c>
      <c r="F305" s="252" t="s">
        <v>619</v>
      </c>
      <c r="G305" s="253" t="s">
        <v>34</v>
      </c>
      <c r="H305" s="253" t="s">
        <v>1337</v>
      </c>
      <c r="I305" s="253" t="s">
        <v>34</v>
      </c>
      <c r="J305" s="253" t="s">
        <v>611</v>
      </c>
      <c r="K305" s="254" t="s">
        <v>48</v>
      </c>
      <c r="L305" s="255"/>
      <c r="M305" s="255"/>
      <c r="N305" s="254">
        <v>564461</v>
      </c>
      <c r="O305" s="254" t="s">
        <v>1321</v>
      </c>
      <c r="P305" s="258">
        <v>44167</v>
      </c>
      <c r="Q305" s="259">
        <v>52332885.119999997</v>
      </c>
      <c r="R305" s="259">
        <v>67283887.010634959</v>
      </c>
      <c r="S305" s="254">
        <v>3</v>
      </c>
      <c r="T305" s="256">
        <v>0.11068492536294339</v>
      </c>
      <c r="U305" s="256">
        <v>1.2449744686800315</v>
      </c>
      <c r="V305" s="256">
        <v>0.10151266815900639</v>
      </c>
      <c r="W305" s="256">
        <v>0.93165366850015963</v>
      </c>
      <c r="X305" s="256" t="s">
        <v>1417</v>
      </c>
      <c r="Y305" s="256" t="s">
        <v>1417</v>
      </c>
      <c r="Z305" s="256" t="s">
        <v>1417</v>
      </c>
      <c r="AA305" s="256" t="s">
        <v>1417</v>
      </c>
      <c r="AB305" s="256">
        <v>3.1862115500958396E-2</v>
      </c>
      <c r="AC305" s="260">
        <v>-0.19571625690090483</v>
      </c>
      <c r="AD305" s="405">
        <v>36977246000165</v>
      </c>
      <c r="AE305" s="257" t="s">
        <v>2288</v>
      </c>
      <c r="AF305" s="257" t="s">
        <v>2289</v>
      </c>
      <c r="AG305" s="261" t="s">
        <v>719</v>
      </c>
      <c r="AH305" s="261" t="s">
        <v>2119</v>
      </c>
      <c r="AI305" s="261" t="s">
        <v>1427</v>
      </c>
      <c r="AJ305" s="261" t="s">
        <v>1427</v>
      </c>
      <c r="AK305" s="261" t="s">
        <v>1427</v>
      </c>
      <c r="AL305" s="256">
        <v>0.02</v>
      </c>
      <c r="AM305" s="256" t="s">
        <v>34</v>
      </c>
      <c r="AN305" s="256" t="s">
        <v>64</v>
      </c>
      <c r="AO305" s="254" t="s">
        <v>1321</v>
      </c>
      <c r="AP305" s="257" t="s">
        <v>13</v>
      </c>
      <c r="AQ305" s="263" t="s">
        <v>2177</v>
      </c>
      <c r="AR305" s="256" t="s">
        <v>34</v>
      </c>
      <c r="AS305" s="256" t="s">
        <v>34</v>
      </c>
      <c r="AT305" s="256"/>
      <c r="AW305" s="508"/>
      <c r="AX305" s="508"/>
      <c r="AY305" s="509"/>
      <c r="AZ305" s="509"/>
      <c r="BA305" s="509"/>
      <c r="BB305" s="510"/>
      <c r="BC305" s="509"/>
      <c r="BD305" s="509"/>
      <c r="BE305" s="509"/>
      <c r="BF305" s="509"/>
      <c r="BG305" s="510"/>
      <c r="BH305" s="510"/>
      <c r="BI305" s="511"/>
      <c r="BJ305" s="511"/>
      <c r="BK305" s="511"/>
      <c r="BL305" s="510"/>
      <c r="BM305" s="510"/>
      <c r="BN305" s="510"/>
      <c r="BO305" s="510"/>
      <c r="BP305" s="510"/>
      <c r="BQ305" s="510"/>
      <c r="BR305" s="510"/>
      <c r="BS305" s="510"/>
      <c r="BT305" s="513"/>
      <c r="BU305" s="514"/>
      <c r="BV305" s="512"/>
      <c r="BW305" s="515"/>
    </row>
    <row r="306" spans="2:75" ht="15.75" customHeight="1">
      <c r="B306" s="250" t="s">
        <v>323</v>
      </c>
      <c r="C306" s="251">
        <v>5448587000110</v>
      </c>
      <c r="D306" s="252" t="s">
        <v>13</v>
      </c>
      <c r="E306" s="252" t="s">
        <v>615</v>
      </c>
      <c r="F306" s="252" t="s">
        <v>619</v>
      </c>
      <c r="G306" s="253"/>
      <c r="H306" s="253" t="s">
        <v>1337</v>
      </c>
      <c r="I306" s="253" t="s">
        <v>34</v>
      </c>
      <c r="J306" s="253" t="s">
        <v>608</v>
      </c>
      <c r="K306" s="254" t="s">
        <v>48</v>
      </c>
      <c r="L306" s="255"/>
      <c r="M306" s="255" t="s">
        <v>34</v>
      </c>
      <c r="N306" s="254">
        <v>114995</v>
      </c>
      <c r="O306" s="254" t="s">
        <v>1321</v>
      </c>
      <c r="P306" s="258">
        <v>37749</v>
      </c>
      <c r="Q306" s="259">
        <v>1191347548.6099999</v>
      </c>
      <c r="R306" s="259">
        <v>1208367091.9415476</v>
      </c>
      <c r="S306" s="254">
        <v>3</v>
      </c>
      <c r="T306" s="256">
        <v>9.4882305109494247E-2</v>
      </c>
      <c r="U306" s="256">
        <v>1.2265620774085442</v>
      </c>
      <c r="V306" s="256">
        <v>0.13030037009250761</v>
      </c>
      <c r="W306" s="256">
        <v>1.2773793168527492</v>
      </c>
      <c r="X306" s="256">
        <v>0.17772589964366792</v>
      </c>
      <c r="Y306" s="256">
        <v>1.3477277827825944</v>
      </c>
      <c r="Z306" s="256">
        <v>0.24791678932336492</v>
      </c>
      <c r="AA306" s="256">
        <v>1.4092394022271628</v>
      </c>
      <c r="AB306" s="256">
        <v>2.5040911223186007E-2</v>
      </c>
      <c r="AC306" s="260">
        <v>1.0252463020922884</v>
      </c>
      <c r="AD306" s="405">
        <v>0</v>
      </c>
      <c r="AE306" s="257" t="s">
        <v>2348</v>
      </c>
      <c r="AF306" s="257" t="s">
        <v>2118</v>
      </c>
      <c r="AG306" s="261" t="s">
        <v>1433</v>
      </c>
      <c r="AH306" s="261" t="s">
        <v>2113</v>
      </c>
      <c r="AI306" s="261">
        <v>50000</v>
      </c>
      <c r="AJ306" s="261">
        <v>5000</v>
      </c>
      <c r="AK306" s="261">
        <v>25000</v>
      </c>
      <c r="AL306" s="256">
        <v>0.02</v>
      </c>
      <c r="AM306" s="256">
        <v>0.2</v>
      </c>
      <c r="AN306" s="256" t="s">
        <v>64</v>
      </c>
      <c r="AO306" s="254" t="s">
        <v>1324</v>
      </c>
      <c r="AP306" s="257" t="s">
        <v>13</v>
      </c>
      <c r="AQ306" s="263" t="s">
        <v>664</v>
      </c>
      <c r="AR306" s="256">
        <v>5.3333333333333332E-3</v>
      </c>
      <c r="AS306" s="256">
        <v>5.3333333333333332E-3</v>
      </c>
      <c r="AT306" s="256"/>
      <c r="AW306" s="508"/>
      <c r="AX306" s="508"/>
      <c r="AY306" s="509"/>
      <c r="AZ306" s="509"/>
      <c r="BA306" s="509"/>
      <c r="BB306" s="510"/>
      <c r="BC306" s="509"/>
      <c r="BD306" s="509"/>
      <c r="BE306" s="509"/>
      <c r="BF306" s="509"/>
      <c r="BG306" s="510"/>
      <c r="BH306" s="510"/>
      <c r="BI306" s="511"/>
      <c r="BJ306" s="511"/>
      <c r="BK306" s="511"/>
      <c r="BL306" s="510"/>
      <c r="BM306" s="510"/>
      <c r="BN306" s="510"/>
      <c r="BO306" s="510"/>
      <c r="BP306" s="510"/>
      <c r="BQ306" s="510"/>
      <c r="BR306" s="510"/>
      <c r="BS306" s="510"/>
      <c r="BT306" s="513"/>
      <c r="BU306" s="514"/>
      <c r="BV306" s="512"/>
      <c r="BW306" s="515"/>
    </row>
    <row r="307" spans="2:75" ht="15.75" customHeight="1">
      <c r="B307" s="250" t="s">
        <v>1685</v>
      </c>
      <c r="C307" s="251">
        <v>23339998000159</v>
      </c>
      <c r="D307" s="252" t="s">
        <v>13</v>
      </c>
      <c r="E307" s="252" t="s">
        <v>615</v>
      </c>
      <c r="F307" s="252" t="s">
        <v>619</v>
      </c>
      <c r="G307" s="253" t="s">
        <v>34</v>
      </c>
      <c r="H307" s="253" t="s">
        <v>1337</v>
      </c>
      <c r="I307" s="253"/>
      <c r="J307" s="253" t="s">
        <v>608</v>
      </c>
      <c r="K307" s="254" t="s">
        <v>48</v>
      </c>
      <c r="L307" s="255"/>
      <c r="M307" s="255"/>
      <c r="N307" s="254">
        <v>410349</v>
      </c>
      <c r="O307" s="254" t="s">
        <v>1321</v>
      </c>
      <c r="P307" s="258">
        <v>42359</v>
      </c>
      <c r="Q307" s="259">
        <v>24019429.440000001</v>
      </c>
      <c r="R307" s="259">
        <v>22425489.773809507</v>
      </c>
      <c r="S307" s="254">
        <v>3</v>
      </c>
      <c r="T307" s="256">
        <v>0.12446916647728501</v>
      </c>
      <c r="U307" s="256">
        <v>1.4000184207016164</v>
      </c>
      <c r="V307" s="256">
        <v>0.11397145132086339</v>
      </c>
      <c r="W307" s="256">
        <v>1.0459967475295751</v>
      </c>
      <c r="X307" s="256">
        <v>0.15224599217318757</v>
      </c>
      <c r="Y307" s="256">
        <v>1.0705619136328357</v>
      </c>
      <c r="Z307" s="256">
        <v>0.16818753943214348</v>
      </c>
      <c r="AA307" s="256">
        <v>0.91907152090677113</v>
      </c>
      <c r="AB307" s="256">
        <v>3.685027158611049E-2</v>
      </c>
      <c r="AC307" s="260">
        <v>0.14074673491976344</v>
      </c>
      <c r="AD307" s="405">
        <v>22918586000100</v>
      </c>
      <c r="AE307" s="257" t="s">
        <v>2254</v>
      </c>
      <c r="AF307" s="257" t="s">
        <v>2121</v>
      </c>
      <c r="AG307" s="261" t="s">
        <v>59</v>
      </c>
      <c r="AH307" s="261" t="s">
        <v>2113</v>
      </c>
      <c r="AI307" s="261">
        <v>50000</v>
      </c>
      <c r="AJ307" s="261">
        <v>50000</v>
      </c>
      <c r="AK307" s="261">
        <v>50000</v>
      </c>
      <c r="AL307" s="256">
        <v>4.5000000000000005E-3</v>
      </c>
      <c r="AM307" s="256">
        <v>0.2</v>
      </c>
      <c r="AN307" s="256" t="s">
        <v>64</v>
      </c>
      <c r="AO307" s="254" t="s">
        <v>1324</v>
      </c>
      <c r="AP307" s="257" t="s">
        <v>13</v>
      </c>
      <c r="AQ307" s="263" t="s">
        <v>664</v>
      </c>
      <c r="AR307" s="256" t="s">
        <v>34</v>
      </c>
      <c r="AS307" s="256" t="s">
        <v>34</v>
      </c>
      <c r="AT307" s="256"/>
      <c r="AW307" s="508"/>
      <c r="AX307" s="508"/>
      <c r="AY307" s="509"/>
      <c r="AZ307" s="509"/>
      <c r="BA307" s="509"/>
      <c r="BB307" s="510"/>
      <c r="BC307" s="509"/>
      <c r="BD307" s="509"/>
      <c r="BE307" s="509"/>
      <c r="BF307" s="509"/>
      <c r="BG307" s="510"/>
      <c r="BH307" s="510"/>
      <c r="BI307" s="511"/>
      <c r="BJ307" s="511"/>
      <c r="BK307" s="511"/>
      <c r="BL307" s="510"/>
      <c r="BM307" s="510"/>
      <c r="BN307" s="510"/>
      <c r="BO307" s="510"/>
      <c r="BP307" s="510"/>
      <c r="BQ307" s="510"/>
      <c r="BR307" s="510"/>
      <c r="BS307" s="510"/>
      <c r="BT307" s="513"/>
      <c r="BU307" s="514"/>
      <c r="BV307" s="512"/>
      <c r="BW307" s="515"/>
    </row>
    <row r="308" spans="2:75" ht="15.75" customHeight="1">
      <c r="B308" s="250" t="s">
        <v>537</v>
      </c>
      <c r="C308" s="251">
        <v>25108749000188</v>
      </c>
      <c r="D308" s="252" t="s">
        <v>13</v>
      </c>
      <c r="E308" s="252" t="s">
        <v>615</v>
      </c>
      <c r="F308" s="252" t="s">
        <v>619</v>
      </c>
      <c r="G308" s="253" t="s">
        <v>34</v>
      </c>
      <c r="H308" s="253" t="s">
        <v>1338</v>
      </c>
      <c r="I308" s="253" t="s">
        <v>34</v>
      </c>
      <c r="J308" s="253"/>
      <c r="K308" s="254" t="s">
        <v>48</v>
      </c>
      <c r="L308" s="255"/>
      <c r="M308" s="255" t="s">
        <v>1414</v>
      </c>
      <c r="N308" s="254">
        <v>422754</v>
      </c>
      <c r="O308" s="254" t="s">
        <v>1321</v>
      </c>
      <c r="P308" s="258">
        <v>42577</v>
      </c>
      <c r="Q308" s="259">
        <v>13471268.300000001</v>
      </c>
      <c r="R308" s="259">
        <v>15022467.452500008</v>
      </c>
      <c r="S308" s="254">
        <v>3</v>
      </c>
      <c r="T308" s="256">
        <v>0.10419342007650489</v>
      </c>
      <c r="U308" s="256">
        <v>1.3469286779432479</v>
      </c>
      <c r="V308" s="256">
        <v>6.380511705880143E-2</v>
      </c>
      <c r="W308" s="256">
        <v>0.62550349459804011</v>
      </c>
      <c r="X308" s="256">
        <v>7.8396175477246643E-2</v>
      </c>
      <c r="Y308" s="256">
        <v>0.59449244013630853</v>
      </c>
      <c r="Z308" s="256">
        <v>-1.1003118399311895E-2</v>
      </c>
      <c r="AA308" s="256">
        <v>-6.2545292063523938E-2</v>
      </c>
      <c r="AB308" s="256">
        <v>0.14581596671802108</v>
      </c>
      <c r="AC308" s="260">
        <v>-0.16964327828212664</v>
      </c>
      <c r="AD308" s="405">
        <v>0</v>
      </c>
      <c r="AE308" s="257" t="s">
        <v>2372</v>
      </c>
      <c r="AF308" s="257" t="s">
        <v>2109</v>
      </c>
      <c r="AG308" s="261" t="s">
        <v>741</v>
      </c>
      <c r="AH308" s="261" t="s">
        <v>2113</v>
      </c>
      <c r="AI308" s="261">
        <v>5000</v>
      </c>
      <c r="AJ308" s="261">
        <v>5000</v>
      </c>
      <c r="AK308" s="261">
        <v>5000</v>
      </c>
      <c r="AL308" s="256">
        <v>7.4999999999999997E-3</v>
      </c>
      <c r="AM308" s="256" t="s">
        <v>34</v>
      </c>
      <c r="AN308" s="256" t="s">
        <v>2127</v>
      </c>
      <c r="AO308" s="254" t="s">
        <v>1324</v>
      </c>
      <c r="AP308" s="257" t="s">
        <v>13</v>
      </c>
      <c r="AQ308" s="263" t="s">
        <v>668</v>
      </c>
      <c r="AR308" s="256" t="s">
        <v>34</v>
      </c>
      <c r="AS308" s="256" t="s">
        <v>34</v>
      </c>
      <c r="AT308" s="256"/>
      <c r="AW308" s="508"/>
      <c r="AX308" s="508"/>
      <c r="AY308" s="509"/>
      <c r="AZ308" s="509"/>
      <c r="BA308" s="509"/>
      <c r="BB308" s="510"/>
      <c r="BC308" s="509"/>
      <c r="BD308" s="509"/>
      <c r="BE308" s="509"/>
      <c r="BF308" s="509"/>
      <c r="BG308" s="510"/>
      <c r="BH308" s="510"/>
      <c r="BI308" s="511"/>
      <c r="BJ308" s="511"/>
      <c r="BK308" s="511"/>
      <c r="BL308" s="510"/>
      <c r="BM308" s="510"/>
      <c r="BN308" s="510"/>
      <c r="BO308" s="510"/>
      <c r="BP308" s="510"/>
      <c r="BQ308" s="510"/>
      <c r="BR308" s="510"/>
      <c r="BS308" s="510"/>
      <c r="BT308" s="513"/>
      <c r="BU308" s="514"/>
      <c r="BV308" s="512"/>
      <c r="BW308" s="515"/>
    </row>
    <row r="309" spans="2:75" ht="15.75" customHeight="1">
      <c r="B309" s="250" t="s">
        <v>1202</v>
      </c>
      <c r="C309" s="251">
        <v>4066545000151</v>
      </c>
      <c r="D309" s="252" t="s">
        <v>13</v>
      </c>
      <c r="E309" s="252" t="s">
        <v>615</v>
      </c>
      <c r="F309" s="252" t="s">
        <v>619</v>
      </c>
      <c r="G309" s="253" t="s">
        <v>34</v>
      </c>
      <c r="H309" s="253" t="s">
        <v>1337</v>
      </c>
      <c r="I309" s="253" t="s">
        <v>34</v>
      </c>
      <c r="J309" s="253"/>
      <c r="K309" s="254" t="s">
        <v>48</v>
      </c>
      <c r="L309" s="255"/>
      <c r="M309" s="255" t="s">
        <v>1414</v>
      </c>
      <c r="N309" s="254">
        <v>95141</v>
      </c>
      <c r="O309" s="254" t="s">
        <v>1321</v>
      </c>
      <c r="P309" s="258">
        <v>37043</v>
      </c>
      <c r="Q309" s="259">
        <v>38390969.270000003</v>
      </c>
      <c r="R309" s="259">
        <v>41798285.735158756</v>
      </c>
      <c r="S309" s="254">
        <v>3</v>
      </c>
      <c r="T309" s="256">
        <v>8.7471736481803397E-2</v>
      </c>
      <c r="U309" s="256">
        <v>1.1307642103534621</v>
      </c>
      <c r="V309" s="256">
        <v>9.8692711765663965E-2</v>
      </c>
      <c r="W309" s="256">
        <v>0.96751857760700366</v>
      </c>
      <c r="X309" s="256">
        <v>0.14316804421907592</v>
      </c>
      <c r="Y309" s="256">
        <v>1.0856692872988936</v>
      </c>
      <c r="Z309" s="256">
        <v>0.20412238402755256</v>
      </c>
      <c r="AA309" s="256">
        <v>1.1602978048936088</v>
      </c>
      <c r="AB309" s="256">
        <v>3.3929286987082516E-2</v>
      </c>
      <c r="AC309" s="260">
        <v>-7.191711930143746E-2</v>
      </c>
      <c r="AD309" s="405">
        <v>0</v>
      </c>
      <c r="AE309" s="257" t="s">
        <v>2404</v>
      </c>
      <c r="AF309" s="257" t="s">
        <v>2289</v>
      </c>
      <c r="AG309" s="261" t="s">
        <v>719</v>
      </c>
      <c r="AH309" s="261" t="s">
        <v>2113</v>
      </c>
      <c r="AI309" s="261">
        <v>1000</v>
      </c>
      <c r="AJ309" s="261">
        <v>1000</v>
      </c>
      <c r="AK309" s="261">
        <v>1000</v>
      </c>
      <c r="AL309" s="256">
        <v>5.0000000000000001E-3</v>
      </c>
      <c r="AM309" s="256" t="s">
        <v>34</v>
      </c>
      <c r="AN309" s="256" t="s">
        <v>64</v>
      </c>
      <c r="AO309" s="254" t="s">
        <v>1324</v>
      </c>
      <c r="AP309" s="257" t="s">
        <v>13</v>
      </c>
      <c r="AQ309" s="263" t="s">
        <v>668</v>
      </c>
      <c r="AR309" s="256">
        <v>1E-3</v>
      </c>
      <c r="AS309" s="256">
        <v>1E-3</v>
      </c>
      <c r="AT309" s="256"/>
      <c r="AW309" s="508"/>
      <c r="AX309" s="508"/>
      <c r="AY309" s="509"/>
      <c r="AZ309" s="509"/>
      <c r="BA309" s="509"/>
      <c r="BB309" s="510"/>
      <c r="BC309" s="509"/>
      <c r="BD309" s="509"/>
      <c r="BE309" s="509"/>
      <c r="BF309" s="509"/>
      <c r="BG309" s="510"/>
      <c r="BH309" s="510"/>
      <c r="BI309" s="511"/>
      <c r="BJ309" s="511"/>
      <c r="BK309" s="511"/>
      <c r="BL309" s="510"/>
      <c r="BM309" s="510"/>
      <c r="BN309" s="510"/>
      <c r="BO309" s="510"/>
      <c r="BP309" s="510"/>
      <c r="BQ309" s="510"/>
      <c r="BR309" s="510"/>
      <c r="BS309" s="510"/>
      <c r="BT309" s="513"/>
      <c r="BU309" s="514"/>
      <c r="BV309" s="512"/>
      <c r="BW309" s="515"/>
    </row>
    <row r="310" spans="2:75" ht="15.75" customHeight="1">
      <c r="B310" s="250" t="s">
        <v>409</v>
      </c>
      <c r="C310" s="251">
        <v>31951995000108</v>
      </c>
      <c r="D310" s="252" t="s">
        <v>13</v>
      </c>
      <c r="E310" s="252" t="s">
        <v>615</v>
      </c>
      <c r="F310" s="252" t="s">
        <v>619</v>
      </c>
      <c r="G310" s="253" t="s">
        <v>34</v>
      </c>
      <c r="H310" s="253" t="s">
        <v>1337</v>
      </c>
      <c r="I310" s="253" t="s">
        <v>34</v>
      </c>
      <c r="J310" s="253"/>
      <c r="K310" s="254" t="s">
        <v>48</v>
      </c>
      <c r="L310" s="255"/>
      <c r="M310" s="255" t="s">
        <v>1414</v>
      </c>
      <c r="N310" s="254">
        <v>481025</v>
      </c>
      <c r="O310" s="254" t="s">
        <v>1321</v>
      </c>
      <c r="P310" s="258">
        <v>43437</v>
      </c>
      <c r="Q310" s="259">
        <v>39912420.039999999</v>
      </c>
      <c r="R310" s="259">
        <v>39051353.127539657</v>
      </c>
      <c r="S310" s="254">
        <v>3</v>
      </c>
      <c r="T310" s="256">
        <v>3.7925411552397259E-2</v>
      </c>
      <c r="U310" s="256">
        <v>0.49026919747154885</v>
      </c>
      <c r="V310" s="256">
        <v>4.4456028160231531E-2</v>
      </c>
      <c r="W310" s="256">
        <v>0.43581772516061679</v>
      </c>
      <c r="X310" s="256">
        <v>6.2485999237017698E-2</v>
      </c>
      <c r="Y310" s="256">
        <v>0.47384268345528763</v>
      </c>
      <c r="Z310" s="256">
        <v>1.9121156896784841E-2</v>
      </c>
      <c r="AA310" s="256">
        <v>0.10869085465595496</v>
      </c>
      <c r="AB310" s="256">
        <v>3.6458545162737097E-2</v>
      </c>
      <c r="AC310" s="260">
        <v>-1.453429630443974</v>
      </c>
      <c r="AD310" s="405">
        <v>0</v>
      </c>
      <c r="AE310" s="257" t="s">
        <v>2416</v>
      </c>
      <c r="AF310" s="257" t="s">
        <v>2109</v>
      </c>
      <c r="AG310" s="261" t="s">
        <v>1432</v>
      </c>
      <c r="AH310" s="261" t="s">
        <v>2113</v>
      </c>
      <c r="AI310" s="261">
        <v>1000</v>
      </c>
      <c r="AJ310" s="261">
        <v>1000</v>
      </c>
      <c r="AK310" s="261">
        <v>1000</v>
      </c>
      <c r="AL310" s="256">
        <v>0.02</v>
      </c>
      <c r="AM310" s="256">
        <v>0.2</v>
      </c>
      <c r="AN310" s="256" t="s">
        <v>34</v>
      </c>
      <c r="AO310" s="254" t="s">
        <v>1324</v>
      </c>
      <c r="AP310" s="257" t="s">
        <v>13</v>
      </c>
      <c r="AQ310" s="263" t="s">
        <v>664</v>
      </c>
      <c r="AR310" s="256">
        <v>2.6666666666666666E-3</v>
      </c>
      <c r="AS310" s="256">
        <v>2.6666666666666666E-3</v>
      </c>
      <c r="AT310" s="256"/>
      <c r="AW310" s="508"/>
      <c r="AX310" s="508"/>
      <c r="AY310" s="509"/>
      <c r="AZ310" s="509"/>
      <c r="BA310" s="509"/>
      <c r="BB310" s="510"/>
      <c r="BC310" s="509"/>
      <c r="BD310" s="509"/>
      <c r="BE310" s="509"/>
      <c r="BF310" s="509"/>
      <c r="BG310" s="510"/>
      <c r="BH310" s="510"/>
      <c r="BI310" s="511"/>
      <c r="BJ310" s="511"/>
      <c r="BK310" s="511"/>
      <c r="BL310" s="195"/>
      <c r="BM310" s="510"/>
      <c r="BN310" s="510"/>
      <c r="BO310" s="510"/>
      <c r="BP310" s="510"/>
      <c r="BQ310" s="510"/>
      <c r="BR310" s="510"/>
      <c r="BS310" s="510"/>
      <c r="BT310" s="513"/>
      <c r="BU310" s="514"/>
      <c r="BV310" s="512"/>
      <c r="BW310" s="515"/>
    </row>
    <row r="311" spans="2:75" ht="15.75" customHeight="1">
      <c r="B311" s="250" t="s">
        <v>1230</v>
      </c>
      <c r="C311" s="251">
        <v>31533459000184</v>
      </c>
      <c r="D311" s="252" t="s">
        <v>13</v>
      </c>
      <c r="E311" s="252" t="s">
        <v>615</v>
      </c>
      <c r="F311" s="252" t="s">
        <v>619</v>
      </c>
      <c r="G311" s="253" t="s">
        <v>34</v>
      </c>
      <c r="H311" s="253" t="s">
        <v>1337</v>
      </c>
      <c r="I311" s="253" t="s">
        <v>34</v>
      </c>
      <c r="J311" s="253"/>
      <c r="K311" s="254" t="s">
        <v>48</v>
      </c>
      <c r="L311" s="255"/>
      <c r="M311" s="255" t="s">
        <v>34</v>
      </c>
      <c r="N311" s="254">
        <v>479764</v>
      </c>
      <c r="O311" s="254" t="s">
        <v>1321</v>
      </c>
      <c r="P311" s="258">
        <v>43426</v>
      </c>
      <c r="Q311" s="259">
        <v>81234912.439999998</v>
      </c>
      <c r="R311" s="259">
        <v>115204213.58142854</v>
      </c>
      <c r="S311" s="254">
        <v>3</v>
      </c>
      <c r="T311" s="256">
        <v>8.1445073996872175E-2</v>
      </c>
      <c r="U311" s="256">
        <v>1.0528563681185277</v>
      </c>
      <c r="V311" s="256">
        <v>0.10469041471263441</v>
      </c>
      <c r="W311" s="256">
        <v>1.0263161212183349</v>
      </c>
      <c r="X311" s="256">
        <v>0.14075513387422744</v>
      </c>
      <c r="Y311" s="256">
        <v>1.0673717498232875</v>
      </c>
      <c r="Z311" s="256">
        <v>0.20012493236218987</v>
      </c>
      <c r="AA311" s="256">
        <v>1.1375749937007775</v>
      </c>
      <c r="AB311" s="256">
        <v>9.9762763925005209E-3</v>
      </c>
      <c r="AC311" s="260">
        <v>0.24881689031205872</v>
      </c>
      <c r="AD311" s="405">
        <v>0</v>
      </c>
      <c r="AE311" s="257" t="s">
        <v>2417</v>
      </c>
      <c r="AF311" s="257" t="s">
        <v>2109</v>
      </c>
      <c r="AG311" s="261" t="s">
        <v>1432</v>
      </c>
      <c r="AH311" s="261" t="s">
        <v>2113</v>
      </c>
      <c r="AI311" s="261">
        <v>1000</v>
      </c>
      <c r="AJ311" s="261">
        <v>1000</v>
      </c>
      <c r="AK311" s="261">
        <v>1000</v>
      </c>
      <c r="AL311" s="256">
        <v>0.02</v>
      </c>
      <c r="AM311" s="256">
        <v>0.2</v>
      </c>
      <c r="AN311" s="256" t="s">
        <v>64</v>
      </c>
      <c r="AO311" s="254" t="s">
        <v>1324</v>
      </c>
      <c r="AP311" s="257" t="s">
        <v>13</v>
      </c>
      <c r="AQ311" s="263" t="s">
        <v>668</v>
      </c>
      <c r="AR311" s="256">
        <v>4.0000000000000001E-3</v>
      </c>
      <c r="AS311" s="256">
        <v>4.0000000000000001E-3</v>
      </c>
      <c r="AT311" s="256"/>
      <c r="AW311" s="508"/>
      <c r="AX311" s="508"/>
      <c r="AY311" s="509"/>
      <c r="AZ311" s="509"/>
      <c r="BA311" s="509"/>
      <c r="BB311" s="509"/>
      <c r="BC311" s="509"/>
      <c r="BD311" s="509"/>
      <c r="BE311" s="509"/>
      <c r="BF311" s="509"/>
      <c r="BG311" s="510"/>
      <c r="BH311" s="510"/>
      <c r="BI311" s="511"/>
      <c r="BJ311" s="511"/>
      <c r="BK311" s="511"/>
      <c r="BL311" s="195"/>
      <c r="BM311" s="510"/>
      <c r="BN311" s="510"/>
      <c r="BO311" s="510"/>
      <c r="BP311" s="510"/>
      <c r="BQ311" s="510"/>
      <c r="BR311" s="510"/>
      <c r="BS311" s="510"/>
      <c r="BT311" s="510"/>
      <c r="BU311" s="510"/>
      <c r="BV311" s="512"/>
      <c r="BW311" s="509"/>
    </row>
    <row r="312" spans="2:75" ht="15.75" customHeight="1">
      <c r="B312" s="250" t="s">
        <v>809</v>
      </c>
      <c r="C312" s="251">
        <v>5104498000156</v>
      </c>
      <c r="D312" s="252" t="s">
        <v>11</v>
      </c>
      <c r="E312" s="252" t="s">
        <v>621</v>
      </c>
      <c r="F312" s="252" t="s">
        <v>672</v>
      </c>
      <c r="G312" s="253" t="s">
        <v>865</v>
      </c>
      <c r="H312" s="253" t="s">
        <v>34</v>
      </c>
      <c r="I312" s="253"/>
      <c r="J312" s="253" t="s">
        <v>608</v>
      </c>
      <c r="K312" s="254" t="s">
        <v>48</v>
      </c>
      <c r="L312" s="255"/>
      <c r="M312" s="255" t="s">
        <v>1414</v>
      </c>
      <c r="N312" s="254">
        <v>107816</v>
      </c>
      <c r="O312" s="254" t="s">
        <v>1321</v>
      </c>
      <c r="P312" s="258">
        <v>37536</v>
      </c>
      <c r="Q312" s="259">
        <v>85348361.390000001</v>
      </c>
      <c r="R312" s="259">
        <v>122265005.12444444</v>
      </c>
      <c r="S312" s="254">
        <v>3</v>
      </c>
      <c r="T312" s="256">
        <v>4.1237345241207146E-2</v>
      </c>
      <c r="U312" s="256">
        <v>0.53308321069454245</v>
      </c>
      <c r="V312" s="256">
        <v>4.5247776064356593E-2</v>
      </c>
      <c r="W312" s="256">
        <v>0.44357950201645263</v>
      </c>
      <c r="X312" s="256">
        <v>6.0057765437360411E-2</v>
      </c>
      <c r="Y312" s="256">
        <v>0.45542894543819906</v>
      </c>
      <c r="Z312" s="256">
        <v>0.14131868160018191</v>
      </c>
      <c r="AA312" s="256">
        <v>0.80330120007327011</v>
      </c>
      <c r="AB312" s="256">
        <v>5.5799258341438888E-2</v>
      </c>
      <c r="AC312" s="260">
        <v>-0.92020955028450002</v>
      </c>
      <c r="AD312" s="405">
        <v>14951623000154</v>
      </c>
      <c r="AE312" s="257" t="s">
        <v>2128</v>
      </c>
      <c r="AF312" s="257" t="s">
        <v>728</v>
      </c>
      <c r="AG312" s="261" t="s">
        <v>728</v>
      </c>
      <c r="AH312" s="261" t="s">
        <v>2113</v>
      </c>
      <c r="AI312" s="261">
        <v>1000</v>
      </c>
      <c r="AJ312" s="261">
        <v>1000</v>
      </c>
      <c r="AK312" s="261">
        <v>1000</v>
      </c>
      <c r="AL312" s="256">
        <v>5.0000000000000001E-3</v>
      </c>
      <c r="AM312" s="256" t="s">
        <v>34</v>
      </c>
      <c r="AN312" s="256" t="s">
        <v>34</v>
      </c>
      <c r="AO312" s="254" t="s">
        <v>1324</v>
      </c>
      <c r="AP312" s="257" t="s">
        <v>11</v>
      </c>
      <c r="AQ312" s="263" t="s">
        <v>673</v>
      </c>
      <c r="AR312" s="256">
        <v>1.6000000000000001E-3</v>
      </c>
      <c r="AS312" s="256">
        <v>1.6000000000000001E-3</v>
      </c>
      <c r="AT312" s="256"/>
      <c r="AW312" s="508"/>
      <c r="AX312" s="508"/>
      <c r="AY312" s="509"/>
      <c r="AZ312" s="509"/>
      <c r="BA312" s="509"/>
      <c r="BB312" s="509"/>
      <c r="BC312" s="509"/>
      <c r="BD312" s="509"/>
      <c r="BE312" s="509"/>
      <c r="BF312" s="509"/>
      <c r="BG312" s="510"/>
      <c r="BH312" s="510"/>
      <c r="BI312" s="511"/>
      <c r="BJ312" s="511"/>
      <c r="BK312" s="511"/>
      <c r="BL312" s="195"/>
      <c r="BM312" s="510"/>
      <c r="BN312" s="510"/>
      <c r="BO312" s="510"/>
      <c r="BP312" s="510"/>
      <c r="BQ312" s="510"/>
      <c r="BR312" s="510"/>
      <c r="BS312" s="510"/>
      <c r="BT312" s="510"/>
      <c r="BU312" s="510"/>
      <c r="BV312" s="512"/>
      <c r="BW312" s="509"/>
    </row>
    <row r="313" spans="2:75" ht="15.75" customHeight="1">
      <c r="B313" s="250" t="s">
        <v>470</v>
      </c>
      <c r="C313" s="251">
        <v>14115118000170</v>
      </c>
      <c r="D313" s="252" t="s">
        <v>11</v>
      </c>
      <c r="E313" s="252" t="s">
        <v>621</v>
      </c>
      <c r="F313" s="252" t="s">
        <v>672</v>
      </c>
      <c r="G313" s="253" t="s">
        <v>865</v>
      </c>
      <c r="H313" s="253" t="s">
        <v>34</v>
      </c>
      <c r="I313" s="253"/>
      <c r="J313" s="253" t="s">
        <v>608</v>
      </c>
      <c r="K313" s="254" t="s">
        <v>48</v>
      </c>
      <c r="L313" s="255"/>
      <c r="M313" s="255" t="s">
        <v>1414</v>
      </c>
      <c r="N313" s="254">
        <v>293458</v>
      </c>
      <c r="O313" s="254" t="s">
        <v>1321</v>
      </c>
      <c r="P313" s="258">
        <v>40900</v>
      </c>
      <c r="Q313" s="259">
        <v>174324130.41</v>
      </c>
      <c r="R313" s="259">
        <v>213369642.53376982</v>
      </c>
      <c r="S313" s="254">
        <v>3</v>
      </c>
      <c r="T313" s="256">
        <v>4.428429559520719E-2</v>
      </c>
      <c r="U313" s="256">
        <v>0.57247173262863937</v>
      </c>
      <c r="V313" s="256">
        <v>5.2035360763265537E-2</v>
      </c>
      <c r="W313" s="256">
        <v>0.51012052795227247</v>
      </c>
      <c r="X313" s="256">
        <v>7.5098548524387576E-2</v>
      </c>
      <c r="Y313" s="256">
        <v>0.56948593590405261</v>
      </c>
      <c r="Z313" s="256">
        <v>0.16107496995511106</v>
      </c>
      <c r="AA313" s="256">
        <v>0.91560234783948113</v>
      </c>
      <c r="AB313" s="256">
        <v>5.6274208982945294E-2</v>
      </c>
      <c r="AC313" s="260">
        <v>-0.79693375435530056</v>
      </c>
      <c r="AD313" s="405">
        <v>0</v>
      </c>
      <c r="AE313" s="257" t="s">
        <v>2317</v>
      </c>
      <c r="AF313" s="257" t="s">
        <v>2115</v>
      </c>
      <c r="AG313" s="261" t="s">
        <v>719</v>
      </c>
      <c r="AH313" s="261" t="s">
        <v>2113</v>
      </c>
      <c r="AI313" s="261">
        <v>1000</v>
      </c>
      <c r="AJ313" s="261">
        <v>500</v>
      </c>
      <c r="AK313" s="261">
        <v>500</v>
      </c>
      <c r="AL313" s="256">
        <v>5.0000000000000001E-3</v>
      </c>
      <c r="AM313" s="256">
        <v>0.2</v>
      </c>
      <c r="AN313" s="256" t="s">
        <v>150</v>
      </c>
      <c r="AO313" s="254" t="s">
        <v>1324</v>
      </c>
      <c r="AP313" s="257" t="s">
        <v>11</v>
      </c>
      <c r="AQ313" s="263" t="s">
        <v>673</v>
      </c>
      <c r="AR313" s="256">
        <v>1.7333333333333335E-3</v>
      </c>
      <c r="AS313" s="256">
        <v>1.7333333333333335E-3</v>
      </c>
      <c r="AT313" s="256"/>
      <c r="AW313" s="508"/>
      <c r="AX313" s="508"/>
      <c r="AY313" s="509"/>
      <c r="AZ313" s="509"/>
      <c r="BA313" s="509"/>
      <c r="BB313" s="509"/>
      <c r="BC313" s="509"/>
      <c r="BD313" s="509"/>
      <c r="BE313" s="509"/>
      <c r="BF313" s="509"/>
      <c r="BG313" s="510"/>
      <c r="BH313" s="510"/>
      <c r="BI313" s="511"/>
      <c r="BJ313" s="511"/>
      <c r="BK313" s="511"/>
      <c r="BL313" s="195"/>
      <c r="BM313" s="510"/>
      <c r="BN313" s="510"/>
      <c r="BO313" s="510"/>
      <c r="BP313" s="510"/>
      <c r="BQ313" s="510"/>
      <c r="BR313" s="510"/>
      <c r="BS313" s="510"/>
      <c r="BT313" s="510"/>
      <c r="BU313" s="510"/>
      <c r="BV313" s="512"/>
      <c r="BW313" s="509"/>
    </row>
    <row r="314" spans="2:75" ht="15.75" customHeight="1">
      <c r="B314" s="250" t="s">
        <v>1243</v>
      </c>
      <c r="C314" s="251">
        <v>37240657000136</v>
      </c>
      <c r="D314" s="252" t="s">
        <v>11</v>
      </c>
      <c r="E314" s="252" t="s">
        <v>621</v>
      </c>
      <c r="F314" s="252" t="s">
        <v>672</v>
      </c>
      <c r="G314" s="253" t="s">
        <v>738</v>
      </c>
      <c r="H314" s="253" t="s">
        <v>34</v>
      </c>
      <c r="I314" s="253"/>
      <c r="J314" s="253" t="s">
        <v>608</v>
      </c>
      <c r="K314" s="254" t="s">
        <v>48</v>
      </c>
      <c r="L314" s="255"/>
      <c r="M314" s="255" t="s">
        <v>1414</v>
      </c>
      <c r="N314" s="254">
        <v>539929</v>
      </c>
      <c r="O314" s="254" t="s">
        <v>1321</v>
      </c>
      <c r="P314" s="258">
        <v>43999</v>
      </c>
      <c r="Q314" s="259">
        <v>28374047.5</v>
      </c>
      <c r="R314" s="259">
        <v>30941838.875436515</v>
      </c>
      <c r="S314" s="254">
        <v>3</v>
      </c>
      <c r="T314" s="256">
        <v>9.0102013342772791E-2</v>
      </c>
      <c r="U314" s="256">
        <v>1.1647663127162493</v>
      </c>
      <c r="V314" s="256">
        <v>1.1022363314028505E-2</v>
      </c>
      <c r="W314" s="256">
        <v>0.10805601634270519</v>
      </c>
      <c r="X314" s="256">
        <v>-1.0882319780688099E-2</v>
      </c>
      <c r="Y314" s="256">
        <v>-8.2522607785153398E-2</v>
      </c>
      <c r="Z314" s="256" t="s">
        <v>1417</v>
      </c>
      <c r="AA314" s="256" t="s">
        <v>1417</v>
      </c>
      <c r="AB314" s="256">
        <v>3.9621397574926706E-2</v>
      </c>
      <c r="AC314" s="260">
        <v>-2.1555544981859778</v>
      </c>
      <c r="AD314" s="405">
        <v>0</v>
      </c>
      <c r="AE314" s="257" t="s">
        <v>2422</v>
      </c>
      <c r="AF314" s="257" t="s">
        <v>2109</v>
      </c>
      <c r="AG314" s="261" t="s">
        <v>1432</v>
      </c>
      <c r="AH314" s="261" t="s">
        <v>2113</v>
      </c>
      <c r="AI314" s="261">
        <v>1000</v>
      </c>
      <c r="AJ314" s="261">
        <v>100</v>
      </c>
      <c r="AK314" s="261">
        <v>500</v>
      </c>
      <c r="AL314" s="256">
        <v>5.5000000000000005E-3</v>
      </c>
      <c r="AM314" s="256" t="s">
        <v>34</v>
      </c>
      <c r="AN314" s="256" t="s">
        <v>2218</v>
      </c>
      <c r="AO314" s="254" t="s">
        <v>1324</v>
      </c>
      <c r="AP314" s="257" t="s">
        <v>11</v>
      </c>
      <c r="AQ314" s="263" t="s">
        <v>676</v>
      </c>
      <c r="AR314" s="256">
        <v>7.3333333333333323E-4</v>
      </c>
      <c r="AS314" s="256">
        <v>7.3333333333333323E-4</v>
      </c>
      <c r="AT314" s="256"/>
      <c r="AW314" s="508"/>
      <c r="AX314" s="508"/>
      <c r="AY314" s="509"/>
      <c r="AZ314" s="509"/>
      <c r="BA314" s="509"/>
      <c r="BB314" s="509"/>
      <c r="BC314" s="509"/>
      <c r="BD314" s="509"/>
      <c r="BE314" s="509"/>
      <c r="BF314" s="509"/>
      <c r="BG314" s="510"/>
      <c r="BH314" s="510"/>
      <c r="BI314" s="511"/>
      <c r="BJ314" s="511"/>
      <c r="BK314" s="511"/>
      <c r="BL314" s="195"/>
      <c r="BM314" s="510"/>
      <c r="BN314" s="510"/>
      <c r="BO314" s="510"/>
      <c r="BP314" s="510"/>
      <c r="BQ314" s="510"/>
      <c r="BR314" s="510"/>
      <c r="BS314" s="510"/>
      <c r="BT314" s="510"/>
      <c r="BU314" s="510"/>
      <c r="BV314" s="512"/>
      <c r="BW314" s="509"/>
    </row>
    <row r="315" spans="2:75" ht="15.75" customHeight="1">
      <c r="B315" s="250" t="s">
        <v>793</v>
      </c>
      <c r="C315" s="251">
        <v>38110723000116</v>
      </c>
      <c r="D315" s="252" t="s">
        <v>14</v>
      </c>
      <c r="E315" s="252" t="s">
        <v>607</v>
      </c>
      <c r="F315" s="252" t="s">
        <v>860</v>
      </c>
      <c r="G315" s="253" t="s">
        <v>866</v>
      </c>
      <c r="H315" s="253" t="s">
        <v>34</v>
      </c>
      <c r="I315" s="253" t="s">
        <v>34</v>
      </c>
      <c r="J315" s="253" t="s">
        <v>690</v>
      </c>
      <c r="K315" s="254"/>
      <c r="L315" s="255"/>
      <c r="M315" s="255" t="s">
        <v>1414</v>
      </c>
      <c r="N315" s="254">
        <v>553875</v>
      </c>
      <c r="O315" s="254" t="s">
        <v>1321</v>
      </c>
      <c r="P315" s="258">
        <v>44105</v>
      </c>
      <c r="Q315" s="259">
        <v>1560426.28</v>
      </c>
      <c r="R315" s="259">
        <v>1937108.3844047626</v>
      </c>
      <c r="S315" s="254">
        <v>3</v>
      </c>
      <c r="T315" s="256">
        <v>-0.13996492757527546</v>
      </c>
      <c r="U315" s="256">
        <v>-1.8093539373116245</v>
      </c>
      <c r="V315" s="256">
        <v>-0.19192841427177731</v>
      </c>
      <c r="W315" s="256">
        <v>-1.8815402176759557</v>
      </c>
      <c r="X315" s="256" t="s">
        <v>1417</v>
      </c>
      <c r="Y315" s="256" t="s">
        <v>1417</v>
      </c>
      <c r="Z315" s="256" t="s">
        <v>1417</v>
      </c>
      <c r="AA315" s="256" t="s">
        <v>1417</v>
      </c>
      <c r="AB315" s="256">
        <v>0.21627228328266032</v>
      </c>
      <c r="AC315" s="260">
        <v>-1.3262785928980925</v>
      </c>
      <c r="AD315" s="405">
        <v>37174238000143</v>
      </c>
      <c r="AE315" s="257" t="s">
        <v>2169</v>
      </c>
      <c r="AF315" s="257" t="s">
        <v>2169</v>
      </c>
      <c r="AG315" s="261" t="s">
        <v>1435</v>
      </c>
      <c r="AH315" s="261" t="s">
        <v>2113</v>
      </c>
      <c r="AI315" s="261">
        <v>200</v>
      </c>
      <c r="AJ315" s="261">
        <v>200</v>
      </c>
      <c r="AK315" s="261">
        <v>200</v>
      </c>
      <c r="AL315" s="256">
        <v>0.01</v>
      </c>
      <c r="AM315" s="256">
        <v>0.2</v>
      </c>
      <c r="AN315" s="256" t="s">
        <v>2122</v>
      </c>
      <c r="AO315" s="254" t="s">
        <v>1324</v>
      </c>
      <c r="AP315" s="257" t="s">
        <v>716</v>
      </c>
      <c r="AQ315" s="263" t="s">
        <v>694</v>
      </c>
      <c r="AR315" s="256">
        <v>3.333E-3</v>
      </c>
      <c r="AS315" s="256">
        <v>3.333E-3</v>
      </c>
      <c r="AT315" s="256"/>
      <c r="AW315" s="508"/>
      <c r="AX315" s="508"/>
      <c r="AY315" s="509"/>
      <c r="AZ315" s="509"/>
      <c r="BA315" s="509"/>
      <c r="BB315" s="509"/>
      <c r="BC315" s="509"/>
      <c r="BD315" s="509"/>
      <c r="BE315" s="509"/>
      <c r="BF315" s="509"/>
      <c r="BG315" s="510"/>
      <c r="BH315" s="510"/>
      <c r="BI315" s="511"/>
      <c r="BJ315" s="511"/>
      <c r="BK315" s="511"/>
      <c r="BL315" s="195"/>
      <c r="BM315" s="510"/>
      <c r="BN315" s="510"/>
      <c r="BO315" s="510"/>
      <c r="BP315" s="510"/>
      <c r="BQ315" s="510"/>
      <c r="BR315" s="510"/>
      <c r="BS315" s="510"/>
      <c r="BT315" s="510"/>
      <c r="BU315" s="510"/>
      <c r="BV315" s="512"/>
      <c r="BW315" s="509"/>
    </row>
    <row r="316" spans="2:75" ht="15.75" customHeight="1">
      <c r="B316" s="250" t="s">
        <v>78</v>
      </c>
      <c r="C316" s="251">
        <v>575922000127</v>
      </c>
      <c r="D316" s="252" t="s">
        <v>14</v>
      </c>
      <c r="E316" s="252" t="s">
        <v>607</v>
      </c>
      <c r="F316" s="252"/>
      <c r="G316" s="253"/>
      <c r="H316" s="253" t="s">
        <v>34</v>
      </c>
      <c r="I316" s="253" t="s">
        <v>34</v>
      </c>
      <c r="J316" s="253" t="s">
        <v>608</v>
      </c>
      <c r="K316" s="254" t="s">
        <v>48</v>
      </c>
      <c r="L316" s="255"/>
      <c r="M316" s="255" t="s">
        <v>34</v>
      </c>
      <c r="N316" s="254">
        <v>190330</v>
      </c>
      <c r="O316" s="254" t="s">
        <v>1321</v>
      </c>
      <c r="P316" s="258">
        <v>34822</v>
      </c>
      <c r="Q316" s="259">
        <v>29382263.300000001</v>
      </c>
      <c r="R316" s="259">
        <v>43324546.131984122</v>
      </c>
      <c r="S316" s="254">
        <v>3</v>
      </c>
      <c r="T316" s="256">
        <v>-0.1623901019010181</v>
      </c>
      <c r="U316" s="256">
        <v>-2.0992485427967029</v>
      </c>
      <c r="V316" s="256">
        <v>-0.36176446697932829</v>
      </c>
      <c r="W316" s="256">
        <v>-3.5465014210134242</v>
      </c>
      <c r="X316" s="256">
        <v>-0.29386777600938208</v>
      </c>
      <c r="Y316" s="256">
        <v>-2.228452729660932</v>
      </c>
      <c r="Z316" s="256">
        <v>-0.28585359723106696</v>
      </c>
      <c r="AA316" s="256">
        <v>-1.6248845170423789</v>
      </c>
      <c r="AB316" s="256">
        <v>0.22716282683718511</v>
      </c>
      <c r="AC316" s="260">
        <v>-2.2888440407134332</v>
      </c>
      <c r="AD316" s="405">
        <v>0</v>
      </c>
      <c r="AE316" s="257" t="s">
        <v>2136</v>
      </c>
      <c r="AF316" s="257" t="s">
        <v>2136</v>
      </c>
      <c r="AG316" s="261" t="s">
        <v>719</v>
      </c>
      <c r="AH316" s="261" t="s">
        <v>2113</v>
      </c>
      <c r="AI316" s="261">
        <v>1000</v>
      </c>
      <c r="AJ316" s="261">
        <v>100</v>
      </c>
      <c r="AK316" s="261">
        <v>100</v>
      </c>
      <c r="AL316" s="519">
        <v>0.02</v>
      </c>
      <c r="AM316" s="519" t="s">
        <v>34</v>
      </c>
      <c r="AN316" s="256" t="s">
        <v>666</v>
      </c>
      <c r="AO316" s="254" t="s">
        <v>1324</v>
      </c>
      <c r="AP316" s="257" t="s">
        <v>716</v>
      </c>
      <c r="AQ316" s="263" t="s">
        <v>670</v>
      </c>
      <c r="AR316" s="256">
        <v>4.0000000000000001E-3</v>
      </c>
      <c r="AS316" s="256">
        <v>4.0000000000000001E-3</v>
      </c>
      <c r="AT316" s="256"/>
      <c r="AW316" s="508"/>
      <c r="AX316" s="508"/>
      <c r="AY316" s="509"/>
      <c r="AZ316" s="509"/>
      <c r="BA316" s="509"/>
      <c r="BB316" s="509"/>
      <c r="BC316" s="509"/>
      <c r="BD316" s="509"/>
      <c r="BE316" s="509"/>
      <c r="BF316" s="509"/>
      <c r="BG316" s="510"/>
      <c r="BH316" s="510"/>
      <c r="BI316" s="511"/>
      <c r="BJ316" s="511"/>
      <c r="BK316" s="511"/>
      <c r="BL316" s="195"/>
      <c r="BM316" s="510"/>
      <c r="BN316" s="510"/>
      <c r="BO316" s="510"/>
      <c r="BP316" s="510"/>
      <c r="BQ316" s="510"/>
      <c r="BR316" s="510"/>
      <c r="BS316" s="510"/>
      <c r="BT316" s="510"/>
      <c r="BU316" s="510"/>
      <c r="BV316" s="512"/>
      <c r="BW316" s="509"/>
    </row>
    <row r="317" spans="2:75" ht="15.75" customHeight="1">
      <c r="B317" s="250" t="s">
        <v>1495</v>
      </c>
      <c r="C317" s="251">
        <v>4515848000104</v>
      </c>
      <c r="D317" s="252" t="s">
        <v>14</v>
      </c>
      <c r="E317" s="252" t="s">
        <v>607</v>
      </c>
      <c r="F317" s="252"/>
      <c r="G317" s="253"/>
      <c r="H317" s="253" t="s">
        <v>34</v>
      </c>
      <c r="I317" s="253" t="s">
        <v>34</v>
      </c>
      <c r="J317" s="253" t="s">
        <v>608</v>
      </c>
      <c r="K317" s="254" t="s">
        <v>48</v>
      </c>
      <c r="L317" s="255"/>
      <c r="M317" s="255"/>
      <c r="N317" s="254">
        <v>93386</v>
      </c>
      <c r="O317" s="254" t="s">
        <v>1321</v>
      </c>
      <c r="P317" s="258">
        <v>37090</v>
      </c>
      <c r="Q317" s="259" t="s">
        <v>1393</v>
      </c>
      <c r="R317" s="259" t="s">
        <v>1417</v>
      </c>
      <c r="S317" s="254">
        <v>3</v>
      </c>
      <c r="T317" s="256" t="s">
        <v>1417</v>
      </c>
      <c r="U317" s="256" t="s">
        <v>1417</v>
      </c>
      <c r="V317" s="256" t="s">
        <v>1417</v>
      </c>
      <c r="W317" s="256" t="s">
        <v>1417</v>
      </c>
      <c r="X317" s="256" t="s">
        <v>1417</v>
      </c>
      <c r="Y317" s="256" t="s">
        <v>1417</v>
      </c>
      <c r="Z317" s="256" t="s">
        <v>1417</v>
      </c>
      <c r="AA317" s="256" t="s">
        <v>1417</v>
      </c>
      <c r="AB317" s="256" t="s">
        <v>1417</v>
      </c>
      <c r="AC317" s="260" t="s">
        <v>1417</v>
      </c>
      <c r="AD317" s="405">
        <v>0</v>
      </c>
      <c r="AE317" s="257" t="s">
        <v>2152</v>
      </c>
      <c r="AF317" s="257" t="s">
        <v>2118</v>
      </c>
      <c r="AG317" s="261" t="s">
        <v>1433</v>
      </c>
      <c r="AH317" s="261" t="s">
        <v>2113</v>
      </c>
      <c r="AI317" s="261">
        <v>500</v>
      </c>
      <c r="AJ317" s="261">
        <v>100</v>
      </c>
      <c r="AK317" s="261">
        <v>100</v>
      </c>
      <c r="AL317" s="519">
        <v>2.9350000000000001E-2</v>
      </c>
      <c r="AM317" s="519" t="s">
        <v>34</v>
      </c>
      <c r="AN317" s="256" t="s">
        <v>2127</v>
      </c>
      <c r="AO317" s="254" t="s">
        <v>1324</v>
      </c>
      <c r="AP317" s="257" t="s">
        <v>716</v>
      </c>
      <c r="AQ317" s="263" t="s">
        <v>670</v>
      </c>
      <c r="AR317" s="256">
        <v>3.4999999999999996E-3</v>
      </c>
      <c r="AS317" s="256">
        <v>3.4999999999999996E-3</v>
      </c>
      <c r="AT317" s="256"/>
      <c r="AW317" s="508"/>
      <c r="AX317" s="508"/>
      <c r="AY317" s="509"/>
      <c r="AZ317" s="509"/>
      <c r="BA317" s="509"/>
      <c r="BB317" s="509"/>
      <c r="BC317" s="509"/>
      <c r="BD317" s="509"/>
      <c r="BE317" s="509"/>
      <c r="BF317" s="509"/>
      <c r="BG317" s="510"/>
      <c r="BH317" s="510"/>
      <c r="BI317" s="511"/>
      <c r="BJ317" s="511"/>
      <c r="BK317" s="511"/>
      <c r="BL317" s="195"/>
      <c r="BM317" s="510"/>
      <c r="BN317" s="510"/>
      <c r="BO317" s="510"/>
      <c r="BP317" s="510"/>
      <c r="BQ317" s="510"/>
      <c r="BR317" s="510"/>
      <c r="BS317" s="510"/>
      <c r="BT317" s="510"/>
      <c r="BU317" s="510"/>
      <c r="BV317" s="512"/>
      <c r="BW317" s="509"/>
    </row>
    <row r="318" spans="2:75" ht="15.75" customHeight="1">
      <c r="B318" s="250" t="s">
        <v>784</v>
      </c>
      <c r="C318" s="251">
        <v>7279657000189</v>
      </c>
      <c r="D318" s="252" t="s">
        <v>14</v>
      </c>
      <c r="E318" s="252" t="s">
        <v>607</v>
      </c>
      <c r="F318" s="252"/>
      <c r="G318" s="253"/>
      <c r="H318" s="253" t="s">
        <v>34</v>
      </c>
      <c r="I318" s="253" t="s">
        <v>34</v>
      </c>
      <c r="J318" s="253" t="s">
        <v>608</v>
      </c>
      <c r="K318" s="254" t="s">
        <v>48</v>
      </c>
      <c r="L318" s="255"/>
      <c r="M318" s="255" t="s">
        <v>34</v>
      </c>
      <c r="N318" s="254">
        <v>145327</v>
      </c>
      <c r="O318" s="254" t="s">
        <v>1321</v>
      </c>
      <c r="P318" s="258">
        <v>38504</v>
      </c>
      <c r="Q318" s="259">
        <v>329231681.22000003</v>
      </c>
      <c r="R318" s="259">
        <v>402148181.60384899</v>
      </c>
      <c r="S318" s="254">
        <v>3</v>
      </c>
      <c r="T318" s="256">
        <v>3.4392679662710091E-2</v>
      </c>
      <c r="U318" s="256">
        <v>0.44460088281011972</v>
      </c>
      <c r="V318" s="256">
        <v>-0.1087990053952016</v>
      </c>
      <c r="W318" s="256">
        <v>-1.0665940479471634</v>
      </c>
      <c r="X318" s="256">
        <v>-7.6029557968020356E-2</v>
      </c>
      <c r="Y318" s="256">
        <v>-0.57654594964280748</v>
      </c>
      <c r="Z318" s="256">
        <v>-7.0313807565300701E-2</v>
      </c>
      <c r="AA318" s="256">
        <v>-0.39968647711226829</v>
      </c>
      <c r="AB318" s="256">
        <v>0.17759800112469787</v>
      </c>
      <c r="AC318" s="260">
        <v>-1.1068108056395125</v>
      </c>
      <c r="AD318" s="405">
        <v>11977607000142</v>
      </c>
      <c r="AE318" s="257" t="s">
        <v>2164</v>
      </c>
      <c r="AF318" s="257" t="s">
        <v>2115</v>
      </c>
      <c r="AG318" s="261" t="s">
        <v>719</v>
      </c>
      <c r="AH318" s="261" t="s">
        <v>2113</v>
      </c>
      <c r="AI318" s="261">
        <v>1000</v>
      </c>
      <c r="AJ318" s="261">
        <v>500</v>
      </c>
      <c r="AK318" s="261">
        <v>500</v>
      </c>
      <c r="AL318" s="519">
        <v>0.02</v>
      </c>
      <c r="AM318" s="519">
        <v>0.2</v>
      </c>
      <c r="AN318" s="256" t="s">
        <v>666</v>
      </c>
      <c r="AO318" s="254" t="s">
        <v>1324</v>
      </c>
      <c r="AP318" s="257" t="s">
        <v>716</v>
      </c>
      <c r="AQ318" s="263" t="s">
        <v>659</v>
      </c>
      <c r="AR318" s="256">
        <v>5.6000000000000008E-3</v>
      </c>
      <c r="AS318" s="256">
        <v>5.6000000000000008E-3</v>
      </c>
      <c r="AT318" s="256"/>
      <c r="AW318" s="508"/>
      <c r="AX318" s="508"/>
      <c r="AY318" s="509"/>
      <c r="AZ318" s="509"/>
      <c r="BA318" s="509"/>
      <c r="BB318" s="509"/>
      <c r="BC318" s="509"/>
      <c r="BD318" s="509"/>
      <c r="BE318" s="509"/>
      <c r="BF318" s="509"/>
      <c r="BG318" s="510"/>
      <c r="BH318" s="510"/>
      <c r="BI318" s="511"/>
      <c r="BJ318" s="511"/>
      <c r="BK318" s="511"/>
      <c r="BL318" s="195"/>
      <c r="BM318" s="510"/>
      <c r="BN318" s="510"/>
      <c r="BO318" s="510"/>
      <c r="BP318" s="510"/>
      <c r="BQ318" s="510"/>
      <c r="BR318" s="510"/>
      <c r="BS318" s="510"/>
      <c r="BT318" s="510"/>
      <c r="BU318" s="510"/>
      <c r="BV318" s="512"/>
      <c r="BW318" s="509"/>
    </row>
    <row r="319" spans="2:75" ht="15.75" customHeight="1">
      <c r="B319" s="250" t="s">
        <v>794</v>
      </c>
      <c r="C319" s="251">
        <v>33824951000134</v>
      </c>
      <c r="D319" s="252" t="s">
        <v>14</v>
      </c>
      <c r="E319" s="252" t="s">
        <v>607</v>
      </c>
      <c r="F319" s="252"/>
      <c r="G319" s="253"/>
      <c r="H319" s="253" t="s">
        <v>34</v>
      </c>
      <c r="I319" s="253" t="s">
        <v>34</v>
      </c>
      <c r="J319" s="253" t="s">
        <v>608</v>
      </c>
      <c r="K319" s="254" t="s">
        <v>48</v>
      </c>
      <c r="L319" s="255"/>
      <c r="M319" s="255" t="s">
        <v>34</v>
      </c>
      <c r="N319" s="254">
        <v>505341</v>
      </c>
      <c r="O319" s="254" t="s">
        <v>1321</v>
      </c>
      <c r="P319" s="258">
        <v>43699</v>
      </c>
      <c r="Q319" s="259">
        <v>2059092.65</v>
      </c>
      <c r="R319" s="259">
        <v>2336816.5617460329</v>
      </c>
      <c r="S319" s="254">
        <v>3</v>
      </c>
      <c r="T319" s="256">
        <v>-2.1703337147348845E-2</v>
      </c>
      <c r="U319" s="256">
        <v>-0.28056327539081349</v>
      </c>
      <c r="V319" s="256">
        <v>-0.16642456171843245</v>
      </c>
      <c r="W319" s="256">
        <v>-1.6315171845212848</v>
      </c>
      <c r="X319" s="256">
        <v>-6.0718734402128605E-2</v>
      </c>
      <c r="Y319" s="256">
        <v>-0.46044119317002191</v>
      </c>
      <c r="Z319" s="256">
        <v>-3.6573635439676955E-2</v>
      </c>
      <c r="AA319" s="256">
        <v>-0.20789640058244757</v>
      </c>
      <c r="AB319" s="256">
        <v>0.18542624431035282</v>
      </c>
      <c r="AC319" s="260">
        <v>-1.4125378230300758</v>
      </c>
      <c r="AD319" s="405">
        <v>30530788000109</v>
      </c>
      <c r="AE319" s="257" t="s">
        <v>2169</v>
      </c>
      <c r="AF319" s="257" t="s">
        <v>2169</v>
      </c>
      <c r="AG319" s="261" t="s">
        <v>1435</v>
      </c>
      <c r="AH319" s="261" t="s">
        <v>2113</v>
      </c>
      <c r="AI319" s="261">
        <v>200</v>
      </c>
      <c r="AJ319" s="261">
        <v>200</v>
      </c>
      <c r="AK319" s="261">
        <v>200</v>
      </c>
      <c r="AL319" s="256">
        <v>0.01</v>
      </c>
      <c r="AM319" s="256">
        <v>0.2</v>
      </c>
      <c r="AN319" s="256" t="s">
        <v>666</v>
      </c>
      <c r="AO319" s="254" t="s">
        <v>1324</v>
      </c>
      <c r="AP319" s="257" t="s">
        <v>716</v>
      </c>
      <c r="AQ319" s="263" t="s">
        <v>659</v>
      </c>
      <c r="AR319" s="256">
        <v>4.9994999999999996E-3</v>
      </c>
      <c r="AS319" s="256">
        <v>4.9994999999999996E-3</v>
      </c>
      <c r="AT319" s="256"/>
      <c r="AW319" s="508"/>
      <c r="AX319" s="508"/>
      <c r="AY319" s="509"/>
      <c r="AZ319" s="509"/>
      <c r="BA319" s="509"/>
      <c r="BB319" s="510"/>
      <c r="BC319" s="509"/>
      <c r="BD319" s="509"/>
      <c r="BE319" s="509"/>
      <c r="BF319" s="509"/>
      <c r="BG319" s="510"/>
      <c r="BH319" s="510"/>
      <c r="BI319" s="511"/>
      <c r="BJ319" s="511"/>
      <c r="BK319" s="511"/>
      <c r="BL319" s="510"/>
      <c r="BM319" s="510"/>
      <c r="BN319" s="510"/>
      <c r="BO319" s="510"/>
      <c r="BP319" s="510"/>
      <c r="BQ319" s="510"/>
      <c r="BR319" s="510"/>
      <c r="BS319" s="510"/>
      <c r="BT319" s="513"/>
      <c r="BU319" s="514"/>
      <c r="BV319" s="512"/>
      <c r="BW319" s="515"/>
    </row>
    <row r="320" spans="2:75" ht="15.75" customHeight="1">
      <c r="B320" s="250" t="s">
        <v>124</v>
      </c>
      <c r="C320" s="251">
        <v>37830181000193</v>
      </c>
      <c r="D320" s="252" t="s">
        <v>14</v>
      </c>
      <c r="E320" s="252" t="s">
        <v>607</v>
      </c>
      <c r="F320" s="252"/>
      <c r="G320" s="253"/>
      <c r="H320" s="253" t="s">
        <v>34</v>
      </c>
      <c r="I320" s="253" t="s">
        <v>34</v>
      </c>
      <c r="J320" s="253" t="s">
        <v>608</v>
      </c>
      <c r="K320" s="254" t="s">
        <v>48</v>
      </c>
      <c r="L320" s="255"/>
      <c r="M320" s="255" t="s">
        <v>34</v>
      </c>
      <c r="N320" s="254">
        <v>548936</v>
      </c>
      <c r="O320" s="254" t="s">
        <v>1321</v>
      </c>
      <c r="P320" s="258">
        <v>44061</v>
      </c>
      <c r="Q320" s="259">
        <v>7956940.3799999999</v>
      </c>
      <c r="R320" s="259">
        <v>6340732.0498412699</v>
      </c>
      <c r="S320" s="254">
        <v>3</v>
      </c>
      <c r="T320" s="256">
        <v>0.11463865279781582</v>
      </c>
      <c r="U320" s="256">
        <v>1.4819562400464459</v>
      </c>
      <c r="V320" s="256">
        <v>-6.2057420976768807E-4</v>
      </c>
      <c r="W320" s="256">
        <v>-6.0837022916104943E-3</v>
      </c>
      <c r="X320" s="256">
        <v>0.31578286521978205</v>
      </c>
      <c r="Y320" s="256">
        <v>2.3946388322505521</v>
      </c>
      <c r="Z320" s="256" t="s">
        <v>1417</v>
      </c>
      <c r="AA320" s="256" t="s">
        <v>1417</v>
      </c>
      <c r="AB320" s="256">
        <v>0.2230154368695946</v>
      </c>
      <c r="AC320" s="260">
        <v>-0.32688128448373122</v>
      </c>
      <c r="AD320" s="405">
        <v>37830134000140</v>
      </c>
      <c r="AE320" s="257" t="s">
        <v>2173</v>
      </c>
      <c r="AF320" s="257" t="s">
        <v>2115</v>
      </c>
      <c r="AG320" s="261" t="s">
        <v>719</v>
      </c>
      <c r="AH320" s="261" t="s">
        <v>2113</v>
      </c>
      <c r="AI320" s="261">
        <v>5000</v>
      </c>
      <c r="AJ320" s="261">
        <v>5000</v>
      </c>
      <c r="AK320" s="261">
        <v>5000</v>
      </c>
      <c r="AL320" s="256">
        <v>0.02</v>
      </c>
      <c r="AM320" s="256">
        <v>0.2</v>
      </c>
      <c r="AN320" s="256" t="s">
        <v>666</v>
      </c>
      <c r="AO320" s="254" t="s">
        <v>1324</v>
      </c>
      <c r="AP320" s="257" t="s">
        <v>716</v>
      </c>
      <c r="AQ320" s="263" t="s">
        <v>659</v>
      </c>
      <c r="AR320" s="256">
        <v>4.0000000000000001E-3</v>
      </c>
      <c r="AS320" s="256">
        <v>4.0000000000000001E-3</v>
      </c>
      <c r="AT320" s="256"/>
      <c r="AW320" s="508"/>
      <c r="AX320" s="508"/>
      <c r="AY320" s="509"/>
      <c r="AZ320" s="509"/>
      <c r="BA320" s="509"/>
      <c r="BB320" s="510"/>
      <c r="BC320" s="509"/>
      <c r="BD320" s="509"/>
      <c r="BE320" s="509"/>
      <c r="BF320" s="509"/>
      <c r="BG320" s="510"/>
      <c r="BH320" s="510"/>
      <c r="BI320" s="511"/>
      <c r="BJ320" s="511"/>
      <c r="BK320" s="511"/>
      <c r="BL320" s="510"/>
      <c r="BM320" s="510"/>
      <c r="BN320" s="510"/>
      <c r="BO320" s="510"/>
      <c r="BP320" s="510"/>
      <c r="BQ320" s="510"/>
      <c r="BR320" s="510"/>
      <c r="BS320" s="510"/>
      <c r="BT320" s="513"/>
      <c r="BU320" s="514"/>
      <c r="BV320" s="512"/>
      <c r="BW320" s="515"/>
    </row>
    <row r="321" spans="2:75" ht="15.75" customHeight="1">
      <c r="B321" s="250" t="s">
        <v>817</v>
      </c>
      <c r="C321" s="251">
        <v>32158441000102</v>
      </c>
      <c r="D321" s="252" t="s">
        <v>14</v>
      </c>
      <c r="E321" s="252" t="s">
        <v>607</v>
      </c>
      <c r="F321" s="252"/>
      <c r="G321" s="253"/>
      <c r="H321" s="253" t="s">
        <v>34</v>
      </c>
      <c r="I321" s="253" t="s">
        <v>34</v>
      </c>
      <c r="J321" s="253" t="s">
        <v>608</v>
      </c>
      <c r="K321" s="254" t="s">
        <v>48</v>
      </c>
      <c r="L321" s="255"/>
      <c r="M321" s="255" t="s">
        <v>34</v>
      </c>
      <c r="N321" s="254">
        <v>485683</v>
      </c>
      <c r="O321" s="254" t="s">
        <v>1321</v>
      </c>
      <c r="P321" s="258">
        <v>43462</v>
      </c>
      <c r="Q321" s="259">
        <v>11478421.640000001</v>
      </c>
      <c r="R321" s="259">
        <v>11189192.903134927</v>
      </c>
      <c r="S321" s="254">
        <v>3</v>
      </c>
      <c r="T321" s="256">
        <v>8.9488673898310722E-2</v>
      </c>
      <c r="U321" s="256">
        <v>1.1568375540052562</v>
      </c>
      <c r="V321" s="256">
        <v>-8.5149435428399034E-2</v>
      </c>
      <c r="W321" s="256">
        <v>-0.83474918437073498</v>
      </c>
      <c r="X321" s="256">
        <v>-2.1100967877544008E-2</v>
      </c>
      <c r="Y321" s="256">
        <v>-0.16001247262884424</v>
      </c>
      <c r="Z321" s="256">
        <v>-4.5260984990651343E-2</v>
      </c>
      <c r="AA321" s="256">
        <v>-0.25727811176694199</v>
      </c>
      <c r="AB321" s="256">
        <v>0.2077824557297426</v>
      </c>
      <c r="AC321" s="260">
        <v>-0.7919648560858974</v>
      </c>
      <c r="AD321" s="405">
        <v>24752576000173</v>
      </c>
      <c r="AE321" s="257" t="s">
        <v>2179</v>
      </c>
      <c r="AF321" s="257" t="s">
        <v>2115</v>
      </c>
      <c r="AG321" s="261" t="s">
        <v>719</v>
      </c>
      <c r="AH321" s="261" t="s">
        <v>2113</v>
      </c>
      <c r="AI321" s="261">
        <v>100</v>
      </c>
      <c r="AJ321" s="261">
        <v>100</v>
      </c>
      <c r="AK321" s="261">
        <v>100</v>
      </c>
      <c r="AL321" s="256">
        <v>1.4999999999999999E-2</v>
      </c>
      <c r="AM321" s="256">
        <v>0.2</v>
      </c>
      <c r="AN321" s="256" t="s">
        <v>666</v>
      </c>
      <c r="AO321" s="254" t="s">
        <v>1324</v>
      </c>
      <c r="AP321" s="257" t="s">
        <v>716</v>
      </c>
      <c r="AQ321" s="263" t="s">
        <v>670</v>
      </c>
      <c r="AR321" s="256">
        <v>4.0000000000000001E-3</v>
      </c>
      <c r="AS321" s="256">
        <v>4.0000000000000001E-3</v>
      </c>
      <c r="AT321" s="256"/>
      <c r="AW321" s="508"/>
      <c r="AX321" s="508"/>
      <c r="AY321" s="509"/>
      <c r="AZ321" s="509"/>
      <c r="BA321" s="509"/>
      <c r="BB321" s="510"/>
      <c r="BC321" s="509"/>
      <c r="BD321" s="509"/>
      <c r="BE321" s="509"/>
      <c r="BF321" s="509"/>
      <c r="BG321" s="510"/>
      <c r="BH321" s="510"/>
      <c r="BI321" s="511"/>
      <c r="BJ321" s="511"/>
      <c r="BK321" s="511"/>
      <c r="BL321" s="510"/>
      <c r="BM321" s="510"/>
      <c r="BN321" s="510"/>
      <c r="BO321" s="510"/>
      <c r="BP321" s="510"/>
      <c r="BQ321" s="510"/>
      <c r="BR321" s="510"/>
      <c r="BS321" s="510"/>
      <c r="BT321" s="513"/>
      <c r="BU321" s="514"/>
      <c r="BV321" s="512"/>
      <c r="BW321" s="515"/>
    </row>
    <row r="322" spans="2:75" ht="15.75" customHeight="1">
      <c r="B322" s="250" t="s">
        <v>134</v>
      </c>
      <c r="C322" s="251">
        <v>39345047000122</v>
      </c>
      <c r="D322" s="252" t="s">
        <v>14</v>
      </c>
      <c r="E322" s="252" t="s">
        <v>607</v>
      </c>
      <c r="F322" s="252"/>
      <c r="G322" s="253"/>
      <c r="H322" s="253" t="s">
        <v>34</v>
      </c>
      <c r="I322" s="253" t="s">
        <v>34</v>
      </c>
      <c r="J322" s="253" t="s">
        <v>611</v>
      </c>
      <c r="K322" s="254"/>
      <c r="L322" s="255"/>
      <c r="M322" s="255" t="s">
        <v>1414</v>
      </c>
      <c r="N322" s="254">
        <v>563188</v>
      </c>
      <c r="O322" s="254" t="s">
        <v>1321</v>
      </c>
      <c r="P322" s="258">
        <v>44162</v>
      </c>
      <c r="Q322" s="259">
        <v>12698892.49</v>
      </c>
      <c r="R322" s="259">
        <v>14407258.911944453</v>
      </c>
      <c r="S322" s="254">
        <v>3</v>
      </c>
      <c r="T322" s="256">
        <v>-6.3915519300079771E-2</v>
      </c>
      <c r="U322" s="256">
        <v>-0.82624839311062581</v>
      </c>
      <c r="V322" s="256">
        <v>-0.12869189437356632</v>
      </c>
      <c r="W322" s="256">
        <v>-1.2616108764900951</v>
      </c>
      <c r="X322" s="256" t="s">
        <v>1417</v>
      </c>
      <c r="Y322" s="256" t="s">
        <v>1417</v>
      </c>
      <c r="Z322" s="256" t="s">
        <v>1417</v>
      </c>
      <c r="AA322" s="256" t="s">
        <v>1417</v>
      </c>
      <c r="AB322" s="256">
        <v>0.18313471050863306</v>
      </c>
      <c r="AC322" s="260">
        <v>-1.1910667155789556</v>
      </c>
      <c r="AD322" s="405">
        <v>39152933000130</v>
      </c>
      <c r="AE322" s="257" t="s">
        <v>2179</v>
      </c>
      <c r="AF322" s="257" t="s">
        <v>2115</v>
      </c>
      <c r="AG322" s="261" t="s">
        <v>719</v>
      </c>
      <c r="AH322" s="261" t="s">
        <v>2113</v>
      </c>
      <c r="AI322" s="261">
        <v>100</v>
      </c>
      <c r="AJ322" s="261">
        <v>100</v>
      </c>
      <c r="AK322" s="261">
        <v>100</v>
      </c>
      <c r="AL322" s="256">
        <v>0.01</v>
      </c>
      <c r="AM322" s="256" t="s">
        <v>34</v>
      </c>
      <c r="AN322" s="256" t="s">
        <v>2122</v>
      </c>
      <c r="AO322" s="254" t="s">
        <v>1324</v>
      </c>
      <c r="AP322" s="257" t="s">
        <v>716</v>
      </c>
      <c r="AQ322" s="263" t="s">
        <v>659</v>
      </c>
      <c r="AR322" s="256" t="s">
        <v>34</v>
      </c>
      <c r="AS322" s="256" t="s">
        <v>34</v>
      </c>
      <c r="AT322" s="256"/>
      <c r="AW322" s="508"/>
      <c r="AX322" s="508"/>
      <c r="AY322" s="509"/>
      <c r="AZ322" s="509"/>
      <c r="BA322" s="509"/>
      <c r="BB322" s="510"/>
      <c r="BC322" s="509"/>
      <c r="BD322" s="509"/>
      <c r="BE322" s="509"/>
      <c r="BF322" s="509"/>
      <c r="BG322" s="510"/>
      <c r="BH322" s="510"/>
      <c r="BI322" s="511"/>
      <c r="BJ322" s="511"/>
      <c r="BK322" s="511"/>
      <c r="BL322" s="510"/>
      <c r="BM322" s="510"/>
      <c r="BN322" s="510"/>
      <c r="BO322" s="510"/>
      <c r="BP322" s="510"/>
      <c r="BQ322" s="510"/>
      <c r="BR322" s="510"/>
      <c r="BS322" s="510"/>
      <c r="BT322" s="513"/>
      <c r="BU322" s="514"/>
      <c r="BV322" s="512"/>
      <c r="BW322" s="515"/>
    </row>
    <row r="323" spans="2:75" ht="15.75" customHeight="1">
      <c r="B323" s="250" t="s">
        <v>826</v>
      </c>
      <c r="C323" s="251">
        <v>7187751000108</v>
      </c>
      <c r="D323" s="252" t="s">
        <v>14</v>
      </c>
      <c r="E323" s="252" t="s">
        <v>607</v>
      </c>
      <c r="F323" s="252"/>
      <c r="G323" s="253"/>
      <c r="H323" s="253" t="s">
        <v>34</v>
      </c>
      <c r="I323" s="253" t="s">
        <v>34</v>
      </c>
      <c r="J323" s="253" t="s">
        <v>608</v>
      </c>
      <c r="K323" s="254" t="s">
        <v>48</v>
      </c>
      <c r="L323" s="255"/>
      <c r="M323" s="255" t="s">
        <v>1414</v>
      </c>
      <c r="N323" s="254">
        <v>198935</v>
      </c>
      <c r="O323" s="254" t="s">
        <v>1321</v>
      </c>
      <c r="P323" s="258">
        <v>39416</v>
      </c>
      <c r="Q323" s="259">
        <v>22713828.02</v>
      </c>
      <c r="R323" s="259">
        <v>28997768.342976209</v>
      </c>
      <c r="S323" s="254">
        <v>3</v>
      </c>
      <c r="T323" s="256">
        <v>-2.0178376565090694E-2</v>
      </c>
      <c r="U323" s="256">
        <v>-0.26084981230006976</v>
      </c>
      <c r="V323" s="256">
        <v>-0.18742772480547321</v>
      </c>
      <c r="W323" s="256">
        <v>-1.8374184117919639</v>
      </c>
      <c r="X323" s="256">
        <v>-8.8392307125404135E-2</v>
      </c>
      <c r="Y323" s="256">
        <v>-0.67029492232705878</v>
      </c>
      <c r="Z323" s="256">
        <v>-3.5710471924777831E-2</v>
      </c>
      <c r="AA323" s="256">
        <v>-0.20298989933628087</v>
      </c>
      <c r="AB323" s="256">
        <v>0.2145393072789224</v>
      </c>
      <c r="AC323" s="260">
        <v>-1.3127646867881551</v>
      </c>
      <c r="AD323" s="405">
        <v>0</v>
      </c>
      <c r="AE323" s="257" t="s">
        <v>2179</v>
      </c>
      <c r="AF323" s="257" t="s">
        <v>2115</v>
      </c>
      <c r="AG323" s="261" t="s">
        <v>719</v>
      </c>
      <c r="AH323" s="261" t="s">
        <v>2113</v>
      </c>
      <c r="AI323" s="261">
        <v>1000</v>
      </c>
      <c r="AJ323" s="261">
        <v>100</v>
      </c>
      <c r="AK323" s="261">
        <v>100</v>
      </c>
      <c r="AL323" s="256">
        <v>0.01</v>
      </c>
      <c r="AM323" s="256" t="s">
        <v>34</v>
      </c>
      <c r="AN323" s="256" t="s">
        <v>2122</v>
      </c>
      <c r="AO323" s="254" t="s">
        <v>1324</v>
      </c>
      <c r="AP323" s="257" t="s">
        <v>716</v>
      </c>
      <c r="AQ323" s="263" t="s">
        <v>682</v>
      </c>
      <c r="AR323" s="256" t="s">
        <v>34</v>
      </c>
      <c r="AS323" s="256" t="s">
        <v>34</v>
      </c>
      <c r="AT323" s="256"/>
      <c r="AW323" s="508"/>
      <c r="AX323" s="508"/>
      <c r="AY323" s="509"/>
      <c r="AZ323" s="509"/>
      <c r="BA323" s="509"/>
      <c r="BB323" s="510"/>
      <c r="BC323" s="509"/>
      <c r="BD323" s="509"/>
      <c r="BE323" s="509"/>
      <c r="BF323" s="509"/>
      <c r="BG323" s="510"/>
      <c r="BH323" s="510"/>
      <c r="BI323" s="511"/>
      <c r="BJ323" s="511"/>
      <c r="BK323" s="511"/>
      <c r="BL323" s="195"/>
      <c r="BM323" s="510"/>
      <c r="BN323" s="510"/>
      <c r="BO323" s="510"/>
      <c r="BP323" s="510"/>
      <c r="BQ323" s="510"/>
      <c r="BR323" s="510"/>
      <c r="BS323" s="510"/>
      <c r="BT323" s="513"/>
      <c r="BU323" s="514"/>
      <c r="BV323" s="512"/>
      <c r="BW323" s="515"/>
    </row>
    <row r="324" spans="2:75" ht="15.75" customHeight="1">
      <c r="B324" s="250" t="s">
        <v>1511</v>
      </c>
      <c r="C324" s="251">
        <v>8621010000156</v>
      </c>
      <c r="D324" s="252" t="s">
        <v>14</v>
      </c>
      <c r="E324" s="252" t="s">
        <v>607</v>
      </c>
      <c r="F324" s="252"/>
      <c r="G324" s="253"/>
      <c r="H324" s="253" t="s">
        <v>34</v>
      </c>
      <c r="I324" s="253" t="s">
        <v>34</v>
      </c>
      <c r="J324" s="253" t="s">
        <v>608</v>
      </c>
      <c r="K324" s="254" t="s">
        <v>48</v>
      </c>
      <c r="L324" s="255"/>
      <c r="M324" s="255"/>
      <c r="N324" s="254">
        <v>180246</v>
      </c>
      <c r="O324" s="254" t="s">
        <v>1321</v>
      </c>
      <c r="P324" s="258">
        <v>39160</v>
      </c>
      <c r="Q324" s="259" t="s">
        <v>1393</v>
      </c>
      <c r="R324" s="259" t="s">
        <v>1417</v>
      </c>
      <c r="S324" s="254">
        <v>3</v>
      </c>
      <c r="T324" s="256" t="s">
        <v>1417</v>
      </c>
      <c r="U324" s="256" t="s">
        <v>1417</v>
      </c>
      <c r="V324" s="256" t="s">
        <v>1417</v>
      </c>
      <c r="W324" s="256" t="s">
        <v>1417</v>
      </c>
      <c r="X324" s="256" t="s">
        <v>1417</v>
      </c>
      <c r="Y324" s="256" t="s">
        <v>1417</v>
      </c>
      <c r="Z324" s="256" t="s">
        <v>1417</v>
      </c>
      <c r="AA324" s="256" t="s">
        <v>1417</v>
      </c>
      <c r="AB324" s="256" t="s">
        <v>1417</v>
      </c>
      <c r="AC324" s="260" t="s">
        <v>1417</v>
      </c>
      <c r="AD324" s="405">
        <v>9075535000104</v>
      </c>
      <c r="AE324" s="257" t="s">
        <v>2184</v>
      </c>
      <c r="AF324" s="257" t="s">
        <v>2115</v>
      </c>
      <c r="AG324" s="261" t="s">
        <v>719</v>
      </c>
      <c r="AH324" s="261" t="s">
        <v>2113</v>
      </c>
      <c r="AI324" s="261">
        <v>0</v>
      </c>
      <c r="AJ324" s="261">
        <v>0</v>
      </c>
      <c r="AK324" s="261">
        <v>0</v>
      </c>
      <c r="AL324" s="256">
        <v>1.975E-2</v>
      </c>
      <c r="AM324" s="256">
        <v>0.2</v>
      </c>
      <c r="AN324" s="256" t="s">
        <v>2160</v>
      </c>
      <c r="AO324" s="254" t="s">
        <v>1324</v>
      </c>
      <c r="AP324" s="257" t="s">
        <v>716</v>
      </c>
      <c r="AQ324" s="263" t="s">
        <v>659</v>
      </c>
      <c r="AR324" s="256">
        <v>3.9500000000000004E-3</v>
      </c>
      <c r="AS324" s="256">
        <v>3.9500000000000004E-3</v>
      </c>
      <c r="AT324" s="256"/>
      <c r="AW324" s="508"/>
      <c r="AX324" s="508"/>
      <c r="AY324" s="509"/>
      <c r="AZ324" s="509"/>
      <c r="BA324" s="509"/>
      <c r="BB324" s="510"/>
      <c r="BC324" s="509"/>
      <c r="BD324" s="509"/>
      <c r="BE324" s="509"/>
      <c r="BF324" s="509"/>
      <c r="BG324" s="510"/>
      <c r="BH324" s="510"/>
      <c r="BI324" s="511"/>
      <c r="BJ324" s="511"/>
      <c r="BK324" s="511"/>
      <c r="BL324" s="510"/>
      <c r="BM324" s="510"/>
      <c r="BN324" s="510"/>
      <c r="BO324" s="510"/>
      <c r="BP324" s="510"/>
      <c r="BQ324" s="510"/>
      <c r="BR324" s="510"/>
      <c r="BS324" s="510"/>
      <c r="BT324" s="513"/>
      <c r="BU324" s="514"/>
      <c r="BV324" s="512"/>
      <c r="BW324" s="515"/>
    </row>
    <row r="325" spans="2:75" ht="15.75" customHeight="1">
      <c r="B325" s="250" t="s">
        <v>841</v>
      </c>
      <c r="C325" s="251">
        <v>40428039000129</v>
      </c>
      <c r="D325" s="252" t="s">
        <v>14</v>
      </c>
      <c r="E325" s="252" t="s">
        <v>607</v>
      </c>
      <c r="F325" s="252"/>
      <c r="G325" s="253"/>
      <c r="H325" s="253" t="s">
        <v>34</v>
      </c>
      <c r="I325" s="253" t="s">
        <v>34</v>
      </c>
      <c r="J325" s="253" t="s">
        <v>608</v>
      </c>
      <c r="K325" s="254" t="s">
        <v>48</v>
      </c>
      <c r="L325" s="255"/>
      <c r="M325" s="255" t="s">
        <v>34</v>
      </c>
      <c r="N325" s="254">
        <v>108081</v>
      </c>
      <c r="O325" s="254" t="s">
        <v>1321</v>
      </c>
      <c r="P325" s="258">
        <v>33716</v>
      </c>
      <c r="Q325" s="259">
        <v>11438767.18</v>
      </c>
      <c r="R325" s="259">
        <v>27290522.227539673</v>
      </c>
      <c r="S325" s="254">
        <v>3</v>
      </c>
      <c r="T325" s="256">
        <v>4.9030402289939046E-2</v>
      </c>
      <c r="U325" s="256">
        <v>0.63382558022303548</v>
      </c>
      <c r="V325" s="256">
        <v>-0.14035798228728869</v>
      </c>
      <c r="W325" s="256">
        <v>-1.3759775463544632</v>
      </c>
      <c r="X325" s="256">
        <v>-4.383962358366833E-2</v>
      </c>
      <c r="Y325" s="256">
        <v>-0.33244382956508456</v>
      </c>
      <c r="Z325" s="256">
        <v>2.8949197293370865E-4</v>
      </c>
      <c r="AA325" s="256">
        <v>1.6455662240548914E-3</v>
      </c>
      <c r="AB325" s="256">
        <v>0.20486525524446708</v>
      </c>
      <c r="AC325" s="260">
        <v>-1.1098447121466479</v>
      </c>
      <c r="AD325" s="405">
        <v>0</v>
      </c>
      <c r="AE325" s="257" t="s">
        <v>2144</v>
      </c>
      <c r="AF325" s="257" t="s">
        <v>2109</v>
      </c>
      <c r="AG325" s="261" t="s">
        <v>1432</v>
      </c>
      <c r="AH325" s="261" t="s">
        <v>2113</v>
      </c>
      <c r="AI325" s="261">
        <v>1000</v>
      </c>
      <c r="AJ325" s="261">
        <v>1000</v>
      </c>
      <c r="AK325" s="261">
        <v>1000</v>
      </c>
      <c r="AL325" s="256">
        <v>1.4999999999999999E-2</v>
      </c>
      <c r="AM325" s="256" t="s">
        <v>34</v>
      </c>
      <c r="AN325" s="256" t="s">
        <v>2127</v>
      </c>
      <c r="AO325" s="254" t="s">
        <v>1324</v>
      </c>
      <c r="AP325" s="257" t="s">
        <v>716</v>
      </c>
      <c r="AQ325" s="263" t="s">
        <v>670</v>
      </c>
      <c r="AR325" s="256">
        <v>5.2499999999999995E-3</v>
      </c>
      <c r="AS325" s="256">
        <v>5.2499999999999995E-3</v>
      </c>
      <c r="AT325" s="256"/>
      <c r="AW325" s="508"/>
      <c r="AX325" s="508"/>
      <c r="AY325" s="509"/>
      <c r="AZ325" s="509"/>
      <c r="BA325" s="509"/>
      <c r="BB325" s="510"/>
      <c r="BC325" s="509"/>
      <c r="BD325" s="509"/>
      <c r="BE325" s="509"/>
      <c r="BF325" s="509"/>
      <c r="BG325" s="510"/>
      <c r="BH325" s="510"/>
      <c r="BI325" s="511"/>
      <c r="BJ325" s="511"/>
      <c r="BK325" s="511"/>
      <c r="BL325" s="510"/>
      <c r="BM325" s="510"/>
      <c r="BN325" s="510"/>
      <c r="BO325" s="510"/>
      <c r="BP325" s="510"/>
      <c r="BQ325" s="510"/>
      <c r="BR325" s="510"/>
      <c r="BS325" s="510"/>
      <c r="BT325" s="513"/>
      <c r="BU325" s="514"/>
      <c r="BV325" s="512"/>
      <c r="BW325" s="515"/>
    </row>
    <row r="326" spans="2:75" ht="15.75" customHeight="1">
      <c r="B326" s="250" t="s">
        <v>851</v>
      </c>
      <c r="C326" s="251">
        <v>9290813000138</v>
      </c>
      <c r="D326" s="252" t="s">
        <v>14</v>
      </c>
      <c r="E326" s="252" t="s">
        <v>607</v>
      </c>
      <c r="F326" s="252"/>
      <c r="G326" s="253"/>
      <c r="H326" s="253" t="s">
        <v>34</v>
      </c>
      <c r="I326" s="253" t="s">
        <v>34</v>
      </c>
      <c r="J326" s="253" t="s">
        <v>608</v>
      </c>
      <c r="K326" s="254" t="s">
        <v>48</v>
      </c>
      <c r="L326" s="255"/>
      <c r="M326" s="255" t="s">
        <v>34</v>
      </c>
      <c r="N326" s="254">
        <v>206032</v>
      </c>
      <c r="O326" s="254" t="s">
        <v>1321</v>
      </c>
      <c r="P326" s="258">
        <v>39517</v>
      </c>
      <c r="Q326" s="259">
        <v>50591954.619999997</v>
      </c>
      <c r="R326" s="259">
        <v>70547078.414285719</v>
      </c>
      <c r="S326" s="254">
        <v>3</v>
      </c>
      <c r="T326" s="256">
        <v>6.7627600996292614E-2</v>
      </c>
      <c r="U326" s="256">
        <v>0.87423519772675284</v>
      </c>
      <c r="V326" s="256">
        <v>-9.4619449361554087E-2</v>
      </c>
      <c r="W326" s="256">
        <v>-0.92758698613546842</v>
      </c>
      <c r="X326" s="256">
        <v>-6.477161327011649E-2</v>
      </c>
      <c r="Y326" s="256">
        <v>-0.49117490987417783</v>
      </c>
      <c r="Z326" s="256">
        <v>-3.6245434132032739E-2</v>
      </c>
      <c r="AA326" s="256">
        <v>-0.20603079795078619</v>
      </c>
      <c r="AB326" s="256">
        <v>0.18836319070278937</v>
      </c>
      <c r="AC326" s="260">
        <v>-0.94931645833373468</v>
      </c>
      <c r="AD326" s="405">
        <v>18969955000117</v>
      </c>
      <c r="AE326" s="257" t="s">
        <v>2144</v>
      </c>
      <c r="AF326" s="257" t="s">
        <v>2109</v>
      </c>
      <c r="AG326" s="261" t="s">
        <v>1432</v>
      </c>
      <c r="AH326" s="261" t="s">
        <v>2113</v>
      </c>
      <c r="AI326" s="261">
        <v>5000</v>
      </c>
      <c r="AJ326" s="261">
        <v>1000</v>
      </c>
      <c r="AK326" s="261">
        <v>1000</v>
      </c>
      <c r="AL326" s="256">
        <v>2.5000000000000001E-2</v>
      </c>
      <c r="AM326" s="256" t="s">
        <v>34</v>
      </c>
      <c r="AN326" s="256" t="s">
        <v>2127</v>
      </c>
      <c r="AO326" s="254" t="s">
        <v>1324</v>
      </c>
      <c r="AP326" s="257" t="s">
        <v>716</v>
      </c>
      <c r="AQ326" s="263" t="s">
        <v>667</v>
      </c>
      <c r="AR326" s="256">
        <v>8.7499999999999991E-3</v>
      </c>
      <c r="AS326" s="256">
        <v>8.7499999999999991E-3</v>
      </c>
      <c r="AT326" s="256"/>
      <c r="AW326" s="508"/>
      <c r="AX326" s="508"/>
      <c r="AY326" s="509"/>
      <c r="AZ326" s="509"/>
      <c r="BA326" s="509"/>
      <c r="BB326" s="510"/>
      <c r="BC326" s="509"/>
      <c r="BD326" s="509"/>
      <c r="BE326" s="509"/>
      <c r="BF326" s="509"/>
      <c r="BG326" s="510"/>
      <c r="BH326" s="510"/>
      <c r="BI326" s="511"/>
      <c r="BJ326" s="511"/>
      <c r="BK326" s="511"/>
      <c r="BL326" s="510"/>
      <c r="BM326" s="510"/>
      <c r="BN326" s="510"/>
      <c r="BO326" s="510"/>
      <c r="BP326" s="510"/>
      <c r="BQ326" s="510"/>
      <c r="BR326" s="510"/>
      <c r="BS326" s="510"/>
      <c r="BT326" s="513"/>
      <c r="BU326" s="514"/>
      <c r="BV326" s="512"/>
      <c r="BW326" s="515"/>
    </row>
    <row r="327" spans="2:75" ht="15.75" customHeight="1">
      <c r="B327" s="250" t="s">
        <v>575</v>
      </c>
      <c r="C327" s="251">
        <v>42730726000120</v>
      </c>
      <c r="D327" s="252" t="s">
        <v>14</v>
      </c>
      <c r="E327" s="252" t="s">
        <v>614</v>
      </c>
      <c r="F327" s="252"/>
      <c r="G327" s="253" t="s">
        <v>866</v>
      </c>
      <c r="H327" s="253" t="s">
        <v>1338</v>
      </c>
      <c r="I327" s="253" t="s">
        <v>34</v>
      </c>
      <c r="J327" s="253" t="s">
        <v>611</v>
      </c>
      <c r="K327" s="254" t="s">
        <v>48</v>
      </c>
      <c r="L327" s="255"/>
      <c r="M327" s="255" t="s">
        <v>1414</v>
      </c>
      <c r="N327" s="254">
        <v>606261</v>
      </c>
      <c r="O327" s="254" t="s">
        <v>1321</v>
      </c>
      <c r="P327" s="258">
        <v>44414</v>
      </c>
      <c r="Q327" s="259">
        <v>7532534.2400000002</v>
      </c>
      <c r="R327" s="259">
        <v>8930558.8485317472</v>
      </c>
      <c r="S327" s="254">
        <v>3</v>
      </c>
      <c r="T327" s="256">
        <v>-0.32657122263270522</v>
      </c>
      <c r="U327" s="256">
        <v>-4.2216499355909693</v>
      </c>
      <c r="V327" s="256">
        <v>-0.33004775323710156</v>
      </c>
      <c r="W327" s="256">
        <v>-3.2355715740444833</v>
      </c>
      <c r="X327" s="256" t="s">
        <v>1417</v>
      </c>
      <c r="Y327" s="256" t="s">
        <v>1417</v>
      </c>
      <c r="Z327" s="256" t="s">
        <v>1417</v>
      </c>
      <c r="AA327" s="256" t="s">
        <v>1417</v>
      </c>
      <c r="AB327" s="256">
        <v>0.31525434802157698</v>
      </c>
      <c r="AC327" s="260">
        <v>-1.4205737694676324</v>
      </c>
      <c r="AD327" s="405">
        <v>42134357000102</v>
      </c>
      <c r="AE327" s="257" t="s">
        <v>2144</v>
      </c>
      <c r="AF327" s="257" t="s">
        <v>2109</v>
      </c>
      <c r="AG327" s="261" t="s">
        <v>1432</v>
      </c>
      <c r="AH327" s="261" t="s">
        <v>2113</v>
      </c>
      <c r="AI327" s="261">
        <v>0</v>
      </c>
      <c r="AJ327" s="261">
        <v>0</v>
      </c>
      <c r="AK327" s="261">
        <v>0</v>
      </c>
      <c r="AL327" s="256">
        <v>0</v>
      </c>
      <c r="AM327" s="256" t="s">
        <v>34</v>
      </c>
      <c r="AN327" s="256" t="s">
        <v>34</v>
      </c>
      <c r="AO327" s="254" t="s">
        <v>1324</v>
      </c>
      <c r="AP327" s="257" t="s">
        <v>716</v>
      </c>
      <c r="AQ327" s="263" t="s">
        <v>659</v>
      </c>
      <c r="AR327" s="256">
        <v>0</v>
      </c>
      <c r="AS327" s="256">
        <v>0</v>
      </c>
      <c r="AT327" s="256"/>
      <c r="AW327" s="508"/>
      <c r="AX327" s="508"/>
      <c r="AY327" s="509"/>
      <c r="AZ327" s="509"/>
      <c r="BA327" s="509"/>
      <c r="BB327" s="510"/>
      <c r="BC327" s="509"/>
      <c r="BD327" s="509"/>
      <c r="BE327" s="509"/>
      <c r="BF327" s="509"/>
      <c r="BG327" s="510"/>
      <c r="BH327" s="510"/>
      <c r="BI327" s="511"/>
      <c r="BJ327" s="511"/>
      <c r="BK327" s="511"/>
      <c r="BL327" s="510"/>
      <c r="BM327" s="510"/>
      <c r="BN327" s="510"/>
      <c r="BO327" s="510"/>
      <c r="BP327" s="510"/>
      <c r="BQ327" s="510"/>
      <c r="BR327" s="510"/>
      <c r="BS327" s="510"/>
      <c r="BT327" s="513"/>
      <c r="BU327" s="514"/>
      <c r="BV327" s="512"/>
      <c r="BW327" s="515"/>
    </row>
    <row r="328" spans="2:75" ht="15.75" customHeight="1">
      <c r="B328" s="250" t="s">
        <v>876</v>
      </c>
      <c r="C328" s="251">
        <v>39958394000120</v>
      </c>
      <c r="D328" s="252" t="s">
        <v>14</v>
      </c>
      <c r="E328" s="252" t="s">
        <v>607</v>
      </c>
      <c r="F328" s="252"/>
      <c r="G328" s="253"/>
      <c r="H328" s="253" t="s">
        <v>34</v>
      </c>
      <c r="I328" s="253" t="s">
        <v>34</v>
      </c>
      <c r="J328" s="253" t="s">
        <v>608</v>
      </c>
      <c r="K328" s="254" t="s">
        <v>48</v>
      </c>
      <c r="L328" s="255"/>
      <c r="M328" s="255" t="s">
        <v>1414</v>
      </c>
      <c r="N328" s="254">
        <v>588857</v>
      </c>
      <c r="O328" s="254" t="s">
        <v>1321</v>
      </c>
      <c r="P328" s="258">
        <v>44174</v>
      </c>
      <c r="Q328" s="259">
        <v>3369878.49</v>
      </c>
      <c r="R328" s="259">
        <v>3433212.7842063466</v>
      </c>
      <c r="S328" s="254">
        <v>3</v>
      </c>
      <c r="T328" s="256">
        <v>-1.1786665928805617E-2</v>
      </c>
      <c r="U328" s="256">
        <v>-0.15236853099925057</v>
      </c>
      <c r="V328" s="256">
        <v>-0.11808786752261147</v>
      </c>
      <c r="W328" s="256">
        <v>-1.1576559562919078</v>
      </c>
      <c r="X328" s="256" t="s">
        <v>1417</v>
      </c>
      <c r="Y328" s="256" t="s">
        <v>1417</v>
      </c>
      <c r="Z328" s="256" t="s">
        <v>1417</v>
      </c>
      <c r="AA328" s="256" t="s">
        <v>1417</v>
      </c>
      <c r="AB328" s="256">
        <v>0.23102900143561372</v>
      </c>
      <c r="AC328" s="260">
        <v>-0.84920179282725605</v>
      </c>
      <c r="AD328" s="405">
        <v>37843293000189</v>
      </c>
      <c r="AE328" s="257" t="s">
        <v>2144</v>
      </c>
      <c r="AF328" s="257" t="s">
        <v>2109</v>
      </c>
      <c r="AG328" s="261" t="s">
        <v>1432</v>
      </c>
      <c r="AH328" s="261" t="s">
        <v>2113</v>
      </c>
      <c r="AI328" s="261">
        <v>1</v>
      </c>
      <c r="AJ328" s="261">
        <v>1</v>
      </c>
      <c r="AK328" s="261">
        <v>1</v>
      </c>
      <c r="AL328" s="256">
        <v>0</v>
      </c>
      <c r="AM328" s="256" t="s">
        <v>34</v>
      </c>
      <c r="AN328" s="256" t="s">
        <v>34</v>
      </c>
      <c r="AO328" s="254" t="s">
        <v>1324</v>
      </c>
      <c r="AP328" s="257" t="s">
        <v>716</v>
      </c>
      <c r="AQ328" s="263" t="s">
        <v>694</v>
      </c>
      <c r="AR328" s="256" t="s">
        <v>34</v>
      </c>
      <c r="AS328" s="256" t="s">
        <v>34</v>
      </c>
      <c r="AT328" s="256"/>
      <c r="AW328" s="508"/>
      <c r="AX328" s="508"/>
      <c r="AY328" s="509"/>
      <c r="AZ328" s="509"/>
      <c r="BA328" s="509"/>
      <c r="BB328" s="510"/>
      <c r="BC328" s="509"/>
      <c r="BD328" s="509"/>
      <c r="BE328" s="509"/>
      <c r="BF328" s="509"/>
      <c r="BG328" s="510"/>
      <c r="BH328" s="510"/>
      <c r="BI328" s="511"/>
      <c r="BJ328" s="511"/>
      <c r="BK328" s="511"/>
      <c r="BL328" s="510"/>
      <c r="BM328" s="510"/>
      <c r="BN328" s="510"/>
      <c r="BO328" s="510"/>
      <c r="BP328" s="510"/>
      <c r="BQ328" s="510"/>
      <c r="BR328" s="510"/>
      <c r="BS328" s="510"/>
      <c r="BT328" s="513"/>
      <c r="BU328" s="514"/>
      <c r="BV328" s="512"/>
      <c r="BW328" s="515"/>
    </row>
    <row r="329" spans="2:75" ht="15.75" customHeight="1">
      <c r="B329" s="250" t="s">
        <v>157</v>
      </c>
      <c r="C329" s="251">
        <v>22344837000190</v>
      </c>
      <c r="D329" s="252" t="s">
        <v>14</v>
      </c>
      <c r="E329" s="252" t="s">
        <v>607</v>
      </c>
      <c r="F329" s="252"/>
      <c r="G329" s="253"/>
      <c r="H329" s="253" t="s">
        <v>34</v>
      </c>
      <c r="I329" s="253" t="s">
        <v>34</v>
      </c>
      <c r="J329" s="253" t="s">
        <v>608</v>
      </c>
      <c r="K329" s="254" t="s">
        <v>48</v>
      </c>
      <c r="L329" s="255"/>
      <c r="M329" s="255" t="s">
        <v>34</v>
      </c>
      <c r="N329" s="254">
        <v>410802</v>
      </c>
      <c r="O329" s="254" t="s">
        <v>1321</v>
      </c>
      <c r="P329" s="258">
        <v>42307</v>
      </c>
      <c r="Q329" s="259">
        <v>78708435.469999999</v>
      </c>
      <c r="R329" s="259">
        <v>82807211.157063544</v>
      </c>
      <c r="S329" s="254">
        <v>3</v>
      </c>
      <c r="T329" s="256">
        <v>5.3301552388744566E-2</v>
      </c>
      <c r="U329" s="256">
        <v>0.68903957119921377</v>
      </c>
      <c r="V329" s="256">
        <v>-0.14156747844935025</v>
      </c>
      <c r="W329" s="256">
        <v>-1.3878346529776704</v>
      </c>
      <c r="X329" s="256">
        <v>-2.5903369137528887E-2</v>
      </c>
      <c r="Y329" s="256">
        <v>-0.19642995379016331</v>
      </c>
      <c r="Z329" s="256">
        <v>-5.3590803602338033E-3</v>
      </c>
      <c r="AA329" s="256">
        <v>-3.0462750118519118E-2</v>
      </c>
      <c r="AB329" s="256">
        <v>0.2411187093762644</v>
      </c>
      <c r="AC329" s="260">
        <v>-0.91530859467698766</v>
      </c>
      <c r="AD329" s="405">
        <v>22662147000180</v>
      </c>
      <c r="AE329" s="257" t="s">
        <v>2193</v>
      </c>
      <c r="AF329" s="257" t="s">
        <v>2109</v>
      </c>
      <c r="AG329" s="261" t="s">
        <v>1432</v>
      </c>
      <c r="AH329" s="261" t="s">
        <v>2113</v>
      </c>
      <c r="AI329" s="261">
        <v>100</v>
      </c>
      <c r="AJ329" s="261">
        <v>0</v>
      </c>
      <c r="AK329" s="261">
        <v>0</v>
      </c>
      <c r="AL329" s="256">
        <v>0.02</v>
      </c>
      <c r="AM329" s="256">
        <v>0.2</v>
      </c>
      <c r="AN329" s="256" t="s">
        <v>34</v>
      </c>
      <c r="AO329" s="254" t="s">
        <v>1324</v>
      </c>
      <c r="AP329" s="257" t="s">
        <v>716</v>
      </c>
      <c r="AQ329" s="263" t="s">
        <v>659</v>
      </c>
      <c r="AR329" s="256">
        <v>4.6666666666666662E-3</v>
      </c>
      <c r="AS329" s="256">
        <v>4.6666666666666662E-3</v>
      </c>
      <c r="AT329" s="256"/>
      <c r="AW329" s="508"/>
      <c r="AX329" s="508"/>
      <c r="AY329" s="509"/>
      <c r="AZ329" s="509"/>
      <c r="BA329" s="509"/>
      <c r="BB329" s="510"/>
      <c r="BC329" s="509"/>
      <c r="BD329" s="509"/>
      <c r="BE329" s="509"/>
      <c r="BF329" s="509"/>
      <c r="BG329" s="510"/>
      <c r="BH329" s="510"/>
      <c r="BI329" s="511"/>
      <c r="BJ329" s="511"/>
      <c r="BK329" s="511"/>
      <c r="BL329" s="510"/>
      <c r="BM329" s="510"/>
      <c r="BN329" s="510"/>
      <c r="BO329" s="510"/>
      <c r="BP329" s="510"/>
      <c r="BQ329" s="510"/>
      <c r="BR329" s="510"/>
      <c r="BS329" s="510"/>
      <c r="BT329" s="513"/>
      <c r="BU329" s="514"/>
      <c r="BV329" s="512"/>
      <c r="BW329" s="515"/>
    </row>
    <row r="330" spans="2:75" ht="15.75" customHeight="1">
      <c r="B330" s="250" t="s">
        <v>917</v>
      </c>
      <c r="C330" s="251">
        <v>34658753000100</v>
      </c>
      <c r="D330" s="252" t="s">
        <v>14</v>
      </c>
      <c r="E330" s="252" t="s">
        <v>607</v>
      </c>
      <c r="F330" s="252"/>
      <c r="G330" s="253"/>
      <c r="H330" s="253" t="s">
        <v>34</v>
      </c>
      <c r="I330" s="253" t="s">
        <v>34</v>
      </c>
      <c r="J330" s="253" t="s">
        <v>611</v>
      </c>
      <c r="K330" s="254"/>
      <c r="L330" s="255"/>
      <c r="M330" s="255" t="s">
        <v>1414</v>
      </c>
      <c r="N330" s="254">
        <v>524433</v>
      </c>
      <c r="O330" s="254" t="s">
        <v>1321</v>
      </c>
      <c r="P330" s="258">
        <v>43857</v>
      </c>
      <c r="Q330" s="259">
        <v>27683230.050000001</v>
      </c>
      <c r="R330" s="259">
        <v>36425219.33980158</v>
      </c>
      <c r="S330" s="254">
        <v>3</v>
      </c>
      <c r="T330" s="256">
        <v>-0.24655819513092592</v>
      </c>
      <c r="U330" s="256">
        <v>-3.1873059120233012</v>
      </c>
      <c r="V330" s="256">
        <v>-0.1540122950886984</v>
      </c>
      <c r="W330" s="256">
        <v>-1.5098354682158948</v>
      </c>
      <c r="X330" s="256">
        <v>-1.7840896806556872E-3</v>
      </c>
      <c r="Y330" s="256">
        <v>-1.3529076147124534E-2</v>
      </c>
      <c r="Z330" s="256" t="s">
        <v>1417</v>
      </c>
      <c r="AA330" s="256" t="s">
        <v>1417</v>
      </c>
      <c r="AB330" s="256">
        <v>0.21940203458076654</v>
      </c>
      <c r="AC330" s="260">
        <v>-1.0956156877714833</v>
      </c>
      <c r="AD330" s="405">
        <v>0</v>
      </c>
      <c r="AE330" s="257" t="s">
        <v>2224</v>
      </c>
      <c r="AF330" s="257" t="s">
        <v>741</v>
      </c>
      <c r="AG330" s="261" t="s">
        <v>741</v>
      </c>
      <c r="AH330" s="261" t="s">
        <v>2113</v>
      </c>
      <c r="AI330" s="261">
        <v>500</v>
      </c>
      <c r="AJ330" s="261">
        <v>0</v>
      </c>
      <c r="AK330" s="261">
        <v>500</v>
      </c>
      <c r="AL330" s="256">
        <v>0.01</v>
      </c>
      <c r="AM330" s="256" t="s">
        <v>34</v>
      </c>
      <c r="AN330" s="256" t="s">
        <v>2122</v>
      </c>
      <c r="AO330" s="254" t="s">
        <v>1324</v>
      </c>
      <c r="AP330" s="257" t="s">
        <v>716</v>
      </c>
      <c r="AQ330" s="263" t="s">
        <v>659</v>
      </c>
      <c r="AR330" s="256">
        <v>1.333E-3</v>
      </c>
      <c r="AS330" s="256">
        <v>1.333E-3</v>
      </c>
      <c r="AT330" s="256"/>
      <c r="AW330" s="508"/>
      <c r="AX330" s="508"/>
      <c r="AY330" s="509"/>
      <c r="AZ330" s="509"/>
      <c r="BA330" s="509"/>
      <c r="BB330" s="510"/>
      <c r="BC330" s="509"/>
      <c r="BD330" s="509"/>
      <c r="BE330" s="509"/>
      <c r="BF330" s="509"/>
      <c r="BG330" s="510"/>
      <c r="BH330" s="510"/>
      <c r="BI330" s="511"/>
      <c r="BJ330" s="511"/>
      <c r="BK330" s="511"/>
      <c r="BL330" s="510"/>
      <c r="BM330" s="510"/>
      <c r="BN330" s="510"/>
      <c r="BO330" s="510"/>
      <c r="BP330" s="510"/>
      <c r="BQ330" s="510"/>
      <c r="BR330" s="510"/>
      <c r="BS330" s="510"/>
      <c r="BT330" s="513"/>
      <c r="BU330" s="514"/>
      <c r="BV330" s="512"/>
      <c r="BW330" s="515"/>
    </row>
    <row r="331" spans="2:75" ht="15.75" customHeight="1">
      <c r="B331" s="250" t="s">
        <v>192</v>
      </c>
      <c r="C331" s="251">
        <v>40141528000103</v>
      </c>
      <c r="D331" s="252" t="s">
        <v>14</v>
      </c>
      <c r="E331" s="252" t="s">
        <v>607</v>
      </c>
      <c r="F331" s="252"/>
      <c r="G331" s="253"/>
      <c r="H331" s="253" t="s">
        <v>34</v>
      </c>
      <c r="I331" s="253" t="s">
        <v>34</v>
      </c>
      <c r="J331" s="253" t="s">
        <v>608</v>
      </c>
      <c r="K331" s="254" t="s">
        <v>48</v>
      </c>
      <c r="L331" s="255"/>
      <c r="M331" s="255" t="s">
        <v>34</v>
      </c>
      <c r="N331" s="254">
        <v>568872</v>
      </c>
      <c r="O331" s="254" t="s">
        <v>1321</v>
      </c>
      <c r="P331" s="258">
        <v>44195</v>
      </c>
      <c r="Q331" s="259">
        <v>2062802.71</v>
      </c>
      <c r="R331" s="259">
        <v>9278532.8414682504</v>
      </c>
      <c r="S331" s="254">
        <v>3</v>
      </c>
      <c r="T331" s="256">
        <v>-9.6536626423895822E-2</v>
      </c>
      <c r="U331" s="256">
        <v>-1.2479478119325107</v>
      </c>
      <c r="V331" s="256">
        <v>-0.25031289940524037</v>
      </c>
      <c r="W331" s="256">
        <v>-2.4539033942474004</v>
      </c>
      <c r="X331" s="256" t="s">
        <v>1417</v>
      </c>
      <c r="Y331" s="256" t="s">
        <v>1417</v>
      </c>
      <c r="Z331" s="256" t="s">
        <v>1417</v>
      </c>
      <c r="AA331" s="256" t="s">
        <v>1417</v>
      </c>
      <c r="AB331" s="256">
        <v>0.26730819183876314</v>
      </c>
      <c r="AC331" s="260">
        <v>-1.3072661054359751</v>
      </c>
      <c r="AD331" s="405">
        <v>40054213000110</v>
      </c>
      <c r="AE331" s="257" t="s">
        <v>2214</v>
      </c>
      <c r="AF331" s="257" t="s">
        <v>2109</v>
      </c>
      <c r="AG331" s="261" t="s">
        <v>1432</v>
      </c>
      <c r="AH331" s="261" t="s">
        <v>2113</v>
      </c>
      <c r="AI331" s="261">
        <v>500</v>
      </c>
      <c r="AJ331" s="261">
        <v>100</v>
      </c>
      <c r="AK331" s="261">
        <v>500</v>
      </c>
      <c r="AL331" s="256">
        <v>1.9199999999999998E-2</v>
      </c>
      <c r="AM331" s="256">
        <v>0.2</v>
      </c>
      <c r="AN331" s="256" t="s">
        <v>34</v>
      </c>
      <c r="AO331" s="254" t="s">
        <v>1324</v>
      </c>
      <c r="AP331" s="257" t="s">
        <v>716</v>
      </c>
      <c r="AQ331" s="263" t="s">
        <v>659</v>
      </c>
      <c r="AR331" s="256">
        <v>6.3999999999999994E-3</v>
      </c>
      <c r="AS331" s="256">
        <v>6.3999999999999994E-3</v>
      </c>
      <c r="AT331" s="256"/>
      <c r="AW331" s="508"/>
      <c r="AX331" s="508"/>
      <c r="AY331" s="509"/>
      <c r="AZ331" s="509"/>
      <c r="BA331" s="509"/>
      <c r="BB331" s="510"/>
      <c r="BC331" s="509"/>
      <c r="BD331" s="509"/>
      <c r="BE331" s="509"/>
      <c r="BF331" s="509"/>
      <c r="BG331" s="510"/>
      <c r="BH331" s="510"/>
      <c r="BI331" s="511"/>
      <c r="BJ331" s="511"/>
      <c r="BK331" s="511"/>
      <c r="BL331" s="510"/>
      <c r="BM331" s="510"/>
      <c r="BN331" s="510"/>
      <c r="BO331" s="510"/>
      <c r="BP331" s="510"/>
      <c r="BQ331" s="510"/>
      <c r="BR331" s="510"/>
      <c r="BS331" s="510"/>
      <c r="BT331" s="513"/>
      <c r="BU331" s="514"/>
      <c r="BV331" s="512"/>
      <c r="BW331" s="515"/>
    </row>
    <row r="332" spans="2:75" ht="15.75" customHeight="1">
      <c r="B332" s="250" t="s">
        <v>201</v>
      </c>
      <c r="C332" s="251">
        <v>11186674000149</v>
      </c>
      <c r="D332" s="252" t="s">
        <v>14</v>
      </c>
      <c r="E332" s="252" t="s">
        <v>607</v>
      </c>
      <c r="F332" s="252"/>
      <c r="G332" s="253"/>
      <c r="H332" s="253" t="s">
        <v>34</v>
      </c>
      <c r="I332" s="253" t="s">
        <v>34</v>
      </c>
      <c r="J332" s="253" t="s">
        <v>608</v>
      </c>
      <c r="K332" s="254" t="s">
        <v>48</v>
      </c>
      <c r="L332" s="255"/>
      <c r="M332" s="255" t="s">
        <v>34</v>
      </c>
      <c r="N332" s="254">
        <v>236357</v>
      </c>
      <c r="O332" s="254" t="s">
        <v>1321</v>
      </c>
      <c r="P332" s="258">
        <v>40113</v>
      </c>
      <c r="Q332" s="259">
        <v>71017168.349999994</v>
      </c>
      <c r="R332" s="259">
        <v>77773531.0565079</v>
      </c>
      <c r="S332" s="254">
        <v>3</v>
      </c>
      <c r="T332" s="256">
        <v>-1.315583945200649E-2</v>
      </c>
      <c r="U332" s="256">
        <v>-0.17006810437082959</v>
      </c>
      <c r="V332" s="256">
        <v>-0.14383528007732371</v>
      </c>
      <c r="W332" s="256">
        <v>-1.4100666918601514</v>
      </c>
      <c r="X332" s="256">
        <v>-3.4128824643743116E-2</v>
      </c>
      <c r="Y332" s="256">
        <v>-0.25880507713455625</v>
      </c>
      <c r="Z332" s="256">
        <v>0.13123704742046471</v>
      </c>
      <c r="AA332" s="256">
        <v>0.74599392304829049</v>
      </c>
      <c r="AB332" s="256">
        <v>0.23283207284716337</v>
      </c>
      <c r="AC332" s="260">
        <v>-0.96782811997768925</v>
      </c>
      <c r="AD332" s="405">
        <v>12698541000114</v>
      </c>
      <c r="AE332" s="257" t="s">
        <v>2241</v>
      </c>
      <c r="AF332" s="257" t="s">
        <v>2109</v>
      </c>
      <c r="AG332" s="261" t="s">
        <v>1432</v>
      </c>
      <c r="AH332" s="261" t="s">
        <v>2113</v>
      </c>
      <c r="AI332" s="261">
        <v>1000</v>
      </c>
      <c r="AJ332" s="261">
        <v>1000</v>
      </c>
      <c r="AK332" s="261">
        <v>1000</v>
      </c>
      <c r="AL332" s="256">
        <v>1.9E-2</v>
      </c>
      <c r="AM332" s="256">
        <v>0.2</v>
      </c>
      <c r="AN332" s="256" t="s">
        <v>2127</v>
      </c>
      <c r="AO332" s="254" t="s">
        <v>1324</v>
      </c>
      <c r="AP332" s="257" t="s">
        <v>716</v>
      </c>
      <c r="AQ332" s="263" t="s">
        <v>659</v>
      </c>
      <c r="AR332" s="256">
        <v>5.0666666666666664E-3</v>
      </c>
      <c r="AS332" s="256">
        <v>5.0666666666666664E-3</v>
      </c>
      <c r="AT332" s="256"/>
      <c r="AW332" s="508"/>
      <c r="AX332" s="508"/>
      <c r="AY332" s="509"/>
      <c r="AZ332" s="509"/>
      <c r="BA332" s="509"/>
      <c r="BB332" s="510"/>
      <c r="BC332" s="509"/>
      <c r="BD332" s="509"/>
      <c r="BE332" s="509"/>
      <c r="BF332" s="509"/>
      <c r="BG332" s="510"/>
      <c r="BH332" s="510"/>
      <c r="BI332" s="511"/>
      <c r="BJ332" s="511"/>
      <c r="BK332" s="511"/>
      <c r="BL332" s="510"/>
      <c r="BM332" s="510"/>
      <c r="BN332" s="510"/>
      <c r="BO332" s="510"/>
      <c r="BP332" s="510"/>
      <c r="BQ332" s="510"/>
      <c r="BR332" s="510"/>
      <c r="BS332" s="510"/>
      <c r="BT332" s="513"/>
      <c r="BU332" s="514"/>
      <c r="BV332" s="512"/>
      <c r="BW332" s="515"/>
    </row>
    <row r="333" spans="2:75" ht="15.75" customHeight="1">
      <c r="B333" s="250" t="s">
        <v>203</v>
      </c>
      <c r="C333" s="251">
        <v>5964067000160</v>
      </c>
      <c r="D333" s="252" t="s">
        <v>14</v>
      </c>
      <c r="E333" s="252" t="s">
        <v>607</v>
      </c>
      <c r="F333" s="252"/>
      <c r="G333" s="253"/>
      <c r="H333" s="253" t="s">
        <v>34</v>
      </c>
      <c r="I333" s="253" t="s">
        <v>34</v>
      </c>
      <c r="J333" s="253" t="s">
        <v>608</v>
      </c>
      <c r="K333" s="254" t="s">
        <v>48</v>
      </c>
      <c r="L333" s="255"/>
      <c r="M333" s="255" t="s">
        <v>34</v>
      </c>
      <c r="N333" s="254">
        <v>216178</v>
      </c>
      <c r="O333" s="254" t="s">
        <v>1321</v>
      </c>
      <c r="P333" s="258">
        <v>39692</v>
      </c>
      <c r="Q333" s="259">
        <v>202989591.13999999</v>
      </c>
      <c r="R333" s="259">
        <v>169431559.39833325</v>
      </c>
      <c r="S333" s="254">
        <v>3</v>
      </c>
      <c r="T333" s="256">
        <v>5.4772181129434605E-2</v>
      </c>
      <c r="U333" s="256">
        <v>0.70805067596944338</v>
      </c>
      <c r="V333" s="256">
        <v>-1.1911071882972912E-2</v>
      </c>
      <c r="W333" s="256">
        <v>-0.11676833192456759</v>
      </c>
      <c r="X333" s="256">
        <v>0.22332328942047175</v>
      </c>
      <c r="Y333" s="256">
        <v>1.6935010727069988</v>
      </c>
      <c r="Z333" s="256">
        <v>0.40651280956890035</v>
      </c>
      <c r="AA333" s="256">
        <v>2.3107505962710171</v>
      </c>
      <c r="AB333" s="256">
        <v>0.18857391700489909</v>
      </c>
      <c r="AC333" s="260">
        <v>-0.48460516058847347</v>
      </c>
      <c r="AD333" s="405">
        <v>0</v>
      </c>
      <c r="AE333" s="257" t="s">
        <v>2245</v>
      </c>
      <c r="AF333" s="257" t="s">
        <v>2115</v>
      </c>
      <c r="AG333" s="261" t="s">
        <v>719</v>
      </c>
      <c r="AH333" s="261" t="s">
        <v>2113</v>
      </c>
      <c r="AI333" s="261">
        <v>10000</v>
      </c>
      <c r="AJ333" s="261">
        <v>1000</v>
      </c>
      <c r="AK333" s="261">
        <v>1000</v>
      </c>
      <c r="AL333" s="256">
        <v>0.02</v>
      </c>
      <c r="AM333" s="256">
        <v>0.2</v>
      </c>
      <c r="AN333" s="256" t="s">
        <v>666</v>
      </c>
      <c r="AO333" s="254" t="s">
        <v>1324</v>
      </c>
      <c r="AP333" s="257" t="s">
        <v>716</v>
      </c>
      <c r="AQ333" s="263" t="s">
        <v>665</v>
      </c>
      <c r="AR333" s="256">
        <v>6.4840000000000002E-3</v>
      </c>
      <c r="AS333" s="256">
        <v>6.4840000000000002E-3</v>
      </c>
      <c r="AT333" s="256"/>
      <c r="AW333" s="508"/>
      <c r="AX333" s="508"/>
      <c r="AY333" s="509"/>
      <c r="AZ333" s="509"/>
      <c r="BA333" s="509"/>
      <c r="BB333" s="510"/>
      <c r="BC333" s="509"/>
      <c r="BD333" s="509"/>
      <c r="BE333" s="509"/>
      <c r="BF333" s="509"/>
      <c r="BG333" s="510"/>
      <c r="BH333" s="510"/>
      <c r="BI333" s="511"/>
      <c r="BJ333" s="511"/>
      <c r="BK333" s="511"/>
      <c r="BL333" s="195"/>
      <c r="BM333" s="510"/>
      <c r="BN333" s="510"/>
      <c r="BO333" s="510"/>
      <c r="BP333" s="510"/>
      <c r="BQ333" s="510"/>
      <c r="BR333" s="510"/>
      <c r="BS333" s="510"/>
      <c r="BT333" s="513"/>
      <c r="BU333" s="514"/>
      <c r="BV333" s="512"/>
      <c r="BW333" s="515"/>
    </row>
    <row r="334" spans="2:75" ht="15.75" customHeight="1">
      <c r="B334" s="250" t="s">
        <v>942</v>
      </c>
      <c r="C334" s="251">
        <v>2895694000106</v>
      </c>
      <c r="D334" s="252" t="s">
        <v>14</v>
      </c>
      <c r="E334" s="252" t="s">
        <v>607</v>
      </c>
      <c r="F334" s="252"/>
      <c r="G334" s="253"/>
      <c r="H334" s="253" t="s">
        <v>34</v>
      </c>
      <c r="I334" s="253" t="s">
        <v>34</v>
      </c>
      <c r="J334" s="253" t="s">
        <v>608</v>
      </c>
      <c r="K334" s="254" t="s">
        <v>48</v>
      </c>
      <c r="L334" s="255"/>
      <c r="M334" s="255" t="s">
        <v>34</v>
      </c>
      <c r="N334" s="254">
        <v>61311</v>
      </c>
      <c r="O334" s="254" t="s">
        <v>1321</v>
      </c>
      <c r="P334" s="258">
        <v>36152</v>
      </c>
      <c r="Q334" s="259">
        <v>115858391.14</v>
      </c>
      <c r="R334" s="259">
        <v>157387410.27265871</v>
      </c>
      <c r="S334" s="254">
        <v>3</v>
      </c>
      <c r="T334" s="256">
        <v>8.2636827923913136E-2</v>
      </c>
      <c r="U334" s="256">
        <v>1.068262403741548</v>
      </c>
      <c r="V334" s="256">
        <v>-9.943810335597747E-2</v>
      </c>
      <c r="W334" s="256">
        <v>-0.9748259075842437</v>
      </c>
      <c r="X334" s="256">
        <v>1.8894972954892619E-2</v>
      </c>
      <c r="Y334" s="256">
        <v>0.14328401238812805</v>
      </c>
      <c r="Z334" s="256">
        <v>-1.2710358559285151E-2</v>
      </c>
      <c r="AA334" s="256">
        <v>-7.224979860003293E-2</v>
      </c>
      <c r="AB334" s="256">
        <v>0.21922660445380465</v>
      </c>
      <c r="AC334" s="260">
        <v>-0.81134595621570305</v>
      </c>
      <c r="AD334" s="405">
        <v>30506097000170</v>
      </c>
      <c r="AE334" s="257" t="s">
        <v>2247</v>
      </c>
      <c r="AF334" s="257" t="s">
        <v>2118</v>
      </c>
      <c r="AG334" s="261" t="s">
        <v>1433</v>
      </c>
      <c r="AH334" s="261" t="s">
        <v>2113</v>
      </c>
      <c r="AI334" s="261">
        <v>5000</v>
      </c>
      <c r="AJ334" s="261">
        <v>1000</v>
      </c>
      <c r="AK334" s="261">
        <v>1000</v>
      </c>
      <c r="AL334" s="256">
        <v>0.02</v>
      </c>
      <c r="AM334" s="256">
        <v>0.2</v>
      </c>
      <c r="AN334" s="256" t="s">
        <v>666</v>
      </c>
      <c r="AO334" s="254" t="s">
        <v>1324</v>
      </c>
      <c r="AP334" s="257" t="s">
        <v>716</v>
      </c>
      <c r="AQ334" s="263" t="s">
        <v>659</v>
      </c>
      <c r="AR334" s="256">
        <v>6.9999999999999993E-3</v>
      </c>
      <c r="AS334" s="256">
        <v>6.9999999999999993E-3</v>
      </c>
      <c r="AT334" s="256"/>
      <c r="AW334" s="508"/>
      <c r="AX334" s="508"/>
      <c r="AY334" s="509"/>
      <c r="AZ334" s="509"/>
      <c r="BA334" s="509"/>
      <c r="BB334" s="510"/>
      <c r="BC334" s="509"/>
      <c r="BD334" s="509"/>
      <c r="BE334" s="509"/>
      <c r="BF334" s="509"/>
      <c r="BG334" s="510"/>
      <c r="BH334" s="510"/>
      <c r="BI334" s="511"/>
      <c r="BJ334" s="511"/>
      <c r="BK334" s="511"/>
      <c r="BL334" s="510"/>
      <c r="BM334" s="510"/>
      <c r="BN334" s="510"/>
      <c r="BO334" s="510"/>
      <c r="BP334" s="510"/>
      <c r="BQ334" s="510"/>
      <c r="BR334" s="510"/>
      <c r="BS334" s="510"/>
      <c r="BT334" s="513"/>
      <c r="BU334" s="514"/>
      <c r="BV334" s="512"/>
      <c r="BW334" s="515"/>
    </row>
    <row r="335" spans="2:75" ht="15.75" customHeight="1">
      <c r="B335" s="250" t="s">
        <v>956</v>
      </c>
      <c r="C335" s="251">
        <v>28568701000140</v>
      </c>
      <c r="D335" s="252" t="s">
        <v>14</v>
      </c>
      <c r="E335" s="252" t="s">
        <v>614</v>
      </c>
      <c r="F335" s="252"/>
      <c r="G335" s="253"/>
      <c r="H335" s="253" t="s">
        <v>865</v>
      </c>
      <c r="I335" s="253" t="s">
        <v>34</v>
      </c>
      <c r="J335" s="253" t="s">
        <v>608</v>
      </c>
      <c r="K335" s="254" t="s">
        <v>48</v>
      </c>
      <c r="L335" s="255"/>
      <c r="M335" s="255" t="s">
        <v>1414</v>
      </c>
      <c r="N335" s="254">
        <v>452653</v>
      </c>
      <c r="O335" s="254" t="s">
        <v>1321</v>
      </c>
      <c r="P335" s="258">
        <v>43048</v>
      </c>
      <c r="Q335" s="259">
        <v>20247768.370000001</v>
      </c>
      <c r="R335" s="259">
        <v>29008691.277460326</v>
      </c>
      <c r="S335" s="254">
        <v>3</v>
      </c>
      <c r="T335" s="256">
        <v>9.929784717139567E-3</v>
      </c>
      <c r="U335" s="256">
        <v>0.12836426514742841</v>
      </c>
      <c r="V335" s="256">
        <v>-2.5995551847806997E-2</v>
      </c>
      <c r="W335" s="256">
        <v>-0.25484333035268414</v>
      </c>
      <c r="X335" s="256">
        <v>5.3983218531152177E-2</v>
      </c>
      <c r="Y335" s="256">
        <v>0.40936455274289069</v>
      </c>
      <c r="Z335" s="256">
        <v>0.10533419800495314</v>
      </c>
      <c r="AA335" s="256">
        <v>0.59875372957077877</v>
      </c>
      <c r="AB335" s="256">
        <v>0.11411501436978631</v>
      </c>
      <c r="AC335" s="260">
        <v>-1.0253755336577692</v>
      </c>
      <c r="AD335" s="405">
        <v>0</v>
      </c>
      <c r="AE335" s="257" t="s">
        <v>2253</v>
      </c>
      <c r="AF335" s="257" t="s">
        <v>741</v>
      </c>
      <c r="AG335" s="261" t="s">
        <v>741</v>
      </c>
      <c r="AH335" s="261" t="s">
        <v>2113</v>
      </c>
      <c r="AI335" s="261">
        <v>1000</v>
      </c>
      <c r="AJ335" s="261">
        <v>300</v>
      </c>
      <c r="AK335" s="261">
        <v>0</v>
      </c>
      <c r="AL335" s="256">
        <v>1.3000000000000001E-2</v>
      </c>
      <c r="AM335" s="256">
        <v>0.2</v>
      </c>
      <c r="AN335" s="256" t="s">
        <v>2141</v>
      </c>
      <c r="AO335" s="254" t="s">
        <v>1324</v>
      </c>
      <c r="AP335" s="257" t="s">
        <v>13</v>
      </c>
      <c r="AQ335" s="263" t="s">
        <v>668</v>
      </c>
      <c r="AR335" s="256">
        <v>3.4666666666666665E-3</v>
      </c>
      <c r="AS335" s="256">
        <v>3.4666666666666665E-3</v>
      </c>
      <c r="AT335" s="256"/>
      <c r="AW335" s="508"/>
      <c r="AX335" s="508"/>
      <c r="AY335" s="509"/>
      <c r="AZ335" s="509"/>
      <c r="BA335" s="509"/>
      <c r="BB335" s="510"/>
      <c r="BC335" s="509"/>
      <c r="BD335" s="509"/>
      <c r="BE335" s="509"/>
      <c r="BF335" s="509"/>
      <c r="BG335" s="510"/>
      <c r="BH335" s="510"/>
      <c r="BI335" s="511"/>
      <c r="BJ335" s="511"/>
      <c r="BK335" s="511"/>
      <c r="BL335" s="510"/>
      <c r="BM335" s="510"/>
      <c r="BN335" s="510"/>
      <c r="BO335" s="510"/>
      <c r="BP335" s="510"/>
      <c r="BQ335" s="510"/>
      <c r="BR335" s="510"/>
      <c r="BS335" s="510"/>
      <c r="BT335" s="513"/>
      <c r="BU335" s="514"/>
      <c r="BV335" s="512"/>
      <c r="BW335" s="515"/>
    </row>
    <row r="336" spans="2:75" ht="15.75" customHeight="1">
      <c r="B336" s="250" t="s">
        <v>215</v>
      </c>
      <c r="C336" s="251">
        <v>18889810000106</v>
      </c>
      <c r="D336" s="252" t="s">
        <v>14</v>
      </c>
      <c r="E336" s="252" t="s">
        <v>614</v>
      </c>
      <c r="F336" s="252"/>
      <c r="G336" s="253"/>
      <c r="H336" s="253" t="s">
        <v>1338</v>
      </c>
      <c r="I336" s="253" t="s">
        <v>34</v>
      </c>
      <c r="J336" s="253" t="s">
        <v>608</v>
      </c>
      <c r="K336" s="254" t="s">
        <v>48</v>
      </c>
      <c r="L336" s="255"/>
      <c r="M336" s="255" t="s">
        <v>34</v>
      </c>
      <c r="N336" s="254">
        <v>361402</v>
      </c>
      <c r="O336" s="254" t="s">
        <v>1321</v>
      </c>
      <c r="P336" s="258">
        <v>41698</v>
      </c>
      <c r="Q336" s="259">
        <v>50736262.840000004</v>
      </c>
      <c r="R336" s="259">
        <v>47445713.505317479</v>
      </c>
      <c r="S336" s="254">
        <v>3</v>
      </c>
      <c r="T336" s="256">
        <v>6.6281340429101165E-2</v>
      </c>
      <c r="U336" s="256">
        <v>0.85683182460968976</v>
      </c>
      <c r="V336" s="256">
        <v>-7.640916616416249E-2</v>
      </c>
      <c r="W336" s="256">
        <v>-0.74906532043440732</v>
      </c>
      <c r="X336" s="256">
        <v>0.10197712648597146</v>
      </c>
      <c r="Y336" s="256">
        <v>0.77331107536399613</v>
      </c>
      <c r="Z336" s="256">
        <v>0.23045279224283011</v>
      </c>
      <c r="AA336" s="256">
        <v>1.3099683811985345</v>
      </c>
      <c r="AB336" s="256">
        <v>0.23965725385852915</v>
      </c>
      <c r="AC336" s="260">
        <v>-0.61713550898345171</v>
      </c>
      <c r="AD336" s="405">
        <v>26946245000108</v>
      </c>
      <c r="AE336" s="257" t="s">
        <v>2129</v>
      </c>
      <c r="AF336" s="257" t="s">
        <v>2118</v>
      </c>
      <c r="AG336" s="261" t="s">
        <v>1433</v>
      </c>
      <c r="AH336" s="261" t="s">
        <v>2113</v>
      </c>
      <c r="AI336" s="261">
        <v>5000</v>
      </c>
      <c r="AJ336" s="261">
        <v>1000</v>
      </c>
      <c r="AK336" s="261">
        <v>5000</v>
      </c>
      <c r="AL336" s="256">
        <v>0.02</v>
      </c>
      <c r="AM336" s="256">
        <v>0.2</v>
      </c>
      <c r="AN336" s="256" t="s">
        <v>2127</v>
      </c>
      <c r="AO336" s="254" t="s">
        <v>1324</v>
      </c>
      <c r="AP336" s="257" t="s">
        <v>13</v>
      </c>
      <c r="AQ336" s="263" t="s">
        <v>668</v>
      </c>
      <c r="AR336" s="256">
        <v>4.0000000000000001E-3</v>
      </c>
      <c r="AS336" s="256">
        <v>4.0000000000000001E-3</v>
      </c>
      <c r="AT336" s="256"/>
      <c r="AW336" s="508"/>
      <c r="AX336" s="508"/>
      <c r="AY336" s="509"/>
      <c r="AZ336" s="509"/>
      <c r="BA336" s="509"/>
      <c r="BB336" s="510"/>
      <c r="BC336" s="509"/>
      <c r="BD336" s="509"/>
      <c r="BE336" s="509"/>
      <c r="BF336" s="509"/>
      <c r="BG336" s="510"/>
      <c r="BH336" s="510"/>
      <c r="BI336" s="511"/>
      <c r="BJ336" s="511"/>
      <c r="BK336" s="511"/>
      <c r="BL336" s="510"/>
      <c r="BM336" s="510"/>
      <c r="BN336" s="510"/>
      <c r="BO336" s="510"/>
      <c r="BP336" s="510"/>
      <c r="BQ336" s="510"/>
      <c r="BR336" s="510"/>
      <c r="BS336" s="510"/>
      <c r="BT336" s="513"/>
      <c r="BU336" s="514"/>
      <c r="BV336" s="512"/>
      <c r="BW336" s="515"/>
    </row>
    <row r="337" spans="2:75" ht="15.75" customHeight="1">
      <c r="B337" s="250" t="s">
        <v>966</v>
      </c>
      <c r="C337" s="251">
        <v>7124064000143</v>
      </c>
      <c r="D337" s="252" t="s">
        <v>14</v>
      </c>
      <c r="E337" s="252" t="s">
        <v>607</v>
      </c>
      <c r="F337" s="252"/>
      <c r="G337" s="253"/>
      <c r="H337" s="253" t="s">
        <v>34</v>
      </c>
      <c r="I337" s="253" t="s">
        <v>34</v>
      </c>
      <c r="J337" s="253" t="s">
        <v>608</v>
      </c>
      <c r="K337" s="254" t="s">
        <v>48</v>
      </c>
      <c r="L337" s="255"/>
      <c r="M337" s="255" t="s">
        <v>34</v>
      </c>
      <c r="N337" s="254">
        <v>141720</v>
      </c>
      <c r="O337" s="254" t="s">
        <v>1321</v>
      </c>
      <c r="P337" s="258">
        <v>38357</v>
      </c>
      <c r="Q337" s="259">
        <v>50496922.850000001</v>
      </c>
      <c r="R337" s="259">
        <v>55054770.286428571</v>
      </c>
      <c r="S337" s="254">
        <v>3</v>
      </c>
      <c r="T337" s="256">
        <v>-2.3771904049708636E-2</v>
      </c>
      <c r="U337" s="256">
        <v>-0.3073040434833364</v>
      </c>
      <c r="V337" s="256">
        <v>-0.21444519195934364</v>
      </c>
      <c r="W337" s="256">
        <v>-2.1022799291583452</v>
      </c>
      <c r="X337" s="256">
        <v>-8.5351578407404927E-2</v>
      </c>
      <c r="Y337" s="256">
        <v>-0.64723652407801979</v>
      </c>
      <c r="Z337" s="256">
        <v>-2.2609914384793317E-2</v>
      </c>
      <c r="AA337" s="256">
        <v>-0.12852208323202319</v>
      </c>
      <c r="AB337" s="256">
        <v>0.23983428264047438</v>
      </c>
      <c r="AC337" s="260">
        <v>-1.2909772407871403</v>
      </c>
      <c r="AD337" s="405">
        <v>11361553000196</v>
      </c>
      <c r="AE337" s="257" t="s">
        <v>2129</v>
      </c>
      <c r="AF337" s="257" t="s">
        <v>2118</v>
      </c>
      <c r="AG337" s="261" t="s">
        <v>1433</v>
      </c>
      <c r="AH337" s="261" t="s">
        <v>2113</v>
      </c>
      <c r="AI337" s="261">
        <v>500</v>
      </c>
      <c r="AJ337" s="261">
        <v>500</v>
      </c>
      <c r="AK337" s="261">
        <v>500</v>
      </c>
      <c r="AL337" s="256">
        <v>0.02</v>
      </c>
      <c r="AM337" s="256">
        <v>0.2</v>
      </c>
      <c r="AN337" s="256" t="s">
        <v>34</v>
      </c>
      <c r="AO337" s="254" t="s">
        <v>1324</v>
      </c>
      <c r="AP337" s="257" t="s">
        <v>716</v>
      </c>
      <c r="AQ337" s="263" t="s">
        <v>659</v>
      </c>
      <c r="AR337" s="256">
        <v>4.0000000000000001E-3</v>
      </c>
      <c r="AS337" s="256">
        <v>4.0000000000000001E-3</v>
      </c>
      <c r="AT337" s="256"/>
      <c r="AW337" s="508"/>
      <c r="AX337" s="508"/>
      <c r="AY337" s="509"/>
      <c r="AZ337" s="509"/>
      <c r="BA337" s="509"/>
      <c r="BB337" s="510"/>
      <c r="BC337" s="509"/>
      <c r="BD337" s="509"/>
      <c r="BE337" s="509"/>
      <c r="BF337" s="509"/>
      <c r="BG337" s="510"/>
      <c r="BH337" s="510"/>
      <c r="BI337" s="511"/>
      <c r="BJ337" s="511"/>
      <c r="BK337" s="511"/>
      <c r="BL337" s="510"/>
      <c r="BM337" s="510"/>
      <c r="BN337" s="510"/>
      <c r="BO337" s="510"/>
      <c r="BP337" s="510"/>
      <c r="BQ337" s="510"/>
      <c r="BR337" s="510"/>
      <c r="BS337" s="510"/>
      <c r="BT337" s="513"/>
      <c r="BU337" s="514"/>
      <c r="BV337" s="512"/>
      <c r="BW337" s="515"/>
    </row>
    <row r="338" spans="2:75" ht="15.75" customHeight="1">
      <c r="B338" s="250" t="s">
        <v>219</v>
      </c>
      <c r="C338" s="251">
        <v>4437399000123</v>
      </c>
      <c r="D338" s="252" t="s">
        <v>14</v>
      </c>
      <c r="E338" s="252" t="s">
        <v>607</v>
      </c>
      <c r="F338" s="252"/>
      <c r="G338" s="253"/>
      <c r="H338" s="253" t="s">
        <v>34</v>
      </c>
      <c r="I338" s="253" t="s">
        <v>34</v>
      </c>
      <c r="J338" s="253" t="s">
        <v>608</v>
      </c>
      <c r="K338" s="254" t="s">
        <v>48</v>
      </c>
      <c r="L338" s="255"/>
      <c r="M338" s="255" t="s">
        <v>34</v>
      </c>
      <c r="N338" s="254">
        <v>349011</v>
      </c>
      <c r="O338" s="254" t="s">
        <v>1324</v>
      </c>
      <c r="P338" s="258">
        <v>41547</v>
      </c>
      <c r="Q338" s="259">
        <v>33283424.379999999</v>
      </c>
      <c r="R338" s="259">
        <v>30663798.136825386</v>
      </c>
      <c r="S338" s="254">
        <v>3</v>
      </c>
      <c r="T338" s="256">
        <v>0.10326787924707981</v>
      </c>
      <c r="U338" s="256">
        <v>1.3349640309929445</v>
      </c>
      <c r="V338" s="256">
        <v>9.1793414849193899E-2</v>
      </c>
      <c r="W338" s="256">
        <v>0.89988239840300022</v>
      </c>
      <c r="X338" s="256">
        <v>0.44408465463175295</v>
      </c>
      <c r="Y338" s="256">
        <v>3.3675746087351448</v>
      </c>
      <c r="Z338" s="256">
        <v>0.87404784433279414</v>
      </c>
      <c r="AA338" s="256">
        <v>4.9683713032395325</v>
      </c>
      <c r="AB338" s="256">
        <v>0.24835640426778866</v>
      </c>
      <c r="AC338" s="260">
        <v>8.6369834413149785E-2</v>
      </c>
      <c r="AD338" s="405">
        <v>14213077000154</v>
      </c>
      <c r="AE338" s="257" t="s">
        <v>2265</v>
      </c>
      <c r="AF338" s="257" t="s">
        <v>2109</v>
      </c>
      <c r="AG338" s="261" t="s">
        <v>1432</v>
      </c>
      <c r="AH338" s="261" t="s">
        <v>2113</v>
      </c>
      <c r="AI338" s="261">
        <v>10000</v>
      </c>
      <c r="AJ338" s="261">
        <v>1000</v>
      </c>
      <c r="AK338" s="261">
        <v>1000</v>
      </c>
      <c r="AL338" s="256">
        <v>1.9E-2</v>
      </c>
      <c r="AM338" s="256">
        <v>0.2</v>
      </c>
      <c r="AN338" s="256" t="s">
        <v>666</v>
      </c>
      <c r="AO338" s="254" t="s">
        <v>1324</v>
      </c>
      <c r="AP338" s="257" t="s">
        <v>716</v>
      </c>
      <c r="AQ338" s="263" t="s">
        <v>659</v>
      </c>
      <c r="AR338" s="256">
        <v>4.4333333333333325E-3</v>
      </c>
      <c r="AS338" s="256">
        <v>4.4333333333333325E-3</v>
      </c>
      <c r="AT338" s="256"/>
      <c r="AW338" s="508"/>
      <c r="AX338" s="508"/>
      <c r="AY338" s="509"/>
      <c r="AZ338" s="509"/>
      <c r="BA338" s="509"/>
      <c r="BB338" s="510"/>
      <c r="BC338" s="509"/>
      <c r="BD338" s="509"/>
      <c r="BE338" s="509"/>
      <c r="BF338" s="509"/>
      <c r="BG338" s="510"/>
      <c r="BH338" s="510"/>
      <c r="BI338" s="511"/>
      <c r="BJ338" s="511"/>
      <c r="BK338" s="511"/>
      <c r="BL338" s="510"/>
      <c r="BM338" s="510"/>
      <c r="BN338" s="510"/>
      <c r="BO338" s="510"/>
      <c r="BP338" s="510"/>
      <c r="BQ338" s="510"/>
      <c r="BR338" s="510"/>
      <c r="BS338" s="510"/>
      <c r="BT338" s="513"/>
      <c r="BU338" s="514"/>
      <c r="BV338" s="512"/>
      <c r="BW338" s="515"/>
    </row>
    <row r="339" spans="2:75" ht="15.75" customHeight="1">
      <c r="B339" s="250" t="s">
        <v>229</v>
      </c>
      <c r="C339" s="251">
        <v>13401715000106</v>
      </c>
      <c r="D339" s="252" t="s">
        <v>14</v>
      </c>
      <c r="E339" s="252" t="s">
        <v>607</v>
      </c>
      <c r="F339" s="252"/>
      <c r="G339" s="253"/>
      <c r="H339" s="253" t="s">
        <v>34</v>
      </c>
      <c r="I339" s="253" t="s">
        <v>34</v>
      </c>
      <c r="J339" s="253" t="s">
        <v>608</v>
      </c>
      <c r="K339" s="254" t="s">
        <v>48</v>
      </c>
      <c r="L339" s="255"/>
      <c r="M339" s="255" t="s">
        <v>34</v>
      </c>
      <c r="N339" s="254">
        <v>282219</v>
      </c>
      <c r="O339" s="254" t="s">
        <v>1324</v>
      </c>
      <c r="P339" s="258">
        <v>40753</v>
      </c>
      <c r="Q339" s="259">
        <v>48458102.740000002</v>
      </c>
      <c r="R339" s="259">
        <v>63771633.811071411</v>
      </c>
      <c r="S339" s="254">
        <v>3</v>
      </c>
      <c r="T339" s="256">
        <v>0.162679513486645</v>
      </c>
      <c r="U339" s="256">
        <v>2.1029898228518507</v>
      </c>
      <c r="V339" s="256">
        <v>6.5977127884668807E-3</v>
      </c>
      <c r="W339" s="256">
        <v>6.4679646332079579E-2</v>
      </c>
      <c r="X339" s="256">
        <v>0.14420580514038361</v>
      </c>
      <c r="Y339" s="256">
        <v>1.0935388168853895</v>
      </c>
      <c r="Z339" s="256">
        <v>0.23785500208241328</v>
      </c>
      <c r="AA339" s="256">
        <v>1.3520449416362712</v>
      </c>
      <c r="AB339" s="256">
        <v>0.20792887118283743</v>
      </c>
      <c r="AC339" s="260">
        <v>-0.33179371144479564</v>
      </c>
      <c r="AD339" s="405">
        <v>13396819000161</v>
      </c>
      <c r="AE339" s="257" t="s">
        <v>2274</v>
      </c>
      <c r="AF339" s="257" t="s">
        <v>2115</v>
      </c>
      <c r="AG339" s="261" t="s">
        <v>719</v>
      </c>
      <c r="AH339" s="261" t="s">
        <v>2113</v>
      </c>
      <c r="AI339" s="261">
        <v>30000</v>
      </c>
      <c r="AJ339" s="261">
        <v>10000</v>
      </c>
      <c r="AK339" s="261">
        <v>30000</v>
      </c>
      <c r="AL339" s="256">
        <v>1.9574999999999999E-2</v>
      </c>
      <c r="AM339" s="256">
        <v>0.2</v>
      </c>
      <c r="AN339" s="256" t="s">
        <v>2160</v>
      </c>
      <c r="AO339" s="254" t="s">
        <v>1324</v>
      </c>
      <c r="AP339" s="257" t="s">
        <v>716</v>
      </c>
      <c r="AQ339" s="263" t="s">
        <v>659</v>
      </c>
      <c r="AR339" s="256">
        <v>4.5022500000000002E-3</v>
      </c>
      <c r="AS339" s="256">
        <v>4.5022500000000002E-3</v>
      </c>
      <c r="AT339" s="256"/>
      <c r="AW339" s="508"/>
      <c r="AX339" s="508"/>
      <c r="AY339" s="509"/>
      <c r="AZ339" s="509"/>
      <c r="BA339" s="509"/>
      <c r="BB339" s="510"/>
      <c r="BC339" s="509"/>
      <c r="BD339" s="509"/>
      <c r="BE339" s="509"/>
      <c r="BF339" s="509"/>
      <c r="BG339" s="510"/>
      <c r="BH339" s="510"/>
      <c r="BI339" s="511"/>
      <c r="BJ339" s="511"/>
      <c r="BK339" s="511"/>
      <c r="BL339" s="510"/>
      <c r="BM339" s="510"/>
      <c r="BN339" s="510"/>
      <c r="BO339" s="510"/>
      <c r="BP339" s="510"/>
      <c r="BQ339" s="510"/>
      <c r="BR339" s="510"/>
      <c r="BS339" s="510"/>
      <c r="BT339" s="513"/>
      <c r="BU339" s="514"/>
      <c r="BV339" s="512"/>
      <c r="BW339" s="515"/>
    </row>
    <row r="340" spans="2:75" ht="15.75" customHeight="1">
      <c r="B340" s="250" t="s">
        <v>234</v>
      </c>
      <c r="C340" s="251">
        <v>8279304000141</v>
      </c>
      <c r="D340" s="252" t="s">
        <v>14</v>
      </c>
      <c r="E340" s="252" t="s">
        <v>607</v>
      </c>
      <c r="F340" s="252"/>
      <c r="G340" s="253"/>
      <c r="H340" s="253" t="s">
        <v>34</v>
      </c>
      <c r="I340" s="253" t="s">
        <v>34</v>
      </c>
      <c r="J340" s="253" t="s">
        <v>608</v>
      </c>
      <c r="K340" s="254" t="s">
        <v>48</v>
      </c>
      <c r="L340" s="255"/>
      <c r="M340" s="255" t="s">
        <v>34</v>
      </c>
      <c r="N340" s="254">
        <v>173126</v>
      </c>
      <c r="O340" s="254" t="s">
        <v>1321</v>
      </c>
      <c r="P340" s="258">
        <v>39014</v>
      </c>
      <c r="Q340" s="259">
        <v>957886346.38999999</v>
      </c>
      <c r="R340" s="259">
        <v>1013217244.2058729</v>
      </c>
      <c r="S340" s="254">
        <v>3</v>
      </c>
      <c r="T340" s="256">
        <v>4.4035713299779289E-2</v>
      </c>
      <c r="U340" s="256">
        <v>0.56925826077701036</v>
      </c>
      <c r="V340" s="256">
        <v>-0.10444403393760271</v>
      </c>
      <c r="W340" s="256">
        <v>-1.0239007657909314</v>
      </c>
      <c r="X340" s="256">
        <v>-5.040938983950527E-2</v>
      </c>
      <c r="Y340" s="256">
        <v>-0.3822635605504468</v>
      </c>
      <c r="Z340" s="256">
        <v>-0.11414043519340589</v>
      </c>
      <c r="AA340" s="256">
        <v>-0.6488112366286769</v>
      </c>
      <c r="AB340" s="256">
        <v>0.18742149322663448</v>
      </c>
      <c r="AC340" s="260">
        <v>-1.0131706287694835</v>
      </c>
      <c r="AD340" s="405">
        <v>0</v>
      </c>
      <c r="AE340" s="257" t="s">
        <v>2275</v>
      </c>
      <c r="AF340" s="257" t="s">
        <v>2115</v>
      </c>
      <c r="AG340" s="261" t="s">
        <v>719</v>
      </c>
      <c r="AH340" s="261" t="s">
        <v>2113</v>
      </c>
      <c r="AI340" s="261">
        <v>500</v>
      </c>
      <c r="AJ340" s="261">
        <v>500</v>
      </c>
      <c r="AK340" s="261">
        <v>500</v>
      </c>
      <c r="AL340" s="256">
        <v>0.02</v>
      </c>
      <c r="AM340" s="256" t="s">
        <v>34</v>
      </c>
      <c r="AN340" s="256" t="s">
        <v>2122</v>
      </c>
      <c r="AO340" s="254" t="s">
        <v>1324</v>
      </c>
      <c r="AP340" s="257" t="s">
        <v>716</v>
      </c>
      <c r="AQ340" s="263" t="s">
        <v>667</v>
      </c>
      <c r="AR340" s="256">
        <v>5.0000000000000001E-3</v>
      </c>
      <c r="AS340" s="256">
        <v>5.0000000000000001E-3</v>
      </c>
      <c r="AT340" s="256"/>
      <c r="AW340" s="508"/>
      <c r="AX340" s="508"/>
      <c r="AY340" s="509"/>
      <c r="AZ340" s="509"/>
      <c r="BA340" s="509"/>
      <c r="BB340" s="510"/>
      <c r="BC340" s="509"/>
      <c r="BD340" s="509"/>
      <c r="BE340" s="509"/>
      <c r="BF340" s="509"/>
      <c r="BG340" s="510"/>
      <c r="BH340" s="510"/>
      <c r="BI340" s="511"/>
      <c r="BJ340" s="511"/>
      <c r="BK340" s="511"/>
      <c r="BL340" s="510"/>
      <c r="BM340" s="510"/>
      <c r="BN340" s="510"/>
      <c r="BO340" s="510"/>
      <c r="BP340" s="510"/>
      <c r="BQ340" s="510"/>
      <c r="BR340" s="510"/>
      <c r="BS340" s="510"/>
      <c r="BT340" s="513"/>
      <c r="BU340" s="514"/>
      <c r="BV340" s="512"/>
      <c r="BW340" s="515"/>
    </row>
    <row r="341" spans="2:75" ht="15.75" customHeight="1">
      <c r="B341" s="250" t="s">
        <v>1050</v>
      </c>
      <c r="C341" s="251">
        <v>31146414000157</v>
      </c>
      <c r="D341" s="252" t="s">
        <v>14</v>
      </c>
      <c r="E341" s="252" t="s">
        <v>607</v>
      </c>
      <c r="F341" s="252"/>
      <c r="G341" s="253"/>
      <c r="H341" s="253" t="s">
        <v>34</v>
      </c>
      <c r="I341" s="253" t="s">
        <v>34</v>
      </c>
      <c r="J341" s="253" t="s">
        <v>608</v>
      </c>
      <c r="K341" s="254" t="s">
        <v>48</v>
      </c>
      <c r="L341" s="255"/>
      <c r="M341" s="255" t="s">
        <v>34</v>
      </c>
      <c r="N341" s="254">
        <v>487198</v>
      </c>
      <c r="O341" s="254" t="s">
        <v>1321</v>
      </c>
      <c r="P341" s="258">
        <v>43507</v>
      </c>
      <c r="Q341" s="259">
        <v>6596716.1100000003</v>
      </c>
      <c r="R341" s="259">
        <v>12740588.708253967</v>
      </c>
      <c r="S341" s="254">
        <v>3</v>
      </c>
      <c r="T341" s="256">
        <v>7.3437694274448795E-2</v>
      </c>
      <c r="U341" s="256">
        <v>0.94934340755543223</v>
      </c>
      <c r="V341" s="256">
        <v>-6.3071952805137221E-2</v>
      </c>
      <c r="W341" s="256">
        <v>-0.61831603340494035</v>
      </c>
      <c r="X341" s="256">
        <v>9.4924923343861822E-2</v>
      </c>
      <c r="Y341" s="256">
        <v>0.71983293783027802</v>
      </c>
      <c r="Z341" s="256">
        <v>9.4333161220910622E-2</v>
      </c>
      <c r="AA341" s="256">
        <v>0.53622027008328121</v>
      </c>
      <c r="AB341" s="256">
        <v>0.22410370713038594</v>
      </c>
      <c r="AC341" s="260">
        <v>-0.61209633956931053</v>
      </c>
      <c r="AD341" s="405">
        <v>0</v>
      </c>
      <c r="AE341" s="257" t="s">
        <v>2167</v>
      </c>
      <c r="AF341" s="257" t="s">
        <v>2109</v>
      </c>
      <c r="AG341" s="261" t="s">
        <v>1432</v>
      </c>
      <c r="AH341" s="261" t="s">
        <v>2113</v>
      </c>
      <c r="AI341" s="261">
        <v>1000</v>
      </c>
      <c r="AJ341" s="261">
        <v>0</v>
      </c>
      <c r="AK341" s="261">
        <v>0</v>
      </c>
      <c r="AL341" s="256">
        <v>0.02</v>
      </c>
      <c r="AM341" s="256">
        <v>0.2</v>
      </c>
      <c r="AN341" s="256" t="s">
        <v>34</v>
      </c>
      <c r="AO341" s="254" t="s">
        <v>1324</v>
      </c>
      <c r="AP341" s="257" t="s">
        <v>716</v>
      </c>
      <c r="AQ341" s="263" t="s">
        <v>659</v>
      </c>
      <c r="AR341" s="256">
        <v>5.3333333333333332E-3</v>
      </c>
      <c r="AS341" s="256">
        <v>5.3333333333333332E-3</v>
      </c>
      <c r="AT341" s="256"/>
      <c r="AW341" s="508"/>
      <c r="AX341" s="508"/>
      <c r="AY341" s="509"/>
      <c r="AZ341" s="509"/>
      <c r="BA341" s="509"/>
      <c r="BB341" s="510"/>
      <c r="BC341" s="509"/>
      <c r="BD341" s="509"/>
      <c r="BE341" s="509"/>
      <c r="BF341" s="509"/>
      <c r="BG341" s="510"/>
      <c r="BH341" s="510"/>
      <c r="BI341" s="511"/>
      <c r="BJ341" s="511"/>
      <c r="BK341" s="511"/>
      <c r="BL341" s="510"/>
      <c r="BM341" s="510"/>
      <c r="BN341" s="510"/>
      <c r="BO341" s="510"/>
      <c r="BP341" s="510"/>
      <c r="BQ341" s="510"/>
      <c r="BR341" s="510"/>
      <c r="BS341" s="510"/>
      <c r="BT341" s="513"/>
      <c r="BU341" s="514"/>
      <c r="BV341" s="512"/>
      <c r="BW341" s="515"/>
    </row>
    <row r="342" spans="2:75" ht="15.75" customHeight="1">
      <c r="B342" s="250" t="s">
        <v>1052</v>
      </c>
      <c r="C342" s="251">
        <v>11952816000131</v>
      </c>
      <c r="D342" s="252" t="s">
        <v>14</v>
      </c>
      <c r="E342" s="252" t="s">
        <v>607</v>
      </c>
      <c r="F342" s="252"/>
      <c r="G342" s="253"/>
      <c r="H342" s="253" t="s">
        <v>34</v>
      </c>
      <c r="I342" s="253" t="s">
        <v>34</v>
      </c>
      <c r="J342" s="253" t="s">
        <v>611</v>
      </c>
      <c r="K342" s="254"/>
      <c r="L342" s="255"/>
      <c r="M342" s="255" t="s">
        <v>1414</v>
      </c>
      <c r="N342" s="254">
        <v>354465</v>
      </c>
      <c r="O342" s="254" t="s">
        <v>1321</v>
      </c>
      <c r="P342" s="258">
        <v>40367</v>
      </c>
      <c r="Q342" s="259">
        <v>405444308.88</v>
      </c>
      <c r="R342" s="259">
        <v>431513258.24273807</v>
      </c>
      <c r="S342" s="254">
        <v>3</v>
      </c>
      <c r="T342" s="256">
        <v>-0.16753238816533322</v>
      </c>
      <c r="U342" s="256">
        <v>-2.1657238810139723</v>
      </c>
      <c r="V342" s="256">
        <v>-0.15072479474401901</v>
      </c>
      <c r="W342" s="256">
        <v>-1.4776069723071084</v>
      </c>
      <c r="X342" s="256">
        <v>6.9416379202898337E-2</v>
      </c>
      <c r="Y342" s="256">
        <v>0.52639701371319614</v>
      </c>
      <c r="Z342" s="256">
        <v>0.47367451493342738</v>
      </c>
      <c r="AA342" s="256">
        <v>2.6925195025995525</v>
      </c>
      <c r="AB342" s="256">
        <v>0.15193143847331725</v>
      </c>
      <c r="AC342" s="260">
        <v>-1.6371104176449063</v>
      </c>
      <c r="AD342" s="405">
        <v>46785338000105</v>
      </c>
      <c r="AE342" s="257" t="s">
        <v>2310</v>
      </c>
      <c r="AF342" s="257" t="s">
        <v>2109</v>
      </c>
      <c r="AG342" s="261" t="s">
        <v>1432</v>
      </c>
      <c r="AH342" s="261" t="s">
        <v>726</v>
      </c>
      <c r="AI342" s="261">
        <v>0</v>
      </c>
      <c r="AJ342" s="261">
        <v>0</v>
      </c>
      <c r="AK342" s="261">
        <v>0</v>
      </c>
      <c r="AL342" s="256">
        <v>8.6199999999999992E-3</v>
      </c>
      <c r="AM342" s="256" t="s">
        <v>34</v>
      </c>
      <c r="AN342" s="256" t="s">
        <v>34</v>
      </c>
      <c r="AO342" s="254" t="s">
        <v>1324</v>
      </c>
      <c r="AP342" s="257" t="s">
        <v>716</v>
      </c>
      <c r="AQ342" s="263" t="s">
        <v>687</v>
      </c>
      <c r="AR342" s="256" t="s">
        <v>34</v>
      </c>
      <c r="AS342" s="256" t="s">
        <v>34</v>
      </c>
      <c r="AT342" s="256"/>
      <c r="AW342" s="508"/>
      <c r="AX342" s="508"/>
      <c r="AY342" s="509"/>
      <c r="AZ342" s="509"/>
      <c r="BA342" s="509"/>
      <c r="BB342" s="510"/>
      <c r="BC342" s="509"/>
      <c r="BD342" s="509"/>
      <c r="BE342" s="509"/>
      <c r="BF342" s="509"/>
      <c r="BG342" s="510"/>
      <c r="BH342" s="510"/>
      <c r="BI342" s="511"/>
      <c r="BJ342" s="511"/>
      <c r="BK342" s="511"/>
      <c r="BL342" s="510"/>
      <c r="BM342" s="510"/>
      <c r="BN342" s="510"/>
      <c r="BO342" s="510"/>
      <c r="BP342" s="510"/>
      <c r="BQ342" s="510"/>
      <c r="BR342" s="510"/>
      <c r="BS342" s="510"/>
      <c r="BT342" s="513"/>
      <c r="BU342" s="514"/>
      <c r="BV342" s="512"/>
      <c r="BW342" s="515"/>
    </row>
    <row r="343" spans="2:75" ht="15.75" customHeight="1">
      <c r="B343" s="250" t="s">
        <v>283</v>
      </c>
      <c r="C343" s="251">
        <v>9296009000166</v>
      </c>
      <c r="D343" s="252" t="s">
        <v>14</v>
      </c>
      <c r="E343" s="252" t="s">
        <v>607</v>
      </c>
      <c r="F343" s="252"/>
      <c r="G343" s="253"/>
      <c r="H343" s="253" t="s">
        <v>34</v>
      </c>
      <c r="I343" s="253" t="s">
        <v>34</v>
      </c>
      <c r="J343" s="253" t="s">
        <v>608</v>
      </c>
      <c r="K343" s="254" t="s">
        <v>48</v>
      </c>
      <c r="L343" s="255"/>
      <c r="M343" s="255" t="s">
        <v>34</v>
      </c>
      <c r="N343" s="254">
        <v>219517</v>
      </c>
      <c r="O343" s="254" t="s">
        <v>1321</v>
      </c>
      <c r="P343" s="258">
        <v>39758</v>
      </c>
      <c r="Q343" s="259">
        <v>11291054.08</v>
      </c>
      <c r="R343" s="259">
        <v>13069632.265555562</v>
      </c>
      <c r="S343" s="254">
        <v>3</v>
      </c>
      <c r="T343" s="256">
        <v>8.7358532088828156E-2</v>
      </c>
      <c r="U343" s="256">
        <v>1.1293007950700829</v>
      </c>
      <c r="V343" s="256">
        <v>-1.0338908787900114E-2</v>
      </c>
      <c r="W343" s="256">
        <v>-0.10135587669562675</v>
      </c>
      <c r="X343" s="256">
        <v>0.39985739794322428</v>
      </c>
      <c r="Y343" s="256">
        <v>3.0321912869182612</v>
      </c>
      <c r="Z343" s="256">
        <v>0.49422099578321377</v>
      </c>
      <c r="AA343" s="256">
        <v>2.809312360677664</v>
      </c>
      <c r="AB343" s="256">
        <v>0.23365573768125128</v>
      </c>
      <c r="AC343" s="260">
        <v>-0.34375421099460035</v>
      </c>
      <c r="AD343" s="405">
        <v>0</v>
      </c>
      <c r="AE343" s="257" t="s">
        <v>2320</v>
      </c>
      <c r="AF343" s="257" t="s">
        <v>2118</v>
      </c>
      <c r="AG343" s="261" t="s">
        <v>1433</v>
      </c>
      <c r="AH343" s="261" t="s">
        <v>2113</v>
      </c>
      <c r="AI343" s="261">
        <v>500</v>
      </c>
      <c r="AJ343" s="261">
        <v>0</v>
      </c>
      <c r="AK343" s="261">
        <v>0</v>
      </c>
      <c r="AL343" s="256">
        <v>2.5000000000000001E-2</v>
      </c>
      <c r="AM343" s="256">
        <v>0.2</v>
      </c>
      <c r="AN343" s="256" t="s">
        <v>2160</v>
      </c>
      <c r="AO343" s="254" t="s">
        <v>1324</v>
      </c>
      <c r="AP343" s="257" t="s">
        <v>716</v>
      </c>
      <c r="AQ343" s="263" t="s">
        <v>670</v>
      </c>
      <c r="AR343" s="256">
        <v>8.3333333333333332E-3</v>
      </c>
      <c r="AS343" s="256">
        <v>8.3333333333333332E-3</v>
      </c>
      <c r="AT343" s="256"/>
      <c r="AW343" s="508"/>
      <c r="AX343" s="508"/>
      <c r="AY343" s="509"/>
      <c r="AZ343" s="509"/>
      <c r="BA343" s="509"/>
      <c r="BB343" s="510"/>
      <c r="BC343" s="509"/>
      <c r="BD343" s="509"/>
      <c r="BE343" s="509"/>
      <c r="BF343" s="509"/>
      <c r="BG343" s="510"/>
      <c r="BH343" s="510"/>
      <c r="BI343" s="511"/>
      <c r="BJ343" s="511"/>
      <c r="BK343" s="511"/>
      <c r="BL343" s="510"/>
      <c r="BM343" s="510"/>
      <c r="BN343" s="510"/>
      <c r="BO343" s="510"/>
      <c r="BP343" s="510"/>
      <c r="BQ343" s="510"/>
      <c r="BR343" s="510"/>
      <c r="BS343" s="510"/>
      <c r="BT343" s="513"/>
      <c r="BU343" s="514"/>
      <c r="BV343" s="512"/>
      <c r="BW343" s="515"/>
    </row>
    <row r="344" spans="2:75" ht="15.75" customHeight="1">
      <c r="B344" s="250" t="s">
        <v>1066</v>
      </c>
      <c r="C344" s="251">
        <v>9296022000115</v>
      </c>
      <c r="D344" s="252" t="s">
        <v>14</v>
      </c>
      <c r="E344" s="252" t="s">
        <v>607</v>
      </c>
      <c r="F344" s="252"/>
      <c r="G344" s="253"/>
      <c r="H344" s="253" t="s">
        <v>34</v>
      </c>
      <c r="I344" s="253" t="s">
        <v>34</v>
      </c>
      <c r="J344" s="253" t="s">
        <v>608</v>
      </c>
      <c r="K344" s="254" t="s">
        <v>48</v>
      </c>
      <c r="L344" s="255"/>
      <c r="M344" s="255" t="s">
        <v>34</v>
      </c>
      <c r="N344" s="254">
        <v>220272</v>
      </c>
      <c r="O344" s="254" t="s">
        <v>1321</v>
      </c>
      <c r="P344" s="258">
        <v>39773</v>
      </c>
      <c r="Q344" s="259">
        <v>39129294.130000003</v>
      </c>
      <c r="R344" s="259">
        <v>46430485.102936484</v>
      </c>
      <c r="S344" s="254">
        <v>3</v>
      </c>
      <c r="T344" s="256">
        <v>6.4820041114125537E-2</v>
      </c>
      <c r="U344" s="256">
        <v>0.83794132314660053</v>
      </c>
      <c r="V344" s="256">
        <v>-6.828872905458705E-2</v>
      </c>
      <c r="W344" s="256">
        <v>-0.66945788416840979</v>
      </c>
      <c r="X344" s="256">
        <v>0.3434766660151094</v>
      </c>
      <c r="Y344" s="256">
        <v>2.6046459545526006</v>
      </c>
      <c r="Z344" s="256">
        <v>0.31977684271676665</v>
      </c>
      <c r="AA344" s="256">
        <v>1.8177152419011058</v>
      </c>
      <c r="AB344" s="256">
        <v>0.25936428329552341</v>
      </c>
      <c r="AC344" s="260">
        <v>-0.51784147168722516</v>
      </c>
      <c r="AD344" s="405">
        <v>0</v>
      </c>
      <c r="AE344" s="257" t="s">
        <v>2320</v>
      </c>
      <c r="AF344" s="257" t="s">
        <v>2118</v>
      </c>
      <c r="AG344" s="261" t="s">
        <v>1433</v>
      </c>
      <c r="AH344" s="261" t="s">
        <v>2113</v>
      </c>
      <c r="AI344" s="261">
        <v>500</v>
      </c>
      <c r="AJ344" s="261">
        <v>0</v>
      </c>
      <c r="AK344" s="261">
        <v>0</v>
      </c>
      <c r="AL344" s="256">
        <v>2.5000000000000001E-2</v>
      </c>
      <c r="AM344" s="256">
        <v>0.2</v>
      </c>
      <c r="AN344" s="256" t="s">
        <v>2160</v>
      </c>
      <c r="AO344" s="254" t="s">
        <v>1324</v>
      </c>
      <c r="AP344" s="257" t="s">
        <v>716</v>
      </c>
      <c r="AQ344" s="263" t="s">
        <v>681</v>
      </c>
      <c r="AR344" s="256">
        <v>8.3333333333333332E-3</v>
      </c>
      <c r="AS344" s="256">
        <v>8.3333333333333332E-3</v>
      </c>
      <c r="AT344" s="256"/>
      <c r="AW344" s="508"/>
      <c r="AX344" s="508"/>
      <c r="AY344" s="509"/>
      <c r="AZ344" s="509"/>
      <c r="BA344" s="509"/>
      <c r="BB344" s="510"/>
      <c r="BC344" s="509"/>
      <c r="BD344" s="509"/>
      <c r="BE344" s="509"/>
      <c r="BF344" s="509"/>
      <c r="BG344" s="510"/>
      <c r="BH344" s="510"/>
      <c r="BI344" s="511"/>
      <c r="BJ344" s="511"/>
      <c r="BK344" s="511"/>
      <c r="BL344" s="510"/>
      <c r="BM344" s="510"/>
      <c r="BN344" s="510"/>
      <c r="BO344" s="510"/>
      <c r="BP344" s="510"/>
      <c r="BQ344" s="510"/>
      <c r="BR344" s="510"/>
      <c r="BS344" s="510"/>
      <c r="BT344" s="513"/>
      <c r="BU344" s="514"/>
      <c r="BV344" s="512"/>
      <c r="BW344" s="515"/>
    </row>
    <row r="345" spans="2:75" ht="15.75" customHeight="1">
      <c r="B345" s="250" t="s">
        <v>1070</v>
      </c>
      <c r="C345" s="251">
        <v>7899238000140</v>
      </c>
      <c r="D345" s="252" t="s">
        <v>14</v>
      </c>
      <c r="E345" s="252" t="s">
        <v>607</v>
      </c>
      <c r="F345" s="252"/>
      <c r="G345" s="253"/>
      <c r="H345" s="253" t="s">
        <v>34</v>
      </c>
      <c r="I345" s="253" t="s">
        <v>34</v>
      </c>
      <c r="J345" s="253" t="s">
        <v>608</v>
      </c>
      <c r="K345" s="254" t="s">
        <v>48</v>
      </c>
      <c r="L345" s="255"/>
      <c r="M345" s="255" t="s">
        <v>34</v>
      </c>
      <c r="N345" s="254">
        <v>156906</v>
      </c>
      <c r="O345" s="254" t="s">
        <v>1321</v>
      </c>
      <c r="P345" s="258">
        <v>38818</v>
      </c>
      <c r="Q345" s="259">
        <v>263782067.75999999</v>
      </c>
      <c r="R345" s="259">
        <v>262821017.44202396</v>
      </c>
      <c r="S345" s="254">
        <v>3</v>
      </c>
      <c r="T345" s="256">
        <v>9.3350381841263985E-3</v>
      </c>
      <c r="U345" s="256">
        <v>0.12067586063172524</v>
      </c>
      <c r="V345" s="256">
        <v>-0.10882123628270757</v>
      </c>
      <c r="W345" s="256">
        <v>-1.066811984978925</v>
      </c>
      <c r="X345" s="256">
        <v>-0.1630887033432582</v>
      </c>
      <c r="Y345" s="256">
        <v>-1.2367312642354586</v>
      </c>
      <c r="Z345" s="256">
        <v>-1.225025775958255E-2</v>
      </c>
      <c r="AA345" s="256">
        <v>-6.9634436495244548E-2</v>
      </c>
      <c r="AB345" s="256">
        <v>0.24563526007262046</v>
      </c>
      <c r="AC345" s="260">
        <v>-0.74171053757501104</v>
      </c>
      <c r="AD345" s="405">
        <v>0</v>
      </c>
      <c r="AE345" s="257" t="s">
        <v>2323</v>
      </c>
      <c r="AF345" s="257" t="s">
        <v>741</v>
      </c>
      <c r="AG345" s="261" t="s">
        <v>741</v>
      </c>
      <c r="AH345" s="261" t="s">
        <v>2113</v>
      </c>
      <c r="AI345" s="261">
        <v>5000</v>
      </c>
      <c r="AJ345" s="261">
        <v>0</v>
      </c>
      <c r="AK345" s="261">
        <v>5000</v>
      </c>
      <c r="AL345" s="256">
        <v>2.5000000000000001E-2</v>
      </c>
      <c r="AM345" s="256">
        <v>0.2</v>
      </c>
      <c r="AN345" s="256" t="s">
        <v>2160</v>
      </c>
      <c r="AO345" s="254" t="s">
        <v>1324</v>
      </c>
      <c r="AP345" s="257" t="s">
        <v>716</v>
      </c>
      <c r="AQ345" s="263" t="s">
        <v>670</v>
      </c>
      <c r="AR345" s="256">
        <v>8.3333333333333332E-3</v>
      </c>
      <c r="AS345" s="256">
        <v>8.3333333333333332E-3</v>
      </c>
      <c r="AT345" s="256"/>
      <c r="AW345" s="508"/>
      <c r="AX345" s="508"/>
      <c r="AY345" s="509"/>
      <c r="AZ345" s="509"/>
      <c r="BA345" s="509"/>
      <c r="BB345" s="510"/>
      <c r="BC345" s="509"/>
      <c r="BD345" s="509"/>
      <c r="BE345" s="509"/>
      <c r="BF345" s="509"/>
      <c r="BG345" s="510"/>
      <c r="BH345" s="510"/>
      <c r="BI345" s="511"/>
      <c r="BJ345" s="511"/>
      <c r="BK345" s="511"/>
      <c r="BL345" s="195"/>
      <c r="BM345" s="510"/>
      <c r="BN345" s="510"/>
      <c r="BO345" s="510"/>
      <c r="BP345" s="510"/>
      <c r="BQ345" s="510"/>
      <c r="BR345" s="510"/>
      <c r="BS345" s="510"/>
      <c r="BT345" s="513"/>
      <c r="BU345" s="514"/>
      <c r="BV345" s="512"/>
      <c r="BW345" s="515"/>
    </row>
    <row r="346" spans="2:75" ht="15.75" customHeight="1">
      <c r="B346" s="250" t="s">
        <v>1073</v>
      </c>
      <c r="C346" s="251">
        <v>9577098000119</v>
      </c>
      <c r="D346" s="252" t="s">
        <v>14</v>
      </c>
      <c r="E346" s="252" t="s">
        <v>607</v>
      </c>
      <c r="F346" s="252"/>
      <c r="G346" s="253"/>
      <c r="H346" s="253" t="s">
        <v>34</v>
      </c>
      <c r="I346" s="253" t="s">
        <v>34</v>
      </c>
      <c r="J346" s="253" t="s">
        <v>608</v>
      </c>
      <c r="K346" s="254" t="s">
        <v>48</v>
      </c>
      <c r="L346" s="255"/>
      <c r="M346" s="255" t="s">
        <v>34</v>
      </c>
      <c r="N346" s="254">
        <v>221661</v>
      </c>
      <c r="O346" s="254" t="s">
        <v>1321</v>
      </c>
      <c r="P346" s="258">
        <v>39799</v>
      </c>
      <c r="Q346" s="259">
        <v>21023006.609999999</v>
      </c>
      <c r="R346" s="259">
        <v>33810055.188095249</v>
      </c>
      <c r="S346" s="254">
        <v>3</v>
      </c>
      <c r="T346" s="256">
        <v>6.3793303248604882E-2</v>
      </c>
      <c r="U346" s="256">
        <v>0.82466848235891377</v>
      </c>
      <c r="V346" s="256">
        <v>-7.2758308879749101E-2</v>
      </c>
      <c r="W346" s="256">
        <v>-0.71327471154680444</v>
      </c>
      <c r="X346" s="256">
        <v>3.242727914108734E-2</v>
      </c>
      <c r="Y346" s="256">
        <v>0.24590194848422581</v>
      </c>
      <c r="Z346" s="256">
        <v>0.15049111161421114</v>
      </c>
      <c r="AA346" s="256">
        <v>0.85544026586716071</v>
      </c>
      <c r="AB346" s="256">
        <v>0.20986318555334998</v>
      </c>
      <c r="AC346" s="260">
        <v>-0.7179846081088046</v>
      </c>
      <c r="AD346" s="405">
        <v>0</v>
      </c>
      <c r="AE346" s="257" t="s">
        <v>2128</v>
      </c>
      <c r="AF346" s="257" t="s">
        <v>736</v>
      </c>
      <c r="AG346" s="261" t="s">
        <v>736</v>
      </c>
      <c r="AH346" s="261" t="s">
        <v>2113</v>
      </c>
      <c r="AI346" s="261">
        <v>500</v>
      </c>
      <c r="AJ346" s="261">
        <v>500</v>
      </c>
      <c r="AK346" s="261">
        <v>500</v>
      </c>
      <c r="AL346" s="256">
        <v>0.02</v>
      </c>
      <c r="AM346" s="256">
        <v>0.2</v>
      </c>
      <c r="AN346" s="256" t="s">
        <v>666</v>
      </c>
      <c r="AO346" s="254" t="s">
        <v>1324</v>
      </c>
      <c r="AP346" s="257" t="s">
        <v>716</v>
      </c>
      <c r="AQ346" s="263" t="s">
        <v>659</v>
      </c>
      <c r="AR346" s="256">
        <v>6.0000000000000001E-3</v>
      </c>
      <c r="AS346" s="256">
        <v>6.0000000000000001E-3</v>
      </c>
      <c r="AT346" s="256"/>
      <c r="AW346" s="508"/>
      <c r="AX346" s="508"/>
      <c r="AY346" s="509"/>
      <c r="AZ346" s="509"/>
      <c r="BA346" s="509"/>
      <c r="BB346" s="510"/>
      <c r="BC346" s="509"/>
      <c r="BD346" s="509"/>
      <c r="BE346" s="509"/>
      <c r="BF346" s="509"/>
      <c r="BG346" s="510"/>
      <c r="BH346" s="510"/>
      <c r="BI346" s="511"/>
      <c r="BJ346" s="511"/>
      <c r="BK346" s="511"/>
      <c r="BL346" s="195"/>
      <c r="BM346" s="510"/>
      <c r="BN346" s="510"/>
      <c r="BO346" s="510"/>
      <c r="BP346" s="510"/>
      <c r="BQ346" s="510"/>
      <c r="BR346" s="510"/>
      <c r="BS346" s="510"/>
      <c r="BT346" s="513"/>
      <c r="BU346" s="514"/>
      <c r="BV346" s="512"/>
      <c r="BW346" s="515"/>
    </row>
    <row r="347" spans="2:75" ht="15.75" customHeight="1">
      <c r="B347" s="250" t="s">
        <v>297</v>
      </c>
      <c r="C347" s="251">
        <v>33254944000144</v>
      </c>
      <c r="D347" s="252" t="s">
        <v>14</v>
      </c>
      <c r="E347" s="252" t="s">
        <v>607</v>
      </c>
      <c r="F347" s="252"/>
      <c r="G347" s="253"/>
      <c r="H347" s="253" t="s">
        <v>34</v>
      </c>
      <c r="I347" s="253" t="s">
        <v>34</v>
      </c>
      <c r="J347" s="253" t="s">
        <v>608</v>
      </c>
      <c r="K347" s="254" t="s">
        <v>48</v>
      </c>
      <c r="L347" s="255"/>
      <c r="M347" s="255" t="s">
        <v>34</v>
      </c>
      <c r="N347" s="254">
        <v>498629</v>
      </c>
      <c r="O347" s="254" t="s">
        <v>1321</v>
      </c>
      <c r="P347" s="258">
        <v>43635</v>
      </c>
      <c r="Q347" s="259">
        <v>39902531.710000001</v>
      </c>
      <c r="R347" s="259">
        <v>33864631.300714284</v>
      </c>
      <c r="S347" s="254">
        <v>3</v>
      </c>
      <c r="T347" s="256">
        <v>4.2443008392574644E-2</v>
      </c>
      <c r="U347" s="256">
        <v>0.54866905357525331</v>
      </c>
      <c r="V347" s="256">
        <v>-9.4999699161933404E-2</v>
      </c>
      <c r="W347" s="256">
        <v>-0.93131470563386343</v>
      </c>
      <c r="X347" s="256">
        <v>-8.8279225520971449E-2</v>
      </c>
      <c r="Y347" s="256">
        <v>-0.6694374039781793</v>
      </c>
      <c r="Z347" s="256">
        <v>-3.510933777195091E-2</v>
      </c>
      <c r="AA347" s="256">
        <v>-0.19957285793097615</v>
      </c>
      <c r="AB347" s="256">
        <v>0.20568422781379869</v>
      </c>
      <c r="AC347" s="260">
        <v>-0.85469741249996345</v>
      </c>
      <c r="AD347" s="405">
        <v>0</v>
      </c>
      <c r="AE347" s="257" t="s">
        <v>2328</v>
      </c>
      <c r="AF347" s="257" t="s">
        <v>2115</v>
      </c>
      <c r="AG347" s="261" t="s">
        <v>719</v>
      </c>
      <c r="AH347" s="261" t="s">
        <v>2113</v>
      </c>
      <c r="AI347" s="261">
        <v>1000</v>
      </c>
      <c r="AJ347" s="261">
        <v>1000</v>
      </c>
      <c r="AK347" s="261">
        <v>0</v>
      </c>
      <c r="AL347" s="256">
        <v>1.4999999999999999E-2</v>
      </c>
      <c r="AM347" s="256">
        <v>0.2</v>
      </c>
      <c r="AN347" s="256" t="s">
        <v>666</v>
      </c>
      <c r="AO347" s="254" t="s">
        <v>1324</v>
      </c>
      <c r="AP347" s="257" t="s">
        <v>716</v>
      </c>
      <c r="AQ347" s="263" t="s">
        <v>659</v>
      </c>
      <c r="AR347" s="256">
        <v>4.0000000000000001E-3</v>
      </c>
      <c r="AS347" s="256">
        <v>4.0000000000000001E-3</v>
      </c>
      <c r="AT347" s="256"/>
      <c r="AW347" s="508"/>
      <c r="AX347" s="508"/>
      <c r="AY347" s="509"/>
      <c r="AZ347" s="509"/>
      <c r="BA347" s="509"/>
      <c r="BB347" s="510"/>
      <c r="BC347" s="509"/>
      <c r="BD347" s="509"/>
      <c r="BE347" s="509"/>
      <c r="BF347" s="509"/>
      <c r="BG347" s="510"/>
      <c r="BH347" s="510"/>
      <c r="BI347" s="511"/>
      <c r="BJ347" s="511"/>
      <c r="BK347" s="511"/>
      <c r="BL347" s="195"/>
      <c r="BM347" s="510"/>
      <c r="BN347" s="510"/>
      <c r="BO347" s="510"/>
      <c r="BP347" s="510"/>
      <c r="BQ347" s="510"/>
      <c r="BR347" s="510"/>
      <c r="BS347" s="510"/>
      <c r="BT347" s="513"/>
      <c r="BU347" s="514"/>
      <c r="BV347" s="512"/>
      <c r="BW347" s="515"/>
    </row>
    <row r="348" spans="2:75" ht="15.75" customHeight="1">
      <c r="B348" s="250" t="s">
        <v>561</v>
      </c>
      <c r="C348" s="251">
        <v>16961689000150</v>
      </c>
      <c r="D348" s="252" t="s">
        <v>14</v>
      </c>
      <c r="E348" s="252" t="s">
        <v>607</v>
      </c>
      <c r="F348" s="252"/>
      <c r="G348" s="253"/>
      <c r="H348" s="253" t="s">
        <v>34</v>
      </c>
      <c r="I348" s="253" t="s">
        <v>34</v>
      </c>
      <c r="J348" s="253" t="s">
        <v>608</v>
      </c>
      <c r="K348" s="254" t="s">
        <v>48</v>
      </c>
      <c r="L348" s="255"/>
      <c r="M348" s="255" t="s">
        <v>1414</v>
      </c>
      <c r="N348" s="254">
        <v>348120</v>
      </c>
      <c r="O348" s="254" t="s">
        <v>1321</v>
      </c>
      <c r="P348" s="258">
        <v>41324</v>
      </c>
      <c r="Q348" s="259">
        <v>10057334.789999999</v>
      </c>
      <c r="R348" s="259">
        <v>9658041.1783333272</v>
      </c>
      <c r="S348" s="254">
        <v>3</v>
      </c>
      <c r="T348" s="256">
        <v>1.9948218564933118E-2</v>
      </c>
      <c r="U348" s="256">
        <v>0.25787451490947944</v>
      </c>
      <c r="V348" s="256">
        <v>-0.13847815169752309</v>
      </c>
      <c r="W348" s="256">
        <v>-1.3575489209188725</v>
      </c>
      <c r="X348" s="256">
        <v>-5.1866123504676231E-2</v>
      </c>
      <c r="Y348" s="256">
        <v>-0.39331023656447689</v>
      </c>
      <c r="Z348" s="256">
        <v>5.1562683000681231E-2</v>
      </c>
      <c r="AA348" s="256">
        <v>0.29309900619248008</v>
      </c>
      <c r="AB348" s="256">
        <v>0.20922991003227648</v>
      </c>
      <c r="AC348" s="260">
        <v>-1.0719543160516127</v>
      </c>
      <c r="AD348" s="405">
        <v>0</v>
      </c>
      <c r="AE348" s="257" t="s">
        <v>2317</v>
      </c>
      <c r="AF348" s="257" t="s">
        <v>2118</v>
      </c>
      <c r="AG348" s="261" t="s">
        <v>1433</v>
      </c>
      <c r="AH348" s="261" t="s">
        <v>2113</v>
      </c>
      <c r="AI348" s="261">
        <v>1000</v>
      </c>
      <c r="AJ348" s="261">
        <v>1000</v>
      </c>
      <c r="AK348" s="261">
        <v>1000</v>
      </c>
      <c r="AL348" s="256">
        <v>5.0000000000000001E-3</v>
      </c>
      <c r="AM348" s="256">
        <v>0.15</v>
      </c>
      <c r="AN348" s="256" t="s">
        <v>2127</v>
      </c>
      <c r="AO348" s="254" t="s">
        <v>1324</v>
      </c>
      <c r="AP348" s="257" t="s">
        <v>716</v>
      </c>
      <c r="AQ348" s="263" t="s">
        <v>659</v>
      </c>
      <c r="AR348" s="256">
        <v>1.7333333333333335E-3</v>
      </c>
      <c r="AS348" s="256">
        <v>1.7333333333333335E-3</v>
      </c>
      <c r="AT348" s="256"/>
      <c r="AW348" s="508"/>
      <c r="AX348" s="508"/>
      <c r="AY348" s="509"/>
      <c r="AZ348" s="509"/>
      <c r="BA348" s="509"/>
      <c r="BB348" s="510"/>
      <c r="BC348" s="509"/>
      <c r="BD348" s="509"/>
      <c r="BE348" s="509"/>
      <c r="BF348" s="509"/>
      <c r="BG348" s="510"/>
      <c r="BH348" s="510"/>
      <c r="BI348" s="511"/>
      <c r="BJ348" s="511"/>
      <c r="BK348" s="511"/>
      <c r="BL348" s="195"/>
      <c r="BM348" s="510"/>
      <c r="BN348" s="510"/>
      <c r="BO348" s="510"/>
      <c r="BP348" s="510"/>
      <c r="BQ348" s="510"/>
      <c r="BR348" s="510"/>
      <c r="BS348" s="510"/>
      <c r="BT348" s="513"/>
      <c r="BU348" s="514"/>
      <c r="BV348" s="512"/>
      <c r="BW348" s="515"/>
    </row>
    <row r="349" spans="2:75" ht="15.75" customHeight="1">
      <c r="B349" s="250" t="s">
        <v>1086</v>
      </c>
      <c r="C349" s="251">
        <v>39731692000183</v>
      </c>
      <c r="D349" s="252" t="s">
        <v>14</v>
      </c>
      <c r="E349" s="252" t="s">
        <v>607</v>
      </c>
      <c r="F349" s="252"/>
      <c r="G349" s="253"/>
      <c r="H349" s="253" t="s">
        <v>34</v>
      </c>
      <c r="I349" s="253" t="s">
        <v>34</v>
      </c>
      <c r="J349" s="253" t="s">
        <v>608</v>
      </c>
      <c r="K349" s="254" t="s">
        <v>48</v>
      </c>
      <c r="L349" s="255"/>
      <c r="M349" s="255" t="s">
        <v>1414</v>
      </c>
      <c r="N349" s="254">
        <v>566128</v>
      </c>
      <c r="O349" s="254" t="s">
        <v>1321</v>
      </c>
      <c r="P349" s="258">
        <v>44181</v>
      </c>
      <c r="Q349" s="259">
        <v>8193594.8300000001</v>
      </c>
      <c r="R349" s="259">
        <v>7288940.2263888847</v>
      </c>
      <c r="S349" s="254">
        <v>3</v>
      </c>
      <c r="T349" s="256">
        <v>-8.7737858662670587E-2</v>
      </c>
      <c r="U349" s="256">
        <v>-1.1342044237276234</v>
      </c>
      <c r="V349" s="256">
        <v>-0.2536359919672212</v>
      </c>
      <c r="W349" s="256">
        <v>-2.4864808128966942</v>
      </c>
      <c r="X349" s="256" t="s">
        <v>1417</v>
      </c>
      <c r="Y349" s="256" t="s">
        <v>1417</v>
      </c>
      <c r="Z349" s="256" t="s">
        <v>1417</v>
      </c>
      <c r="AA349" s="256" t="s">
        <v>1417</v>
      </c>
      <c r="AB349" s="256">
        <v>0.24141889177813425</v>
      </c>
      <c r="AC349" s="260">
        <v>-1.4931608391708928</v>
      </c>
      <c r="AD349" s="405">
        <v>0</v>
      </c>
      <c r="AE349" s="257" t="s">
        <v>2333</v>
      </c>
      <c r="AF349" s="257" t="s">
        <v>2109</v>
      </c>
      <c r="AG349" s="261" t="s">
        <v>1432</v>
      </c>
      <c r="AH349" s="261" t="s">
        <v>2113</v>
      </c>
      <c r="AI349" s="261">
        <v>1000</v>
      </c>
      <c r="AJ349" s="261">
        <v>1000</v>
      </c>
      <c r="AK349" s="261">
        <v>1000</v>
      </c>
      <c r="AL349" s="256">
        <v>1.46E-2</v>
      </c>
      <c r="AM349" s="256">
        <v>0.2</v>
      </c>
      <c r="AN349" s="256" t="s">
        <v>34</v>
      </c>
      <c r="AO349" s="254" t="s">
        <v>1324</v>
      </c>
      <c r="AP349" s="257" t="s">
        <v>13</v>
      </c>
      <c r="AQ349" s="263" t="s">
        <v>668</v>
      </c>
      <c r="AR349" s="256" t="s">
        <v>34</v>
      </c>
      <c r="AS349" s="256" t="s">
        <v>34</v>
      </c>
      <c r="AT349" s="256"/>
      <c r="AW349" s="508"/>
      <c r="AX349" s="508"/>
      <c r="AY349" s="509"/>
      <c r="AZ349" s="509"/>
      <c r="BA349" s="509"/>
      <c r="BB349" s="510"/>
      <c r="BC349" s="509"/>
      <c r="BD349" s="509"/>
      <c r="BE349" s="509"/>
      <c r="BF349" s="509"/>
      <c r="BG349" s="510"/>
      <c r="BH349" s="510"/>
      <c r="BI349" s="511"/>
      <c r="BJ349" s="511"/>
      <c r="BK349" s="511"/>
      <c r="BL349" s="195"/>
      <c r="BM349" s="510"/>
      <c r="BN349" s="510"/>
      <c r="BO349" s="510"/>
      <c r="BP349" s="510"/>
      <c r="BQ349" s="510"/>
      <c r="BR349" s="510"/>
      <c r="BS349" s="510"/>
      <c r="BT349" s="513"/>
      <c r="BU349" s="514"/>
      <c r="BV349" s="512"/>
      <c r="BW349" s="515"/>
    </row>
    <row r="350" spans="2:75" ht="15.75" customHeight="1">
      <c r="B350" s="250" t="s">
        <v>312</v>
      </c>
      <c r="C350" s="251">
        <v>26587503000107</v>
      </c>
      <c r="D350" s="252" t="s">
        <v>14</v>
      </c>
      <c r="E350" s="252" t="s">
        <v>607</v>
      </c>
      <c r="F350" s="252"/>
      <c r="G350" s="253"/>
      <c r="H350" s="253" t="s">
        <v>34</v>
      </c>
      <c r="I350" s="253" t="s">
        <v>34</v>
      </c>
      <c r="J350" s="253" t="s">
        <v>608</v>
      </c>
      <c r="K350" s="254" t="s">
        <v>48</v>
      </c>
      <c r="L350" s="255"/>
      <c r="M350" s="255" t="s">
        <v>34</v>
      </c>
      <c r="N350" s="254">
        <v>433977</v>
      </c>
      <c r="O350" s="254" t="s">
        <v>1321</v>
      </c>
      <c r="P350" s="258">
        <v>42767</v>
      </c>
      <c r="Q350" s="259">
        <v>5511851.5300000003</v>
      </c>
      <c r="R350" s="259">
        <v>14206436.665277794</v>
      </c>
      <c r="S350" s="254">
        <v>3</v>
      </c>
      <c r="T350" s="256">
        <v>6.3433774056016246E-2</v>
      </c>
      <c r="U350" s="256">
        <v>0.82002077831292086</v>
      </c>
      <c r="V350" s="256">
        <v>-5.9267063644537044E-2</v>
      </c>
      <c r="W350" s="256">
        <v>-0.58101539708888617</v>
      </c>
      <c r="X350" s="256">
        <v>9.1195657396364593E-2</v>
      </c>
      <c r="Y350" s="256">
        <v>0.69155323668990376</v>
      </c>
      <c r="Z350" s="256">
        <v>0.1228257764910512</v>
      </c>
      <c r="AA350" s="256">
        <v>0.69818153225019663</v>
      </c>
      <c r="AB350" s="256">
        <v>0.20897077692658431</v>
      </c>
      <c r="AC350" s="260">
        <v>-0.65283879805369271</v>
      </c>
      <c r="AD350" s="405">
        <v>0</v>
      </c>
      <c r="AE350" s="257" t="s">
        <v>2336</v>
      </c>
      <c r="AF350" s="257" t="s">
        <v>2118</v>
      </c>
      <c r="AG350" s="261" t="s">
        <v>1433</v>
      </c>
      <c r="AH350" s="261" t="s">
        <v>2113</v>
      </c>
      <c r="AI350" s="261">
        <v>10000</v>
      </c>
      <c r="AJ350" s="261">
        <v>5000</v>
      </c>
      <c r="AK350" s="261">
        <v>10000</v>
      </c>
      <c r="AL350" s="256">
        <v>1.4999999999999999E-2</v>
      </c>
      <c r="AM350" s="256">
        <v>0.2</v>
      </c>
      <c r="AN350" s="256" t="s">
        <v>666</v>
      </c>
      <c r="AO350" s="254" t="s">
        <v>1324</v>
      </c>
      <c r="AP350" s="257" t="s">
        <v>716</v>
      </c>
      <c r="AQ350" s="263" t="s">
        <v>670</v>
      </c>
      <c r="AR350" s="256">
        <v>4.9999999999999992E-3</v>
      </c>
      <c r="AS350" s="256">
        <v>4.9999999999999992E-3</v>
      </c>
      <c r="AT350" s="256"/>
      <c r="AW350" s="508"/>
      <c r="AX350" s="508"/>
      <c r="AY350" s="509"/>
      <c r="AZ350" s="509"/>
      <c r="BA350" s="509"/>
      <c r="BB350" s="510"/>
      <c r="BC350" s="509"/>
      <c r="BD350" s="509"/>
      <c r="BE350" s="509"/>
      <c r="BF350" s="509"/>
      <c r="BG350" s="510"/>
      <c r="BH350" s="510"/>
      <c r="BI350" s="511"/>
      <c r="BJ350" s="511"/>
      <c r="BK350" s="511"/>
      <c r="BL350" s="195"/>
      <c r="BM350" s="510"/>
      <c r="BN350" s="510"/>
      <c r="BO350" s="510"/>
      <c r="BP350" s="510"/>
      <c r="BQ350" s="510"/>
      <c r="BR350" s="510"/>
      <c r="BS350" s="510"/>
      <c r="BT350" s="513"/>
      <c r="BU350" s="514"/>
      <c r="BV350" s="512"/>
      <c r="BW350" s="515"/>
    </row>
    <row r="351" spans="2:75" ht="15.75" customHeight="1">
      <c r="B351" s="250" t="s">
        <v>321</v>
      </c>
      <c r="C351" s="251">
        <v>3840166000104</v>
      </c>
      <c r="D351" s="252" t="s">
        <v>14</v>
      </c>
      <c r="E351" s="252" t="s">
        <v>607</v>
      </c>
      <c r="F351" s="252"/>
      <c r="G351" s="253"/>
      <c r="H351" s="253" t="s">
        <v>34</v>
      </c>
      <c r="I351" s="253" t="s">
        <v>34</v>
      </c>
      <c r="J351" s="253" t="s">
        <v>608</v>
      </c>
      <c r="K351" s="254" t="s">
        <v>48</v>
      </c>
      <c r="L351" s="255"/>
      <c r="M351" s="255" t="s">
        <v>34</v>
      </c>
      <c r="N351" s="254">
        <v>110574</v>
      </c>
      <c r="O351" s="254" t="s">
        <v>1321</v>
      </c>
      <c r="P351" s="258">
        <v>36669</v>
      </c>
      <c r="Q351" s="259">
        <v>30782323.16</v>
      </c>
      <c r="R351" s="259">
        <v>33364882.344404764</v>
      </c>
      <c r="S351" s="254">
        <v>3</v>
      </c>
      <c r="T351" s="256">
        <v>-4.7909102093662392E-2</v>
      </c>
      <c r="U351" s="256">
        <v>-0.61933031372886094</v>
      </c>
      <c r="V351" s="256">
        <v>-0.15018975731032214</v>
      </c>
      <c r="W351" s="256">
        <v>-1.4723618164333288</v>
      </c>
      <c r="X351" s="256">
        <v>2.173844959038318E-2</v>
      </c>
      <c r="Y351" s="256">
        <v>0.16484661226258221</v>
      </c>
      <c r="Z351" s="256">
        <v>0.13088221704893455</v>
      </c>
      <c r="AA351" s="256">
        <v>0.74397695218467141</v>
      </c>
      <c r="AB351" s="256">
        <v>0.19936815721323634</v>
      </c>
      <c r="AC351" s="260">
        <v>-1.2037587361527511</v>
      </c>
      <c r="AD351" s="405">
        <v>9720835000190</v>
      </c>
      <c r="AE351" s="257" t="s">
        <v>2348</v>
      </c>
      <c r="AF351" s="257" t="s">
        <v>2118</v>
      </c>
      <c r="AG351" s="261" t="s">
        <v>1433</v>
      </c>
      <c r="AH351" s="261" t="s">
        <v>2110</v>
      </c>
      <c r="AI351" s="261">
        <v>0</v>
      </c>
      <c r="AJ351" s="261">
        <v>0</v>
      </c>
      <c r="AK351" s="261">
        <v>1000</v>
      </c>
      <c r="AL351" s="256">
        <v>0.02</v>
      </c>
      <c r="AM351" s="256">
        <v>0.2</v>
      </c>
      <c r="AN351" s="256" t="s">
        <v>2127</v>
      </c>
      <c r="AO351" s="254" t="s">
        <v>1324</v>
      </c>
      <c r="AP351" s="257" t="s">
        <v>13</v>
      </c>
      <c r="AQ351" s="263" t="s">
        <v>668</v>
      </c>
      <c r="AR351" s="256">
        <v>4.0000000000000001E-3</v>
      </c>
      <c r="AS351" s="256">
        <v>4.0000000000000001E-3</v>
      </c>
      <c r="AT351" s="256"/>
      <c r="AW351" s="508"/>
      <c r="AX351" s="508"/>
      <c r="AY351" s="509"/>
      <c r="AZ351" s="509"/>
      <c r="BA351" s="509"/>
      <c r="BB351" s="510"/>
      <c r="BC351" s="509"/>
      <c r="BD351" s="509"/>
      <c r="BE351" s="509"/>
      <c r="BF351" s="509"/>
      <c r="BG351" s="510"/>
      <c r="BH351" s="510"/>
      <c r="BI351" s="511"/>
      <c r="BJ351" s="511"/>
      <c r="BK351" s="511"/>
      <c r="BL351" s="195"/>
      <c r="BM351" s="510"/>
      <c r="BN351" s="510"/>
      <c r="BO351" s="510"/>
      <c r="BP351" s="510"/>
      <c r="BQ351" s="510"/>
      <c r="BR351" s="510"/>
      <c r="BS351" s="510"/>
      <c r="BT351" s="513"/>
      <c r="BU351" s="514"/>
      <c r="BV351" s="512"/>
      <c r="BW351" s="515"/>
    </row>
    <row r="352" spans="2:75" ht="15.75" customHeight="1">
      <c r="B352" s="250" t="s">
        <v>322</v>
      </c>
      <c r="C352" s="251">
        <v>13106983000197</v>
      </c>
      <c r="D352" s="252" t="s">
        <v>14</v>
      </c>
      <c r="E352" s="252" t="s">
        <v>607</v>
      </c>
      <c r="F352" s="252"/>
      <c r="G352" s="253"/>
      <c r="H352" s="253" t="s">
        <v>34</v>
      </c>
      <c r="I352" s="253" t="s">
        <v>34</v>
      </c>
      <c r="J352" s="253" t="s">
        <v>608</v>
      </c>
      <c r="K352" s="254" t="s">
        <v>48</v>
      </c>
      <c r="L352" s="255"/>
      <c r="M352" s="255" t="s">
        <v>34</v>
      </c>
      <c r="N352" s="254">
        <v>271063</v>
      </c>
      <c r="O352" s="254" t="s">
        <v>1321</v>
      </c>
      <c r="P352" s="258">
        <v>40639</v>
      </c>
      <c r="Q352" s="259">
        <v>163892040.27000001</v>
      </c>
      <c r="R352" s="259">
        <v>211296765.78130937</v>
      </c>
      <c r="S352" s="254">
        <v>3</v>
      </c>
      <c r="T352" s="256">
        <v>-5.9884826143020708E-2</v>
      </c>
      <c r="U352" s="256">
        <v>-0.77414283595311884</v>
      </c>
      <c r="V352" s="256">
        <v>-0.17736095535243568</v>
      </c>
      <c r="W352" s="256">
        <v>-1.7387304105398891</v>
      </c>
      <c r="X352" s="256">
        <v>-7.9420561954625102E-2</v>
      </c>
      <c r="Y352" s="256">
        <v>-0.60226054888488012</v>
      </c>
      <c r="Z352" s="256">
        <v>1.786053691699907E-2</v>
      </c>
      <c r="AA352" s="256">
        <v>0.10152508201265181</v>
      </c>
      <c r="AB352" s="256">
        <v>0.22042541583410316</v>
      </c>
      <c r="AC352" s="260">
        <v>-1.2160040567870183</v>
      </c>
      <c r="AD352" s="405">
        <v>6964937000163</v>
      </c>
      <c r="AE352" s="257" t="s">
        <v>2348</v>
      </c>
      <c r="AF352" s="257" t="s">
        <v>2118</v>
      </c>
      <c r="AG352" s="261" t="s">
        <v>1433</v>
      </c>
      <c r="AH352" s="261" t="s">
        <v>2113</v>
      </c>
      <c r="AI352" s="261">
        <v>50000</v>
      </c>
      <c r="AJ352" s="261">
        <v>5000</v>
      </c>
      <c r="AK352" s="261">
        <v>25000</v>
      </c>
      <c r="AL352" s="256">
        <v>0.02</v>
      </c>
      <c r="AM352" s="256">
        <v>0.2</v>
      </c>
      <c r="AN352" s="256" t="s">
        <v>666</v>
      </c>
      <c r="AO352" s="254" t="s">
        <v>1324</v>
      </c>
      <c r="AP352" s="257" t="s">
        <v>716</v>
      </c>
      <c r="AQ352" s="263" t="s">
        <v>659</v>
      </c>
      <c r="AR352" s="256">
        <v>5.3333333333333332E-3</v>
      </c>
      <c r="AS352" s="256">
        <v>5.3333333333333332E-3</v>
      </c>
      <c r="AT352" s="256"/>
      <c r="AW352" s="508"/>
      <c r="AX352" s="508"/>
      <c r="AY352" s="509"/>
      <c r="AZ352" s="509"/>
      <c r="BA352" s="509"/>
      <c r="BB352" s="510"/>
      <c r="BC352" s="509"/>
      <c r="BD352" s="509"/>
      <c r="BE352" s="509"/>
      <c r="BF352" s="509"/>
      <c r="BG352" s="510"/>
      <c r="BH352" s="510"/>
      <c r="BI352" s="511"/>
      <c r="BJ352" s="511"/>
      <c r="BK352" s="511"/>
      <c r="BL352" s="195"/>
      <c r="BM352" s="510"/>
      <c r="BN352" s="510"/>
      <c r="BO352" s="510"/>
      <c r="BP352" s="510"/>
      <c r="BQ352" s="510"/>
      <c r="BR352" s="510"/>
      <c r="BS352" s="510"/>
      <c r="BT352" s="513"/>
      <c r="BU352" s="514"/>
      <c r="BV352" s="512"/>
      <c r="BW352" s="515"/>
    </row>
    <row r="353" spans="2:75" ht="15.75" customHeight="1">
      <c r="B353" s="250" t="s">
        <v>325</v>
      </c>
      <c r="C353" s="251">
        <v>18628896000113</v>
      </c>
      <c r="D353" s="252" t="s">
        <v>14</v>
      </c>
      <c r="E353" s="252" t="s">
        <v>607</v>
      </c>
      <c r="F353" s="252"/>
      <c r="G353" s="253"/>
      <c r="H353" s="253" t="s">
        <v>34</v>
      </c>
      <c r="I353" s="253" t="s">
        <v>34</v>
      </c>
      <c r="J353" s="253" t="s">
        <v>611</v>
      </c>
      <c r="K353" s="254" t="s">
        <v>48</v>
      </c>
      <c r="L353" s="255"/>
      <c r="M353" s="255" t="s">
        <v>34</v>
      </c>
      <c r="N353" s="254">
        <v>487163</v>
      </c>
      <c r="O353" s="254" t="s">
        <v>1321</v>
      </c>
      <c r="P353" s="258">
        <v>43508</v>
      </c>
      <c r="Q353" s="259">
        <v>3296428.79</v>
      </c>
      <c r="R353" s="259">
        <v>2391700.754761904</v>
      </c>
      <c r="S353" s="254">
        <v>3</v>
      </c>
      <c r="T353" s="256">
        <v>-1.5168587008347334E-3</v>
      </c>
      <c r="U353" s="256">
        <v>-1.9608728488246917E-2</v>
      </c>
      <c r="V353" s="256">
        <v>-0.22828240411974188</v>
      </c>
      <c r="W353" s="256">
        <v>-2.2379308763049059</v>
      </c>
      <c r="X353" s="256">
        <v>-0.24055107619701566</v>
      </c>
      <c r="Y353" s="256">
        <v>-1.8241425094427506</v>
      </c>
      <c r="Z353" s="256">
        <v>-5.2599600935015145E-2</v>
      </c>
      <c r="AA353" s="256">
        <v>-0.29899318388785745</v>
      </c>
      <c r="AB353" s="256">
        <v>0.22246785430510241</v>
      </c>
      <c r="AC353" s="260">
        <v>-1.4890551254547266</v>
      </c>
      <c r="AD353" s="405">
        <v>0</v>
      </c>
      <c r="AE353" s="257" t="s">
        <v>2353</v>
      </c>
      <c r="AF353" s="257" t="s">
        <v>741</v>
      </c>
      <c r="AG353" s="261" t="s">
        <v>741</v>
      </c>
      <c r="AH353" s="261" t="s">
        <v>2113</v>
      </c>
      <c r="AI353" s="261">
        <v>1000</v>
      </c>
      <c r="AJ353" s="261">
        <v>1000</v>
      </c>
      <c r="AK353" s="261">
        <v>1000</v>
      </c>
      <c r="AL353" s="256">
        <v>2.5000000000000001E-2</v>
      </c>
      <c r="AM353" s="256">
        <v>0.2</v>
      </c>
      <c r="AN353" s="256" t="s">
        <v>2122</v>
      </c>
      <c r="AO353" s="254" t="s">
        <v>1324</v>
      </c>
      <c r="AP353" s="257" t="s">
        <v>13</v>
      </c>
      <c r="AQ353" s="263" t="s">
        <v>659</v>
      </c>
      <c r="AR353" s="256">
        <v>6.6666666666666662E-3</v>
      </c>
      <c r="AS353" s="256">
        <v>6.6666666666666662E-3</v>
      </c>
      <c r="AT353" s="256"/>
      <c r="AW353" s="508"/>
      <c r="AX353" s="508"/>
      <c r="AY353" s="509"/>
      <c r="AZ353" s="509"/>
      <c r="BA353" s="509"/>
      <c r="BB353" s="510"/>
      <c r="BC353" s="509"/>
      <c r="BD353" s="509"/>
      <c r="BE353" s="509"/>
      <c r="BF353" s="509"/>
      <c r="BG353" s="510"/>
      <c r="BH353" s="510"/>
      <c r="BI353" s="511"/>
      <c r="BJ353" s="511"/>
      <c r="BK353" s="511"/>
      <c r="BL353" s="195"/>
      <c r="BM353" s="510"/>
      <c r="BN353" s="510"/>
      <c r="BO353" s="510"/>
      <c r="BP353" s="510"/>
      <c r="BQ353" s="510"/>
      <c r="BR353" s="510"/>
      <c r="BS353" s="510"/>
      <c r="BT353" s="513"/>
      <c r="BU353" s="514"/>
      <c r="BV353" s="512"/>
      <c r="BW353" s="515"/>
    </row>
    <row r="354" spans="2:75" ht="15.75" customHeight="1">
      <c r="B354" s="250" t="s">
        <v>1125</v>
      </c>
      <c r="C354" s="251">
        <v>38048878000170</v>
      </c>
      <c r="D354" s="252" t="s">
        <v>14</v>
      </c>
      <c r="E354" s="252" t="s">
        <v>607</v>
      </c>
      <c r="F354" s="252"/>
      <c r="G354" s="253"/>
      <c r="H354" s="253" t="s">
        <v>34</v>
      </c>
      <c r="I354" s="253" t="s">
        <v>34</v>
      </c>
      <c r="J354" s="253" t="s">
        <v>611</v>
      </c>
      <c r="K354" s="254"/>
      <c r="L354" s="255"/>
      <c r="M354" s="255" t="s">
        <v>34</v>
      </c>
      <c r="N354" s="254">
        <v>548960</v>
      </c>
      <c r="O354" s="254" t="s">
        <v>1321</v>
      </c>
      <c r="P354" s="258">
        <v>44062</v>
      </c>
      <c r="Q354" s="259">
        <v>38127387.100000001</v>
      </c>
      <c r="R354" s="259">
        <v>55716255.942182533</v>
      </c>
      <c r="S354" s="254">
        <v>3</v>
      </c>
      <c r="T354" s="256">
        <v>-0.25407595308172515</v>
      </c>
      <c r="U354" s="256">
        <v>-3.2844894363795643</v>
      </c>
      <c r="V354" s="256">
        <v>-7.5894632923489413E-2</v>
      </c>
      <c r="W354" s="256">
        <v>-0.74402117421285496</v>
      </c>
      <c r="X354" s="256">
        <v>0.1335224127251966</v>
      </c>
      <c r="Y354" s="256">
        <v>1.0125247114500855</v>
      </c>
      <c r="Z354" s="256" t="s">
        <v>1417</v>
      </c>
      <c r="AA354" s="256" t="s">
        <v>1417</v>
      </c>
      <c r="AB354" s="256">
        <v>0.29244195903064646</v>
      </c>
      <c r="AC354" s="260">
        <v>-0.45639112171463453</v>
      </c>
      <c r="AD354" s="405">
        <v>0</v>
      </c>
      <c r="AE354" s="257" t="s">
        <v>2123</v>
      </c>
      <c r="AF354" s="257" t="s">
        <v>2109</v>
      </c>
      <c r="AG354" s="261" t="s">
        <v>1432</v>
      </c>
      <c r="AH354" s="261" t="s">
        <v>2110</v>
      </c>
      <c r="AI354" s="261">
        <v>10000</v>
      </c>
      <c r="AJ354" s="261">
        <v>10000</v>
      </c>
      <c r="AK354" s="261">
        <v>10000</v>
      </c>
      <c r="AL354" s="256">
        <v>6.5000000000000006E-3</v>
      </c>
      <c r="AM354" s="256" t="s">
        <v>34</v>
      </c>
      <c r="AN354" s="256" t="s">
        <v>34</v>
      </c>
      <c r="AO354" s="254" t="s">
        <v>1324</v>
      </c>
      <c r="AP354" s="257" t="s">
        <v>716</v>
      </c>
      <c r="AQ354" s="263" t="s">
        <v>687</v>
      </c>
      <c r="AR354" s="256">
        <v>4.3335499999999994E-3</v>
      </c>
      <c r="AS354" s="256">
        <v>4.3335499999999994E-3</v>
      </c>
      <c r="AT354" s="256"/>
      <c r="AW354" s="508"/>
      <c r="AX354" s="508"/>
      <c r="AY354" s="509"/>
      <c r="AZ354" s="509"/>
      <c r="BA354" s="509"/>
      <c r="BB354" s="510"/>
      <c r="BC354" s="509"/>
      <c r="BD354" s="509"/>
      <c r="BE354" s="509"/>
      <c r="BF354" s="509"/>
      <c r="BG354" s="510"/>
      <c r="BH354" s="510"/>
      <c r="BI354" s="511"/>
      <c r="BJ354" s="511"/>
      <c r="BK354" s="511"/>
      <c r="BL354" s="195"/>
      <c r="BM354" s="510"/>
      <c r="BN354" s="510"/>
      <c r="BO354" s="510"/>
      <c r="BP354" s="510"/>
      <c r="BQ354" s="510"/>
      <c r="BR354" s="510"/>
      <c r="BS354" s="510"/>
      <c r="BT354" s="513"/>
      <c r="BU354" s="514"/>
      <c r="BV354" s="512"/>
      <c r="BW354" s="515"/>
    </row>
    <row r="355" spans="2:75" ht="15.75" customHeight="1">
      <c r="B355" s="250" t="s">
        <v>340</v>
      </c>
      <c r="C355" s="251">
        <v>398561000190</v>
      </c>
      <c r="D355" s="252" t="s">
        <v>14</v>
      </c>
      <c r="E355" s="252" t="s">
        <v>607</v>
      </c>
      <c r="F355" s="252"/>
      <c r="G355" s="253"/>
      <c r="H355" s="253" t="s">
        <v>34</v>
      </c>
      <c r="I355" s="253" t="s">
        <v>34</v>
      </c>
      <c r="J355" s="253" t="s">
        <v>608</v>
      </c>
      <c r="K355" s="254" t="s">
        <v>48</v>
      </c>
      <c r="L355" s="255"/>
      <c r="M355" s="255" t="s">
        <v>34</v>
      </c>
      <c r="N355" s="254">
        <v>388211</v>
      </c>
      <c r="O355" s="254" t="s">
        <v>1321</v>
      </c>
      <c r="P355" s="258">
        <v>34723</v>
      </c>
      <c r="Q355" s="259">
        <v>78356254.040000007</v>
      </c>
      <c r="R355" s="259">
        <v>151871303.82202381</v>
      </c>
      <c r="S355" s="254">
        <v>3</v>
      </c>
      <c r="T355" s="256">
        <v>3.4451312398543932E-2</v>
      </c>
      <c r="U355" s="256">
        <v>0.4453588396302614</v>
      </c>
      <c r="V355" s="256">
        <v>-0.10512181002844734</v>
      </c>
      <c r="W355" s="256">
        <v>-1.0305452377850444</v>
      </c>
      <c r="X355" s="256">
        <v>2.3887476014198272E-2</v>
      </c>
      <c r="Y355" s="256">
        <v>0.18114307002769395</v>
      </c>
      <c r="Z355" s="256">
        <v>-1.1139235695161287E-2</v>
      </c>
      <c r="AA355" s="256">
        <v>-6.3319026900761508E-2</v>
      </c>
      <c r="AB355" s="256">
        <v>0.2425938494177956</v>
      </c>
      <c r="AC355" s="260">
        <v>-0.73695990702258396</v>
      </c>
      <c r="AD355" s="405">
        <v>14172679000100</v>
      </c>
      <c r="AE355" s="257" t="s">
        <v>2366</v>
      </c>
      <c r="AF355" s="257" t="s">
        <v>2112</v>
      </c>
      <c r="AG355" s="261" t="s">
        <v>59</v>
      </c>
      <c r="AH355" s="261" t="s">
        <v>2113</v>
      </c>
      <c r="AI355" s="261">
        <v>1000</v>
      </c>
      <c r="AJ355" s="261">
        <v>100</v>
      </c>
      <c r="AK355" s="261">
        <v>1000</v>
      </c>
      <c r="AL355" s="256">
        <v>0.02</v>
      </c>
      <c r="AM355" s="256">
        <v>0.2</v>
      </c>
      <c r="AN355" s="256" t="s">
        <v>666</v>
      </c>
      <c r="AO355" s="254" t="s">
        <v>1324</v>
      </c>
      <c r="AP355" s="257" t="s">
        <v>716</v>
      </c>
      <c r="AQ355" s="263" t="s">
        <v>659</v>
      </c>
      <c r="AR355" s="256">
        <v>6.0000000000000001E-3</v>
      </c>
      <c r="AS355" s="256">
        <v>6.0000000000000001E-3</v>
      </c>
      <c r="AT355" s="256"/>
      <c r="AW355" s="508"/>
      <c r="AX355" s="508"/>
      <c r="AY355" s="509"/>
      <c r="AZ355" s="509"/>
      <c r="BA355" s="509"/>
      <c r="BB355" s="510"/>
      <c r="BC355" s="509"/>
      <c r="BD355" s="509"/>
      <c r="BE355" s="509"/>
      <c r="BF355" s="509"/>
      <c r="BG355" s="510"/>
      <c r="BH355" s="510"/>
      <c r="BI355" s="511"/>
      <c r="BJ355" s="511"/>
      <c r="BK355" s="511"/>
      <c r="BL355" s="195"/>
      <c r="BM355" s="510"/>
      <c r="BN355" s="510"/>
      <c r="BO355" s="510"/>
      <c r="BP355" s="510"/>
      <c r="BQ355" s="510"/>
      <c r="BR355" s="510"/>
      <c r="BS355" s="510"/>
      <c r="BT355" s="513"/>
      <c r="BU355" s="514"/>
      <c r="BV355" s="512"/>
      <c r="BW355" s="515"/>
    </row>
    <row r="356" spans="2:75" ht="15.75" customHeight="1">
      <c r="B356" s="250" t="s">
        <v>589</v>
      </c>
      <c r="C356" s="251">
        <v>10756685000154</v>
      </c>
      <c r="D356" s="252" t="s">
        <v>14</v>
      </c>
      <c r="E356" s="252" t="s">
        <v>607</v>
      </c>
      <c r="F356" s="252"/>
      <c r="G356" s="253"/>
      <c r="H356" s="253" t="s">
        <v>34</v>
      </c>
      <c r="I356" s="253" t="s">
        <v>34</v>
      </c>
      <c r="J356" s="253" t="s">
        <v>608</v>
      </c>
      <c r="K356" s="254" t="s">
        <v>48</v>
      </c>
      <c r="L356" s="255"/>
      <c r="M356" s="255" t="s">
        <v>34</v>
      </c>
      <c r="N356" s="254">
        <v>342084</v>
      </c>
      <c r="O356" s="254" t="s">
        <v>1321</v>
      </c>
      <c r="P356" s="258">
        <v>41474</v>
      </c>
      <c r="Q356" s="259">
        <v>77692207.209999993</v>
      </c>
      <c r="R356" s="259">
        <v>83511511.86988093</v>
      </c>
      <c r="S356" s="254">
        <v>3</v>
      </c>
      <c r="T356" s="256">
        <v>1.3365247591974327E-3</v>
      </c>
      <c r="U356" s="256">
        <v>1.7277516426876104E-2</v>
      </c>
      <c r="V356" s="256">
        <v>-0.15448779286165149</v>
      </c>
      <c r="W356" s="256">
        <v>-1.5144969363295202</v>
      </c>
      <c r="X356" s="256">
        <v>1.629086461471041E-2</v>
      </c>
      <c r="Y356" s="256">
        <v>0.12353658578077328</v>
      </c>
      <c r="Z356" s="256">
        <v>5.7461400344385405E-2</v>
      </c>
      <c r="AA356" s="256">
        <v>0.32662922786902082</v>
      </c>
      <c r="AB356" s="256">
        <v>0.25385251075197585</v>
      </c>
      <c r="AC356" s="260">
        <v>-0.91657223528793774</v>
      </c>
      <c r="AD356" s="405">
        <v>0</v>
      </c>
      <c r="AE356" s="257" t="s">
        <v>2367</v>
      </c>
      <c r="AF356" s="257" t="s">
        <v>741</v>
      </c>
      <c r="AG356" s="261" t="s">
        <v>741</v>
      </c>
      <c r="AH356" s="261" t="s">
        <v>2113</v>
      </c>
      <c r="AI356" s="261">
        <v>5000</v>
      </c>
      <c r="AJ356" s="261">
        <v>1000</v>
      </c>
      <c r="AK356" s="261">
        <v>1000</v>
      </c>
      <c r="AL356" s="256">
        <v>0.03</v>
      </c>
      <c r="AM356" s="256">
        <v>0.2</v>
      </c>
      <c r="AN356" s="256" t="s">
        <v>666</v>
      </c>
      <c r="AO356" s="254" t="s">
        <v>1324</v>
      </c>
      <c r="AP356" s="257" t="s">
        <v>716</v>
      </c>
      <c r="AQ356" s="263" t="s">
        <v>665</v>
      </c>
      <c r="AR356" s="256">
        <v>9.9999999999999985E-3</v>
      </c>
      <c r="AS356" s="256">
        <v>9.9999999999999985E-3</v>
      </c>
      <c r="AT356" s="256"/>
      <c r="AW356" s="508"/>
      <c r="AX356" s="508"/>
      <c r="AY356" s="509"/>
      <c r="AZ356" s="509"/>
      <c r="BA356" s="509"/>
      <c r="BB356" s="510"/>
      <c r="BC356" s="509"/>
      <c r="BD356" s="509"/>
      <c r="BE356" s="509"/>
      <c r="BF356" s="509"/>
      <c r="BG356" s="510"/>
      <c r="BH356" s="510"/>
      <c r="BI356" s="511"/>
      <c r="BJ356" s="511"/>
      <c r="BK356" s="511"/>
      <c r="BL356" s="195"/>
      <c r="BM356" s="510"/>
      <c r="BN356" s="510"/>
      <c r="BO356" s="510"/>
      <c r="BP356" s="510"/>
      <c r="BQ356" s="510"/>
      <c r="BR356" s="510"/>
      <c r="BS356" s="510"/>
      <c r="BT356" s="513"/>
      <c r="BU356" s="514"/>
      <c r="BV356" s="512"/>
      <c r="BW356" s="515"/>
    </row>
    <row r="357" spans="2:75" ht="15.75" customHeight="1">
      <c r="B357" s="250" t="s">
        <v>1155</v>
      </c>
      <c r="C357" s="251">
        <v>13504068000150</v>
      </c>
      <c r="D357" s="252" t="s">
        <v>14</v>
      </c>
      <c r="E357" s="252" t="s">
        <v>607</v>
      </c>
      <c r="F357" s="252"/>
      <c r="G357" s="253"/>
      <c r="H357" s="253" t="s">
        <v>34</v>
      </c>
      <c r="I357" s="253" t="s">
        <v>34</v>
      </c>
      <c r="J357" s="253" t="s">
        <v>608</v>
      </c>
      <c r="K357" s="254" t="s">
        <v>48</v>
      </c>
      <c r="L357" s="255"/>
      <c r="M357" s="255" t="s">
        <v>34</v>
      </c>
      <c r="N357" s="254">
        <v>439924</v>
      </c>
      <c r="O357" s="254" t="s">
        <v>1321</v>
      </c>
      <c r="P357" s="258">
        <v>42857</v>
      </c>
      <c r="Q357" s="259">
        <v>70150873.019999996</v>
      </c>
      <c r="R357" s="259">
        <v>71691145.191706374</v>
      </c>
      <c r="S357" s="254">
        <v>3</v>
      </c>
      <c r="T357" s="256">
        <v>-8.12736970129605E-2</v>
      </c>
      <c r="U357" s="256">
        <v>-1.0506409443979072</v>
      </c>
      <c r="V357" s="256">
        <v>-0.2507605099506669</v>
      </c>
      <c r="W357" s="256">
        <v>-2.4582914742837585</v>
      </c>
      <c r="X357" s="256">
        <v>-0.12655396643124828</v>
      </c>
      <c r="Y357" s="256">
        <v>-0.95968171731128948</v>
      </c>
      <c r="Z357" s="256">
        <v>6.1982624067862258E-3</v>
      </c>
      <c r="AA357" s="256">
        <v>3.5232932924092616E-2</v>
      </c>
      <c r="AB357" s="256">
        <v>0.25652688305002153</v>
      </c>
      <c r="AC357" s="260">
        <v>-1.3754561706131543</v>
      </c>
      <c r="AD357" s="405">
        <v>36327079000107</v>
      </c>
      <c r="AE357" s="257" t="s">
        <v>2283</v>
      </c>
      <c r="AF357" s="257" t="s">
        <v>2118</v>
      </c>
      <c r="AG357" s="261" t="s">
        <v>1433</v>
      </c>
      <c r="AH357" s="261" t="s">
        <v>2110</v>
      </c>
      <c r="AI357" s="261">
        <v>500</v>
      </c>
      <c r="AJ357" s="261">
        <v>100</v>
      </c>
      <c r="AK357" s="261">
        <v>500</v>
      </c>
      <c r="AL357" s="256">
        <v>1.8000000000000002E-2</v>
      </c>
      <c r="AM357" s="256">
        <v>0.15</v>
      </c>
      <c r="AN357" s="256" t="s">
        <v>2127</v>
      </c>
      <c r="AO357" s="254" t="s">
        <v>1324</v>
      </c>
      <c r="AP357" s="257" t="s">
        <v>716</v>
      </c>
      <c r="AQ357" s="263" t="s">
        <v>659</v>
      </c>
      <c r="AR357" s="256">
        <v>4.7999999999999996E-3</v>
      </c>
      <c r="AS357" s="256">
        <v>4.7999999999999996E-3</v>
      </c>
      <c r="AT357" s="256"/>
      <c r="AW357" s="508"/>
      <c r="AX357" s="508"/>
      <c r="AY357" s="509"/>
      <c r="AZ357" s="509"/>
      <c r="BA357" s="509"/>
      <c r="BB357" s="510"/>
      <c r="BC357" s="509"/>
      <c r="BD357" s="509"/>
      <c r="BE357" s="509"/>
      <c r="BF357" s="509"/>
      <c r="BG357" s="510"/>
      <c r="BH357" s="510"/>
      <c r="BI357" s="511"/>
      <c r="BJ357" s="511"/>
      <c r="BK357" s="511"/>
      <c r="BL357" s="195"/>
      <c r="BM357" s="510"/>
      <c r="BN357" s="510"/>
      <c r="BO357" s="510"/>
      <c r="BP357" s="510"/>
      <c r="BQ357" s="510"/>
      <c r="BR357" s="510"/>
      <c r="BS357" s="510"/>
      <c r="BT357" s="513"/>
      <c r="BU357" s="514"/>
      <c r="BV357" s="512"/>
      <c r="BW357" s="515"/>
    </row>
    <row r="358" spans="2:75" ht="15.75" customHeight="1">
      <c r="B358" s="250" t="s">
        <v>1156</v>
      </c>
      <c r="C358" s="251">
        <v>27250923000158</v>
      </c>
      <c r="D358" s="252" t="s">
        <v>14</v>
      </c>
      <c r="E358" s="252" t="s">
        <v>607</v>
      </c>
      <c r="F358" s="252"/>
      <c r="G358" s="253"/>
      <c r="H358" s="253" t="s">
        <v>34</v>
      </c>
      <c r="I358" s="253" t="s">
        <v>34</v>
      </c>
      <c r="J358" s="253" t="s">
        <v>608</v>
      </c>
      <c r="K358" s="254" t="s">
        <v>48</v>
      </c>
      <c r="L358" s="255"/>
      <c r="M358" s="255" t="s">
        <v>34</v>
      </c>
      <c r="N358" s="254">
        <v>440582</v>
      </c>
      <c r="O358" s="254" t="s">
        <v>1321</v>
      </c>
      <c r="P358" s="258">
        <v>42878</v>
      </c>
      <c r="Q358" s="259">
        <v>51924793.350000001</v>
      </c>
      <c r="R358" s="259">
        <v>67039136.40075399</v>
      </c>
      <c r="S358" s="254">
        <v>3</v>
      </c>
      <c r="T358" s="256">
        <v>-8.3217585738011524E-2</v>
      </c>
      <c r="U358" s="256">
        <v>-1.0757699733575026</v>
      </c>
      <c r="V358" s="256">
        <v>-0.25490443248883288</v>
      </c>
      <c r="W358" s="256">
        <v>-2.4989157713378276</v>
      </c>
      <c r="X358" s="256">
        <v>-0.10857134183223627</v>
      </c>
      <c r="Y358" s="256">
        <v>-0.82331620824350815</v>
      </c>
      <c r="Z358" s="256">
        <v>8.7306688564783519E-2</v>
      </c>
      <c r="AA358" s="256">
        <v>0.49627952160589345</v>
      </c>
      <c r="AB358" s="256">
        <v>0.25900932526742665</v>
      </c>
      <c r="AC358" s="260">
        <v>-1.3810666903703448</v>
      </c>
      <c r="AD358" s="405">
        <v>0</v>
      </c>
      <c r="AE358" s="257" t="s">
        <v>2377</v>
      </c>
      <c r="AF358" s="257" t="s">
        <v>2115</v>
      </c>
      <c r="AG358" s="261" t="s">
        <v>719</v>
      </c>
      <c r="AH358" s="261" t="s">
        <v>2113</v>
      </c>
      <c r="AI358" s="261">
        <v>5000</v>
      </c>
      <c r="AJ358" s="261">
        <v>1000</v>
      </c>
      <c r="AK358" s="261">
        <v>5000</v>
      </c>
      <c r="AL358" s="256">
        <v>0.02</v>
      </c>
      <c r="AM358" s="256">
        <v>0.2</v>
      </c>
      <c r="AN358" s="256" t="s">
        <v>666</v>
      </c>
      <c r="AO358" s="254" t="s">
        <v>1324</v>
      </c>
      <c r="AP358" s="257" t="s">
        <v>716</v>
      </c>
      <c r="AQ358" s="263" t="s">
        <v>659</v>
      </c>
      <c r="AR358" s="256">
        <v>6.0000000000000001E-3</v>
      </c>
      <c r="AS358" s="256">
        <v>6.0000000000000001E-3</v>
      </c>
      <c r="AT358" s="256"/>
      <c r="AW358" s="508"/>
      <c r="AX358" s="508"/>
      <c r="AY358" s="509"/>
      <c r="AZ358" s="509"/>
      <c r="BA358" s="509"/>
      <c r="BB358" s="510"/>
      <c r="BC358" s="509"/>
      <c r="BD358" s="509"/>
      <c r="BE358" s="509"/>
      <c r="BF358" s="509"/>
      <c r="BG358" s="510"/>
      <c r="BH358" s="510"/>
      <c r="BI358" s="511"/>
      <c r="BJ358" s="511"/>
      <c r="BK358" s="511"/>
      <c r="BL358" s="195"/>
      <c r="BM358" s="510"/>
      <c r="BN358" s="510"/>
      <c r="BO358" s="510"/>
      <c r="BP358" s="510"/>
      <c r="BQ358" s="510"/>
      <c r="BR358" s="510"/>
      <c r="BS358" s="510"/>
      <c r="BT358" s="513"/>
      <c r="BU358" s="514"/>
      <c r="BV358" s="512"/>
      <c r="BW358" s="515"/>
    </row>
    <row r="359" spans="2:75" ht="15.75" customHeight="1">
      <c r="B359" s="250" t="s">
        <v>1176</v>
      </c>
      <c r="C359" s="251">
        <v>42119554000152</v>
      </c>
      <c r="D359" s="252" t="s">
        <v>14</v>
      </c>
      <c r="E359" s="252" t="s">
        <v>614</v>
      </c>
      <c r="F359" s="252"/>
      <c r="G359" s="253"/>
      <c r="H359" s="253" t="s">
        <v>1338</v>
      </c>
      <c r="I359" s="253" t="s">
        <v>34</v>
      </c>
      <c r="J359" s="253" t="s">
        <v>611</v>
      </c>
      <c r="K359" s="254" t="s">
        <v>48</v>
      </c>
      <c r="L359" s="255"/>
      <c r="M359" s="255" t="s">
        <v>34</v>
      </c>
      <c r="N359" s="254">
        <v>618098</v>
      </c>
      <c r="O359" s="254" t="s">
        <v>1321</v>
      </c>
      <c r="P359" s="258">
        <v>44498</v>
      </c>
      <c r="Q359" s="259">
        <v>9469605.9299999997</v>
      </c>
      <c r="R359" s="259" t="s">
        <v>1417</v>
      </c>
      <c r="S359" s="254">
        <v>3</v>
      </c>
      <c r="T359" s="256">
        <v>3.2731164244779176E-3</v>
      </c>
      <c r="U359" s="256">
        <v>4.2312214870567452E-2</v>
      </c>
      <c r="V359" s="256" t="s">
        <v>1417</v>
      </c>
      <c r="W359" s="256" t="s">
        <v>1417</v>
      </c>
      <c r="X359" s="256" t="s">
        <v>1417</v>
      </c>
      <c r="Y359" s="256" t="s">
        <v>1417</v>
      </c>
      <c r="Z359" s="256" t="s">
        <v>1417</v>
      </c>
      <c r="AA359" s="256" t="s">
        <v>1417</v>
      </c>
      <c r="AB359" s="256" t="s">
        <v>1417</v>
      </c>
      <c r="AC359" s="260" t="s">
        <v>1417</v>
      </c>
      <c r="AD359" s="405">
        <v>0</v>
      </c>
      <c r="AE359" s="257" t="s">
        <v>2386</v>
      </c>
      <c r="AF359" s="257" t="s">
        <v>2115</v>
      </c>
      <c r="AG359" s="261" t="s">
        <v>719</v>
      </c>
      <c r="AH359" s="261" t="s">
        <v>2113</v>
      </c>
      <c r="AI359" s="261">
        <v>5000</v>
      </c>
      <c r="AJ359" s="261">
        <v>500</v>
      </c>
      <c r="AK359" s="261">
        <v>0</v>
      </c>
      <c r="AL359" s="256">
        <v>1.4999999999999999E-2</v>
      </c>
      <c r="AM359" s="256">
        <v>0.1</v>
      </c>
      <c r="AN359" s="256" t="s">
        <v>666</v>
      </c>
      <c r="AO359" s="254" t="s">
        <v>1324</v>
      </c>
      <c r="AP359" s="257" t="s">
        <v>716</v>
      </c>
      <c r="AQ359" s="263" t="s">
        <v>659</v>
      </c>
      <c r="AR359" s="256">
        <v>4.0000000000000001E-3</v>
      </c>
      <c r="AS359" s="256">
        <v>4.0000000000000001E-3</v>
      </c>
      <c r="AT359" s="256"/>
      <c r="AW359" s="508"/>
      <c r="AX359" s="508"/>
      <c r="AY359" s="509"/>
      <c r="AZ359" s="509"/>
      <c r="BA359" s="509"/>
      <c r="BB359" s="510"/>
      <c r="BC359" s="509"/>
      <c r="BD359" s="509"/>
      <c r="BE359" s="509"/>
      <c r="BF359" s="509"/>
      <c r="BG359" s="510"/>
      <c r="BH359" s="510"/>
      <c r="BI359" s="511"/>
      <c r="BJ359" s="511"/>
      <c r="BK359" s="511"/>
      <c r="BL359" s="195"/>
      <c r="BM359" s="510"/>
      <c r="BN359" s="510"/>
      <c r="BO359" s="510"/>
      <c r="BP359" s="510"/>
      <c r="BQ359" s="510"/>
      <c r="BR359" s="510"/>
      <c r="BS359" s="510"/>
      <c r="BT359" s="513"/>
      <c r="BU359" s="514"/>
      <c r="BV359" s="512"/>
      <c r="BW359" s="515"/>
    </row>
    <row r="360" spans="2:75" ht="15.75" customHeight="1">
      <c r="B360" s="250" t="s">
        <v>367</v>
      </c>
      <c r="C360" s="251">
        <v>31923988000194</v>
      </c>
      <c r="D360" s="252" t="s">
        <v>14</v>
      </c>
      <c r="E360" s="252" t="s">
        <v>614</v>
      </c>
      <c r="F360" s="252"/>
      <c r="G360" s="253"/>
      <c r="H360" s="253" t="s">
        <v>1338</v>
      </c>
      <c r="I360" s="253" t="s">
        <v>34</v>
      </c>
      <c r="J360" s="253" t="s">
        <v>608</v>
      </c>
      <c r="K360" s="254" t="s">
        <v>48</v>
      </c>
      <c r="L360" s="255"/>
      <c r="M360" s="255" t="s">
        <v>1414</v>
      </c>
      <c r="N360" s="254">
        <v>496065</v>
      </c>
      <c r="O360" s="254" t="s">
        <v>1321</v>
      </c>
      <c r="P360" s="258">
        <v>43606</v>
      </c>
      <c r="Q360" s="259">
        <v>10091349.859999999</v>
      </c>
      <c r="R360" s="259">
        <v>23967187.067103166</v>
      </c>
      <c r="S360" s="254">
        <v>3</v>
      </c>
      <c r="T360" s="256">
        <v>9.5352622096830153E-2</v>
      </c>
      <c r="U360" s="256">
        <v>1.2326419569009484</v>
      </c>
      <c r="V360" s="256">
        <v>-5.9779095768906831E-2</v>
      </c>
      <c r="W360" s="256">
        <v>-0.58603502400759555</v>
      </c>
      <c r="X360" s="256">
        <v>8.0613174378468377E-2</v>
      </c>
      <c r="Y360" s="256">
        <v>0.61130434554551238</v>
      </c>
      <c r="Z360" s="256">
        <v>0.13612122104987368</v>
      </c>
      <c r="AA360" s="256">
        <v>0.77375714934961326</v>
      </c>
      <c r="AB360" s="256">
        <v>0.1931029568866329</v>
      </c>
      <c r="AC360" s="260">
        <v>-0.72582057545514367</v>
      </c>
      <c r="AD360" s="405">
        <v>32239786000190</v>
      </c>
      <c r="AE360" s="257" t="s">
        <v>2386</v>
      </c>
      <c r="AF360" s="257" t="s">
        <v>2118</v>
      </c>
      <c r="AG360" s="261" t="s">
        <v>1433</v>
      </c>
      <c r="AH360" s="261" t="s">
        <v>2113</v>
      </c>
      <c r="AI360" s="261">
        <v>1000</v>
      </c>
      <c r="AJ360" s="261">
        <v>0</v>
      </c>
      <c r="AK360" s="261">
        <v>0</v>
      </c>
      <c r="AL360" s="256">
        <v>0.01</v>
      </c>
      <c r="AM360" s="256" t="s">
        <v>34</v>
      </c>
      <c r="AN360" s="256" t="s">
        <v>666</v>
      </c>
      <c r="AO360" s="254" t="s">
        <v>1324</v>
      </c>
      <c r="AP360" s="257" t="s">
        <v>716</v>
      </c>
      <c r="AQ360" s="263" t="s">
        <v>670</v>
      </c>
      <c r="AR360" s="256">
        <v>2.9333333333333334E-3</v>
      </c>
      <c r="AS360" s="256">
        <v>2.9333333333333334E-3</v>
      </c>
      <c r="AT360" s="256"/>
      <c r="AW360" s="508"/>
      <c r="AX360" s="508"/>
      <c r="AY360" s="509"/>
      <c r="AZ360" s="509"/>
      <c r="BA360" s="509"/>
      <c r="BB360" s="510"/>
      <c r="BC360" s="509"/>
      <c r="BD360" s="509"/>
      <c r="BE360" s="509"/>
      <c r="BF360" s="509"/>
      <c r="BG360" s="510"/>
      <c r="BH360" s="510"/>
      <c r="BI360" s="511"/>
      <c r="BJ360" s="511"/>
      <c r="BK360" s="511"/>
      <c r="BL360" s="195"/>
      <c r="BM360" s="510"/>
      <c r="BN360" s="510"/>
      <c r="BO360" s="510"/>
      <c r="BP360" s="510"/>
      <c r="BQ360" s="510"/>
      <c r="BR360" s="510"/>
      <c r="BS360" s="510"/>
      <c r="BT360" s="513"/>
      <c r="BU360" s="514"/>
      <c r="BV360" s="512"/>
      <c r="BW360" s="515"/>
    </row>
    <row r="361" spans="2:75" ht="15.75" customHeight="1">
      <c r="B361" s="250" t="s">
        <v>1183</v>
      </c>
      <c r="C361" s="251">
        <v>8912569000135</v>
      </c>
      <c r="D361" s="252" t="s">
        <v>14</v>
      </c>
      <c r="E361" s="252" t="s">
        <v>607</v>
      </c>
      <c r="F361" s="252"/>
      <c r="G361" s="253"/>
      <c r="H361" s="253" t="s">
        <v>34</v>
      </c>
      <c r="I361" s="253" t="s">
        <v>34</v>
      </c>
      <c r="J361" s="253" t="s">
        <v>608</v>
      </c>
      <c r="K361" s="254" t="s">
        <v>48</v>
      </c>
      <c r="L361" s="255"/>
      <c r="M361" s="255" t="s">
        <v>34</v>
      </c>
      <c r="N361" s="254">
        <v>191876</v>
      </c>
      <c r="O361" s="254" t="s">
        <v>1324</v>
      </c>
      <c r="P361" s="258">
        <v>39286</v>
      </c>
      <c r="Q361" s="259">
        <v>76218869.700000003</v>
      </c>
      <c r="R361" s="259">
        <v>116569498.18000002</v>
      </c>
      <c r="S361" s="254">
        <v>3</v>
      </c>
      <c r="T361" s="256">
        <v>9.627632876634018E-2</v>
      </c>
      <c r="U361" s="256">
        <v>1.2445828933080358</v>
      </c>
      <c r="V361" s="256">
        <v>-5.3781611018096531E-2</v>
      </c>
      <c r="W361" s="256">
        <v>-0.52723961944822384</v>
      </c>
      <c r="X361" s="256">
        <v>7.8498415337501459E-2</v>
      </c>
      <c r="Y361" s="256">
        <v>0.59526774356957002</v>
      </c>
      <c r="Z361" s="256">
        <v>0.11463986293554096</v>
      </c>
      <c r="AA361" s="256">
        <v>0.65165014582358449</v>
      </c>
      <c r="AB361" s="256">
        <v>0.19721302348009151</v>
      </c>
      <c r="AC361" s="260">
        <v>-0.67440971007268902</v>
      </c>
      <c r="AD361" s="405">
        <v>32318881000180</v>
      </c>
      <c r="AE361" s="257" t="s">
        <v>2391</v>
      </c>
      <c r="AF361" s="257" t="s">
        <v>2118</v>
      </c>
      <c r="AG361" s="261" t="s">
        <v>1433</v>
      </c>
      <c r="AH361" s="261" t="s">
        <v>2113</v>
      </c>
      <c r="AI361" s="261">
        <v>20000</v>
      </c>
      <c r="AJ361" s="261">
        <v>5000</v>
      </c>
      <c r="AK361" s="261">
        <v>5000</v>
      </c>
      <c r="AL361" s="256">
        <v>1.9450000000000002E-2</v>
      </c>
      <c r="AM361" s="256">
        <v>0.2</v>
      </c>
      <c r="AN361" s="256" t="s">
        <v>666</v>
      </c>
      <c r="AO361" s="254" t="s">
        <v>1324</v>
      </c>
      <c r="AP361" s="257" t="s">
        <v>716</v>
      </c>
      <c r="AQ361" s="263" t="s">
        <v>670</v>
      </c>
      <c r="AR361" s="256">
        <v>6.8899999999999994E-3</v>
      </c>
      <c r="AS361" s="256">
        <v>6.8899999999999994E-3</v>
      </c>
      <c r="AT361" s="256"/>
      <c r="AW361" s="508"/>
      <c r="AX361" s="508"/>
      <c r="AY361" s="509"/>
      <c r="AZ361" s="509"/>
      <c r="BA361" s="509"/>
      <c r="BB361" s="510"/>
      <c r="BC361" s="509"/>
      <c r="BD361" s="509"/>
      <c r="BE361" s="509"/>
      <c r="BF361" s="509"/>
      <c r="BG361" s="510"/>
      <c r="BH361" s="510"/>
      <c r="BI361" s="511"/>
      <c r="BJ361" s="511"/>
      <c r="BK361" s="511"/>
      <c r="BL361" s="195"/>
      <c r="BM361" s="510"/>
      <c r="BN361" s="510"/>
      <c r="BO361" s="510"/>
      <c r="BP361" s="510"/>
      <c r="BQ361" s="510"/>
      <c r="BR361" s="510"/>
      <c r="BS361" s="510"/>
      <c r="BT361" s="513"/>
      <c r="BU361" s="514"/>
      <c r="BV361" s="512"/>
      <c r="BW361" s="515"/>
    </row>
    <row r="362" spans="2:75" ht="15.75" customHeight="1">
      <c r="B362" s="250" t="s">
        <v>373</v>
      </c>
      <c r="C362" s="251">
        <v>5969595000101</v>
      </c>
      <c r="D362" s="252" t="s">
        <v>14</v>
      </c>
      <c r="E362" s="252" t="s">
        <v>607</v>
      </c>
      <c r="F362" s="252"/>
      <c r="G362" s="253"/>
      <c r="H362" s="253" t="s">
        <v>34</v>
      </c>
      <c r="I362" s="253" t="s">
        <v>34</v>
      </c>
      <c r="J362" s="253" t="s">
        <v>608</v>
      </c>
      <c r="K362" s="254" t="s">
        <v>48</v>
      </c>
      <c r="L362" s="255"/>
      <c r="M362" s="255" t="s">
        <v>1414</v>
      </c>
      <c r="N362" s="254">
        <v>321265</v>
      </c>
      <c r="O362" s="254" t="s">
        <v>1321</v>
      </c>
      <c r="P362" s="258">
        <v>41225</v>
      </c>
      <c r="Q362" s="259">
        <v>32688895.18</v>
      </c>
      <c r="R362" s="259">
        <v>39064582.683373027</v>
      </c>
      <c r="S362" s="254">
        <v>3</v>
      </c>
      <c r="T362" s="256">
        <v>-0.1074639318529873</v>
      </c>
      <c r="U362" s="256">
        <v>-1.3892072220207985</v>
      </c>
      <c r="V362" s="256">
        <v>-0.20809353580430712</v>
      </c>
      <c r="W362" s="256">
        <v>-2.0400124605821324</v>
      </c>
      <c r="X362" s="256">
        <v>-0.1111081663809953</v>
      </c>
      <c r="Y362" s="256">
        <v>-0.84255340963769043</v>
      </c>
      <c r="Z362" s="256">
        <v>0.12653568362420176</v>
      </c>
      <c r="AA362" s="256">
        <v>0.71926984710337172</v>
      </c>
      <c r="AB362" s="256">
        <v>0.18461991193099805</v>
      </c>
      <c r="AC362" s="260">
        <v>-1.6973615984448336</v>
      </c>
      <c r="AD362" s="405">
        <v>0</v>
      </c>
      <c r="AE362" s="257" t="s">
        <v>2394</v>
      </c>
      <c r="AF362" s="257" t="s">
        <v>2109</v>
      </c>
      <c r="AG362" s="261" t="s">
        <v>1432</v>
      </c>
      <c r="AH362" s="261" t="s">
        <v>2113</v>
      </c>
      <c r="AI362" s="261">
        <v>1000</v>
      </c>
      <c r="AJ362" s="261">
        <v>100</v>
      </c>
      <c r="AK362" s="261">
        <v>1000</v>
      </c>
      <c r="AL362" s="256">
        <v>0.02</v>
      </c>
      <c r="AM362" s="256">
        <v>0.2</v>
      </c>
      <c r="AN362" s="256" t="s">
        <v>34</v>
      </c>
      <c r="AO362" s="254" t="s">
        <v>1324</v>
      </c>
      <c r="AP362" s="257" t="s">
        <v>716</v>
      </c>
      <c r="AQ362" s="263" t="s">
        <v>665</v>
      </c>
      <c r="AR362" s="256">
        <v>2.6666666666666666E-3</v>
      </c>
      <c r="AS362" s="256">
        <v>2.6666666666666666E-3</v>
      </c>
      <c r="AT362" s="256"/>
      <c r="AW362" s="508"/>
      <c r="AX362" s="508"/>
      <c r="AY362" s="509"/>
      <c r="AZ362" s="509"/>
      <c r="BA362" s="509"/>
      <c r="BB362" s="510"/>
      <c r="BC362" s="509"/>
      <c r="BD362" s="509"/>
      <c r="BE362" s="509"/>
      <c r="BF362" s="509"/>
      <c r="BG362" s="510"/>
      <c r="BH362" s="510"/>
      <c r="BI362" s="511"/>
      <c r="BJ362" s="511"/>
      <c r="BK362" s="511"/>
      <c r="BL362" s="195"/>
      <c r="BM362" s="510"/>
      <c r="BN362" s="510"/>
      <c r="BO362" s="510"/>
      <c r="BP362" s="510"/>
      <c r="BQ362" s="510"/>
      <c r="BR362" s="510"/>
      <c r="BS362" s="510"/>
      <c r="BT362" s="513"/>
      <c r="BU362" s="514"/>
      <c r="BV362" s="512"/>
      <c r="BW362" s="515"/>
    </row>
    <row r="363" spans="2:75" ht="15.75" customHeight="1">
      <c r="B363" s="250" t="s">
        <v>1190</v>
      </c>
      <c r="C363" s="251">
        <v>14550994000124</v>
      </c>
      <c r="D363" s="252" t="s">
        <v>14</v>
      </c>
      <c r="E363" s="252" t="s">
        <v>607</v>
      </c>
      <c r="F363" s="252"/>
      <c r="G363" s="253"/>
      <c r="H363" s="253" t="s">
        <v>34</v>
      </c>
      <c r="I363" s="253" t="s">
        <v>34</v>
      </c>
      <c r="J363" s="253" t="s">
        <v>608</v>
      </c>
      <c r="K363" s="254" t="s">
        <v>48</v>
      </c>
      <c r="L363" s="255"/>
      <c r="M363" s="255" t="s">
        <v>34</v>
      </c>
      <c r="N363" s="254">
        <v>292966</v>
      </c>
      <c r="O363" s="254" t="s">
        <v>1321</v>
      </c>
      <c r="P363" s="258">
        <v>40893</v>
      </c>
      <c r="Q363" s="259">
        <v>343553111.38</v>
      </c>
      <c r="R363" s="259">
        <v>342992366.87</v>
      </c>
      <c r="S363" s="254">
        <v>3</v>
      </c>
      <c r="T363" s="256">
        <v>1.3555454574188053E-2</v>
      </c>
      <c r="U363" s="256">
        <v>0.17523400705269687</v>
      </c>
      <c r="V363" s="256">
        <v>-0.11486476674455048</v>
      </c>
      <c r="W363" s="256">
        <v>-1.1260587914710853</v>
      </c>
      <c r="X363" s="256">
        <v>4.6181944000915909E-3</v>
      </c>
      <c r="Y363" s="256">
        <v>3.5020607079628799E-2</v>
      </c>
      <c r="Z363" s="256">
        <v>-8.2731127365343049E-3</v>
      </c>
      <c r="AA363" s="256">
        <v>-4.7027054840503894E-2</v>
      </c>
      <c r="AB363" s="256">
        <v>0.20393382918150199</v>
      </c>
      <c r="AC363" s="260">
        <v>-0.97269262854411587</v>
      </c>
      <c r="AD363" s="405">
        <v>0</v>
      </c>
      <c r="AE363" s="257" t="s">
        <v>2397</v>
      </c>
      <c r="AF363" s="257" t="s">
        <v>2115</v>
      </c>
      <c r="AG363" s="261" t="s">
        <v>719</v>
      </c>
      <c r="AH363" s="261" t="s">
        <v>2113</v>
      </c>
      <c r="AI363" s="261">
        <v>5000</v>
      </c>
      <c r="AJ363" s="261">
        <v>300</v>
      </c>
      <c r="AK363" s="261">
        <v>300</v>
      </c>
      <c r="AL363" s="256">
        <v>0.02</v>
      </c>
      <c r="AM363" s="256">
        <v>0.2</v>
      </c>
      <c r="AN363" s="256" t="s">
        <v>666</v>
      </c>
      <c r="AO363" s="254" t="s">
        <v>1324</v>
      </c>
      <c r="AP363" s="257" t="s">
        <v>716</v>
      </c>
      <c r="AQ363" s="263" t="s">
        <v>670</v>
      </c>
      <c r="AR363" s="256">
        <v>4.0000000000000001E-3</v>
      </c>
      <c r="AS363" s="256">
        <v>4.0000000000000001E-3</v>
      </c>
      <c r="AT363" s="256"/>
      <c r="AW363" s="508"/>
      <c r="AX363" s="508"/>
      <c r="AY363" s="509"/>
      <c r="AZ363" s="509"/>
      <c r="BA363" s="509"/>
      <c r="BB363" s="510"/>
      <c r="BC363" s="509"/>
      <c r="BD363" s="509"/>
      <c r="BE363" s="509"/>
      <c r="BF363" s="509"/>
      <c r="BG363" s="510"/>
      <c r="BH363" s="510"/>
      <c r="BI363" s="511"/>
      <c r="BJ363" s="511"/>
      <c r="BK363" s="511"/>
      <c r="BL363" s="195"/>
      <c r="BM363" s="510"/>
      <c r="BN363" s="510"/>
      <c r="BO363" s="510"/>
      <c r="BP363" s="510"/>
      <c r="BQ363" s="510"/>
      <c r="BR363" s="510"/>
      <c r="BS363" s="510"/>
      <c r="BT363" s="513"/>
      <c r="BU363" s="514"/>
      <c r="BV363" s="512"/>
      <c r="BW363" s="515"/>
    </row>
    <row r="364" spans="2:75" ht="15.75" customHeight="1">
      <c r="B364" s="250" t="s">
        <v>377</v>
      </c>
      <c r="C364" s="251">
        <v>29722466000182</v>
      </c>
      <c r="D364" s="252" t="s">
        <v>14</v>
      </c>
      <c r="E364" s="252" t="s">
        <v>607</v>
      </c>
      <c r="F364" s="252"/>
      <c r="G364" s="253"/>
      <c r="H364" s="253" t="s">
        <v>34</v>
      </c>
      <c r="I364" s="253" t="s">
        <v>34</v>
      </c>
      <c r="J364" s="253" t="s">
        <v>608</v>
      </c>
      <c r="K364" s="254" t="s">
        <v>48</v>
      </c>
      <c r="L364" s="255"/>
      <c r="M364" s="255" t="s">
        <v>34</v>
      </c>
      <c r="N364" s="254">
        <v>466352</v>
      </c>
      <c r="O364" s="254" t="s">
        <v>1321</v>
      </c>
      <c r="P364" s="258">
        <v>43249</v>
      </c>
      <c r="Q364" s="259">
        <v>13558017.65</v>
      </c>
      <c r="R364" s="259">
        <v>13806224.811944446</v>
      </c>
      <c r="S364" s="254">
        <v>3</v>
      </c>
      <c r="T364" s="256">
        <v>7.4355281295230391E-2</v>
      </c>
      <c r="U364" s="256">
        <v>0.96120523406896585</v>
      </c>
      <c r="V364" s="256">
        <v>-4.5209994007946674E-2</v>
      </c>
      <c r="W364" s="256">
        <v>-0.44320911153043996</v>
      </c>
      <c r="X364" s="256">
        <v>5.9895001958977012E-2</v>
      </c>
      <c r="Y364" s="256">
        <v>0.45419468041391475</v>
      </c>
      <c r="Z364" s="256">
        <v>-2.556214057018058E-2</v>
      </c>
      <c r="AA364" s="256">
        <v>-0.14530349394684172</v>
      </c>
      <c r="AB364" s="256">
        <v>0.20573006766140792</v>
      </c>
      <c r="AC364" s="260">
        <v>-0.59423063051985214</v>
      </c>
      <c r="AD364" s="405">
        <v>0</v>
      </c>
      <c r="AE364" s="257" t="s">
        <v>2397</v>
      </c>
      <c r="AF364" s="257" t="s">
        <v>2115</v>
      </c>
      <c r="AG364" s="261" t="s">
        <v>719</v>
      </c>
      <c r="AH364" s="261" t="s">
        <v>2113</v>
      </c>
      <c r="AI364" s="261">
        <v>1000</v>
      </c>
      <c r="AJ364" s="261">
        <v>1000</v>
      </c>
      <c r="AK364" s="261">
        <v>1000</v>
      </c>
      <c r="AL364" s="256">
        <v>1.95E-2</v>
      </c>
      <c r="AM364" s="256">
        <v>0.2</v>
      </c>
      <c r="AN364" s="256" t="s">
        <v>666</v>
      </c>
      <c r="AO364" s="254" t="s">
        <v>1324</v>
      </c>
      <c r="AP364" s="257" t="s">
        <v>716</v>
      </c>
      <c r="AQ364" s="263" t="s">
        <v>670</v>
      </c>
      <c r="AR364" s="256">
        <v>3.8999999999999998E-3</v>
      </c>
      <c r="AS364" s="256">
        <v>3.8999999999999998E-3</v>
      </c>
      <c r="AT364" s="256"/>
      <c r="AW364" s="508"/>
      <c r="AX364" s="508"/>
      <c r="AY364" s="509"/>
      <c r="AZ364" s="509"/>
      <c r="BA364" s="509"/>
      <c r="BB364" s="510"/>
      <c r="BC364" s="509"/>
      <c r="BD364" s="509"/>
      <c r="BE364" s="509"/>
      <c r="BF364" s="509"/>
      <c r="BG364" s="510"/>
      <c r="BH364" s="510"/>
      <c r="BI364" s="511"/>
      <c r="BJ364" s="511"/>
      <c r="BK364" s="511"/>
      <c r="BL364" s="195"/>
      <c r="BM364" s="510"/>
      <c r="BN364" s="510"/>
      <c r="BO364" s="510"/>
      <c r="BP364" s="510"/>
      <c r="BQ364" s="510"/>
      <c r="BR364" s="510"/>
      <c r="BS364" s="510"/>
      <c r="BT364" s="513"/>
      <c r="BU364" s="514"/>
      <c r="BV364" s="512"/>
      <c r="BW364" s="515"/>
    </row>
    <row r="365" spans="2:75" ht="15.75" customHeight="1">
      <c r="B365" s="250" t="s">
        <v>391</v>
      </c>
      <c r="C365" s="251">
        <v>11458144000102</v>
      </c>
      <c r="D365" s="252" t="s">
        <v>14</v>
      </c>
      <c r="E365" s="252" t="s">
        <v>607</v>
      </c>
      <c r="F365" s="252"/>
      <c r="G365" s="253"/>
      <c r="H365" s="253" t="s">
        <v>34</v>
      </c>
      <c r="I365" s="253" t="s">
        <v>34</v>
      </c>
      <c r="J365" s="253" t="s">
        <v>608</v>
      </c>
      <c r="K365" s="254" t="s">
        <v>48</v>
      </c>
      <c r="L365" s="255"/>
      <c r="M365" s="255" t="s">
        <v>34</v>
      </c>
      <c r="N365" s="254">
        <v>255173</v>
      </c>
      <c r="O365" s="254" t="s">
        <v>1321</v>
      </c>
      <c r="P365" s="258">
        <v>40415</v>
      </c>
      <c r="Q365" s="259">
        <v>200598727.78999999</v>
      </c>
      <c r="R365" s="259">
        <v>335982273.00142843</v>
      </c>
      <c r="S365" s="254">
        <v>3</v>
      </c>
      <c r="T365" s="256">
        <v>-2.3236761473670708E-2</v>
      </c>
      <c r="U365" s="256">
        <v>-0.300386150953034</v>
      </c>
      <c r="V365" s="256">
        <v>-0.20750930506090437</v>
      </c>
      <c r="W365" s="256">
        <v>-2.0342850457838293</v>
      </c>
      <c r="X365" s="256">
        <v>-0.18178576348990427</v>
      </c>
      <c r="Y365" s="256">
        <v>-1.3785144678457035</v>
      </c>
      <c r="Z365" s="256">
        <v>-0.20765629592358636</v>
      </c>
      <c r="AA365" s="256">
        <v>-1.1803857057634219</v>
      </c>
      <c r="AB365" s="256">
        <v>0.21530920805332507</v>
      </c>
      <c r="AC365" s="260">
        <v>-1.4231947998668795</v>
      </c>
      <c r="AD365" s="405">
        <v>0</v>
      </c>
      <c r="AE365" s="257" t="s">
        <v>2289</v>
      </c>
      <c r="AF365" s="257" t="s">
        <v>2115</v>
      </c>
      <c r="AG365" s="261" t="s">
        <v>719</v>
      </c>
      <c r="AH365" s="261" t="s">
        <v>2113</v>
      </c>
      <c r="AI365" s="261">
        <v>2500</v>
      </c>
      <c r="AJ365" s="261">
        <v>2500</v>
      </c>
      <c r="AK365" s="261">
        <v>2500</v>
      </c>
      <c r="AL365" s="256">
        <v>1.4999999999999999E-2</v>
      </c>
      <c r="AM365" s="256">
        <v>0.2</v>
      </c>
      <c r="AN365" s="256" t="s">
        <v>666</v>
      </c>
      <c r="AO365" s="254" t="s">
        <v>1324</v>
      </c>
      <c r="AP365" s="257" t="s">
        <v>716</v>
      </c>
      <c r="AQ365" s="263" t="s">
        <v>665</v>
      </c>
      <c r="AR365" s="256">
        <v>5.8500000000000002E-3</v>
      </c>
      <c r="AS365" s="256">
        <v>5.8500000000000002E-3</v>
      </c>
      <c r="AT365" s="256"/>
      <c r="AW365" s="508"/>
      <c r="AX365" s="508"/>
      <c r="AY365" s="509"/>
      <c r="AZ365" s="509"/>
      <c r="BA365" s="509"/>
      <c r="BB365" s="510"/>
      <c r="BC365" s="509"/>
      <c r="BD365" s="509"/>
      <c r="BE365" s="509"/>
      <c r="BF365" s="509"/>
      <c r="BG365" s="510"/>
      <c r="BH365" s="510"/>
      <c r="BI365" s="511"/>
      <c r="BJ365" s="511"/>
      <c r="BK365" s="511"/>
      <c r="BL365" s="195"/>
      <c r="BM365" s="510"/>
      <c r="BN365" s="510"/>
      <c r="BO365" s="510"/>
      <c r="BP365" s="510"/>
      <c r="BQ365" s="510"/>
      <c r="BR365" s="510"/>
      <c r="BS365" s="510"/>
      <c r="BT365" s="513"/>
      <c r="BU365" s="514"/>
      <c r="BV365" s="512"/>
      <c r="BW365" s="515"/>
    </row>
    <row r="366" spans="2:75" ht="15.75" customHeight="1">
      <c r="B366" s="250" t="s">
        <v>551</v>
      </c>
      <c r="C366" s="251">
        <v>13001237000139</v>
      </c>
      <c r="D366" s="252" t="s">
        <v>14</v>
      </c>
      <c r="E366" s="252" t="s">
        <v>607</v>
      </c>
      <c r="F366" s="252"/>
      <c r="G366" s="253"/>
      <c r="H366" s="253" t="s">
        <v>34</v>
      </c>
      <c r="I366" s="253" t="s">
        <v>34</v>
      </c>
      <c r="J366" s="253" t="s">
        <v>608</v>
      </c>
      <c r="K366" s="254" t="s">
        <v>48</v>
      </c>
      <c r="L366" s="255"/>
      <c r="M366" s="255" t="s">
        <v>1414</v>
      </c>
      <c r="N366" s="254">
        <v>372994</v>
      </c>
      <c r="O366" s="254" t="s">
        <v>1321</v>
      </c>
      <c r="P366" s="258">
        <v>40595</v>
      </c>
      <c r="Q366" s="259">
        <v>25376966.190000001</v>
      </c>
      <c r="R366" s="259">
        <v>26815706.384246029</v>
      </c>
      <c r="S366" s="254">
        <v>3</v>
      </c>
      <c r="T366" s="256">
        <v>2.0558805717368456E-2</v>
      </c>
      <c r="U366" s="256">
        <v>0.26576769420424678</v>
      </c>
      <c r="V366" s="256">
        <v>-5.3033302223194689E-2</v>
      </c>
      <c r="W366" s="256">
        <v>-0.51990369111165813</v>
      </c>
      <c r="X366" s="256">
        <v>0.10915874284274318</v>
      </c>
      <c r="Y366" s="256">
        <v>0.82777057681377264</v>
      </c>
      <c r="Z366" s="256">
        <v>0.150151111771061</v>
      </c>
      <c r="AA366" s="256">
        <v>0.85350759653473696</v>
      </c>
      <c r="AB366" s="256">
        <v>0.20302133646540613</v>
      </c>
      <c r="AC366" s="260">
        <v>-0.64553965356288823</v>
      </c>
      <c r="AD366" s="405">
        <v>0</v>
      </c>
      <c r="AE366" s="257" t="s">
        <v>2289</v>
      </c>
      <c r="AF366" s="257" t="s">
        <v>2289</v>
      </c>
      <c r="AG366" s="261" t="s">
        <v>719</v>
      </c>
      <c r="AH366" s="261" t="s">
        <v>2113</v>
      </c>
      <c r="AI366" s="261">
        <v>1000</v>
      </c>
      <c r="AJ366" s="261">
        <v>1000</v>
      </c>
      <c r="AK366" s="261">
        <v>1000</v>
      </c>
      <c r="AL366" s="256">
        <v>0.01</v>
      </c>
      <c r="AM366" s="256" t="s">
        <v>34</v>
      </c>
      <c r="AN366" s="256" t="s">
        <v>666</v>
      </c>
      <c r="AO366" s="254" t="s">
        <v>1324</v>
      </c>
      <c r="AP366" s="257" t="s">
        <v>716</v>
      </c>
      <c r="AQ366" s="263" t="s">
        <v>659</v>
      </c>
      <c r="AR366" s="256">
        <v>3.3333333333333331E-3</v>
      </c>
      <c r="AS366" s="256">
        <v>3.3333333333333331E-3</v>
      </c>
      <c r="AT366" s="256"/>
      <c r="AW366" s="508"/>
      <c r="AX366" s="508"/>
      <c r="AY366" s="509"/>
      <c r="AZ366" s="509"/>
      <c r="BA366" s="509"/>
      <c r="BB366" s="509"/>
      <c r="BC366" s="509"/>
      <c r="BD366" s="509"/>
      <c r="BE366" s="509"/>
      <c r="BF366" s="509"/>
      <c r="BG366" s="510"/>
      <c r="BH366" s="510"/>
      <c r="BI366" s="511"/>
      <c r="BJ366" s="511"/>
      <c r="BK366" s="511"/>
      <c r="BL366" s="195"/>
      <c r="BM366" s="510"/>
      <c r="BN366" s="510"/>
      <c r="BO366" s="510"/>
      <c r="BP366" s="510"/>
      <c r="BQ366" s="510"/>
      <c r="BR366" s="510"/>
      <c r="BS366" s="510"/>
      <c r="BT366" s="510"/>
      <c r="BU366" s="510"/>
      <c r="BV366" s="512"/>
      <c r="BW366" s="509"/>
    </row>
    <row r="367" spans="2:75" ht="15.75" customHeight="1">
      <c r="B367" s="250" t="s">
        <v>1205</v>
      </c>
      <c r="C367" s="251">
        <v>17797426000110</v>
      </c>
      <c r="D367" s="252" t="s">
        <v>14</v>
      </c>
      <c r="E367" s="252" t="s">
        <v>607</v>
      </c>
      <c r="F367" s="252"/>
      <c r="G367" s="253"/>
      <c r="H367" s="253" t="s">
        <v>34</v>
      </c>
      <c r="I367" s="253" t="s">
        <v>34</v>
      </c>
      <c r="J367" s="253" t="s">
        <v>608</v>
      </c>
      <c r="K367" s="254" t="s">
        <v>48</v>
      </c>
      <c r="L367" s="255"/>
      <c r="M367" s="255" t="s">
        <v>1414</v>
      </c>
      <c r="N367" s="254">
        <v>435430</v>
      </c>
      <c r="O367" s="254" t="s">
        <v>1321</v>
      </c>
      <c r="P367" s="258">
        <v>42766</v>
      </c>
      <c r="Q367" s="259">
        <v>14077225.789999999</v>
      </c>
      <c r="R367" s="259">
        <v>14972358.933055563</v>
      </c>
      <c r="S367" s="254">
        <v>3</v>
      </c>
      <c r="T367" s="256">
        <v>4.0975650176909184E-2</v>
      </c>
      <c r="U367" s="256">
        <v>0.52970022752036194</v>
      </c>
      <c r="V367" s="256">
        <v>-1.5075302354760511E-2</v>
      </c>
      <c r="W367" s="256">
        <v>-0.14778837089718988</v>
      </c>
      <c r="X367" s="256">
        <v>4.253479733137544E-2</v>
      </c>
      <c r="Y367" s="256">
        <v>0.32254909505849305</v>
      </c>
      <c r="Z367" s="256">
        <v>0.10456033302721179</v>
      </c>
      <c r="AA367" s="256">
        <v>0.59435483015935453</v>
      </c>
      <c r="AB367" s="256">
        <v>0.18352732540915331</v>
      </c>
      <c r="AC367" s="260">
        <v>-0.52055245527499916</v>
      </c>
      <c r="AD367" s="405">
        <v>0</v>
      </c>
      <c r="AE367" s="257" t="s">
        <v>2289</v>
      </c>
      <c r="AF367" s="257" t="s">
        <v>2289</v>
      </c>
      <c r="AG367" s="261" t="s">
        <v>719</v>
      </c>
      <c r="AH367" s="261" t="s">
        <v>2113</v>
      </c>
      <c r="AI367" s="261">
        <v>100</v>
      </c>
      <c r="AJ367" s="261">
        <v>100</v>
      </c>
      <c r="AK367" s="261">
        <v>100</v>
      </c>
      <c r="AL367" s="256">
        <v>1.2E-2</v>
      </c>
      <c r="AM367" s="256" t="s">
        <v>34</v>
      </c>
      <c r="AN367" s="256" t="s">
        <v>2122</v>
      </c>
      <c r="AO367" s="254" t="s">
        <v>1324</v>
      </c>
      <c r="AP367" s="257" t="s">
        <v>716</v>
      </c>
      <c r="AQ367" s="263" t="s">
        <v>659</v>
      </c>
      <c r="AR367" s="256" t="s">
        <v>34</v>
      </c>
      <c r="AS367" s="256" t="s">
        <v>34</v>
      </c>
      <c r="AT367" s="256"/>
      <c r="AW367" s="508"/>
      <c r="AX367" s="508"/>
      <c r="AY367" s="509"/>
      <c r="AZ367" s="509"/>
      <c r="BA367" s="509"/>
      <c r="BB367" s="509"/>
      <c r="BC367" s="509"/>
      <c r="BD367" s="509"/>
      <c r="BE367" s="509"/>
      <c r="BF367" s="509"/>
      <c r="BG367" s="510"/>
      <c r="BH367" s="510"/>
      <c r="BI367" s="511"/>
      <c r="BJ367" s="511"/>
      <c r="BK367" s="511"/>
      <c r="BL367" s="195"/>
      <c r="BM367" s="510"/>
      <c r="BN367" s="510"/>
      <c r="BO367" s="510"/>
      <c r="BP367" s="510"/>
      <c r="BQ367" s="510"/>
      <c r="BR367" s="510"/>
      <c r="BS367" s="510"/>
      <c r="BT367" s="510"/>
      <c r="BU367" s="510"/>
      <c r="BV367" s="512"/>
      <c r="BW367" s="509"/>
    </row>
    <row r="368" spans="2:75" ht="15.75" customHeight="1">
      <c r="B368" s="250" t="s">
        <v>408</v>
      </c>
      <c r="C368" s="251">
        <v>36492413000188</v>
      </c>
      <c r="D368" s="252" t="s">
        <v>14</v>
      </c>
      <c r="E368" s="252" t="s">
        <v>607</v>
      </c>
      <c r="F368" s="252"/>
      <c r="G368" s="253"/>
      <c r="H368" s="253" t="s">
        <v>34</v>
      </c>
      <c r="I368" s="253" t="s">
        <v>34</v>
      </c>
      <c r="J368" s="253" t="s">
        <v>608</v>
      </c>
      <c r="K368" s="254" t="s">
        <v>48</v>
      </c>
      <c r="L368" s="255"/>
      <c r="M368" s="255" t="s">
        <v>1414</v>
      </c>
      <c r="N368" s="254">
        <v>536830</v>
      </c>
      <c r="O368" s="254" t="s">
        <v>1321</v>
      </c>
      <c r="P368" s="258">
        <v>43938</v>
      </c>
      <c r="Q368" s="259">
        <v>145753010.94999999</v>
      </c>
      <c r="R368" s="259">
        <v>154767078.86511895</v>
      </c>
      <c r="S368" s="254">
        <v>3</v>
      </c>
      <c r="T368" s="256">
        <v>-8.1911802313621496E-2</v>
      </c>
      <c r="U368" s="256">
        <v>-1.0588898561658175</v>
      </c>
      <c r="V368" s="256">
        <v>-0.19253177157154056</v>
      </c>
      <c r="W368" s="256">
        <v>-1.8874551366807331</v>
      </c>
      <c r="X368" s="256">
        <v>-0.1503905644867608</v>
      </c>
      <c r="Y368" s="256">
        <v>-1.1404389705357516</v>
      </c>
      <c r="Z368" s="256" t="s">
        <v>1417</v>
      </c>
      <c r="AA368" s="256" t="s">
        <v>1417</v>
      </c>
      <c r="AB368" s="256">
        <v>0.20547425247186274</v>
      </c>
      <c r="AC368" s="260">
        <v>-1.4106686439403897</v>
      </c>
      <c r="AD368" s="405">
        <v>36247991000159</v>
      </c>
      <c r="AE368" s="257" t="s">
        <v>2415</v>
      </c>
      <c r="AF368" s="257" t="s">
        <v>2109</v>
      </c>
      <c r="AG368" s="261" t="s">
        <v>1432</v>
      </c>
      <c r="AH368" s="261" t="s">
        <v>2113</v>
      </c>
      <c r="AI368" s="261">
        <v>1000</v>
      </c>
      <c r="AJ368" s="261">
        <v>500</v>
      </c>
      <c r="AK368" s="261">
        <v>0</v>
      </c>
      <c r="AL368" s="256">
        <v>1.4999999999999999E-2</v>
      </c>
      <c r="AM368" s="256">
        <v>0.2</v>
      </c>
      <c r="AN368" s="256" t="s">
        <v>34</v>
      </c>
      <c r="AO368" s="254" t="s">
        <v>1324</v>
      </c>
      <c r="AP368" s="257" t="s">
        <v>716</v>
      </c>
      <c r="AQ368" s="263" t="s">
        <v>659</v>
      </c>
      <c r="AR368" s="256">
        <v>2.9999999999999996E-3</v>
      </c>
      <c r="AS368" s="256">
        <v>2.9999999999999996E-3</v>
      </c>
      <c r="AT368" s="256"/>
      <c r="AW368" s="508"/>
      <c r="AX368" s="508"/>
      <c r="AY368" s="509"/>
      <c r="AZ368" s="509"/>
      <c r="BA368" s="509"/>
      <c r="BB368" s="509"/>
      <c r="BC368" s="509"/>
      <c r="BD368" s="509"/>
      <c r="BE368" s="509"/>
      <c r="BF368" s="509"/>
      <c r="BG368" s="510"/>
      <c r="BH368" s="510"/>
      <c r="BI368" s="511"/>
      <c r="BJ368" s="511"/>
      <c r="BK368" s="511"/>
      <c r="BL368" s="195"/>
      <c r="BM368" s="510"/>
      <c r="BN368" s="510"/>
      <c r="BO368" s="510"/>
      <c r="BP368" s="510"/>
      <c r="BQ368" s="510"/>
      <c r="BR368" s="510"/>
      <c r="BS368" s="510"/>
      <c r="BT368" s="510"/>
      <c r="BU368" s="510"/>
      <c r="BV368" s="512"/>
      <c r="BW368" s="509"/>
    </row>
    <row r="369" spans="2:75" ht="15.75" customHeight="1">
      <c r="B369" s="250" t="s">
        <v>410</v>
      </c>
      <c r="C369" s="251">
        <v>31907986000101</v>
      </c>
      <c r="D369" s="252" t="s">
        <v>14</v>
      </c>
      <c r="E369" s="252" t="s">
        <v>607</v>
      </c>
      <c r="F369" s="252"/>
      <c r="G369" s="253"/>
      <c r="H369" s="253" t="s">
        <v>34</v>
      </c>
      <c r="I369" s="253" t="s">
        <v>34</v>
      </c>
      <c r="J369" s="253" t="s">
        <v>608</v>
      </c>
      <c r="K369" s="254" t="s">
        <v>48</v>
      </c>
      <c r="L369" s="255"/>
      <c r="M369" s="255" t="s">
        <v>1414</v>
      </c>
      <c r="N369" s="254">
        <v>483801</v>
      </c>
      <c r="O369" s="254" t="s">
        <v>1321</v>
      </c>
      <c r="P369" s="258">
        <v>43437</v>
      </c>
      <c r="Q369" s="259">
        <v>3380525.36</v>
      </c>
      <c r="R369" s="259">
        <v>3563162.4878174602</v>
      </c>
      <c r="S369" s="254">
        <v>3</v>
      </c>
      <c r="T369" s="256">
        <v>-0.10122891808369849</v>
      </c>
      <c r="U369" s="256">
        <v>-1.3086059820666851</v>
      </c>
      <c r="V369" s="256">
        <v>-0.23363635753065015</v>
      </c>
      <c r="W369" s="256">
        <v>-2.2904175219347844</v>
      </c>
      <c r="X369" s="256">
        <v>-0.13899838162785683</v>
      </c>
      <c r="Y369" s="256">
        <v>-1.0540499784064798</v>
      </c>
      <c r="Z369" s="256">
        <v>-0.13275185406062162</v>
      </c>
      <c r="AA369" s="256">
        <v>-0.75460457507347489</v>
      </c>
      <c r="AB369" s="256">
        <v>0.29455608446101861</v>
      </c>
      <c r="AC369" s="260">
        <v>-1.0855108376103244</v>
      </c>
      <c r="AD369" s="405">
        <v>0</v>
      </c>
      <c r="AE369" s="257" t="s">
        <v>2416</v>
      </c>
      <c r="AF369" s="257" t="s">
        <v>2109</v>
      </c>
      <c r="AG369" s="261" t="s">
        <v>1432</v>
      </c>
      <c r="AH369" s="261" t="s">
        <v>2113</v>
      </c>
      <c r="AI369" s="261">
        <v>1000</v>
      </c>
      <c r="AJ369" s="261">
        <v>1000</v>
      </c>
      <c r="AK369" s="261">
        <v>1000</v>
      </c>
      <c r="AL369" s="256">
        <v>0.02</v>
      </c>
      <c r="AM369" s="256">
        <v>0.2</v>
      </c>
      <c r="AN369" s="256" t="s">
        <v>34</v>
      </c>
      <c r="AO369" s="254" t="s">
        <v>1324</v>
      </c>
      <c r="AP369" s="257" t="s">
        <v>716</v>
      </c>
      <c r="AQ369" s="263" t="s">
        <v>659</v>
      </c>
      <c r="AR369" s="256">
        <v>2.6666666666666666E-3</v>
      </c>
      <c r="AS369" s="256">
        <v>2.6666666666666666E-3</v>
      </c>
      <c r="AT369" s="256"/>
      <c r="AW369" s="508"/>
      <c r="AX369" s="508"/>
      <c r="AY369" s="509"/>
      <c r="AZ369" s="509"/>
      <c r="BA369" s="509"/>
      <c r="BB369" s="509"/>
      <c r="BC369" s="509"/>
      <c r="BD369" s="509"/>
      <c r="BE369" s="509"/>
      <c r="BF369" s="509"/>
      <c r="BG369" s="510"/>
      <c r="BH369" s="510"/>
      <c r="BI369" s="511"/>
      <c r="BJ369" s="511"/>
      <c r="BK369" s="511"/>
      <c r="BL369" s="195"/>
      <c r="BM369" s="510"/>
      <c r="BN369" s="510"/>
      <c r="BO369" s="510"/>
      <c r="BP369" s="510"/>
      <c r="BQ369" s="510"/>
      <c r="BR369" s="510"/>
      <c r="BS369" s="510"/>
      <c r="BT369" s="510"/>
      <c r="BU369" s="510"/>
      <c r="BV369" s="512"/>
      <c r="BW369" s="509"/>
    </row>
    <row r="370" spans="2:75" ht="15.75" customHeight="1">
      <c r="B370" s="250" t="s">
        <v>1250</v>
      </c>
      <c r="C370" s="251">
        <v>37099014000114</v>
      </c>
      <c r="D370" s="252" t="s">
        <v>14</v>
      </c>
      <c r="E370" s="252" t="s">
        <v>607</v>
      </c>
      <c r="F370" s="252"/>
      <c r="G370" s="253"/>
      <c r="H370" s="253" t="s">
        <v>34</v>
      </c>
      <c r="I370" s="253" t="s">
        <v>34</v>
      </c>
      <c r="J370" s="253" t="s">
        <v>608</v>
      </c>
      <c r="K370" s="254" t="s">
        <v>48</v>
      </c>
      <c r="L370" s="255"/>
      <c r="M370" s="255" t="s">
        <v>34</v>
      </c>
      <c r="N370" s="254">
        <v>538108</v>
      </c>
      <c r="O370" s="254" t="s">
        <v>1321</v>
      </c>
      <c r="P370" s="258">
        <v>43978</v>
      </c>
      <c r="Q370" s="259">
        <v>2094731.01</v>
      </c>
      <c r="R370" s="259">
        <v>2487665.1694444446</v>
      </c>
      <c r="S370" s="254">
        <v>3</v>
      </c>
      <c r="T370" s="256">
        <v>5.2375191054474746E-2</v>
      </c>
      <c r="U370" s="256">
        <v>0.67706431742263529</v>
      </c>
      <c r="V370" s="256">
        <v>-8.1653068428957365E-2</v>
      </c>
      <c r="W370" s="256">
        <v>-0.80047309685047319</v>
      </c>
      <c r="X370" s="256">
        <v>-2.6542357214520695E-4</v>
      </c>
      <c r="Y370" s="256">
        <v>-2.0127551645691766E-3</v>
      </c>
      <c r="Z370" s="256" t="s">
        <v>1417</v>
      </c>
      <c r="AA370" s="256" t="s">
        <v>1417</v>
      </c>
      <c r="AB370" s="256">
        <v>0.20740309011264507</v>
      </c>
      <c r="AC370" s="260">
        <v>-0.7754194457668584</v>
      </c>
      <c r="AD370" s="405">
        <v>0</v>
      </c>
      <c r="AE370" s="257" t="s">
        <v>2427</v>
      </c>
      <c r="AF370" s="257" t="s">
        <v>2109</v>
      </c>
      <c r="AG370" s="261" t="s">
        <v>1432</v>
      </c>
      <c r="AH370" s="261" t="s">
        <v>2113</v>
      </c>
      <c r="AI370" s="261">
        <v>5000</v>
      </c>
      <c r="AJ370" s="261">
        <v>1000</v>
      </c>
      <c r="AK370" s="261">
        <v>1000</v>
      </c>
      <c r="AL370" s="256">
        <v>0.02</v>
      </c>
      <c r="AM370" s="256">
        <v>0.2</v>
      </c>
      <c r="AN370" s="256" t="s">
        <v>666</v>
      </c>
      <c r="AO370" s="254" t="s">
        <v>1324</v>
      </c>
      <c r="AP370" s="257" t="s">
        <v>716</v>
      </c>
      <c r="AQ370" s="263" t="s">
        <v>670</v>
      </c>
      <c r="AR370" s="256">
        <v>6.0000000000000001E-3</v>
      </c>
      <c r="AS370" s="256">
        <v>6.0000000000000001E-3</v>
      </c>
      <c r="AT370" s="256"/>
      <c r="AW370" s="508"/>
      <c r="AX370" s="508"/>
      <c r="AY370" s="509"/>
      <c r="AZ370" s="509"/>
      <c r="BA370" s="509"/>
      <c r="BB370" s="509"/>
      <c r="BC370" s="509"/>
      <c r="BD370" s="509"/>
      <c r="BE370" s="509"/>
      <c r="BF370" s="509"/>
      <c r="BG370" s="510"/>
      <c r="BH370" s="510"/>
      <c r="BI370" s="511"/>
      <c r="BJ370" s="511"/>
      <c r="BK370" s="511"/>
      <c r="BL370" s="195"/>
      <c r="BM370" s="510"/>
      <c r="BN370" s="510"/>
      <c r="BO370" s="510"/>
      <c r="BP370" s="510"/>
      <c r="BQ370" s="510"/>
      <c r="BR370" s="510"/>
      <c r="BS370" s="510"/>
      <c r="BT370" s="510"/>
      <c r="BU370" s="510"/>
      <c r="BV370" s="512"/>
      <c r="BW370" s="509"/>
    </row>
    <row r="371" spans="2:75" ht="15.75" customHeight="1">
      <c r="B371" s="250" t="s">
        <v>1276</v>
      </c>
      <c r="C371" s="251">
        <v>9087483000188</v>
      </c>
      <c r="D371" s="252" t="s">
        <v>14</v>
      </c>
      <c r="E371" s="252" t="s">
        <v>607</v>
      </c>
      <c r="F371" s="252"/>
      <c r="G371" s="253"/>
      <c r="H371" s="253" t="s">
        <v>34</v>
      </c>
      <c r="I371" s="253" t="s">
        <v>34</v>
      </c>
      <c r="J371" s="253" t="s">
        <v>608</v>
      </c>
      <c r="K371" s="254" t="s">
        <v>48</v>
      </c>
      <c r="L371" s="255"/>
      <c r="M371" s="255" t="s">
        <v>34</v>
      </c>
      <c r="N371" s="254">
        <v>251127</v>
      </c>
      <c r="O371" s="254" t="s">
        <v>1321</v>
      </c>
      <c r="P371" s="258">
        <v>40361</v>
      </c>
      <c r="Q371" s="259">
        <v>22503597.620000001</v>
      </c>
      <c r="R371" s="259">
        <v>27267896.511190478</v>
      </c>
      <c r="S371" s="254">
        <v>3</v>
      </c>
      <c r="T371" s="256">
        <v>5.5437086536175739E-2</v>
      </c>
      <c r="U371" s="256">
        <v>0.71664603793953285</v>
      </c>
      <c r="V371" s="256">
        <v>-8.0940417918649477E-2</v>
      </c>
      <c r="W371" s="256">
        <v>-0.79348673893479293</v>
      </c>
      <c r="X371" s="256">
        <v>-8.997800167860448E-3</v>
      </c>
      <c r="Y371" s="256">
        <v>-6.8231953218212155E-2</v>
      </c>
      <c r="Z371" s="256">
        <v>-5.0713500302912662E-2</v>
      </c>
      <c r="AA371" s="256">
        <v>-0.28827197644330027</v>
      </c>
      <c r="AB371" s="256">
        <v>0.17823388504786997</v>
      </c>
      <c r="AC371" s="260">
        <v>-0.92957496257878514</v>
      </c>
      <c r="AD371" s="405">
        <v>0</v>
      </c>
      <c r="AE371" s="257" t="s">
        <v>2306</v>
      </c>
      <c r="AF371" s="257" t="s">
        <v>728</v>
      </c>
      <c r="AG371" s="261" t="s">
        <v>728</v>
      </c>
      <c r="AH371" s="261" t="s">
        <v>2113</v>
      </c>
      <c r="AI371" s="261">
        <v>5000</v>
      </c>
      <c r="AJ371" s="261">
        <v>100</v>
      </c>
      <c r="AK371" s="261">
        <v>1000</v>
      </c>
      <c r="AL371" s="256">
        <v>0.02</v>
      </c>
      <c r="AM371" s="256" t="s">
        <v>34</v>
      </c>
      <c r="AN371" s="256" t="s">
        <v>2127</v>
      </c>
      <c r="AO371" s="254" t="s">
        <v>1324</v>
      </c>
      <c r="AP371" s="257" t="s">
        <v>716</v>
      </c>
      <c r="AQ371" s="263" t="s">
        <v>667</v>
      </c>
      <c r="AR371" s="256">
        <v>5.3333333333333332E-3</v>
      </c>
      <c r="AS371" s="256">
        <v>5.3333333333333332E-3</v>
      </c>
      <c r="AT371" s="256"/>
      <c r="AW371" s="508"/>
      <c r="AX371" s="508"/>
      <c r="AY371" s="509"/>
      <c r="AZ371" s="509"/>
      <c r="BA371" s="509"/>
      <c r="BB371" s="509"/>
      <c r="BC371" s="509"/>
      <c r="BD371" s="509"/>
      <c r="BE371" s="509"/>
      <c r="BF371" s="509"/>
      <c r="BG371" s="510"/>
      <c r="BH371" s="510"/>
      <c r="BI371" s="511"/>
      <c r="BJ371" s="511"/>
      <c r="BK371" s="511"/>
      <c r="BL371" s="195"/>
      <c r="BM371" s="510"/>
      <c r="BN371" s="510"/>
      <c r="BO371" s="510"/>
      <c r="BP371" s="510"/>
      <c r="BQ371" s="510"/>
      <c r="BR371" s="510"/>
      <c r="BS371" s="510"/>
      <c r="BT371" s="510"/>
      <c r="BU371" s="510"/>
      <c r="BV371" s="512"/>
      <c r="BW371" s="509"/>
    </row>
    <row r="372" spans="2:75" ht="15.75" customHeight="1">
      <c r="B372" s="250" t="s">
        <v>440</v>
      </c>
      <c r="C372" s="251">
        <v>9087523000191</v>
      </c>
      <c r="D372" s="252" t="s">
        <v>14</v>
      </c>
      <c r="E372" s="252" t="s">
        <v>607</v>
      </c>
      <c r="F372" s="252"/>
      <c r="G372" s="253"/>
      <c r="H372" s="253" t="s">
        <v>34</v>
      </c>
      <c r="I372" s="253" t="s">
        <v>34</v>
      </c>
      <c r="J372" s="253" t="s">
        <v>608</v>
      </c>
      <c r="K372" s="254" t="s">
        <v>48</v>
      </c>
      <c r="L372" s="255"/>
      <c r="M372" s="255" t="s">
        <v>34</v>
      </c>
      <c r="N372" s="254">
        <v>250686</v>
      </c>
      <c r="O372" s="254" t="s">
        <v>1321</v>
      </c>
      <c r="P372" s="258">
        <v>40354</v>
      </c>
      <c r="Q372" s="259">
        <v>79273710.5</v>
      </c>
      <c r="R372" s="259">
        <v>96534581.822698399</v>
      </c>
      <c r="S372" s="254">
        <v>3</v>
      </c>
      <c r="T372" s="256">
        <v>3.4351565795883721E-2</v>
      </c>
      <c r="U372" s="256">
        <v>0.44406939582899446</v>
      </c>
      <c r="V372" s="256">
        <v>-0.18102694009976172</v>
      </c>
      <c r="W372" s="256">
        <v>-1.7746693191462677</v>
      </c>
      <c r="X372" s="256">
        <v>-0.15458156526359934</v>
      </c>
      <c r="Y372" s="256">
        <v>-1.1722200907660238</v>
      </c>
      <c r="Z372" s="256">
        <v>-0.11291896218853059</v>
      </c>
      <c r="AA372" s="256">
        <v>-0.6418679880817546</v>
      </c>
      <c r="AB372" s="256">
        <v>0.21940472509667455</v>
      </c>
      <c r="AC372" s="260">
        <v>-1.2430161946288947</v>
      </c>
      <c r="AD372" s="405">
        <v>0</v>
      </c>
      <c r="AE372" s="257" t="s">
        <v>2306</v>
      </c>
      <c r="AF372" s="257" t="s">
        <v>728</v>
      </c>
      <c r="AG372" s="261" t="s">
        <v>728</v>
      </c>
      <c r="AH372" s="261" t="s">
        <v>2113</v>
      </c>
      <c r="AI372" s="261">
        <v>1000</v>
      </c>
      <c r="AJ372" s="261">
        <v>100</v>
      </c>
      <c r="AK372" s="261">
        <v>500</v>
      </c>
      <c r="AL372" s="256">
        <v>2.5000000000000001E-2</v>
      </c>
      <c r="AM372" s="256" t="s">
        <v>34</v>
      </c>
      <c r="AN372" s="256" t="s">
        <v>34</v>
      </c>
      <c r="AO372" s="254" t="s">
        <v>1324</v>
      </c>
      <c r="AP372" s="257" t="s">
        <v>716</v>
      </c>
      <c r="AQ372" s="263" t="s">
        <v>659</v>
      </c>
      <c r="AR372" s="256">
        <v>6.6666666666666671E-3</v>
      </c>
      <c r="AS372" s="256">
        <v>6.6666666666666671E-3</v>
      </c>
      <c r="AT372" s="256"/>
      <c r="AW372" s="508"/>
      <c r="AX372" s="508"/>
      <c r="AY372" s="509"/>
      <c r="AZ372" s="509"/>
      <c r="BA372" s="509"/>
      <c r="BB372" s="509"/>
      <c r="BC372" s="509"/>
      <c r="BD372" s="509"/>
      <c r="BE372" s="509"/>
      <c r="BF372" s="509"/>
      <c r="BG372" s="510"/>
      <c r="BH372" s="510"/>
      <c r="BI372" s="511"/>
      <c r="BJ372" s="511"/>
      <c r="BK372" s="511"/>
      <c r="BL372" s="195"/>
      <c r="BM372" s="510"/>
      <c r="BN372" s="510"/>
      <c r="BO372" s="510"/>
      <c r="BP372" s="510"/>
      <c r="BQ372" s="510"/>
      <c r="BR372" s="510"/>
      <c r="BS372" s="510"/>
      <c r="BT372" s="510"/>
      <c r="BU372" s="510"/>
      <c r="BV372" s="512"/>
      <c r="BW372" s="509"/>
    </row>
    <row r="373" spans="2:75" ht="15.75" customHeight="1">
      <c r="B373" s="250" t="s">
        <v>1112</v>
      </c>
      <c r="C373" s="251">
        <v>9601190000177</v>
      </c>
      <c r="D373" s="252" t="s">
        <v>14</v>
      </c>
      <c r="E373" s="252" t="s">
        <v>15</v>
      </c>
      <c r="F373" s="252" t="s">
        <v>699</v>
      </c>
      <c r="G373" s="253"/>
      <c r="H373" s="253" t="s">
        <v>34</v>
      </c>
      <c r="I373" s="253" t="s">
        <v>34</v>
      </c>
      <c r="J373" s="253" t="s">
        <v>611</v>
      </c>
      <c r="K373" s="254"/>
      <c r="L373" s="255"/>
      <c r="M373" s="255" t="s">
        <v>1414</v>
      </c>
      <c r="N373" s="254">
        <v>318396</v>
      </c>
      <c r="O373" s="254" t="s">
        <v>1321</v>
      </c>
      <c r="P373" s="258">
        <v>39660</v>
      </c>
      <c r="Q373" s="259">
        <v>124575161.98</v>
      </c>
      <c r="R373" s="259">
        <v>170450805.75535721</v>
      </c>
      <c r="S373" s="254">
        <v>4</v>
      </c>
      <c r="T373" s="256">
        <v>-0.14265145898425236</v>
      </c>
      <c r="U373" s="256">
        <v>-1.8440832531963445</v>
      </c>
      <c r="V373" s="256">
        <v>-6.7936424861587463E-2</v>
      </c>
      <c r="W373" s="256">
        <v>-0.66600412506504991</v>
      </c>
      <c r="X373" s="256">
        <v>-0.20811211663462503</v>
      </c>
      <c r="Y373" s="256">
        <v>-1.5781519862019102</v>
      </c>
      <c r="Z373" s="256">
        <v>0.19766145916078415</v>
      </c>
      <c r="AA373" s="256">
        <v>1.1235718133948909</v>
      </c>
      <c r="AB373" s="256">
        <v>0.16121815708580869</v>
      </c>
      <c r="AC373" s="260">
        <v>-0.95871560799267841</v>
      </c>
      <c r="AD373" s="405">
        <v>0</v>
      </c>
      <c r="AE373" s="257" t="s">
        <v>2349</v>
      </c>
      <c r="AF373" s="257" t="s">
        <v>2109</v>
      </c>
      <c r="AG373" s="261" t="s">
        <v>1432</v>
      </c>
      <c r="AH373" s="261" t="s">
        <v>2113</v>
      </c>
      <c r="AI373" s="261">
        <v>0</v>
      </c>
      <c r="AJ373" s="261">
        <v>0</v>
      </c>
      <c r="AK373" s="261">
        <v>0</v>
      </c>
      <c r="AL373" s="256">
        <v>6.0000000000000001E-3</v>
      </c>
      <c r="AM373" s="256" t="s">
        <v>34</v>
      </c>
      <c r="AN373" s="256" t="s">
        <v>2350</v>
      </c>
      <c r="AO373" s="254" t="s">
        <v>1324</v>
      </c>
      <c r="AP373" s="257" t="s">
        <v>13</v>
      </c>
      <c r="AQ373" s="263" t="s">
        <v>671</v>
      </c>
      <c r="AR373" s="256">
        <v>1.1999999999999999E-3</v>
      </c>
      <c r="AS373" s="256">
        <v>1.1999999999999999E-3</v>
      </c>
      <c r="AT373" s="256"/>
      <c r="AW373" s="508"/>
      <c r="AX373" s="508"/>
      <c r="AY373" s="509"/>
      <c r="AZ373" s="509"/>
      <c r="BA373" s="509"/>
      <c r="BB373" s="509"/>
      <c r="BC373" s="509"/>
      <c r="BD373" s="509"/>
      <c r="BE373" s="509"/>
      <c r="BF373" s="509"/>
      <c r="BG373" s="510"/>
      <c r="BH373" s="510"/>
      <c r="BI373" s="511"/>
      <c r="BJ373" s="511"/>
      <c r="BK373" s="511"/>
      <c r="BL373" s="195"/>
      <c r="BM373" s="510"/>
      <c r="BN373" s="510"/>
      <c r="BO373" s="510"/>
      <c r="BP373" s="510"/>
      <c r="BQ373" s="510"/>
      <c r="BR373" s="510"/>
      <c r="BS373" s="510"/>
      <c r="BT373" s="510"/>
      <c r="BU373" s="510"/>
      <c r="BV373" s="512"/>
      <c r="BW373" s="509"/>
    </row>
    <row r="374" spans="2:75" ht="15.75" customHeight="1">
      <c r="B374" s="250" t="s">
        <v>859</v>
      </c>
      <c r="C374" s="251">
        <v>41771697000181</v>
      </c>
      <c r="D374" s="252" t="s">
        <v>14</v>
      </c>
      <c r="E374" s="252" t="s">
        <v>15</v>
      </c>
      <c r="F374" s="252" t="s">
        <v>701</v>
      </c>
      <c r="G374" s="253"/>
      <c r="H374" s="253" t="s">
        <v>34</v>
      </c>
      <c r="I374" s="253" t="s">
        <v>34</v>
      </c>
      <c r="J374" s="253" t="s">
        <v>611</v>
      </c>
      <c r="K374" s="254" t="s">
        <v>49</v>
      </c>
      <c r="L374" s="255"/>
      <c r="M374" s="255" t="s">
        <v>34</v>
      </c>
      <c r="N374" s="254">
        <v>589421</v>
      </c>
      <c r="O374" s="254" t="s">
        <v>1321</v>
      </c>
      <c r="P374" s="258">
        <v>44329</v>
      </c>
      <c r="Q374" s="259">
        <v>5408156.8799999999</v>
      </c>
      <c r="R374" s="259">
        <v>10004022.569603171</v>
      </c>
      <c r="S374" s="254">
        <v>4</v>
      </c>
      <c r="T374" s="256">
        <v>-0.57917345552029087</v>
      </c>
      <c r="U374" s="256">
        <v>-7.4870883033781688</v>
      </c>
      <c r="V374" s="256">
        <v>-0.56615005870307544</v>
      </c>
      <c r="W374" s="256">
        <v>-5.5501636312225822</v>
      </c>
      <c r="X374" s="256" t="s">
        <v>1417</v>
      </c>
      <c r="Y374" s="256" t="s">
        <v>1417</v>
      </c>
      <c r="Z374" s="256" t="s">
        <v>1417</v>
      </c>
      <c r="AA374" s="256" t="s">
        <v>1417</v>
      </c>
      <c r="AB374" s="256">
        <v>0.58934259046747828</v>
      </c>
      <c r="AC374" s="260">
        <v>-1.2829378853585569</v>
      </c>
      <c r="AD374" s="405">
        <v>41673090000169</v>
      </c>
      <c r="AE374" s="257" t="s">
        <v>2144</v>
      </c>
      <c r="AF374" s="257" t="s">
        <v>2109</v>
      </c>
      <c r="AG374" s="261" t="s">
        <v>1432</v>
      </c>
      <c r="AH374" s="261" t="s">
        <v>2110</v>
      </c>
      <c r="AI374" s="261">
        <v>1000</v>
      </c>
      <c r="AJ374" s="261">
        <v>100</v>
      </c>
      <c r="AK374" s="261">
        <v>100</v>
      </c>
      <c r="AL374" s="256">
        <v>5.0000000000000001E-3</v>
      </c>
      <c r="AM374" s="256" t="s">
        <v>34</v>
      </c>
      <c r="AN374" s="256" t="s">
        <v>34</v>
      </c>
      <c r="AO374" s="254" t="s">
        <v>1324</v>
      </c>
      <c r="AP374" s="257" t="s">
        <v>13</v>
      </c>
      <c r="AQ374" s="263" t="s">
        <v>679</v>
      </c>
      <c r="AR374" s="256">
        <v>5.2499999999999995E-3</v>
      </c>
      <c r="AS374" s="256">
        <v>5.2499999999999995E-3</v>
      </c>
      <c r="AT374" s="256"/>
      <c r="AW374" s="508"/>
      <c r="AX374" s="508"/>
      <c r="AY374" s="509"/>
      <c r="AZ374" s="509"/>
      <c r="BA374" s="509"/>
      <c r="BB374" s="509"/>
      <c r="BC374" s="509"/>
      <c r="BD374" s="509"/>
      <c r="BE374" s="509"/>
      <c r="BF374" s="509"/>
      <c r="BG374" s="510"/>
      <c r="BH374" s="510"/>
      <c r="BI374" s="511"/>
      <c r="BJ374" s="511"/>
      <c r="BK374" s="511"/>
      <c r="BL374" s="195"/>
      <c r="BM374" s="510"/>
      <c r="BN374" s="510"/>
      <c r="BO374" s="510"/>
      <c r="BP374" s="510"/>
      <c r="BQ374" s="510"/>
      <c r="BR374" s="510"/>
      <c r="BS374" s="510"/>
      <c r="BT374" s="510"/>
      <c r="BU374" s="510"/>
      <c r="BV374" s="512"/>
      <c r="BW374" s="509"/>
    </row>
    <row r="375" spans="2:75" ht="15.75" customHeight="1">
      <c r="B375" s="250" t="s">
        <v>1525</v>
      </c>
      <c r="C375" s="251">
        <v>41673090000169</v>
      </c>
      <c r="D375" s="252" t="s">
        <v>14</v>
      </c>
      <c r="E375" s="252" t="s">
        <v>15</v>
      </c>
      <c r="F375" s="252" t="s">
        <v>701</v>
      </c>
      <c r="G375" s="253"/>
      <c r="H375" s="253" t="s">
        <v>34</v>
      </c>
      <c r="I375" s="253" t="s">
        <v>34</v>
      </c>
      <c r="J375" s="253" t="s">
        <v>611</v>
      </c>
      <c r="K375" s="254" t="s">
        <v>49</v>
      </c>
      <c r="L375" s="255"/>
      <c r="M375" s="255"/>
      <c r="N375" s="254">
        <v>589381</v>
      </c>
      <c r="O375" s="254" t="s">
        <v>1321</v>
      </c>
      <c r="P375" s="258">
        <v>44329</v>
      </c>
      <c r="Q375" s="259">
        <v>6374432.4900000002</v>
      </c>
      <c r="R375" s="259">
        <v>10628243.000992067</v>
      </c>
      <c r="S375" s="254">
        <v>4</v>
      </c>
      <c r="T375" s="256">
        <v>-0.5833931028475694</v>
      </c>
      <c r="U375" s="256">
        <v>-6.5619551702061454</v>
      </c>
      <c r="V375" s="256">
        <v>-0.55915631870843563</v>
      </c>
      <c r="W375" s="256">
        <v>-5.1317736499032192</v>
      </c>
      <c r="X375" s="256" t="s">
        <v>1417</v>
      </c>
      <c r="Y375" s="256" t="s">
        <v>1417</v>
      </c>
      <c r="Z375" s="256" t="s">
        <v>1417</v>
      </c>
      <c r="AA375" s="256" t="s">
        <v>1417</v>
      </c>
      <c r="AB375" s="256">
        <v>0.58948110569783685</v>
      </c>
      <c r="AC375" s="260">
        <v>-1.2664473345299925</v>
      </c>
      <c r="AD375" s="405">
        <v>0</v>
      </c>
      <c r="AE375" s="257" t="s">
        <v>2144</v>
      </c>
      <c r="AF375" s="257" t="s">
        <v>2109</v>
      </c>
      <c r="AG375" s="261" t="s">
        <v>1432</v>
      </c>
      <c r="AH375" s="261" t="s">
        <v>2170</v>
      </c>
      <c r="AI375" s="261">
        <v>1000</v>
      </c>
      <c r="AJ375" s="261">
        <v>100</v>
      </c>
      <c r="AK375" s="261">
        <v>100</v>
      </c>
      <c r="AL375" s="256">
        <v>0.01</v>
      </c>
      <c r="AM375" s="256" t="s">
        <v>34</v>
      </c>
      <c r="AN375" s="256" t="s">
        <v>34</v>
      </c>
      <c r="AO375" s="254" t="s">
        <v>1324</v>
      </c>
      <c r="AP375" s="257" t="s">
        <v>13</v>
      </c>
      <c r="AQ375" s="263" t="s">
        <v>679</v>
      </c>
      <c r="AR375" s="256" t="s">
        <v>34</v>
      </c>
      <c r="AS375" s="256" t="s">
        <v>34</v>
      </c>
      <c r="AT375" s="256"/>
      <c r="AW375" s="508"/>
      <c r="AX375" s="508"/>
      <c r="AY375" s="509"/>
      <c r="AZ375" s="509"/>
      <c r="BA375" s="509"/>
      <c r="BB375" s="509"/>
      <c r="BC375" s="509"/>
      <c r="BD375" s="509"/>
      <c r="BE375" s="509"/>
      <c r="BF375" s="509"/>
      <c r="BG375" s="510"/>
      <c r="BH375" s="510"/>
      <c r="BI375" s="511"/>
      <c r="BJ375" s="511"/>
      <c r="BK375" s="511"/>
      <c r="BL375" s="195"/>
      <c r="BM375" s="510"/>
      <c r="BN375" s="510"/>
      <c r="BO375" s="510"/>
      <c r="BP375" s="510"/>
      <c r="BQ375" s="510"/>
      <c r="BR375" s="510"/>
      <c r="BS375" s="510"/>
      <c r="BT375" s="510"/>
      <c r="BU375" s="510"/>
      <c r="BV375" s="512"/>
      <c r="BW375" s="509"/>
    </row>
    <row r="376" spans="2:75" ht="15.75" customHeight="1">
      <c r="B376" s="250" t="s">
        <v>463</v>
      </c>
      <c r="C376" s="251">
        <v>22232929000189</v>
      </c>
      <c r="D376" s="252" t="s">
        <v>13</v>
      </c>
      <c r="E376" s="252" t="s">
        <v>616</v>
      </c>
      <c r="F376" s="252" t="s">
        <v>617</v>
      </c>
      <c r="G376" s="253" t="s">
        <v>34</v>
      </c>
      <c r="H376" s="253" t="s">
        <v>1337</v>
      </c>
      <c r="I376" s="253" t="s">
        <v>34</v>
      </c>
      <c r="J376" s="253" t="s">
        <v>608</v>
      </c>
      <c r="K376" s="254" t="s">
        <v>48</v>
      </c>
      <c r="L376" s="255"/>
      <c r="M376" s="255" t="s">
        <v>1414</v>
      </c>
      <c r="N376" s="254">
        <v>400531</v>
      </c>
      <c r="O376" s="254" t="s">
        <v>1321</v>
      </c>
      <c r="P376" s="258">
        <v>42191</v>
      </c>
      <c r="Q376" s="259">
        <v>101476445.78</v>
      </c>
      <c r="R376" s="259">
        <v>100975083.49694449</v>
      </c>
      <c r="S376" s="254">
        <v>4</v>
      </c>
      <c r="T376" s="256">
        <v>8.9902572050221563E-2</v>
      </c>
      <c r="U376" s="256">
        <v>1.1621880962002153</v>
      </c>
      <c r="V376" s="256">
        <v>0.11621671294090308</v>
      </c>
      <c r="W376" s="256">
        <v>1.139312384745552</v>
      </c>
      <c r="X376" s="256">
        <v>0.16656391404993331</v>
      </c>
      <c r="Y376" s="256">
        <v>1.263084418332864</v>
      </c>
      <c r="Z376" s="256">
        <v>0.33779012818577625</v>
      </c>
      <c r="AA376" s="256">
        <v>1.9201085962026732</v>
      </c>
      <c r="AB376" s="256">
        <v>2.2606600383819335E-2</v>
      </c>
      <c r="AC376" s="260">
        <v>0.57821109393683534</v>
      </c>
      <c r="AD376" s="405">
        <v>0</v>
      </c>
      <c r="AE376" s="257" t="s">
        <v>2111</v>
      </c>
      <c r="AF376" s="257" t="s">
        <v>2112</v>
      </c>
      <c r="AG376" s="261" t="s">
        <v>59</v>
      </c>
      <c r="AH376" s="261" t="s">
        <v>2113</v>
      </c>
      <c r="AI376" s="261">
        <v>5000</v>
      </c>
      <c r="AJ376" s="261">
        <v>0</v>
      </c>
      <c r="AK376" s="261">
        <v>1000</v>
      </c>
      <c r="AL376" s="519">
        <v>1.4999999999999999E-2</v>
      </c>
      <c r="AM376" s="519">
        <v>0.2</v>
      </c>
      <c r="AN376" s="256" t="s">
        <v>64</v>
      </c>
      <c r="AO376" s="254" t="s">
        <v>1324</v>
      </c>
      <c r="AP376" s="257" t="s">
        <v>13</v>
      </c>
      <c r="AQ376" s="263" t="s">
        <v>668</v>
      </c>
      <c r="AR376" s="256">
        <v>2.9999999999999996E-3</v>
      </c>
      <c r="AS376" s="256">
        <v>2.9999999999999996E-3</v>
      </c>
      <c r="AT376" s="256"/>
      <c r="AW376" s="508"/>
      <c r="AX376" s="508"/>
      <c r="AY376" s="509"/>
      <c r="AZ376" s="509"/>
      <c r="BA376" s="509"/>
      <c r="BB376" s="509"/>
      <c r="BC376" s="509"/>
      <c r="BD376" s="509"/>
      <c r="BE376" s="509"/>
      <c r="BF376" s="509"/>
      <c r="BG376" s="510"/>
      <c r="BH376" s="510"/>
      <c r="BI376" s="511"/>
      <c r="BJ376" s="511"/>
      <c r="BK376" s="511"/>
      <c r="BL376" s="195"/>
      <c r="BM376" s="510"/>
      <c r="BN376" s="510"/>
      <c r="BO376" s="510"/>
      <c r="BP376" s="510"/>
      <c r="BQ376" s="510"/>
      <c r="BR376" s="510"/>
      <c r="BS376" s="510"/>
      <c r="BT376" s="510"/>
      <c r="BU376" s="510"/>
      <c r="BV376" s="512"/>
      <c r="BW376" s="509"/>
    </row>
    <row r="377" spans="2:75" ht="15.75" customHeight="1">
      <c r="B377" s="250" t="s">
        <v>903</v>
      </c>
      <c r="C377" s="251">
        <v>5488919000190</v>
      </c>
      <c r="D377" s="252" t="s">
        <v>13</v>
      </c>
      <c r="E377" s="252" t="s">
        <v>616</v>
      </c>
      <c r="F377" s="252" t="s">
        <v>617</v>
      </c>
      <c r="G377" s="253" t="s">
        <v>34</v>
      </c>
      <c r="H377" s="253" t="s">
        <v>1337</v>
      </c>
      <c r="I377" s="253" t="s">
        <v>34</v>
      </c>
      <c r="J377" s="253" t="s">
        <v>608</v>
      </c>
      <c r="K377" s="254" t="s">
        <v>48</v>
      </c>
      <c r="L377" s="255"/>
      <c r="M377" s="255" t="s">
        <v>34</v>
      </c>
      <c r="N377" s="254">
        <v>113190</v>
      </c>
      <c r="O377" s="254" t="s">
        <v>1321</v>
      </c>
      <c r="P377" s="258">
        <v>37649</v>
      </c>
      <c r="Q377" s="259">
        <v>20150380.699999999</v>
      </c>
      <c r="R377" s="259">
        <v>31211416.970873009</v>
      </c>
      <c r="S377" s="254">
        <v>4</v>
      </c>
      <c r="T377" s="256">
        <v>7.2555150127670665E-2</v>
      </c>
      <c r="U377" s="256">
        <v>0.93793458711385735</v>
      </c>
      <c r="V377" s="256">
        <v>7.8863936819528302E-2</v>
      </c>
      <c r="W377" s="256">
        <v>0.77313028096026903</v>
      </c>
      <c r="X377" s="256">
        <v>9.0518712564755521E-2</v>
      </c>
      <c r="Y377" s="256">
        <v>0.68641984105764176</v>
      </c>
      <c r="Z377" s="256">
        <v>0.18950077516041208</v>
      </c>
      <c r="AA377" s="256">
        <v>1.0771838399388096</v>
      </c>
      <c r="AB377" s="256">
        <v>2.3175174292694219E-2</v>
      </c>
      <c r="AC377" s="260">
        <v>-0.90461530887663277</v>
      </c>
      <c r="AD377" s="405">
        <v>12219403000105</v>
      </c>
      <c r="AE377" s="257" t="s">
        <v>2209</v>
      </c>
      <c r="AF377" s="257" t="s">
        <v>2118</v>
      </c>
      <c r="AG377" s="261" t="s">
        <v>1433</v>
      </c>
      <c r="AH377" s="261" t="s">
        <v>2113</v>
      </c>
      <c r="AI377" s="261">
        <v>1000</v>
      </c>
      <c r="AJ377" s="261">
        <v>1</v>
      </c>
      <c r="AK377" s="261">
        <v>1000</v>
      </c>
      <c r="AL377" s="256">
        <v>1.4999999999999999E-2</v>
      </c>
      <c r="AM377" s="256">
        <v>0.2</v>
      </c>
      <c r="AN377" s="256" t="s">
        <v>64</v>
      </c>
      <c r="AO377" s="254" t="s">
        <v>1324</v>
      </c>
      <c r="AP377" s="257" t="s">
        <v>13</v>
      </c>
      <c r="AQ377" s="263" t="s">
        <v>664</v>
      </c>
      <c r="AR377" s="256">
        <v>4.9999999999999992E-3</v>
      </c>
      <c r="AS377" s="256">
        <v>4.9999999999999992E-3</v>
      </c>
      <c r="AT377" s="256"/>
      <c r="AW377" s="508"/>
      <c r="AX377" s="508"/>
      <c r="AY377" s="509"/>
      <c r="AZ377" s="509"/>
      <c r="BA377" s="509"/>
      <c r="BB377" s="509"/>
      <c r="BC377" s="509"/>
      <c r="BD377" s="509"/>
      <c r="BE377" s="509"/>
      <c r="BF377" s="509"/>
      <c r="BG377" s="510"/>
      <c r="BH377" s="510"/>
      <c r="BI377" s="511"/>
      <c r="BJ377" s="511"/>
      <c r="BK377" s="511"/>
      <c r="BL377" s="195"/>
      <c r="BM377" s="510"/>
      <c r="BN377" s="510"/>
      <c r="BO377" s="510"/>
      <c r="BP377" s="510"/>
      <c r="BQ377" s="510"/>
      <c r="BR377" s="510"/>
      <c r="BS377" s="510"/>
      <c r="BT377" s="510"/>
      <c r="BU377" s="510"/>
      <c r="BV377" s="512"/>
      <c r="BW377" s="509"/>
    </row>
    <row r="378" spans="2:75" ht="15.75" customHeight="1">
      <c r="B378" s="250" t="s">
        <v>1690</v>
      </c>
      <c r="C378" s="251">
        <v>22654439000170</v>
      </c>
      <c r="D378" s="252" t="s">
        <v>13</v>
      </c>
      <c r="E378" s="252" t="s">
        <v>616</v>
      </c>
      <c r="F378" s="252" t="s">
        <v>617</v>
      </c>
      <c r="G378" s="253" t="s">
        <v>34</v>
      </c>
      <c r="H378" s="253" t="s">
        <v>1337</v>
      </c>
      <c r="I378" s="253" t="s">
        <v>34</v>
      </c>
      <c r="J378" s="253" t="s">
        <v>608</v>
      </c>
      <c r="K378" s="254" t="s">
        <v>48</v>
      </c>
      <c r="L378" s="255"/>
      <c r="M378" s="255"/>
      <c r="N378" s="254">
        <v>418439</v>
      </c>
      <c r="O378" s="254" t="s">
        <v>1321</v>
      </c>
      <c r="P378" s="258">
        <v>42382</v>
      </c>
      <c r="Q378" s="259">
        <v>18555099.719999999</v>
      </c>
      <c r="R378" s="259">
        <v>29245687.020595253</v>
      </c>
      <c r="S378" s="254">
        <v>4</v>
      </c>
      <c r="T378" s="256">
        <v>0.11155606115163441</v>
      </c>
      <c r="U378" s="256">
        <v>1.2547729286972154</v>
      </c>
      <c r="V378" s="256">
        <v>7.2116910542065593E-2</v>
      </c>
      <c r="W378" s="256">
        <v>0.66186797653837648</v>
      </c>
      <c r="X378" s="256">
        <v>3.7306993412265621E-2</v>
      </c>
      <c r="Y378" s="256">
        <v>0.26233495995014122</v>
      </c>
      <c r="Z378" s="256">
        <v>0.12034507533198946</v>
      </c>
      <c r="AA378" s="256">
        <v>0.65763332879744163</v>
      </c>
      <c r="AB378" s="256">
        <v>4.3199346862699078E-2</v>
      </c>
      <c r="AC378" s="260">
        <v>-0.76089805924767218</v>
      </c>
      <c r="AD378" s="405">
        <v>13608337000128</v>
      </c>
      <c r="AE378" s="257" t="s">
        <v>2318</v>
      </c>
      <c r="AF378" s="257" t="s">
        <v>2318</v>
      </c>
      <c r="AG378" s="261" t="s">
        <v>1436</v>
      </c>
      <c r="AH378" s="261" t="s">
        <v>2319</v>
      </c>
      <c r="AI378" s="261">
        <v>5000</v>
      </c>
      <c r="AJ378" s="261">
        <v>5000</v>
      </c>
      <c r="AK378" s="261">
        <v>0</v>
      </c>
      <c r="AL378" s="256">
        <v>0</v>
      </c>
      <c r="AM378" s="256" t="s">
        <v>34</v>
      </c>
      <c r="AN378" s="256" t="s">
        <v>64</v>
      </c>
      <c r="AO378" s="254" t="s">
        <v>1324</v>
      </c>
      <c r="AP378" s="257" t="s">
        <v>13</v>
      </c>
      <c r="AQ378" s="263" t="s">
        <v>674</v>
      </c>
      <c r="AR378" s="256" t="s">
        <v>34</v>
      </c>
      <c r="AS378" s="256" t="s">
        <v>34</v>
      </c>
      <c r="AT378" s="256"/>
      <c r="AW378" s="508"/>
      <c r="AX378" s="508"/>
      <c r="AY378" s="509"/>
      <c r="AZ378" s="509"/>
      <c r="BA378" s="509"/>
      <c r="BB378" s="509"/>
      <c r="BC378" s="509"/>
      <c r="BD378" s="509"/>
      <c r="BE378" s="509"/>
      <c r="BF378" s="509"/>
      <c r="BG378" s="510"/>
      <c r="BH378" s="510"/>
      <c r="BI378" s="511"/>
      <c r="BJ378" s="511"/>
      <c r="BK378" s="511"/>
      <c r="BL378" s="195"/>
      <c r="BM378" s="510"/>
      <c r="BN378" s="510"/>
      <c r="BO378" s="510"/>
      <c r="BP378" s="510"/>
      <c r="BQ378" s="510"/>
      <c r="BR378" s="510"/>
      <c r="BS378" s="510"/>
      <c r="BT378" s="510"/>
      <c r="BU378" s="510"/>
      <c r="BV378" s="512"/>
      <c r="BW378" s="509"/>
    </row>
    <row r="379" spans="2:75" ht="15.75" customHeight="1">
      <c r="B379" s="250" t="s">
        <v>1388</v>
      </c>
      <c r="C379" s="251">
        <v>33824969000136</v>
      </c>
      <c r="D379" s="252" t="s">
        <v>13</v>
      </c>
      <c r="E379" s="252" t="s">
        <v>615</v>
      </c>
      <c r="F379" s="252" t="s">
        <v>619</v>
      </c>
      <c r="G379" s="253" t="s">
        <v>34</v>
      </c>
      <c r="H379" s="253" t="s">
        <v>1337</v>
      </c>
      <c r="I379" s="253" t="s">
        <v>34</v>
      </c>
      <c r="J379" s="253"/>
      <c r="K379" s="254" t="s">
        <v>48</v>
      </c>
      <c r="L379" s="255"/>
      <c r="M379" s="255" t="s">
        <v>1414</v>
      </c>
      <c r="N379" s="254">
        <v>505234</v>
      </c>
      <c r="O379" s="254" t="s">
        <v>1321</v>
      </c>
      <c r="P379" s="258">
        <v>43699</v>
      </c>
      <c r="Q379" s="259">
        <v>1706605.54</v>
      </c>
      <c r="R379" s="259">
        <v>1603647.2507142865</v>
      </c>
      <c r="S379" s="254">
        <v>4</v>
      </c>
      <c r="T379" s="256">
        <v>8.5750695670646415E-2</v>
      </c>
      <c r="U379" s="256">
        <v>1.1085159798725357</v>
      </c>
      <c r="V379" s="256">
        <v>8.0449292430016417E-2</v>
      </c>
      <c r="W379" s="256">
        <v>0.78867206695255931</v>
      </c>
      <c r="X379" s="256">
        <v>0.11251317601348632</v>
      </c>
      <c r="Y379" s="256">
        <v>0.85320785291569223</v>
      </c>
      <c r="Z379" s="256">
        <v>0.16497217414537357</v>
      </c>
      <c r="AA379" s="256">
        <v>0.93775531988478811</v>
      </c>
      <c r="AB379" s="256">
        <v>3.6336521993351238E-2</v>
      </c>
      <c r="AC379" s="260">
        <v>-0.52579208978987191</v>
      </c>
      <c r="AD379" s="405">
        <v>9605786000145</v>
      </c>
      <c r="AE379" s="257" t="s">
        <v>2169</v>
      </c>
      <c r="AF379" s="257" t="s">
        <v>2169</v>
      </c>
      <c r="AG379" s="261" t="s">
        <v>1435</v>
      </c>
      <c r="AH379" s="261" t="s">
        <v>2113</v>
      </c>
      <c r="AI379" s="261">
        <v>200</v>
      </c>
      <c r="AJ379" s="261">
        <v>100</v>
      </c>
      <c r="AK379" s="261">
        <v>200</v>
      </c>
      <c r="AL379" s="256">
        <v>0.01</v>
      </c>
      <c r="AM379" s="256" t="s">
        <v>34</v>
      </c>
      <c r="AN379" s="256" t="s">
        <v>64</v>
      </c>
      <c r="AO379" s="254" t="s">
        <v>1324</v>
      </c>
      <c r="AP379" s="257" t="s">
        <v>13</v>
      </c>
      <c r="AQ379" s="263" t="s">
        <v>668</v>
      </c>
      <c r="AR379" s="256">
        <v>3.3333333333333331E-3</v>
      </c>
      <c r="AS379" s="256">
        <v>3.3333333333333331E-3</v>
      </c>
      <c r="AT379" s="256"/>
      <c r="AW379" s="508"/>
      <c r="AX379" s="508"/>
      <c r="AY379" s="509"/>
      <c r="AZ379" s="509"/>
      <c r="BA379" s="509"/>
      <c r="BB379" s="509"/>
      <c r="BC379" s="509"/>
      <c r="BD379" s="509"/>
      <c r="BE379" s="509"/>
      <c r="BF379" s="509"/>
      <c r="BG379" s="510"/>
      <c r="BH379" s="510"/>
      <c r="BI379" s="511"/>
      <c r="BJ379" s="511"/>
      <c r="BK379" s="511"/>
      <c r="BL379" s="195"/>
      <c r="BM379" s="510"/>
      <c r="BN379" s="510"/>
      <c r="BO379" s="510"/>
      <c r="BP379" s="510"/>
      <c r="BQ379" s="510"/>
      <c r="BR379" s="510"/>
      <c r="BS379" s="510"/>
      <c r="BT379" s="510"/>
      <c r="BU379" s="510"/>
      <c r="BV379" s="512"/>
      <c r="BW379" s="509"/>
    </row>
    <row r="380" spans="2:75" ht="15.75" customHeight="1">
      <c r="B380" s="250" t="s">
        <v>938</v>
      </c>
      <c r="C380" s="251">
        <v>19038997000105</v>
      </c>
      <c r="D380" s="252" t="s">
        <v>13</v>
      </c>
      <c r="E380" s="252" t="s">
        <v>615</v>
      </c>
      <c r="F380" s="252" t="s">
        <v>619</v>
      </c>
      <c r="G380" s="253" t="s">
        <v>34</v>
      </c>
      <c r="H380" s="253" t="s">
        <v>1337</v>
      </c>
      <c r="I380" s="253" t="s">
        <v>34</v>
      </c>
      <c r="J380" s="253"/>
      <c r="K380" s="254" t="s">
        <v>48</v>
      </c>
      <c r="L380" s="255"/>
      <c r="M380" s="255" t="s">
        <v>1414</v>
      </c>
      <c r="N380" s="254">
        <v>360600</v>
      </c>
      <c r="O380" s="254" t="s">
        <v>1321</v>
      </c>
      <c r="P380" s="258">
        <v>41600</v>
      </c>
      <c r="Q380" s="259">
        <v>58867262.369999997</v>
      </c>
      <c r="R380" s="259">
        <v>58116649.713888898</v>
      </c>
      <c r="S380" s="254">
        <v>4</v>
      </c>
      <c r="T380" s="256">
        <v>5.4730361733146049E-2</v>
      </c>
      <c r="U380" s="256">
        <v>0.70751006847125419</v>
      </c>
      <c r="V380" s="256">
        <v>5.6123809017974313E-2</v>
      </c>
      <c r="W380" s="256">
        <v>0.55020099153714153</v>
      </c>
      <c r="X380" s="256">
        <v>0.10959729281700925</v>
      </c>
      <c r="Y380" s="256">
        <v>0.83109618093586179</v>
      </c>
      <c r="Z380" s="256">
        <v>0.15853570829105879</v>
      </c>
      <c r="AA380" s="256">
        <v>0.90116836134218137</v>
      </c>
      <c r="AB380" s="256">
        <v>4.3369317036012371E-2</v>
      </c>
      <c r="AC380" s="260">
        <v>-0.95931226599073016</v>
      </c>
      <c r="AD380" s="405">
        <v>0</v>
      </c>
      <c r="AE380" s="257" t="s">
        <v>2245</v>
      </c>
      <c r="AF380" s="257" t="s">
        <v>2115</v>
      </c>
      <c r="AG380" s="261" t="s">
        <v>719</v>
      </c>
      <c r="AH380" s="261" t="s">
        <v>2113</v>
      </c>
      <c r="AI380" s="261">
        <v>1000</v>
      </c>
      <c r="AJ380" s="261">
        <v>500</v>
      </c>
      <c r="AK380" s="261">
        <v>500</v>
      </c>
      <c r="AL380" s="256">
        <v>8.5000000000000006E-3</v>
      </c>
      <c r="AM380" s="256">
        <v>0.2</v>
      </c>
      <c r="AN380" s="256" t="s">
        <v>64</v>
      </c>
      <c r="AO380" s="254" t="s">
        <v>1324</v>
      </c>
      <c r="AP380" s="257" t="s">
        <v>13</v>
      </c>
      <c r="AQ380" s="263" t="s">
        <v>686</v>
      </c>
      <c r="AR380" s="256">
        <v>2.6503E-3</v>
      </c>
      <c r="AS380" s="256">
        <v>2.6503E-3</v>
      </c>
      <c r="AT380" s="256"/>
      <c r="AW380" s="508"/>
      <c r="AX380" s="508"/>
      <c r="AY380" s="509"/>
      <c r="AZ380" s="509"/>
      <c r="BA380" s="509"/>
      <c r="BB380" s="509"/>
      <c r="BC380" s="509"/>
      <c r="BD380" s="509"/>
      <c r="BE380" s="509"/>
      <c r="BF380" s="509"/>
      <c r="BG380" s="510"/>
      <c r="BH380" s="510"/>
      <c r="BI380" s="511"/>
      <c r="BJ380" s="511"/>
      <c r="BK380" s="511"/>
      <c r="BL380" s="195"/>
      <c r="BM380" s="510"/>
      <c r="BN380" s="510"/>
      <c r="BO380" s="510"/>
      <c r="BP380" s="510"/>
      <c r="BQ380" s="510"/>
      <c r="BR380" s="510"/>
      <c r="BS380" s="510"/>
      <c r="BT380" s="510"/>
      <c r="BU380" s="510"/>
      <c r="BV380" s="512"/>
      <c r="BW380" s="509"/>
    </row>
    <row r="381" spans="2:75" ht="15.75" customHeight="1">
      <c r="B381" s="250" t="s">
        <v>1606</v>
      </c>
      <c r="C381" s="251">
        <v>37829233000101</v>
      </c>
      <c r="D381" s="252" t="s">
        <v>13</v>
      </c>
      <c r="E381" s="252" t="s">
        <v>615</v>
      </c>
      <c r="F381" s="252" t="s">
        <v>619</v>
      </c>
      <c r="G381" s="253" t="s">
        <v>34</v>
      </c>
      <c r="H381" s="253" t="s">
        <v>1337</v>
      </c>
      <c r="I381" s="253" t="s">
        <v>34</v>
      </c>
      <c r="J381" s="253" t="s">
        <v>611</v>
      </c>
      <c r="K381" s="254" t="s">
        <v>48</v>
      </c>
      <c r="L381" s="255"/>
      <c r="M381" s="255"/>
      <c r="N381" s="254">
        <v>587771</v>
      </c>
      <c r="O381" s="254" t="s">
        <v>1321</v>
      </c>
      <c r="P381" s="258">
        <v>44236</v>
      </c>
      <c r="Q381" s="259">
        <v>186625302.77000001</v>
      </c>
      <c r="R381" s="259">
        <v>86640671.4724603</v>
      </c>
      <c r="S381" s="254">
        <v>4</v>
      </c>
      <c r="T381" s="256">
        <v>0.15806177462763982</v>
      </c>
      <c r="U381" s="256">
        <v>1.7778651721578558</v>
      </c>
      <c r="V381" s="256">
        <v>0.17633834883812494</v>
      </c>
      <c r="W381" s="256">
        <v>1.6183819475118799</v>
      </c>
      <c r="X381" s="256" t="s">
        <v>1417</v>
      </c>
      <c r="Y381" s="256" t="s">
        <v>1417</v>
      </c>
      <c r="Z381" s="256" t="s">
        <v>1417</v>
      </c>
      <c r="AA381" s="256" t="s">
        <v>1417</v>
      </c>
      <c r="AB381" s="256">
        <v>4.1343919390951736E-2</v>
      </c>
      <c r="AC381" s="260">
        <v>1.4479800027451046</v>
      </c>
      <c r="AD381" s="405">
        <v>37368165000120</v>
      </c>
      <c r="AE381" s="257" t="s">
        <v>2305</v>
      </c>
      <c r="AF381" s="257" t="s">
        <v>2118</v>
      </c>
      <c r="AG381" s="261" t="s">
        <v>1433</v>
      </c>
      <c r="AH381" s="261" t="s">
        <v>2119</v>
      </c>
      <c r="AI381" s="261">
        <v>500</v>
      </c>
      <c r="AJ381" s="261">
        <v>100</v>
      </c>
      <c r="AK381" s="261">
        <v>100</v>
      </c>
      <c r="AL381" s="256">
        <v>1.95E-2</v>
      </c>
      <c r="AM381" s="256">
        <v>0.2</v>
      </c>
      <c r="AN381" s="256" t="s">
        <v>34</v>
      </c>
      <c r="AO381" s="254" t="s">
        <v>1321</v>
      </c>
      <c r="AP381" s="257" t="s">
        <v>13</v>
      </c>
      <c r="AQ381" s="263" t="s">
        <v>2177</v>
      </c>
      <c r="AR381" s="256" t="s">
        <v>34</v>
      </c>
      <c r="AS381" s="256" t="s">
        <v>34</v>
      </c>
      <c r="AT381" s="256"/>
      <c r="AW381" s="508"/>
      <c r="AX381" s="508"/>
      <c r="AY381" s="509"/>
      <c r="AZ381" s="509"/>
      <c r="BA381" s="509"/>
      <c r="BB381" s="509"/>
      <c r="BC381" s="509"/>
      <c r="BD381" s="509"/>
      <c r="BE381" s="509"/>
      <c r="BF381" s="509"/>
      <c r="BG381" s="510"/>
      <c r="BH381" s="510"/>
      <c r="BI381" s="511"/>
      <c r="BJ381" s="511"/>
      <c r="BK381" s="511"/>
      <c r="BL381" s="195"/>
      <c r="BM381" s="510"/>
      <c r="BN381" s="510"/>
      <c r="BO381" s="510"/>
      <c r="BP381" s="510"/>
      <c r="BQ381" s="510"/>
      <c r="BR381" s="510"/>
      <c r="BS381" s="510"/>
      <c r="BT381" s="510"/>
      <c r="BU381" s="510"/>
      <c r="BV381" s="512"/>
      <c r="BW381" s="509"/>
    </row>
    <row r="382" spans="2:75" ht="15.75" customHeight="1">
      <c r="B382" s="250" t="s">
        <v>1607</v>
      </c>
      <c r="C382" s="251">
        <v>37367841000141</v>
      </c>
      <c r="D382" s="252" t="s">
        <v>13</v>
      </c>
      <c r="E382" s="252" t="s">
        <v>615</v>
      </c>
      <c r="F382" s="252" t="s">
        <v>619</v>
      </c>
      <c r="G382" s="253" t="s">
        <v>34</v>
      </c>
      <c r="H382" s="253" t="s">
        <v>1337</v>
      </c>
      <c r="I382" s="253" t="s">
        <v>34</v>
      </c>
      <c r="J382" s="253" t="s">
        <v>611</v>
      </c>
      <c r="K382" s="254" t="s">
        <v>48</v>
      </c>
      <c r="L382" s="255"/>
      <c r="M382" s="255"/>
      <c r="N382" s="254">
        <v>562033</v>
      </c>
      <c r="O382" s="254" t="s">
        <v>1321</v>
      </c>
      <c r="P382" s="258">
        <v>44161</v>
      </c>
      <c r="Q382" s="259">
        <v>80069662.159999996</v>
      </c>
      <c r="R382" s="259">
        <v>38431091.079444453</v>
      </c>
      <c r="S382" s="254">
        <v>4</v>
      </c>
      <c r="T382" s="256">
        <v>0.15878443039063583</v>
      </c>
      <c r="U382" s="256">
        <v>1.7859935416862662</v>
      </c>
      <c r="V382" s="256">
        <v>0.17701944636952649</v>
      </c>
      <c r="W382" s="256">
        <v>1.6246328620553014</v>
      </c>
      <c r="X382" s="256" t="s">
        <v>1417</v>
      </c>
      <c r="Y382" s="256" t="s">
        <v>1417</v>
      </c>
      <c r="Z382" s="256" t="s">
        <v>1417</v>
      </c>
      <c r="AA382" s="256" t="s">
        <v>1417</v>
      </c>
      <c r="AB382" s="256">
        <v>4.1891637910041031E-2</v>
      </c>
      <c r="AC382" s="260">
        <v>1.4434155902782912</v>
      </c>
      <c r="AD382" s="405">
        <v>37368165000120</v>
      </c>
      <c r="AE382" s="257" t="s">
        <v>2305</v>
      </c>
      <c r="AF382" s="257" t="s">
        <v>2118</v>
      </c>
      <c r="AG382" s="261" t="s">
        <v>1433</v>
      </c>
      <c r="AH382" s="261" t="s">
        <v>2119</v>
      </c>
      <c r="AI382" s="261">
        <v>500</v>
      </c>
      <c r="AJ382" s="261">
        <v>100</v>
      </c>
      <c r="AK382" s="261">
        <v>100</v>
      </c>
      <c r="AL382" s="256">
        <v>1.95E-2</v>
      </c>
      <c r="AM382" s="256">
        <v>0.2</v>
      </c>
      <c r="AN382" s="256" t="s">
        <v>34</v>
      </c>
      <c r="AO382" s="254" t="s">
        <v>1321</v>
      </c>
      <c r="AP382" s="257" t="s">
        <v>13</v>
      </c>
      <c r="AQ382" s="263" t="s">
        <v>2177</v>
      </c>
      <c r="AR382" s="256" t="s">
        <v>34</v>
      </c>
      <c r="AS382" s="256" t="s">
        <v>34</v>
      </c>
      <c r="AT382" s="256"/>
      <c r="AW382" s="508"/>
      <c r="AX382" s="508"/>
      <c r="AY382" s="509"/>
      <c r="AZ382" s="509"/>
      <c r="BA382" s="509"/>
      <c r="BB382" s="509"/>
      <c r="BC382" s="509"/>
      <c r="BD382" s="509"/>
      <c r="BE382" s="509"/>
      <c r="BF382" s="509"/>
      <c r="BG382" s="510"/>
      <c r="BH382" s="510"/>
      <c r="BI382" s="511"/>
      <c r="BJ382" s="511"/>
      <c r="BK382" s="511"/>
      <c r="BL382" s="195"/>
      <c r="BM382" s="510"/>
      <c r="BN382" s="510"/>
      <c r="BO382" s="510"/>
      <c r="BP382" s="510"/>
      <c r="BQ382" s="510"/>
      <c r="BR382" s="510"/>
      <c r="BS382" s="510"/>
      <c r="BT382" s="510"/>
      <c r="BU382" s="510"/>
      <c r="BV382" s="512"/>
      <c r="BW382" s="509"/>
    </row>
    <row r="383" spans="2:75" ht="15.75" customHeight="1">
      <c r="B383" s="250" t="s">
        <v>311</v>
      </c>
      <c r="C383" s="251">
        <v>35726270000169</v>
      </c>
      <c r="D383" s="252" t="s">
        <v>13</v>
      </c>
      <c r="E383" s="252" t="s">
        <v>615</v>
      </c>
      <c r="F383" s="252" t="s">
        <v>619</v>
      </c>
      <c r="G383" s="253" t="s">
        <v>34</v>
      </c>
      <c r="H383" s="253" t="s">
        <v>1337</v>
      </c>
      <c r="I383" s="253" t="s">
        <v>34</v>
      </c>
      <c r="J383" s="253"/>
      <c r="K383" s="254" t="s">
        <v>48</v>
      </c>
      <c r="L383" s="255"/>
      <c r="M383" s="255" t="s">
        <v>34</v>
      </c>
      <c r="N383" s="254">
        <v>528846</v>
      </c>
      <c r="O383" s="254" t="s">
        <v>1321</v>
      </c>
      <c r="P383" s="258">
        <v>43889</v>
      </c>
      <c r="Q383" s="259">
        <v>18776165.379999999</v>
      </c>
      <c r="R383" s="259">
        <v>17813739.521111116</v>
      </c>
      <c r="S383" s="254">
        <v>4</v>
      </c>
      <c r="T383" s="256">
        <v>7.1648325164728632E-2</v>
      </c>
      <c r="U383" s="256">
        <v>0.92621188382256892</v>
      </c>
      <c r="V383" s="256">
        <v>9.7402436501366374E-2</v>
      </c>
      <c r="W383" s="256">
        <v>0.95486956567794834</v>
      </c>
      <c r="X383" s="256">
        <v>0.11126432662771357</v>
      </c>
      <c r="Y383" s="256">
        <v>0.84373760115671137</v>
      </c>
      <c r="Z383" s="256" t="s">
        <v>1417</v>
      </c>
      <c r="AA383" s="256" t="s">
        <v>1417</v>
      </c>
      <c r="AB383" s="256">
        <v>1.1243088129209487E-2</v>
      </c>
      <c r="AC383" s="260">
        <v>-0.36698432600267383</v>
      </c>
      <c r="AD383" s="405">
        <v>0</v>
      </c>
      <c r="AE383" s="257" t="s">
        <v>2335</v>
      </c>
      <c r="AF383" s="257" t="s">
        <v>2109</v>
      </c>
      <c r="AG383" s="261" t="s">
        <v>1432</v>
      </c>
      <c r="AH383" s="261" t="s">
        <v>2113</v>
      </c>
      <c r="AI383" s="261">
        <v>30</v>
      </c>
      <c r="AJ383" s="261">
        <v>30</v>
      </c>
      <c r="AK383" s="261">
        <v>30</v>
      </c>
      <c r="AL383" s="256">
        <v>1.4999999999999999E-2</v>
      </c>
      <c r="AM383" s="256">
        <v>0.2</v>
      </c>
      <c r="AN383" s="256" t="s">
        <v>34</v>
      </c>
      <c r="AO383" s="254" t="s">
        <v>1324</v>
      </c>
      <c r="AP383" s="257" t="s">
        <v>13</v>
      </c>
      <c r="AQ383" s="263" t="s">
        <v>664</v>
      </c>
      <c r="AR383" s="256">
        <v>5.3333333333333332E-3</v>
      </c>
      <c r="AS383" s="256">
        <v>5.3333333333333332E-3</v>
      </c>
      <c r="AT383" s="256"/>
      <c r="AW383" s="508"/>
      <c r="AX383" s="508"/>
      <c r="AY383" s="509"/>
      <c r="AZ383" s="509"/>
      <c r="BA383" s="509"/>
      <c r="BB383" s="509"/>
      <c r="BC383" s="509"/>
      <c r="BD383" s="509"/>
      <c r="BE383" s="509"/>
      <c r="BF383" s="509"/>
      <c r="BG383" s="510"/>
      <c r="BH383" s="510"/>
      <c r="BI383" s="511"/>
      <c r="BJ383" s="511"/>
      <c r="BK383" s="511"/>
      <c r="BL383" s="195"/>
      <c r="BM383" s="510"/>
      <c r="BN383" s="510"/>
      <c r="BO383" s="510"/>
      <c r="BP383" s="510"/>
      <c r="BQ383" s="510"/>
      <c r="BR383" s="510"/>
      <c r="BS383" s="510"/>
      <c r="BT383" s="510"/>
      <c r="BU383" s="510"/>
      <c r="BV383" s="512"/>
      <c r="BW383" s="509"/>
    </row>
    <row r="384" spans="2:75" ht="15.75" customHeight="1">
      <c r="B384" s="250" t="s">
        <v>352</v>
      </c>
      <c r="C384" s="251">
        <v>17155131000140</v>
      </c>
      <c r="D384" s="252" t="s">
        <v>13</v>
      </c>
      <c r="E384" s="252" t="s">
        <v>615</v>
      </c>
      <c r="F384" s="252" t="s">
        <v>619</v>
      </c>
      <c r="G384" s="253" t="s">
        <v>34</v>
      </c>
      <c r="H384" s="253" t="s">
        <v>1338</v>
      </c>
      <c r="I384" s="253" t="s">
        <v>34</v>
      </c>
      <c r="J384" s="253"/>
      <c r="K384" s="254" t="s">
        <v>48</v>
      </c>
      <c r="L384" s="255"/>
      <c r="M384" s="255" t="s">
        <v>34</v>
      </c>
      <c r="N384" s="254">
        <v>386278</v>
      </c>
      <c r="O384" s="254" t="s">
        <v>1321</v>
      </c>
      <c r="P384" s="258">
        <v>41269</v>
      </c>
      <c r="Q384" s="259">
        <v>61993222.350000001</v>
      </c>
      <c r="R384" s="259">
        <v>92906936.276587233</v>
      </c>
      <c r="S384" s="254">
        <v>4</v>
      </c>
      <c r="T384" s="256">
        <v>6.8097836959517544E-3</v>
      </c>
      <c r="U384" s="256">
        <v>8.8031402980466009E-2</v>
      </c>
      <c r="V384" s="256">
        <v>-3.1830323647685899E-2</v>
      </c>
      <c r="W384" s="256">
        <v>-0.31204360392389152</v>
      </c>
      <c r="X384" s="256">
        <v>3.453717460603456E-2</v>
      </c>
      <c r="Y384" s="256">
        <v>0.26190166907969098</v>
      </c>
      <c r="Z384" s="256">
        <v>0.14284666939234159</v>
      </c>
      <c r="AA384" s="256">
        <v>0.81198677803961306</v>
      </c>
      <c r="AB384" s="256">
        <v>8.8067816560702256E-2</v>
      </c>
      <c r="AC384" s="260">
        <v>-1.4265864358337881</v>
      </c>
      <c r="AD384" s="405">
        <v>0</v>
      </c>
      <c r="AE384" s="257" t="s">
        <v>2377</v>
      </c>
      <c r="AF384" s="257" t="s">
        <v>2115</v>
      </c>
      <c r="AG384" s="261" t="s">
        <v>719</v>
      </c>
      <c r="AH384" s="261" t="s">
        <v>2113</v>
      </c>
      <c r="AI384" s="261">
        <v>10000</v>
      </c>
      <c r="AJ384" s="261">
        <v>1000</v>
      </c>
      <c r="AK384" s="261">
        <v>10000</v>
      </c>
      <c r="AL384" s="256">
        <v>0.02</v>
      </c>
      <c r="AM384" s="256">
        <v>0.2</v>
      </c>
      <c r="AN384" s="256" t="s">
        <v>64</v>
      </c>
      <c r="AO384" s="254" t="s">
        <v>1324</v>
      </c>
      <c r="AP384" s="257" t="s">
        <v>13</v>
      </c>
      <c r="AQ384" s="263" t="s">
        <v>678</v>
      </c>
      <c r="AR384" s="256">
        <v>6.0000000000000001E-3</v>
      </c>
      <c r="AS384" s="256">
        <v>6.0000000000000001E-3</v>
      </c>
      <c r="AT384" s="256"/>
      <c r="AW384" s="508"/>
      <c r="AX384" s="508"/>
      <c r="AY384" s="509"/>
      <c r="AZ384" s="509"/>
      <c r="BA384" s="509"/>
      <c r="BB384" s="509"/>
      <c r="BC384" s="509"/>
      <c r="BD384" s="509"/>
      <c r="BE384" s="509"/>
      <c r="BF384" s="509"/>
      <c r="BG384" s="510"/>
      <c r="BH384" s="510"/>
      <c r="BI384" s="511"/>
      <c r="BJ384" s="511"/>
      <c r="BK384" s="511"/>
      <c r="BL384" s="195"/>
      <c r="BM384" s="510"/>
      <c r="BN384" s="510"/>
      <c r="BO384" s="510"/>
      <c r="BP384" s="510"/>
      <c r="BQ384" s="510"/>
      <c r="BR384" s="510"/>
      <c r="BS384" s="510"/>
      <c r="BT384" s="510"/>
      <c r="BU384" s="510"/>
      <c r="BV384" s="512"/>
      <c r="BW384" s="509"/>
    </row>
    <row r="385" spans="2:75" ht="15.75" customHeight="1">
      <c r="B385" s="250" t="s">
        <v>379</v>
      </c>
      <c r="C385" s="251">
        <v>7552643000197</v>
      </c>
      <c r="D385" s="252" t="s">
        <v>13</v>
      </c>
      <c r="E385" s="252" t="s">
        <v>615</v>
      </c>
      <c r="F385" s="252" t="s">
        <v>619</v>
      </c>
      <c r="G385" s="253" t="s">
        <v>34</v>
      </c>
      <c r="H385" s="253" t="s">
        <v>1338</v>
      </c>
      <c r="I385" s="253" t="s">
        <v>34</v>
      </c>
      <c r="J385" s="253"/>
      <c r="K385" s="254" t="s">
        <v>48</v>
      </c>
      <c r="L385" s="255"/>
      <c r="M385" s="255" t="s">
        <v>34</v>
      </c>
      <c r="N385" s="254">
        <v>160253</v>
      </c>
      <c r="O385" s="254" t="s">
        <v>1321</v>
      </c>
      <c r="P385" s="258">
        <v>38644</v>
      </c>
      <c r="Q385" s="259">
        <v>62476183.460000001</v>
      </c>
      <c r="R385" s="259">
        <v>62884290.630952351</v>
      </c>
      <c r="S385" s="254">
        <v>4</v>
      </c>
      <c r="T385" s="256">
        <v>7.7188445461813915E-2</v>
      </c>
      <c r="U385" s="256">
        <v>0.99783010023124896</v>
      </c>
      <c r="V385" s="256">
        <v>0.13920771019283573</v>
      </c>
      <c r="W385" s="256">
        <v>1.3647010336234253</v>
      </c>
      <c r="X385" s="256">
        <v>0.3607737904204551</v>
      </c>
      <c r="Y385" s="256">
        <v>2.735813191123468</v>
      </c>
      <c r="Z385" s="256">
        <v>0.37326990538937999</v>
      </c>
      <c r="AA385" s="256">
        <v>2.1217871519552798</v>
      </c>
      <c r="AB385" s="256">
        <v>0.1937875536367436</v>
      </c>
      <c r="AC385" s="260">
        <v>0.26796273699240886</v>
      </c>
      <c r="AD385" s="405">
        <v>44836341000177</v>
      </c>
      <c r="AE385" s="257" t="s">
        <v>2398</v>
      </c>
      <c r="AF385" s="257" t="s">
        <v>2118</v>
      </c>
      <c r="AG385" s="261" t="s">
        <v>1433</v>
      </c>
      <c r="AH385" s="261" t="s">
        <v>2113</v>
      </c>
      <c r="AI385" s="261">
        <v>1000</v>
      </c>
      <c r="AJ385" s="261">
        <v>100</v>
      </c>
      <c r="AK385" s="261">
        <v>100</v>
      </c>
      <c r="AL385" s="256">
        <v>0.02</v>
      </c>
      <c r="AM385" s="256">
        <v>0.2</v>
      </c>
      <c r="AN385" s="256" t="s">
        <v>64</v>
      </c>
      <c r="AO385" s="254" t="s">
        <v>1324</v>
      </c>
      <c r="AP385" s="257" t="s">
        <v>13</v>
      </c>
      <c r="AQ385" s="263" t="s">
        <v>664</v>
      </c>
      <c r="AR385" s="256">
        <v>5.0000000000000001E-3</v>
      </c>
      <c r="AS385" s="256">
        <v>5.0000000000000001E-3</v>
      </c>
      <c r="AT385" s="256"/>
      <c r="AW385" s="508"/>
      <c r="AX385" s="508"/>
      <c r="AY385" s="509"/>
      <c r="AZ385" s="509"/>
      <c r="BA385" s="509"/>
      <c r="BB385" s="509"/>
      <c r="BC385" s="509"/>
      <c r="BD385" s="509"/>
      <c r="BE385" s="509"/>
      <c r="BF385" s="509"/>
      <c r="BG385" s="510"/>
      <c r="BH385" s="510"/>
      <c r="BI385" s="511"/>
      <c r="BJ385" s="511"/>
      <c r="BK385" s="511"/>
      <c r="BL385" s="195"/>
      <c r="BM385" s="510"/>
      <c r="BN385" s="510"/>
      <c r="BO385" s="510"/>
      <c r="BP385" s="510"/>
      <c r="BQ385" s="510"/>
      <c r="BR385" s="510"/>
      <c r="BS385" s="510"/>
      <c r="BT385" s="510"/>
      <c r="BU385" s="510"/>
      <c r="BV385" s="512"/>
      <c r="BW385" s="509"/>
    </row>
    <row r="386" spans="2:75" ht="15.75" customHeight="1">
      <c r="B386" s="250" t="s">
        <v>1194</v>
      </c>
      <c r="C386" s="251">
        <v>14180011000105</v>
      </c>
      <c r="D386" s="252" t="s">
        <v>13</v>
      </c>
      <c r="E386" s="252" t="s">
        <v>616</v>
      </c>
      <c r="F386" s="252" t="s">
        <v>619</v>
      </c>
      <c r="G386" s="253" t="s">
        <v>34</v>
      </c>
      <c r="H386" s="253" t="s">
        <v>1337</v>
      </c>
      <c r="I386" s="253" t="s">
        <v>34</v>
      </c>
      <c r="J386" s="253"/>
      <c r="K386" s="254" t="s">
        <v>48</v>
      </c>
      <c r="L386" s="255"/>
      <c r="M386" s="255" t="s">
        <v>1414</v>
      </c>
      <c r="N386" s="254">
        <v>298875</v>
      </c>
      <c r="O386" s="254" t="s">
        <v>1321</v>
      </c>
      <c r="P386" s="258">
        <v>40968</v>
      </c>
      <c r="Q386" s="259">
        <v>87913046.189999998</v>
      </c>
      <c r="R386" s="259">
        <v>93224606.216587335</v>
      </c>
      <c r="S386" s="254">
        <v>4</v>
      </c>
      <c r="T386" s="256">
        <v>8.0008120965840313E-2</v>
      </c>
      <c r="U386" s="256">
        <v>1.0342805958199204</v>
      </c>
      <c r="V386" s="256">
        <v>0.11091972597330613</v>
      </c>
      <c r="W386" s="256">
        <v>1.0873842007408314</v>
      </c>
      <c r="X386" s="256">
        <v>0.14356280447654113</v>
      </c>
      <c r="Y386" s="256">
        <v>1.0886628260436177</v>
      </c>
      <c r="Z386" s="256">
        <v>0.2537524218422591</v>
      </c>
      <c r="AA386" s="256">
        <v>1.4424110293081238</v>
      </c>
      <c r="AB386" s="256">
        <v>6.3581173062287211E-3</v>
      </c>
      <c r="AC386" s="260">
        <v>1.2705436424780994</v>
      </c>
      <c r="AD386" s="405">
        <v>14083541000135</v>
      </c>
      <c r="AE386" s="257" t="s">
        <v>2398</v>
      </c>
      <c r="AF386" s="257" t="s">
        <v>2118</v>
      </c>
      <c r="AG386" s="261" t="s">
        <v>1433</v>
      </c>
      <c r="AH386" s="261" t="s">
        <v>2113</v>
      </c>
      <c r="AI386" s="261">
        <v>5000</v>
      </c>
      <c r="AJ386" s="261">
        <v>3000</v>
      </c>
      <c r="AK386" s="261">
        <v>5000</v>
      </c>
      <c r="AL386" s="256">
        <v>0.02</v>
      </c>
      <c r="AM386" s="256">
        <v>0.2</v>
      </c>
      <c r="AN386" s="256" t="s">
        <v>64</v>
      </c>
      <c r="AO386" s="254" t="s">
        <v>1324</v>
      </c>
      <c r="AP386" s="257" t="s">
        <v>13</v>
      </c>
      <c r="AQ386" s="263" t="s">
        <v>668</v>
      </c>
      <c r="AR386" s="256" t="s">
        <v>34</v>
      </c>
      <c r="AS386" s="256" t="s">
        <v>34</v>
      </c>
      <c r="AT386" s="256"/>
      <c r="AW386" s="508"/>
      <c r="AX386" s="508"/>
      <c r="AY386" s="509"/>
      <c r="AZ386" s="509"/>
      <c r="BA386" s="509"/>
      <c r="BB386" s="509"/>
      <c r="BC386" s="509"/>
      <c r="BD386" s="509"/>
      <c r="BE386" s="509"/>
      <c r="BF386" s="509"/>
      <c r="BG386" s="510"/>
      <c r="BH386" s="510"/>
      <c r="BI386" s="511"/>
      <c r="BJ386" s="511"/>
      <c r="BK386" s="511"/>
      <c r="BL386" s="195"/>
      <c r="BM386" s="510"/>
      <c r="BN386" s="510"/>
      <c r="BO386" s="510"/>
      <c r="BP386" s="510"/>
      <c r="BQ386" s="510"/>
      <c r="BR386" s="510"/>
      <c r="BS386" s="510"/>
      <c r="BT386" s="510"/>
      <c r="BU386" s="510"/>
      <c r="BV386" s="512"/>
      <c r="BW386" s="509"/>
    </row>
    <row r="387" spans="2:75" ht="15.75" customHeight="1">
      <c r="B387" s="250" t="s">
        <v>542</v>
      </c>
      <c r="C387" s="251">
        <v>29562681000163</v>
      </c>
      <c r="D387" s="252" t="s">
        <v>13</v>
      </c>
      <c r="E387" s="252" t="s">
        <v>615</v>
      </c>
      <c r="F387" s="252" t="s">
        <v>619</v>
      </c>
      <c r="G387" s="253" t="s">
        <v>34</v>
      </c>
      <c r="H387" s="253" t="s">
        <v>1338</v>
      </c>
      <c r="I387" s="253" t="s">
        <v>34</v>
      </c>
      <c r="J387" s="253"/>
      <c r="K387" s="254" t="s">
        <v>48</v>
      </c>
      <c r="L387" s="255"/>
      <c r="M387" s="255" t="s">
        <v>1414</v>
      </c>
      <c r="N387" s="254">
        <v>477461</v>
      </c>
      <c r="O387" s="254" t="s">
        <v>1321</v>
      </c>
      <c r="P387" s="258">
        <v>43392</v>
      </c>
      <c r="Q387" s="259">
        <v>10218200.16</v>
      </c>
      <c r="R387" s="259">
        <v>7421501.6461111093</v>
      </c>
      <c r="S387" s="254">
        <v>4</v>
      </c>
      <c r="T387" s="256">
        <v>0.19953596935499207</v>
      </c>
      <c r="U387" s="256">
        <v>2.5794404215554501</v>
      </c>
      <c r="V387" s="256">
        <v>0.22828768556420775</v>
      </c>
      <c r="W387" s="256">
        <v>2.2379826521204236</v>
      </c>
      <c r="X387" s="256">
        <v>0.23671507318728779</v>
      </c>
      <c r="Y387" s="256">
        <v>1.7950534017695681</v>
      </c>
      <c r="Z387" s="256">
        <v>0.25640973620821739</v>
      </c>
      <c r="AA387" s="256">
        <v>1.4575160656343578</v>
      </c>
      <c r="AB387" s="256">
        <v>7.6321849313561105E-2</v>
      </c>
      <c r="AC387" s="260">
        <v>1.4602890455596764</v>
      </c>
      <c r="AD387" s="405">
        <v>0</v>
      </c>
      <c r="AE387" s="257" t="s">
        <v>2419</v>
      </c>
      <c r="AF387" s="257" t="s">
        <v>2109</v>
      </c>
      <c r="AG387" s="261" t="s">
        <v>1432</v>
      </c>
      <c r="AH387" s="261" t="s">
        <v>2113</v>
      </c>
      <c r="AI387" s="261">
        <v>5000</v>
      </c>
      <c r="AJ387" s="261">
        <v>1000</v>
      </c>
      <c r="AK387" s="261">
        <v>5000</v>
      </c>
      <c r="AL387" s="256">
        <v>0.02</v>
      </c>
      <c r="AM387" s="256">
        <v>0.2</v>
      </c>
      <c r="AN387" s="256" t="s">
        <v>34</v>
      </c>
      <c r="AO387" s="254" t="s">
        <v>1324</v>
      </c>
      <c r="AP387" s="257" t="s">
        <v>13</v>
      </c>
      <c r="AQ387" s="263" t="s">
        <v>668</v>
      </c>
      <c r="AR387" s="256">
        <v>2.666E-3</v>
      </c>
      <c r="AS387" s="256">
        <v>2.666E-3</v>
      </c>
      <c r="AT387" s="256"/>
      <c r="AW387" s="508"/>
      <c r="AX387" s="508"/>
      <c r="AY387" s="509"/>
      <c r="AZ387" s="509"/>
      <c r="BA387" s="509"/>
      <c r="BB387" s="509"/>
      <c r="BC387" s="509"/>
      <c r="BD387" s="509"/>
      <c r="BE387" s="509"/>
      <c r="BF387" s="509"/>
      <c r="BG387" s="510"/>
      <c r="BH387" s="510"/>
      <c r="BI387" s="511"/>
      <c r="BJ387" s="511"/>
      <c r="BK387" s="511"/>
      <c r="BL387" s="195"/>
      <c r="BM387" s="510"/>
      <c r="BN387" s="510"/>
      <c r="BO387" s="510"/>
      <c r="BP387" s="510"/>
      <c r="BQ387" s="510"/>
      <c r="BR387" s="510"/>
      <c r="BS387" s="510"/>
      <c r="BT387" s="510"/>
      <c r="BU387" s="510"/>
      <c r="BV387" s="512"/>
      <c r="BW387" s="509"/>
    </row>
    <row r="388" spans="2:75" ht="15.75" customHeight="1">
      <c r="B388" s="250" t="s">
        <v>329</v>
      </c>
      <c r="C388" s="251">
        <v>24140265000153</v>
      </c>
      <c r="D388" s="252" t="s">
        <v>13</v>
      </c>
      <c r="E388" s="252" t="s">
        <v>616</v>
      </c>
      <c r="F388" s="252" t="s">
        <v>610</v>
      </c>
      <c r="G388" s="253" t="s">
        <v>34</v>
      </c>
      <c r="H388" s="253" t="s">
        <v>1337</v>
      </c>
      <c r="I388" s="253" t="s">
        <v>34</v>
      </c>
      <c r="J388" s="253"/>
      <c r="K388" s="254" t="s">
        <v>48</v>
      </c>
      <c r="L388" s="255"/>
      <c r="M388" s="255" t="s">
        <v>34</v>
      </c>
      <c r="N388" s="254">
        <v>418803</v>
      </c>
      <c r="O388" s="254" t="s">
        <v>1321</v>
      </c>
      <c r="P388" s="258">
        <v>42528</v>
      </c>
      <c r="Q388" s="259">
        <v>136220835.22</v>
      </c>
      <c r="R388" s="259">
        <v>193615616.95527789</v>
      </c>
      <c r="S388" s="254">
        <v>4</v>
      </c>
      <c r="T388" s="256">
        <v>3.3693634583066068E-2</v>
      </c>
      <c r="U388" s="256">
        <v>0.43556419062498647</v>
      </c>
      <c r="V388" s="256">
        <v>5.230326101969518E-2</v>
      </c>
      <c r="W388" s="256">
        <v>0.51274684625282552</v>
      </c>
      <c r="X388" s="256">
        <v>7.6119581016614202E-2</v>
      </c>
      <c r="Y388" s="256">
        <v>0.57722861077393106</v>
      </c>
      <c r="Z388" s="256">
        <v>0.16688403753486769</v>
      </c>
      <c r="AA388" s="256">
        <v>0.9486229711943428</v>
      </c>
      <c r="AB388" s="256">
        <v>4.4216449300098992E-2</v>
      </c>
      <c r="AC388" s="260">
        <v>-1.0220803511706851</v>
      </c>
      <c r="AD388" s="405">
        <v>28078762000120</v>
      </c>
      <c r="AE388" s="257" t="s">
        <v>2356</v>
      </c>
      <c r="AF388" s="257" t="s">
        <v>2109</v>
      </c>
      <c r="AG388" s="261" t="s">
        <v>1432</v>
      </c>
      <c r="AH388" s="261" t="s">
        <v>2113</v>
      </c>
      <c r="AI388" s="261">
        <v>500</v>
      </c>
      <c r="AJ388" s="261">
        <v>100</v>
      </c>
      <c r="AK388" s="261">
        <v>500</v>
      </c>
      <c r="AL388" s="256">
        <v>1.3999999999999999E-2</v>
      </c>
      <c r="AM388" s="256">
        <v>0.2</v>
      </c>
      <c r="AN388" s="256" t="s">
        <v>34</v>
      </c>
      <c r="AO388" s="254" t="s">
        <v>1324</v>
      </c>
      <c r="AP388" s="257" t="s">
        <v>13</v>
      </c>
      <c r="AQ388" s="263" t="s">
        <v>664</v>
      </c>
      <c r="AR388" s="256">
        <v>4.6666666666666662E-3</v>
      </c>
      <c r="AS388" s="256">
        <v>4.6666666666666662E-3</v>
      </c>
      <c r="AT388" s="256"/>
      <c r="AW388" s="508"/>
      <c r="AX388" s="508"/>
      <c r="AY388" s="509"/>
      <c r="AZ388" s="509"/>
      <c r="BA388" s="509"/>
      <c r="BB388" s="509"/>
      <c r="BC388" s="509"/>
      <c r="BD388" s="509"/>
      <c r="BE388" s="509"/>
      <c r="BF388" s="509"/>
      <c r="BG388" s="510"/>
      <c r="BH388" s="510"/>
      <c r="BI388" s="511"/>
      <c r="BJ388" s="511"/>
      <c r="BK388" s="511"/>
      <c r="BL388" s="195"/>
      <c r="BM388" s="510"/>
      <c r="BN388" s="510"/>
      <c r="BO388" s="510"/>
      <c r="BP388" s="510"/>
      <c r="BQ388" s="510"/>
      <c r="BR388" s="510"/>
      <c r="BS388" s="510"/>
      <c r="BT388" s="510"/>
      <c r="BU388" s="510"/>
      <c r="BV388" s="512"/>
      <c r="BW388" s="509"/>
    </row>
    <row r="389" spans="2:75" ht="15.75" customHeight="1">
      <c r="B389" s="250" t="s">
        <v>330</v>
      </c>
      <c r="C389" s="251">
        <v>26344639000188</v>
      </c>
      <c r="D389" s="252" t="s">
        <v>13</v>
      </c>
      <c r="E389" s="252" t="s">
        <v>616</v>
      </c>
      <c r="F389" s="252" t="s">
        <v>610</v>
      </c>
      <c r="G389" s="253" t="s">
        <v>34</v>
      </c>
      <c r="H389" s="253" t="s">
        <v>1337</v>
      </c>
      <c r="I389" s="253" t="s">
        <v>34</v>
      </c>
      <c r="J389" s="253"/>
      <c r="K389" s="254" t="s">
        <v>48</v>
      </c>
      <c r="L389" s="255"/>
      <c r="M389" s="255" t="s">
        <v>1414</v>
      </c>
      <c r="N389" s="254">
        <v>438448</v>
      </c>
      <c r="O389" s="254" t="s">
        <v>1324</v>
      </c>
      <c r="P389" s="258">
        <v>42850</v>
      </c>
      <c r="Q389" s="259">
        <v>15702086.9</v>
      </c>
      <c r="R389" s="259">
        <v>31711854.220674604</v>
      </c>
      <c r="S389" s="254">
        <v>4</v>
      </c>
      <c r="T389" s="256">
        <v>3.6538443582393665E-2</v>
      </c>
      <c r="U389" s="256">
        <v>0.47233959181300661</v>
      </c>
      <c r="V389" s="256">
        <v>5.688335343851314E-2</v>
      </c>
      <c r="W389" s="256">
        <v>0.55764706657390772</v>
      </c>
      <c r="X389" s="256">
        <v>8.5651636298475831E-2</v>
      </c>
      <c r="Y389" s="256">
        <v>0.64951191757469195</v>
      </c>
      <c r="Z389" s="256">
        <v>0.18183467192960556</v>
      </c>
      <c r="AA389" s="256">
        <v>1.0336072239142196</v>
      </c>
      <c r="AB389" s="256">
        <v>4.471983124588684E-2</v>
      </c>
      <c r="AC389" s="260">
        <v>-0.91294214787979044</v>
      </c>
      <c r="AD389" s="405">
        <v>28078762000120</v>
      </c>
      <c r="AE389" s="257" t="s">
        <v>2356</v>
      </c>
      <c r="AF389" s="257" t="s">
        <v>2109</v>
      </c>
      <c r="AG389" s="261" t="s">
        <v>1432</v>
      </c>
      <c r="AH389" s="261" t="s">
        <v>2113</v>
      </c>
      <c r="AI389" s="261">
        <v>50000</v>
      </c>
      <c r="AJ389" s="261">
        <v>10000</v>
      </c>
      <c r="AK389" s="261">
        <v>50000</v>
      </c>
      <c r="AL389" s="256">
        <v>9.0000000000000011E-3</v>
      </c>
      <c r="AM389" s="256">
        <v>0.2</v>
      </c>
      <c r="AN389" s="256" t="s">
        <v>34</v>
      </c>
      <c r="AO389" s="254" t="s">
        <v>1324</v>
      </c>
      <c r="AP389" s="257" t="s">
        <v>13</v>
      </c>
      <c r="AQ389" s="263" t="s">
        <v>664</v>
      </c>
      <c r="AR389" s="256" t="s">
        <v>34</v>
      </c>
      <c r="AS389" s="256" t="s">
        <v>34</v>
      </c>
      <c r="AT389" s="256"/>
      <c r="AW389" s="508"/>
      <c r="AX389" s="508"/>
      <c r="AY389" s="509"/>
      <c r="AZ389" s="509"/>
      <c r="BA389" s="509"/>
      <c r="BB389" s="509"/>
      <c r="BC389" s="509"/>
      <c r="BD389" s="509"/>
      <c r="BE389" s="509"/>
      <c r="BF389" s="509"/>
      <c r="BG389" s="510"/>
      <c r="BH389" s="510"/>
      <c r="BI389" s="511"/>
      <c r="BJ389" s="511"/>
      <c r="BK389" s="511"/>
      <c r="BL389" s="195"/>
      <c r="BM389" s="510"/>
      <c r="BN389" s="510"/>
      <c r="BO389" s="510"/>
      <c r="BP389" s="510"/>
      <c r="BQ389" s="510"/>
      <c r="BR389" s="510"/>
      <c r="BS389" s="510"/>
      <c r="BT389" s="510"/>
      <c r="BU389" s="510"/>
      <c r="BV389" s="512"/>
      <c r="BW389" s="509"/>
    </row>
    <row r="390" spans="2:75" ht="15.75" customHeight="1">
      <c r="B390" s="250" t="s">
        <v>722</v>
      </c>
      <c r="C390" s="251">
        <v>36318507000135</v>
      </c>
      <c r="D390" s="252" t="s">
        <v>14</v>
      </c>
      <c r="E390" s="252" t="s">
        <v>607</v>
      </c>
      <c r="F390" s="252" t="s">
        <v>672</v>
      </c>
      <c r="G390" s="253"/>
      <c r="H390" s="253" t="s">
        <v>34</v>
      </c>
      <c r="I390" s="253" t="s">
        <v>34</v>
      </c>
      <c r="J390" s="253" t="s">
        <v>612</v>
      </c>
      <c r="K390" s="254" t="s">
        <v>723</v>
      </c>
      <c r="L390" s="255"/>
      <c r="M390" s="255" t="s">
        <v>1414</v>
      </c>
      <c r="N390" s="254">
        <v>569062</v>
      </c>
      <c r="O390" s="254" t="s">
        <v>1321</v>
      </c>
      <c r="P390" s="258">
        <v>44200</v>
      </c>
      <c r="Q390" s="259">
        <v>10924061.109999999</v>
      </c>
      <c r="R390" s="259">
        <v>18558380.661468245</v>
      </c>
      <c r="S390" s="254">
        <v>4</v>
      </c>
      <c r="T390" s="256">
        <v>-0.28744427051262655</v>
      </c>
      <c r="U390" s="256">
        <v>-3.7158481886826711</v>
      </c>
      <c r="V390" s="256">
        <v>-0.21514534323539525</v>
      </c>
      <c r="W390" s="256">
        <v>-2.109143752784183</v>
      </c>
      <c r="X390" s="256" t="s">
        <v>1417</v>
      </c>
      <c r="Y390" s="256" t="s">
        <v>1417</v>
      </c>
      <c r="Z390" s="256" t="s">
        <v>1417</v>
      </c>
      <c r="AA390" s="256" t="s">
        <v>1417</v>
      </c>
      <c r="AB390" s="256">
        <v>0.22893987308735067</v>
      </c>
      <c r="AC390" s="260">
        <v>-1.36789519565226</v>
      </c>
      <c r="AD390" s="405">
        <v>38032334000110</v>
      </c>
      <c r="AE390" s="257" t="s">
        <v>2126</v>
      </c>
      <c r="AF390" s="257" t="s">
        <v>2118</v>
      </c>
      <c r="AG390" s="261" t="s">
        <v>1433</v>
      </c>
      <c r="AH390" s="261" t="s">
        <v>2110</v>
      </c>
      <c r="AI390" s="261">
        <v>0</v>
      </c>
      <c r="AJ390" s="261">
        <v>0</v>
      </c>
      <c r="AK390" s="261">
        <v>0</v>
      </c>
      <c r="AL390" s="519">
        <v>5.5000000000000005E-3</v>
      </c>
      <c r="AM390" s="519" t="s">
        <v>34</v>
      </c>
      <c r="AN390" s="256" t="s">
        <v>34</v>
      </c>
      <c r="AO390" s="254" t="s">
        <v>1324</v>
      </c>
      <c r="AP390" s="257" t="s">
        <v>716</v>
      </c>
      <c r="AQ390" s="263" t="s">
        <v>687</v>
      </c>
      <c r="AR390" s="256">
        <v>3.6666666666666662E-3</v>
      </c>
      <c r="AS390" s="256">
        <v>3.6666666666666662E-3</v>
      </c>
      <c r="AT390" s="256"/>
      <c r="AW390" s="508"/>
      <c r="AX390" s="508"/>
      <c r="AY390" s="509"/>
      <c r="AZ390" s="509"/>
      <c r="BA390" s="509"/>
      <c r="BB390" s="509"/>
      <c r="BC390" s="509"/>
      <c r="BD390" s="509"/>
      <c r="BE390" s="509"/>
      <c r="BF390" s="509"/>
      <c r="BG390" s="510"/>
      <c r="BH390" s="510"/>
      <c r="BI390" s="511"/>
      <c r="BJ390" s="511"/>
      <c r="BK390" s="511"/>
      <c r="BL390" s="195"/>
      <c r="BM390" s="510"/>
      <c r="BN390" s="510"/>
      <c r="BO390" s="510"/>
      <c r="BP390" s="510"/>
      <c r="BQ390" s="510"/>
      <c r="BR390" s="510"/>
      <c r="BS390" s="510"/>
      <c r="BT390" s="510"/>
      <c r="BU390" s="510"/>
      <c r="BV390" s="512"/>
      <c r="BW390" s="509"/>
    </row>
    <row r="391" spans="2:75" ht="15.75" customHeight="1">
      <c r="B391" s="250" t="s">
        <v>1080</v>
      </c>
      <c r="C391" s="251">
        <v>19620324000150</v>
      </c>
      <c r="D391" s="252" t="s">
        <v>11</v>
      </c>
      <c r="E391" s="252" t="s">
        <v>621</v>
      </c>
      <c r="F391" s="252" t="s">
        <v>672</v>
      </c>
      <c r="G391" s="253" t="s">
        <v>738</v>
      </c>
      <c r="H391" s="253" t="s">
        <v>34</v>
      </c>
      <c r="I391" s="253"/>
      <c r="J391" s="253" t="s">
        <v>608</v>
      </c>
      <c r="K391" s="254" t="s">
        <v>48</v>
      </c>
      <c r="L391" s="255"/>
      <c r="M391" s="255" t="s">
        <v>34</v>
      </c>
      <c r="N391" s="254">
        <v>379018</v>
      </c>
      <c r="O391" s="254" t="s">
        <v>1321</v>
      </c>
      <c r="P391" s="258">
        <v>41716</v>
      </c>
      <c r="Q391" s="259">
        <v>47229547.789999999</v>
      </c>
      <c r="R391" s="259">
        <v>77636211.290674552</v>
      </c>
      <c r="S391" s="254">
        <v>4</v>
      </c>
      <c r="T391" s="256">
        <v>6.8188457600881325E-2</v>
      </c>
      <c r="U391" s="256">
        <v>0.88148550052303054</v>
      </c>
      <c r="V391" s="256">
        <v>9.6582696578902727E-2</v>
      </c>
      <c r="W391" s="256">
        <v>0.9468333734444947</v>
      </c>
      <c r="X391" s="256">
        <v>0.13638424269946414</v>
      </c>
      <c r="Y391" s="256">
        <v>1.034226488026563</v>
      </c>
      <c r="Z391" s="256">
        <v>0.26826920331937298</v>
      </c>
      <c r="AA391" s="256">
        <v>1.5249291213942022</v>
      </c>
      <c r="AB391" s="256">
        <v>4.2601565981920157E-2</v>
      </c>
      <c r="AC391" s="260">
        <v>-9.4691954752388341E-2</v>
      </c>
      <c r="AD391" s="405">
        <v>0</v>
      </c>
      <c r="AE391" s="257" t="s">
        <v>2311</v>
      </c>
      <c r="AF391" s="257" t="s">
        <v>2109</v>
      </c>
      <c r="AG391" s="261" t="s">
        <v>1432</v>
      </c>
      <c r="AH391" s="261" t="s">
        <v>2110</v>
      </c>
      <c r="AI391" s="261">
        <v>5000</v>
      </c>
      <c r="AJ391" s="261">
        <v>0</v>
      </c>
      <c r="AK391" s="261">
        <v>0</v>
      </c>
      <c r="AL391" s="256">
        <v>6.9999999999999993E-3</v>
      </c>
      <c r="AM391" s="256">
        <v>0.2</v>
      </c>
      <c r="AN391" s="256" t="s">
        <v>636</v>
      </c>
      <c r="AO391" s="254" t="s">
        <v>1321</v>
      </c>
      <c r="AP391" s="257" t="s">
        <v>11</v>
      </c>
      <c r="AQ391" s="263" t="s">
        <v>676</v>
      </c>
      <c r="AR391" s="256">
        <v>2.3333333333333331E-3</v>
      </c>
      <c r="AS391" s="256">
        <v>2.3333333333333331E-3</v>
      </c>
      <c r="AT391" s="256"/>
      <c r="AW391" s="508"/>
      <c r="AX391" s="508"/>
      <c r="AY391" s="509"/>
      <c r="AZ391" s="509"/>
      <c r="BA391" s="509"/>
      <c r="BB391" s="509"/>
      <c r="BC391" s="509"/>
      <c r="BD391" s="509"/>
      <c r="BE391" s="509"/>
      <c r="BF391" s="509"/>
      <c r="BG391" s="510"/>
      <c r="BH391" s="510"/>
      <c r="BI391" s="511"/>
      <c r="BJ391" s="511"/>
      <c r="BK391" s="511"/>
      <c r="BL391" s="195"/>
      <c r="BM391" s="510"/>
      <c r="BN391" s="510"/>
      <c r="BO391" s="510"/>
      <c r="BP391" s="510"/>
      <c r="BQ391" s="510"/>
      <c r="BR391" s="510"/>
      <c r="BS391" s="510"/>
      <c r="BT391" s="510"/>
      <c r="BU391" s="510"/>
      <c r="BV391" s="512"/>
      <c r="BW391" s="509"/>
    </row>
    <row r="392" spans="2:75" ht="15.75" customHeight="1">
      <c r="B392" s="250" t="s">
        <v>1171</v>
      </c>
      <c r="C392" s="251">
        <v>19436818000180</v>
      </c>
      <c r="D392" s="252" t="s">
        <v>14</v>
      </c>
      <c r="E392" s="252" t="s">
        <v>607</v>
      </c>
      <c r="F392" s="252" t="s">
        <v>860</v>
      </c>
      <c r="G392" s="253"/>
      <c r="H392" s="253" t="s">
        <v>34</v>
      </c>
      <c r="I392" s="253" t="s">
        <v>34</v>
      </c>
      <c r="J392" s="253" t="s">
        <v>611</v>
      </c>
      <c r="K392" s="254"/>
      <c r="L392" s="255"/>
      <c r="M392" s="255" t="s">
        <v>1414</v>
      </c>
      <c r="N392" s="254">
        <v>359130</v>
      </c>
      <c r="O392" s="254" t="s">
        <v>1321</v>
      </c>
      <c r="P392" s="258">
        <v>41670</v>
      </c>
      <c r="Q392" s="259">
        <v>1277029987.1600001</v>
      </c>
      <c r="R392" s="259">
        <v>2649838477.315475</v>
      </c>
      <c r="S392" s="254">
        <v>4</v>
      </c>
      <c r="T392" s="256">
        <v>-0.28082646923804577</v>
      </c>
      <c r="U392" s="256">
        <v>-3.6302985799346592</v>
      </c>
      <c r="V392" s="256">
        <v>-0.19743965258995377</v>
      </c>
      <c r="W392" s="256">
        <v>-1.9355687813161577</v>
      </c>
      <c r="X392" s="256">
        <v>-4.0600863937092169E-2</v>
      </c>
      <c r="Y392" s="256">
        <v>-0.30788372681023912</v>
      </c>
      <c r="Z392" s="256">
        <v>0.45180769042745106</v>
      </c>
      <c r="AA392" s="256">
        <v>2.5682213831397416</v>
      </c>
      <c r="AB392" s="256">
        <v>0.22935586199498431</v>
      </c>
      <c r="AC392" s="260">
        <v>-1.2678594917507495</v>
      </c>
      <c r="AD392" s="405">
        <v>0</v>
      </c>
      <c r="AE392" s="257" t="s">
        <v>2318</v>
      </c>
      <c r="AF392" s="257" t="s">
        <v>2318</v>
      </c>
      <c r="AG392" s="261" t="s">
        <v>1436</v>
      </c>
      <c r="AH392" s="261" t="s">
        <v>2113</v>
      </c>
      <c r="AI392" s="261">
        <v>50000</v>
      </c>
      <c r="AJ392" s="261">
        <v>1000</v>
      </c>
      <c r="AK392" s="261">
        <v>1000</v>
      </c>
      <c r="AL392" s="256">
        <v>1.4999999999999999E-2</v>
      </c>
      <c r="AM392" s="256" t="s">
        <v>34</v>
      </c>
      <c r="AN392" s="256" t="s">
        <v>2122</v>
      </c>
      <c r="AO392" s="254" t="s">
        <v>1324</v>
      </c>
      <c r="AP392" s="257" t="s">
        <v>716</v>
      </c>
      <c r="AQ392" s="263" t="s">
        <v>659</v>
      </c>
      <c r="AR392" s="256">
        <v>2E-3</v>
      </c>
      <c r="AS392" s="256">
        <v>2E-3</v>
      </c>
      <c r="AT392" s="256"/>
      <c r="AW392" s="508"/>
      <c r="AX392" s="508"/>
      <c r="AY392" s="509"/>
      <c r="AZ392" s="509"/>
      <c r="BA392" s="509"/>
      <c r="BB392" s="510"/>
      <c r="BC392" s="509"/>
      <c r="BD392" s="509"/>
      <c r="BE392" s="509"/>
      <c r="BF392" s="509"/>
      <c r="BG392" s="510"/>
      <c r="BH392" s="510"/>
      <c r="BI392" s="511"/>
      <c r="BJ392" s="511"/>
      <c r="BK392" s="511"/>
      <c r="BL392" s="510"/>
      <c r="BM392" s="510"/>
      <c r="BN392" s="510"/>
      <c r="BO392" s="510"/>
      <c r="BP392" s="510"/>
      <c r="BQ392" s="510"/>
      <c r="BR392" s="510"/>
      <c r="BS392" s="510"/>
      <c r="BT392" s="513"/>
      <c r="BU392" s="514"/>
      <c r="BV392" s="512"/>
      <c r="BW392" s="515"/>
    </row>
    <row r="393" spans="2:75" ht="15.75" customHeight="1">
      <c r="B393" s="250" t="s">
        <v>1172</v>
      </c>
      <c r="C393" s="251">
        <v>19436835000117</v>
      </c>
      <c r="D393" s="252" t="s">
        <v>14</v>
      </c>
      <c r="E393" s="252" t="s">
        <v>607</v>
      </c>
      <c r="F393" s="252" t="s">
        <v>860</v>
      </c>
      <c r="G393" s="253"/>
      <c r="H393" s="253" t="s">
        <v>34</v>
      </c>
      <c r="I393" s="253" t="s">
        <v>34</v>
      </c>
      <c r="J393" s="253" t="s">
        <v>611</v>
      </c>
      <c r="K393" s="254"/>
      <c r="L393" s="255"/>
      <c r="M393" s="255" t="s">
        <v>1414</v>
      </c>
      <c r="N393" s="254">
        <v>359149</v>
      </c>
      <c r="O393" s="254" t="s">
        <v>1321</v>
      </c>
      <c r="P393" s="258">
        <v>41670</v>
      </c>
      <c r="Q393" s="259">
        <v>739098509.38999999</v>
      </c>
      <c r="R393" s="259">
        <v>1657396422.6554742</v>
      </c>
      <c r="S393" s="254">
        <v>4</v>
      </c>
      <c r="T393" s="256">
        <v>-0.28547091615770948</v>
      </c>
      <c r="U393" s="256">
        <v>-3.6903382517746555</v>
      </c>
      <c r="V393" s="256">
        <v>-0.20534785767952102</v>
      </c>
      <c r="W393" s="256">
        <v>-2.0130956341383794</v>
      </c>
      <c r="X393" s="256">
        <v>-5.9878884314048419E-2</v>
      </c>
      <c r="Y393" s="256">
        <v>-0.45407245738448099</v>
      </c>
      <c r="Z393" s="256">
        <v>0.40771547897062232</v>
      </c>
      <c r="AA393" s="256">
        <v>2.3175869590417086</v>
      </c>
      <c r="AB393" s="256">
        <v>0.22891247963794098</v>
      </c>
      <c r="AC393" s="260">
        <v>-1.3139744907119468</v>
      </c>
      <c r="AD393" s="405">
        <v>19436818000180</v>
      </c>
      <c r="AE393" s="257" t="s">
        <v>2318</v>
      </c>
      <c r="AF393" s="257" t="s">
        <v>2318</v>
      </c>
      <c r="AG393" s="261" t="s">
        <v>1436</v>
      </c>
      <c r="AH393" s="261" t="s">
        <v>2113</v>
      </c>
      <c r="AI393" s="261">
        <v>1000</v>
      </c>
      <c r="AJ393" s="261">
        <v>100</v>
      </c>
      <c r="AK393" s="261">
        <v>100</v>
      </c>
      <c r="AL393" s="256">
        <v>0.01</v>
      </c>
      <c r="AM393" s="256" t="s">
        <v>34</v>
      </c>
      <c r="AN393" s="256" t="s">
        <v>2122</v>
      </c>
      <c r="AO393" s="254" t="s">
        <v>1324</v>
      </c>
      <c r="AP393" s="257" t="s">
        <v>716</v>
      </c>
      <c r="AQ393" s="263" t="s">
        <v>659</v>
      </c>
      <c r="AR393" s="256">
        <v>2.9999999999999996E-3</v>
      </c>
      <c r="AS393" s="256">
        <v>2.9999999999999996E-3</v>
      </c>
      <c r="AT393" s="256"/>
      <c r="AW393" s="508"/>
      <c r="AX393" s="508"/>
      <c r="AY393" s="509"/>
      <c r="AZ393" s="509"/>
      <c r="BA393" s="509"/>
      <c r="BB393" s="510"/>
      <c r="BC393" s="509"/>
      <c r="BD393" s="509"/>
      <c r="BE393" s="509"/>
      <c r="BF393" s="509"/>
      <c r="BG393" s="510"/>
      <c r="BH393" s="510"/>
      <c r="BI393" s="511"/>
      <c r="BJ393" s="511"/>
      <c r="BK393" s="511"/>
      <c r="BL393" s="510"/>
      <c r="BM393" s="510"/>
      <c r="BN393" s="510"/>
      <c r="BO393" s="510"/>
      <c r="BP393" s="510"/>
      <c r="BQ393" s="510"/>
      <c r="BR393" s="510"/>
      <c r="BS393" s="510"/>
      <c r="BT393" s="513"/>
      <c r="BU393" s="514"/>
      <c r="BV393" s="512"/>
      <c r="BW393" s="515"/>
    </row>
    <row r="394" spans="2:75" ht="15.75" customHeight="1">
      <c r="B394" s="250" t="s">
        <v>61</v>
      </c>
      <c r="C394" s="251">
        <v>9599346000122</v>
      </c>
      <c r="D394" s="252" t="s">
        <v>14</v>
      </c>
      <c r="E394" s="252" t="s">
        <v>607</v>
      </c>
      <c r="F394" s="252"/>
      <c r="G394" s="253"/>
      <c r="H394" s="253" t="s">
        <v>34</v>
      </c>
      <c r="I394" s="253" t="s">
        <v>34</v>
      </c>
      <c r="J394" s="253" t="s">
        <v>608</v>
      </c>
      <c r="K394" s="254" t="s">
        <v>48</v>
      </c>
      <c r="L394" s="255"/>
      <c r="M394" s="255" t="s">
        <v>1414</v>
      </c>
      <c r="N394" s="254">
        <v>213705</v>
      </c>
      <c r="O394" s="254" t="s">
        <v>1321</v>
      </c>
      <c r="P394" s="258">
        <v>39629</v>
      </c>
      <c r="Q394" s="259">
        <v>197356987.77000001</v>
      </c>
      <c r="R394" s="259">
        <v>217644640.14107138</v>
      </c>
      <c r="S394" s="254">
        <v>4</v>
      </c>
      <c r="T394" s="256">
        <v>7.9195086974791717E-2</v>
      </c>
      <c r="U394" s="256">
        <v>1.0237703467285486</v>
      </c>
      <c r="V394" s="256">
        <v>-1.4266389219254716E-2</v>
      </c>
      <c r="W394" s="256">
        <v>-0.13985831737783291</v>
      </c>
      <c r="X394" s="256">
        <v>0.18828697723049315</v>
      </c>
      <c r="Y394" s="256">
        <v>1.4278143526546521</v>
      </c>
      <c r="Z394" s="256">
        <v>0.18282984477085007</v>
      </c>
      <c r="AA394" s="256">
        <v>1.0392641089672074</v>
      </c>
      <c r="AB394" s="256">
        <v>0.17089280801770934</v>
      </c>
      <c r="AC394" s="260">
        <v>-0.56731288329794505</v>
      </c>
      <c r="AD394" s="405">
        <v>0</v>
      </c>
      <c r="AE394" s="257" t="s">
        <v>2114</v>
      </c>
      <c r="AF394" s="257" t="s">
        <v>2115</v>
      </c>
      <c r="AG394" s="261" t="s">
        <v>719</v>
      </c>
      <c r="AH394" s="261" t="s">
        <v>2113</v>
      </c>
      <c r="AI394" s="261">
        <v>500</v>
      </c>
      <c r="AJ394" s="261">
        <v>100</v>
      </c>
      <c r="AK394" s="261">
        <v>500</v>
      </c>
      <c r="AL394" s="519">
        <v>0.02</v>
      </c>
      <c r="AM394" s="519">
        <v>0.2</v>
      </c>
      <c r="AN394" s="256" t="s">
        <v>666</v>
      </c>
      <c r="AO394" s="254" t="s">
        <v>1324</v>
      </c>
      <c r="AP394" s="257" t="s">
        <v>716</v>
      </c>
      <c r="AQ394" s="263" t="s">
        <v>667</v>
      </c>
      <c r="AR394" s="256">
        <v>3.3333333333333331E-3</v>
      </c>
      <c r="AS394" s="256">
        <v>3.3333333333333331E-3</v>
      </c>
      <c r="AT394" s="256"/>
      <c r="AW394" s="508"/>
      <c r="AX394" s="508"/>
      <c r="AY394" s="509"/>
      <c r="AZ394" s="509"/>
      <c r="BA394" s="509"/>
      <c r="BB394" s="510"/>
      <c r="BC394" s="509"/>
      <c r="BD394" s="509"/>
      <c r="BE394" s="509"/>
      <c r="BF394" s="509"/>
      <c r="BG394" s="510"/>
      <c r="BH394" s="510"/>
      <c r="BI394" s="511"/>
      <c r="BJ394" s="511"/>
      <c r="BK394" s="511"/>
      <c r="BL394" s="510"/>
      <c r="BM394" s="510"/>
      <c r="BN394" s="510"/>
      <c r="BO394" s="510"/>
      <c r="BP394" s="510"/>
      <c r="BQ394" s="510"/>
      <c r="BR394" s="510"/>
      <c r="BS394" s="510"/>
      <c r="BT394" s="513"/>
      <c r="BU394" s="514"/>
      <c r="BV394" s="512"/>
      <c r="BW394" s="515"/>
    </row>
    <row r="395" spans="2:75" ht="15.75" customHeight="1">
      <c r="B395" s="250" t="s">
        <v>797</v>
      </c>
      <c r="C395" s="251">
        <v>43617048000156</v>
      </c>
      <c r="D395" s="252" t="s">
        <v>14</v>
      </c>
      <c r="E395" s="252" t="s">
        <v>607</v>
      </c>
      <c r="F395" s="252"/>
      <c r="G395" s="253"/>
      <c r="H395" s="253" t="s">
        <v>34</v>
      </c>
      <c r="I395" s="253" t="s">
        <v>34</v>
      </c>
      <c r="J395" s="253" t="s">
        <v>608</v>
      </c>
      <c r="K395" s="254" t="s">
        <v>48</v>
      </c>
      <c r="L395" s="255"/>
      <c r="M395" s="255" t="s">
        <v>1414</v>
      </c>
      <c r="N395" s="254">
        <v>621285</v>
      </c>
      <c r="O395" s="254" t="s">
        <v>1321</v>
      </c>
      <c r="P395" s="258">
        <v>44498</v>
      </c>
      <c r="Q395" s="259">
        <v>5010839.71</v>
      </c>
      <c r="R395" s="259" t="s">
        <v>1417</v>
      </c>
      <c r="S395" s="254">
        <v>4</v>
      </c>
      <c r="T395" s="256">
        <v>2.3880516396122653E-2</v>
      </c>
      <c r="U395" s="256">
        <v>0.30870809648453673</v>
      </c>
      <c r="V395" s="256" t="s">
        <v>1417</v>
      </c>
      <c r="W395" s="256" t="s">
        <v>1417</v>
      </c>
      <c r="X395" s="256" t="s">
        <v>1417</v>
      </c>
      <c r="Y395" s="256" t="s">
        <v>1417</v>
      </c>
      <c r="Z395" s="256" t="s">
        <v>1417</v>
      </c>
      <c r="AA395" s="256" t="s">
        <v>1417</v>
      </c>
      <c r="AB395" s="256" t="s">
        <v>1417</v>
      </c>
      <c r="AC395" s="260" t="s">
        <v>1417</v>
      </c>
      <c r="AD395" s="405">
        <v>40054367000102</v>
      </c>
      <c r="AE395" s="257" t="s">
        <v>2169</v>
      </c>
      <c r="AF395" s="257" t="s">
        <v>2169</v>
      </c>
      <c r="AG395" s="261" t="s">
        <v>1435</v>
      </c>
      <c r="AH395" s="261" t="s">
        <v>2113</v>
      </c>
      <c r="AI395" s="261">
        <v>200</v>
      </c>
      <c r="AJ395" s="261">
        <v>200</v>
      </c>
      <c r="AK395" s="261">
        <v>200</v>
      </c>
      <c r="AL395" s="256">
        <v>0.01</v>
      </c>
      <c r="AM395" s="256">
        <v>0.2</v>
      </c>
      <c r="AN395" s="256" t="s">
        <v>2122</v>
      </c>
      <c r="AO395" s="254" t="s">
        <v>1324</v>
      </c>
      <c r="AP395" s="257" t="s">
        <v>716</v>
      </c>
      <c r="AQ395" s="263" t="s">
        <v>659</v>
      </c>
      <c r="AR395" s="256">
        <v>3.3333333333333331E-3</v>
      </c>
      <c r="AS395" s="256">
        <v>3.3333333333333331E-3</v>
      </c>
      <c r="AT395" s="256"/>
      <c r="AW395" s="508"/>
      <c r="AX395" s="508"/>
      <c r="AY395" s="509"/>
      <c r="AZ395" s="509"/>
      <c r="BA395" s="509"/>
      <c r="BB395" s="510"/>
      <c r="BC395" s="509"/>
      <c r="BD395" s="509"/>
      <c r="BE395" s="509"/>
      <c r="BF395" s="509"/>
      <c r="BG395" s="510"/>
      <c r="BH395" s="510"/>
      <c r="BI395" s="511"/>
      <c r="BJ395" s="511"/>
      <c r="BK395" s="511"/>
      <c r="BL395" s="510"/>
      <c r="BM395" s="510"/>
      <c r="BN395" s="510"/>
      <c r="BO395" s="510"/>
      <c r="BP395" s="510"/>
      <c r="BQ395" s="510"/>
      <c r="BR395" s="510"/>
      <c r="BS395" s="510"/>
      <c r="BT395" s="513"/>
      <c r="BU395" s="514"/>
      <c r="BV395" s="512"/>
      <c r="BW395" s="515"/>
    </row>
    <row r="396" spans="2:75" ht="15.75" customHeight="1">
      <c r="B396" s="250" t="s">
        <v>478</v>
      </c>
      <c r="C396" s="251">
        <v>74326471000120</v>
      </c>
      <c r="D396" s="252" t="s">
        <v>11</v>
      </c>
      <c r="E396" s="252" t="s">
        <v>661</v>
      </c>
      <c r="F396" s="252"/>
      <c r="G396" s="253"/>
      <c r="H396" s="253" t="s">
        <v>34</v>
      </c>
      <c r="I396" s="253" t="s">
        <v>34</v>
      </c>
      <c r="J396" s="253" t="s">
        <v>611</v>
      </c>
      <c r="K396" s="254" t="s">
        <v>48</v>
      </c>
      <c r="L396" s="255"/>
      <c r="M396" s="255" t="s">
        <v>1414</v>
      </c>
      <c r="N396" s="254">
        <v>14761</v>
      </c>
      <c r="O396" s="254" t="s">
        <v>1321</v>
      </c>
      <c r="P396" s="258">
        <v>34611</v>
      </c>
      <c r="Q396" s="259">
        <v>14818223.59</v>
      </c>
      <c r="R396" s="259">
        <v>24609498.371388879</v>
      </c>
      <c r="S396" s="254">
        <v>4</v>
      </c>
      <c r="T396" s="256">
        <v>-0.1473521213438046</v>
      </c>
      <c r="U396" s="256">
        <v>-1.9048496329999864</v>
      </c>
      <c r="V396" s="256">
        <v>-9.5815147411615231E-2</v>
      </c>
      <c r="W396" s="256">
        <v>-0.9393088251238374</v>
      </c>
      <c r="X396" s="256">
        <v>-0.12949243023772061</v>
      </c>
      <c r="Y396" s="256">
        <v>-0.98196462215872016</v>
      </c>
      <c r="Z396" s="256">
        <v>0.19554848258388646</v>
      </c>
      <c r="AA396" s="256">
        <v>1.1115609695295994</v>
      </c>
      <c r="AB396" s="256">
        <v>0.13883333428519498</v>
      </c>
      <c r="AC396" s="260">
        <v>-1.3560542348094724</v>
      </c>
      <c r="AD396" s="405">
        <v>0</v>
      </c>
      <c r="AE396" s="257" t="s">
        <v>2179</v>
      </c>
      <c r="AF396" s="257" t="s">
        <v>719</v>
      </c>
      <c r="AG396" s="261" t="s">
        <v>719</v>
      </c>
      <c r="AH396" s="261" t="s">
        <v>2113</v>
      </c>
      <c r="AI396" s="261">
        <v>100</v>
      </c>
      <c r="AJ396" s="261">
        <v>100</v>
      </c>
      <c r="AK396" s="261">
        <v>100</v>
      </c>
      <c r="AL396" s="256">
        <v>5.0000000000000001E-3</v>
      </c>
      <c r="AM396" s="256" t="s">
        <v>34</v>
      </c>
      <c r="AN396" s="256" t="s">
        <v>2122</v>
      </c>
      <c r="AO396" s="254" t="s">
        <v>1324</v>
      </c>
      <c r="AP396" s="257" t="s">
        <v>11</v>
      </c>
      <c r="AQ396" s="263" t="s">
        <v>660</v>
      </c>
      <c r="AR396" s="256">
        <v>1.3333333333333333E-3</v>
      </c>
      <c r="AS396" s="256">
        <v>1.3333333333333333E-3</v>
      </c>
      <c r="AT396" s="256"/>
      <c r="AW396" s="508"/>
      <c r="AX396" s="508"/>
      <c r="AY396" s="509"/>
      <c r="AZ396" s="509"/>
      <c r="BA396" s="509"/>
      <c r="BB396" s="510"/>
      <c r="BC396" s="509"/>
      <c r="BD396" s="509"/>
      <c r="BE396" s="509"/>
      <c r="BF396" s="509"/>
      <c r="BG396" s="510"/>
      <c r="BH396" s="510"/>
      <c r="BI396" s="511"/>
      <c r="BJ396" s="511"/>
      <c r="BK396" s="511"/>
      <c r="BL396" s="510"/>
      <c r="BM396" s="510"/>
      <c r="BN396" s="510"/>
      <c r="BO396" s="510"/>
      <c r="BP396" s="510"/>
      <c r="BQ396" s="510"/>
      <c r="BR396" s="510"/>
      <c r="BS396" s="510"/>
      <c r="BT396" s="513"/>
      <c r="BU396" s="514"/>
      <c r="BV396" s="512"/>
      <c r="BW396" s="515"/>
    </row>
    <row r="397" spans="2:75" ht="15.75" customHeight="1">
      <c r="B397" s="250" t="s">
        <v>579</v>
      </c>
      <c r="C397" s="251">
        <v>37703644000156</v>
      </c>
      <c r="D397" s="252" t="s">
        <v>14</v>
      </c>
      <c r="E397" s="252" t="s">
        <v>607</v>
      </c>
      <c r="F397" s="252"/>
      <c r="G397" s="253"/>
      <c r="H397" s="253" t="s">
        <v>34</v>
      </c>
      <c r="I397" s="253" t="s">
        <v>34</v>
      </c>
      <c r="J397" s="253" t="s">
        <v>611</v>
      </c>
      <c r="K397" s="254" t="s">
        <v>49</v>
      </c>
      <c r="L397" s="255"/>
      <c r="M397" s="255" t="s">
        <v>1414</v>
      </c>
      <c r="N397" s="254">
        <v>557821</v>
      </c>
      <c r="O397" s="254" t="s">
        <v>1321</v>
      </c>
      <c r="P397" s="258">
        <v>44133</v>
      </c>
      <c r="Q397" s="259">
        <v>29130486.140000001</v>
      </c>
      <c r="R397" s="259">
        <v>109762567.85055558</v>
      </c>
      <c r="S397" s="254">
        <v>4</v>
      </c>
      <c r="T397" s="256">
        <v>-0.27404401744539408</v>
      </c>
      <c r="U397" s="256">
        <v>-3.5426205018028316</v>
      </c>
      <c r="V397" s="256">
        <v>-0.19911956983717594</v>
      </c>
      <c r="W397" s="256">
        <v>-1.952037587537524</v>
      </c>
      <c r="X397" s="256" t="s">
        <v>1417</v>
      </c>
      <c r="Y397" s="256" t="s">
        <v>1417</v>
      </c>
      <c r="Z397" s="256" t="s">
        <v>1417</v>
      </c>
      <c r="AA397" s="256" t="s">
        <v>1417</v>
      </c>
      <c r="AB397" s="256">
        <v>0.1909022834003295</v>
      </c>
      <c r="AC397" s="260">
        <v>-1.5762518141483379</v>
      </c>
      <c r="AD397" s="405">
        <v>0</v>
      </c>
      <c r="AE397" s="257" t="s">
        <v>2179</v>
      </c>
      <c r="AF397" s="257" t="s">
        <v>719</v>
      </c>
      <c r="AG397" s="261" t="s">
        <v>719</v>
      </c>
      <c r="AH397" s="261" t="s">
        <v>2113</v>
      </c>
      <c r="AI397" s="261">
        <v>1000</v>
      </c>
      <c r="AJ397" s="261">
        <v>500</v>
      </c>
      <c r="AK397" s="261">
        <v>500</v>
      </c>
      <c r="AL397" s="256">
        <v>5.0000000000000001E-3</v>
      </c>
      <c r="AM397" s="256" t="s">
        <v>34</v>
      </c>
      <c r="AN397" s="256" t="s">
        <v>2122</v>
      </c>
      <c r="AO397" s="254" t="s">
        <v>1324</v>
      </c>
      <c r="AP397" s="257" t="s">
        <v>716</v>
      </c>
      <c r="AQ397" s="263" t="s">
        <v>687</v>
      </c>
      <c r="AR397" s="256" t="s">
        <v>34</v>
      </c>
      <c r="AS397" s="256" t="s">
        <v>34</v>
      </c>
      <c r="AT397" s="256"/>
      <c r="AW397" s="508"/>
      <c r="AX397" s="508"/>
      <c r="AY397" s="509"/>
      <c r="AZ397" s="509"/>
      <c r="BA397" s="509"/>
      <c r="BB397" s="510"/>
      <c r="BC397" s="509"/>
      <c r="BD397" s="509"/>
      <c r="BE397" s="509"/>
      <c r="BF397" s="509"/>
      <c r="BG397" s="510"/>
      <c r="BH397" s="510"/>
      <c r="BI397" s="511"/>
      <c r="BJ397" s="511"/>
      <c r="BK397" s="511"/>
      <c r="BL397" s="510"/>
      <c r="BM397" s="510"/>
      <c r="BN397" s="510"/>
      <c r="BO397" s="510"/>
      <c r="BP397" s="510"/>
      <c r="BQ397" s="510"/>
      <c r="BR397" s="510"/>
      <c r="BS397" s="510"/>
      <c r="BT397" s="513"/>
      <c r="BU397" s="514"/>
      <c r="BV397" s="512"/>
      <c r="BW397" s="515"/>
    </row>
    <row r="398" spans="2:75" ht="15.75" customHeight="1">
      <c r="B398" s="250" t="s">
        <v>135</v>
      </c>
      <c r="C398" s="251">
        <v>38389079000167</v>
      </c>
      <c r="D398" s="252" t="s">
        <v>11</v>
      </c>
      <c r="E398" s="252" t="s">
        <v>661</v>
      </c>
      <c r="F398" s="252"/>
      <c r="G398" s="253"/>
      <c r="H398" s="253" t="s">
        <v>34</v>
      </c>
      <c r="I398" s="253" t="s">
        <v>34</v>
      </c>
      <c r="J398" s="253" t="s">
        <v>611</v>
      </c>
      <c r="K398" s="254" t="s">
        <v>49</v>
      </c>
      <c r="L398" s="255"/>
      <c r="M398" s="255" t="s">
        <v>1414</v>
      </c>
      <c r="N398" s="254">
        <v>557471</v>
      </c>
      <c r="O398" s="254" t="s">
        <v>1321</v>
      </c>
      <c r="P398" s="258">
        <v>44133</v>
      </c>
      <c r="Q398" s="259">
        <v>9998851.1099999994</v>
      </c>
      <c r="R398" s="259">
        <v>45393176.890396841</v>
      </c>
      <c r="S398" s="254">
        <v>4</v>
      </c>
      <c r="T398" s="256">
        <v>-0.16632213838632359</v>
      </c>
      <c r="U398" s="256">
        <v>-2.150078745902507</v>
      </c>
      <c r="V398" s="256">
        <v>-0.11738070748299023</v>
      </c>
      <c r="W398" s="256">
        <v>-1.1507234233476373</v>
      </c>
      <c r="X398" s="256" t="s">
        <v>1417</v>
      </c>
      <c r="Y398" s="256" t="s">
        <v>1417</v>
      </c>
      <c r="Z398" s="256" t="s">
        <v>1417</v>
      </c>
      <c r="AA398" s="256" t="s">
        <v>1417</v>
      </c>
      <c r="AB398" s="256">
        <v>0.15506753556688282</v>
      </c>
      <c r="AC398" s="260">
        <v>-1.3543472753168979</v>
      </c>
      <c r="AD398" s="405">
        <v>0</v>
      </c>
      <c r="AE398" s="257" t="s">
        <v>2179</v>
      </c>
      <c r="AF398" s="257" t="s">
        <v>719</v>
      </c>
      <c r="AG398" s="261" t="s">
        <v>719</v>
      </c>
      <c r="AH398" s="261" t="s">
        <v>2113</v>
      </c>
      <c r="AI398" s="261">
        <v>1000</v>
      </c>
      <c r="AJ398" s="261">
        <v>500</v>
      </c>
      <c r="AK398" s="261">
        <v>500</v>
      </c>
      <c r="AL398" s="256">
        <v>5.0000000000000001E-3</v>
      </c>
      <c r="AM398" s="256" t="s">
        <v>34</v>
      </c>
      <c r="AN398" s="256" t="s">
        <v>2122</v>
      </c>
      <c r="AO398" s="254" t="s">
        <v>1324</v>
      </c>
      <c r="AP398" s="257" t="s">
        <v>13</v>
      </c>
      <c r="AQ398" s="263" t="s">
        <v>679</v>
      </c>
      <c r="AR398" s="256" t="s">
        <v>34</v>
      </c>
      <c r="AS398" s="256" t="s">
        <v>34</v>
      </c>
      <c r="AT398" s="256"/>
      <c r="AW398" s="508"/>
      <c r="AX398" s="508"/>
      <c r="AY398" s="509"/>
      <c r="AZ398" s="509"/>
      <c r="BA398" s="509"/>
      <c r="BB398" s="510"/>
      <c r="BC398" s="509"/>
      <c r="BD398" s="509"/>
      <c r="BE398" s="509"/>
      <c r="BF398" s="509"/>
      <c r="BG398" s="510"/>
      <c r="BH398" s="510"/>
      <c r="BI398" s="511"/>
      <c r="BJ398" s="511"/>
      <c r="BK398" s="511"/>
      <c r="BL398" s="510"/>
      <c r="BM398" s="510"/>
      <c r="BN398" s="510"/>
      <c r="BO398" s="510"/>
      <c r="BP398" s="510"/>
      <c r="BQ398" s="510"/>
      <c r="BR398" s="510"/>
      <c r="BS398" s="510"/>
      <c r="BT398" s="513"/>
      <c r="BU398" s="514"/>
      <c r="BV398" s="512"/>
      <c r="BW398" s="515"/>
    </row>
    <row r="399" spans="2:75" ht="15.75" customHeight="1">
      <c r="B399" s="250" t="s">
        <v>850</v>
      </c>
      <c r="C399" s="251">
        <v>39800632000175</v>
      </c>
      <c r="D399" s="252" t="s">
        <v>14</v>
      </c>
      <c r="E399" s="252" t="s">
        <v>607</v>
      </c>
      <c r="F399" s="252"/>
      <c r="G399" s="253"/>
      <c r="H399" s="253" t="s">
        <v>34</v>
      </c>
      <c r="I399" s="253" t="s">
        <v>34</v>
      </c>
      <c r="J399" s="253" t="s">
        <v>611</v>
      </c>
      <c r="K399" s="254"/>
      <c r="L399" s="255"/>
      <c r="M399" s="255" t="s">
        <v>34</v>
      </c>
      <c r="N399" s="254">
        <v>563242</v>
      </c>
      <c r="O399" s="254" t="s">
        <v>1321</v>
      </c>
      <c r="P399" s="258">
        <v>44165</v>
      </c>
      <c r="Q399" s="259">
        <v>28667748.18</v>
      </c>
      <c r="R399" s="259">
        <v>54481852.701904781</v>
      </c>
      <c r="S399" s="254">
        <v>4</v>
      </c>
      <c r="T399" s="256">
        <v>-0.13301518709609206</v>
      </c>
      <c r="U399" s="256">
        <v>-1.7195132856773667</v>
      </c>
      <c r="V399" s="256">
        <v>-0.10684640891760999</v>
      </c>
      <c r="W399" s="256">
        <v>-1.0474520735010104</v>
      </c>
      <c r="X399" s="256" t="s">
        <v>1417</v>
      </c>
      <c r="Y399" s="256" t="s">
        <v>1417</v>
      </c>
      <c r="Z399" s="256" t="s">
        <v>1417</v>
      </c>
      <c r="AA399" s="256" t="s">
        <v>1417</v>
      </c>
      <c r="AB399" s="256">
        <v>0.19856623500177184</v>
      </c>
      <c r="AC399" s="260">
        <v>-0.95905829516029484</v>
      </c>
      <c r="AD399" s="405">
        <v>0</v>
      </c>
      <c r="AE399" s="257" t="s">
        <v>2123</v>
      </c>
      <c r="AF399" s="257" t="s">
        <v>2109</v>
      </c>
      <c r="AG399" s="261" t="s">
        <v>1432</v>
      </c>
      <c r="AH399" s="261" t="s">
        <v>726</v>
      </c>
      <c r="AI399" s="261">
        <v>1</v>
      </c>
      <c r="AJ399" s="261">
        <v>1</v>
      </c>
      <c r="AK399" s="261">
        <v>1</v>
      </c>
      <c r="AL399" s="256">
        <v>0.01</v>
      </c>
      <c r="AM399" s="256" t="s">
        <v>34</v>
      </c>
      <c r="AN399" s="256" t="s">
        <v>34</v>
      </c>
      <c r="AO399" s="254" t="s">
        <v>1324</v>
      </c>
      <c r="AP399" s="257" t="s">
        <v>716</v>
      </c>
      <c r="AQ399" s="263" t="s">
        <v>659</v>
      </c>
      <c r="AR399" s="256">
        <v>6.6666666666666662E-3</v>
      </c>
      <c r="AS399" s="256">
        <v>6.6666666666666662E-3</v>
      </c>
      <c r="AT399" s="256"/>
      <c r="AW399" s="508"/>
      <c r="AX399" s="508"/>
      <c r="AY399" s="509"/>
      <c r="AZ399" s="509"/>
      <c r="BA399" s="509"/>
      <c r="BB399" s="510"/>
      <c r="BC399" s="509"/>
      <c r="BD399" s="509"/>
      <c r="BE399" s="509"/>
      <c r="BF399" s="509"/>
      <c r="BG399" s="510"/>
      <c r="BH399" s="510"/>
      <c r="BI399" s="511"/>
      <c r="BJ399" s="511"/>
      <c r="BK399" s="511"/>
      <c r="BL399" s="510"/>
      <c r="BM399" s="510"/>
      <c r="BN399" s="510"/>
      <c r="BO399" s="510"/>
      <c r="BP399" s="510"/>
      <c r="BQ399" s="510"/>
      <c r="BR399" s="510"/>
      <c r="BS399" s="510"/>
      <c r="BT399" s="513"/>
      <c r="BU399" s="514"/>
      <c r="BV399" s="512"/>
      <c r="BW399" s="515"/>
    </row>
    <row r="400" spans="2:75" ht="15.75" customHeight="1">
      <c r="B400" s="250" t="s">
        <v>602</v>
      </c>
      <c r="C400" s="251">
        <v>43508596000148</v>
      </c>
      <c r="D400" s="252" t="s">
        <v>14</v>
      </c>
      <c r="E400" s="252" t="s">
        <v>607</v>
      </c>
      <c r="F400" s="252"/>
      <c r="G400" s="253" t="s">
        <v>866</v>
      </c>
      <c r="H400" s="253" t="s">
        <v>34</v>
      </c>
      <c r="I400" s="253" t="s">
        <v>34</v>
      </c>
      <c r="J400" s="253" t="s">
        <v>611</v>
      </c>
      <c r="K400" s="254"/>
      <c r="L400" s="255"/>
      <c r="M400" s="255" t="s">
        <v>1414</v>
      </c>
      <c r="N400" s="254">
        <v>617083</v>
      </c>
      <c r="O400" s="254" t="s">
        <v>1321</v>
      </c>
      <c r="P400" s="258">
        <v>44484</v>
      </c>
      <c r="Q400" s="259">
        <v>3906481.16</v>
      </c>
      <c r="R400" s="259" t="s">
        <v>1417</v>
      </c>
      <c r="S400" s="254">
        <v>4</v>
      </c>
      <c r="T400" s="256">
        <v>-0.25406542629310647</v>
      </c>
      <c r="U400" s="256">
        <v>-3.2843533545284576</v>
      </c>
      <c r="V400" s="256" t="s">
        <v>1417</v>
      </c>
      <c r="W400" s="256" t="s">
        <v>1417</v>
      </c>
      <c r="X400" s="256" t="s">
        <v>1417</v>
      </c>
      <c r="Y400" s="256" t="s">
        <v>1417</v>
      </c>
      <c r="Z400" s="256" t="s">
        <v>1417</v>
      </c>
      <c r="AA400" s="256" t="s">
        <v>1417</v>
      </c>
      <c r="AB400" s="256" t="s">
        <v>1417</v>
      </c>
      <c r="AC400" s="260" t="s">
        <v>1417</v>
      </c>
      <c r="AD400" s="405">
        <v>0</v>
      </c>
      <c r="AE400" s="257" t="s">
        <v>2144</v>
      </c>
      <c r="AF400" s="257" t="s">
        <v>2109</v>
      </c>
      <c r="AG400" s="261" t="s">
        <v>1432</v>
      </c>
      <c r="AH400" s="261" t="s">
        <v>2113</v>
      </c>
      <c r="AI400" s="261">
        <v>0</v>
      </c>
      <c r="AJ400" s="261">
        <v>0</v>
      </c>
      <c r="AK400" s="261">
        <v>0</v>
      </c>
      <c r="AL400" s="256">
        <v>2.5000000000000001E-3</v>
      </c>
      <c r="AM400" s="256" t="s">
        <v>34</v>
      </c>
      <c r="AN400" s="256" t="s">
        <v>2127</v>
      </c>
      <c r="AO400" s="254" t="s">
        <v>1324</v>
      </c>
      <c r="AP400" s="257" t="s">
        <v>13</v>
      </c>
      <c r="AQ400" s="263" t="s">
        <v>671</v>
      </c>
      <c r="AR400" s="256">
        <v>8.3325000000000001E-4</v>
      </c>
      <c r="AS400" s="256">
        <v>8.3325000000000001E-4</v>
      </c>
      <c r="AT400" s="256"/>
      <c r="AW400" s="508"/>
      <c r="AX400" s="508"/>
      <c r="AY400" s="509"/>
      <c r="AZ400" s="509"/>
      <c r="BA400" s="509"/>
      <c r="BB400" s="510"/>
      <c r="BC400" s="509"/>
      <c r="BD400" s="509"/>
      <c r="BE400" s="509"/>
      <c r="BF400" s="509"/>
      <c r="BG400" s="510"/>
      <c r="BH400" s="510"/>
      <c r="BI400" s="511"/>
      <c r="BJ400" s="511"/>
      <c r="BK400" s="511"/>
      <c r="BL400" s="510"/>
      <c r="BM400" s="510"/>
      <c r="BN400" s="510"/>
      <c r="BO400" s="510"/>
      <c r="BP400" s="510"/>
      <c r="BQ400" s="510"/>
      <c r="BR400" s="510"/>
      <c r="BS400" s="510"/>
      <c r="BT400" s="513"/>
      <c r="BU400" s="514"/>
      <c r="BV400" s="512"/>
      <c r="BW400" s="515"/>
    </row>
    <row r="401" spans="2:75" ht="15.75" customHeight="1">
      <c r="B401" s="250" t="s">
        <v>497</v>
      </c>
      <c r="C401" s="251">
        <v>43274439000115</v>
      </c>
      <c r="D401" s="252" t="s">
        <v>14</v>
      </c>
      <c r="E401" s="252" t="s">
        <v>607</v>
      </c>
      <c r="F401" s="252"/>
      <c r="G401" s="253"/>
      <c r="H401" s="253" t="s">
        <v>34</v>
      </c>
      <c r="I401" s="253" t="s">
        <v>34</v>
      </c>
      <c r="J401" s="253" t="s">
        <v>611</v>
      </c>
      <c r="K401" s="254"/>
      <c r="L401" s="255"/>
      <c r="M401" s="255" t="s">
        <v>1414</v>
      </c>
      <c r="N401" s="254">
        <v>611301</v>
      </c>
      <c r="O401" s="254" t="s">
        <v>1321</v>
      </c>
      <c r="P401" s="258">
        <v>44442</v>
      </c>
      <c r="Q401" s="259">
        <v>5341347.12</v>
      </c>
      <c r="R401" s="259" t="s">
        <v>1417</v>
      </c>
      <c r="S401" s="254">
        <v>4</v>
      </c>
      <c r="T401" s="256">
        <v>-0.38398101623803849</v>
      </c>
      <c r="U401" s="256">
        <v>-4.9637975428491661</v>
      </c>
      <c r="V401" s="256" t="s">
        <v>1417</v>
      </c>
      <c r="W401" s="256" t="s">
        <v>1417</v>
      </c>
      <c r="X401" s="256" t="s">
        <v>1417</v>
      </c>
      <c r="Y401" s="256" t="s">
        <v>1417</v>
      </c>
      <c r="Z401" s="256" t="s">
        <v>1417</v>
      </c>
      <c r="AA401" s="256" t="s">
        <v>1417</v>
      </c>
      <c r="AB401" s="256" t="s">
        <v>1417</v>
      </c>
      <c r="AC401" s="260" t="s">
        <v>1417</v>
      </c>
      <c r="AD401" s="405">
        <v>0</v>
      </c>
      <c r="AE401" s="257" t="s">
        <v>2144</v>
      </c>
      <c r="AF401" s="257" t="s">
        <v>2109</v>
      </c>
      <c r="AG401" s="261" t="s">
        <v>1432</v>
      </c>
      <c r="AH401" s="261" t="s">
        <v>2113</v>
      </c>
      <c r="AI401" s="261">
        <v>0</v>
      </c>
      <c r="AJ401" s="261">
        <v>0</v>
      </c>
      <c r="AK401" s="261">
        <v>0</v>
      </c>
      <c r="AL401" s="256">
        <v>2.5000000000000001E-3</v>
      </c>
      <c r="AM401" s="256" t="s">
        <v>34</v>
      </c>
      <c r="AN401" s="256" t="s">
        <v>34</v>
      </c>
      <c r="AO401" s="254" t="s">
        <v>1324</v>
      </c>
      <c r="AP401" s="257" t="s">
        <v>13</v>
      </c>
      <c r="AQ401" s="263" t="s">
        <v>671</v>
      </c>
      <c r="AR401" s="256">
        <v>8.3325000000000001E-4</v>
      </c>
      <c r="AS401" s="256">
        <v>8.3325000000000001E-4</v>
      </c>
      <c r="AT401" s="256"/>
      <c r="AW401" s="508"/>
      <c r="AX401" s="508"/>
      <c r="AY401" s="509"/>
      <c r="AZ401" s="509"/>
      <c r="BA401" s="509"/>
      <c r="BB401" s="510"/>
      <c r="BC401" s="509"/>
      <c r="BD401" s="509"/>
      <c r="BE401" s="509"/>
      <c r="BF401" s="509"/>
      <c r="BG401" s="510"/>
      <c r="BH401" s="510"/>
      <c r="BI401" s="511"/>
      <c r="BJ401" s="511"/>
      <c r="BK401" s="511"/>
      <c r="BL401" s="195"/>
      <c r="BM401" s="510"/>
      <c r="BN401" s="510"/>
      <c r="BO401" s="510"/>
      <c r="BP401" s="510"/>
      <c r="BQ401" s="510"/>
      <c r="BR401" s="510"/>
      <c r="BS401" s="510"/>
      <c r="BT401" s="513"/>
      <c r="BU401" s="514"/>
      <c r="BV401" s="512"/>
      <c r="BW401" s="515"/>
    </row>
    <row r="402" spans="2:75" ht="15.75" customHeight="1">
      <c r="B402" s="250" t="s">
        <v>965</v>
      </c>
      <c r="C402" s="251">
        <v>38318112000168</v>
      </c>
      <c r="D402" s="252" t="s">
        <v>14</v>
      </c>
      <c r="E402" s="252" t="s">
        <v>607</v>
      </c>
      <c r="F402" s="252"/>
      <c r="G402" s="253"/>
      <c r="H402" s="253" t="s">
        <v>34</v>
      </c>
      <c r="I402" s="253" t="s">
        <v>34</v>
      </c>
      <c r="J402" s="253" t="s">
        <v>611</v>
      </c>
      <c r="K402" s="254" t="s">
        <v>49</v>
      </c>
      <c r="L402" s="255"/>
      <c r="M402" s="255" t="s">
        <v>1414</v>
      </c>
      <c r="N402" s="254">
        <v>555959</v>
      </c>
      <c r="O402" s="254" t="s">
        <v>1321</v>
      </c>
      <c r="P402" s="258">
        <v>44123</v>
      </c>
      <c r="Q402" s="259">
        <v>9292934.5700000003</v>
      </c>
      <c r="R402" s="259">
        <v>16038176.545992063</v>
      </c>
      <c r="S402" s="254">
        <v>4</v>
      </c>
      <c r="T402" s="256">
        <v>-0.24508117547014885</v>
      </c>
      <c r="U402" s="256">
        <v>-3.168212190581718</v>
      </c>
      <c r="V402" s="256">
        <v>-0.22253696503611065</v>
      </c>
      <c r="W402" s="256">
        <v>-2.1816063620578818</v>
      </c>
      <c r="X402" s="256" t="s">
        <v>1417</v>
      </c>
      <c r="Y402" s="256" t="s">
        <v>1417</v>
      </c>
      <c r="Z402" s="256" t="s">
        <v>1417</v>
      </c>
      <c r="AA402" s="256" t="s">
        <v>1417</v>
      </c>
      <c r="AB402" s="256">
        <v>0.16961819614311521</v>
      </c>
      <c r="AC402" s="260">
        <v>-1.9714594844426199</v>
      </c>
      <c r="AD402" s="405">
        <v>38418180000107</v>
      </c>
      <c r="AE402" s="257" t="s">
        <v>2123</v>
      </c>
      <c r="AF402" s="257" t="s">
        <v>2109</v>
      </c>
      <c r="AG402" s="261" t="s">
        <v>1432</v>
      </c>
      <c r="AH402" s="261" t="s">
        <v>2110</v>
      </c>
      <c r="AI402" s="261">
        <v>10000</v>
      </c>
      <c r="AJ402" s="261">
        <v>10000</v>
      </c>
      <c r="AK402" s="261">
        <v>10000</v>
      </c>
      <c r="AL402" s="256">
        <v>5.0000000000000001E-3</v>
      </c>
      <c r="AM402" s="256" t="s">
        <v>34</v>
      </c>
      <c r="AN402" s="256" t="s">
        <v>34</v>
      </c>
      <c r="AO402" s="254" t="s">
        <v>1324</v>
      </c>
      <c r="AP402" s="257" t="s">
        <v>716</v>
      </c>
      <c r="AQ402" s="263" t="s">
        <v>687</v>
      </c>
      <c r="AR402" s="256">
        <v>3.3E-3</v>
      </c>
      <c r="AS402" s="256">
        <v>3.3E-3</v>
      </c>
      <c r="AT402" s="256"/>
      <c r="AW402" s="508"/>
      <c r="AX402" s="508"/>
      <c r="AY402" s="509"/>
      <c r="AZ402" s="509"/>
      <c r="BA402" s="509"/>
      <c r="BB402" s="510"/>
      <c r="BC402" s="509"/>
      <c r="BD402" s="509"/>
      <c r="BE402" s="509"/>
      <c r="BF402" s="509"/>
      <c r="BG402" s="510"/>
      <c r="BH402" s="510"/>
      <c r="BI402" s="511"/>
      <c r="BJ402" s="511"/>
      <c r="BK402" s="511"/>
      <c r="BL402" s="510"/>
      <c r="BM402" s="510"/>
      <c r="BN402" s="510"/>
      <c r="BO402" s="510"/>
      <c r="BP402" s="510"/>
      <c r="BQ402" s="510"/>
      <c r="BR402" s="510"/>
      <c r="BS402" s="510"/>
      <c r="BT402" s="513"/>
      <c r="BU402" s="514"/>
      <c r="BV402" s="512"/>
      <c r="BW402" s="515"/>
    </row>
    <row r="403" spans="2:75" ht="15.75" customHeight="1">
      <c r="B403" s="250" t="s">
        <v>983</v>
      </c>
      <c r="C403" s="251">
        <v>8140054000164</v>
      </c>
      <c r="D403" s="252" t="s">
        <v>14</v>
      </c>
      <c r="E403" s="252" t="s">
        <v>607</v>
      </c>
      <c r="F403" s="252"/>
      <c r="G403" s="253"/>
      <c r="H403" s="253" t="s">
        <v>34</v>
      </c>
      <c r="I403" s="253" t="s">
        <v>34</v>
      </c>
      <c r="J403" s="253" t="s">
        <v>608</v>
      </c>
      <c r="K403" s="254" t="s">
        <v>48</v>
      </c>
      <c r="L403" s="255"/>
      <c r="M403" s="255" t="s">
        <v>34</v>
      </c>
      <c r="N403" s="254">
        <v>171751</v>
      </c>
      <c r="O403" s="254" t="s">
        <v>1321</v>
      </c>
      <c r="P403" s="258">
        <v>38989</v>
      </c>
      <c r="Q403" s="259">
        <v>94697227.439999998</v>
      </c>
      <c r="R403" s="259">
        <v>104236003.17710321</v>
      </c>
      <c r="S403" s="254">
        <v>4</v>
      </c>
      <c r="T403" s="256">
        <v>1.5317927777944718E-3</v>
      </c>
      <c r="U403" s="256">
        <v>1.9801784215959028E-2</v>
      </c>
      <c r="V403" s="256">
        <v>-0.15806569529141179</v>
      </c>
      <c r="W403" s="256">
        <v>-1.5495723436998006</v>
      </c>
      <c r="X403" s="256">
        <v>1.2393823807989035E-2</v>
      </c>
      <c r="Y403" s="256">
        <v>9.3984617404829163E-2</v>
      </c>
      <c r="Z403" s="256">
        <v>0.31937775522826883</v>
      </c>
      <c r="AA403" s="256">
        <v>1.8154466992370046</v>
      </c>
      <c r="AB403" s="256">
        <v>0.24350769212291512</v>
      </c>
      <c r="AC403" s="260">
        <v>-0.98367537585425269</v>
      </c>
      <c r="AD403" s="405">
        <v>0</v>
      </c>
      <c r="AE403" s="257" t="s">
        <v>2276</v>
      </c>
      <c r="AF403" s="257" t="s">
        <v>736</v>
      </c>
      <c r="AG403" s="261" t="s">
        <v>736</v>
      </c>
      <c r="AH403" s="261" t="s">
        <v>2113</v>
      </c>
      <c r="AI403" s="261">
        <v>5000</v>
      </c>
      <c r="AJ403" s="261">
        <v>1000</v>
      </c>
      <c r="AK403" s="261">
        <v>1000</v>
      </c>
      <c r="AL403" s="256">
        <v>0.02</v>
      </c>
      <c r="AM403" s="256">
        <v>0.2</v>
      </c>
      <c r="AN403" s="256" t="s">
        <v>666</v>
      </c>
      <c r="AO403" s="254" t="s">
        <v>1324</v>
      </c>
      <c r="AP403" s="257" t="s">
        <v>716</v>
      </c>
      <c r="AQ403" s="263" t="s">
        <v>659</v>
      </c>
      <c r="AR403" s="256">
        <v>4.0000000000000001E-3</v>
      </c>
      <c r="AS403" s="256">
        <v>4.0000000000000001E-3</v>
      </c>
      <c r="AT403" s="256"/>
      <c r="AW403" s="508"/>
      <c r="AX403" s="508"/>
      <c r="AY403" s="509"/>
      <c r="AZ403" s="509"/>
      <c r="BA403" s="509"/>
      <c r="BB403" s="510"/>
      <c r="BC403" s="509"/>
      <c r="BD403" s="509"/>
      <c r="BE403" s="509"/>
      <c r="BF403" s="509"/>
      <c r="BG403" s="510"/>
      <c r="BH403" s="510"/>
      <c r="BI403" s="511"/>
      <c r="BJ403" s="511"/>
      <c r="BK403" s="511"/>
      <c r="BL403" s="510"/>
      <c r="BM403" s="510"/>
      <c r="BN403" s="510"/>
      <c r="BO403" s="510"/>
      <c r="BP403" s="510"/>
      <c r="BQ403" s="510"/>
      <c r="BR403" s="510"/>
      <c r="BS403" s="510"/>
      <c r="BT403" s="513"/>
      <c r="BU403" s="514"/>
      <c r="BV403" s="512"/>
      <c r="BW403" s="515"/>
    </row>
    <row r="404" spans="2:75" ht="15.75" customHeight="1">
      <c r="B404" s="250" t="s">
        <v>558</v>
      </c>
      <c r="C404" s="251">
        <v>41956196000170</v>
      </c>
      <c r="D404" s="252" t="s">
        <v>14</v>
      </c>
      <c r="E404" s="252" t="s">
        <v>607</v>
      </c>
      <c r="F404" s="252"/>
      <c r="G404" s="253"/>
      <c r="H404" s="253" t="s">
        <v>34</v>
      </c>
      <c r="I404" s="253" t="s">
        <v>34</v>
      </c>
      <c r="J404" s="253" t="s">
        <v>608</v>
      </c>
      <c r="K404" s="254" t="s">
        <v>48</v>
      </c>
      <c r="L404" s="255"/>
      <c r="M404" s="255" t="s">
        <v>1414</v>
      </c>
      <c r="N404" s="254">
        <v>624489</v>
      </c>
      <c r="O404" s="254" t="s">
        <v>1321</v>
      </c>
      <c r="P404" s="258">
        <v>44497</v>
      </c>
      <c r="Q404" s="259">
        <v>108864359.34999999</v>
      </c>
      <c r="R404" s="259" t="s">
        <v>1417</v>
      </c>
      <c r="S404" s="254">
        <v>4</v>
      </c>
      <c r="T404" s="256">
        <v>-0.16372640698569108</v>
      </c>
      <c r="U404" s="256">
        <v>-2.1165232194481249</v>
      </c>
      <c r="V404" s="256" t="s">
        <v>1417</v>
      </c>
      <c r="W404" s="256" t="s">
        <v>1417</v>
      </c>
      <c r="X404" s="256" t="s">
        <v>1417</v>
      </c>
      <c r="Y404" s="256" t="s">
        <v>1417</v>
      </c>
      <c r="Z404" s="256" t="s">
        <v>1417</v>
      </c>
      <c r="AA404" s="256" t="s">
        <v>1417</v>
      </c>
      <c r="AB404" s="256" t="s">
        <v>1417</v>
      </c>
      <c r="AC404" s="260" t="s">
        <v>1417</v>
      </c>
      <c r="AD404" s="405">
        <v>42196278000126</v>
      </c>
      <c r="AE404" s="257" t="s">
        <v>2290</v>
      </c>
      <c r="AF404" s="257" t="s">
        <v>928</v>
      </c>
      <c r="AG404" s="261" t="s">
        <v>928</v>
      </c>
      <c r="AH404" s="261" t="s">
        <v>2113</v>
      </c>
      <c r="AI404" s="261">
        <v>0</v>
      </c>
      <c r="AJ404" s="261">
        <v>0</v>
      </c>
      <c r="AK404" s="261">
        <v>0</v>
      </c>
      <c r="AL404" s="256">
        <v>1.3500000000000002E-2</v>
      </c>
      <c r="AM404" s="256">
        <v>0.2</v>
      </c>
      <c r="AN404" s="256" t="s">
        <v>666</v>
      </c>
      <c r="AO404" s="254" t="s">
        <v>1324</v>
      </c>
      <c r="AP404" s="257" t="s">
        <v>716</v>
      </c>
      <c r="AQ404" s="263" t="s">
        <v>659</v>
      </c>
      <c r="AR404" s="256">
        <v>3.1499999999999996E-3</v>
      </c>
      <c r="AS404" s="256">
        <v>3.1499999999999996E-3</v>
      </c>
      <c r="AT404" s="256"/>
      <c r="AW404" s="508"/>
      <c r="AX404" s="508"/>
      <c r="AY404" s="509"/>
      <c r="AZ404" s="509"/>
      <c r="BA404" s="509"/>
      <c r="BB404" s="510"/>
      <c r="BC404" s="509"/>
      <c r="BD404" s="509"/>
      <c r="BE404" s="509"/>
      <c r="BF404" s="509"/>
      <c r="BG404" s="510"/>
      <c r="BH404" s="510"/>
      <c r="BI404" s="511"/>
      <c r="BJ404" s="511"/>
      <c r="BK404" s="511"/>
      <c r="BL404" s="510"/>
      <c r="BM404" s="510"/>
      <c r="BN404" s="510"/>
      <c r="BO404" s="510"/>
      <c r="BP404" s="510"/>
      <c r="BQ404" s="510"/>
      <c r="BR404" s="510"/>
      <c r="BS404" s="510"/>
      <c r="BT404" s="513"/>
      <c r="BU404" s="514"/>
      <c r="BV404" s="512"/>
      <c r="BW404" s="515"/>
    </row>
    <row r="405" spans="2:75" ht="15.75" customHeight="1">
      <c r="B405" s="250" t="s">
        <v>1060</v>
      </c>
      <c r="C405" s="251">
        <v>38001966000116</v>
      </c>
      <c r="D405" s="252" t="s">
        <v>14</v>
      </c>
      <c r="E405" s="252" t="s">
        <v>607</v>
      </c>
      <c r="F405" s="252"/>
      <c r="G405" s="253"/>
      <c r="H405" s="253" t="s">
        <v>34</v>
      </c>
      <c r="I405" s="253" t="s">
        <v>34</v>
      </c>
      <c r="J405" s="253" t="s">
        <v>611</v>
      </c>
      <c r="K405" s="254"/>
      <c r="L405" s="255"/>
      <c r="M405" s="255" t="s">
        <v>1414</v>
      </c>
      <c r="N405" s="254">
        <v>555568</v>
      </c>
      <c r="O405" s="254" t="s">
        <v>1321</v>
      </c>
      <c r="P405" s="258">
        <v>44118</v>
      </c>
      <c r="Q405" s="259">
        <v>66694208.93</v>
      </c>
      <c r="R405" s="259">
        <v>84125032.318412706</v>
      </c>
      <c r="S405" s="254">
        <v>4</v>
      </c>
      <c r="T405" s="256">
        <v>-0.38375040352985879</v>
      </c>
      <c r="U405" s="256">
        <v>-4.9608163673592234</v>
      </c>
      <c r="V405" s="256">
        <v>-0.34339413623672743</v>
      </c>
      <c r="W405" s="256">
        <v>-3.3664107542126871</v>
      </c>
      <c r="X405" s="256" t="s">
        <v>1417</v>
      </c>
      <c r="Y405" s="256" t="s">
        <v>1417</v>
      </c>
      <c r="Z405" s="256" t="s">
        <v>1417</v>
      </c>
      <c r="AA405" s="256" t="s">
        <v>1417</v>
      </c>
      <c r="AB405" s="256">
        <v>0.28289934287283935</v>
      </c>
      <c r="AC405" s="260">
        <v>-1.688249244424501</v>
      </c>
      <c r="AD405" s="405">
        <v>38012975000102</v>
      </c>
      <c r="AE405" s="257" t="s">
        <v>2317</v>
      </c>
      <c r="AF405" s="257" t="s">
        <v>2115</v>
      </c>
      <c r="AG405" s="261" t="s">
        <v>719</v>
      </c>
      <c r="AH405" s="261" t="s">
        <v>2110</v>
      </c>
      <c r="AI405" s="261">
        <v>1000</v>
      </c>
      <c r="AJ405" s="261">
        <v>500</v>
      </c>
      <c r="AK405" s="261">
        <v>500</v>
      </c>
      <c r="AL405" s="256">
        <v>6.9999999999999993E-3</v>
      </c>
      <c r="AM405" s="256" t="s">
        <v>34</v>
      </c>
      <c r="AN405" s="256" t="s">
        <v>2122</v>
      </c>
      <c r="AO405" s="254" t="s">
        <v>1324</v>
      </c>
      <c r="AP405" s="257" t="s">
        <v>13</v>
      </c>
      <c r="AQ405" s="263" t="s">
        <v>679</v>
      </c>
      <c r="AR405" s="256">
        <v>1.8666666666666666E-3</v>
      </c>
      <c r="AS405" s="256">
        <v>1.8666666666666666E-3</v>
      </c>
      <c r="AT405" s="256"/>
      <c r="AW405" s="508"/>
      <c r="AX405" s="508"/>
      <c r="AY405" s="509"/>
      <c r="AZ405" s="509"/>
      <c r="BA405" s="509"/>
      <c r="BB405" s="510"/>
      <c r="BC405" s="509"/>
      <c r="BD405" s="509"/>
      <c r="BE405" s="509"/>
      <c r="BF405" s="509"/>
      <c r="BG405" s="510"/>
      <c r="BH405" s="510"/>
      <c r="BI405" s="511"/>
      <c r="BJ405" s="511"/>
      <c r="BK405" s="511"/>
      <c r="BL405" s="510"/>
      <c r="BM405" s="510"/>
      <c r="BN405" s="510"/>
      <c r="BO405" s="510"/>
      <c r="BP405" s="510"/>
      <c r="BQ405" s="510"/>
      <c r="BR405" s="510"/>
      <c r="BS405" s="510"/>
      <c r="BT405" s="513"/>
      <c r="BU405" s="514"/>
      <c r="BV405" s="512"/>
      <c r="BW405" s="515"/>
    </row>
    <row r="406" spans="2:75" ht="15.75" customHeight="1">
      <c r="B406" s="250" t="s">
        <v>1177</v>
      </c>
      <c r="C406" s="251">
        <v>37308394000150</v>
      </c>
      <c r="D406" s="252" t="s">
        <v>14</v>
      </c>
      <c r="E406" s="252" t="s">
        <v>607</v>
      </c>
      <c r="F406" s="252"/>
      <c r="G406" s="253"/>
      <c r="H406" s="253" t="s">
        <v>34</v>
      </c>
      <c r="I406" s="253" t="s">
        <v>34</v>
      </c>
      <c r="J406" s="253" t="s">
        <v>611</v>
      </c>
      <c r="K406" s="254" t="s">
        <v>48</v>
      </c>
      <c r="L406" s="255"/>
      <c r="M406" s="255" t="s">
        <v>34</v>
      </c>
      <c r="N406" s="254">
        <v>548049</v>
      </c>
      <c r="O406" s="254" t="s">
        <v>1321</v>
      </c>
      <c r="P406" s="258">
        <v>44053</v>
      </c>
      <c r="Q406" s="259">
        <v>280161681.20999998</v>
      </c>
      <c r="R406" s="259">
        <v>297831158.04920614</v>
      </c>
      <c r="S406" s="254">
        <v>4</v>
      </c>
      <c r="T406" s="256">
        <v>-0.24542685930095154</v>
      </c>
      <c r="U406" s="256">
        <v>-3.1726809129335476</v>
      </c>
      <c r="V406" s="256">
        <v>-0.18253869682230917</v>
      </c>
      <c r="W406" s="256">
        <v>-1.7894895899415404</v>
      </c>
      <c r="X406" s="256">
        <v>5.1732423295131724E-2</v>
      </c>
      <c r="Y406" s="256">
        <v>0.39229636358744729</v>
      </c>
      <c r="Z406" s="256" t="s">
        <v>1417</v>
      </c>
      <c r="AA406" s="256" t="s">
        <v>1417</v>
      </c>
      <c r="AB406" s="256">
        <v>0.21381421874313392</v>
      </c>
      <c r="AC406" s="260">
        <v>-1.2899816743565506</v>
      </c>
      <c r="AD406" s="405">
        <v>37308317000108</v>
      </c>
      <c r="AE406" s="257" t="s">
        <v>2386</v>
      </c>
      <c r="AF406" s="257" t="s">
        <v>2115</v>
      </c>
      <c r="AG406" s="261" t="s">
        <v>719</v>
      </c>
      <c r="AH406" s="261" t="s">
        <v>2110</v>
      </c>
      <c r="AI406" s="261">
        <v>5000</v>
      </c>
      <c r="AJ406" s="261">
        <v>500</v>
      </c>
      <c r="AK406" s="261">
        <v>500</v>
      </c>
      <c r="AL406" s="256">
        <v>8.5000000000000006E-3</v>
      </c>
      <c r="AM406" s="256" t="s">
        <v>34</v>
      </c>
      <c r="AN406" s="256" t="s">
        <v>2122</v>
      </c>
      <c r="AO406" s="254" t="s">
        <v>1324</v>
      </c>
      <c r="AP406" s="257" t="s">
        <v>716</v>
      </c>
      <c r="AQ406" s="263" t="s">
        <v>687</v>
      </c>
      <c r="AR406" s="256">
        <v>4.0233333333333328E-3</v>
      </c>
      <c r="AS406" s="256">
        <v>4.0233333333333328E-3</v>
      </c>
      <c r="AT406" s="256"/>
      <c r="AW406" s="508"/>
      <c r="AX406" s="508"/>
      <c r="AY406" s="509"/>
      <c r="AZ406" s="509"/>
      <c r="BA406" s="509"/>
      <c r="BB406" s="510"/>
      <c r="BC406" s="509"/>
      <c r="BD406" s="509"/>
      <c r="BE406" s="509"/>
      <c r="BF406" s="509"/>
      <c r="BG406" s="510"/>
      <c r="BH406" s="510"/>
      <c r="BI406" s="511"/>
      <c r="BJ406" s="511"/>
      <c r="BK406" s="511"/>
      <c r="BL406" s="510"/>
      <c r="BM406" s="510"/>
      <c r="BN406" s="510"/>
      <c r="BO406" s="510"/>
      <c r="BP406" s="510"/>
      <c r="BQ406" s="510"/>
      <c r="BR406" s="510"/>
      <c r="BS406" s="510"/>
      <c r="BT406" s="513"/>
      <c r="BU406" s="514"/>
      <c r="BV406" s="512"/>
      <c r="BW406" s="515"/>
    </row>
    <row r="407" spans="2:75" ht="15.75" customHeight="1">
      <c r="B407" s="250" t="s">
        <v>1691</v>
      </c>
      <c r="C407" s="251">
        <v>37308317000108</v>
      </c>
      <c r="D407" s="252" t="s">
        <v>14</v>
      </c>
      <c r="E407" s="252" t="s">
        <v>607</v>
      </c>
      <c r="F407" s="252"/>
      <c r="G407" s="253"/>
      <c r="H407" s="253" t="s">
        <v>34</v>
      </c>
      <c r="I407" s="253" t="s">
        <v>34</v>
      </c>
      <c r="J407" s="253" t="s">
        <v>611</v>
      </c>
      <c r="K407" s="254" t="s">
        <v>49</v>
      </c>
      <c r="L407" s="255"/>
      <c r="M407" s="255"/>
      <c r="N407" s="254">
        <v>549622</v>
      </c>
      <c r="O407" s="254" t="s">
        <v>1321</v>
      </c>
      <c r="P407" s="258">
        <v>44053</v>
      </c>
      <c r="Q407" s="259">
        <v>310795492.83999997</v>
      </c>
      <c r="R407" s="259">
        <v>359650280.17448407</v>
      </c>
      <c r="S407" s="254">
        <v>4</v>
      </c>
      <c r="T407" s="256">
        <v>-0.2911534088975869</v>
      </c>
      <c r="U407" s="256">
        <v>-3.2748683649382371</v>
      </c>
      <c r="V407" s="256">
        <v>-0.24104858689067288</v>
      </c>
      <c r="W407" s="256">
        <v>-2.212273643637356</v>
      </c>
      <c r="X407" s="256">
        <v>-8.0940674025968828E-3</v>
      </c>
      <c r="Y407" s="256">
        <v>-5.6915785853595198E-2</v>
      </c>
      <c r="Z407" s="256" t="s">
        <v>1417</v>
      </c>
      <c r="AA407" s="256" t="s">
        <v>1417</v>
      </c>
      <c r="AB407" s="256">
        <v>0.21948552444762937</v>
      </c>
      <c r="AC407" s="260">
        <v>-1.6178035698000561</v>
      </c>
      <c r="AD407" s="405">
        <v>0</v>
      </c>
      <c r="AE407" s="257" t="s">
        <v>2386</v>
      </c>
      <c r="AF407" s="257" t="s">
        <v>2115</v>
      </c>
      <c r="AG407" s="261" t="s">
        <v>719</v>
      </c>
      <c r="AH407" s="261" t="s">
        <v>2170</v>
      </c>
      <c r="AI407" s="261">
        <v>5000</v>
      </c>
      <c r="AJ407" s="261">
        <v>500</v>
      </c>
      <c r="AK407" s="261">
        <v>500</v>
      </c>
      <c r="AL407" s="256">
        <v>1.5E-3</v>
      </c>
      <c r="AM407" s="256" t="s">
        <v>34</v>
      </c>
      <c r="AN407" s="256" t="s">
        <v>2122</v>
      </c>
      <c r="AO407" s="254" t="s">
        <v>1324</v>
      </c>
      <c r="AP407" s="257" t="s">
        <v>716</v>
      </c>
      <c r="AQ407" s="263" t="s">
        <v>687</v>
      </c>
      <c r="AR407" s="256" t="s">
        <v>34</v>
      </c>
      <c r="AS407" s="256" t="s">
        <v>34</v>
      </c>
      <c r="AT407" s="256"/>
      <c r="AW407" s="508"/>
      <c r="AX407" s="508"/>
      <c r="AY407" s="509"/>
      <c r="AZ407" s="509"/>
      <c r="BA407" s="509"/>
      <c r="BB407" s="510"/>
      <c r="BC407" s="509"/>
      <c r="BD407" s="509"/>
      <c r="BE407" s="509"/>
      <c r="BF407" s="509"/>
      <c r="BG407" s="510"/>
      <c r="BH407" s="510"/>
      <c r="BI407" s="511"/>
      <c r="BJ407" s="511"/>
      <c r="BK407" s="511"/>
      <c r="BL407" s="510"/>
      <c r="BM407" s="510"/>
      <c r="BN407" s="510"/>
      <c r="BO407" s="510"/>
      <c r="BP407" s="510"/>
      <c r="BQ407" s="510"/>
      <c r="BR407" s="510"/>
      <c r="BS407" s="510"/>
      <c r="BT407" s="513"/>
      <c r="BU407" s="514"/>
      <c r="BV407" s="512"/>
      <c r="BW407" s="515"/>
    </row>
    <row r="408" spans="2:75" ht="15.75" customHeight="1">
      <c r="B408" s="250" t="s">
        <v>1277</v>
      </c>
      <c r="C408" s="251">
        <v>19831126000136</v>
      </c>
      <c r="D408" s="252" t="s">
        <v>14</v>
      </c>
      <c r="E408" s="252" t="s">
        <v>607</v>
      </c>
      <c r="F408" s="252"/>
      <c r="G408" s="253"/>
      <c r="H408" s="253" t="s">
        <v>34</v>
      </c>
      <c r="I408" s="253" t="s">
        <v>34</v>
      </c>
      <c r="J408" s="253" t="s">
        <v>611</v>
      </c>
      <c r="K408" s="254"/>
      <c r="L408" s="255"/>
      <c r="M408" s="255" t="s">
        <v>34</v>
      </c>
      <c r="N408" s="254">
        <v>367222</v>
      </c>
      <c r="O408" s="254" t="s">
        <v>1321</v>
      </c>
      <c r="P408" s="258">
        <v>41765</v>
      </c>
      <c r="Q408" s="259">
        <v>1758618657.0599999</v>
      </c>
      <c r="R408" s="259">
        <v>3061751918.0788121</v>
      </c>
      <c r="S408" s="254">
        <v>4</v>
      </c>
      <c r="T408" s="256">
        <v>-0.33565100725964025</v>
      </c>
      <c r="U408" s="256">
        <v>-4.3390260836681431</v>
      </c>
      <c r="V408" s="256">
        <v>-0.2660256101950047</v>
      </c>
      <c r="W408" s="256">
        <v>-2.6079404991327078</v>
      </c>
      <c r="X408" s="256">
        <v>-0.13821115285353502</v>
      </c>
      <c r="Y408" s="256">
        <v>-1.0480802796023856</v>
      </c>
      <c r="Z408" s="256">
        <v>0.5000011392775725</v>
      </c>
      <c r="AA408" s="256">
        <v>2.8421685701542749</v>
      </c>
      <c r="AB408" s="256">
        <v>0.26239756550321319</v>
      </c>
      <c r="AC408" s="260">
        <v>-1.4175929041082311</v>
      </c>
      <c r="AD408" s="405">
        <v>0</v>
      </c>
      <c r="AE408" s="257" t="s">
        <v>2306</v>
      </c>
      <c r="AF408" s="257" t="s">
        <v>728</v>
      </c>
      <c r="AG408" s="261" t="s">
        <v>728</v>
      </c>
      <c r="AH408" s="261" t="s">
        <v>2113</v>
      </c>
      <c r="AI408" s="261">
        <v>1000</v>
      </c>
      <c r="AJ408" s="261">
        <v>100</v>
      </c>
      <c r="AK408" s="261">
        <v>500</v>
      </c>
      <c r="AL408" s="256">
        <v>1.4999999999999999E-2</v>
      </c>
      <c r="AM408" s="256" t="s">
        <v>34</v>
      </c>
      <c r="AN408" s="256" t="s">
        <v>2122</v>
      </c>
      <c r="AO408" s="254" t="s">
        <v>1324</v>
      </c>
      <c r="AP408" s="257" t="s">
        <v>716</v>
      </c>
      <c r="AQ408" s="263" t="s">
        <v>659</v>
      </c>
      <c r="AR408" s="256">
        <v>4.0000000000000001E-3</v>
      </c>
      <c r="AS408" s="256">
        <v>4.0000000000000001E-3</v>
      </c>
      <c r="AT408" s="256"/>
      <c r="AW408" s="508"/>
      <c r="AX408" s="508"/>
      <c r="AY408" s="509"/>
      <c r="AZ408" s="509"/>
      <c r="BA408" s="509"/>
      <c r="BB408" s="510"/>
      <c r="BC408" s="509"/>
      <c r="BD408" s="509"/>
      <c r="BE408" s="509"/>
      <c r="BF408" s="509"/>
      <c r="BG408" s="510"/>
      <c r="BH408" s="510"/>
      <c r="BI408" s="511"/>
      <c r="BJ408" s="511"/>
      <c r="BK408" s="511"/>
      <c r="BL408" s="510"/>
      <c r="BM408" s="510"/>
      <c r="BN408" s="510"/>
      <c r="BO408" s="510"/>
      <c r="BP408" s="510"/>
      <c r="BQ408" s="510"/>
      <c r="BR408" s="510"/>
      <c r="BS408" s="510"/>
      <c r="BT408" s="513"/>
      <c r="BU408" s="514"/>
      <c r="BV408" s="512"/>
      <c r="BW408" s="515"/>
    </row>
    <row r="409" spans="2:75" ht="15.75" customHeight="1">
      <c r="B409" s="250" t="s">
        <v>858</v>
      </c>
      <c r="C409" s="251">
        <v>34979818000110</v>
      </c>
      <c r="D409" s="252" t="s">
        <v>14</v>
      </c>
      <c r="E409" s="252" t="s">
        <v>15</v>
      </c>
      <c r="F409" s="252" t="s">
        <v>699</v>
      </c>
      <c r="G409" s="253"/>
      <c r="H409" s="253" t="s">
        <v>34</v>
      </c>
      <c r="I409" s="253" t="s">
        <v>34</v>
      </c>
      <c r="J409" s="253" t="s">
        <v>611</v>
      </c>
      <c r="K409" s="254" t="s">
        <v>49</v>
      </c>
      <c r="L409" s="255"/>
      <c r="M409" s="255" t="s">
        <v>1414</v>
      </c>
      <c r="N409" s="254">
        <v>534341</v>
      </c>
      <c r="O409" s="254" t="s">
        <v>1321</v>
      </c>
      <c r="P409" s="258">
        <v>43790</v>
      </c>
      <c r="Q409" s="259">
        <v>81703464.569999993</v>
      </c>
      <c r="R409" s="259">
        <v>107946993.30019853</v>
      </c>
      <c r="S409" s="254">
        <v>5</v>
      </c>
      <c r="T409" s="256">
        <v>-0.13456704515905349</v>
      </c>
      <c r="U409" s="256">
        <v>-1.7395744577510488</v>
      </c>
      <c r="V409" s="256">
        <v>-6.3489372141012135E-2</v>
      </c>
      <c r="W409" s="256">
        <v>-0.62240813863627986</v>
      </c>
      <c r="X409" s="256">
        <v>-0.19663968986569613</v>
      </c>
      <c r="Y409" s="256">
        <v>-1.4911544899257667</v>
      </c>
      <c r="Z409" s="256" t="s">
        <v>1417</v>
      </c>
      <c r="AA409" s="256" t="s">
        <v>1417</v>
      </c>
      <c r="AB409" s="256">
        <v>0.19274729941459146</v>
      </c>
      <c r="AC409" s="260">
        <v>-0.74828198444364991</v>
      </c>
      <c r="AD409" s="405">
        <v>0</v>
      </c>
      <c r="AE409" s="257" t="s">
        <v>2144</v>
      </c>
      <c r="AF409" s="257" t="s">
        <v>2109</v>
      </c>
      <c r="AG409" s="261" t="s">
        <v>1432</v>
      </c>
      <c r="AH409" s="261" t="s">
        <v>2113</v>
      </c>
      <c r="AI409" s="261">
        <v>500</v>
      </c>
      <c r="AJ409" s="261">
        <v>500</v>
      </c>
      <c r="AK409" s="261">
        <v>500</v>
      </c>
      <c r="AL409" s="256">
        <v>1E-3</v>
      </c>
      <c r="AM409" s="256" t="s">
        <v>34</v>
      </c>
      <c r="AN409" s="256" t="s">
        <v>34</v>
      </c>
      <c r="AO409" s="254" t="s">
        <v>1324</v>
      </c>
      <c r="AP409" s="257" t="s">
        <v>13</v>
      </c>
      <c r="AQ409" s="263" t="s">
        <v>671</v>
      </c>
      <c r="AR409" s="256">
        <v>3.5E-4</v>
      </c>
      <c r="AS409" s="256">
        <v>3.5E-4</v>
      </c>
      <c r="AT409" s="256"/>
      <c r="AW409" s="508"/>
      <c r="AX409" s="508"/>
      <c r="AY409" s="509"/>
      <c r="AZ409" s="509"/>
      <c r="BA409" s="509"/>
      <c r="BB409" s="510"/>
      <c r="BC409" s="509"/>
      <c r="BD409" s="509"/>
      <c r="BE409" s="509"/>
      <c r="BF409" s="509"/>
      <c r="BG409" s="510"/>
      <c r="BH409" s="510"/>
      <c r="BI409" s="511"/>
      <c r="BJ409" s="511"/>
      <c r="BK409" s="511"/>
      <c r="BL409" s="510"/>
      <c r="BM409" s="510"/>
      <c r="BN409" s="510"/>
      <c r="BO409" s="510"/>
      <c r="BP409" s="510"/>
      <c r="BQ409" s="510"/>
      <c r="BR409" s="510"/>
      <c r="BS409" s="510"/>
      <c r="BT409" s="513"/>
      <c r="BU409" s="514"/>
      <c r="BV409" s="512"/>
      <c r="BW409" s="515"/>
    </row>
    <row r="410" spans="2:75" ht="15.75" customHeight="1">
      <c r="B410" s="250" t="s">
        <v>1527</v>
      </c>
      <c r="C410" s="251">
        <v>36727910000118</v>
      </c>
      <c r="D410" s="252" t="s">
        <v>14</v>
      </c>
      <c r="E410" s="252" t="s">
        <v>15</v>
      </c>
      <c r="F410" s="252" t="s">
        <v>699</v>
      </c>
      <c r="G410" s="253"/>
      <c r="H410" s="253" t="s">
        <v>34</v>
      </c>
      <c r="I410" s="253" t="s">
        <v>34</v>
      </c>
      <c r="J410" s="253" t="s">
        <v>611</v>
      </c>
      <c r="K410" s="254" t="s">
        <v>49</v>
      </c>
      <c r="L410" s="255"/>
      <c r="M410" s="255"/>
      <c r="N410" s="254">
        <v>534803</v>
      </c>
      <c r="O410" s="254" t="s">
        <v>1321</v>
      </c>
      <c r="P410" s="258">
        <v>43941</v>
      </c>
      <c r="Q410" s="259">
        <v>10651881.77</v>
      </c>
      <c r="R410" s="259">
        <v>15533949.157142855</v>
      </c>
      <c r="S410" s="254">
        <v>5</v>
      </c>
      <c r="T410" s="256">
        <v>-0.13823613010169311</v>
      </c>
      <c r="U410" s="256">
        <v>-1.5548680370105508</v>
      </c>
      <c r="V410" s="256">
        <v>-8.222266671661338E-2</v>
      </c>
      <c r="W410" s="256">
        <v>-0.75461565999240721</v>
      </c>
      <c r="X410" s="256">
        <v>-0.19983620942516767</v>
      </c>
      <c r="Y410" s="256">
        <v>-1.4052063487620436</v>
      </c>
      <c r="Z410" s="256" t="s">
        <v>1417</v>
      </c>
      <c r="AA410" s="256" t="s">
        <v>1417</v>
      </c>
      <c r="AB410" s="256">
        <v>0.18996639070640456</v>
      </c>
      <c r="AC410" s="260">
        <v>-0.90146846247728718</v>
      </c>
      <c r="AD410" s="405">
        <v>34979818000110</v>
      </c>
      <c r="AE410" s="257" t="s">
        <v>2144</v>
      </c>
      <c r="AF410" s="257" t="s">
        <v>2109</v>
      </c>
      <c r="AG410" s="261" t="s">
        <v>1432</v>
      </c>
      <c r="AH410" s="261" t="s">
        <v>2113</v>
      </c>
      <c r="AI410" s="261">
        <v>500</v>
      </c>
      <c r="AJ410" s="261">
        <v>500</v>
      </c>
      <c r="AK410" s="261">
        <v>500</v>
      </c>
      <c r="AL410" s="256">
        <v>2E-3</v>
      </c>
      <c r="AM410" s="256" t="s">
        <v>34</v>
      </c>
      <c r="AN410" s="256" t="s">
        <v>34</v>
      </c>
      <c r="AO410" s="254" t="s">
        <v>1324</v>
      </c>
      <c r="AP410" s="257" t="s">
        <v>13</v>
      </c>
      <c r="AQ410" s="263" t="s">
        <v>671</v>
      </c>
      <c r="AR410" s="256" t="s">
        <v>34</v>
      </c>
      <c r="AS410" s="256" t="s">
        <v>34</v>
      </c>
      <c r="AT410" s="256"/>
      <c r="AW410" s="508"/>
      <c r="AX410" s="508"/>
      <c r="AY410" s="509"/>
      <c r="AZ410" s="509"/>
      <c r="BA410" s="509"/>
      <c r="BB410" s="510"/>
      <c r="BC410" s="509"/>
      <c r="BD410" s="509"/>
      <c r="BE410" s="509"/>
      <c r="BF410" s="509"/>
      <c r="BG410" s="510"/>
      <c r="BH410" s="510"/>
      <c r="BI410" s="511"/>
      <c r="BJ410" s="511"/>
      <c r="BK410" s="511"/>
      <c r="BL410" s="510"/>
      <c r="BM410" s="510"/>
      <c r="BN410" s="510"/>
      <c r="BO410" s="510"/>
      <c r="BP410" s="510"/>
      <c r="BQ410" s="510"/>
      <c r="BR410" s="510"/>
      <c r="BS410" s="510"/>
      <c r="BT410" s="513"/>
      <c r="BU410" s="514"/>
      <c r="BV410" s="512"/>
      <c r="BW410" s="515"/>
    </row>
    <row r="411" spans="2:75" ht="15.75" customHeight="1">
      <c r="B411" s="250" t="s">
        <v>1139</v>
      </c>
      <c r="C411" s="251">
        <v>38120941000131</v>
      </c>
      <c r="D411" s="252" t="s">
        <v>14</v>
      </c>
      <c r="E411" s="252" t="s">
        <v>15</v>
      </c>
      <c r="F411" s="252" t="s">
        <v>699</v>
      </c>
      <c r="G411" s="253"/>
      <c r="H411" s="253" t="s">
        <v>34</v>
      </c>
      <c r="I411" s="253" t="s">
        <v>34</v>
      </c>
      <c r="J411" s="253" t="s">
        <v>611</v>
      </c>
      <c r="K411" s="254"/>
      <c r="L411" s="255"/>
      <c r="M411" s="255" t="s">
        <v>1414</v>
      </c>
      <c r="N411" s="254">
        <v>550752</v>
      </c>
      <c r="O411" s="254" t="s">
        <v>1321</v>
      </c>
      <c r="P411" s="258">
        <v>44074</v>
      </c>
      <c r="Q411" s="259">
        <v>4321907.0999999996</v>
      </c>
      <c r="R411" s="259">
        <v>7034150.4769841302</v>
      </c>
      <c r="S411" s="254">
        <v>5</v>
      </c>
      <c r="T411" s="256">
        <v>-0.18877664935951277</v>
      </c>
      <c r="U411" s="256">
        <v>-2.4403525919550937</v>
      </c>
      <c r="V411" s="256">
        <v>-0.2036292371428623</v>
      </c>
      <c r="W411" s="256">
        <v>-1.9962474062669802</v>
      </c>
      <c r="X411" s="256" t="s">
        <v>1417</v>
      </c>
      <c r="Y411" s="256" t="s">
        <v>1417</v>
      </c>
      <c r="Z411" s="256" t="s">
        <v>1417</v>
      </c>
      <c r="AA411" s="256" t="s">
        <v>1417</v>
      </c>
      <c r="AB411" s="256">
        <v>0.27618292677638162</v>
      </c>
      <c r="AC411" s="260">
        <v>-1.0382383569188014</v>
      </c>
      <c r="AD411" s="405">
        <v>0</v>
      </c>
      <c r="AE411" s="257" t="s">
        <v>2144</v>
      </c>
      <c r="AF411" s="257" t="s">
        <v>2109</v>
      </c>
      <c r="AG411" s="261" t="s">
        <v>1432</v>
      </c>
      <c r="AH411" s="261" t="s">
        <v>2113</v>
      </c>
      <c r="AI411" s="261">
        <v>500</v>
      </c>
      <c r="AJ411" s="261">
        <v>500</v>
      </c>
      <c r="AK411" s="261">
        <v>500</v>
      </c>
      <c r="AL411" s="256">
        <v>1E-3</v>
      </c>
      <c r="AM411" s="256" t="s">
        <v>34</v>
      </c>
      <c r="AN411" s="256" t="s">
        <v>64</v>
      </c>
      <c r="AO411" s="254" t="s">
        <v>1324</v>
      </c>
      <c r="AP411" s="257" t="s">
        <v>13</v>
      </c>
      <c r="AQ411" s="263" t="s">
        <v>671</v>
      </c>
      <c r="AR411" s="256">
        <v>3.5E-4</v>
      </c>
      <c r="AS411" s="256">
        <v>3.5E-4</v>
      </c>
      <c r="AT411" s="256"/>
      <c r="AW411" s="508"/>
      <c r="AX411" s="508"/>
      <c r="AY411" s="509"/>
      <c r="AZ411" s="509"/>
      <c r="BA411" s="509"/>
      <c r="BB411" s="510"/>
      <c r="BC411" s="509"/>
      <c r="BD411" s="509"/>
      <c r="BE411" s="509"/>
      <c r="BF411" s="509"/>
      <c r="BG411" s="510"/>
      <c r="BH411" s="510"/>
      <c r="BI411" s="511"/>
      <c r="BJ411" s="511"/>
      <c r="BK411" s="511"/>
      <c r="BL411" s="510"/>
      <c r="BM411" s="510"/>
      <c r="BN411" s="510"/>
      <c r="BO411" s="510"/>
      <c r="BP411" s="510"/>
      <c r="BQ411" s="510"/>
      <c r="BR411" s="510"/>
      <c r="BS411" s="510"/>
      <c r="BT411" s="513"/>
      <c r="BU411" s="514"/>
      <c r="BV411" s="512"/>
      <c r="BW411" s="515"/>
    </row>
    <row r="412" spans="2:75" ht="15.75" customHeight="1">
      <c r="B412" s="250" t="s">
        <v>114</v>
      </c>
      <c r="C412" s="251">
        <v>19782311000188</v>
      </c>
      <c r="D412" s="252" t="s">
        <v>11</v>
      </c>
      <c r="E412" s="252" t="s">
        <v>620</v>
      </c>
      <c r="F412" s="252" t="s">
        <v>663</v>
      </c>
      <c r="G412" s="253" t="s">
        <v>738</v>
      </c>
      <c r="H412" s="253" t="s">
        <v>34</v>
      </c>
      <c r="I412" s="253"/>
      <c r="J412" s="253" t="s">
        <v>608</v>
      </c>
      <c r="K412" s="254" t="s">
        <v>48</v>
      </c>
      <c r="L412" s="255"/>
      <c r="M412" s="255" t="s">
        <v>34</v>
      </c>
      <c r="N412" s="254">
        <v>369888</v>
      </c>
      <c r="O412" s="254" t="s">
        <v>1321</v>
      </c>
      <c r="P412" s="258">
        <v>41757</v>
      </c>
      <c r="Q412" s="259">
        <v>760786987.98000002</v>
      </c>
      <c r="R412" s="259">
        <v>501577342.89007944</v>
      </c>
      <c r="S412" s="254">
        <v>5</v>
      </c>
      <c r="T412" s="256">
        <v>8.289653371521899E-2</v>
      </c>
      <c r="U412" s="256">
        <v>1.0716196711954904</v>
      </c>
      <c r="V412" s="256">
        <v>0.11195885854814969</v>
      </c>
      <c r="W412" s="256">
        <v>1.097571174558563</v>
      </c>
      <c r="X412" s="256">
        <v>0.17284857200397075</v>
      </c>
      <c r="Y412" s="256">
        <v>1.3107421212727497</v>
      </c>
      <c r="Z412" s="256">
        <v>0.17148970875523406</v>
      </c>
      <c r="AA412" s="256">
        <v>0.97480309951545552</v>
      </c>
      <c r="AB412" s="256">
        <v>3.4425611580745715E-3</v>
      </c>
      <c r="AC412" s="260">
        <v>2.6141522228830016</v>
      </c>
      <c r="AD412" s="405">
        <v>0</v>
      </c>
      <c r="AE412" s="257" t="s">
        <v>2164</v>
      </c>
      <c r="AF412" s="257" t="s">
        <v>2118</v>
      </c>
      <c r="AG412" s="261" t="s">
        <v>1433</v>
      </c>
      <c r="AH412" s="261" t="s">
        <v>2113</v>
      </c>
      <c r="AI412" s="261">
        <v>5000</v>
      </c>
      <c r="AJ412" s="261">
        <v>2500</v>
      </c>
      <c r="AK412" s="261">
        <v>5000</v>
      </c>
      <c r="AL412" s="256">
        <v>0.01</v>
      </c>
      <c r="AM412" s="256" t="s">
        <v>34</v>
      </c>
      <c r="AN412" s="256" t="s">
        <v>2127</v>
      </c>
      <c r="AO412" s="254" t="s">
        <v>1324</v>
      </c>
      <c r="AP412" s="257" t="s">
        <v>11</v>
      </c>
      <c r="AQ412" s="263" t="s">
        <v>669</v>
      </c>
      <c r="AR412" s="256">
        <v>3.0000000000000001E-3</v>
      </c>
      <c r="AS412" s="256">
        <v>3.0000000000000001E-3</v>
      </c>
      <c r="AT412" s="256"/>
      <c r="AW412" s="508"/>
      <c r="AX412" s="508"/>
      <c r="AY412" s="509"/>
      <c r="AZ412" s="509"/>
      <c r="BA412" s="509"/>
      <c r="BB412" s="510"/>
      <c r="BC412" s="509"/>
      <c r="BD412" s="509"/>
      <c r="BE412" s="509"/>
      <c r="BF412" s="509"/>
      <c r="BG412" s="510"/>
      <c r="BH412" s="510"/>
      <c r="BI412" s="511"/>
      <c r="BJ412" s="511"/>
      <c r="BK412" s="511"/>
      <c r="BL412" s="510"/>
      <c r="BM412" s="510"/>
      <c r="BN412" s="510"/>
      <c r="BO412" s="510"/>
      <c r="BP412" s="510"/>
      <c r="BQ412" s="510"/>
      <c r="BR412" s="510"/>
      <c r="BS412" s="510"/>
      <c r="BT412" s="513"/>
      <c r="BU412" s="514"/>
      <c r="BV412" s="512"/>
      <c r="BW412" s="515"/>
    </row>
    <row r="413" spans="2:75" ht="15.75" customHeight="1">
      <c r="B413" s="250" t="s">
        <v>800</v>
      </c>
      <c r="C413" s="251">
        <v>33361798000156</v>
      </c>
      <c r="D413" s="252" t="s">
        <v>11</v>
      </c>
      <c r="E413" s="252" t="s">
        <v>661</v>
      </c>
      <c r="F413" s="252" t="s">
        <v>663</v>
      </c>
      <c r="G413" s="253"/>
      <c r="H413" s="253" t="s">
        <v>34</v>
      </c>
      <c r="I413" s="253"/>
      <c r="J413" s="253" t="s">
        <v>611</v>
      </c>
      <c r="K413" s="254" t="s">
        <v>48</v>
      </c>
      <c r="L413" s="255"/>
      <c r="M413" s="255" t="s">
        <v>34</v>
      </c>
      <c r="N413" s="254">
        <v>501859</v>
      </c>
      <c r="O413" s="254" t="s">
        <v>1321</v>
      </c>
      <c r="P413" s="258">
        <v>43643</v>
      </c>
      <c r="Q413" s="259">
        <v>28564914.18</v>
      </c>
      <c r="R413" s="259">
        <v>47216349.616825424</v>
      </c>
      <c r="S413" s="254">
        <v>5</v>
      </c>
      <c r="T413" s="256">
        <v>-1.6590494031271108E-2</v>
      </c>
      <c r="U413" s="256">
        <v>-0.21446855449756275</v>
      </c>
      <c r="V413" s="256">
        <v>-1.6577260537070093E-2</v>
      </c>
      <c r="W413" s="256">
        <v>-0.16251258323440665</v>
      </c>
      <c r="X413" s="256">
        <v>4.2949298204509212E-2</v>
      </c>
      <c r="Y413" s="256">
        <v>0.32569233047792295</v>
      </c>
      <c r="Z413" s="256">
        <v>5.6719600375438661E-2</v>
      </c>
      <c r="AA413" s="256">
        <v>0.32241259636268449</v>
      </c>
      <c r="AB413" s="256">
        <v>2.7715465201511427E-2</v>
      </c>
      <c r="AC413" s="260">
        <v>-4.0946421844254033</v>
      </c>
      <c r="AD413" s="405">
        <v>33361923000128</v>
      </c>
      <c r="AE413" s="257" t="s">
        <v>2172</v>
      </c>
      <c r="AF413" s="257" t="s">
        <v>728</v>
      </c>
      <c r="AG413" s="261" t="s">
        <v>728</v>
      </c>
      <c r="AH413" s="261" t="s">
        <v>2110</v>
      </c>
      <c r="AI413" s="261">
        <v>10000</v>
      </c>
      <c r="AJ413" s="261">
        <v>5000</v>
      </c>
      <c r="AK413" s="261">
        <v>5000</v>
      </c>
      <c r="AL413" s="256">
        <v>8.0000000000000002E-3</v>
      </c>
      <c r="AM413" s="256" t="s">
        <v>34</v>
      </c>
      <c r="AN413" s="256" t="s">
        <v>34</v>
      </c>
      <c r="AO413" s="254" t="s">
        <v>1324</v>
      </c>
      <c r="AP413" s="257" t="s">
        <v>13</v>
      </c>
      <c r="AQ413" s="263" t="s">
        <v>679</v>
      </c>
      <c r="AR413" s="256">
        <v>4.6666666666666662E-3</v>
      </c>
      <c r="AS413" s="256">
        <v>4.6666666666666662E-3</v>
      </c>
      <c r="AT413" s="256"/>
      <c r="AW413" s="508"/>
      <c r="AX413" s="508"/>
      <c r="AY413" s="509"/>
      <c r="AZ413" s="509"/>
      <c r="BA413" s="509"/>
      <c r="BB413" s="510"/>
      <c r="BC413" s="509"/>
      <c r="BD413" s="509"/>
      <c r="BE413" s="509"/>
      <c r="BF413" s="509"/>
      <c r="BG413" s="510"/>
      <c r="BH413" s="510"/>
      <c r="BI413" s="511"/>
      <c r="BJ413" s="511"/>
      <c r="BK413" s="511"/>
      <c r="BL413" s="195"/>
      <c r="BM413" s="510"/>
      <c r="BN413" s="510"/>
      <c r="BO413" s="510"/>
      <c r="BP413" s="510"/>
      <c r="BQ413" s="510"/>
      <c r="BR413" s="510"/>
      <c r="BS413" s="510"/>
      <c r="BT413" s="513"/>
      <c r="BU413" s="514"/>
      <c r="BV413" s="512"/>
      <c r="BW413" s="515"/>
    </row>
    <row r="414" spans="2:75" ht="15.75" customHeight="1">
      <c r="B414" s="250" t="s">
        <v>869</v>
      </c>
      <c r="C414" s="251">
        <v>32295478000182</v>
      </c>
      <c r="D414" s="252" t="s">
        <v>11</v>
      </c>
      <c r="E414" s="252" t="s">
        <v>620</v>
      </c>
      <c r="F414" s="252" t="s">
        <v>663</v>
      </c>
      <c r="G414" s="253" t="s">
        <v>738</v>
      </c>
      <c r="H414" s="253" t="s">
        <v>34</v>
      </c>
      <c r="I414" s="253"/>
      <c r="J414" s="253" t="s">
        <v>608</v>
      </c>
      <c r="K414" s="254" t="s">
        <v>48</v>
      </c>
      <c r="L414" s="255"/>
      <c r="M414" s="255" t="s">
        <v>34</v>
      </c>
      <c r="N414" s="254">
        <v>491225</v>
      </c>
      <c r="O414" s="254" t="s">
        <v>1321</v>
      </c>
      <c r="P414" s="258">
        <v>43553</v>
      </c>
      <c r="Q414" s="259">
        <v>65618971.259999998</v>
      </c>
      <c r="R414" s="259">
        <v>39205909.48595237</v>
      </c>
      <c r="S414" s="254">
        <v>5</v>
      </c>
      <c r="T414" s="256">
        <v>8.3648963673595089E-2</v>
      </c>
      <c r="U414" s="256">
        <v>1.0813464801277268</v>
      </c>
      <c r="V414" s="256">
        <v>0.11082565876051698</v>
      </c>
      <c r="W414" s="256">
        <v>1.0864620275196384</v>
      </c>
      <c r="X414" s="256">
        <v>0.15252908302782475</v>
      </c>
      <c r="Y414" s="256">
        <v>1.1566557451170936</v>
      </c>
      <c r="Z414" s="256">
        <v>0.16541204165534795</v>
      </c>
      <c r="AA414" s="256">
        <v>0.94025566941136618</v>
      </c>
      <c r="AB414" s="256">
        <v>1.7482439727436905E-3</v>
      </c>
      <c r="AC414" s="260">
        <v>4.5616896217792808</v>
      </c>
      <c r="AD414" s="405">
        <v>0</v>
      </c>
      <c r="AE414" s="257" t="s">
        <v>2144</v>
      </c>
      <c r="AF414" s="257" t="s">
        <v>2109</v>
      </c>
      <c r="AG414" s="261" t="s">
        <v>1432</v>
      </c>
      <c r="AH414" s="261" t="s">
        <v>2113</v>
      </c>
      <c r="AI414" s="261">
        <v>1000</v>
      </c>
      <c r="AJ414" s="261">
        <v>1000</v>
      </c>
      <c r="AK414" s="261">
        <v>1000</v>
      </c>
      <c r="AL414" s="256">
        <v>4.0000000000000001E-3</v>
      </c>
      <c r="AM414" s="256" t="s">
        <v>34</v>
      </c>
      <c r="AN414" s="256" t="s">
        <v>34</v>
      </c>
      <c r="AO414" s="254" t="s">
        <v>1324</v>
      </c>
      <c r="AP414" s="257" t="s">
        <v>11</v>
      </c>
      <c r="AQ414" s="263" t="s">
        <v>669</v>
      </c>
      <c r="AR414" s="256">
        <v>1.7499999999999998E-3</v>
      </c>
      <c r="AS414" s="256">
        <v>1.7499999999999998E-3</v>
      </c>
      <c r="AT414" s="256"/>
      <c r="AW414" s="508"/>
      <c r="AX414" s="508"/>
      <c r="AY414" s="509"/>
      <c r="AZ414" s="509"/>
      <c r="BA414" s="509"/>
      <c r="BB414" s="510"/>
      <c r="BC414" s="509"/>
      <c r="BD414" s="509"/>
      <c r="BE414" s="509"/>
      <c r="BF414" s="509"/>
      <c r="BG414" s="510"/>
      <c r="BH414" s="510"/>
      <c r="BI414" s="511"/>
      <c r="BJ414" s="511"/>
      <c r="BK414" s="511"/>
      <c r="BL414" s="510"/>
      <c r="BM414" s="510"/>
      <c r="BN414" s="510"/>
      <c r="BO414" s="510"/>
      <c r="BP414" s="510"/>
      <c r="BQ414" s="510"/>
      <c r="BR414" s="510"/>
      <c r="BS414" s="510"/>
      <c r="BT414" s="513"/>
      <c r="BU414" s="514"/>
      <c r="BV414" s="512"/>
      <c r="BW414" s="515"/>
    </row>
    <row r="415" spans="2:75" ht="15.75" customHeight="1">
      <c r="B415" s="250" t="s">
        <v>158</v>
      </c>
      <c r="C415" s="251">
        <v>12796232000187</v>
      </c>
      <c r="D415" s="252" t="s">
        <v>11</v>
      </c>
      <c r="E415" s="252" t="s">
        <v>620</v>
      </c>
      <c r="F415" s="252" t="s">
        <v>663</v>
      </c>
      <c r="G415" s="253" t="s">
        <v>738</v>
      </c>
      <c r="H415" s="253" t="s">
        <v>34</v>
      </c>
      <c r="I415" s="253" t="s">
        <v>1304</v>
      </c>
      <c r="J415" s="253" t="s">
        <v>608</v>
      </c>
      <c r="K415" s="254" t="s">
        <v>48</v>
      </c>
      <c r="L415" s="255"/>
      <c r="M415" s="255" t="s">
        <v>1414</v>
      </c>
      <c r="N415" s="254">
        <v>412171</v>
      </c>
      <c r="O415" s="254" t="s">
        <v>1321</v>
      </c>
      <c r="P415" s="258">
        <v>42390</v>
      </c>
      <c r="Q415" s="259">
        <v>1413798622.79</v>
      </c>
      <c r="R415" s="259">
        <v>739604804.45396841</v>
      </c>
      <c r="S415" s="254">
        <v>5</v>
      </c>
      <c r="T415" s="256">
        <v>9.2784528855867521E-2</v>
      </c>
      <c r="U415" s="256">
        <v>1.1994437143310726</v>
      </c>
      <c r="V415" s="256">
        <v>0.13351492020821554</v>
      </c>
      <c r="W415" s="256">
        <v>1.3088926565913601</v>
      </c>
      <c r="X415" s="256">
        <v>0.20492068950091236</v>
      </c>
      <c r="Y415" s="256">
        <v>1.5539508144905589</v>
      </c>
      <c r="Z415" s="256">
        <v>0.1776189800701331</v>
      </c>
      <c r="AA415" s="256">
        <v>1.0096438647071593</v>
      </c>
      <c r="AB415" s="256">
        <v>7.9798189253412477E-3</v>
      </c>
      <c r="AC415" s="260">
        <v>3.5381863156013429</v>
      </c>
      <c r="AD415" s="405">
        <v>0</v>
      </c>
      <c r="AE415" s="257" t="s">
        <v>2195</v>
      </c>
      <c r="AF415" s="257" t="s">
        <v>2195</v>
      </c>
      <c r="AG415" s="261" t="s">
        <v>719</v>
      </c>
      <c r="AH415" s="261" t="s">
        <v>2113</v>
      </c>
      <c r="AI415" s="261">
        <v>1000</v>
      </c>
      <c r="AJ415" s="261">
        <v>1000</v>
      </c>
      <c r="AK415" s="261">
        <v>1000</v>
      </c>
      <c r="AL415" s="256">
        <v>5.0000000000000001E-3</v>
      </c>
      <c r="AM415" s="256" t="s">
        <v>34</v>
      </c>
      <c r="AN415" s="256" t="s">
        <v>64</v>
      </c>
      <c r="AO415" s="254" t="s">
        <v>1324</v>
      </c>
      <c r="AP415" s="257" t="s">
        <v>11</v>
      </c>
      <c r="AQ415" s="263" t="s">
        <v>662</v>
      </c>
      <c r="AR415" s="256">
        <v>1.5E-3</v>
      </c>
      <c r="AS415" s="256">
        <v>1.5E-3</v>
      </c>
      <c r="AT415" s="256"/>
      <c r="AW415" s="508"/>
      <c r="AX415" s="508"/>
      <c r="AY415" s="509"/>
      <c r="AZ415" s="509"/>
      <c r="BA415" s="509"/>
      <c r="BB415" s="510"/>
      <c r="BC415" s="509"/>
      <c r="BD415" s="509"/>
      <c r="BE415" s="509"/>
      <c r="BF415" s="509"/>
      <c r="BG415" s="510"/>
      <c r="BH415" s="510"/>
      <c r="BI415" s="511"/>
      <c r="BJ415" s="511"/>
      <c r="BK415" s="511"/>
      <c r="BL415" s="195"/>
      <c r="BM415" s="510"/>
      <c r="BN415" s="510"/>
      <c r="BO415" s="510"/>
      <c r="BP415" s="510"/>
      <c r="BQ415" s="510"/>
      <c r="BR415" s="510"/>
      <c r="BS415" s="510"/>
      <c r="BT415" s="513"/>
      <c r="BU415" s="514"/>
      <c r="BV415" s="512"/>
      <c r="BW415" s="515"/>
    </row>
    <row r="416" spans="2:75" ht="15.75" customHeight="1">
      <c r="B416" s="250" t="s">
        <v>184</v>
      </c>
      <c r="C416" s="251">
        <v>10783480000168</v>
      </c>
      <c r="D416" s="252" t="s">
        <v>11</v>
      </c>
      <c r="E416" s="252" t="s">
        <v>620</v>
      </c>
      <c r="F416" s="252" t="s">
        <v>663</v>
      </c>
      <c r="G416" s="253" t="s">
        <v>738</v>
      </c>
      <c r="H416" s="253" t="s">
        <v>34</v>
      </c>
      <c r="I416" s="253"/>
      <c r="J416" s="253" t="s">
        <v>608</v>
      </c>
      <c r="K416" s="254" t="s">
        <v>48</v>
      </c>
      <c r="L416" s="255"/>
      <c r="M416" s="255" t="s">
        <v>1414</v>
      </c>
      <c r="N416" s="254">
        <v>259624</v>
      </c>
      <c r="O416" s="254" t="s">
        <v>1321</v>
      </c>
      <c r="P416" s="258">
        <v>39931</v>
      </c>
      <c r="Q416" s="259">
        <v>1521023677.28</v>
      </c>
      <c r="R416" s="259">
        <v>1111161828.3398409</v>
      </c>
      <c r="S416" s="254">
        <v>5</v>
      </c>
      <c r="T416" s="256">
        <v>8.6691409097946703E-2</v>
      </c>
      <c r="U416" s="256">
        <v>1.1206767659569803</v>
      </c>
      <c r="V416" s="256">
        <v>0.11919231576884171</v>
      </c>
      <c r="W416" s="256">
        <v>1.1684832420875444</v>
      </c>
      <c r="X416" s="256">
        <v>0.17320454911417671</v>
      </c>
      <c r="Y416" s="256">
        <v>1.3134415603664391</v>
      </c>
      <c r="Z416" s="256">
        <v>0.19678621082460435</v>
      </c>
      <c r="AA416" s="256">
        <v>1.1185966181068074</v>
      </c>
      <c r="AB416" s="256">
        <v>2.7708619413541304E-3</v>
      </c>
      <c r="AC416" s="260">
        <v>5.5882217377019368</v>
      </c>
      <c r="AD416" s="405">
        <v>0</v>
      </c>
      <c r="AE416" s="257" t="s">
        <v>2224</v>
      </c>
      <c r="AF416" s="257" t="s">
        <v>741</v>
      </c>
      <c r="AG416" s="261" t="s">
        <v>741</v>
      </c>
      <c r="AH416" s="261" t="s">
        <v>2113</v>
      </c>
      <c r="AI416" s="261">
        <v>100</v>
      </c>
      <c r="AJ416" s="261">
        <v>100</v>
      </c>
      <c r="AK416" s="261">
        <v>100</v>
      </c>
      <c r="AL416" s="256">
        <v>3.4999999999999996E-3</v>
      </c>
      <c r="AM416" s="256" t="s">
        <v>34</v>
      </c>
      <c r="AN416" s="256" t="s">
        <v>64</v>
      </c>
      <c r="AO416" s="254" t="s">
        <v>1324</v>
      </c>
      <c r="AP416" s="257" t="s">
        <v>11</v>
      </c>
      <c r="AQ416" s="263" t="s">
        <v>662</v>
      </c>
      <c r="AR416" s="256">
        <v>7.000000000000001E-4</v>
      </c>
      <c r="AS416" s="256">
        <v>7.000000000000001E-4</v>
      </c>
      <c r="AT416" s="256"/>
      <c r="AW416" s="508"/>
      <c r="AX416" s="508"/>
      <c r="AY416" s="509"/>
      <c r="AZ416" s="509"/>
      <c r="BA416" s="509"/>
      <c r="BB416" s="510"/>
      <c r="BC416" s="509"/>
      <c r="BD416" s="509"/>
      <c r="BE416" s="509"/>
      <c r="BF416" s="509"/>
      <c r="BG416" s="510"/>
      <c r="BH416" s="510"/>
      <c r="BI416" s="511"/>
      <c r="BJ416" s="511"/>
      <c r="BK416" s="511"/>
      <c r="BL416" s="510"/>
      <c r="BM416" s="510"/>
      <c r="BN416" s="510"/>
      <c r="BO416" s="510"/>
      <c r="BP416" s="510"/>
      <c r="BQ416" s="510"/>
      <c r="BR416" s="510"/>
      <c r="BS416" s="510"/>
      <c r="BT416" s="513"/>
      <c r="BU416" s="514"/>
      <c r="BV416" s="512"/>
      <c r="BW416" s="515"/>
    </row>
    <row r="417" spans="2:75" ht="15.75" customHeight="1">
      <c r="B417" s="250" t="s">
        <v>1382</v>
      </c>
      <c r="C417" s="251">
        <v>23600995000127</v>
      </c>
      <c r="D417" s="252" t="s">
        <v>11</v>
      </c>
      <c r="E417" s="252" t="s">
        <v>620</v>
      </c>
      <c r="F417" s="252" t="s">
        <v>663</v>
      </c>
      <c r="G417" s="253" t="s">
        <v>738</v>
      </c>
      <c r="H417" s="253" t="s">
        <v>34</v>
      </c>
      <c r="I417" s="253"/>
      <c r="J417" s="253" t="s">
        <v>608</v>
      </c>
      <c r="K417" s="254" t="s">
        <v>48</v>
      </c>
      <c r="L417" s="255"/>
      <c r="M417" s="255" t="s">
        <v>34</v>
      </c>
      <c r="N417" s="254">
        <v>415359</v>
      </c>
      <c r="O417" s="254" t="s">
        <v>1321</v>
      </c>
      <c r="P417" s="258">
        <v>42458</v>
      </c>
      <c r="Q417" s="259">
        <v>73102718.969999999</v>
      </c>
      <c r="R417" s="259">
        <v>57790734.033968262</v>
      </c>
      <c r="S417" s="254">
        <v>5</v>
      </c>
      <c r="T417" s="256">
        <v>8.3759447875848547E-2</v>
      </c>
      <c r="U417" s="256">
        <v>1.0827747309747151</v>
      </c>
      <c r="V417" s="256">
        <v>0.11015277008969493</v>
      </c>
      <c r="W417" s="256">
        <v>1.0798654685839855</v>
      </c>
      <c r="X417" s="256">
        <v>0.15862281409939682</v>
      </c>
      <c r="Y417" s="256">
        <v>1.2028656148233621</v>
      </c>
      <c r="Z417" s="256">
        <v>0.17990053581462839</v>
      </c>
      <c r="AA417" s="256">
        <v>1.0226129672124629</v>
      </c>
      <c r="AB417" s="256">
        <v>4.6916927327580573E-3</v>
      </c>
      <c r="AC417" s="260">
        <v>1.5726080414809989</v>
      </c>
      <c r="AD417" s="405">
        <v>0</v>
      </c>
      <c r="AE417" s="257" t="s">
        <v>2311</v>
      </c>
      <c r="AF417" s="257" t="s">
        <v>2109</v>
      </c>
      <c r="AG417" s="261" t="s">
        <v>1432</v>
      </c>
      <c r="AH417" s="261" t="s">
        <v>2113</v>
      </c>
      <c r="AI417" s="261">
        <v>100</v>
      </c>
      <c r="AJ417" s="261">
        <v>100</v>
      </c>
      <c r="AK417" s="261">
        <v>100</v>
      </c>
      <c r="AL417" s="256">
        <v>8.0000000000000002E-3</v>
      </c>
      <c r="AM417" s="256">
        <v>0.2</v>
      </c>
      <c r="AN417" s="256" t="s">
        <v>34</v>
      </c>
      <c r="AO417" s="254" t="s">
        <v>1324</v>
      </c>
      <c r="AP417" s="257" t="s">
        <v>11</v>
      </c>
      <c r="AQ417" s="263" t="s">
        <v>675</v>
      </c>
      <c r="AR417" s="256">
        <v>2.6663999999999998E-3</v>
      </c>
      <c r="AS417" s="256">
        <v>2.6663999999999998E-3</v>
      </c>
      <c r="AT417" s="256"/>
      <c r="AW417" s="508"/>
      <c r="AX417" s="508"/>
      <c r="AY417" s="509"/>
      <c r="AZ417" s="509"/>
      <c r="BA417" s="509"/>
      <c r="BB417" s="510"/>
      <c r="BC417" s="509"/>
      <c r="BD417" s="509"/>
      <c r="BE417" s="509"/>
      <c r="BF417" s="509"/>
      <c r="BG417" s="510"/>
      <c r="BH417" s="510"/>
      <c r="BI417" s="511"/>
      <c r="BJ417" s="511"/>
      <c r="BK417" s="511"/>
      <c r="BL417" s="510"/>
      <c r="BM417" s="510"/>
      <c r="BN417" s="510"/>
      <c r="BO417" s="510"/>
      <c r="BP417" s="510"/>
      <c r="BQ417" s="510"/>
      <c r="BR417" s="510"/>
      <c r="BS417" s="510"/>
      <c r="BT417" s="513"/>
      <c r="BU417" s="514"/>
      <c r="BV417" s="512"/>
      <c r="BW417" s="515"/>
    </row>
    <row r="418" spans="2:75" ht="15.75" customHeight="1">
      <c r="B418" s="250" t="s">
        <v>1301</v>
      </c>
      <c r="C418" s="251">
        <v>42102422000118</v>
      </c>
      <c r="D418" s="252" t="s">
        <v>11</v>
      </c>
      <c r="E418" s="252" t="s">
        <v>620</v>
      </c>
      <c r="F418" s="252" t="s">
        <v>663</v>
      </c>
      <c r="G418" s="253" t="s">
        <v>738</v>
      </c>
      <c r="H418" s="253" t="s">
        <v>34</v>
      </c>
      <c r="I418" s="253" t="s">
        <v>1304</v>
      </c>
      <c r="J418" s="253" t="s">
        <v>608</v>
      </c>
      <c r="K418" s="254" t="s">
        <v>48</v>
      </c>
      <c r="L418" s="255"/>
      <c r="M418" s="255" t="s">
        <v>1414</v>
      </c>
      <c r="N418" s="254">
        <v>615315</v>
      </c>
      <c r="O418" s="254" t="s">
        <v>1321</v>
      </c>
      <c r="P418" s="258">
        <v>44445</v>
      </c>
      <c r="Q418" s="259">
        <v>48929389.25</v>
      </c>
      <c r="R418" s="259" t="s">
        <v>1417</v>
      </c>
      <c r="S418" s="254">
        <v>5</v>
      </c>
      <c r="T418" s="256">
        <v>8.4390019060108568E-2</v>
      </c>
      <c r="U418" s="256">
        <v>1.0909262477493906</v>
      </c>
      <c r="V418" s="256" t="s">
        <v>1417</v>
      </c>
      <c r="W418" s="256" t="s">
        <v>1417</v>
      </c>
      <c r="X418" s="256" t="s">
        <v>1417</v>
      </c>
      <c r="Y418" s="256" t="s">
        <v>1417</v>
      </c>
      <c r="Z418" s="256" t="s">
        <v>1417</v>
      </c>
      <c r="AA418" s="256" t="s">
        <v>1417</v>
      </c>
      <c r="AB418" s="256" t="s">
        <v>1417</v>
      </c>
      <c r="AC418" s="260" t="s">
        <v>1417</v>
      </c>
      <c r="AD418" s="405">
        <v>0</v>
      </c>
      <c r="AE418" s="257" t="s">
        <v>2336</v>
      </c>
      <c r="AF418" s="257" t="s">
        <v>928</v>
      </c>
      <c r="AG418" s="261" t="s">
        <v>928</v>
      </c>
      <c r="AH418" s="261" t="s">
        <v>726</v>
      </c>
      <c r="AI418" s="261">
        <v>0</v>
      </c>
      <c r="AJ418" s="261">
        <v>0</v>
      </c>
      <c r="AK418" s="261">
        <v>0</v>
      </c>
      <c r="AL418" s="256">
        <v>4.0000000000000001E-3</v>
      </c>
      <c r="AM418" s="256" t="s">
        <v>34</v>
      </c>
      <c r="AN418" s="256" t="s">
        <v>64</v>
      </c>
      <c r="AO418" s="254" t="s">
        <v>1324</v>
      </c>
      <c r="AP418" s="257" t="s">
        <v>11</v>
      </c>
      <c r="AQ418" s="263" t="s">
        <v>677</v>
      </c>
      <c r="AR418" s="256" t="s">
        <v>34</v>
      </c>
      <c r="AS418" s="256" t="s">
        <v>34</v>
      </c>
      <c r="AT418" s="256"/>
      <c r="AW418" s="508"/>
      <c r="AX418" s="508"/>
      <c r="AY418" s="509"/>
      <c r="AZ418" s="509"/>
      <c r="BA418" s="509"/>
      <c r="BB418" s="510"/>
      <c r="BC418" s="509"/>
      <c r="BD418" s="509"/>
      <c r="BE418" s="509"/>
      <c r="BF418" s="509"/>
      <c r="BG418" s="510"/>
      <c r="BH418" s="510"/>
      <c r="BI418" s="511"/>
      <c r="BJ418" s="511"/>
      <c r="BK418" s="511"/>
      <c r="BL418" s="510"/>
      <c r="BM418" s="510"/>
      <c r="BN418" s="510"/>
      <c r="BO418" s="510"/>
      <c r="BP418" s="510"/>
      <c r="BQ418" s="510"/>
      <c r="BR418" s="510"/>
      <c r="BS418" s="510"/>
      <c r="BT418" s="513"/>
      <c r="BU418" s="514"/>
      <c r="BV418" s="512"/>
      <c r="BW418" s="515"/>
    </row>
    <row r="419" spans="2:75" ht="15.75" customHeight="1">
      <c r="B419" s="250" t="s">
        <v>1150</v>
      </c>
      <c r="C419" s="251">
        <v>27717045000138</v>
      </c>
      <c r="D419" s="252" t="s">
        <v>11</v>
      </c>
      <c r="E419" s="252" t="s">
        <v>620</v>
      </c>
      <c r="F419" s="252" t="s">
        <v>692</v>
      </c>
      <c r="G419" s="253" t="s">
        <v>738</v>
      </c>
      <c r="H419" s="253" t="s">
        <v>34</v>
      </c>
      <c r="I419" s="253"/>
      <c r="J419" s="253" t="s">
        <v>608</v>
      </c>
      <c r="K419" s="254" t="s">
        <v>48</v>
      </c>
      <c r="L419" s="255"/>
      <c r="M419" s="255" t="s">
        <v>1414</v>
      </c>
      <c r="N419" s="254">
        <v>447137</v>
      </c>
      <c r="O419" s="254" t="s">
        <v>1321</v>
      </c>
      <c r="P419" s="258">
        <v>42962</v>
      </c>
      <c r="Q419" s="259">
        <v>56166471.100000001</v>
      </c>
      <c r="R419" s="259">
        <v>49928076.76932539</v>
      </c>
      <c r="S419" s="254">
        <v>5</v>
      </c>
      <c r="T419" s="256">
        <v>8.7263017372144702E-2</v>
      </c>
      <c r="U419" s="256">
        <v>1.1280660576848227</v>
      </c>
      <c r="V419" s="256">
        <v>0.11782768806263344</v>
      </c>
      <c r="W419" s="256">
        <v>1.1551053276128802</v>
      </c>
      <c r="X419" s="256">
        <v>0.18262055910708463</v>
      </c>
      <c r="Y419" s="256">
        <v>1.3848448746602131</v>
      </c>
      <c r="Z419" s="256">
        <v>0.14759233760775459</v>
      </c>
      <c r="AA419" s="256">
        <v>0.83896269466595341</v>
      </c>
      <c r="AB419" s="256">
        <v>1.0866143213588074E-2</v>
      </c>
      <c r="AC419" s="260">
        <v>1.3177226618216757</v>
      </c>
      <c r="AD419" s="405">
        <v>26751126000191</v>
      </c>
      <c r="AE419" s="257" t="s">
        <v>2373</v>
      </c>
      <c r="AF419" s="257" t="s">
        <v>2118</v>
      </c>
      <c r="AG419" s="261" t="s">
        <v>1433</v>
      </c>
      <c r="AH419" s="261" t="s">
        <v>2113</v>
      </c>
      <c r="AI419" s="261">
        <v>100</v>
      </c>
      <c r="AJ419" s="261">
        <v>100</v>
      </c>
      <c r="AK419" s="261">
        <v>100</v>
      </c>
      <c r="AL419" s="256">
        <v>2E-3</v>
      </c>
      <c r="AM419" s="256" t="s">
        <v>34</v>
      </c>
      <c r="AN419" s="256" t="s">
        <v>64</v>
      </c>
      <c r="AO419" s="254" t="s">
        <v>1324</v>
      </c>
      <c r="AP419" s="257" t="s">
        <v>11</v>
      </c>
      <c r="AQ419" s="263" t="s">
        <v>675</v>
      </c>
      <c r="AR419" s="256">
        <v>3.9999999999999996E-4</v>
      </c>
      <c r="AS419" s="256">
        <v>3.9999999999999996E-4</v>
      </c>
      <c r="AT419" s="256"/>
      <c r="AW419" s="508"/>
      <c r="AX419" s="508"/>
      <c r="AY419" s="509"/>
      <c r="AZ419" s="509"/>
      <c r="BA419" s="509"/>
      <c r="BB419" s="510"/>
      <c r="BC419" s="509"/>
      <c r="BD419" s="509"/>
      <c r="BE419" s="509"/>
      <c r="BF419" s="509"/>
      <c r="BG419" s="510"/>
      <c r="BH419" s="510"/>
      <c r="BI419" s="511"/>
      <c r="BJ419" s="511"/>
      <c r="BK419" s="511"/>
      <c r="BL419" s="195"/>
      <c r="BM419" s="510"/>
      <c r="BN419" s="510"/>
      <c r="BO419" s="510"/>
      <c r="BP419" s="510"/>
      <c r="BQ419" s="510"/>
      <c r="BR419" s="510"/>
      <c r="BS419" s="510"/>
      <c r="BT419" s="513"/>
      <c r="BU419" s="514"/>
      <c r="BV419" s="512"/>
      <c r="BW419" s="515"/>
    </row>
    <row r="420" spans="2:75" ht="15.75" customHeight="1">
      <c r="B420" s="250" t="s">
        <v>798</v>
      </c>
      <c r="C420" s="251">
        <v>39293607000142</v>
      </c>
      <c r="D420" s="252" t="s">
        <v>13</v>
      </c>
      <c r="E420" s="252" t="s">
        <v>616</v>
      </c>
      <c r="F420" s="252" t="s">
        <v>617</v>
      </c>
      <c r="G420" s="253" t="s">
        <v>34</v>
      </c>
      <c r="H420" s="253" t="s">
        <v>1338</v>
      </c>
      <c r="I420" s="253" t="s">
        <v>34</v>
      </c>
      <c r="J420" s="253" t="s">
        <v>608</v>
      </c>
      <c r="K420" s="254" t="s">
        <v>48</v>
      </c>
      <c r="L420" s="255"/>
      <c r="M420" s="255" t="s">
        <v>1414</v>
      </c>
      <c r="N420" s="254">
        <v>570461</v>
      </c>
      <c r="O420" s="254" t="s">
        <v>1321</v>
      </c>
      <c r="P420" s="258">
        <v>44193</v>
      </c>
      <c r="Q420" s="259">
        <v>8890469.0999999996</v>
      </c>
      <c r="R420" s="259">
        <v>8000072.7381746089</v>
      </c>
      <c r="S420" s="254">
        <v>5</v>
      </c>
      <c r="T420" s="256">
        <v>2.0080565737590206E-3</v>
      </c>
      <c r="U420" s="256">
        <v>2.5958539264211985E-2</v>
      </c>
      <c r="V420" s="256">
        <v>4.6962487153429988E-2</v>
      </c>
      <c r="W420" s="256">
        <v>0.46038940422935781</v>
      </c>
      <c r="X420" s="256" t="s">
        <v>1417</v>
      </c>
      <c r="Y420" s="256" t="s">
        <v>1417</v>
      </c>
      <c r="Z420" s="256" t="s">
        <v>1417</v>
      </c>
      <c r="AA420" s="256" t="s">
        <v>1417</v>
      </c>
      <c r="AB420" s="256">
        <v>9.6185107615107346E-2</v>
      </c>
      <c r="AC420" s="260">
        <v>-0.48498152279108692</v>
      </c>
      <c r="AD420" s="405">
        <v>37243087000138</v>
      </c>
      <c r="AE420" s="257" t="s">
        <v>2169</v>
      </c>
      <c r="AF420" s="257" t="s">
        <v>2169</v>
      </c>
      <c r="AG420" s="261" t="s">
        <v>1435</v>
      </c>
      <c r="AH420" s="261" t="s">
        <v>2110</v>
      </c>
      <c r="AI420" s="261">
        <v>1000</v>
      </c>
      <c r="AJ420" s="261" t="s">
        <v>1427</v>
      </c>
      <c r="AK420" s="261" t="s">
        <v>1427</v>
      </c>
      <c r="AL420" s="256">
        <v>6.0000000000000001E-3</v>
      </c>
      <c r="AM420" s="256" t="s">
        <v>34</v>
      </c>
      <c r="AN420" s="256" t="s">
        <v>64</v>
      </c>
      <c r="AO420" s="254" t="s">
        <v>1324</v>
      </c>
      <c r="AP420" s="257" t="s">
        <v>13</v>
      </c>
      <c r="AQ420" s="263" t="s">
        <v>679</v>
      </c>
      <c r="AR420" s="256">
        <v>1.9997999999999999E-3</v>
      </c>
      <c r="AS420" s="256">
        <v>1.9997999999999999E-3</v>
      </c>
      <c r="AT420" s="256"/>
      <c r="AW420" s="508"/>
      <c r="AX420" s="508"/>
      <c r="AY420" s="509"/>
      <c r="AZ420" s="509"/>
      <c r="BA420" s="509"/>
      <c r="BB420" s="510"/>
      <c r="BC420" s="509"/>
      <c r="BD420" s="509"/>
      <c r="BE420" s="509"/>
      <c r="BF420" s="509"/>
      <c r="BG420" s="510"/>
      <c r="BH420" s="510"/>
      <c r="BI420" s="511"/>
      <c r="BJ420" s="511"/>
      <c r="BK420" s="511"/>
      <c r="BL420" s="510"/>
      <c r="BM420" s="510"/>
      <c r="BN420" s="510"/>
      <c r="BO420" s="510"/>
      <c r="BP420" s="510"/>
      <c r="BQ420" s="510"/>
      <c r="BR420" s="510"/>
      <c r="BS420" s="510"/>
      <c r="BT420" s="513"/>
      <c r="BU420" s="514"/>
      <c r="BV420" s="512"/>
      <c r="BW420" s="515"/>
    </row>
    <row r="421" spans="2:75" ht="15.75" customHeight="1">
      <c r="B421" s="250" t="s">
        <v>92</v>
      </c>
      <c r="C421" s="251">
        <v>6041290000106</v>
      </c>
      <c r="D421" s="252" t="s">
        <v>13</v>
      </c>
      <c r="E421" s="252" t="s">
        <v>615</v>
      </c>
      <c r="F421" s="252" t="s">
        <v>619</v>
      </c>
      <c r="G421" s="253" t="s">
        <v>34</v>
      </c>
      <c r="H421" s="253" t="s">
        <v>1338</v>
      </c>
      <c r="I421" s="253" t="s">
        <v>34</v>
      </c>
      <c r="J421" s="253" t="s">
        <v>611</v>
      </c>
      <c r="K421" s="254" t="s">
        <v>48</v>
      </c>
      <c r="L421" s="255"/>
      <c r="M421" s="255" t="s">
        <v>34</v>
      </c>
      <c r="N421" s="254">
        <v>129925</v>
      </c>
      <c r="O421" s="254" t="s">
        <v>1321</v>
      </c>
      <c r="P421" s="258">
        <v>37978</v>
      </c>
      <c r="Q421" s="259">
        <v>332928355.56</v>
      </c>
      <c r="R421" s="259">
        <v>497741328.2280553</v>
      </c>
      <c r="S421" s="254">
        <v>5</v>
      </c>
      <c r="T421" s="256">
        <v>3.0209691174335029E-2</v>
      </c>
      <c r="U421" s="256">
        <v>0.39052657417947972</v>
      </c>
      <c r="V421" s="256">
        <v>4.8027881976268727E-2</v>
      </c>
      <c r="W421" s="256">
        <v>0.47083383589144762</v>
      </c>
      <c r="X421" s="256">
        <v>0.15521125514350254</v>
      </c>
      <c r="Y421" s="256">
        <v>1.1769951435151396</v>
      </c>
      <c r="Z421" s="256">
        <v>0.32501724685685618</v>
      </c>
      <c r="AA421" s="256">
        <v>1.8475033979108872</v>
      </c>
      <c r="AB421" s="256">
        <v>0.10869833116264545</v>
      </c>
      <c r="AC421" s="260">
        <v>-0.40801654383757613</v>
      </c>
      <c r="AD421" s="405">
        <v>22118342000143</v>
      </c>
      <c r="AE421" s="257" t="s">
        <v>2152</v>
      </c>
      <c r="AF421" s="257" t="s">
        <v>2118</v>
      </c>
      <c r="AG421" s="261" t="s">
        <v>1433</v>
      </c>
      <c r="AH421" s="261" t="s">
        <v>2113</v>
      </c>
      <c r="AI421" s="261">
        <v>1000</v>
      </c>
      <c r="AJ421" s="261">
        <v>1000</v>
      </c>
      <c r="AK421" s="261">
        <v>1000</v>
      </c>
      <c r="AL421" s="519">
        <v>0.02</v>
      </c>
      <c r="AM421" s="519">
        <v>0.2</v>
      </c>
      <c r="AN421" s="256" t="s">
        <v>64</v>
      </c>
      <c r="AO421" s="254" t="s">
        <v>1324</v>
      </c>
      <c r="AP421" s="257" t="s">
        <v>13</v>
      </c>
      <c r="AQ421" s="263" t="s">
        <v>668</v>
      </c>
      <c r="AR421" s="256">
        <v>5.0000000000000001E-3</v>
      </c>
      <c r="AS421" s="256">
        <v>5.0000000000000001E-3</v>
      </c>
      <c r="AT421" s="256"/>
      <c r="AW421" s="508"/>
      <c r="AX421" s="508"/>
      <c r="AY421" s="509"/>
      <c r="AZ421" s="509"/>
      <c r="BA421" s="509"/>
      <c r="BB421" s="510"/>
      <c r="BC421" s="509"/>
      <c r="BD421" s="509"/>
      <c r="BE421" s="509"/>
      <c r="BF421" s="509"/>
      <c r="BG421" s="510"/>
      <c r="BH421" s="510"/>
      <c r="BI421" s="511"/>
      <c r="BJ421" s="511"/>
      <c r="BK421" s="511"/>
      <c r="BL421" s="510"/>
      <c r="BM421" s="510"/>
      <c r="BN421" s="510"/>
      <c r="BO421" s="510"/>
      <c r="BP421" s="510"/>
      <c r="BQ421" s="510"/>
      <c r="BR421" s="510"/>
      <c r="BS421" s="510"/>
      <c r="BT421" s="513"/>
      <c r="BU421" s="514"/>
      <c r="BV421" s="512"/>
      <c r="BW421" s="515"/>
    </row>
    <row r="422" spans="2:75" ht="15.75" customHeight="1">
      <c r="B422" s="250" t="s">
        <v>496</v>
      </c>
      <c r="C422" s="251">
        <v>33361831000148</v>
      </c>
      <c r="D422" s="252" t="s">
        <v>13</v>
      </c>
      <c r="E422" s="252" t="s">
        <v>615</v>
      </c>
      <c r="F422" s="252" t="s">
        <v>619</v>
      </c>
      <c r="G422" s="253" t="s">
        <v>34</v>
      </c>
      <c r="H422" s="253" t="s">
        <v>1338</v>
      </c>
      <c r="I422" s="253" t="s">
        <v>34</v>
      </c>
      <c r="J422" s="253"/>
      <c r="K422" s="254" t="s">
        <v>48</v>
      </c>
      <c r="L422" s="255"/>
      <c r="M422" s="255" t="s">
        <v>34</v>
      </c>
      <c r="N422" s="254">
        <v>501794</v>
      </c>
      <c r="O422" s="254" t="s">
        <v>1321</v>
      </c>
      <c r="P422" s="258">
        <v>43642</v>
      </c>
      <c r="Q422" s="259">
        <v>50529733.439999998</v>
      </c>
      <c r="R422" s="259">
        <v>105104654.4744841</v>
      </c>
      <c r="S422" s="254">
        <v>5</v>
      </c>
      <c r="T422" s="256">
        <v>-0.11119188626024934</v>
      </c>
      <c r="U422" s="256">
        <v>-1.4373992162707161</v>
      </c>
      <c r="V422" s="256">
        <v>-8.9601632226958383E-2</v>
      </c>
      <c r="W422" s="256">
        <v>-0.87839559996418359</v>
      </c>
      <c r="X422" s="256">
        <v>7.7666367614138476E-2</v>
      </c>
      <c r="Y422" s="256">
        <v>0.58895817453306154</v>
      </c>
      <c r="Z422" s="256">
        <v>9.4085493922897445E-2</v>
      </c>
      <c r="AA422" s="256">
        <v>0.53481244887054336</v>
      </c>
      <c r="AB422" s="256">
        <v>0.11397298252817935</v>
      </c>
      <c r="AC422" s="260">
        <v>-1.6189911362629164</v>
      </c>
      <c r="AD422" s="405">
        <v>32222759000105</v>
      </c>
      <c r="AE422" s="257" t="s">
        <v>2172</v>
      </c>
      <c r="AF422" s="257" t="s">
        <v>728</v>
      </c>
      <c r="AG422" s="261" t="s">
        <v>728</v>
      </c>
      <c r="AH422" s="261" t="s">
        <v>2110</v>
      </c>
      <c r="AI422" s="261">
        <v>10000</v>
      </c>
      <c r="AJ422" s="261">
        <v>5000</v>
      </c>
      <c r="AK422" s="261">
        <v>5000</v>
      </c>
      <c r="AL422" s="256">
        <v>9.0000000000000011E-3</v>
      </c>
      <c r="AM422" s="256" t="s">
        <v>34</v>
      </c>
      <c r="AN422" s="256" t="s">
        <v>34</v>
      </c>
      <c r="AO422" s="254" t="s">
        <v>1324</v>
      </c>
      <c r="AP422" s="257" t="s">
        <v>13</v>
      </c>
      <c r="AQ422" s="263" t="s">
        <v>679</v>
      </c>
      <c r="AR422" s="256">
        <v>5.3333999999999994E-3</v>
      </c>
      <c r="AS422" s="256">
        <v>5.3333999999999994E-3</v>
      </c>
      <c r="AT422" s="256"/>
      <c r="AW422" s="508"/>
      <c r="AX422" s="508"/>
      <c r="AY422" s="509"/>
      <c r="AZ422" s="509"/>
      <c r="BA422" s="509"/>
      <c r="BB422" s="510"/>
      <c r="BC422" s="509"/>
      <c r="BD422" s="509"/>
      <c r="BE422" s="509"/>
      <c r="BF422" s="509"/>
      <c r="BG422" s="510"/>
      <c r="BH422" s="510"/>
      <c r="BI422" s="511"/>
      <c r="BJ422" s="511"/>
      <c r="BK422" s="511"/>
      <c r="BL422" s="510"/>
      <c r="BM422" s="510"/>
      <c r="BN422" s="510"/>
      <c r="BO422" s="510"/>
      <c r="BP422" s="510"/>
      <c r="BQ422" s="510"/>
      <c r="BR422" s="510"/>
      <c r="BS422" s="510"/>
      <c r="BT422" s="513"/>
      <c r="BU422" s="514"/>
      <c r="BV422" s="512"/>
      <c r="BW422" s="515"/>
    </row>
    <row r="423" spans="2:75" ht="15.75" customHeight="1">
      <c r="B423" s="250" t="s">
        <v>807</v>
      </c>
      <c r="C423" s="251">
        <v>26845868000186</v>
      </c>
      <c r="D423" s="252" t="s">
        <v>13</v>
      </c>
      <c r="E423" s="252" t="s">
        <v>615</v>
      </c>
      <c r="F423" s="252" t="s">
        <v>619</v>
      </c>
      <c r="G423" s="253" t="s">
        <v>34</v>
      </c>
      <c r="H423" s="253" t="s">
        <v>1338</v>
      </c>
      <c r="I423" s="253" t="s">
        <v>34</v>
      </c>
      <c r="J423" s="253"/>
      <c r="K423" s="254" t="s">
        <v>48</v>
      </c>
      <c r="L423" s="255"/>
      <c r="M423" s="255" t="s">
        <v>34</v>
      </c>
      <c r="N423" s="254">
        <v>459453</v>
      </c>
      <c r="O423" s="254" t="s">
        <v>1321</v>
      </c>
      <c r="P423" s="258">
        <v>43153</v>
      </c>
      <c r="Q423" s="259">
        <v>35382378.710000001</v>
      </c>
      <c r="R423" s="259">
        <v>104408577.59702383</v>
      </c>
      <c r="S423" s="254">
        <v>5</v>
      </c>
      <c r="T423" s="256">
        <v>-9.2823772168551089E-2</v>
      </c>
      <c r="U423" s="256">
        <v>-1.1999510202936965</v>
      </c>
      <c r="V423" s="256">
        <v>-7.4030549366697507E-2</v>
      </c>
      <c r="W423" s="256">
        <v>-0.72574692235431626</v>
      </c>
      <c r="X423" s="256">
        <v>3.6914392377587424E-2</v>
      </c>
      <c r="Y423" s="256">
        <v>0.27992854328806394</v>
      </c>
      <c r="Z423" s="256">
        <v>4.8819613549762497E-2</v>
      </c>
      <c r="AA423" s="256">
        <v>0.27750651016253897</v>
      </c>
      <c r="AB423" s="256">
        <v>7.8978902493760356E-2</v>
      </c>
      <c r="AC423" s="260">
        <v>-2.1643337522034689</v>
      </c>
      <c r="AD423" s="405">
        <v>0</v>
      </c>
      <c r="AE423" s="257" t="s">
        <v>2128</v>
      </c>
      <c r="AF423" s="257" t="s">
        <v>728</v>
      </c>
      <c r="AG423" s="261" t="s">
        <v>728</v>
      </c>
      <c r="AH423" s="261" t="s">
        <v>2110</v>
      </c>
      <c r="AI423" s="261">
        <v>25000</v>
      </c>
      <c r="AJ423" s="261">
        <v>5000</v>
      </c>
      <c r="AK423" s="261">
        <v>5000</v>
      </c>
      <c r="AL423" s="256">
        <v>1.5149999999999999E-2</v>
      </c>
      <c r="AM423" s="256" t="s">
        <v>34</v>
      </c>
      <c r="AN423" s="256" t="s">
        <v>34</v>
      </c>
      <c r="AO423" s="254" t="s">
        <v>1324</v>
      </c>
      <c r="AP423" s="257" t="s">
        <v>13</v>
      </c>
      <c r="AQ423" s="263" t="s">
        <v>679</v>
      </c>
      <c r="AR423" s="256">
        <v>4.0400000000000002E-3</v>
      </c>
      <c r="AS423" s="256">
        <v>4.0400000000000002E-3</v>
      </c>
      <c r="AT423" s="256"/>
      <c r="AW423" s="508"/>
      <c r="AX423" s="508"/>
      <c r="AY423" s="509"/>
      <c r="AZ423" s="509"/>
      <c r="BA423" s="509"/>
      <c r="BB423" s="510"/>
      <c r="BC423" s="509"/>
      <c r="BD423" s="509"/>
      <c r="BE423" s="509"/>
      <c r="BF423" s="509"/>
      <c r="BG423" s="510"/>
      <c r="BH423" s="510"/>
      <c r="BI423" s="511"/>
      <c r="BJ423" s="511"/>
      <c r="BK423" s="511"/>
      <c r="BL423" s="510"/>
      <c r="BM423" s="510"/>
      <c r="BN423" s="510"/>
      <c r="BO423" s="510"/>
      <c r="BP423" s="510"/>
      <c r="BQ423" s="510"/>
      <c r="BR423" s="510"/>
      <c r="BS423" s="510"/>
      <c r="BT423" s="513"/>
      <c r="BU423" s="514"/>
      <c r="BV423" s="512"/>
      <c r="BW423" s="515"/>
    </row>
    <row r="424" spans="2:75" ht="15.75" customHeight="1">
      <c r="B424" s="250" t="s">
        <v>873</v>
      </c>
      <c r="C424" s="251">
        <v>29177909000100</v>
      </c>
      <c r="D424" s="252" t="s">
        <v>13</v>
      </c>
      <c r="E424" s="252" t="s">
        <v>615</v>
      </c>
      <c r="F424" s="252" t="s">
        <v>619</v>
      </c>
      <c r="G424" s="253" t="s">
        <v>34</v>
      </c>
      <c r="H424" s="253" t="s">
        <v>1338</v>
      </c>
      <c r="I424" s="253" t="s">
        <v>34</v>
      </c>
      <c r="J424" s="253" t="s">
        <v>611</v>
      </c>
      <c r="K424" s="254" t="s">
        <v>48</v>
      </c>
      <c r="L424" s="255"/>
      <c r="M424" s="255" t="s">
        <v>34</v>
      </c>
      <c r="N424" s="254">
        <v>483516</v>
      </c>
      <c r="O424" s="254" t="s">
        <v>1321</v>
      </c>
      <c r="P424" s="258">
        <v>43461</v>
      </c>
      <c r="Q424" s="259">
        <v>67472161.900000006</v>
      </c>
      <c r="R424" s="259">
        <v>210755342.80599198</v>
      </c>
      <c r="S424" s="254">
        <v>5</v>
      </c>
      <c r="T424" s="256">
        <v>-7.9559223830031556E-2</v>
      </c>
      <c r="U424" s="256">
        <v>-1.0284776149289636</v>
      </c>
      <c r="V424" s="256">
        <v>-7.2442548837581944E-2</v>
      </c>
      <c r="W424" s="256">
        <v>-0.71017920731556916</v>
      </c>
      <c r="X424" s="256">
        <v>-2.2593670481535821E-2</v>
      </c>
      <c r="Y424" s="256">
        <v>-0.17133190764009004</v>
      </c>
      <c r="Z424" s="256">
        <v>9.9273148546701773E-2</v>
      </c>
      <c r="AA424" s="256">
        <v>0.56430075952898573</v>
      </c>
      <c r="AB424" s="256">
        <v>9.3647347219050728E-2</v>
      </c>
      <c r="AC424" s="260">
        <v>-1.79375731271054</v>
      </c>
      <c r="AD424" s="405">
        <v>31964457000140</v>
      </c>
      <c r="AE424" s="257" t="s">
        <v>2144</v>
      </c>
      <c r="AF424" s="257" t="s">
        <v>2109</v>
      </c>
      <c r="AG424" s="261" t="s">
        <v>1432</v>
      </c>
      <c r="AH424" s="261" t="s">
        <v>2110</v>
      </c>
      <c r="AI424" s="261">
        <v>5000</v>
      </c>
      <c r="AJ424" s="261">
        <v>5000</v>
      </c>
      <c r="AK424" s="261">
        <v>5000</v>
      </c>
      <c r="AL424" s="256">
        <v>0.01</v>
      </c>
      <c r="AM424" s="256" t="s">
        <v>34</v>
      </c>
      <c r="AN424" s="256" t="s">
        <v>34</v>
      </c>
      <c r="AO424" s="254" t="s">
        <v>1324</v>
      </c>
      <c r="AP424" s="257" t="s">
        <v>13</v>
      </c>
      <c r="AQ424" s="263" t="s">
        <v>679</v>
      </c>
      <c r="AR424" s="256">
        <v>8.0000000000000002E-3</v>
      </c>
      <c r="AS424" s="256">
        <v>8.0000000000000002E-3</v>
      </c>
      <c r="AT424" s="256"/>
      <c r="AW424" s="508"/>
      <c r="AX424" s="508"/>
      <c r="AY424" s="509"/>
      <c r="AZ424" s="509"/>
      <c r="BA424" s="509"/>
      <c r="BB424" s="510"/>
      <c r="BC424" s="509"/>
      <c r="BD424" s="509"/>
      <c r="BE424" s="509"/>
      <c r="BF424" s="509"/>
      <c r="BG424" s="510"/>
      <c r="BH424" s="510"/>
      <c r="BI424" s="511"/>
      <c r="BJ424" s="511"/>
      <c r="BK424" s="511"/>
      <c r="BL424" s="510"/>
      <c r="BM424" s="510"/>
      <c r="BN424" s="510"/>
      <c r="BO424" s="510"/>
      <c r="BP424" s="510"/>
      <c r="BQ424" s="510"/>
      <c r="BR424" s="510"/>
      <c r="BS424" s="510"/>
      <c r="BT424" s="513"/>
      <c r="BU424" s="514"/>
      <c r="BV424" s="512"/>
      <c r="BW424" s="515"/>
    </row>
    <row r="425" spans="2:75" ht="15.75" customHeight="1">
      <c r="B425" s="250" t="s">
        <v>188</v>
      </c>
      <c r="C425" s="251">
        <v>27011904000179</v>
      </c>
      <c r="D425" s="252" t="s">
        <v>13</v>
      </c>
      <c r="E425" s="252" t="s">
        <v>615</v>
      </c>
      <c r="F425" s="252" t="s">
        <v>619</v>
      </c>
      <c r="G425" s="253" t="s">
        <v>34</v>
      </c>
      <c r="H425" s="253" t="s">
        <v>1337</v>
      </c>
      <c r="I425" s="253" t="s">
        <v>34</v>
      </c>
      <c r="J425" s="253"/>
      <c r="K425" s="254" t="s">
        <v>48</v>
      </c>
      <c r="L425" s="255"/>
      <c r="M425" s="255" t="s">
        <v>1414</v>
      </c>
      <c r="N425" s="254">
        <v>443328</v>
      </c>
      <c r="O425" s="254" t="s">
        <v>1321</v>
      </c>
      <c r="P425" s="258">
        <v>42893</v>
      </c>
      <c r="Q425" s="259">
        <v>59343565.219999999</v>
      </c>
      <c r="R425" s="259">
        <v>67584561.996706352</v>
      </c>
      <c r="S425" s="254">
        <v>5</v>
      </c>
      <c r="T425" s="256">
        <v>7.6321203846366092E-2</v>
      </c>
      <c r="U425" s="256">
        <v>0.98661909859895003</v>
      </c>
      <c r="V425" s="256">
        <v>0.11363610952324787</v>
      </c>
      <c r="W425" s="256">
        <v>1.1140138423978059</v>
      </c>
      <c r="X425" s="256">
        <v>0.16725124040590833</v>
      </c>
      <c r="Y425" s="256">
        <v>1.2682965389503063</v>
      </c>
      <c r="Z425" s="256">
        <v>0.47918896391430454</v>
      </c>
      <c r="AA425" s="256">
        <v>2.7238654183264916</v>
      </c>
      <c r="AB425" s="256">
        <v>3.7144487905189955E-2</v>
      </c>
      <c r="AC425" s="260">
        <v>0.30120933150205464</v>
      </c>
      <c r="AD425" s="405">
        <v>0</v>
      </c>
      <c r="AE425" s="257" t="s">
        <v>2226</v>
      </c>
      <c r="AF425" s="257" t="s">
        <v>2227</v>
      </c>
      <c r="AG425" s="261" t="s">
        <v>1434</v>
      </c>
      <c r="AH425" s="261" t="s">
        <v>2110</v>
      </c>
      <c r="AI425" s="261">
        <v>50000</v>
      </c>
      <c r="AJ425" s="261">
        <v>1000</v>
      </c>
      <c r="AK425" s="261">
        <v>50000</v>
      </c>
      <c r="AL425" s="256">
        <v>1.4999999999999999E-2</v>
      </c>
      <c r="AM425" s="256">
        <v>0.5</v>
      </c>
      <c r="AN425" s="256" t="s">
        <v>2122</v>
      </c>
      <c r="AO425" s="254" t="s">
        <v>1324</v>
      </c>
      <c r="AP425" s="257" t="s">
        <v>13</v>
      </c>
      <c r="AQ425" s="263" t="s">
        <v>668</v>
      </c>
      <c r="AR425" s="256">
        <v>2.9999999999999996E-3</v>
      </c>
      <c r="AS425" s="256">
        <v>2.9999999999999996E-3</v>
      </c>
      <c r="AT425" s="256"/>
      <c r="AW425" s="508"/>
      <c r="AX425" s="508"/>
      <c r="AY425" s="509"/>
      <c r="AZ425" s="509"/>
      <c r="BA425" s="509"/>
      <c r="BB425" s="510"/>
      <c r="BC425" s="509"/>
      <c r="BD425" s="509"/>
      <c r="BE425" s="509"/>
      <c r="BF425" s="509"/>
      <c r="BG425" s="510"/>
      <c r="BH425" s="510"/>
      <c r="BI425" s="511"/>
      <c r="BJ425" s="511"/>
      <c r="BK425" s="511"/>
      <c r="BL425" s="510"/>
      <c r="BM425" s="510"/>
      <c r="BN425" s="510"/>
      <c r="BO425" s="510"/>
      <c r="BP425" s="510"/>
      <c r="BQ425" s="510"/>
      <c r="BR425" s="510"/>
      <c r="BS425" s="510"/>
      <c r="BT425" s="513"/>
      <c r="BU425" s="514"/>
      <c r="BV425" s="512"/>
      <c r="BW425" s="515"/>
    </row>
    <row r="426" spans="2:75" ht="15.75" customHeight="1">
      <c r="B426" s="250" t="s">
        <v>189</v>
      </c>
      <c r="C426" s="251">
        <v>12813445000170</v>
      </c>
      <c r="D426" s="252" t="s">
        <v>13</v>
      </c>
      <c r="E426" s="252" t="s">
        <v>615</v>
      </c>
      <c r="F426" s="252" t="s">
        <v>619</v>
      </c>
      <c r="G426" s="253" t="s">
        <v>34</v>
      </c>
      <c r="H426" s="253" t="s">
        <v>1337</v>
      </c>
      <c r="I426" s="253" t="s">
        <v>34</v>
      </c>
      <c r="J426" s="253"/>
      <c r="K426" s="254" t="s">
        <v>48</v>
      </c>
      <c r="L426" s="255"/>
      <c r="M426" s="255" t="s">
        <v>1414</v>
      </c>
      <c r="N426" s="254">
        <v>263168</v>
      </c>
      <c r="O426" s="254" t="s">
        <v>1321</v>
      </c>
      <c r="P426" s="258">
        <v>40519</v>
      </c>
      <c r="Q426" s="259">
        <v>28443796.699999999</v>
      </c>
      <c r="R426" s="259">
        <v>27720198.450992063</v>
      </c>
      <c r="S426" s="254">
        <v>5</v>
      </c>
      <c r="T426" s="256">
        <v>6.5232075836155756E-2</v>
      </c>
      <c r="U426" s="256">
        <v>0.8432677764197859</v>
      </c>
      <c r="V426" s="256">
        <v>9.2728359458042142E-2</v>
      </c>
      <c r="W426" s="256">
        <v>0.90904798177699864</v>
      </c>
      <c r="X426" s="256">
        <v>0.118646526425076</v>
      </c>
      <c r="Y426" s="256">
        <v>0.89971816327458531</v>
      </c>
      <c r="Z426" s="256">
        <v>0.16213026729676616</v>
      </c>
      <c r="AA426" s="256">
        <v>0.92160100004446033</v>
      </c>
      <c r="AB426" s="256">
        <v>1.8744639873164142E-2</v>
      </c>
      <c r="AC426" s="260">
        <v>-0.44193792559189954</v>
      </c>
      <c r="AD426" s="405">
        <v>0</v>
      </c>
      <c r="AE426" s="257" t="s">
        <v>2226</v>
      </c>
      <c r="AF426" s="257" t="s">
        <v>2227</v>
      </c>
      <c r="AG426" s="261" t="s">
        <v>1434</v>
      </c>
      <c r="AH426" s="261" t="s">
        <v>2113</v>
      </c>
      <c r="AI426" s="261">
        <v>20000</v>
      </c>
      <c r="AJ426" s="261">
        <v>5000</v>
      </c>
      <c r="AK426" s="261">
        <v>20000</v>
      </c>
      <c r="AL426" s="256">
        <v>6.0000000000000001E-3</v>
      </c>
      <c r="AM426" s="256">
        <v>0.2</v>
      </c>
      <c r="AN426" s="256" t="s">
        <v>2127</v>
      </c>
      <c r="AO426" s="254" t="s">
        <v>1324</v>
      </c>
      <c r="AP426" s="257" t="s">
        <v>13</v>
      </c>
      <c r="AQ426" s="263" t="s">
        <v>668</v>
      </c>
      <c r="AR426" s="256">
        <v>2.3999999999999998E-3</v>
      </c>
      <c r="AS426" s="256">
        <v>2.3999999999999998E-3</v>
      </c>
      <c r="AT426" s="256"/>
      <c r="AW426" s="508"/>
      <c r="AX426" s="508"/>
      <c r="AY426" s="509"/>
      <c r="AZ426" s="509"/>
      <c r="BA426" s="509"/>
      <c r="BB426" s="510"/>
      <c r="BC426" s="509"/>
      <c r="BD426" s="509"/>
      <c r="BE426" s="509"/>
      <c r="BF426" s="509"/>
      <c r="BG426" s="510"/>
      <c r="BH426" s="510"/>
      <c r="BI426" s="511"/>
      <c r="BJ426" s="511"/>
      <c r="BK426" s="511"/>
      <c r="BL426" s="510"/>
      <c r="BM426" s="510"/>
      <c r="BN426" s="510"/>
      <c r="BO426" s="510"/>
      <c r="BP426" s="510"/>
      <c r="BQ426" s="510"/>
      <c r="BR426" s="510"/>
      <c r="BS426" s="510"/>
      <c r="BT426" s="513"/>
      <c r="BU426" s="514"/>
      <c r="BV426" s="512"/>
      <c r="BW426" s="515"/>
    </row>
    <row r="427" spans="2:75" ht="15.75" customHeight="1">
      <c r="B427" s="250" t="s">
        <v>941</v>
      </c>
      <c r="C427" s="251">
        <v>30294047000176</v>
      </c>
      <c r="D427" s="252" t="s">
        <v>13</v>
      </c>
      <c r="E427" s="252" t="s">
        <v>615</v>
      </c>
      <c r="F427" s="252" t="s">
        <v>619</v>
      </c>
      <c r="G427" s="253" t="s">
        <v>34</v>
      </c>
      <c r="H427" s="253" t="s">
        <v>1337</v>
      </c>
      <c r="I427" s="253" t="s">
        <v>34</v>
      </c>
      <c r="J427" s="253"/>
      <c r="K427" s="254" t="s">
        <v>48</v>
      </c>
      <c r="L427" s="255"/>
      <c r="M427" s="255" t="s">
        <v>34</v>
      </c>
      <c r="N427" s="254">
        <v>470627</v>
      </c>
      <c r="O427" s="254" t="s">
        <v>1321</v>
      </c>
      <c r="P427" s="258">
        <v>43292</v>
      </c>
      <c r="Q427" s="259">
        <v>13124726.890000001</v>
      </c>
      <c r="R427" s="259">
        <v>14737894.786309537</v>
      </c>
      <c r="S427" s="254">
        <v>5</v>
      </c>
      <c r="T427" s="256">
        <v>-2.2292890356473305E-2</v>
      </c>
      <c r="U427" s="256">
        <v>-0.2881845447949673</v>
      </c>
      <c r="V427" s="256">
        <v>-1.3877807609739223E-2</v>
      </c>
      <c r="W427" s="256">
        <v>-0.13604891829053911</v>
      </c>
      <c r="X427" s="256">
        <v>7.9882788163218033E-2</v>
      </c>
      <c r="Y427" s="256">
        <v>0.6057656941929076</v>
      </c>
      <c r="Z427" s="256">
        <v>9.4645350394289673E-2</v>
      </c>
      <c r="AA427" s="256">
        <v>0.53799485455283347</v>
      </c>
      <c r="AB427" s="256">
        <v>4.6819792741653647E-2</v>
      </c>
      <c r="AC427" s="260">
        <v>-2.3501696473754565</v>
      </c>
      <c r="AD427" s="405">
        <v>30294098000106</v>
      </c>
      <c r="AE427" s="257" t="s">
        <v>2247</v>
      </c>
      <c r="AF427" s="257" t="s">
        <v>2118</v>
      </c>
      <c r="AG427" s="261" t="s">
        <v>1433</v>
      </c>
      <c r="AH427" s="261" t="s">
        <v>2110</v>
      </c>
      <c r="AI427" s="261">
        <v>5000</v>
      </c>
      <c r="AJ427" s="261">
        <v>0</v>
      </c>
      <c r="AK427" s="261">
        <v>100</v>
      </c>
      <c r="AL427" s="256">
        <v>9.300000000000001E-3</v>
      </c>
      <c r="AM427" s="256" t="s">
        <v>34</v>
      </c>
      <c r="AN427" s="256" t="s">
        <v>34</v>
      </c>
      <c r="AO427" s="254" t="s">
        <v>1324</v>
      </c>
      <c r="AP427" s="257" t="s">
        <v>13</v>
      </c>
      <c r="AQ427" s="263" t="s">
        <v>679</v>
      </c>
      <c r="AR427" s="256">
        <v>4.6499999999999996E-3</v>
      </c>
      <c r="AS427" s="256">
        <v>4.6499999999999996E-3</v>
      </c>
      <c r="AT427" s="256"/>
      <c r="AW427" s="508"/>
      <c r="AX427" s="508"/>
      <c r="AY427" s="509"/>
      <c r="AZ427" s="509"/>
      <c r="BA427" s="509"/>
      <c r="BB427" s="510"/>
      <c r="BC427" s="509"/>
      <c r="BD427" s="509"/>
      <c r="BE427" s="509"/>
      <c r="BF427" s="509"/>
      <c r="BG427" s="510"/>
      <c r="BH427" s="510"/>
      <c r="BI427" s="511"/>
      <c r="BJ427" s="511"/>
      <c r="BK427" s="511"/>
      <c r="BL427" s="510"/>
      <c r="BM427" s="510"/>
      <c r="BN427" s="510"/>
      <c r="BO427" s="510"/>
      <c r="BP427" s="510"/>
      <c r="BQ427" s="510"/>
      <c r="BR427" s="510"/>
      <c r="BS427" s="510"/>
      <c r="BT427" s="513"/>
      <c r="BU427" s="514"/>
      <c r="BV427" s="512"/>
      <c r="BW427" s="515"/>
    </row>
    <row r="428" spans="2:75" ht="15.75" customHeight="1">
      <c r="B428" s="250" t="s">
        <v>957</v>
      </c>
      <c r="C428" s="251">
        <v>10447046000107</v>
      </c>
      <c r="D428" s="252" t="s">
        <v>13</v>
      </c>
      <c r="E428" s="252" t="s">
        <v>615</v>
      </c>
      <c r="F428" s="252" t="s">
        <v>619</v>
      </c>
      <c r="G428" s="253" t="s">
        <v>34</v>
      </c>
      <c r="H428" s="253" t="s">
        <v>1337</v>
      </c>
      <c r="I428" s="253" t="s">
        <v>34</v>
      </c>
      <c r="J428" s="253" t="s">
        <v>608</v>
      </c>
      <c r="K428" s="254" t="s">
        <v>48</v>
      </c>
      <c r="L428" s="255"/>
      <c r="M428" s="255" t="s">
        <v>34</v>
      </c>
      <c r="N428" s="254">
        <v>226025</v>
      </c>
      <c r="O428" s="254" t="s">
        <v>1321</v>
      </c>
      <c r="P428" s="258">
        <v>39923</v>
      </c>
      <c r="Q428" s="259">
        <v>68928854.260000005</v>
      </c>
      <c r="R428" s="259">
        <v>88178523.034960374</v>
      </c>
      <c r="S428" s="254">
        <v>5</v>
      </c>
      <c r="T428" s="256">
        <v>5.8881148698946895E-2</v>
      </c>
      <c r="U428" s="256">
        <v>0.76116810173444005</v>
      </c>
      <c r="V428" s="256">
        <v>6.3684592385137462E-2</v>
      </c>
      <c r="W428" s="256">
        <v>0.62432194979352829</v>
      </c>
      <c r="X428" s="256">
        <v>5.5828863536999451E-2</v>
      </c>
      <c r="Y428" s="256">
        <v>0.4233604141031172</v>
      </c>
      <c r="Z428" s="256">
        <v>0.16993039060246762</v>
      </c>
      <c r="AA428" s="256">
        <v>0.96593942962248858</v>
      </c>
      <c r="AB428" s="256">
        <v>3.7224673662236314E-2</v>
      </c>
      <c r="AC428" s="260">
        <v>-0.93260531149885673</v>
      </c>
      <c r="AD428" s="405">
        <v>0</v>
      </c>
      <c r="AE428" s="257" t="s">
        <v>2253</v>
      </c>
      <c r="AF428" s="257" t="s">
        <v>2109</v>
      </c>
      <c r="AG428" s="261" t="s">
        <v>1432</v>
      </c>
      <c r="AH428" s="261" t="s">
        <v>2113</v>
      </c>
      <c r="AI428" s="261">
        <v>1000</v>
      </c>
      <c r="AJ428" s="261">
        <v>300</v>
      </c>
      <c r="AK428" s="261">
        <v>0</v>
      </c>
      <c r="AL428" s="256">
        <v>1.4999999999999999E-2</v>
      </c>
      <c r="AM428" s="256">
        <v>0.2</v>
      </c>
      <c r="AN428" s="256" t="s">
        <v>34</v>
      </c>
      <c r="AO428" s="254" t="s">
        <v>1324</v>
      </c>
      <c r="AP428" s="257" t="s">
        <v>13</v>
      </c>
      <c r="AQ428" s="263" t="s">
        <v>668</v>
      </c>
      <c r="AR428" s="256">
        <v>4.0000000000000001E-3</v>
      </c>
      <c r="AS428" s="256">
        <v>4.0000000000000001E-3</v>
      </c>
      <c r="AT428" s="256"/>
      <c r="AW428" s="508"/>
      <c r="AX428" s="508"/>
      <c r="AY428" s="509"/>
      <c r="AZ428" s="509"/>
      <c r="BA428" s="509"/>
      <c r="BB428" s="510"/>
      <c r="BC428" s="509"/>
      <c r="BD428" s="509"/>
      <c r="BE428" s="509"/>
      <c r="BF428" s="509"/>
      <c r="BG428" s="510"/>
      <c r="BH428" s="510"/>
      <c r="BI428" s="511"/>
      <c r="BJ428" s="511"/>
      <c r="BK428" s="511"/>
      <c r="BL428" s="510"/>
      <c r="BM428" s="510"/>
      <c r="BN428" s="510"/>
      <c r="BO428" s="510"/>
      <c r="BP428" s="510"/>
      <c r="BQ428" s="510"/>
      <c r="BR428" s="510"/>
      <c r="BS428" s="510"/>
      <c r="BT428" s="513"/>
      <c r="BU428" s="514"/>
      <c r="BV428" s="512"/>
      <c r="BW428" s="515"/>
    </row>
    <row r="429" spans="2:75" ht="15.75" customHeight="1">
      <c r="B429" s="250" t="s">
        <v>968</v>
      </c>
      <c r="C429" s="251">
        <v>42084858000121</v>
      </c>
      <c r="D429" s="252" t="s">
        <v>13</v>
      </c>
      <c r="E429" s="252" t="s">
        <v>616</v>
      </c>
      <c r="F429" s="252" t="s">
        <v>619</v>
      </c>
      <c r="G429" s="253" t="s">
        <v>34</v>
      </c>
      <c r="H429" s="253" t="s">
        <v>865</v>
      </c>
      <c r="I429" s="253" t="s">
        <v>34</v>
      </c>
      <c r="J429" s="253"/>
      <c r="K429" s="254"/>
      <c r="L429" s="255"/>
      <c r="M429" s="255" t="s">
        <v>34</v>
      </c>
      <c r="N429" s="254">
        <v>602701</v>
      </c>
      <c r="O429" s="254" t="s">
        <v>1321</v>
      </c>
      <c r="P429" s="258">
        <v>44399</v>
      </c>
      <c r="Q429" s="259">
        <v>3666758.9</v>
      </c>
      <c r="R429" s="259">
        <v>4291488.8526190501</v>
      </c>
      <c r="S429" s="254">
        <v>5</v>
      </c>
      <c r="T429" s="256">
        <v>-4.9725429464746784E-2</v>
      </c>
      <c r="U429" s="256">
        <v>-0.64281033216812988</v>
      </c>
      <c r="V429" s="256">
        <v>-3.8301410628871602E-2</v>
      </c>
      <c r="W429" s="256">
        <v>-0.37548189394143472</v>
      </c>
      <c r="X429" s="256" t="s">
        <v>1417</v>
      </c>
      <c r="Y429" s="256" t="s">
        <v>1417</v>
      </c>
      <c r="Z429" s="256" t="s">
        <v>1417</v>
      </c>
      <c r="AA429" s="256" t="s">
        <v>1417</v>
      </c>
      <c r="AB429" s="256">
        <v>5.32450577240327E-2</v>
      </c>
      <c r="AC429" s="260">
        <v>-2.5315423291696564</v>
      </c>
      <c r="AD429" s="405">
        <v>42084903000148</v>
      </c>
      <c r="AE429" s="257" t="s">
        <v>2266</v>
      </c>
      <c r="AF429" s="257" t="s">
        <v>2115</v>
      </c>
      <c r="AG429" s="261" t="s">
        <v>719</v>
      </c>
      <c r="AH429" s="261" t="s">
        <v>2113</v>
      </c>
      <c r="AI429" s="261">
        <v>10000</v>
      </c>
      <c r="AJ429" s="261">
        <v>5000</v>
      </c>
      <c r="AK429" s="261">
        <v>5000</v>
      </c>
      <c r="AL429" s="256">
        <v>1.8700000000000001E-2</v>
      </c>
      <c r="AM429" s="256">
        <v>0.2</v>
      </c>
      <c r="AN429" s="256" t="s">
        <v>64</v>
      </c>
      <c r="AO429" s="254" t="s">
        <v>1324</v>
      </c>
      <c r="AP429" s="257" t="s">
        <v>13</v>
      </c>
      <c r="AQ429" s="263" t="s">
        <v>668</v>
      </c>
      <c r="AR429" s="256">
        <v>4.9872900000000001E-3</v>
      </c>
      <c r="AS429" s="256">
        <v>4.9872900000000001E-3</v>
      </c>
      <c r="AT429" s="256"/>
      <c r="AW429" s="508"/>
      <c r="AX429" s="508"/>
      <c r="AY429" s="509"/>
      <c r="AZ429" s="509"/>
      <c r="BA429" s="509"/>
      <c r="BB429" s="510"/>
      <c r="BC429" s="509"/>
      <c r="BD429" s="509"/>
      <c r="BE429" s="509"/>
      <c r="BF429" s="509"/>
      <c r="BG429" s="510"/>
      <c r="BH429" s="510"/>
      <c r="BI429" s="511"/>
      <c r="BJ429" s="511"/>
      <c r="BK429" s="511"/>
      <c r="BL429" s="510"/>
      <c r="BM429" s="510"/>
      <c r="BN429" s="510"/>
      <c r="BO429" s="510"/>
      <c r="BP429" s="510"/>
      <c r="BQ429" s="510"/>
      <c r="BR429" s="510"/>
      <c r="BS429" s="510"/>
      <c r="BT429" s="513"/>
      <c r="BU429" s="514"/>
      <c r="BV429" s="512"/>
      <c r="BW429" s="515"/>
    </row>
    <row r="430" spans="2:75" ht="15.75" customHeight="1">
      <c r="B430" s="250" t="s">
        <v>1019</v>
      </c>
      <c r="C430" s="251">
        <v>24454718000116</v>
      </c>
      <c r="D430" s="252" t="s">
        <v>13</v>
      </c>
      <c r="E430" s="252" t="s">
        <v>615</v>
      </c>
      <c r="F430" s="252" t="s">
        <v>619</v>
      </c>
      <c r="G430" s="253" t="s">
        <v>34</v>
      </c>
      <c r="H430" s="253" t="s">
        <v>1338</v>
      </c>
      <c r="I430" s="253" t="s">
        <v>34</v>
      </c>
      <c r="J430" s="253" t="s">
        <v>611</v>
      </c>
      <c r="K430" s="254" t="s">
        <v>49</v>
      </c>
      <c r="L430" s="255"/>
      <c r="M430" s="255" t="s">
        <v>34</v>
      </c>
      <c r="N430" s="254">
        <v>419761</v>
      </c>
      <c r="O430" s="254" t="s">
        <v>1321</v>
      </c>
      <c r="P430" s="258">
        <v>42507</v>
      </c>
      <c r="Q430" s="259">
        <v>317731322.10000002</v>
      </c>
      <c r="R430" s="259">
        <v>447266059.92456347</v>
      </c>
      <c r="S430" s="254">
        <v>5</v>
      </c>
      <c r="T430" s="256">
        <v>-0.164808158542467</v>
      </c>
      <c r="U430" s="256">
        <v>-2.1305072329603156</v>
      </c>
      <c r="V430" s="256">
        <v>-0.10350709806739378</v>
      </c>
      <c r="W430" s="256">
        <v>-1.0147156613973471</v>
      </c>
      <c r="X430" s="256">
        <v>-5.5920395719560867E-2</v>
      </c>
      <c r="Y430" s="256">
        <v>-0.42405451927126708</v>
      </c>
      <c r="Z430" s="256">
        <v>0.28865549472169461</v>
      </c>
      <c r="AA430" s="256">
        <v>1.6408114107213854</v>
      </c>
      <c r="AB430" s="256">
        <v>0.16533522004868925</v>
      </c>
      <c r="AC430" s="260">
        <v>-1.166097446215469</v>
      </c>
      <c r="AD430" s="405">
        <v>0</v>
      </c>
      <c r="AE430" s="257" t="s">
        <v>2292</v>
      </c>
      <c r="AF430" s="257" t="s">
        <v>2118</v>
      </c>
      <c r="AG430" s="261" t="s">
        <v>1433</v>
      </c>
      <c r="AH430" s="261" t="s">
        <v>2110</v>
      </c>
      <c r="AI430" s="261">
        <v>5000</v>
      </c>
      <c r="AJ430" s="261">
        <v>1000</v>
      </c>
      <c r="AK430" s="261">
        <v>1000</v>
      </c>
      <c r="AL430" s="256">
        <v>1.3999999999999999E-2</v>
      </c>
      <c r="AM430" s="256" t="s">
        <v>34</v>
      </c>
      <c r="AN430" s="256" t="s">
        <v>2122</v>
      </c>
      <c r="AO430" s="254" t="s">
        <v>1324</v>
      </c>
      <c r="AP430" s="257" t="s">
        <v>13</v>
      </c>
      <c r="AQ430" s="263" t="s">
        <v>679</v>
      </c>
      <c r="AR430" s="256">
        <v>7.4666666666666666E-3</v>
      </c>
      <c r="AS430" s="256">
        <v>7.4666666666666666E-3</v>
      </c>
      <c r="AT430" s="256"/>
      <c r="AW430" s="508"/>
      <c r="AX430" s="508"/>
      <c r="AY430" s="509"/>
      <c r="AZ430" s="509"/>
      <c r="BA430" s="509"/>
      <c r="BB430" s="510"/>
      <c r="BC430" s="509"/>
      <c r="BD430" s="509"/>
      <c r="BE430" s="509"/>
      <c r="BF430" s="509"/>
      <c r="BG430" s="510"/>
      <c r="BH430" s="510"/>
      <c r="BI430" s="511"/>
      <c r="BJ430" s="511"/>
      <c r="BK430" s="511"/>
      <c r="BL430" s="510"/>
      <c r="BM430" s="510"/>
      <c r="BN430" s="510"/>
      <c r="BO430" s="510"/>
      <c r="BP430" s="510"/>
      <c r="BQ430" s="510"/>
      <c r="BR430" s="510"/>
      <c r="BS430" s="510"/>
      <c r="BT430" s="513"/>
      <c r="BU430" s="514"/>
      <c r="BV430" s="512"/>
      <c r="BW430" s="515"/>
    </row>
    <row r="431" spans="2:75" ht="15.75" customHeight="1">
      <c r="B431" s="250" t="s">
        <v>1022</v>
      </c>
      <c r="C431" s="251">
        <v>19821469000110</v>
      </c>
      <c r="D431" s="252" t="s">
        <v>13</v>
      </c>
      <c r="E431" s="252" t="s">
        <v>615</v>
      </c>
      <c r="F431" s="252" t="s">
        <v>619</v>
      </c>
      <c r="G431" s="253" t="s">
        <v>34</v>
      </c>
      <c r="H431" s="253" t="s">
        <v>865</v>
      </c>
      <c r="I431" s="253" t="s">
        <v>34</v>
      </c>
      <c r="J431" s="253" t="s">
        <v>611</v>
      </c>
      <c r="K431" s="254" t="s">
        <v>48</v>
      </c>
      <c r="L431" s="255"/>
      <c r="M431" s="255" t="s">
        <v>34</v>
      </c>
      <c r="N431" s="254">
        <v>405396</v>
      </c>
      <c r="O431" s="254" t="s">
        <v>1321</v>
      </c>
      <c r="P431" s="258">
        <v>42278</v>
      </c>
      <c r="Q431" s="259">
        <v>141407282.68000001</v>
      </c>
      <c r="R431" s="259">
        <v>305718147.38376975</v>
      </c>
      <c r="S431" s="254">
        <v>5</v>
      </c>
      <c r="T431" s="256">
        <v>-4.7418961286600392E-2</v>
      </c>
      <c r="U431" s="256">
        <v>-0.61299416784961724</v>
      </c>
      <c r="V431" s="256">
        <v>-3.0633695315779308E-2</v>
      </c>
      <c r="W431" s="256">
        <v>-0.30031264506282085</v>
      </c>
      <c r="X431" s="256">
        <v>7.9819700652395742E-2</v>
      </c>
      <c r="Y431" s="256">
        <v>0.60528729013783023</v>
      </c>
      <c r="Z431" s="256">
        <v>0.15170635879501715</v>
      </c>
      <c r="AA431" s="256">
        <v>0.86234812481173406</v>
      </c>
      <c r="AB431" s="256">
        <v>6.0989216688994832E-2</v>
      </c>
      <c r="AC431" s="260">
        <v>-2.072635455927208</v>
      </c>
      <c r="AD431" s="405">
        <v>26094770000134</v>
      </c>
      <c r="AE431" s="257" t="s">
        <v>2292</v>
      </c>
      <c r="AF431" s="257" t="s">
        <v>2118</v>
      </c>
      <c r="AG431" s="261" t="s">
        <v>1433</v>
      </c>
      <c r="AH431" s="261" t="s">
        <v>2110</v>
      </c>
      <c r="AI431" s="261">
        <v>10000</v>
      </c>
      <c r="AJ431" s="261">
        <v>1000</v>
      </c>
      <c r="AK431" s="261">
        <v>1000</v>
      </c>
      <c r="AL431" s="256">
        <v>1.2500000000000001E-2</v>
      </c>
      <c r="AM431" s="256" t="s">
        <v>34</v>
      </c>
      <c r="AN431" s="256" t="s">
        <v>34</v>
      </c>
      <c r="AO431" s="254" t="s">
        <v>1324</v>
      </c>
      <c r="AP431" s="257" t="s">
        <v>13</v>
      </c>
      <c r="AQ431" s="263" t="s">
        <v>679</v>
      </c>
      <c r="AR431" s="256">
        <v>6.6666666666666671E-3</v>
      </c>
      <c r="AS431" s="256">
        <v>6.6666666666666671E-3</v>
      </c>
      <c r="AT431" s="256"/>
      <c r="AW431" s="508"/>
      <c r="AX431" s="508"/>
      <c r="AY431" s="509"/>
      <c r="AZ431" s="509"/>
      <c r="BA431" s="509"/>
      <c r="BB431" s="510"/>
      <c r="BC431" s="509"/>
      <c r="BD431" s="509"/>
      <c r="BE431" s="509"/>
      <c r="BF431" s="509"/>
      <c r="BG431" s="510"/>
      <c r="BH431" s="510"/>
      <c r="BI431" s="511"/>
      <c r="BJ431" s="511"/>
      <c r="BK431" s="511"/>
      <c r="BL431" s="510"/>
      <c r="BM431" s="510"/>
      <c r="BN431" s="510"/>
      <c r="BO431" s="510"/>
      <c r="BP431" s="510"/>
      <c r="BQ431" s="510"/>
      <c r="BR431" s="510"/>
      <c r="BS431" s="510"/>
      <c r="BT431" s="513"/>
      <c r="BU431" s="514"/>
      <c r="BV431" s="512"/>
      <c r="BW431" s="515"/>
    </row>
    <row r="432" spans="2:75" ht="15.75" customHeight="1">
      <c r="B432" s="250" t="s">
        <v>1036</v>
      </c>
      <c r="C432" s="251">
        <v>13503226000157</v>
      </c>
      <c r="D432" s="252" t="s">
        <v>13</v>
      </c>
      <c r="E432" s="252" t="s">
        <v>615</v>
      </c>
      <c r="F432" s="252" t="s">
        <v>619</v>
      </c>
      <c r="G432" s="253" t="s">
        <v>34</v>
      </c>
      <c r="H432" s="253" t="s">
        <v>1337</v>
      </c>
      <c r="I432" s="253" t="s">
        <v>34</v>
      </c>
      <c r="J432" s="253"/>
      <c r="K432" s="254" t="s">
        <v>48</v>
      </c>
      <c r="L432" s="255"/>
      <c r="M432" s="255" t="s">
        <v>34</v>
      </c>
      <c r="N432" s="254">
        <v>273589</v>
      </c>
      <c r="O432" s="254" t="s">
        <v>1321</v>
      </c>
      <c r="P432" s="258">
        <v>40667</v>
      </c>
      <c r="Q432" s="259">
        <v>39719860.450000003</v>
      </c>
      <c r="R432" s="259">
        <v>38368315.51920636</v>
      </c>
      <c r="S432" s="254">
        <v>5</v>
      </c>
      <c r="T432" s="256">
        <v>7.4864700011950669E-2</v>
      </c>
      <c r="U432" s="256">
        <v>0.96779058924905093</v>
      </c>
      <c r="V432" s="256">
        <v>7.7620000450792315E-2</v>
      </c>
      <c r="W432" s="256">
        <v>0.76093554515271788</v>
      </c>
      <c r="X432" s="256">
        <v>0.12193764459954304</v>
      </c>
      <c r="Y432" s="256">
        <v>0.92467531025790628</v>
      </c>
      <c r="Z432" s="256">
        <v>0.13344291935872277</v>
      </c>
      <c r="AA432" s="256">
        <v>0.75853281426314001</v>
      </c>
      <c r="AB432" s="256">
        <v>2.1940779463558671E-2</v>
      </c>
      <c r="AC432" s="260">
        <v>-1.0093704463084414</v>
      </c>
      <c r="AD432" s="405">
        <v>0</v>
      </c>
      <c r="AE432" s="257" t="s">
        <v>2296</v>
      </c>
      <c r="AF432" s="257" t="s">
        <v>2109</v>
      </c>
      <c r="AG432" s="261" t="s">
        <v>1432</v>
      </c>
      <c r="AH432" s="261" t="s">
        <v>2113</v>
      </c>
      <c r="AI432" s="261">
        <v>5000</v>
      </c>
      <c r="AJ432" s="261">
        <v>1000</v>
      </c>
      <c r="AK432" s="261">
        <v>1000</v>
      </c>
      <c r="AL432" s="256">
        <v>0.02</v>
      </c>
      <c r="AM432" s="256">
        <v>0.2</v>
      </c>
      <c r="AN432" s="256" t="s">
        <v>2127</v>
      </c>
      <c r="AO432" s="254" t="s">
        <v>1324</v>
      </c>
      <c r="AP432" s="257" t="s">
        <v>13</v>
      </c>
      <c r="AQ432" s="263" t="s">
        <v>668</v>
      </c>
      <c r="AR432" s="256">
        <v>4.0000000000000001E-3</v>
      </c>
      <c r="AS432" s="256">
        <v>4.0000000000000001E-3</v>
      </c>
      <c r="AT432" s="256"/>
      <c r="AW432" s="508"/>
      <c r="AX432" s="508"/>
      <c r="AY432" s="509"/>
      <c r="AZ432" s="509"/>
      <c r="BA432" s="509"/>
      <c r="BB432" s="510"/>
      <c r="BC432" s="509"/>
      <c r="BD432" s="509"/>
      <c r="BE432" s="509"/>
      <c r="BF432" s="509"/>
      <c r="BG432" s="510"/>
      <c r="BH432" s="510"/>
      <c r="BI432" s="511"/>
      <c r="BJ432" s="511"/>
      <c r="BK432" s="511"/>
      <c r="BL432" s="510"/>
      <c r="BM432" s="510"/>
      <c r="BN432" s="510"/>
      <c r="BO432" s="510"/>
      <c r="BP432" s="510"/>
      <c r="BQ432" s="510"/>
      <c r="BR432" s="510"/>
      <c r="BS432" s="510"/>
      <c r="BT432" s="513"/>
      <c r="BU432" s="514"/>
      <c r="BV432" s="512"/>
      <c r="BW432" s="515"/>
    </row>
    <row r="433" spans="2:75" ht="15.75" customHeight="1">
      <c r="B433" s="250" t="s">
        <v>1634</v>
      </c>
      <c r="C433" s="251">
        <v>35591389000171</v>
      </c>
      <c r="D433" s="252" t="s">
        <v>13</v>
      </c>
      <c r="E433" s="252" t="s">
        <v>615</v>
      </c>
      <c r="F433" s="252" t="s">
        <v>619</v>
      </c>
      <c r="G433" s="253"/>
      <c r="H433" s="253" t="s">
        <v>865</v>
      </c>
      <c r="I433" s="253"/>
      <c r="J433" s="253" t="s">
        <v>611</v>
      </c>
      <c r="K433" s="254" t="s">
        <v>48</v>
      </c>
      <c r="L433" s="255"/>
      <c r="M433" s="255"/>
      <c r="N433" s="254">
        <v>518433</v>
      </c>
      <c r="O433" s="254" t="s">
        <v>1321</v>
      </c>
      <c r="P433" s="258">
        <v>43826</v>
      </c>
      <c r="Q433" s="259">
        <v>111495892.54000001</v>
      </c>
      <c r="R433" s="259">
        <v>381794077.62511933</v>
      </c>
      <c r="S433" s="254">
        <v>5</v>
      </c>
      <c r="T433" s="256">
        <v>-3.6704706990031255E-2</v>
      </c>
      <c r="U433" s="256">
        <v>-0.41285137007707895</v>
      </c>
      <c r="V433" s="256">
        <v>-1.7972219765854169E-2</v>
      </c>
      <c r="W433" s="256">
        <v>-0.16494379252963778</v>
      </c>
      <c r="X433" s="256">
        <v>9.577763566194708E-2</v>
      </c>
      <c r="Y433" s="256">
        <v>0.67348826365716596</v>
      </c>
      <c r="Z433" s="256" t="s">
        <v>1417</v>
      </c>
      <c r="AA433" s="256" t="s">
        <v>1417</v>
      </c>
      <c r="AB433" s="256">
        <v>6.1213706621777171E-2</v>
      </c>
      <c r="AC433" s="260">
        <v>-1.955629433055375</v>
      </c>
      <c r="AD433" s="405">
        <v>26094770000134</v>
      </c>
      <c r="AE433" s="257" t="s">
        <v>2318</v>
      </c>
      <c r="AF433" s="257" t="s">
        <v>2318</v>
      </c>
      <c r="AG433" s="261" t="s">
        <v>1436</v>
      </c>
      <c r="AH433" s="261" t="s">
        <v>2110</v>
      </c>
      <c r="AI433" s="261">
        <v>10000</v>
      </c>
      <c r="AJ433" s="261">
        <v>1000</v>
      </c>
      <c r="AK433" s="261">
        <v>1000</v>
      </c>
      <c r="AL433" s="256">
        <v>1.2500000000000001E-2</v>
      </c>
      <c r="AM433" s="256" t="s">
        <v>34</v>
      </c>
      <c r="AN433" s="256" t="s">
        <v>64</v>
      </c>
      <c r="AO433" s="254" t="s">
        <v>1324</v>
      </c>
      <c r="AP433" s="257" t="s">
        <v>13</v>
      </c>
      <c r="AQ433" s="263" t="s">
        <v>679</v>
      </c>
      <c r="AR433" s="256" t="s">
        <v>34</v>
      </c>
      <c r="AS433" s="256" t="s">
        <v>34</v>
      </c>
      <c r="AT433" s="256"/>
      <c r="AW433" s="508"/>
      <c r="AX433" s="508"/>
      <c r="AY433" s="509"/>
      <c r="AZ433" s="509"/>
      <c r="BA433" s="509"/>
      <c r="BB433" s="510"/>
      <c r="BC433" s="509"/>
      <c r="BD433" s="509"/>
      <c r="BE433" s="509"/>
      <c r="BF433" s="509"/>
      <c r="BG433" s="510"/>
      <c r="BH433" s="510"/>
      <c r="BI433" s="511"/>
      <c r="BJ433" s="511"/>
      <c r="BK433" s="511"/>
      <c r="BL433" s="510"/>
      <c r="BM433" s="510"/>
      <c r="BN433" s="510"/>
      <c r="BO433" s="510"/>
      <c r="BP433" s="510"/>
      <c r="BQ433" s="510"/>
      <c r="BR433" s="510"/>
      <c r="BS433" s="510"/>
      <c r="BT433" s="513"/>
      <c r="BU433" s="514"/>
      <c r="BV433" s="512"/>
      <c r="BW433" s="515"/>
    </row>
    <row r="434" spans="2:75" ht="15.75" customHeight="1">
      <c r="B434" s="250" t="s">
        <v>1680</v>
      </c>
      <c r="C434" s="251">
        <v>28651543000198</v>
      </c>
      <c r="D434" s="252" t="s">
        <v>13</v>
      </c>
      <c r="E434" s="252" t="s">
        <v>615</v>
      </c>
      <c r="F434" s="252" t="s">
        <v>619</v>
      </c>
      <c r="G434" s="253" t="s">
        <v>34</v>
      </c>
      <c r="H434" s="253" t="s">
        <v>1338</v>
      </c>
      <c r="I434" s="253" t="s">
        <v>34</v>
      </c>
      <c r="J434" s="253"/>
      <c r="K434" s="254" t="s">
        <v>48</v>
      </c>
      <c r="L434" s="255"/>
      <c r="M434" s="255"/>
      <c r="N434" s="254">
        <v>459070</v>
      </c>
      <c r="O434" s="254" t="s">
        <v>1321</v>
      </c>
      <c r="P434" s="258">
        <v>43154</v>
      </c>
      <c r="Q434" s="259">
        <v>7970930.6200000001</v>
      </c>
      <c r="R434" s="259">
        <v>19776802.37376985</v>
      </c>
      <c r="S434" s="254">
        <v>5</v>
      </c>
      <c r="T434" s="256">
        <v>-0.19779917336650266</v>
      </c>
      <c r="U434" s="256">
        <v>-2.2248279967649114</v>
      </c>
      <c r="V434" s="256">
        <v>-0.18722265943290661</v>
      </c>
      <c r="W434" s="256">
        <v>-1.718274976417788</v>
      </c>
      <c r="X434" s="256">
        <v>-0.14147669824226572</v>
      </c>
      <c r="Y434" s="256">
        <v>-0.99483449542896507</v>
      </c>
      <c r="Z434" s="256">
        <v>-9.8354824683212549E-2</v>
      </c>
      <c r="AA434" s="256">
        <v>-0.53746620359226782</v>
      </c>
      <c r="AB434" s="256">
        <v>0.12861188753377359</v>
      </c>
      <c r="AC434" s="260">
        <v>-2.3499602396794312</v>
      </c>
      <c r="AD434" s="405">
        <v>22282992000120</v>
      </c>
      <c r="AE434" s="257" t="s">
        <v>2318</v>
      </c>
      <c r="AF434" s="257" t="s">
        <v>2318</v>
      </c>
      <c r="AG434" s="261" t="s">
        <v>1436</v>
      </c>
      <c r="AH434" s="261" t="s">
        <v>2110</v>
      </c>
      <c r="AI434" s="261">
        <v>1000</v>
      </c>
      <c r="AJ434" s="261">
        <v>1000</v>
      </c>
      <c r="AK434" s="261">
        <v>1000</v>
      </c>
      <c r="AL434" s="256">
        <v>9.4999999999999998E-3</v>
      </c>
      <c r="AM434" s="256" t="s">
        <v>34</v>
      </c>
      <c r="AN434" s="256" t="s">
        <v>64</v>
      </c>
      <c r="AO434" s="254" t="s">
        <v>1324</v>
      </c>
      <c r="AP434" s="257" t="s">
        <v>13</v>
      </c>
      <c r="AQ434" s="263" t="s">
        <v>679</v>
      </c>
      <c r="AR434" s="256" t="s">
        <v>34</v>
      </c>
      <c r="AS434" s="256" t="s">
        <v>34</v>
      </c>
      <c r="AT434" s="256"/>
      <c r="AW434" s="508"/>
      <c r="AX434" s="508"/>
      <c r="AY434" s="509"/>
      <c r="AZ434" s="509"/>
      <c r="BA434" s="509"/>
      <c r="BB434" s="510"/>
      <c r="BC434" s="509"/>
      <c r="BD434" s="509"/>
      <c r="BE434" s="509"/>
      <c r="BF434" s="509"/>
      <c r="BG434" s="510"/>
      <c r="BH434" s="510"/>
      <c r="BI434" s="511"/>
      <c r="BJ434" s="511"/>
      <c r="BK434" s="511"/>
      <c r="BL434" s="510"/>
      <c r="BM434" s="510"/>
      <c r="BN434" s="510"/>
      <c r="BO434" s="510"/>
      <c r="BP434" s="510"/>
      <c r="BQ434" s="510"/>
      <c r="BR434" s="510"/>
      <c r="BS434" s="510"/>
      <c r="BT434" s="513"/>
      <c r="BU434" s="514"/>
      <c r="BV434" s="512"/>
      <c r="BW434" s="515"/>
    </row>
    <row r="435" spans="2:75" ht="15.75" customHeight="1">
      <c r="B435" s="250" t="s">
        <v>1097</v>
      </c>
      <c r="C435" s="251">
        <v>14806166000104</v>
      </c>
      <c r="D435" s="252" t="s">
        <v>13</v>
      </c>
      <c r="E435" s="252" t="s">
        <v>615</v>
      </c>
      <c r="F435" s="252" t="s">
        <v>619</v>
      </c>
      <c r="G435" s="253" t="s">
        <v>34</v>
      </c>
      <c r="H435" s="253" t="s">
        <v>865</v>
      </c>
      <c r="I435" s="253" t="s">
        <v>34</v>
      </c>
      <c r="J435" s="253"/>
      <c r="K435" s="254" t="s">
        <v>48</v>
      </c>
      <c r="L435" s="255"/>
      <c r="M435" s="255" t="s">
        <v>34</v>
      </c>
      <c r="N435" s="254">
        <v>331341</v>
      </c>
      <c r="O435" s="254" t="s">
        <v>1324</v>
      </c>
      <c r="P435" s="258">
        <v>41001</v>
      </c>
      <c r="Q435" s="259">
        <v>26276422.600000001</v>
      </c>
      <c r="R435" s="259">
        <v>28344045.333373006</v>
      </c>
      <c r="S435" s="254">
        <v>5</v>
      </c>
      <c r="T435" s="256">
        <v>0.2092680755632208</v>
      </c>
      <c r="U435" s="256">
        <v>2.7052492580350265</v>
      </c>
      <c r="V435" s="256">
        <v>0.19258819590187404</v>
      </c>
      <c r="W435" s="256">
        <v>1.8880082837860257</v>
      </c>
      <c r="X435" s="256">
        <v>0.17639231383315979</v>
      </c>
      <c r="Y435" s="256">
        <v>1.3376149593215796</v>
      </c>
      <c r="Z435" s="256">
        <v>0.25394424292703976</v>
      </c>
      <c r="AA435" s="256">
        <v>1.4435014025401613</v>
      </c>
      <c r="AB435" s="256">
        <v>6.3267566495169861E-2</v>
      </c>
      <c r="AC435" s="260">
        <v>1.2806571245115701</v>
      </c>
      <c r="AD435" s="405">
        <v>14146709000104</v>
      </c>
      <c r="AE435" s="257" t="s">
        <v>2341</v>
      </c>
      <c r="AF435" s="257" t="s">
        <v>2112</v>
      </c>
      <c r="AG435" s="261" t="s">
        <v>59</v>
      </c>
      <c r="AH435" s="261" t="s">
        <v>2113</v>
      </c>
      <c r="AI435" s="261">
        <v>5000</v>
      </c>
      <c r="AJ435" s="261">
        <v>1000</v>
      </c>
      <c r="AK435" s="261">
        <v>1000</v>
      </c>
      <c r="AL435" s="256">
        <v>1.9E-2</v>
      </c>
      <c r="AM435" s="256">
        <v>0.2</v>
      </c>
      <c r="AN435" s="256" t="s">
        <v>64</v>
      </c>
      <c r="AO435" s="254" t="s">
        <v>1324</v>
      </c>
      <c r="AP435" s="257" t="s">
        <v>13</v>
      </c>
      <c r="AQ435" s="263" t="s">
        <v>664</v>
      </c>
      <c r="AR435" s="256">
        <v>6.6674166666666661E-3</v>
      </c>
      <c r="AS435" s="256">
        <v>6.6674166666666661E-3</v>
      </c>
      <c r="AT435" s="256"/>
      <c r="AW435" s="508"/>
      <c r="AX435" s="508"/>
      <c r="AY435" s="509"/>
      <c r="AZ435" s="509"/>
      <c r="BA435" s="509"/>
      <c r="BB435" s="510"/>
      <c r="BC435" s="509"/>
      <c r="BD435" s="509"/>
      <c r="BE435" s="509"/>
      <c r="BF435" s="509"/>
      <c r="BG435" s="510"/>
      <c r="BH435" s="510"/>
      <c r="BI435" s="511"/>
      <c r="BJ435" s="511"/>
      <c r="BK435" s="511"/>
      <c r="BL435" s="510"/>
      <c r="BM435" s="510"/>
      <c r="BN435" s="510"/>
      <c r="BO435" s="510"/>
      <c r="BP435" s="510"/>
      <c r="BQ435" s="510"/>
      <c r="BR435" s="510"/>
      <c r="BS435" s="510"/>
      <c r="BT435" s="513"/>
      <c r="BU435" s="514"/>
      <c r="BV435" s="512"/>
      <c r="BW435" s="515"/>
    </row>
    <row r="436" spans="2:75" ht="15.75" customHeight="1">
      <c r="B436" s="250" t="s">
        <v>1191</v>
      </c>
      <c r="C436" s="251">
        <v>10462072000104</v>
      </c>
      <c r="D436" s="252" t="s">
        <v>13</v>
      </c>
      <c r="E436" s="252" t="s">
        <v>615</v>
      </c>
      <c r="F436" s="252" t="s">
        <v>619</v>
      </c>
      <c r="G436" s="253" t="s">
        <v>34</v>
      </c>
      <c r="H436" s="253" t="s">
        <v>1337</v>
      </c>
      <c r="I436" s="253" t="s">
        <v>34</v>
      </c>
      <c r="J436" s="253"/>
      <c r="K436" s="254" t="s">
        <v>48</v>
      </c>
      <c r="L436" s="255"/>
      <c r="M436" s="255" t="s">
        <v>1414</v>
      </c>
      <c r="N436" s="254">
        <v>247995</v>
      </c>
      <c r="O436" s="254" t="s">
        <v>1321</v>
      </c>
      <c r="P436" s="258">
        <v>40304</v>
      </c>
      <c r="Q436" s="259">
        <v>33746442.549999997</v>
      </c>
      <c r="R436" s="259">
        <v>24478444.278690472</v>
      </c>
      <c r="S436" s="254">
        <v>5</v>
      </c>
      <c r="T436" s="256">
        <v>9.4115981776665913E-2</v>
      </c>
      <c r="U436" s="256">
        <v>1.2166556661130359</v>
      </c>
      <c r="V436" s="256">
        <v>0.10068458669560409</v>
      </c>
      <c r="W436" s="256">
        <v>0.98704561222291953</v>
      </c>
      <c r="X436" s="256">
        <v>0.16259854773410765</v>
      </c>
      <c r="Y436" s="256">
        <v>1.2330143252093324</v>
      </c>
      <c r="Z436" s="256">
        <v>0.19373843756893994</v>
      </c>
      <c r="AA436" s="256">
        <v>1.1012720868692951</v>
      </c>
      <c r="AB436" s="256">
        <v>3.5042492787998959E-2</v>
      </c>
      <c r="AC436" s="260">
        <v>-1.6842748119390096E-2</v>
      </c>
      <c r="AD436" s="405">
        <v>0</v>
      </c>
      <c r="AE436" s="257" t="s">
        <v>2397</v>
      </c>
      <c r="AF436" s="257" t="s">
        <v>2115</v>
      </c>
      <c r="AG436" s="261" t="s">
        <v>719</v>
      </c>
      <c r="AH436" s="261" t="s">
        <v>2113</v>
      </c>
      <c r="AI436" s="261">
        <v>1000</v>
      </c>
      <c r="AJ436" s="261">
        <v>1000</v>
      </c>
      <c r="AK436" s="261">
        <v>1000</v>
      </c>
      <c r="AL436" s="256">
        <v>8.0000000000000002E-3</v>
      </c>
      <c r="AM436" s="256">
        <v>0.2</v>
      </c>
      <c r="AN436" s="256" t="s">
        <v>64</v>
      </c>
      <c r="AO436" s="254" t="s">
        <v>1324</v>
      </c>
      <c r="AP436" s="257" t="s">
        <v>13</v>
      </c>
      <c r="AQ436" s="263" t="s">
        <v>686</v>
      </c>
      <c r="AR436" s="256">
        <v>2E-3</v>
      </c>
      <c r="AS436" s="256">
        <v>2E-3</v>
      </c>
      <c r="AT436" s="256"/>
      <c r="AW436" s="508"/>
      <c r="AX436" s="508"/>
      <c r="AY436" s="509"/>
      <c r="AZ436" s="509"/>
      <c r="BA436" s="509"/>
      <c r="BB436" s="510"/>
      <c r="BC436" s="509"/>
      <c r="BD436" s="509"/>
      <c r="BE436" s="509"/>
      <c r="BF436" s="509"/>
      <c r="BG436" s="510"/>
      <c r="BH436" s="510"/>
      <c r="BI436" s="511"/>
      <c r="BJ436" s="511"/>
      <c r="BK436" s="511"/>
      <c r="BL436" s="510"/>
      <c r="BM436" s="510"/>
      <c r="BN436" s="510"/>
      <c r="BO436" s="510"/>
      <c r="BP436" s="510"/>
      <c r="BQ436" s="510"/>
      <c r="BR436" s="510"/>
      <c r="BS436" s="510"/>
      <c r="BT436" s="513"/>
      <c r="BU436" s="514"/>
      <c r="BV436" s="512"/>
      <c r="BW436" s="515"/>
    </row>
    <row r="437" spans="2:75" ht="15.75" customHeight="1">
      <c r="B437" s="250" t="s">
        <v>1219</v>
      </c>
      <c r="C437" s="251">
        <v>27528774000146</v>
      </c>
      <c r="D437" s="252" t="s">
        <v>13</v>
      </c>
      <c r="E437" s="252" t="s">
        <v>616</v>
      </c>
      <c r="F437" s="252" t="s">
        <v>619</v>
      </c>
      <c r="G437" s="253" t="s">
        <v>34</v>
      </c>
      <c r="H437" s="253" t="s">
        <v>1338</v>
      </c>
      <c r="I437" s="253" t="s">
        <v>34</v>
      </c>
      <c r="J437" s="253" t="s">
        <v>611</v>
      </c>
      <c r="K437" s="254" t="s">
        <v>48</v>
      </c>
      <c r="L437" s="255"/>
      <c r="M437" s="255" t="s">
        <v>34</v>
      </c>
      <c r="N437" s="254">
        <v>444790</v>
      </c>
      <c r="O437" s="254" t="s">
        <v>1321</v>
      </c>
      <c r="P437" s="258">
        <v>42936</v>
      </c>
      <c r="Q437" s="259">
        <v>718681.62</v>
      </c>
      <c r="R437" s="259">
        <v>1677847.5482936508</v>
      </c>
      <c r="S437" s="254">
        <v>5</v>
      </c>
      <c r="T437" s="256">
        <v>-0.11899908099925527</v>
      </c>
      <c r="U437" s="256">
        <v>-1.5383243464807952</v>
      </c>
      <c r="V437" s="256">
        <v>-0.14266988029997785</v>
      </c>
      <c r="W437" s="256">
        <v>-1.3986418772537959</v>
      </c>
      <c r="X437" s="256">
        <v>-0.1551086487913933</v>
      </c>
      <c r="Y437" s="256">
        <v>-1.1762170609075691</v>
      </c>
      <c r="Z437" s="256">
        <v>-0.1939753946267031</v>
      </c>
      <c r="AA437" s="256">
        <v>-1.1026190276043177</v>
      </c>
      <c r="AB437" s="256">
        <v>9.033504182445623E-2</v>
      </c>
      <c r="AC437" s="260">
        <v>-2.7338379559189474</v>
      </c>
      <c r="AD437" s="405">
        <v>18851134000181</v>
      </c>
      <c r="AE437" s="257" t="s">
        <v>2247</v>
      </c>
      <c r="AF437" s="257" t="s">
        <v>2118</v>
      </c>
      <c r="AG437" s="261" t="s">
        <v>1433</v>
      </c>
      <c r="AH437" s="261" t="s">
        <v>2110</v>
      </c>
      <c r="AI437" s="261">
        <v>5000</v>
      </c>
      <c r="AJ437" s="261">
        <v>0</v>
      </c>
      <c r="AK437" s="261">
        <v>0</v>
      </c>
      <c r="AL437" s="256">
        <v>9.300000000000001E-3</v>
      </c>
      <c r="AM437" s="256" t="s">
        <v>34</v>
      </c>
      <c r="AN437" s="256" t="s">
        <v>34</v>
      </c>
      <c r="AO437" s="254" t="s">
        <v>1324</v>
      </c>
      <c r="AP437" s="257" t="s">
        <v>13</v>
      </c>
      <c r="AQ437" s="263" t="s">
        <v>679</v>
      </c>
      <c r="AR437" s="256">
        <v>4.6499999999999996E-3</v>
      </c>
      <c r="AS437" s="256">
        <v>4.6499999999999996E-3</v>
      </c>
      <c r="AT437" s="256"/>
      <c r="AW437" s="508"/>
      <c r="AX437" s="508"/>
      <c r="AY437" s="509"/>
      <c r="AZ437" s="509"/>
      <c r="BA437" s="509"/>
      <c r="BB437" s="510"/>
      <c r="BC437" s="509"/>
      <c r="BD437" s="509"/>
      <c r="BE437" s="509"/>
      <c r="BF437" s="509"/>
      <c r="BG437" s="510"/>
      <c r="BH437" s="510"/>
      <c r="BI437" s="511"/>
      <c r="BJ437" s="511"/>
      <c r="BK437" s="511"/>
      <c r="BL437" s="510"/>
      <c r="BM437" s="510"/>
      <c r="BN437" s="510"/>
      <c r="BO437" s="510"/>
      <c r="BP437" s="510"/>
      <c r="BQ437" s="510"/>
      <c r="BR437" s="510"/>
      <c r="BS437" s="510"/>
      <c r="BT437" s="513"/>
      <c r="BU437" s="514"/>
      <c r="BV437" s="512"/>
      <c r="BW437" s="515"/>
    </row>
    <row r="438" spans="2:75" ht="15.75" customHeight="1">
      <c r="B438" s="250" t="s">
        <v>1280</v>
      </c>
      <c r="C438" s="251">
        <v>22773406000140</v>
      </c>
      <c r="D438" s="252" t="s">
        <v>13</v>
      </c>
      <c r="E438" s="252" t="s">
        <v>615</v>
      </c>
      <c r="F438" s="252" t="s">
        <v>619</v>
      </c>
      <c r="G438" s="253" t="s">
        <v>34</v>
      </c>
      <c r="H438" s="253" t="s">
        <v>1338</v>
      </c>
      <c r="I438" s="253" t="s">
        <v>34</v>
      </c>
      <c r="J438" s="253"/>
      <c r="K438" s="254" t="s">
        <v>48</v>
      </c>
      <c r="L438" s="255"/>
      <c r="M438" s="255" t="s">
        <v>34</v>
      </c>
      <c r="N438" s="254">
        <v>410373</v>
      </c>
      <c r="O438" s="254" t="s">
        <v>1321</v>
      </c>
      <c r="P438" s="258">
        <v>42332</v>
      </c>
      <c r="Q438" s="259">
        <v>33598761.25</v>
      </c>
      <c r="R438" s="259">
        <v>79319666.568055525</v>
      </c>
      <c r="S438" s="254">
        <v>5</v>
      </c>
      <c r="T438" s="256">
        <v>-0.14725987216704961</v>
      </c>
      <c r="U438" s="256">
        <v>-1.9036571098867541</v>
      </c>
      <c r="V438" s="256">
        <v>-0.14352155883505924</v>
      </c>
      <c r="W438" s="256">
        <v>-1.4069911746851695</v>
      </c>
      <c r="X438" s="256">
        <v>-9.4993729804991101E-2</v>
      </c>
      <c r="Y438" s="256">
        <v>-0.72035470972444082</v>
      </c>
      <c r="Z438" s="256">
        <v>-9.4958567793137494E-3</v>
      </c>
      <c r="AA438" s="256">
        <v>-5.3977528378928871E-2</v>
      </c>
      <c r="AB438" s="256">
        <v>0.12209435856975497</v>
      </c>
      <c r="AC438" s="260">
        <v>-2.0018703008799972</v>
      </c>
      <c r="AD438" s="405">
        <v>22282992000120</v>
      </c>
      <c r="AE438" s="257" t="s">
        <v>2306</v>
      </c>
      <c r="AF438" s="257" t="s">
        <v>728</v>
      </c>
      <c r="AG438" s="261" t="s">
        <v>728</v>
      </c>
      <c r="AH438" s="261" t="s">
        <v>2110</v>
      </c>
      <c r="AI438" s="261">
        <v>1000</v>
      </c>
      <c r="AJ438" s="261">
        <v>100</v>
      </c>
      <c r="AK438" s="261">
        <v>500</v>
      </c>
      <c r="AL438" s="256">
        <v>0.01</v>
      </c>
      <c r="AM438" s="256" t="s">
        <v>34</v>
      </c>
      <c r="AN438" s="256" t="s">
        <v>2127</v>
      </c>
      <c r="AO438" s="254" t="s">
        <v>1324</v>
      </c>
      <c r="AP438" s="257" t="s">
        <v>13</v>
      </c>
      <c r="AQ438" s="263" t="s">
        <v>679</v>
      </c>
      <c r="AR438" s="256">
        <v>5.5000000000000005E-3</v>
      </c>
      <c r="AS438" s="256">
        <v>5.5000000000000005E-3</v>
      </c>
      <c r="AT438" s="256"/>
      <c r="AW438" s="508"/>
      <c r="AX438" s="508"/>
      <c r="AY438" s="509"/>
      <c r="AZ438" s="509"/>
      <c r="BA438" s="509"/>
      <c r="BB438" s="510"/>
      <c r="BC438" s="509"/>
      <c r="BD438" s="509"/>
      <c r="BE438" s="509"/>
      <c r="BF438" s="509"/>
      <c r="BG438" s="510"/>
      <c r="BH438" s="510"/>
      <c r="BI438" s="511"/>
      <c r="BJ438" s="511"/>
      <c r="BK438" s="511"/>
      <c r="BL438" s="510"/>
      <c r="BM438" s="510"/>
      <c r="BN438" s="510"/>
      <c r="BO438" s="510"/>
      <c r="BP438" s="510"/>
      <c r="BQ438" s="510"/>
      <c r="BR438" s="510"/>
      <c r="BS438" s="510"/>
      <c r="BT438" s="513"/>
      <c r="BU438" s="514"/>
      <c r="BV438" s="512"/>
      <c r="BW438" s="515"/>
    </row>
    <row r="439" spans="2:75" ht="15.75" customHeight="1">
      <c r="B439" s="250" t="s">
        <v>1283</v>
      </c>
      <c r="C439" s="251">
        <v>23872712000104</v>
      </c>
      <c r="D439" s="252" t="s">
        <v>13</v>
      </c>
      <c r="E439" s="252" t="s">
        <v>615</v>
      </c>
      <c r="F439" s="252" t="s">
        <v>619</v>
      </c>
      <c r="G439" s="253" t="s">
        <v>34</v>
      </c>
      <c r="H439" s="253" t="s">
        <v>1338</v>
      </c>
      <c r="I439" s="253" t="s">
        <v>34</v>
      </c>
      <c r="J439" s="253"/>
      <c r="K439" s="254" t="s">
        <v>49</v>
      </c>
      <c r="L439" s="255"/>
      <c r="M439" s="255" t="s">
        <v>34</v>
      </c>
      <c r="N439" s="254">
        <v>421693</v>
      </c>
      <c r="O439" s="254" t="s">
        <v>1324</v>
      </c>
      <c r="P439" s="258">
        <v>42587</v>
      </c>
      <c r="Q439" s="259">
        <v>84459058.879999995</v>
      </c>
      <c r="R439" s="259">
        <v>157353061.44099188</v>
      </c>
      <c r="S439" s="254">
        <v>5</v>
      </c>
      <c r="T439" s="256">
        <v>-0.24542186745084893</v>
      </c>
      <c r="U439" s="256">
        <v>-3.1726163823129547</v>
      </c>
      <c r="V439" s="256">
        <v>-0.19708743030634213</v>
      </c>
      <c r="W439" s="256">
        <v>-1.932115825198683</v>
      </c>
      <c r="X439" s="256">
        <v>-0.19345091876125109</v>
      </c>
      <c r="Y439" s="256">
        <v>-1.4669734593668478</v>
      </c>
      <c r="Z439" s="256">
        <v>0.14005278234970886</v>
      </c>
      <c r="AA439" s="256">
        <v>0.79610541834390292</v>
      </c>
      <c r="AB439" s="256">
        <v>0.17643050712372144</v>
      </c>
      <c r="AC439" s="260">
        <v>-1.7050513324609839</v>
      </c>
      <c r="AD439" s="405">
        <v>0</v>
      </c>
      <c r="AE439" s="257" t="s">
        <v>2306</v>
      </c>
      <c r="AF439" s="257" t="s">
        <v>728</v>
      </c>
      <c r="AG439" s="261" t="s">
        <v>728</v>
      </c>
      <c r="AH439" s="261" t="s">
        <v>2110</v>
      </c>
      <c r="AI439" s="261">
        <v>1000</v>
      </c>
      <c r="AJ439" s="261">
        <v>100</v>
      </c>
      <c r="AK439" s="261">
        <v>500</v>
      </c>
      <c r="AL439" s="256">
        <v>0.01</v>
      </c>
      <c r="AM439" s="256" t="s">
        <v>34</v>
      </c>
      <c r="AN439" s="256" t="s">
        <v>2127</v>
      </c>
      <c r="AO439" s="254" t="s">
        <v>1324</v>
      </c>
      <c r="AP439" s="257" t="s">
        <v>13</v>
      </c>
      <c r="AQ439" s="263" t="s">
        <v>679</v>
      </c>
      <c r="AR439" s="256">
        <v>5.3333333333333332E-3</v>
      </c>
      <c r="AS439" s="256">
        <v>5.3333333333333332E-3</v>
      </c>
      <c r="AT439" s="256"/>
      <c r="AW439" s="508"/>
      <c r="AX439" s="508"/>
      <c r="AY439" s="509"/>
      <c r="AZ439" s="509"/>
      <c r="BA439" s="509"/>
      <c r="BB439" s="510"/>
      <c r="BC439" s="509"/>
      <c r="BD439" s="509"/>
      <c r="BE439" s="509"/>
      <c r="BF439" s="509"/>
      <c r="BG439" s="510"/>
      <c r="BH439" s="510"/>
      <c r="BI439" s="511"/>
      <c r="BJ439" s="511"/>
      <c r="BK439" s="511"/>
      <c r="BL439" s="510"/>
      <c r="BM439" s="510"/>
      <c r="BN439" s="510"/>
      <c r="BO439" s="510"/>
      <c r="BP439" s="510"/>
      <c r="BQ439" s="510"/>
      <c r="BR439" s="510"/>
      <c r="BS439" s="510"/>
      <c r="BT439" s="513"/>
      <c r="BU439" s="514"/>
      <c r="BV439" s="512"/>
      <c r="BW439" s="515"/>
    </row>
    <row r="440" spans="2:75" ht="15.75" customHeight="1">
      <c r="B440" s="250" t="s">
        <v>1518</v>
      </c>
      <c r="C440" s="251">
        <v>37681227000150</v>
      </c>
      <c r="D440" s="252" t="s">
        <v>14</v>
      </c>
      <c r="E440" s="252" t="s">
        <v>15</v>
      </c>
      <c r="F440" s="252" t="s">
        <v>1326</v>
      </c>
      <c r="G440" s="253" t="s">
        <v>866</v>
      </c>
      <c r="H440" s="253" t="s">
        <v>34</v>
      </c>
      <c r="I440" s="253" t="s">
        <v>34</v>
      </c>
      <c r="J440" s="253" t="s">
        <v>608</v>
      </c>
      <c r="K440" s="254" t="s">
        <v>48</v>
      </c>
      <c r="L440" s="255"/>
      <c r="M440" s="255"/>
      <c r="N440" s="254">
        <v>555401</v>
      </c>
      <c r="O440" s="254" t="s">
        <v>1321</v>
      </c>
      <c r="P440" s="258">
        <v>44082</v>
      </c>
      <c r="Q440" s="259">
        <v>141668649.75999999</v>
      </c>
      <c r="R440" s="259">
        <v>122229921.08031745</v>
      </c>
      <c r="S440" s="254">
        <v>5</v>
      </c>
      <c r="T440" s="256">
        <v>0.62241365607010013</v>
      </c>
      <c r="U440" s="256">
        <v>7.0008549784368084</v>
      </c>
      <c r="V440" s="256">
        <v>0.62135975986539882</v>
      </c>
      <c r="W440" s="256">
        <v>5.7026586950725981</v>
      </c>
      <c r="X440" s="256">
        <v>0.75616834189623416</v>
      </c>
      <c r="Y440" s="256">
        <v>5.3172173242375065</v>
      </c>
      <c r="Z440" s="256" t="s">
        <v>1417</v>
      </c>
      <c r="AA440" s="256" t="s">
        <v>1417</v>
      </c>
      <c r="AB440" s="256">
        <v>0.64988190068261709</v>
      </c>
      <c r="AC440" s="260">
        <v>0.82410049005062402</v>
      </c>
      <c r="AD440" s="405">
        <v>35640811000131</v>
      </c>
      <c r="AE440" s="257" t="s">
        <v>2123</v>
      </c>
      <c r="AF440" s="257" t="s">
        <v>2109</v>
      </c>
      <c r="AG440" s="261" t="s">
        <v>1432</v>
      </c>
      <c r="AH440" s="261" t="s">
        <v>2110</v>
      </c>
      <c r="AI440" s="261">
        <v>50000</v>
      </c>
      <c r="AJ440" s="261" t="s">
        <v>1427</v>
      </c>
      <c r="AK440" s="261" t="s">
        <v>1427</v>
      </c>
      <c r="AL440" s="256">
        <v>7.4999999999999997E-3</v>
      </c>
      <c r="AM440" s="256" t="s">
        <v>34</v>
      </c>
      <c r="AN440" s="256" t="s">
        <v>34</v>
      </c>
      <c r="AO440" s="254" t="s">
        <v>1324</v>
      </c>
      <c r="AP440" s="257" t="s">
        <v>13</v>
      </c>
      <c r="AQ440" s="263" t="s">
        <v>671</v>
      </c>
      <c r="AR440" s="256" t="s">
        <v>34</v>
      </c>
      <c r="AS440" s="256" t="s">
        <v>34</v>
      </c>
      <c r="AT440" s="256"/>
      <c r="AW440" s="508"/>
      <c r="AX440" s="508"/>
      <c r="AY440" s="509"/>
      <c r="AZ440" s="509"/>
      <c r="BA440" s="509"/>
      <c r="BB440" s="510"/>
      <c r="BC440" s="509"/>
      <c r="BD440" s="509"/>
      <c r="BE440" s="509"/>
      <c r="BF440" s="509"/>
      <c r="BG440" s="510"/>
      <c r="BH440" s="510"/>
      <c r="BI440" s="511"/>
      <c r="BJ440" s="511"/>
      <c r="BK440" s="511"/>
      <c r="BL440" s="510"/>
      <c r="BM440" s="510"/>
      <c r="BN440" s="510"/>
      <c r="BO440" s="510"/>
      <c r="BP440" s="510"/>
      <c r="BQ440" s="510"/>
      <c r="BR440" s="510"/>
      <c r="BS440" s="510"/>
      <c r="BT440" s="513"/>
      <c r="BU440" s="514"/>
      <c r="BV440" s="512"/>
      <c r="BW440" s="515"/>
    </row>
    <row r="441" spans="2:75" ht="15.75" customHeight="1">
      <c r="B441" s="250" t="s">
        <v>1519</v>
      </c>
      <c r="C441" s="251">
        <v>37927641000104</v>
      </c>
      <c r="D441" s="252" t="s">
        <v>14</v>
      </c>
      <c r="E441" s="252" t="s">
        <v>15</v>
      </c>
      <c r="F441" s="252" t="s">
        <v>1326</v>
      </c>
      <c r="G441" s="253" t="s">
        <v>866</v>
      </c>
      <c r="H441" s="253" t="s">
        <v>34</v>
      </c>
      <c r="I441" s="253" t="s">
        <v>34</v>
      </c>
      <c r="J441" s="253" t="s">
        <v>608</v>
      </c>
      <c r="K441" s="254" t="s">
        <v>48</v>
      </c>
      <c r="L441" s="255"/>
      <c r="M441" s="255"/>
      <c r="N441" s="254">
        <v>551252</v>
      </c>
      <c r="O441" s="254" t="s">
        <v>1321</v>
      </c>
      <c r="P441" s="258">
        <v>44082</v>
      </c>
      <c r="Q441" s="259">
        <v>238669542.97</v>
      </c>
      <c r="R441" s="259">
        <v>205734082.86805567</v>
      </c>
      <c r="S441" s="254">
        <v>5</v>
      </c>
      <c r="T441" s="256">
        <v>0.62361556592339862</v>
      </c>
      <c r="U441" s="256">
        <v>7.0143739565280434</v>
      </c>
      <c r="V441" s="256">
        <v>0.62361811467441242</v>
      </c>
      <c r="W441" s="256">
        <v>5.7233852170008452</v>
      </c>
      <c r="X441" s="256">
        <v>0.76275476138057496</v>
      </c>
      <c r="Y441" s="256">
        <v>5.3635316458593421</v>
      </c>
      <c r="Z441" s="256" t="s">
        <v>1417</v>
      </c>
      <c r="AA441" s="256" t="s">
        <v>1417</v>
      </c>
      <c r="AB441" s="256">
        <v>0.6476542442606833</v>
      </c>
      <c r="AC441" s="260">
        <v>0.8276556195553868</v>
      </c>
      <c r="AD441" s="405">
        <v>35640811000131</v>
      </c>
      <c r="AE441" s="257" t="s">
        <v>2123</v>
      </c>
      <c r="AF441" s="257" t="s">
        <v>2109</v>
      </c>
      <c r="AG441" s="261" t="s">
        <v>1432</v>
      </c>
      <c r="AH441" s="261" t="s">
        <v>2131</v>
      </c>
      <c r="AI441" s="261">
        <v>250000</v>
      </c>
      <c r="AJ441" s="261" t="s">
        <v>1427</v>
      </c>
      <c r="AK441" s="261" t="s">
        <v>1427</v>
      </c>
      <c r="AL441" s="256">
        <v>5.0000000000000001E-3</v>
      </c>
      <c r="AM441" s="256" t="s">
        <v>34</v>
      </c>
      <c r="AN441" s="256" t="s">
        <v>34</v>
      </c>
      <c r="AO441" s="254" t="s">
        <v>1324</v>
      </c>
      <c r="AP441" s="257" t="s">
        <v>13</v>
      </c>
      <c r="AQ441" s="263" t="s">
        <v>671</v>
      </c>
      <c r="AR441" s="256" t="s">
        <v>34</v>
      </c>
      <c r="AS441" s="256" t="s">
        <v>34</v>
      </c>
      <c r="AT441" s="256"/>
      <c r="AW441" s="508"/>
      <c r="AX441" s="508"/>
      <c r="AY441" s="509"/>
      <c r="AZ441" s="509"/>
      <c r="BA441" s="509"/>
      <c r="BB441" s="510"/>
      <c r="BC441" s="509"/>
      <c r="BD441" s="509"/>
      <c r="BE441" s="509"/>
      <c r="BF441" s="509"/>
      <c r="BG441" s="510"/>
      <c r="BH441" s="510"/>
      <c r="BI441" s="511"/>
      <c r="BJ441" s="511"/>
      <c r="BK441" s="511"/>
      <c r="BL441" s="510"/>
      <c r="BM441" s="510"/>
      <c r="BN441" s="510"/>
      <c r="BO441" s="510"/>
      <c r="BP441" s="510"/>
      <c r="BQ441" s="510"/>
      <c r="BR441" s="510"/>
      <c r="BS441" s="510"/>
      <c r="BT441" s="513"/>
      <c r="BU441" s="514"/>
      <c r="BV441" s="512"/>
      <c r="BW441" s="515"/>
    </row>
    <row r="442" spans="2:75" ht="15.75" customHeight="1">
      <c r="B442" s="250" t="s">
        <v>795</v>
      </c>
      <c r="C442" s="251">
        <v>39293641000117</v>
      </c>
      <c r="D442" s="252" t="s">
        <v>14</v>
      </c>
      <c r="E442" s="252" t="s">
        <v>607</v>
      </c>
      <c r="F442" s="252" t="s">
        <v>860</v>
      </c>
      <c r="G442" s="253"/>
      <c r="H442" s="253" t="s">
        <v>34</v>
      </c>
      <c r="I442" s="253" t="s">
        <v>34</v>
      </c>
      <c r="J442" s="253" t="s">
        <v>611</v>
      </c>
      <c r="K442" s="254"/>
      <c r="L442" s="255"/>
      <c r="M442" s="255" t="s">
        <v>1414</v>
      </c>
      <c r="N442" s="254">
        <v>570451</v>
      </c>
      <c r="O442" s="254" t="s">
        <v>1321</v>
      </c>
      <c r="P442" s="258">
        <v>44193</v>
      </c>
      <c r="Q442" s="259">
        <v>6533933.4199999999</v>
      </c>
      <c r="R442" s="259">
        <v>6297809.5947222253</v>
      </c>
      <c r="S442" s="254">
        <v>5</v>
      </c>
      <c r="T442" s="256">
        <v>-0.22170274015882241</v>
      </c>
      <c r="U442" s="256">
        <v>-2.8659945942772151</v>
      </c>
      <c r="V442" s="256">
        <v>-0.13631672076377477</v>
      </c>
      <c r="W442" s="256">
        <v>-1.3363596705152423</v>
      </c>
      <c r="X442" s="256" t="s">
        <v>1417</v>
      </c>
      <c r="Y442" s="256" t="s">
        <v>1417</v>
      </c>
      <c r="Z442" s="256" t="s">
        <v>1417</v>
      </c>
      <c r="AA442" s="256" t="s">
        <v>1417</v>
      </c>
      <c r="AB442" s="256">
        <v>0.19932050114807071</v>
      </c>
      <c r="AC442" s="260">
        <v>-1.1229422037456938</v>
      </c>
      <c r="AD442" s="405">
        <v>40910469000182</v>
      </c>
      <c r="AE442" s="257" t="s">
        <v>2169</v>
      </c>
      <c r="AF442" s="257" t="s">
        <v>2169</v>
      </c>
      <c r="AG442" s="261" t="s">
        <v>1435</v>
      </c>
      <c r="AH442" s="261" t="s">
        <v>2110</v>
      </c>
      <c r="AI442" s="261">
        <v>1000</v>
      </c>
      <c r="AJ442" s="261" t="s">
        <v>1427</v>
      </c>
      <c r="AK442" s="261" t="s">
        <v>1427</v>
      </c>
      <c r="AL442" s="256">
        <v>5.0000000000000001E-3</v>
      </c>
      <c r="AM442" s="256" t="s">
        <v>34</v>
      </c>
      <c r="AN442" s="256" t="s">
        <v>2122</v>
      </c>
      <c r="AO442" s="254" t="s">
        <v>1324</v>
      </c>
      <c r="AP442" s="257" t="s">
        <v>716</v>
      </c>
      <c r="AQ442" s="263" t="s">
        <v>687</v>
      </c>
      <c r="AR442" s="256">
        <v>1.6665E-3</v>
      </c>
      <c r="AS442" s="256">
        <v>1.6665E-3</v>
      </c>
      <c r="AT442" s="256"/>
      <c r="AW442" s="508"/>
      <c r="AX442" s="508"/>
      <c r="AY442" s="509"/>
      <c r="AZ442" s="509"/>
      <c r="BA442" s="509"/>
      <c r="BB442" s="510"/>
      <c r="BC442" s="509"/>
      <c r="BD442" s="509"/>
      <c r="BE442" s="509"/>
      <c r="BF442" s="509"/>
      <c r="BG442" s="510"/>
      <c r="BH442" s="510"/>
      <c r="BI442" s="511"/>
      <c r="BJ442" s="511"/>
      <c r="BK442" s="511"/>
      <c r="BL442" s="510"/>
      <c r="BM442" s="510"/>
      <c r="BN442" s="510"/>
      <c r="BO442" s="510"/>
      <c r="BP442" s="510"/>
      <c r="BQ442" s="510"/>
      <c r="BR442" s="510"/>
      <c r="BS442" s="510"/>
      <c r="BT442" s="513"/>
      <c r="BU442" s="514"/>
      <c r="BV442" s="512"/>
      <c r="BW442" s="515"/>
    </row>
    <row r="443" spans="2:75" ht="15.75" customHeight="1">
      <c r="B443" s="250" t="s">
        <v>1126</v>
      </c>
      <c r="C443" s="251">
        <v>33158068000152</v>
      </c>
      <c r="D443" s="252" t="s">
        <v>14</v>
      </c>
      <c r="E443" s="252" t="s">
        <v>607</v>
      </c>
      <c r="F443" s="252" t="s">
        <v>860</v>
      </c>
      <c r="G443" s="253"/>
      <c r="H443" s="253" t="s">
        <v>34</v>
      </c>
      <c r="I443" s="253" t="s">
        <v>34</v>
      </c>
      <c r="J443" s="253" t="s">
        <v>611</v>
      </c>
      <c r="K443" s="254"/>
      <c r="L443" s="255"/>
      <c r="M443" s="255" t="s">
        <v>34</v>
      </c>
      <c r="N443" s="254">
        <v>502243</v>
      </c>
      <c r="O443" s="254" t="s">
        <v>1321</v>
      </c>
      <c r="P443" s="258">
        <v>43668</v>
      </c>
      <c r="Q443" s="259">
        <v>20487240.98</v>
      </c>
      <c r="R443" s="259">
        <v>43816956.103928573</v>
      </c>
      <c r="S443" s="254">
        <v>5</v>
      </c>
      <c r="T443" s="256">
        <v>-0.16666518813954889</v>
      </c>
      <c r="U443" s="256">
        <v>-2.1545134170193707</v>
      </c>
      <c r="V443" s="256">
        <v>-0.14955106081726233</v>
      </c>
      <c r="W443" s="256">
        <v>-1.4661004551693373</v>
      </c>
      <c r="X443" s="256">
        <v>5.8954429513234929E-2</v>
      </c>
      <c r="Y443" s="256">
        <v>0.44706214869294486</v>
      </c>
      <c r="Z443" s="256">
        <v>0.22573617506750487</v>
      </c>
      <c r="AA443" s="256">
        <v>1.2831576001020593</v>
      </c>
      <c r="AB443" s="256">
        <v>0.23242466793422009</v>
      </c>
      <c r="AC443" s="260">
        <v>-0.99863496453259482</v>
      </c>
      <c r="AD443" s="405">
        <v>33600794000183</v>
      </c>
      <c r="AE443" s="257" t="s">
        <v>2144</v>
      </c>
      <c r="AF443" s="257" t="s">
        <v>2109</v>
      </c>
      <c r="AG443" s="261" t="s">
        <v>1432</v>
      </c>
      <c r="AH443" s="261" t="s">
        <v>2110</v>
      </c>
      <c r="AI443" s="261">
        <v>5000</v>
      </c>
      <c r="AJ443" s="261">
        <v>5000</v>
      </c>
      <c r="AK443" s="261">
        <v>5000</v>
      </c>
      <c r="AL443" s="256">
        <v>0.01</v>
      </c>
      <c r="AM443" s="256" t="s">
        <v>34</v>
      </c>
      <c r="AN443" s="256" t="s">
        <v>34</v>
      </c>
      <c r="AO443" s="254" t="s">
        <v>1324</v>
      </c>
      <c r="AP443" s="257" t="s">
        <v>13</v>
      </c>
      <c r="AQ443" s="263" t="s">
        <v>679</v>
      </c>
      <c r="AR443" s="256">
        <v>8.0000000000000002E-3</v>
      </c>
      <c r="AS443" s="256">
        <v>8.0000000000000002E-3</v>
      </c>
      <c r="AT443" s="256"/>
      <c r="AW443" s="508"/>
      <c r="AX443" s="508"/>
      <c r="AY443" s="509"/>
      <c r="AZ443" s="509"/>
      <c r="BA443" s="509"/>
      <c r="BB443" s="510"/>
      <c r="BC443" s="509"/>
      <c r="BD443" s="509"/>
      <c r="BE443" s="509"/>
      <c r="BF443" s="509"/>
      <c r="BG443" s="510"/>
      <c r="BH443" s="510"/>
      <c r="BI443" s="511"/>
      <c r="BJ443" s="511"/>
      <c r="BK443" s="511"/>
      <c r="BL443" s="510"/>
      <c r="BM443" s="510"/>
      <c r="BN443" s="510"/>
      <c r="BO443" s="510"/>
      <c r="BP443" s="510"/>
      <c r="BQ443" s="510"/>
      <c r="BR443" s="510"/>
      <c r="BS443" s="510"/>
      <c r="BT443" s="513"/>
      <c r="BU443" s="514"/>
      <c r="BV443" s="512"/>
      <c r="BW443" s="515"/>
    </row>
    <row r="444" spans="2:75" ht="15.75" customHeight="1">
      <c r="B444" s="250" t="s">
        <v>727</v>
      </c>
      <c r="C444" s="251">
        <v>7657641000162</v>
      </c>
      <c r="D444" s="252" t="s">
        <v>14</v>
      </c>
      <c r="E444" s="252" t="s">
        <v>614</v>
      </c>
      <c r="F444" s="252"/>
      <c r="G444" s="253"/>
      <c r="H444" s="253" t="s">
        <v>865</v>
      </c>
      <c r="I444" s="253" t="s">
        <v>34</v>
      </c>
      <c r="J444" s="253" t="s">
        <v>611</v>
      </c>
      <c r="K444" s="254" t="s">
        <v>48</v>
      </c>
      <c r="L444" s="255"/>
      <c r="M444" s="255" t="s">
        <v>1414</v>
      </c>
      <c r="N444" s="254">
        <v>286664</v>
      </c>
      <c r="O444" s="254" t="s">
        <v>1321</v>
      </c>
      <c r="P444" s="258">
        <v>40805</v>
      </c>
      <c r="Q444" s="259">
        <v>67246431.290000007</v>
      </c>
      <c r="R444" s="259">
        <v>142060934.03519836</v>
      </c>
      <c r="S444" s="254">
        <v>5</v>
      </c>
      <c r="T444" s="256">
        <v>-0.20619799140700967</v>
      </c>
      <c r="U444" s="256">
        <v>-2.6655616809244593</v>
      </c>
      <c r="V444" s="256">
        <v>-0.11424438035944362</v>
      </c>
      <c r="W444" s="256">
        <v>-1.1199769304891869</v>
      </c>
      <c r="X444" s="256">
        <v>3.0953757230462786E-2</v>
      </c>
      <c r="Y444" s="256">
        <v>0.23472796415515923</v>
      </c>
      <c r="Z444" s="256">
        <v>0.35239605143014008</v>
      </c>
      <c r="AA444" s="256">
        <v>2.0031333989925146</v>
      </c>
      <c r="AB444" s="256">
        <v>0.17828385175414457</v>
      </c>
      <c r="AC444" s="260">
        <v>-1.1363136746766949</v>
      </c>
      <c r="AD444" s="405">
        <v>0</v>
      </c>
      <c r="AE444" s="257" t="s">
        <v>2128</v>
      </c>
      <c r="AF444" s="257" t="s">
        <v>728</v>
      </c>
      <c r="AG444" s="261" t="s">
        <v>728</v>
      </c>
      <c r="AH444" s="261" t="s">
        <v>2110</v>
      </c>
      <c r="AI444" s="261">
        <v>25000</v>
      </c>
      <c r="AJ444" s="261">
        <v>5000</v>
      </c>
      <c r="AK444" s="261">
        <v>0</v>
      </c>
      <c r="AL444" s="519">
        <v>6.9999999999999993E-3</v>
      </c>
      <c r="AM444" s="519" t="s">
        <v>34</v>
      </c>
      <c r="AN444" s="256" t="s">
        <v>34</v>
      </c>
      <c r="AO444" s="254" t="s">
        <v>1324</v>
      </c>
      <c r="AP444" s="257" t="s">
        <v>716</v>
      </c>
      <c r="AQ444" s="263" t="s">
        <v>687</v>
      </c>
      <c r="AR444" s="256">
        <v>1.8666666666666666E-3</v>
      </c>
      <c r="AS444" s="256">
        <v>1.8666666666666666E-3</v>
      </c>
      <c r="AT444" s="256"/>
      <c r="AW444" s="508"/>
      <c r="AX444" s="508"/>
      <c r="AY444" s="509"/>
      <c r="AZ444" s="509"/>
      <c r="BA444" s="509"/>
      <c r="BB444" s="510"/>
      <c r="BC444" s="509"/>
      <c r="BD444" s="509"/>
      <c r="BE444" s="509"/>
      <c r="BF444" s="509"/>
      <c r="BG444" s="510"/>
      <c r="BH444" s="510"/>
      <c r="BI444" s="511"/>
      <c r="BJ444" s="511"/>
      <c r="BK444" s="511"/>
      <c r="BL444" s="510"/>
      <c r="BM444" s="510"/>
      <c r="BN444" s="510"/>
      <c r="BO444" s="510"/>
      <c r="BP444" s="510"/>
      <c r="BQ444" s="510"/>
      <c r="BR444" s="510"/>
      <c r="BS444" s="510"/>
      <c r="BT444" s="513"/>
      <c r="BU444" s="514"/>
      <c r="BV444" s="512"/>
      <c r="BW444" s="515"/>
    </row>
    <row r="445" spans="2:75" ht="15.75" customHeight="1">
      <c r="B445" s="250" t="s">
        <v>577</v>
      </c>
      <c r="C445" s="251">
        <v>11147668000182</v>
      </c>
      <c r="D445" s="252" t="s">
        <v>14</v>
      </c>
      <c r="E445" s="252" t="s">
        <v>607</v>
      </c>
      <c r="F445" s="252"/>
      <c r="G445" s="253"/>
      <c r="H445" s="253" t="s">
        <v>34</v>
      </c>
      <c r="I445" s="253" t="s">
        <v>34</v>
      </c>
      <c r="J445" s="253" t="s">
        <v>611</v>
      </c>
      <c r="K445" s="254"/>
      <c r="L445" s="255"/>
      <c r="M445" s="255" t="s">
        <v>1414</v>
      </c>
      <c r="N445" s="254">
        <v>253154</v>
      </c>
      <c r="O445" s="254" t="s">
        <v>1321</v>
      </c>
      <c r="P445" s="258">
        <v>40386</v>
      </c>
      <c r="Q445" s="259">
        <v>180924688.74000001</v>
      </c>
      <c r="R445" s="259">
        <v>360758390.37773812</v>
      </c>
      <c r="S445" s="254">
        <v>5</v>
      </c>
      <c r="T445" s="256">
        <v>-0.30200995276660925</v>
      </c>
      <c r="U445" s="256">
        <v>-3.9041416061296941</v>
      </c>
      <c r="V445" s="256">
        <v>-0.2254778409421746</v>
      </c>
      <c r="W445" s="256">
        <v>-2.2104367794478681</v>
      </c>
      <c r="X445" s="256">
        <v>-3.1542055709047556E-2</v>
      </c>
      <c r="Y445" s="256">
        <v>-0.23918913838889269</v>
      </c>
      <c r="Z445" s="256">
        <v>0.76281636056837199</v>
      </c>
      <c r="AA445" s="256">
        <v>4.3360954895811084</v>
      </c>
      <c r="AB445" s="256">
        <v>0.3033320944995021</v>
      </c>
      <c r="AC445" s="260">
        <v>-1.0115038358816488</v>
      </c>
      <c r="AD445" s="405">
        <v>0</v>
      </c>
      <c r="AE445" s="257" t="s">
        <v>2128</v>
      </c>
      <c r="AF445" s="257" t="s">
        <v>728</v>
      </c>
      <c r="AG445" s="261" t="s">
        <v>728</v>
      </c>
      <c r="AH445" s="261" t="s">
        <v>2110</v>
      </c>
      <c r="AI445" s="261">
        <v>25000</v>
      </c>
      <c r="AJ445" s="261">
        <v>5000</v>
      </c>
      <c r="AK445" s="261">
        <v>0</v>
      </c>
      <c r="AL445" s="519">
        <v>6.9999999999999993E-3</v>
      </c>
      <c r="AM445" s="519" t="s">
        <v>34</v>
      </c>
      <c r="AN445" s="256" t="s">
        <v>34</v>
      </c>
      <c r="AO445" s="254" t="s">
        <v>1324</v>
      </c>
      <c r="AP445" s="257" t="s">
        <v>716</v>
      </c>
      <c r="AQ445" s="263" t="s">
        <v>687</v>
      </c>
      <c r="AR445" s="256">
        <v>3.4666666666666665E-3</v>
      </c>
      <c r="AS445" s="256">
        <v>3.4666666666666665E-3</v>
      </c>
      <c r="AT445" s="256"/>
      <c r="AW445" s="508"/>
      <c r="AX445" s="508"/>
      <c r="AY445" s="509"/>
      <c r="AZ445" s="509"/>
      <c r="BA445" s="509"/>
      <c r="BB445" s="510"/>
      <c r="BC445" s="509"/>
      <c r="BD445" s="509"/>
      <c r="BE445" s="509"/>
      <c r="BF445" s="509"/>
      <c r="BG445" s="510"/>
      <c r="BH445" s="510"/>
      <c r="BI445" s="511"/>
      <c r="BJ445" s="511"/>
      <c r="BK445" s="511"/>
      <c r="BL445" s="510"/>
      <c r="BM445" s="510"/>
      <c r="BN445" s="510"/>
      <c r="BO445" s="510"/>
      <c r="BP445" s="510"/>
      <c r="BQ445" s="510"/>
      <c r="BR445" s="510"/>
      <c r="BS445" s="510"/>
      <c r="BT445" s="513"/>
      <c r="BU445" s="514"/>
      <c r="BV445" s="512"/>
      <c r="BW445" s="515"/>
    </row>
    <row r="446" spans="2:75" ht="15.75" customHeight="1">
      <c r="B446" s="250" t="s">
        <v>779</v>
      </c>
      <c r="C446" s="251">
        <v>20501989000124</v>
      </c>
      <c r="D446" s="252" t="s">
        <v>14</v>
      </c>
      <c r="E446" s="252" t="s">
        <v>614</v>
      </c>
      <c r="F446" s="252"/>
      <c r="G446" s="253"/>
      <c r="H446" s="253" t="s">
        <v>865</v>
      </c>
      <c r="I446" s="253" t="s">
        <v>34</v>
      </c>
      <c r="J446" s="253" t="s">
        <v>608</v>
      </c>
      <c r="K446" s="254" t="s">
        <v>48</v>
      </c>
      <c r="L446" s="255"/>
      <c r="M446" s="255" t="s">
        <v>34</v>
      </c>
      <c r="N446" s="254">
        <v>383651</v>
      </c>
      <c r="O446" s="254" t="s">
        <v>1321</v>
      </c>
      <c r="P446" s="258">
        <v>41920</v>
      </c>
      <c r="Q446" s="259">
        <v>87876891.379999995</v>
      </c>
      <c r="R446" s="259">
        <v>96620579.785555497</v>
      </c>
      <c r="S446" s="254">
        <v>5</v>
      </c>
      <c r="T446" s="256">
        <v>-4.0009543359968758E-2</v>
      </c>
      <c r="U446" s="256">
        <v>-0.51721117613172296</v>
      </c>
      <c r="V446" s="256">
        <v>-0.16076848111291542</v>
      </c>
      <c r="W446" s="256">
        <v>-1.5760686821508769</v>
      </c>
      <c r="X446" s="256">
        <v>-5.2387216054150643E-2</v>
      </c>
      <c r="Y446" s="256">
        <v>-0.3972617760291004</v>
      </c>
      <c r="Z446" s="256">
        <v>-1.4488411381771704E-2</v>
      </c>
      <c r="AA446" s="256">
        <v>-8.2356827266901522E-2</v>
      </c>
      <c r="AB446" s="256">
        <v>0.17253325876920345</v>
      </c>
      <c r="AC446" s="260">
        <v>-1.492624119483303</v>
      </c>
      <c r="AD446" s="405">
        <v>20355747000170</v>
      </c>
      <c r="AE446" s="257" t="s">
        <v>2157</v>
      </c>
      <c r="AF446" s="257" t="s">
        <v>2109</v>
      </c>
      <c r="AG446" s="261" t="s">
        <v>1432</v>
      </c>
      <c r="AH446" s="261" t="s">
        <v>2110</v>
      </c>
      <c r="AI446" s="261">
        <v>1000</v>
      </c>
      <c r="AJ446" s="261">
        <v>1000</v>
      </c>
      <c r="AK446" s="261">
        <v>1000</v>
      </c>
      <c r="AL446" s="519">
        <v>1.6E-2</v>
      </c>
      <c r="AM446" s="519">
        <v>0.15</v>
      </c>
      <c r="AN446" s="256" t="s">
        <v>34</v>
      </c>
      <c r="AO446" s="254" t="s">
        <v>1324</v>
      </c>
      <c r="AP446" s="257" t="s">
        <v>716</v>
      </c>
      <c r="AQ446" s="263" t="s">
        <v>659</v>
      </c>
      <c r="AR446" s="256">
        <v>4.2666666666666669E-3</v>
      </c>
      <c r="AS446" s="256">
        <v>4.2666666666666669E-3</v>
      </c>
      <c r="AT446" s="256"/>
      <c r="AW446" s="508"/>
      <c r="AX446" s="508"/>
      <c r="AY446" s="509"/>
      <c r="AZ446" s="509"/>
      <c r="BA446" s="509"/>
      <c r="BB446" s="510"/>
      <c r="BC446" s="509"/>
      <c r="BD446" s="509"/>
      <c r="BE446" s="509"/>
      <c r="BF446" s="509"/>
      <c r="BG446" s="510"/>
      <c r="BH446" s="510"/>
      <c r="BI446" s="511"/>
      <c r="BJ446" s="511"/>
      <c r="BK446" s="511"/>
      <c r="BL446" s="510"/>
      <c r="BM446" s="510"/>
      <c r="BN446" s="510"/>
      <c r="BO446" s="510"/>
      <c r="BP446" s="510"/>
      <c r="BQ446" s="510"/>
      <c r="BR446" s="510"/>
      <c r="BS446" s="510"/>
      <c r="BT446" s="513"/>
      <c r="BU446" s="514"/>
      <c r="BV446" s="512"/>
      <c r="BW446" s="515"/>
    </row>
    <row r="447" spans="2:75" ht="15.75" customHeight="1">
      <c r="B447" s="250" t="s">
        <v>785</v>
      </c>
      <c r="C447" s="251">
        <v>40102910000108</v>
      </c>
      <c r="D447" s="252" t="s">
        <v>14</v>
      </c>
      <c r="E447" s="252" t="s">
        <v>607</v>
      </c>
      <c r="F447" s="252"/>
      <c r="G447" s="253"/>
      <c r="H447" s="253" t="s">
        <v>34</v>
      </c>
      <c r="I447" s="253" t="s">
        <v>34</v>
      </c>
      <c r="J447" s="253" t="s">
        <v>612</v>
      </c>
      <c r="K447" s="254" t="s">
        <v>49</v>
      </c>
      <c r="L447" s="255"/>
      <c r="M447" s="255" t="s">
        <v>34</v>
      </c>
      <c r="N447" s="254">
        <v>578381</v>
      </c>
      <c r="O447" s="254" t="s">
        <v>1321</v>
      </c>
      <c r="P447" s="258">
        <v>44253</v>
      </c>
      <c r="Q447" s="259">
        <v>8311749.6799999997</v>
      </c>
      <c r="R447" s="259">
        <v>17020240.912579361</v>
      </c>
      <c r="S447" s="254">
        <v>5</v>
      </c>
      <c r="T447" s="256">
        <v>-0.29581713111353636</v>
      </c>
      <c r="U447" s="256">
        <v>-3.8240857918970184</v>
      </c>
      <c r="V447" s="256">
        <v>-0.23973157214441276</v>
      </c>
      <c r="W447" s="256">
        <v>-2.3501710059338805</v>
      </c>
      <c r="X447" s="256" t="s">
        <v>1417</v>
      </c>
      <c r="Y447" s="256" t="s">
        <v>1417</v>
      </c>
      <c r="Z447" s="256" t="s">
        <v>1417</v>
      </c>
      <c r="AA447" s="256" t="s">
        <v>1417</v>
      </c>
      <c r="AB447" s="256">
        <v>0.26470420786686566</v>
      </c>
      <c r="AC447" s="260">
        <v>-1.2703840074756878</v>
      </c>
      <c r="AD447" s="405">
        <v>40103126000106</v>
      </c>
      <c r="AE447" s="257" t="s">
        <v>2164</v>
      </c>
      <c r="AF447" s="257" t="s">
        <v>2115</v>
      </c>
      <c r="AG447" s="261" t="s">
        <v>719</v>
      </c>
      <c r="AH447" s="261" t="s">
        <v>2110</v>
      </c>
      <c r="AI447" s="261">
        <v>0</v>
      </c>
      <c r="AJ447" s="261">
        <v>0</v>
      </c>
      <c r="AK447" s="261">
        <v>0</v>
      </c>
      <c r="AL447" s="519">
        <v>0.01</v>
      </c>
      <c r="AM447" s="519" t="s">
        <v>34</v>
      </c>
      <c r="AN447" s="256" t="s">
        <v>2122</v>
      </c>
      <c r="AO447" s="254" t="s">
        <v>1324</v>
      </c>
      <c r="AP447" s="257" t="s">
        <v>716</v>
      </c>
      <c r="AQ447" s="263" t="s">
        <v>687</v>
      </c>
      <c r="AR447" s="256">
        <v>5.3333333333333332E-3</v>
      </c>
      <c r="AS447" s="256">
        <v>5.3333333333333332E-3</v>
      </c>
      <c r="AT447" s="256"/>
      <c r="AW447" s="508"/>
      <c r="AX447" s="508"/>
      <c r="AY447" s="509"/>
      <c r="AZ447" s="509"/>
      <c r="BA447" s="509"/>
      <c r="BB447" s="510"/>
      <c r="BC447" s="509"/>
      <c r="BD447" s="509"/>
      <c r="BE447" s="509"/>
      <c r="BF447" s="509"/>
      <c r="BG447" s="510"/>
      <c r="BH447" s="510"/>
      <c r="BI447" s="511"/>
      <c r="BJ447" s="511"/>
      <c r="BK447" s="511"/>
      <c r="BL447" s="510"/>
      <c r="BM447" s="510"/>
      <c r="BN447" s="510"/>
      <c r="BO447" s="510"/>
      <c r="BP447" s="510"/>
      <c r="BQ447" s="510"/>
      <c r="BR447" s="510"/>
      <c r="BS447" s="510"/>
      <c r="BT447" s="513"/>
      <c r="BU447" s="514"/>
      <c r="BV447" s="512"/>
      <c r="BW447" s="515"/>
    </row>
    <row r="448" spans="2:75" ht="15.75" customHeight="1">
      <c r="B448" s="250" t="s">
        <v>796</v>
      </c>
      <c r="C448" s="251">
        <v>41755418000196</v>
      </c>
      <c r="D448" s="252" t="s">
        <v>14</v>
      </c>
      <c r="E448" s="252" t="s">
        <v>607</v>
      </c>
      <c r="F448" s="252"/>
      <c r="G448" s="253"/>
      <c r="H448" s="253" t="s">
        <v>34</v>
      </c>
      <c r="I448" s="253" t="s">
        <v>34</v>
      </c>
      <c r="J448" s="253" t="s">
        <v>611</v>
      </c>
      <c r="K448" s="254"/>
      <c r="L448" s="255"/>
      <c r="M448" s="255" t="s">
        <v>1414</v>
      </c>
      <c r="N448" s="254">
        <v>613231</v>
      </c>
      <c r="O448" s="254" t="s">
        <v>1321</v>
      </c>
      <c r="P448" s="258">
        <v>44453</v>
      </c>
      <c r="Q448" s="259">
        <v>2461442.77</v>
      </c>
      <c r="R448" s="259" t="s">
        <v>1417</v>
      </c>
      <c r="S448" s="254">
        <v>5</v>
      </c>
      <c r="T448" s="256">
        <v>-0.33538200427494258</v>
      </c>
      <c r="U448" s="256">
        <v>-4.3355486295805861</v>
      </c>
      <c r="V448" s="256" t="s">
        <v>1417</v>
      </c>
      <c r="W448" s="256" t="s">
        <v>1417</v>
      </c>
      <c r="X448" s="256" t="s">
        <v>1417</v>
      </c>
      <c r="Y448" s="256" t="s">
        <v>1417</v>
      </c>
      <c r="Z448" s="256" t="s">
        <v>1417</v>
      </c>
      <c r="AA448" s="256" t="s">
        <v>1417</v>
      </c>
      <c r="AB448" s="256" t="s">
        <v>1417</v>
      </c>
      <c r="AC448" s="260" t="s">
        <v>1417</v>
      </c>
      <c r="AD448" s="405">
        <v>40904778000140</v>
      </c>
      <c r="AE448" s="257" t="s">
        <v>2169</v>
      </c>
      <c r="AF448" s="257" t="s">
        <v>2169</v>
      </c>
      <c r="AG448" s="261" t="s">
        <v>1435</v>
      </c>
      <c r="AH448" s="261" t="s">
        <v>2110</v>
      </c>
      <c r="AI448" s="261" t="s">
        <v>1427</v>
      </c>
      <c r="AJ448" s="261" t="s">
        <v>1427</v>
      </c>
      <c r="AK448" s="261" t="s">
        <v>1427</v>
      </c>
      <c r="AL448" s="256">
        <v>5.0000000000000001E-3</v>
      </c>
      <c r="AM448" s="256" t="s">
        <v>34</v>
      </c>
      <c r="AN448" s="256" t="s">
        <v>2122</v>
      </c>
      <c r="AO448" s="254" t="s">
        <v>1324</v>
      </c>
      <c r="AP448" s="257" t="s">
        <v>716</v>
      </c>
      <c r="AQ448" s="263" t="s">
        <v>687</v>
      </c>
      <c r="AR448" s="256">
        <v>1.6666666666666666E-3</v>
      </c>
      <c r="AS448" s="256">
        <v>1.6666666666666666E-3</v>
      </c>
      <c r="AT448" s="256"/>
      <c r="AW448" s="508"/>
      <c r="AX448" s="508"/>
      <c r="AY448" s="509"/>
      <c r="AZ448" s="509"/>
      <c r="BA448" s="509"/>
      <c r="BB448" s="510"/>
      <c r="BC448" s="509"/>
      <c r="BD448" s="509"/>
      <c r="BE448" s="509"/>
      <c r="BF448" s="509"/>
      <c r="BG448" s="510"/>
      <c r="BH448" s="510"/>
      <c r="BI448" s="511"/>
      <c r="BJ448" s="511"/>
      <c r="BK448" s="511"/>
      <c r="BL448" s="510"/>
      <c r="BM448" s="510"/>
      <c r="BN448" s="510"/>
      <c r="BO448" s="510"/>
      <c r="BP448" s="510"/>
      <c r="BQ448" s="510"/>
      <c r="BR448" s="510"/>
      <c r="BS448" s="510"/>
      <c r="BT448" s="513"/>
      <c r="BU448" s="514"/>
      <c r="BV448" s="512"/>
      <c r="BW448" s="515"/>
    </row>
    <row r="449" spans="2:75" ht="15.75" customHeight="1">
      <c r="B449" s="250" t="s">
        <v>802</v>
      </c>
      <c r="C449" s="251">
        <v>41673246000101</v>
      </c>
      <c r="D449" s="252" t="s">
        <v>14</v>
      </c>
      <c r="E449" s="252" t="s">
        <v>607</v>
      </c>
      <c r="F449" s="252"/>
      <c r="G449" s="253" t="s">
        <v>866</v>
      </c>
      <c r="H449" s="253" t="s">
        <v>34</v>
      </c>
      <c r="I449" s="253" t="s">
        <v>34</v>
      </c>
      <c r="J449" s="253" t="s">
        <v>611</v>
      </c>
      <c r="K449" s="254" t="s">
        <v>48</v>
      </c>
      <c r="L449" s="255"/>
      <c r="M449" s="255" t="s">
        <v>1414</v>
      </c>
      <c r="N449" s="254">
        <v>600547</v>
      </c>
      <c r="O449" s="254" t="s">
        <v>1321</v>
      </c>
      <c r="P449" s="258">
        <v>44383</v>
      </c>
      <c r="Q449" s="259">
        <v>1209595.25</v>
      </c>
      <c r="R449" s="259">
        <v>1184943.5242460307</v>
      </c>
      <c r="S449" s="254">
        <v>5</v>
      </c>
      <c r="T449" s="256">
        <v>-0.27805868065554551</v>
      </c>
      <c r="U449" s="256">
        <v>-3.5945188367079166</v>
      </c>
      <c r="V449" s="256">
        <v>-0.28350762705645505</v>
      </c>
      <c r="W449" s="256">
        <v>-2.7793227196116943</v>
      </c>
      <c r="X449" s="256" t="s">
        <v>1417</v>
      </c>
      <c r="Y449" s="256" t="s">
        <v>1417</v>
      </c>
      <c r="Z449" s="256" t="s">
        <v>1417</v>
      </c>
      <c r="AA449" s="256" t="s">
        <v>1417</v>
      </c>
      <c r="AB449" s="256">
        <v>0.34106462988470276</v>
      </c>
      <c r="AC449" s="260">
        <v>-1.0911140250371221</v>
      </c>
      <c r="AD449" s="405">
        <v>0</v>
      </c>
      <c r="AE449" s="257" t="s">
        <v>2123</v>
      </c>
      <c r="AF449" s="257" t="s">
        <v>2109</v>
      </c>
      <c r="AG449" s="261" t="s">
        <v>1432</v>
      </c>
      <c r="AH449" s="261" t="s">
        <v>2110</v>
      </c>
      <c r="AI449" s="261">
        <v>100</v>
      </c>
      <c r="AJ449" s="261">
        <v>100</v>
      </c>
      <c r="AK449" s="261">
        <v>100</v>
      </c>
      <c r="AL449" s="256">
        <v>4.0000000000000002E-4</v>
      </c>
      <c r="AM449" s="256" t="s">
        <v>34</v>
      </c>
      <c r="AN449" s="256" t="s">
        <v>34</v>
      </c>
      <c r="AO449" s="254" t="s">
        <v>1324</v>
      </c>
      <c r="AP449" s="257" t="s">
        <v>716</v>
      </c>
      <c r="AQ449" s="263" t="s">
        <v>687</v>
      </c>
      <c r="AR449" s="256" t="s">
        <v>34</v>
      </c>
      <c r="AS449" s="256" t="s">
        <v>34</v>
      </c>
      <c r="AT449" s="256"/>
      <c r="AW449" s="508"/>
      <c r="AX449" s="508"/>
      <c r="AY449" s="509"/>
      <c r="AZ449" s="509"/>
      <c r="BA449" s="509"/>
      <c r="BB449" s="510"/>
      <c r="BC449" s="509"/>
      <c r="BD449" s="509"/>
      <c r="BE449" s="509"/>
      <c r="BF449" s="509"/>
      <c r="BG449" s="510"/>
      <c r="BH449" s="510"/>
      <c r="BI449" s="511"/>
      <c r="BJ449" s="511"/>
      <c r="BK449" s="511"/>
      <c r="BL449" s="510"/>
      <c r="BM449" s="510"/>
      <c r="BN449" s="510"/>
      <c r="BO449" s="510"/>
      <c r="BP449" s="510"/>
      <c r="BQ449" s="510"/>
      <c r="BR449" s="510"/>
      <c r="BS449" s="510"/>
      <c r="BT449" s="513"/>
      <c r="BU449" s="514"/>
      <c r="BV449" s="512"/>
      <c r="BW449" s="515"/>
    </row>
    <row r="450" spans="2:75" ht="15.75" customHeight="1">
      <c r="B450" s="250" t="s">
        <v>806</v>
      </c>
      <c r="C450" s="251">
        <v>12047839000164</v>
      </c>
      <c r="D450" s="252" t="s">
        <v>14</v>
      </c>
      <c r="E450" s="252" t="s">
        <v>607</v>
      </c>
      <c r="F450" s="252"/>
      <c r="G450" s="253"/>
      <c r="H450" s="253" t="s">
        <v>34</v>
      </c>
      <c r="I450" s="253" t="s">
        <v>34</v>
      </c>
      <c r="J450" s="253" t="s">
        <v>611</v>
      </c>
      <c r="K450" s="254"/>
      <c r="L450" s="255"/>
      <c r="M450" s="255" t="s">
        <v>34</v>
      </c>
      <c r="N450" s="254">
        <v>253091</v>
      </c>
      <c r="O450" s="254" t="s">
        <v>1321</v>
      </c>
      <c r="P450" s="258">
        <v>40386</v>
      </c>
      <c r="Q450" s="259">
        <v>3479366.15</v>
      </c>
      <c r="R450" s="259">
        <v>6494276.2323809545</v>
      </c>
      <c r="S450" s="254">
        <v>5</v>
      </c>
      <c r="T450" s="256">
        <v>-0.28847773770429042</v>
      </c>
      <c r="U450" s="256">
        <v>-3.7292080207828504</v>
      </c>
      <c r="V450" s="256">
        <v>-0.2330538854522286</v>
      </c>
      <c r="W450" s="256">
        <v>-2.2847073479338071</v>
      </c>
      <c r="X450" s="256">
        <v>-0.11919756321957031</v>
      </c>
      <c r="Y450" s="256">
        <v>-0.9038967753888828</v>
      </c>
      <c r="Z450" s="256">
        <v>0.22968477859522207</v>
      </c>
      <c r="AA450" s="256">
        <v>1.3056027426445205</v>
      </c>
      <c r="AB450" s="256">
        <v>0.22467802491266095</v>
      </c>
      <c r="AC450" s="260">
        <v>-1.500935527361263</v>
      </c>
      <c r="AD450" s="405">
        <v>0</v>
      </c>
      <c r="AE450" s="257" t="s">
        <v>2128</v>
      </c>
      <c r="AF450" s="257" t="s">
        <v>728</v>
      </c>
      <c r="AG450" s="261" t="s">
        <v>728</v>
      </c>
      <c r="AH450" s="261" t="s">
        <v>2110</v>
      </c>
      <c r="AI450" s="261">
        <v>25000</v>
      </c>
      <c r="AJ450" s="261">
        <v>5000</v>
      </c>
      <c r="AK450" s="261">
        <v>0</v>
      </c>
      <c r="AL450" s="256">
        <v>1.3000000000000001E-2</v>
      </c>
      <c r="AM450" s="256" t="s">
        <v>34</v>
      </c>
      <c r="AN450" s="256" t="s">
        <v>34</v>
      </c>
      <c r="AO450" s="254" t="s">
        <v>1324</v>
      </c>
      <c r="AP450" s="257" t="s">
        <v>716</v>
      </c>
      <c r="AQ450" s="263" t="s">
        <v>687</v>
      </c>
      <c r="AR450" s="256">
        <v>4.5499999999999994E-3</v>
      </c>
      <c r="AS450" s="256">
        <v>4.5499999999999994E-3</v>
      </c>
      <c r="AT450" s="256"/>
      <c r="AW450" s="508"/>
      <c r="AX450" s="508"/>
      <c r="AY450" s="509"/>
      <c r="AZ450" s="509"/>
      <c r="BA450" s="509"/>
      <c r="BB450" s="510"/>
      <c r="BC450" s="509"/>
      <c r="BD450" s="509"/>
      <c r="BE450" s="509"/>
      <c r="BF450" s="509"/>
      <c r="BG450" s="510"/>
      <c r="BH450" s="510"/>
      <c r="BI450" s="511"/>
      <c r="BJ450" s="511"/>
      <c r="BK450" s="511"/>
      <c r="BL450" s="510"/>
      <c r="BM450" s="510"/>
      <c r="BN450" s="510"/>
      <c r="BO450" s="510"/>
      <c r="BP450" s="510"/>
      <c r="BQ450" s="510"/>
      <c r="BR450" s="510"/>
      <c r="BS450" s="510"/>
      <c r="BT450" s="513"/>
      <c r="BU450" s="514"/>
      <c r="BV450" s="512"/>
      <c r="BW450" s="515"/>
    </row>
    <row r="451" spans="2:75" ht="15.75" customHeight="1">
      <c r="B451" s="250" t="s">
        <v>1534</v>
      </c>
      <c r="C451" s="251">
        <v>30877879000115</v>
      </c>
      <c r="D451" s="252" t="s">
        <v>11</v>
      </c>
      <c r="E451" s="252" t="s">
        <v>661</v>
      </c>
      <c r="F451" s="252"/>
      <c r="G451" s="253" t="s">
        <v>738</v>
      </c>
      <c r="H451" s="253" t="s">
        <v>34</v>
      </c>
      <c r="I451" s="253" t="s">
        <v>34</v>
      </c>
      <c r="J451" s="253" t="s">
        <v>611</v>
      </c>
      <c r="K451" s="254" t="s">
        <v>48</v>
      </c>
      <c r="L451" s="255"/>
      <c r="M451" s="255"/>
      <c r="N451" s="254">
        <v>471682</v>
      </c>
      <c r="O451" s="254" t="s">
        <v>1321</v>
      </c>
      <c r="P451" s="258">
        <v>43314</v>
      </c>
      <c r="Q451" s="259">
        <v>915116.3</v>
      </c>
      <c r="R451" s="259">
        <v>1327064.5317857144</v>
      </c>
      <c r="S451" s="254">
        <v>5</v>
      </c>
      <c r="T451" s="256">
        <v>-0.11463338505839238</v>
      </c>
      <c r="U451" s="256">
        <v>-1.2893864018798518</v>
      </c>
      <c r="V451" s="256">
        <v>-0.10102466284700351</v>
      </c>
      <c r="W451" s="256">
        <v>-0.92717489804302911</v>
      </c>
      <c r="X451" s="256">
        <v>-7.3372348682412936E-2</v>
      </c>
      <c r="Y451" s="256">
        <v>-0.51593898067165822</v>
      </c>
      <c r="Z451" s="256">
        <v>1.6676360999006601E-2</v>
      </c>
      <c r="AA451" s="256">
        <v>9.1129036778203526E-2</v>
      </c>
      <c r="AB451" s="256">
        <v>8.4257650163171618E-2</v>
      </c>
      <c r="AC451" s="260">
        <v>-2.4493684111735918</v>
      </c>
      <c r="AD451" s="405">
        <v>29599922000149</v>
      </c>
      <c r="AE451" s="257" t="s">
        <v>2144</v>
      </c>
      <c r="AF451" s="257" t="s">
        <v>2109</v>
      </c>
      <c r="AG451" s="261" t="s">
        <v>1432</v>
      </c>
      <c r="AH451" s="261" t="s">
        <v>2131</v>
      </c>
      <c r="AI451" s="261">
        <v>20000</v>
      </c>
      <c r="AJ451" s="261">
        <v>10000</v>
      </c>
      <c r="AK451" s="261">
        <v>10000</v>
      </c>
      <c r="AL451" s="256">
        <v>2E-3</v>
      </c>
      <c r="AM451" s="256" t="s">
        <v>34</v>
      </c>
      <c r="AN451" s="256" t="s">
        <v>34</v>
      </c>
      <c r="AO451" s="254" t="s">
        <v>1324</v>
      </c>
      <c r="AP451" s="257" t="s">
        <v>13</v>
      </c>
      <c r="AQ451" s="263" t="s">
        <v>679</v>
      </c>
      <c r="AR451" s="256" t="s">
        <v>34</v>
      </c>
      <c r="AS451" s="256" t="s">
        <v>34</v>
      </c>
      <c r="AT451" s="256"/>
      <c r="AW451" s="508"/>
      <c r="AX451" s="508"/>
      <c r="AY451" s="509"/>
      <c r="AZ451" s="509"/>
      <c r="BA451" s="509"/>
      <c r="BB451" s="510"/>
      <c r="BC451" s="509"/>
      <c r="BD451" s="509"/>
      <c r="BE451" s="509"/>
      <c r="BF451" s="509"/>
      <c r="BG451" s="510"/>
      <c r="BH451" s="510"/>
      <c r="BI451" s="511"/>
      <c r="BJ451" s="511"/>
      <c r="BK451" s="511"/>
      <c r="BL451" s="510"/>
      <c r="BM451" s="510"/>
      <c r="BN451" s="510"/>
      <c r="BO451" s="510"/>
      <c r="BP451" s="510"/>
      <c r="BQ451" s="510"/>
      <c r="BR451" s="510"/>
      <c r="BS451" s="510"/>
      <c r="BT451" s="513"/>
      <c r="BU451" s="514"/>
      <c r="BV451" s="512"/>
      <c r="BW451" s="515"/>
    </row>
    <row r="452" spans="2:75" ht="15.75" customHeight="1">
      <c r="B452" s="250" t="s">
        <v>1586</v>
      </c>
      <c r="C452" s="251">
        <v>14485349000175</v>
      </c>
      <c r="D452" s="252" t="s">
        <v>14</v>
      </c>
      <c r="E452" s="252" t="s">
        <v>607</v>
      </c>
      <c r="F452" s="252"/>
      <c r="G452" s="253"/>
      <c r="H452" s="253" t="s">
        <v>34</v>
      </c>
      <c r="I452" s="253" t="s">
        <v>34</v>
      </c>
      <c r="J452" s="253" t="s">
        <v>611</v>
      </c>
      <c r="K452" s="254" t="s">
        <v>48</v>
      </c>
      <c r="L452" s="255"/>
      <c r="M452" s="255"/>
      <c r="N452" s="254">
        <v>308404</v>
      </c>
      <c r="O452" s="254" t="s">
        <v>1321</v>
      </c>
      <c r="P452" s="258">
        <v>41106</v>
      </c>
      <c r="Q452" s="259">
        <v>66870452.469999999</v>
      </c>
      <c r="R452" s="259">
        <v>195367873.95242083</v>
      </c>
      <c r="S452" s="254">
        <v>5</v>
      </c>
      <c r="T452" s="256">
        <v>-0.25375538655737773</v>
      </c>
      <c r="U452" s="256">
        <v>-2.8542186437588279</v>
      </c>
      <c r="V452" s="256">
        <v>-0.20379642204590842</v>
      </c>
      <c r="W452" s="256">
        <v>-1.8703841369716965</v>
      </c>
      <c r="X452" s="256">
        <v>-9.968923411818309E-2</v>
      </c>
      <c r="Y452" s="256">
        <v>-0.70099380432130154</v>
      </c>
      <c r="Z452" s="256">
        <v>0.40664012591437615</v>
      </c>
      <c r="AA452" s="256">
        <v>2.2221108665224949</v>
      </c>
      <c r="AB452" s="256">
        <v>0.21338576449957744</v>
      </c>
      <c r="AC452" s="260">
        <v>-1.4458812997913144</v>
      </c>
      <c r="AD452" s="405">
        <v>25682017000105</v>
      </c>
      <c r="AE452" s="257" t="s">
        <v>2219</v>
      </c>
      <c r="AF452" s="257" t="s">
        <v>2121</v>
      </c>
      <c r="AG452" s="261" t="s">
        <v>59</v>
      </c>
      <c r="AH452" s="261" t="s">
        <v>2110</v>
      </c>
      <c r="AI452" s="261">
        <v>25000</v>
      </c>
      <c r="AJ452" s="261">
        <v>5000</v>
      </c>
      <c r="AK452" s="261">
        <v>25000</v>
      </c>
      <c r="AL452" s="256">
        <v>1.4999999999999999E-2</v>
      </c>
      <c r="AM452" s="256">
        <v>0.1</v>
      </c>
      <c r="AN452" s="256" t="s">
        <v>2122</v>
      </c>
      <c r="AO452" s="254" t="s">
        <v>1324</v>
      </c>
      <c r="AP452" s="257" t="s">
        <v>716</v>
      </c>
      <c r="AQ452" s="263" t="s">
        <v>687</v>
      </c>
      <c r="AR452" s="256" t="s">
        <v>34</v>
      </c>
      <c r="AS452" s="256" t="s">
        <v>34</v>
      </c>
      <c r="AT452" s="256"/>
      <c r="AW452" s="508"/>
      <c r="AX452" s="508"/>
      <c r="AY452" s="509"/>
      <c r="AZ452" s="509"/>
      <c r="BA452" s="509"/>
      <c r="BB452" s="510"/>
      <c r="BC452" s="509"/>
      <c r="BD452" s="509"/>
      <c r="BE452" s="509"/>
      <c r="BF452" s="509"/>
      <c r="BG452" s="510"/>
      <c r="BH452" s="510"/>
      <c r="BI452" s="511"/>
      <c r="BJ452" s="511"/>
      <c r="BK452" s="511"/>
      <c r="BL452" s="510"/>
      <c r="BM452" s="510"/>
      <c r="BN452" s="510"/>
      <c r="BO452" s="510"/>
      <c r="BP452" s="510"/>
      <c r="BQ452" s="510"/>
      <c r="BR452" s="510"/>
      <c r="BS452" s="510"/>
      <c r="BT452" s="513"/>
      <c r="BU452" s="514"/>
      <c r="BV452" s="512"/>
      <c r="BW452" s="515"/>
    </row>
    <row r="453" spans="2:75" ht="15.75" customHeight="1">
      <c r="B453" s="250" t="s">
        <v>920</v>
      </c>
      <c r="C453" s="251">
        <v>7195440000190</v>
      </c>
      <c r="D453" s="252" t="s">
        <v>14</v>
      </c>
      <c r="E453" s="252" t="s">
        <v>607</v>
      </c>
      <c r="F453" s="252"/>
      <c r="G453" s="253"/>
      <c r="H453" s="253" t="s">
        <v>34</v>
      </c>
      <c r="I453" s="253" t="s">
        <v>34</v>
      </c>
      <c r="J453" s="253" t="s">
        <v>608</v>
      </c>
      <c r="K453" s="254" t="s">
        <v>48</v>
      </c>
      <c r="L453" s="255"/>
      <c r="M453" s="255" t="s">
        <v>1414</v>
      </c>
      <c r="N453" s="254">
        <v>287288</v>
      </c>
      <c r="O453" s="254" t="s">
        <v>1321</v>
      </c>
      <c r="P453" s="258">
        <v>40809</v>
      </c>
      <c r="Q453" s="259">
        <v>45554862.869999997</v>
      </c>
      <c r="R453" s="259">
        <v>43759699.914999984</v>
      </c>
      <c r="S453" s="254">
        <v>5</v>
      </c>
      <c r="T453" s="256">
        <v>0.1252916035636038</v>
      </c>
      <c r="U453" s="256">
        <v>1.6196690138532912</v>
      </c>
      <c r="V453" s="256">
        <v>8.0940283882524611E-3</v>
      </c>
      <c r="W453" s="256">
        <v>7.9348542493258803E-2</v>
      </c>
      <c r="X453" s="256">
        <v>0.12854817805480656</v>
      </c>
      <c r="Y453" s="256">
        <v>0.97480418632231214</v>
      </c>
      <c r="Z453" s="256">
        <v>0.22071230480987558</v>
      </c>
      <c r="AA453" s="256">
        <v>1.254600292877925</v>
      </c>
      <c r="AB453" s="256">
        <v>0.16719132574612175</v>
      </c>
      <c r="AC453" s="260">
        <v>-0.44937695858121651</v>
      </c>
      <c r="AD453" s="405">
        <v>0</v>
      </c>
      <c r="AE453" s="257" t="s">
        <v>2226</v>
      </c>
      <c r="AF453" s="257" t="s">
        <v>2227</v>
      </c>
      <c r="AG453" s="261" t="s">
        <v>1434</v>
      </c>
      <c r="AH453" s="261" t="s">
        <v>2113</v>
      </c>
      <c r="AI453" s="261">
        <v>25000</v>
      </c>
      <c r="AJ453" s="261">
        <v>5000</v>
      </c>
      <c r="AK453" s="261">
        <v>5000</v>
      </c>
      <c r="AL453" s="256">
        <v>1.2E-2</v>
      </c>
      <c r="AM453" s="256">
        <v>0.2</v>
      </c>
      <c r="AN453" s="256" t="s">
        <v>666</v>
      </c>
      <c r="AO453" s="254" t="s">
        <v>1324</v>
      </c>
      <c r="AP453" s="257" t="s">
        <v>716</v>
      </c>
      <c r="AQ453" s="263" t="s">
        <v>659</v>
      </c>
      <c r="AR453" s="256">
        <v>2.3999999999999998E-3</v>
      </c>
      <c r="AS453" s="256">
        <v>2.3999999999999998E-3</v>
      </c>
      <c r="AT453" s="256"/>
      <c r="AW453" s="508"/>
      <c r="AX453" s="508"/>
      <c r="AY453" s="509"/>
      <c r="AZ453" s="509"/>
      <c r="BA453" s="509"/>
      <c r="BB453" s="510"/>
      <c r="BC453" s="509"/>
      <c r="BD453" s="509"/>
      <c r="BE453" s="509"/>
      <c r="BF453" s="509"/>
      <c r="BG453" s="510"/>
      <c r="BH453" s="510"/>
      <c r="BI453" s="511"/>
      <c r="BJ453" s="511"/>
      <c r="BK453" s="511"/>
      <c r="BL453" s="510"/>
      <c r="BM453" s="510"/>
      <c r="BN453" s="510"/>
      <c r="BO453" s="510"/>
      <c r="BP453" s="510"/>
      <c r="BQ453" s="510"/>
      <c r="BR453" s="510"/>
      <c r="BS453" s="510"/>
      <c r="BT453" s="513"/>
      <c r="BU453" s="514"/>
      <c r="BV453" s="512"/>
      <c r="BW453" s="515"/>
    </row>
    <row r="454" spans="2:75" ht="15.75" customHeight="1">
      <c r="B454" s="250" t="s">
        <v>934</v>
      </c>
      <c r="C454" s="251">
        <v>43584074000125</v>
      </c>
      <c r="D454" s="252" t="s">
        <v>14</v>
      </c>
      <c r="E454" s="252" t="s">
        <v>607</v>
      </c>
      <c r="F454" s="252"/>
      <c r="G454" s="253"/>
      <c r="H454" s="253" t="s">
        <v>34</v>
      </c>
      <c r="I454" s="253" t="s">
        <v>34</v>
      </c>
      <c r="J454" s="253" t="s">
        <v>608</v>
      </c>
      <c r="K454" s="254" t="s">
        <v>48</v>
      </c>
      <c r="L454" s="255"/>
      <c r="M454" s="255" t="s">
        <v>34</v>
      </c>
      <c r="N454" s="254">
        <v>621692</v>
      </c>
      <c r="O454" s="254" t="s">
        <v>1321</v>
      </c>
      <c r="P454" s="258">
        <v>44508</v>
      </c>
      <c r="Q454" s="259">
        <v>1458836.08</v>
      </c>
      <c r="R454" s="259" t="s">
        <v>1417</v>
      </c>
      <c r="S454" s="254">
        <v>5</v>
      </c>
      <c r="T454" s="256">
        <v>7.2250860548218387E-2</v>
      </c>
      <c r="U454" s="256">
        <v>0.93400097632862145</v>
      </c>
      <c r="V454" s="256" t="s">
        <v>1417</v>
      </c>
      <c r="W454" s="256" t="s">
        <v>1417</v>
      </c>
      <c r="X454" s="256" t="s">
        <v>1417</v>
      </c>
      <c r="Y454" s="256" t="s">
        <v>1417</v>
      </c>
      <c r="Z454" s="256" t="s">
        <v>1417</v>
      </c>
      <c r="AA454" s="256" t="s">
        <v>1417</v>
      </c>
      <c r="AB454" s="256" t="s">
        <v>1417</v>
      </c>
      <c r="AC454" s="260" t="s">
        <v>1417</v>
      </c>
      <c r="AD454" s="405">
        <v>0</v>
      </c>
      <c r="AE454" s="257" t="s">
        <v>2243</v>
      </c>
      <c r="AF454" s="257" t="s">
        <v>2109</v>
      </c>
      <c r="AG454" s="261" t="s">
        <v>1432</v>
      </c>
      <c r="AH454" s="261" t="s">
        <v>2113</v>
      </c>
      <c r="AI454" s="261">
        <v>1000</v>
      </c>
      <c r="AJ454" s="261" t="s">
        <v>1427</v>
      </c>
      <c r="AK454" s="261">
        <v>0</v>
      </c>
      <c r="AL454" s="256">
        <v>2.5000000000000001E-2</v>
      </c>
      <c r="AM454" s="256">
        <v>0.25</v>
      </c>
      <c r="AN454" s="256" t="s">
        <v>2127</v>
      </c>
      <c r="AO454" s="254" t="s">
        <v>1324</v>
      </c>
      <c r="AP454" s="257" t="s">
        <v>716</v>
      </c>
      <c r="AQ454" s="263" t="s">
        <v>659</v>
      </c>
      <c r="AR454" s="256">
        <v>5.3333333333333332E-3</v>
      </c>
      <c r="AS454" s="256">
        <v>5.3333333333333332E-3</v>
      </c>
      <c r="AT454" s="256"/>
      <c r="AW454" s="508"/>
      <c r="AX454" s="508"/>
      <c r="AY454" s="509"/>
      <c r="AZ454" s="509"/>
      <c r="BA454" s="509"/>
      <c r="BB454" s="510"/>
      <c r="BC454" s="509"/>
      <c r="BD454" s="509"/>
      <c r="BE454" s="509"/>
      <c r="BF454" s="509"/>
      <c r="BG454" s="510"/>
      <c r="BH454" s="510"/>
      <c r="BI454" s="511"/>
      <c r="BJ454" s="511"/>
      <c r="BK454" s="511"/>
      <c r="BL454" s="510"/>
      <c r="BM454" s="510"/>
      <c r="BN454" s="510"/>
      <c r="BO454" s="510"/>
      <c r="BP454" s="510"/>
      <c r="BQ454" s="510"/>
      <c r="BR454" s="510"/>
      <c r="BS454" s="510"/>
      <c r="BT454" s="513"/>
      <c r="BU454" s="514"/>
      <c r="BV454" s="512"/>
      <c r="BW454" s="515"/>
    </row>
    <row r="455" spans="2:75" ht="15.75" customHeight="1">
      <c r="B455" s="250" t="s">
        <v>205</v>
      </c>
      <c r="C455" s="251">
        <v>38318005000130</v>
      </c>
      <c r="D455" s="252" t="s">
        <v>14</v>
      </c>
      <c r="E455" s="252" t="s">
        <v>607</v>
      </c>
      <c r="F455" s="252"/>
      <c r="G455" s="253" t="s">
        <v>866</v>
      </c>
      <c r="H455" s="253" t="s">
        <v>34</v>
      </c>
      <c r="I455" s="253" t="s">
        <v>34</v>
      </c>
      <c r="J455" s="253" t="s">
        <v>690</v>
      </c>
      <c r="K455" s="254"/>
      <c r="L455" s="255"/>
      <c r="M455" s="255" t="s">
        <v>34</v>
      </c>
      <c r="N455" s="254">
        <v>553719</v>
      </c>
      <c r="O455" s="254" t="s">
        <v>1321</v>
      </c>
      <c r="P455" s="258">
        <v>44096</v>
      </c>
      <c r="Q455" s="259">
        <v>3000163.08</v>
      </c>
      <c r="R455" s="259">
        <v>5014655.1071031755</v>
      </c>
      <c r="S455" s="254">
        <v>5</v>
      </c>
      <c r="T455" s="256">
        <v>-0.30775586588915704</v>
      </c>
      <c r="U455" s="256">
        <v>-3.9784201465600533</v>
      </c>
      <c r="V455" s="256">
        <v>-0.33466166938391717</v>
      </c>
      <c r="W455" s="256">
        <v>-3.2808033799975354</v>
      </c>
      <c r="X455" s="256" t="s">
        <v>1417</v>
      </c>
      <c r="Y455" s="256" t="s">
        <v>1417</v>
      </c>
      <c r="Z455" s="256" t="s">
        <v>1417</v>
      </c>
      <c r="AA455" s="256" t="s">
        <v>1417</v>
      </c>
      <c r="AB455" s="256">
        <v>0.36442667610430524</v>
      </c>
      <c r="AC455" s="260">
        <v>-1.2015127764004865</v>
      </c>
      <c r="AD455" s="405">
        <v>38120824000178</v>
      </c>
      <c r="AE455" s="257" t="s">
        <v>2247</v>
      </c>
      <c r="AF455" s="257" t="s">
        <v>2109</v>
      </c>
      <c r="AG455" s="261" t="s">
        <v>1432</v>
      </c>
      <c r="AH455" s="261" t="s">
        <v>2110</v>
      </c>
      <c r="AI455" s="261">
        <v>1000</v>
      </c>
      <c r="AJ455" s="261">
        <v>500</v>
      </c>
      <c r="AK455" s="261">
        <v>1000</v>
      </c>
      <c r="AL455" s="256">
        <v>1.3000000000000001E-2</v>
      </c>
      <c r="AM455" s="256" t="s">
        <v>34</v>
      </c>
      <c r="AN455" s="256" t="s">
        <v>34</v>
      </c>
      <c r="AO455" s="254" t="s">
        <v>1324</v>
      </c>
      <c r="AP455" s="257" t="s">
        <v>716</v>
      </c>
      <c r="AQ455" s="263" t="s">
        <v>687</v>
      </c>
      <c r="AR455" s="256">
        <v>7.9993333333333323E-3</v>
      </c>
      <c r="AS455" s="256">
        <v>7.9993333333333323E-3</v>
      </c>
      <c r="AT455" s="256"/>
      <c r="AW455" s="508"/>
      <c r="AX455" s="508"/>
      <c r="AY455" s="509"/>
      <c r="AZ455" s="509"/>
      <c r="BA455" s="509"/>
      <c r="BB455" s="510"/>
      <c r="BC455" s="509"/>
      <c r="BD455" s="509"/>
      <c r="BE455" s="509"/>
      <c r="BF455" s="509"/>
      <c r="BG455" s="510"/>
      <c r="BH455" s="510"/>
      <c r="BI455" s="511"/>
      <c r="BJ455" s="511"/>
      <c r="BK455" s="511"/>
      <c r="BL455" s="510"/>
      <c r="BM455" s="510"/>
      <c r="BN455" s="510"/>
      <c r="BO455" s="510"/>
      <c r="BP455" s="510"/>
      <c r="BQ455" s="510"/>
      <c r="BR455" s="510"/>
      <c r="BS455" s="510"/>
      <c r="BT455" s="513"/>
      <c r="BU455" s="514"/>
      <c r="BV455" s="512"/>
      <c r="BW455" s="515"/>
    </row>
    <row r="456" spans="2:75" ht="15.75" customHeight="1">
      <c r="B456" s="250" t="s">
        <v>47</v>
      </c>
      <c r="C456" s="251">
        <v>41686811000175</v>
      </c>
      <c r="D456" s="252" t="s">
        <v>14</v>
      </c>
      <c r="E456" s="252" t="s">
        <v>607</v>
      </c>
      <c r="F456" s="252"/>
      <c r="G456" s="253"/>
      <c r="H456" s="253" t="s">
        <v>34</v>
      </c>
      <c r="I456" s="253" t="s">
        <v>34</v>
      </c>
      <c r="J456" s="253" t="s">
        <v>611</v>
      </c>
      <c r="K456" s="254" t="s">
        <v>49</v>
      </c>
      <c r="L456" s="255"/>
      <c r="M456" s="255" t="s">
        <v>34</v>
      </c>
      <c r="N456" s="254">
        <v>75686811</v>
      </c>
      <c r="O456" s="254" t="s">
        <v>1321</v>
      </c>
      <c r="P456" s="258">
        <v>44336</v>
      </c>
      <c r="Q456" s="259">
        <v>25610798.600000001</v>
      </c>
      <c r="R456" s="259">
        <v>32009209.723571416</v>
      </c>
      <c r="S456" s="254">
        <v>5</v>
      </c>
      <c r="T456" s="256">
        <v>-0.28570901758841949</v>
      </c>
      <c r="U456" s="256">
        <v>-3.6934162354424069</v>
      </c>
      <c r="V456" s="256">
        <v>-0.22604749821603276</v>
      </c>
      <c r="W456" s="256">
        <v>-2.2160213255148098</v>
      </c>
      <c r="X456" s="256" t="s">
        <v>1417</v>
      </c>
      <c r="Y456" s="256" t="s">
        <v>1417</v>
      </c>
      <c r="Z456" s="256" t="s">
        <v>1417</v>
      </c>
      <c r="AA456" s="256" t="s">
        <v>1417</v>
      </c>
      <c r="AB456" s="256">
        <v>0.23869199924370643</v>
      </c>
      <c r="AC456" s="260">
        <v>-1.360813016990583</v>
      </c>
      <c r="AD456" s="405">
        <v>41544075000110</v>
      </c>
      <c r="AE456" s="257" t="s">
        <v>2123</v>
      </c>
      <c r="AF456" s="257" t="s">
        <v>2109</v>
      </c>
      <c r="AG456" s="261" t="s">
        <v>1432</v>
      </c>
      <c r="AH456" s="261" t="s">
        <v>2110</v>
      </c>
      <c r="AI456" s="261">
        <v>1000</v>
      </c>
      <c r="AJ456" s="261">
        <v>1000</v>
      </c>
      <c r="AK456" s="261">
        <v>1000</v>
      </c>
      <c r="AL456" s="256">
        <v>0.01</v>
      </c>
      <c r="AM456" s="256" t="s">
        <v>34</v>
      </c>
      <c r="AN456" s="256" t="s">
        <v>34</v>
      </c>
      <c r="AO456" s="254" t="s">
        <v>1324</v>
      </c>
      <c r="AP456" s="257" t="s">
        <v>716</v>
      </c>
      <c r="AQ456" s="263" t="s">
        <v>702</v>
      </c>
      <c r="AR456" s="256">
        <v>6.7000000000000002E-3</v>
      </c>
      <c r="AS456" s="256">
        <v>6.7000000000000002E-3</v>
      </c>
      <c r="AT456" s="256"/>
      <c r="AW456" s="508"/>
      <c r="AX456" s="508"/>
      <c r="AY456" s="509"/>
      <c r="AZ456" s="509"/>
      <c r="BA456" s="509"/>
      <c r="BB456" s="509"/>
      <c r="BC456" s="509"/>
      <c r="BD456" s="509"/>
      <c r="BE456" s="509"/>
      <c r="BF456" s="509"/>
      <c r="BG456" s="510"/>
      <c r="BH456" s="510"/>
      <c r="BI456" s="511"/>
      <c r="BJ456" s="511"/>
      <c r="BK456" s="511"/>
      <c r="BL456" s="195"/>
      <c r="BM456" s="510"/>
      <c r="BN456" s="510"/>
      <c r="BO456" s="510"/>
      <c r="BP456" s="510"/>
      <c r="BQ456" s="510"/>
      <c r="BR456" s="510"/>
      <c r="BS456" s="510"/>
      <c r="BT456" s="510"/>
      <c r="BU456" s="510"/>
      <c r="BV456" s="512"/>
      <c r="BW456" s="509"/>
    </row>
    <row r="457" spans="2:75" ht="15.75" customHeight="1">
      <c r="B457" s="250" t="s">
        <v>944</v>
      </c>
      <c r="C457" s="251">
        <v>41373588000106</v>
      </c>
      <c r="D457" s="252" t="s">
        <v>14</v>
      </c>
      <c r="E457" s="252" t="s">
        <v>607</v>
      </c>
      <c r="F457" s="252"/>
      <c r="G457" s="253"/>
      <c r="H457" s="253" t="s">
        <v>34</v>
      </c>
      <c r="I457" s="253" t="s">
        <v>34</v>
      </c>
      <c r="J457" s="253" t="s">
        <v>611</v>
      </c>
      <c r="K457" s="254" t="s">
        <v>48</v>
      </c>
      <c r="L457" s="255"/>
      <c r="M457" s="255" t="s">
        <v>34</v>
      </c>
      <c r="N457" s="254">
        <v>586897</v>
      </c>
      <c r="O457" s="254" t="s">
        <v>1321</v>
      </c>
      <c r="P457" s="258">
        <v>44314</v>
      </c>
      <c r="Q457" s="259">
        <v>17919264.829999998</v>
      </c>
      <c r="R457" s="259">
        <v>36369884.884603128</v>
      </c>
      <c r="S457" s="254">
        <v>5</v>
      </c>
      <c r="T457" s="256">
        <v>-0.19860808660634777</v>
      </c>
      <c r="U457" s="256">
        <v>-2.5674455001583008</v>
      </c>
      <c r="V457" s="256">
        <v>-0.180182583219199</v>
      </c>
      <c r="W457" s="256">
        <v>-1.7663917984108515</v>
      </c>
      <c r="X457" s="256" t="s">
        <v>1417</v>
      </c>
      <c r="Y457" s="256" t="s">
        <v>1417</v>
      </c>
      <c r="Z457" s="256" t="s">
        <v>1417</v>
      </c>
      <c r="AA457" s="256" t="s">
        <v>1417</v>
      </c>
      <c r="AB457" s="256">
        <v>0.20169594283970074</v>
      </c>
      <c r="AC457" s="260">
        <v>-1.3655238694363354</v>
      </c>
      <c r="AD457" s="405">
        <v>41544075000110</v>
      </c>
      <c r="AE457" s="257" t="s">
        <v>2123</v>
      </c>
      <c r="AF457" s="257" t="s">
        <v>2109</v>
      </c>
      <c r="AG457" s="261" t="s">
        <v>1432</v>
      </c>
      <c r="AH457" s="261" t="s">
        <v>2110</v>
      </c>
      <c r="AI457" s="261">
        <v>1000</v>
      </c>
      <c r="AJ457" s="261">
        <v>1000</v>
      </c>
      <c r="AK457" s="261">
        <v>1000</v>
      </c>
      <c r="AL457" s="256">
        <v>0.01</v>
      </c>
      <c r="AM457" s="256" t="s">
        <v>34</v>
      </c>
      <c r="AN457" s="256" t="s">
        <v>34</v>
      </c>
      <c r="AO457" s="254" t="s">
        <v>1324</v>
      </c>
      <c r="AP457" s="257" t="s">
        <v>716</v>
      </c>
      <c r="AQ457" s="263" t="s">
        <v>687</v>
      </c>
      <c r="AR457" s="256">
        <v>6.7000000000000002E-3</v>
      </c>
      <c r="AS457" s="256">
        <v>6.7000000000000002E-3</v>
      </c>
      <c r="AT457" s="256"/>
      <c r="AW457" s="508"/>
      <c r="AX457" s="508"/>
      <c r="AY457" s="509"/>
      <c r="AZ457" s="509"/>
      <c r="BA457" s="509"/>
      <c r="BB457" s="510"/>
      <c r="BC457" s="509"/>
      <c r="BD457" s="509"/>
      <c r="BE457" s="509"/>
      <c r="BF457" s="509"/>
      <c r="BG457" s="510"/>
      <c r="BH457" s="510"/>
      <c r="BI457" s="511"/>
      <c r="BJ457" s="511"/>
      <c r="BK457" s="511"/>
      <c r="BL457" s="510"/>
      <c r="BM457" s="510"/>
      <c r="BN457" s="510"/>
      <c r="BO457" s="510"/>
      <c r="BP457" s="510"/>
      <c r="BQ457" s="510"/>
      <c r="BR457" s="510"/>
      <c r="BS457" s="510"/>
      <c r="BT457" s="513"/>
      <c r="BU457" s="514"/>
      <c r="BV457" s="512"/>
      <c r="BW457" s="515"/>
    </row>
    <row r="458" spans="2:75" ht="15.75" customHeight="1">
      <c r="B458" s="250" t="s">
        <v>1591</v>
      </c>
      <c r="C458" s="251">
        <v>34714223000132</v>
      </c>
      <c r="D458" s="252" t="s">
        <v>13</v>
      </c>
      <c r="E458" s="252"/>
      <c r="F458" s="252"/>
      <c r="G458" s="253"/>
      <c r="H458" s="253" t="s">
        <v>34</v>
      </c>
      <c r="I458" s="253"/>
      <c r="J458" s="253"/>
      <c r="K458" s="254"/>
      <c r="L458" s="255"/>
      <c r="M458" s="255"/>
      <c r="N458" s="254">
        <v>524859</v>
      </c>
      <c r="O458" s="254" t="s">
        <v>1321</v>
      </c>
      <c r="P458" s="258">
        <v>43860</v>
      </c>
      <c r="Q458" s="259">
        <v>161816371.09</v>
      </c>
      <c r="R458" s="259">
        <v>139833860.41499999</v>
      </c>
      <c r="S458" s="254">
        <v>5</v>
      </c>
      <c r="T458" s="256">
        <v>0.14709557783581984</v>
      </c>
      <c r="U458" s="256">
        <v>1.6545183389773768</v>
      </c>
      <c r="V458" s="256">
        <v>0.36196429968068466</v>
      </c>
      <c r="W458" s="256">
        <v>3.3220027980683291</v>
      </c>
      <c r="X458" s="256">
        <v>0.58545830787427877</v>
      </c>
      <c r="Y458" s="256">
        <v>4.1168201374860995</v>
      </c>
      <c r="Z458" s="256" t="s">
        <v>1417</v>
      </c>
      <c r="AA458" s="256" t="s">
        <v>1417</v>
      </c>
      <c r="AB458" s="256">
        <v>0.26819858195815</v>
      </c>
      <c r="AC458" s="260">
        <v>0.89358043373018392</v>
      </c>
      <c r="AD458" s="405">
        <v>0</v>
      </c>
      <c r="AE458" s="257" t="s">
        <v>2250</v>
      </c>
      <c r="AF458" s="257" t="s">
        <v>2109</v>
      </c>
      <c r="AG458" s="261" t="s">
        <v>1432</v>
      </c>
      <c r="AH458" s="261" t="s">
        <v>2131</v>
      </c>
      <c r="AI458" s="261">
        <v>10000</v>
      </c>
      <c r="AJ458" s="261" t="s">
        <v>1427</v>
      </c>
      <c r="AK458" s="261" t="s">
        <v>1427</v>
      </c>
      <c r="AL458" s="256">
        <v>5.7999999999999996E-3</v>
      </c>
      <c r="AM458" s="256" t="s">
        <v>34</v>
      </c>
      <c r="AN458" s="256" t="s">
        <v>34</v>
      </c>
      <c r="AO458" s="254" t="s">
        <v>1324</v>
      </c>
      <c r="AP458" s="257" t="s">
        <v>13</v>
      </c>
      <c r="AQ458" s="263" t="s">
        <v>679</v>
      </c>
      <c r="AR458" s="256" t="s">
        <v>34</v>
      </c>
      <c r="AS458" s="256" t="s">
        <v>34</v>
      </c>
      <c r="AT458" s="256"/>
      <c r="AW458" s="508"/>
      <c r="AX458" s="508"/>
      <c r="AY458" s="509"/>
      <c r="AZ458" s="509"/>
      <c r="BA458" s="509"/>
      <c r="BB458" s="510"/>
      <c r="BC458" s="509"/>
      <c r="BD458" s="509"/>
      <c r="BE458" s="509"/>
      <c r="BF458" s="509"/>
      <c r="BG458" s="510"/>
      <c r="BH458" s="510"/>
      <c r="BI458" s="511"/>
      <c r="BJ458" s="511"/>
      <c r="BK458" s="511"/>
      <c r="BL458" s="510"/>
      <c r="BM458" s="510"/>
      <c r="BN458" s="510"/>
      <c r="BO458" s="510"/>
      <c r="BP458" s="510"/>
      <c r="BQ458" s="510"/>
      <c r="BR458" s="510"/>
      <c r="BS458" s="510"/>
      <c r="BT458" s="513"/>
      <c r="BU458" s="514"/>
      <c r="BV458" s="512"/>
      <c r="BW458" s="515"/>
    </row>
    <row r="459" spans="2:75" ht="15.75" customHeight="1">
      <c r="B459" s="250" t="s">
        <v>989</v>
      </c>
      <c r="C459" s="251">
        <v>24874367000100</v>
      </c>
      <c r="D459" s="252" t="s">
        <v>14</v>
      </c>
      <c r="E459" s="252" t="s">
        <v>607</v>
      </c>
      <c r="F459" s="252"/>
      <c r="G459" s="253"/>
      <c r="H459" s="253" t="s">
        <v>34</v>
      </c>
      <c r="I459" s="253" t="s">
        <v>34</v>
      </c>
      <c r="J459" s="253" t="s">
        <v>608</v>
      </c>
      <c r="K459" s="254" t="s">
        <v>48</v>
      </c>
      <c r="L459" s="255"/>
      <c r="M459" s="255" t="s">
        <v>34</v>
      </c>
      <c r="N459" s="254">
        <v>430595</v>
      </c>
      <c r="O459" s="254" t="s">
        <v>1321</v>
      </c>
      <c r="P459" s="258">
        <v>42587</v>
      </c>
      <c r="Q459" s="259">
        <v>55652344.060000002</v>
      </c>
      <c r="R459" s="259">
        <v>122836327.00376986</v>
      </c>
      <c r="S459" s="254">
        <v>5</v>
      </c>
      <c r="T459" s="256">
        <v>-0.37330869743285633</v>
      </c>
      <c r="U459" s="256">
        <v>-4.8258343946167921</v>
      </c>
      <c r="V459" s="256">
        <v>-0.64755180874070806</v>
      </c>
      <c r="W459" s="256">
        <v>-6.3481729674958975</v>
      </c>
      <c r="X459" s="256">
        <v>-0.53693052030025479</v>
      </c>
      <c r="Y459" s="256">
        <v>-4.0716416745304072</v>
      </c>
      <c r="Z459" s="256">
        <v>-0.11676263955958366</v>
      </c>
      <c r="AA459" s="256">
        <v>-0.66371669633390851</v>
      </c>
      <c r="AB459" s="256">
        <v>0.51435515431246126</v>
      </c>
      <c r="AC459" s="260">
        <v>-1.9555243426319839</v>
      </c>
      <c r="AD459" s="405">
        <v>0</v>
      </c>
      <c r="AE459" s="257" t="s">
        <v>2280</v>
      </c>
      <c r="AF459" s="257" t="s">
        <v>2273</v>
      </c>
      <c r="AG459" s="261" t="s">
        <v>1434</v>
      </c>
      <c r="AH459" s="261" t="s">
        <v>2113</v>
      </c>
      <c r="AI459" s="261">
        <v>10000</v>
      </c>
      <c r="AJ459" s="261">
        <v>0</v>
      </c>
      <c r="AK459" s="261">
        <v>5000</v>
      </c>
      <c r="AL459" s="256">
        <v>2.5150000000000002E-2</v>
      </c>
      <c r="AM459" s="256">
        <v>0.2</v>
      </c>
      <c r="AN459" s="256" t="s">
        <v>666</v>
      </c>
      <c r="AO459" s="254" t="s">
        <v>1324</v>
      </c>
      <c r="AP459" s="257" t="s">
        <v>716</v>
      </c>
      <c r="AQ459" s="263" t="s">
        <v>670</v>
      </c>
      <c r="AR459" s="256">
        <v>6.7200000000000003E-3</v>
      </c>
      <c r="AS459" s="256">
        <v>6.7200000000000003E-3</v>
      </c>
      <c r="AT459" s="256"/>
      <c r="AW459" s="508"/>
      <c r="AX459" s="508"/>
      <c r="AY459" s="509"/>
      <c r="AZ459" s="509"/>
      <c r="BA459" s="509"/>
      <c r="BB459" s="510"/>
      <c r="BC459" s="509"/>
      <c r="BD459" s="509"/>
      <c r="BE459" s="509"/>
      <c r="BF459" s="509"/>
      <c r="BG459" s="510"/>
      <c r="BH459" s="510"/>
      <c r="BI459" s="511"/>
      <c r="BJ459" s="511"/>
      <c r="BK459" s="511"/>
      <c r="BL459" s="510"/>
      <c r="BM459" s="510"/>
      <c r="BN459" s="510"/>
      <c r="BO459" s="510"/>
      <c r="BP459" s="510"/>
      <c r="BQ459" s="510"/>
      <c r="BR459" s="510"/>
      <c r="BS459" s="510"/>
      <c r="BT459" s="513"/>
      <c r="BU459" s="514"/>
      <c r="BV459" s="512"/>
      <c r="BW459" s="515"/>
    </row>
    <row r="460" spans="2:75" ht="15.75" customHeight="1">
      <c r="B460" s="250" t="s">
        <v>996</v>
      </c>
      <c r="C460" s="251">
        <v>41484468000186</v>
      </c>
      <c r="D460" s="252" t="s">
        <v>14</v>
      </c>
      <c r="E460" s="252" t="s">
        <v>607</v>
      </c>
      <c r="F460" s="252"/>
      <c r="G460" s="253"/>
      <c r="H460" s="253" t="s">
        <v>34</v>
      </c>
      <c r="I460" s="253" t="s">
        <v>34</v>
      </c>
      <c r="J460" s="253" t="s">
        <v>696</v>
      </c>
      <c r="K460" s="254"/>
      <c r="L460" s="255"/>
      <c r="M460" s="255" t="s">
        <v>1414</v>
      </c>
      <c r="N460" s="254">
        <v>594326</v>
      </c>
      <c r="O460" s="254" t="s">
        <v>1321</v>
      </c>
      <c r="P460" s="258">
        <v>44343</v>
      </c>
      <c r="Q460" s="259">
        <v>1296211.8999999999</v>
      </c>
      <c r="R460" s="259">
        <v>2441577.487420633</v>
      </c>
      <c r="S460" s="254">
        <v>5</v>
      </c>
      <c r="T460" s="256">
        <v>-0.23409499166021752</v>
      </c>
      <c r="U460" s="256">
        <v>-3.0261916481723503</v>
      </c>
      <c r="V460" s="256">
        <v>-0.20681649592489082</v>
      </c>
      <c r="W460" s="256">
        <v>-2.0274931996805372</v>
      </c>
      <c r="X460" s="256" t="s">
        <v>1417</v>
      </c>
      <c r="Y460" s="256" t="s">
        <v>1417</v>
      </c>
      <c r="Z460" s="256" t="s">
        <v>1417</v>
      </c>
      <c r="AA460" s="256" t="s">
        <v>1417</v>
      </c>
      <c r="AB460" s="256">
        <v>0.20209473364825217</v>
      </c>
      <c r="AC460" s="260">
        <v>-1.526215886020869</v>
      </c>
      <c r="AD460" s="405">
        <v>35412313000131</v>
      </c>
      <c r="AE460" s="257" t="s">
        <v>59</v>
      </c>
      <c r="AF460" s="257" t="s">
        <v>2112</v>
      </c>
      <c r="AG460" s="261" t="s">
        <v>59</v>
      </c>
      <c r="AH460" s="261" t="s">
        <v>2110</v>
      </c>
      <c r="AI460" s="261">
        <v>100</v>
      </c>
      <c r="AJ460" s="261" t="s">
        <v>1427</v>
      </c>
      <c r="AK460" s="261" t="s">
        <v>1427</v>
      </c>
      <c r="AL460" s="256">
        <v>8.0000000000000002E-3</v>
      </c>
      <c r="AM460" s="256" t="s">
        <v>34</v>
      </c>
      <c r="AN460" s="256" t="s">
        <v>2122</v>
      </c>
      <c r="AO460" s="254" t="s">
        <v>1324</v>
      </c>
      <c r="AP460" s="257" t="s">
        <v>716</v>
      </c>
      <c r="AQ460" s="263" t="s">
        <v>687</v>
      </c>
      <c r="AR460" s="256">
        <v>1.8666666666666664E-3</v>
      </c>
      <c r="AS460" s="256">
        <v>1.8666666666666664E-3</v>
      </c>
      <c r="AT460" s="256"/>
      <c r="AW460" s="508"/>
      <c r="AX460" s="508"/>
      <c r="AY460" s="509"/>
      <c r="AZ460" s="509"/>
      <c r="BA460" s="509"/>
      <c r="BB460" s="510"/>
      <c r="BC460" s="509"/>
      <c r="BD460" s="509"/>
      <c r="BE460" s="509"/>
      <c r="BF460" s="509"/>
      <c r="BG460" s="510"/>
      <c r="BH460" s="510"/>
      <c r="BI460" s="511"/>
      <c r="BJ460" s="511"/>
      <c r="BK460" s="511"/>
      <c r="BL460" s="510"/>
      <c r="BM460" s="510"/>
      <c r="BN460" s="510"/>
      <c r="BO460" s="510"/>
      <c r="BP460" s="510"/>
      <c r="BQ460" s="510"/>
      <c r="BR460" s="510"/>
      <c r="BS460" s="510"/>
      <c r="BT460" s="513"/>
      <c r="BU460" s="514"/>
      <c r="BV460" s="512"/>
      <c r="BW460" s="515"/>
    </row>
    <row r="461" spans="2:75" ht="15.75" customHeight="1">
      <c r="B461" s="250" t="s">
        <v>997</v>
      </c>
      <c r="C461" s="251">
        <v>41559595000105</v>
      </c>
      <c r="D461" s="252" t="s">
        <v>14</v>
      </c>
      <c r="E461" s="252" t="s">
        <v>607</v>
      </c>
      <c r="F461" s="252"/>
      <c r="G461" s="253"/>
      <c r="H461" s="253" t="s">
        <v>34</v>
      </c>
      <c r="I461" s="253" t="s">
        <v>34</v>
      </c>
      <c r="J461" s="253" t="s">
        <v>613</v>
      </c>
      <c r="K461" s="254"/>
      <c r="L461" s="255"/>
      <c r="M461" s="255" t="s">
        <v>1414</v>
      </c>
      <c r="N461" s="254">
        <v>595543</v>
      </c>
      <c r="O461" s="254" t="s">
        <v>1321</v>
      </c>
      <c r="P461" s="258">
        <v>44343</v>
      </c>
      <c r="Q461" s="259">
        <v>1098425.4099999999</v>
      </c>
      <c r="R461" s="259">
        <v>3259925.7390079387</v>
      </c>
      <c r="S461" s="254">
        <v>5</v>
      </c>
      <c r="T461" s="256">
        <v>-0.31043040286794543</v>
      </c>
      <c r="U461" s="256">
        <v>-4.0129944081046371</v>
      </c>
      <c r="V461" s="256">
        <v>-0.26391365997221639</v>
      </c>
      <c r="W461" s="256">
        <v>-2.5872363251468853</v>
      </c>
      <c r="X461" s="256" t="s">
        <v>1417</v>
      </c>
      <c r="Y461" s="256" t="s">
        <v>1417</v>
      </c>
      <c r="Z461" s="256" t="s">
        <v>1417</v>
      </c>
      <c r="AA461" s="256" t="s">
        <v>1417</v>
      </c>
      <c r="AB461" s="256">
        <v>0.25403434864407365</v>
      </c>
      <c r="AC461" s="260">
        <v>-1.4615061929309472</v>
      </c>
      <c r="AD461" s="405">
        <v>35416040000101</v>
      </c>
      <c r="AE461" s="257" t="s">
        <v>59</v>
      </c>
      <c r="AF461" s="257" t="s">
        <v>2112</v>
      </c>
      <c r="AG461" s="261" t="s">
        <v>59</v>
      </c>
      <c r="AH461" s="261" t="s">
        <v>2110</v>
      </c>
      <c r="AI461" s="261">
        <v>100</v>
      </c>
      <c r="AJ461" s="261" t="s">
        <v>1427</v>
      </c>
      <c r="AK461" s="261" t="s">
        <v>1427</v>
      </c>
      <c r="AL461" s="256">
        <v>8.0000000000000002E-3</v>
      </c>
      <c r="AM461" s="256" t="s">
        <v>34</v>
      </c>
      <c r="AN461" s="256" t="s">
        <v>666</v>
      </c>
      <c r="AO461" s="254" t="s">
        <v>1324</v>
      </c>
      <c r="AP461" s="257" t="s">
        <v>716</v>
      </c>
      <c r="AQ461" s="263" t="s">
        <v>687</v>
      </c>
      <c r="AR461" s="256">
        <v>1.8666666666666664E-3</v>
      </c>
      <c r="AS461" s="256">
        <v>1.8666666666666664E-3</v>
      </c>
      <c r="AT461" s="256"/>
      <c r="AW461" s="508"/>
      <c r="AX461" s="508"/>
      <c r="AY461" s="509"/>
      <c r="AZ461" s="509"/>
      <c r="BA461" s="509"/>
      <c r="BB461" s="510"/>
      <c r="BC461" s="509"/>
      <c r="BD461" s="509"/>
      <c r="BE461" s="509"/>
      <c r="BF461" s="509"/>
      <c r="BG461" s="510"/>
      <c r="BH461" s="510"/>
      <c r="BI461" s="511"/>
      <c r="BJ461" s="511"/>
      <c r="BK461" s="511"/>
      <c r="BL461" s="510"/>
      <c r="BM461" s="510"/>
      <c r="BN461" s="510"/>
      <c r="BO461" s="510"/>
      <c r="BP461" s="510"/>
      <c r="BQ461" s="510"/>
      <c r="BR461" s="510"/>
      <c r="BS461" s="510"/>
      <c r="BT461" s="513"/>
      <c r="BU461" s="514"/>
      <c r="BV461" s="512"/>
      <c r="BW461" s="515"/>
    </row>
    <row r="462" spans="2:75" ht="15.75" customHeight="1">
      <c r="B462" s="250" t="s">
        <v>241</v>
      </c>
      <c r="C462" s="251">
        <v>38318178000158</v>
      </c>
      <c r="D462" s="252" t="s">
        <v>14</v>
      </c>
      <c r="E462" s="252" t="s">
        <v>607</v>
      </c>
      <c r="F462" s="252"/>
      <c r="G462" s="253" t="s">
        <v>866</v>
      </c>
      <c r="H462" s="253" t="s">
        <v>34</v>
      </c>
      <c r="I462" s="253" t="s">
        <v>34</v>
      </c>
      <c r="J462" s="253" t="s">
        <v>611</v>
      </c>
      <c r="K462" s="254"/>
      <c r="L462" s="255"/>
      <c r="M462" s="255" t="s">
        <v>34</v>
      </c>
      <c r="N462" s="254">
        <v>582883</v>
      </c>
      <c r="O462" s="254" t="s">
        <v>1321</v>
      </c>
      <c r="P462" s="258">
        <v>44293</v>
      </c>
      <c r="Q462" s="259">
        <v>1192581.31</v>
      </c>
      <c r="R462" s="259">
        <v>1886302.8751587293</v>
      </c>
      <c r="S462" s="254">
        <v>5</v>
      </c>
      <c r="T462" s="256">
        <v>-0.32778975093994112</v>
      </c>
      <c r="U462" s="256">
        <v>-4.2374020888526296</v>
      </c>
      <c r="V462" s="256">
        <v>-0.26993298622158857</v>
      </c>
      <c r="W462" s="256">
        <v>-2.646245849424353</v>
      </c>
      <c r="X462" s="256" t="s">
        <v>1417</v>
      </c>
      <c r="Y462" s="256" t="s">
        <v>1417</v>
      </c>
      <c r="Z462" s="256" t="s">
        <v>1417</v>
      </c>
      <c r="AA462" s="256" t="s">
        <v>1417</v>
      </c>
      <c r="AB462" s="256">
        <v>0.26212528444425692</v>
      </c>
      <c r="AC462" s="260">
        <v>-1.4393185467319234</v>
      </c>
      <c r="AD462" s="405">
        <v>38427986000153</v>
      </c>
      <c r="AE462" s="257" t="s">
        <v>2144</v>
      </c>
      <c r="AF462" s="257" t="s">
        <v>2109</v>
      </c>
      <c r="AG462" s="261" t="s">
        <v>1432</v>
      </c>
      <c r="AH462" s="261" t="s">
        <v>2110</v>
      </c>
      <c r="AI462" s="261">
        <v>5000</v>
      </c>
      <c r="AJ462" s="261">
        <v>5000</v>
      </c>
      <c r="AK462" s="261">
        <v>5000</v>
      </c>
      <c r="AL462" s="256">
        <v>0.01</v>
      </c>
      <c r="AM462" s="256" t="s">
        <v>34</v>
      </c>
      <c r="AN462" s="256" t="s">
        <v>34</v>
      </c>
      <c r="AO462" s="254" t="s">
        <v>1324</v>
      </c>
      <c r="AP462" s="257" t="s">
        <v>716</v>
      </c>
      <c r="AQ462" s="263" t="s">
        <v>687</v>
      </c>
      <c r="AR462" s="256">
        <v>6.6669999999999993E-3</v>
      </c>
      <c r="AS462" s="256">
        <v>6.6669999999999993E-3</v>
      </c>
      <c r="AT462" s="256"/>
      <c r="AW462" s="508"/>
      <c r="AX462" s="508"/>
      <c r="AY462" s="509"/>
      <c r="AZ462" s="509"/>
      <c r="BA462" s="509"/>
      <c r="BB462" s="509"/>
      <c r="BC462" s="509"/>
      <c r="BD462" s="509"/>
      <c r="BE462" s="509"/>
      <c r="BF462" s="509"/>
      <c r="BG462" s="510"/>
      <c r="BH462" s="510"/>
      <c r="BI462" s="511"/>
      <c r="BJ462" s="511"/>
      <c r="BK462" s="511"/>
      <c r="BL462" s="195"/>
      <c r="BM462" s="510"/>
      <c r="BN462" s="510"/>
      <c r="BO462" s="510"/>
      <c r="BP462" s="510"/>
      <c r="BQ462" s="510"/>
      <c r="BR462" s="510"/>
      <c r="BS462" s="510"/>
      <c r="BT462" s="510"/>
      <c r="BU462" s="510"/>
      <c r="BV462" s="512"/>
      <c r="BW462" s="509"/>
    </row>
    <row r="463" spans="2:75" ht="15.75" customHeight="1">
      <c r="B463" s="250" t="s">
        <v>1020</v>
      </c>
      <c r="C463" s="251">
        <v>29587389000103</v>
      </c>
      <c r="D463" s="252" t="s">
        <v>11</v>
      </c>
      <c r="E463" s="252" t="s">
        <v>661</v>
      </c>
      <c r="F463" s="252"/>
      <c r="G463" s="253"/>
      <c r="H463" s="253" t="s">
        <v>34</v>
      </c>
      <c r="I463" s="253" t="s">
        <v>34</v>
      </c>
      <c r="J463" s="253" t="s">
        <v>611</v>
      </c>
      <c r="K463" s="254" t="s">
        <v>48</v>
      </c>
      <c r="L463" s="255"/>
      <c r="M463" s="255" t="s">
        <v>34</v>
      </c>
      <c r="N463" s="254">
        <v>465429</v>
      </c>
      <c r="O463" s="254" t="s">
        <v>1321</v>
      </c>
      <c r="P463" s="258">
        <v>43234</v>
      </c>
      <c r="Q463" s="259">
        <v>16633954.960000001</v>
      </c>
      <c r="R463" s="259">
        <v>28201335.272619057</v>
      </c>
      <c r="S463" s="254">
        <v>5</v>
      </c>
      <c r="T463" s="256">
        <v>-1.6902375105175005E-2</v>
      </c>
      <c r="U463" s="256">
        <v>-0.21850030201329307</v>
      </c>
      <c r="V463" s="256">
        <v>-1.0934974650148588E-3</v>
      </c>
      <c r="W463" s="256">
        <v>-1.0719931523212238E-2</v>
      </c>
      <c r="X463" s="256">
        <v>5.8150651679799825E-2</v>
      </c>
      <c r="Y463" s="256">
        <v>0.44096695536728325</v>
      </c>
      <c r="Z463" s="256">
        <v>9.0182895678318387E-2</v>
      </c>
      <c r="AA463" s="256">
        <v>0.51262881527181214</v>
      </c>
      <c r="AB463" s="256">
        <v>3.9172006009712337E-2</v>
      </c>
      <c r="AC463" s="260">
        <v>-2.4885440676063157</v>
      </c>
      <c r="AD463" s="405">
        <v>29574911000104</v>
      </c>
      <c r="AE463" s="257" t="s">
        <v>2292</v>
      </c>
      <c r="AF463" s="257" t="s">
        <v>2118</v>
      </c>
      <c r="AG463" s="261" t="s">
        <v>1433</v>
      </c>
      <c r="AH463" s="261" t="s">
        <v>2110</v>
      </c>
      <c r="AI463" s="261">
        <v>10000</v>
      </c>
      <c r="AJ463" s="261">
        <v>1000</v>
      </c>
      <c r="AK463" s="261">
        <v>1000</v>
      </c>
      <c r="AL463" s="256">
        <v>9.0000000000000011E-3</v>
      </c>
      <c r="AM463" s="256" t="s">
        <v>34</v>
      </c>
      <c r="AN463" s="256" t="s">
        <v>34</v>
      </c>
      <c r="AO463" s="254" t="s">
        <v>1324</v>
      </c>
      <c r="AP463" s="257" t="s">
        <v>13</v>
      </c>
      <c r="AQ463" s="263" t="s">
        <v>679</v>
      </c>
      <c r="AR463" s="256">
        <v>4.7999999999999996E-3</v>
      </c>
      <c r="AS463" s="256">
        <v>4.7999999999999996E-3</v>
      </c>
      <c r="AT463" s="256"/>
      <c r="AW463" s="508"/>
      <c r="AX463" s="508"/>
      <c r="AY463" s="509"/>
      <c r="AZ463" s="509"/>
      <c r="BA463" s="509"/>
      <c r="BB463" s="510"/>
      <c r="BC463" s="509"/>
      <c r="BD463" s="509"/>
      <c r="BE463" s="509"/>
      <c r="BF463" s="509"/>
      <c r="BG463" s="510"/>
      <c r="BH463" s="510"/>
      <c r="BI463" s="511"/>
      <c r="BJ463" s="511"/>
      <c r="BK463" s="511"/>
      <c r="BL463" s="510"/>
      <c r="BM463" s="510"/>
      <c r="BN463" s="510"/>
      <c r="BO463" s="510"/>
      <c r="BP463" s="510"/>
      <c r="BQ463" s="510"/>
      <c r="BR463" s="510"/>
      <c r="BS463" s="510"/>
      <c r="BT463" s="513"/>
      <c r="BU463" s="514"/>
      <c r="BV463" s="512"/>
      <c r="BW463" s="515"/>
    </row>
    <row r="464" spans="2:75" ht="15.75" customHeight="1">
      <c r="B464" s="250" t="s">
        <v>1021</v>
      </c>
      <c r="C464" s="251">
        <v>26112046000196</v>
      </c>
      <c r="D464" s="252" t="s">
        <v>11</v>
      </c>
      <c r="E464" s="252" t="s">
        <v>661</v>
      </c>
      <c r="F464" s="252"/>
      <c r="G464" s="253"/>
      <c r="H464" s="253" t="s">
        <v>34</v>
      </c>
      <c r="I464" s="253" t="s">
        <v>34</v>
      </c>
      <c r="J464" s="253" t="s">
        <v>611</v>
      </c>
      <c r="K464" s="254"/>
      <c r="L464" s="255"/>
      <c r="M464" s="255" t="s">
        <v>34</v>
      </c>
      <c r="N464" s="254">
        <v>454281</v>
      </c>
      <c r="O464" s="254" t="s">
        <v>1321</v>
      </c>
      <c r="P464" s="258">
        <v>43048</v>
      </c>
      <c r="Q464" s="259">
        <v>78392054.930000007</v>
      </c>
      <c r="R464" s="259">
        <v>153638254.18884921</v>
      </c>
      <c r="S464" s="254">
        <v>5</v>
      </c>
      <c r="T464" s="256">
        <v>-5.5262007005642988E-2</v>
      </c>
      <c r="U464" s="256">
        <v>-0.71438275067607371</v>
      </c>
      <c r="V464" s="256">
        <v>-2.3543301698411012E-2</v>
      </c>
      <c r="W464" s="256">
        <v>-0.23080307921323162</v>
      </c>
      <c r="X464" s="256">
        <v>0.13147986208798912</v>
      </c>
      <c r="Y464" s="256">
        <v>0.99703567891726907</v>
      </c>
      <c r="Z464" s="256">
        <v>0.12182705292800966</v>
      </c>
      <c r="AA464" s="256">
        <v>0.69250446374341201</v>
      </c>
      <c r="AB464" s="256">
        <v>7.786138003203999E-2</v>
      </c>
      <c r="AC464" s="260">
        <v>-1.5148444704167596</v>
      </c>
      <c r="AD464" s="405">
        <v>26112022000137</v>
      </c>
      <c r="AE464" s="257" t="s">
        <v>2292</v>
      </c>
      <c r="AF464" s="257" t="s">
        <v>2118</v>
      </c>
      <c r="AG464" s="261" t="s">
        <v>1433</v>
      </c>
      <c r="AH464" s="261" t="s">
        <v>2110</v>
      </c>
      <c r="AI464" s="261">
        <v>10000</v>
      </c>
      <c r="AJ464" s="261">
        <v>1000</v>
      </c>
      <c r="AK464" s="261">
        <v>1000</v>
      </c>
      <c r="AL464" s="256">
        <v>9.0000000000000011E-3</v>
      </c>
      <c r="AM464" s="256" t="s">
        <v>34</v>
      </c>
      <c r="AN464" s="256" t="s">
        <v>34</v>
      </c>
      <c r="AO464" s="254" t="s">
        <v>1324</v>
      </c>
      <c r="AP464" s="257" t="s">
        <v>13</v>
      </c>
      <c r="AQ464" s="263" t="s">
        <v>679</v>
      </c>
      <c r="AR464" s="256">
        <v>4.7999999999999996E-3</v>
      </c>
      <c r="AS464" s="256">
        <v>4.7999999999999996E-3</v>
      </c>
      <c r="AT464" s="256"/>
      <c r="AW464" s="508"/>
      <c r="AX464" s="508"/>
      <c r="AY464" s="509"/>
      <c r="AZ464" s="509"/>
      <c r="BA464" s="509"/>
      <c r="BB464" s="510"/>
      <c r="BC464" s="509"/>
      <c r="BD464" s="509"/>
      <c r="BE464" s="509"/>
      <c r="BF464" s="509"/>
      <c r="BG464" s="510"/>
      <c r="BH464" s="510"/>
      <c r="BI464" s="511"/>
      <c r="BJ464" s="511"/>
      <c r="BK464" s="511"/>
      <c r="BL464" s="510"/>
      <c r="BM464" s="510"/>
      <c r="BN464" s="510"/>
      <c r="BO464" s="510"/>
      <c r="BP464" s="510"/>
      <c r="BQ464" s="510"/>
      <c r="BR464" s="510"/>
      <c r="BS464" s="510"/>
      <c r="BT464" s="513"/>
      <c r="BU464" s="514"/>
      <c r="BV464" s="512"/>
      <c r="BW464" s="515"/>
    </row>
    <row r="465" spans="2:75" ht="15.75" customHeight="1">
      <c r="B465" s="250" t="s">
        <v>1023</v>
      </c>
      <c r="C465" s="251">
        <v>17340392000130</v>
      </c>
      <c r="D465" s="252" t="s">
        <v>14</v>
      </c>
      <c r="E465" s="252" t="s">
        <v>607</v>
      </c>
      <c r="F465" s="252"/>
      <c r="G465" s="253"/>
      <c r="H465" s="253" t="s">
        <v>34</v>
      </c>
      <c r="I465" s="253" t="s">
        <v>34</v>
      </c>
      <c r="J465" s="253" t="s">
        <v>611</v>
      </c>
      <c r="K465" s="254"/>
      <c r="L465" s="255"/>
      <c r="M465" s="255" t="s">
        <v>1414</v>
      </c>
      <c r="N465" s="254">
        <v>363103</v>
      </c>
      <c r="O465" s="254" t="s">
        <v>1321</v>
      </c>
      <c r="P465" s="258">
        <v>41710</v>
      </c>
      <c r="Q465" s="259">
        <v>155551592.44</v>
      </c>
      <c r="R465" s="259">
        <v>262108916.75615093</v>
      </c>
      <c r="S465" s="254">
        <v>5</v>
      </c>
      <c r="T465" s="256">
        <v>-0.22117424444027989</v>
      </c>
      <c r="U465" s="256">
        <v>-2.8591626269710986</v>
      </c>
      <c r="V465" s="256">
        <v>-0.12727297579614227</v>
      </c>
      <c r="W465" s="256">
        <v>-1.2477007299432141</v>
      </c>
      <c r="X465" s="256">
        <v>7.6697900227140625E-2</v>
      </c>
      <c r="Y465" s="256">
        <v>0.58161411040513877</v>
      </c>
      <c r="Z465" s="256">
        <v>0.64787936554309833</v>
      </c>
      <c r="AA465" s="256">
        <v>3.6827563486327475</v>
      </c>
      <c r="AB465" s="256">
        <v>0.20716573346819978</v>
      </c>
      <c r="AC465" s="260">
        <v>-1.0224094944280286</v>
      </c>
      <c r="AD465" s="405">
        <v>0</v>
      </c>
      <c r="AE465" s="257" t="s">
        <v>2292</v>
      </c>
      <c r="AF465" s="257" t="s">
        <v>728</v>
      </c>
      <c r="AG465" s="261" t="s">
        <v>728</v>
      </c>
      <c r="AH465" s="261" t="s">
        <v>2110</v>
      </c>
      <c r="AI465" s="261">
        <v>10000</v>
      </c>
      <c r="AJ465" s="261">
        <v>1000</v>
      </c>
      <c r="AK465" s="261">
        <v>1000</v>
      </c>
      <c r="AL465" s="256">
        <v>3.0000000000000001E-3</v>
      </c>
      <c r="AM465" s="256" t="s">
        <v>34</v>
      </c>
      <c r="AN465" s="256" t="s">
        <v>2122</v>
      </c>
      <c r="AO465" s="254" t="s">
        <v>1324</v>
      </c>
      <c r="AP465" s="257" t="s">
        <v>716</v>
      </c>
      <c r="AQ465" s="263" t="s">
        <v>687</v>
      </c>
      <c r="AR465" s="256" t="s">
        <v>34</v>
      </c>
      <c r="AS465" s="256" t="s">
        <v>34</v>
      </c>
      <c r="AT465" s="256"/>
      <c r="AW465" s="508"/>
      <c r="AX465" s="508"/>
      <c r="AY465" s="509"/>
      <c r="AZ465" s="509"/>
      <c r="BA465" s="509"/>
      <c r="BB465" s="510"/>
      <c r="BC465" s="509"/>
      <c r="BD465" s="509"/>
      <c r="BE465" s="509"/>
      <c r="BF465" s="509"/>
      <c r="BG465" s="510"/>
      <c r="BH465" s="510"/>
      <c r="BI465" s="511"/>
      <c r="BJ465" s="511"/>
      <c r="BK465" s="511"/>
      <c r="BL465" s="510"/>
      <c r="BM465" s="510"/>
      <c r="BN465" s="510"/>
      <c r="BO465" s="510"/>
      <c r="BP465" s="510"/>
      <c r="BQ465" s="510"/>
      <c r="BR465" s="510"/>
      <c r="BS465" s="510"/>
      <c r="BT465" s="513"/>
      <c r="BU465" s="514"/>
      <c r="BV465" s="512"/>
      <c r="BW465" s="515"/>
    </row>
    <row r="466" spans="2:75" ht="15.75" customHeight="1">
      <c r="B466" s="250" t="s">
        <v>1035</v>
      </c>
      <c r="C466" s="251">
        <v>27749572000124</v>
      </c>
      <c r="D466" s="252" t="s">
        <v>14</v>
      </c>
      <c r="E466" s="252" t="s">
        <v>607</v>
      </c>
      <c r="F466" s="252"/>
      <c r="G466" s="253"/>
      <c r="H466" s="253" t="s">
        <v>34</v>
      </c>
      <c r="I466" s="253" t="s">
        <v>34</v>
      </c>
      <c r="J466" s="253" t="s">
        <v>608</v>
      </c>
      <c r="K466" s="254" t="s">
        <v>48</v>
      </c>
      <c r="L466" s="255"/>
      <c r="M466" s="255" t="s">
        <v>34</v>
      </c>
      <c r="N466" s="254">
        <v>493511</v>
      </c>
      <c r="O466" s="254" t="s">
        <v>1321</v>
      </c>
      <c r="P466" s="258">
        <v>43580</v>
      </c>
      <c r="Q466" s="259">
        <v>41302566.189999998</v>
      </c>
      <c r="R466" s="259">
        <v>46697827.399325423</v>
      </c>
      <c r="S466" s="254">
        <v>5</v>
      </c>
      <c r="T466" s="256">
        <v>-4.8641793593289573E-2</v>
      </c>
      <c r="U466" s="256">
        <v>-0.62880195975227071</v>
      </c>
      <c r="V466" s="256">
        <v>-0.22059771763986946</v>
      </c>
      <c r="W466" s="256">
        <v>-2.1625952532447577</v>
      </c>
      <c r="X466" s="256">
        <v>-8.4378542194879502E-3</v>
      </c>
      <c r="Y466" s="256">
        <v>-6.3985781371614606E-2</v>
      </c>
      <c r="Z466" s="256">
        <v>0.1219716993125235</v>
      </c>
      <c r="AA466" s="256">
        <v>0.69332668068564873</v>
      </c>
      <c r="AB466" s="256">
        <v>0.28822551514432931</v>
      </c>
      <c r="AC466" s="260">
        <v>-1.0574218489188238</v>
      </c>
      <c r="AD466" s="405">
        <v>0</v>
      </c>
      <c r="AE466" s="257" t="s">
        <v>2296</v>
      </c>
      <c r="AF466" s="257" t="s">
        <v>2109</v>
      </c>
      <c r="AG466" s="261" t="s">
        <v>1432</v>
      </c>
      <c r="AH466" s="261" t="s">
        <v>2113</v>
      </c>
      <c r="AI466" s="261">
        <v>1000</v>
      </c>
      <c r="AJ466" s="261">
        <v>1000</v>
      </c>
      <c r="AK466" s="261">
        <v>1000</v>
      </c>
      <c r="AL466" s="256">
        <v>0.02</v>
      </c>
      <c r="AM466" s="256">
        <v>0.2</v>
      </c>
      <c r="AN466" s="256" t="s">
        <v>2127</v>
      </c>
      <c r="AO466" s="254" t="s">
        <v>1324</v>
      </c>
      <c r="AP466" s="257" t="s">
        <v>716</v>
      </c>
      <c r="AQ466" s="263" t="s">
        <v>659</v>
      </c>
      <c r="AR466" s="256">
        <v>4.0000000000000001E-3</v>
      </c>
      <c r="AS466" s="256">
        <v>4.0000000000000001E-3</v>
      </c>
      <c r="AT466" s="256"/>
      <c r="AW466" s="508"/>
      <c r="AX466" s="508"/>
      <c r="AY466" s="509"/>
      <c r="AZ466" s="509"/>
      <c r="BA466" s="509"/>
      <c r="BB466" s="510"/>
      <c r="BC466" s="509"/>
      <c r="BD466" s="509"/>
      <c r="BE466" s="509"/>
      <c r="BF466" s="509"/>
      <c r="BG466" s="510"/>
      <c r="BH466" s="510"/>
      <c r="BI466" s="511"/>
      <c r="BJ466" s="511"/>
      <c r="BK466" s="511"/>
      <c r="BL466" s="510"/>
      <c r="BM466" s="510"/>
      <c r="BN466" s="510"/>
      <c r="BO466" s="510"/>
      <c r="BP466" s="510"/>
      <c r="BQ466" s="510"/>
      <c r="BR466" s="510"/>
      <c r="BS466" s="510"/>
      <c r="BT466" s="513"/>
      <c r="BU466" s="514"/>
      <c r="BV466" s="512"/>
      <c r="BW466" s="515"/>
    </row>
    <row r="467" spans="2:75" ht="15.75" customHeight="1">
      <c r="B467" s="250" t="s">
        <v>1041</v>
      </c>
      <c r="C467" s="251">
        <v>26370141000190</v>
      </c>
      <c r="D467" s="252" t="s">
        <v>11</v>
      </c>
      <c r="E467" s="252" t="s">
        <v>661</v>
      </c>
      <c r="F467" s="252"/>
      <c r="G467" s="253"/>
      <c r="H467" s="253" t="s">
        <v>34</v>
      </c>
      <c r="I467" s="253" t="s">
        <v>34</v>
      </c>
      <c r="J467" s="253" t="s">
        <v>611</v>
      </c>
      <c r="K467" s="254" t="s">
        <v>48</v>
      </c>
      <c r="L467" s="255"/>
      <c r="M467" s="255" t="s">
        <v>34</v>
      </c>
      <c r="N467" s="254">
        <v>446467</v>
      </c>
      <c r="O467" s="254" t="s">
        <v>1321</v>
      </c>
      <c r="P467" s="258">
        <v>42958</v>
      </c>
      <c r="Q467" s="259">
        <v>11664673.949999999</v>
      </c>
      <c r="R467" s="259">
        <v>12112342.662857145</v>
      </c>
      <c r="S467" s="254">
        <v>5</v>
      </c>
      <c r="T467" s="256">
        <v>-6.365766869161904E-2</v>
      </c>
      <c r="U467" s="256">
        <v>-0.8229151079674194</v>
      </c>
      <c r="V467" s="256">
        <v>-5.9598849732214187E-2</v>
      </c>
      <c r="W467" s="256">
        <v>-0.58426801015297325</v>
      </c>
      <c r="X467" s="256">
        <v>2.7597576354921216E-2</v>
      </c>
      <c r="Y467" s="256">
        <v>0.2092774348902641</v>
      </c>
      <c r="Z467" s="256">
        <v>-3.7428880286267896E-2</v>
      </c>
      <c r="AA467" s="256">
        <v>-0.21275788955081124</v>
      </c>
      <c r="AB467" s="256">
        <v>4.4929157604724143E-2</v>
      </c>
      <c r="AC467" s="260">
        <v>-3.5074675793128804</v>
      </c>
      <c r="AD467" s="405">
        <v>0</v>
      </c>
      <c r="AE467" s="257" t="s">
        <v>2247</v>
      </c>
      <c r="AF467" s="257" t="s">
        <v>728</v>
      </c>
      <c r="AG467" s="261" t="s">
        <v>728</v>
      </c>
      <c r="AH467" s="261" t="s">
        <v>2110</v>
      </c>
      <c r="AI467" s="261">
        <v>25000</v>
      </c>
      <c r="AJ467" s="261">
        <v>1000</v>
      </c>
      <c r="AK467" s="261">
        <v>1000</v>
      </c>
      <c r="AL467" s="256">
        <v>0.01</v>
      </c>
      <c r="AM467" s="256" t="s">
        <v>34</v>
      </c>
      <c r="AN467" s="256" t="s">
        <v>34</v>
      </c>
      <c r="AO467" s="254" t="s">
        <v>1324</v>
      </c>
      <c r="AP467" s="257" t="s">
        <v>13</v>
      </c>
      <c r="AQ467" s="263" t="s">
        <v>679</v>
      </c>
      <c r="AR467" s="256">
        <v>5.3333333333333332E-3</v>
      </c>
      <c r="AS467" s="256">
        <v>5.3333333333333332E-3</v>
      </c>
      <c r="AT467" s="256"/>
      <c r="AW467" s="508"/>
      <c r="AX467" s="508"/>
      <c r="AY467" s="509"/>
      <c r="AZ467" s="509"/>
      <c r="BA467" s="509"/>
      <c r="BB467" s="510"/>
      <c r="BC467" s="509"/>
      <c r="BD467" s="509"/>
      <c r="BE467" s="509"/>
      <c r="BF467" s="509"/>
      <c r="BG467" s="510"/>
      <c r="BH467" s="510"/>
      <c r="BI467" s="511"/>
      <c r="BJ467" s="511"/>
      <c r="BK467" s="511"/>
      <c r="BL467" s="510"/>
      <c r="BM467" s="510"/>
      <c r="BN467" s="510"/>
      <c r="BO467" s="510"/>
      <c r="BP467" s="510"/>
      <c r="BQ467" s="510"/>
      <c r="BR467" s="510"/>
      <c r="BS467" s="510"/>
      <c r="BT467" s="513"/>
      <c r="BU467" s="514"/>
      <c r="BV467" s="512"/>
      <c r="BW467" s="515"/>
    </row>
    <row r="468" spans="2:75" ht="15.75" customHeight="1">
      <c r="B468" s="250" t="s">
        <v>1042</v>
      </c>
      <c r="C468" s="251">
        <v>28320600000156</v>
      </c>
      <c r="D468" s="252" t="s">
        <v>14</v>
      </c>
      <c r="E468" s="252" t="s">
        <v>607</v>
      </c>
      <c r="F468" s="252"/>
      <c r="G468" s="253" t="s">
        <v>866</v>
      </c>
      <c r="H468" s="253" t="s">
        <v>34</v>
      </c>
      <c r="I468" s="253" t="s">
        <v>34</v>
      </c>
      <c r="J468" s="253" t="s">
        <v>690</v>
      </c>
      <c r="K468" s="254"/>
      <c r="L468" s="255"/>
      <c r="M468" s="255" t="s">
        <v>34</v>
      </c>
      <c r="N468" s="254">
        <v>453935</v>
      </c>
      <c r="O468" s="254" t="s">
        <v>1321</v>
      </c>
      <c r="P468" s="258">
        <v>43063</v>
      </c>
      <c r="Q468" s="259">
        <v>157214605.88999999</v>
      </c>
      <c r="R468" s="259">
        <v>297587420.63297611</v>
      </c>
      <c r="S468" s="254">
        <v>5</v>
      </c>
      <c r="T468" s="256">
        <v>-0.24461219367835896</v>
      </c>
      <c r="U468" s="256">
        <v>-3.1621495714227423</v>
      </c>
      <c r="V468" s="256">
        <v>-0.20383577973214961</v>
      </c>
      <c r="W468" s="256">
        <v>-1.9982722142657412</v>
      </c>
      <c r="X468" s="256">
        <v>-3.4266961271267271E-2</v>
      </c>
      <c r="Y468" s="256">
        <v>-0.25985259227504764</v>
      </c>
      <c r="Z468" s="256">
        <v>0.29353623204271129</v>
      </c>
      <c r="AA468" s="256">
        <v>1.6685551039317956</v>
      </c>
      <c r="AB468" s="256">
        <v>0.27452736538774958</v>
      </c>
      <c r="AC468" s="260">
        <v>-1.0464577105035924</v>
      </c>
      <c r="AD468" s="405">
        <v>0</v>
      </c>
      <c r="AE468" s="257" t="s">
        <v>2306</v>
      </c>
      <c r="AF468" s="257" t="s">
        <v>728</v>
      </c>
      <c r="AG468" s="261" t="s">
        <v>728</v>
      </c>
      <c r="AH468" s="261" t="s">
        <v>2110</v>
      </c>
      <c r="AI468" s="261">
        <v>25000</v>
      </c>
      <c r="AJ468" s="261">
        <v>1000</v>
      </c>
      <c r="AK468" s="261">
        <v>1000</v>
      </c>
      <c r="AL468" s="256">
        <v>0.01</v>
      </c>
      <c r="AM468" s="256" t="s">
        <v>34</v>
      </c>
      <c r="AN468" s="256" t="s">
        <v>2122</v>
      </c>
      <c r="AO468" s="254" t="s">
        <v>1324</v>
      </c>
      <c r="AP468" s="257" t="s">
        <v>716</v>
      </c>
      <c r="AQ468" s="263" t="s">
        <v>687</v>
      </c>
      <c r="AR468" s="256">
        <v>5.3333333333333332E-3</v>
      </c>
      <c r="AS468" s="256">
        <v>5.3333333333333332E-3</v>
      </c>
      <c r="AT468" s="256"/>
      <c r="AW468" s="508"/>
      <c r="AX468" s="508"/>
      <c r="AY468" s="509"/>
      <c r="AZ468" s="509"/>
      <c r="BA468" s="509"/>
      <c r="BB468" s="510"/>
      <c r="BC468" s="509"/>
      <c r="BD468" s="509"/>
      <c r="BE468" s="509"/>
      <c r="BF468" s="509"/>
      <c r="BG468" s="510"/>
      <c r="BH468" s="510"/>
      <c r="BI468" s="511"/>
      <c r="BJ468" s="511"/>
      <c r="BK468" s="511"/>
      <c r="BL468" s="195"/>
      <c r="BM468" s="510"/>
      <c r="BN468" s="510"/>
      <c r="BO468" s="510"/>
      <c r="BP468" s="510"/>
      <c r="BQ468" s="510"/>
      <c r="BR468" s="510"/>
      <c r="BS468" s="510"/>
      <c r="BT468" s="513"/>
      <c r="BU468" s="514"/>
      <c r="BV468" s="512"/>
      <c r="BW468" s="515"/>
    </row>
    <row r="469" spans="2:75" ht="15.75" customHeight="1">
      <c r="B469" s="250" t="s">
        <v>1043</v>
      </c>
      <c r="C469" s="251">
        <v>26369994000101</v>
      </c>
      <c r="D469" s="252" t="s">
        <v>14</v>
      </c>
      <c r="E469" s="252" t="s">
        <v>607</v>
      </c>
      <c r="F469" s="252"/>
      <c r="G469" s="253"/>
      <c r="H469" s="253" t="s">
        <v>34</v>
      </c>
      <c r="I469" s="253" t="s">
        <v>34</v>
      </c>
      <c r="J469" s="253" t="s">
        <v>611</v>
      </c>
      <c r="K469" s="254"/>
      <c r="L469" s="255"/>
      <c r="M469" s="255" t="s">
        <v>34</v>
      </c>
      <c r="N469" s="254">
        <v>453722</v>
      </c>
      <c r="O469" s="254" t="s">
        <v>1321</v>
      </c>
      <c r="P469" s="258">
        <v>43063</v>
      </c>
      <c r="Q469" s="259">
        <v>12259262.130000001</v>
      </c>
      <c r="R469" s="259">
        <v>17213900.56571427</v>
      </c>
      <c r="S469" s="254">
        <v>5</v>
      </c>
      <c r="T469" s="256">
        <v>-0.26257420866564751</v>
      </c>
      <c r="U469" s="256">
        <v>-3.3943480450140791</v>
      </c>
      <c r="V469" s="256">
        <v>-0.22789513861609634</v>
      </c>
      <c r="W469" s="256">
        <v>-2.2341343794558473</v>
      </c>
      <c r="X469" s="256">
        <v>-9.2902802984548893E-2</v>
      </c>
      <c r="Y469" s="256">
        <v>-0.70449883180611161</v>
      </c>
      <c r="Z469" s="256">
        <v>-0.14814314892054525</v>
      </c>
      <c r="AA469" s="256">
        <v>-0.84209368473441792</v>
      </c>
      <c r="AB469" s="256">
        <v>0.26028322467980658</v>
      </c>
      <c r="AC469" s="260">
        <v>-1.2369509753001935</v>
      </c>
      <c r="AD469" s="405">
        <v>0</v>
      </c>
      <c r="AE469" s="257" t="s">
        <v>2306</v>
      </c>
      <c r="AF469" s="257" t="s">
        <v>728</v>
      </c>
      <c r="AG469" s="261" t="s">
        <v>728</v>
      </c>
      <c r="AH469" s="261" t="s">
        <v>2110</v>
      </c>
      <c r="AI469" s="261">
        <v>25000</v>
      </c>
      <c r="AJ469" s="261">
        <v>1000</v>
      </c>
      <c r="AK469" s="261">
        <v>1000</v>
      </c>
      <c r="AL469" s="256">
        <v>0.01</v>
      </c>
      <c r="AM469" s="256" t="s">
        <v>34</v>
      </c>
      <c r="AN469" s="256" t="s">
        <v>34</v>
      </c>
      <c r="AO469" s="254" t="s">
        <v>1324</v>
      </c>
      <c r="AP469" s="257" t="s">
        <v>716</v>
      </c>
      <c r="AQ469" s="263" t="s">
        <v>687</v>
      </c>
      <c r="AR469" s="256">
        <v>5.3333333333333332E-3</v>
      </c>
      <c r="AS469" s="256">
        <v>5.3333333333333332E-3</v>
      </c>
      <c r="AT469" s="256"/>
      <c r="AW469" s="508"/>
      <c r="AX469" s="508"/>
      <c r="AY469" s="509"/>
      <c r="AZ469" s="509"/>
      <c r="BA469" s="509"/>
      <c r="BB469" s="510"/>
      <c r="BC469" s="509"/>
      <c r="BD469" s="509"/>
      <c r="BE469" s="509"/>
      <c r="BF469" s="509"/>
      <c r="BG469" s="510"/>
      <c r="BH469" s="510"/>
      <c r="BI469" s="511"/>
      <c r="BJ469" s="511"/>
      <c r="BK469" s="511"/>
      <c r="BL469" s="195"/>
      <c r="BM469" s="510"/>
      <c r="BN469" s="510"/>
      <c r="BO469" s="510"/>
      <c r="BP469" s="510"/>
      <c r="BQ469" s="510"/>
      <c r="BR469" s="510"/>
      <c r="BS469" s="510"/>
      <c r="BT469" s="513"/>
      <c r="BU469" s="514"/>
      <c r="BV469" s="512"/>
      <c r="BW469" s="515"/>
    </row>
    <row r="470" spans="2:75" ht="15.75" customHeight="1">
      <c r="B470" s="250" t="s">
        <v>1044</v>
      </c>
      <c r="C470" s="251">
        <v>35578945000170</v>
      </c>
      <c r="D470" s="252" t="s">
        <v>14</v>
      </c>
      <c r="E470" s="252" t="s">
        <v>607</v>
      </c>
      <c r="F470" s="252"/>
      <c r="G470" s="253"/>
      <c r="H470" s="253" t="s">
        <v>34</v>
      </c>
      <c r="I470" s="253" t="s">
        <v>34</v>
      </c>
      <c r="J470" s="253" t="s">
        <v>611</v>
      </c>
      <c r="K470" s="254"/>
      <c r="L470" s="255"/>
      <c r="M470" s="255" t="s">
        <v>34</v>
      </c>
      <c r="N470" s="254">
        <v>536636</v>
      </c>
      <c r="O470" s="254" t="s">
        <v>1321</v>
      </c>
      <c r="P470" s="258">
        <v>43964</v>
      </c>
      <c r="Q470" s="259">
        <v>85107870.859999999</v>
      </c>
      <c r="R470" s="259">
        <v>132210005.06206347</v>
      </c>
      <c r="S470" s="254">
        <v>5</v>
      </c>
      <c r="T470" s="256">
        <v>-0.36627370450193242</v>
      </c>
      <c r="U470" s="256">
        <v>-4.7348916678991939</v>
      </c>
      <c r="V470" s="256">
        <v>-0.33583722570641927</v>
      </c>
      <c r="W470" s="256">
        <v>-3.2923277627072203</v>
      </c>
      <c r="X470" s="256">
        <v>-0.20652421129820009</v>
      </c>
      <c r="Y470" s="256">
        <v>-1.5661106115760433</v>
      </c>
      <c r="Z470" s="256" t="s">
        <v>1417</v>
      </c>
      <c r="AA470" s="256" t="s">
        <v>1417</v>
      </c>
      <c r="AB470" s="256">
        <v>0.26796428580311421</v>
      </c>
      <c r="AC470" s="260">
        <v>-1.7551221685876615</v>
      </c>
      <c r="AD470" s="405">
        <v>0</v>
      </c>
      <c r="AE470" s="257" t="s">
        <v>2306</v>
      </c>
      <c r="AF470" s="257" t="s">
        <v>728</v>
      </c>
      <c r="AG470" s="261" t="s">
        <v>728</v>
      </c>
      <c r="AH470" s="261" t="s">
        <v>2110</v>
      </c>
      <c r="AI470" s="261">
        <v>5000</v>
      </c>
      <c r="AJ470" s="261" t="s">
        <v>1427</v>
      </c>
      <c r="AK470" s="261" t="s">
        <v>1427</v>
      </c>
      <c r="AL470" s="256">
        <v>0.01</v>
      </c>
      <c r="AM470" s="256" t="s">
        <v>34</v>
      </c>
      <c r="AN470" s="256" t="s">
        <v>34</v>
      </c>
      <c r="AO470" s="254" t="s">
        <v>1324</v>
      </c>
      <c r="AP470" s="257" t="s">
        <v>716</v>
      </c>
      <c r="AQ470" s="263" t="s">
        <v>687</v>
      </c>
      <c r="AR470" s="256">
        <v>5.3333333333333332E-3</v>
      </c>
      <c r="AS470" s="256">
        <v>5.3333333333333332E-3</v>
      </c>
      <c r="AT470" s="256"/>
      <c r="AW470" s="508"/>
      <c r="AX470" s="508"/>
      <c r="AY470" s="509"/>
      <c r="AZ470" s="509"/>
      <c r="BA470" s="509"/>
      <c r="BB470" s="510"/>
      <c r="BC470" s="509"/>
      <c r="BD470" s="509"/>
      <c r="BE470" s="509"/>
      <c r="BF470" s="509"/>
      <c r="BG470" s="510"/>
      <c r="BH470" s="510"/>
      <c r="BI470" s="511"/>
      <c r="BJ470" s="511"/>
      <c r="BK470" s="511"/>
      <c r="BL470" s="195"/>
      <c r="BM470" s="510"/>
      <c r="BN470" s="510"/>
      <c r="BO470" s="510"/>
      <c r="BP470" s="510"/>
      <c r="BQ470" s="510"/>
      <c r="BR470" s="510"/>
      <c r="BS470" s="510"/>
      <c r="BT470" s="513"/>
      <c r="BU470" s="514"/>
      <c r="BV470" s="512"/>
      <c r="BW470" s="515"/>
    </row>
    <row r="471" spans="2:75" ht="15.75" customHeight="1">
      <c r="B471" s="250" t="s">
        <v>1045</v>
      </c>
      <c r="C471" s="251">
        <v>26370126000141</v>
      </c>
      <c r="D471" s="252" t="s">
        <v>14</v>
      </c>
      <c r="E471" s="252" t="s">
        <v>607</v>
      </c>
      <c r="F471" s="252"/>
      <c r="G471" s="253"/>
      <c r="H471" s="253" t="s">
        <v>34</v>
      </c>
      <c r="I471" s="253" t="s">
        <v>34</v>
      </c>
      <c r="J471" s="253" t="s">
        <v>611</v>
      </c>
      <c r="K471" s="254"/>
      <c r="L471" s="255"/>
      <c r="M471" s="255" t="s">
        <v>34</v>
      </c>
      <c r="N471" s="254">
        <v>446742</v>
      </c>
      <c r="O471" s="254" t="s">
        <v>1321</v>
      </c>
      <c r="P471" s="258">
        <v>42958</v>
      </c>
      <c r="Q471" s="259">
        <v>45320439.649999999</v>
      </c>
      <c r="R471" s="259">
        <v>35662465.601785727</v>
      </c>
      <c r="S471" s="254">
        <v>5</v>
      </c>
      <c r="T471" s="256">
        <v>0.17202824219800972</v>
      </c>
      <c r="U471" s="256">
        <v>2.2238426636013218</v>
      </c>
      <c r="V471" s="256">
        <v>0.28162812532680337</v>
      </c>
      <c r="W471" s="256">
        <v>2.7608973181048415</v>
      </c>
      <c r="X471" s="256">
        <v>0.5532616628117204</v>
      </c>
      <c r="Y471" s="256">
        <v>4.1954836949191803</v>
      </c>
      <c r="Z471" s="256">
        <v>0.49846556570051792</v>
      </c>
      <c r="AA471" s="256">
        <v>2.833439872127367</v>
      </c>
      <c r="AB471" s="256">
        <v>0.1299725119394638</v>
      </c>
      <c r="AC471" s="260">
        <v>1.2274529031665966</v>
      </c>
      <c r="AD471" s="405">
        <v>0</v>
      </c>
      <c r="AE471" s="257" t="s">
        <v>2247</v>
      </c>
      <c r="AF471" s="257" t="s">
        <v>728</v>
      </c>
      <c r="AG471" s="261" t="s">
        <v>728</v>
      </c>
      <c r="AH471" s="261" t="s">
        <v>2110</v>
      </c>
      <c r="AI471" s="261">
        <v>25000</v>
      </c>
      <c r="AJ471" s="261">
        <v>1000</v>
      </c>
      <c r="AK471" s="261">
        <v>1000</v>
      </c>
      <c r="AL471" s="256">
        <v>0.01</v>
      </c>
      <c r="AM471" s="256" t="s">
        <v>34</v>
      </c>
      <c r="AN471" s="256" t="s">
        <v>34</v>
      </c>
      <c r="AO471" s="254" t="s">
        <v>1324</v>
      </c>
      <c r="AP471" s="257" t="s">
        <v>716</v>
      </c>
      <c r="AQ471" s="263" t="s">
        <v>687</v>
      </c>
      <c r="AR471" s="256">
        <v>5.3333333333333332E-3</v>
      </c>
      <c r="AS471" s="256">
        <v>5.3333333333333332E-3</v>
      </c>
      <c r="AT471" s="256"/>
      <c r="AW471" s="508"/>
      <c r="AX471" s="508"/>
      <c r="AY471" s="509"/>
      <c r="AZ471" s="509"/>
      <c r="BA471" s="509"/>
      <c r="BB471" s="510"/>
      <c r="BC471" s="509"/>
      <c r="BD471" s="509"/>
      <c r="BE471" s="509"/>
      <c r="BF471" s="509"/>
      <c r="BG471" s="510"/>
      <c r="BH471" s="510"/>
      <c r="BI471" s="511"/>
      <c r="BJ471" s="511"/>
      <c r="BK471" s="511"/>
      <c r="BL471" s="510"/>
      <c r="BM471" s="510"/>
      <c r="BN471" s="510"/>
      <c r="BO471" s="510"/>
      <c r="BP471" s="510"/>
      <c r="BQ471" s="510"/>
      <c r="BR471" s="510"/>
      <c r="BS471" s="510"/>
      <c r="BT471" s="513"/>
      <c r="BU471" s="514"/>
      <c r="BV471" s="512"/>
      <c r="BW471" s="515"/>
    </row>
    <row r="472" spans="2:75" ht="15.75" customHeight="1">
      <c r="B472" s="250" t="s">
        <v>1046</v>
      </c>
      <c r="C472" s="251">
        <v>28320626000102</v>
      </c>
      <c r="D472" s="252" t="s">
        <v>14</v>
      </c>
      <c r="E472" s="252" t="s">
        <v>607</v>
      </c>
      <c r="F472" s="252"/>
      <c r="G472" s="253" t="s">
        <v>866</v>
      </c>
      <c r="H472" s="253" t="s">
        <v>34</v>
      </c>
      <c r="I472" s="253" t="s">
        <v>34</v>
      </c>
      <c r="J472" s="253" t="s">
        <v>690</v>
      </c>
      <c r="K472" s="254"/>
      <c r="L472" s="255"/>
      <c r="M472" s="255" t="s">
        <v>34</v>
      </c>
      <c r="N472" s="254">
        <v>453951</v>
      </c>
      <c r="O472" s="254" t="s">
        <v>1321</v>
      </c>
      <c r="P472" s="258">
        <v>43063</v>
      </c>
      <c r="Q472" s="259">
        <v>52223121.719999999</v>
      </c>
      <c r="R472" s="259">
        <v>81827452.962142855</v>
      </c>
      <c r="S472" s="254">
        <v>5</v>
      </c>
      <c r="T472" s="256">
        <v>-0.11825101877419231</v>
      </c>
      <c r="U472" s="256">
        <v>-1.5286540000895978</v>
      </c>
      <c r="V472" s="256">
        <v>-8.5267407573218046E-2</v>
      </c>
      <c r="W472" s="256">
        <v>-0.8359057058575855</v>
      </c>
      <c r="X472" s="256">
        <v>0.49303835536489049</v>
      </c>
      <c r="Y472" s="256">
        <v>3.7387994143507215</v>
      </c>
      <c r="Z472" s="256">
        <v>0.56061344413567182</v>
      </c>
      <c r="AA472" s="256">
        <v>3.186708560765505</v>
      </c>
      <c r="AB472" s="256">
        <v>0.25600143002841236</v>
      </c>
      <c r="AC472" s="260">
        <v>-0.59974231308626702</v>
      </c>
      <c r="AD472" s="405">
        <v>0</v>
      </c>
      <c r="AE472" s="257" t="s">
        <v>2306</v>
      </c>
      <c r="AF472" s="257" t="s">
        <v>728</v>
      </c>
      <c r="AG472" s="261" t="s">
        <v>728</v>
      </c>
      <c r="AH472" s="261" t="s">
        <v>2110</v>
      </c>
      <c r="AI472" s="261">
        <v>25000</v>
      </c>
      <c r="AJ472" s="261">
        <v>1000</v>
      </c>
      <c r="AK472" s="261">
        <v>1000</v>
      </c>
      <c r="AL472" s="256">
        <v>0.01</v>
      </c>
      <c r="AM472" s="256" t="s">
        <v>34</v>
      </c>
      <c r="AN472" s="256" t="s">
        <v>34</v>
      </c>
      <c r="AO472" s="254" t="s">
        <v>1324</v>
      </c>
      <c r="AP472" s="257" t="s">
        <v>716</v>
      </c>
      <c r="AQ472" s="263" t="s">
        <v>687</v>
      </c>
      <c r="AR472" s="256">
        <v>5.3333333333333332E-3</v>
      </c>
      <c r="AS472" s="256">
        <v>5.3333333333333332E-3</v>
      </c>
      <c r="AT472" s="256"/>
      <c r="AW472" s="508"/>
      <c r="AX472" s="508"/>
      <c r="AY472" s="509"/>
      <c r="AZ472" s="509"/>
      <c r="BA472" s="509"/>
      <c r="BB472" s="510"/>
      <c r="BC472" s="509"/>
      <c r="BD472" s="509"/>
      <c r="BE472" s="509"/>
      <c r="BF472" s="509"/>
      <c r="BG472" s="510"/>
      <c r="BH472" s="510"/>
      <c r="BI472" s="511"/>
      <c r="BJ472" s="511"/>
      <c r="BK472" s="511"/>
      <c r="BL472" s="510"/>
      <c r="BM472" s="510"/>
      <c r="BN472" s="510"/>
      <c r="BO472" s="510"/>
      <c r="BP472" s="510"/>
      <c r="BQ472" s="510"/>
      <c r="BR472" s="510"/>
      <c r="BS472" s="510"/>
      <c r="BT472" s="513"/>
      <c r="BU472" s="514"/>
      <c r="BV472" s="512"/>
      <c r="BW472" s="515"/>
    </row>
    <row r="473" spans="2:75" ht="15.75" customHeight="1">
      <c r="B473" s="250" t="s">
        <v>1083</v>
      </c>
      <c r="C473" s="251">
        <v>11175798000129</v>
      </c>
      <c r="D473" s="252" t="s">
        <v>14</v>
      </c>
      <c r="E473" s="252" t="s">
        <v>607</v>
      </c>
      <c r="F473" s="252"/>
      <c r="G473" s="253"/>
      <c r="H473" s="253" t="s">
        <v>34</v>
      </c>
      <c r="I473" s="253" t="s">
        <v>34</v>
      </c>
      <c r="J473" s="253" t="s">
        <v>611</v>
      </c>
      <c r="K473" s="254"/>
      <c r="L473" s="255"/>
      <c r="M473" s="255" t="s">
        <v>34</v>
      </c>
      <c r="N473" s="254">
        <v>248401</v>
      </c>
      <c r="O473" s="254" t="s">
        <v>1321</v>
      </c>
      <c r="P473" s="258">
        <v>40317</v>
      </c>
      <c r="Q473" s="259">
        <v>55500024.329999998</v>
      </c>
      <c r="R473" s="259">
        <v>62519443.795793593</v>
      </c>
      <c r="S473" s="254">
        <v>5</v>
      </c>
      <c r="T473" s="256">
        <v>-0.1960380394904041</v>
      </c>
      <c r="U473" s="256">
        <v>-2.5342219994651853</v>
      </c>
      <c r="V473" s="256">
        <v>-0.15191630975315507</v>
      </c>
      <c r="W473" s="256">
        <v>-1.48928780350743</v>
      </c>
      <c r="X473" s="256">
        <v>-5.3844736936993098E-2</v>
      </c>
      <c r="Y473" s="256">
        <v>-0.40831442165773985</v>
      </c>
      <c r="Z473" s="256">
        <v>0.34657983596803144</v>
      </c>
      <c r="AA473" s="256">
        <v>1.9700721447571048</v>
      </c>
      <c r="AB473" s="256">
        <v>0.20423229012927777</v>
      </c>
      <c r="AC473" s="260">
        <v>-1.1804640544071101</v>
      </c>
      <c r="AD473" s="405">
        <v>0</v>
      </c>
      <c r="AE473" s="257" t="s">
        <v>2329</v>
      </c>
      <c r="AF473" s="257" t="s">
        <v>2118</v>
      </c>
      <c r="AG473" s="261" t="s">
        <v>1433</v>
      </c>
      <c r="AH473" s="261" t="s">
        <v>2110</v>
      </c>
      <c r="AI473" s="261">
        <v>5000</v>
      </c>
      <c r="AJ473" s="261">
        <v>5000</v>
      </c>
      <c r="AK473" s="261">
        <v>5000</v>
      </c>
      <c r="AL473" s="256">
        <v>0.02</v>
      </c>
      <c r="AM473" s="256">
        <v>0.2</v>
      </c>
      <c r="AN473" s="256" t="s">
        <v>2127</v>
      </c>
      <c r="AO473" s="254" t="s">
        <v>1324</v>
      </c>
      <c r="AP473" s="257" t="s">
        <v>716</v>
      </c>
      <c r="AQ473" s="263" t="s">
        <v>687</v>
      </c>
      <c r="AR473" s="256">
        <v>5.3333333333333332E-3</v>
      </c>
      <c r="AS473" s="256">
        <v>5.3333333333333332E-3</v>
      </c>
      <c r="AT473" s="256"/>
      <c r="AW473" s="508"/>
      <c r="AX473" s="508"/>
      <c r="AY473" s="509"/>
      <c r="AZ473" s="509"/>
      <c r="BA473" s="509"/>
      <c r="BB473" s="510"/>
      <c r="BC473" s="509"/>
      <c r="BD473" s="509"/>
      <c r="BE473" s="509"/>
      <c r="BF473" s="509"/>
      <c r="BG473" s="510"/>
      <c r="BH473" s="510"/>
      <c r="BI473" s="511"/>
      <c r="BJ473" s="511"/>
      <c r="BK473" s="511"/>
      <c r="BL473" s="510"/>
      <c r="BM473" s="510"/>
      <c r="BN473" s="510"/>
      <c r="BO473" s="510"/>
      <c r="BP473" s="510"/>
      <c r="BQ473" s="510"/>
      <c r="BR473" s="510"/>
      <c r="BS473" s="510"/>
      <c r="BT473" s="513"/>
      <c r="BU473" s="514"/>
      <c r="BV473" s="512"/>
      <c r="BW473" s="515"/>
    </row>
    <row r="474" spans="2:75" ht="15.75" customHeight="1">
      <c r="B474" s="250" t="s">
        <v>1107</v>
      </c>
      <c r="C474" s="251">
        <v>31392506000117</v>
      </c>
      <c r="D474" s="252" t="s">
        <v>14</v>
      </c>
      <c r="E474" s="252" t="s">
        <v>607</v>
      </c>
      <c r="F474" s="252"/>
      <c r="G474" s="253"/>
      <c r="H474" s="253" t="s">
        <v>34</v>
      </c>
      <c r="I474" s="253" t="s">
        <v>34</v>
      </c>
      <c r="J474" s="253" t="s">
        <v>611</v>
      </c>
      <c r="K474" s="254" t="s">
        <v>48</v>
      </c>
      <c r="L474" s="255"/>
      <c r="M474" s="255" t="s">
        <v>34</v>
      </c>
      <c r="N474" s="254">
        <v>480861</v>
      </c>
      <c r="O474" s="254" t="s">
        <v>1321</v>
      </c>
      <c r="P474" s="258">
        <v>43434</v>
      </c>
      <c r="Q474" s="259">
        <v>154574349.5</v>
      </c>
      <c r="R474" s="259">
        <v>211881620.55849206</v>
      </c>
      <c r="S474" s="254">
        <v>5</v>
      </c>
      <c r="T474" s="256">
        <v>-0.2154244569836492</v>
      </c>
      <c r="U474" s="256">
        <v>-2.7848340022678522</v>
      </c>
      <c r="V474" s="256">
        <v>-0.2164921540207877</v>
      </c>
      <c r="W474" s="256">
        <v>-2.1223470018597852</v>
      </c>
      <c r="X474" s="256">
        <v>-6.8453530910327909E-2</v>
      </c>
      <c r="Y474" s="256">
        <v>-0.5190955601990842</v>
      </c>
      <c r="Z474" s="256">
        <v>0.21698704026440141</v>
      </c>
      <c r="AA474" s="256">
        <v>1.2334246815144096</v>
      </c>
      <c r="AB474" s="256">
        <v>0.26033912077576882</v>
      </c>
      <c r="AC474" s="260">
        <v>-1.1794889358813536</v>
      </c>
      <c r="AD474" s="405">
        <v>0</v>
      </c>
      <c r="AE474" s="257" t="s">
        <v>2348</v>
      </c>
      <c r="AF474" s="257" t="s">
        <v>2118</v>
      </c>
      <c r="AG474" s="261" t="s">
        <v>1433</v>
      </c>
      <c r="AH474" s="261" t="s">
        <v>2110</v>
      </c>
      <c r="AI474" s="261">
        <v>50000</v>
      </c>
      <c r="AJ474" s="261">
        <v>5000</v>
      </c>
      <c r="AK474" s="261">
        <v>25000</v>
      </c>
      <c r="AL474" s="256">
        <v>1.4999999999999999E-2</v>
      </c>
      <c r="AM474" s="256">
        <v>0.2</v>
      </c>
      <c r="AN474" s="256" t="s">
        <v>2127</v>
      </c>
      <c r="AO474" s="254" t="s">
        <v>1324</v>
      </c>
      <c r="AP474" s="257" t="s">
        <v>716</v>
      </c>
      <c r="AQ474" s="263" t="s">
        <v>687</v>
      </c>
      <c r="AR474" s="256">
        <v>4.0000000000000001E-3</v>
      </c>
      <c r="AS474" s="256">
        <v>4.0000000000000001E-3</v>
      </c>
      <c r="AT474" s="256"/>
      <c r="AW474" s="508"/>
      <c r="AX474" s="508"/>
      <c r="AY474" s="509"/>
      <c r="AZ474" s="509"/>
      <c r="BA474" s="509"/>
      <c r="BB474" s="510"/>
      <c r="BC474" s="509"/>
      <c r="BD474" s="509"/>
      <c r="BE474" s="509"/>
      <c r="BF474" s="509"/>
      <c r="BG474" s="510"/>
      <c r="BH474" s="510"/>
      <c r="BI474" s="511"/>
      <c r="BJ474" s="511"/>
      <c r="BK474" s="511"/>
      <c r="BL474" s="195"/>
      <c r="BM474" s="510"/>
      <c r="BN474" s="510"/>
      <c r="BO474" s="510"/>
      <c r="BP474" s="510"/>
      <c r="BQ474" s="510"/>
      <c r="BR474" s="510"/>
      <c r="BS474" s="510"/>
      <c r="BT474" s="513"/>
      <c r="BU474" s="514"/>
      <c r="BV474" s="512"/>
      <c r="BW474" s="515"/>
    </row>
    <row r="475" spans="2:75" ht="15.75" customHeight="1">
      <c r="B475" s="250" t="s">
        <v>1108</v>
      </c>
      <c r="C475" s="251">
        <v>23915589000153</v>
      </c>
      <c r="D475" s="252" t="s">
        <v>14</v>
      </c>
      <c r="E475" s="252" t="s">
        <v>614</v>
      </c>
      <c r="F475" s="252"/>
      <c r="G475" s="253"/>
      <c r="H475" s="253" t="s">
        <v>1338</v>
      </c>
      <c r="I475" s="253" t="s">
        <v>34</v>
      </c>
      <c r="J475" s="253" t="s">
        <v>611</v>
      </c>
      <c r="K475" s="254" t="s">
        <v>49</v>
      </c>
      <c r="L475" s="255"/>
      <c r="M475" s="255" t="s">
        <v>34</v>
      </c>
      <c r="N475" s="254">
        <v>416691</v>
      </c>
      <c r="O475" s="254" t="s">
        <v>1321</v>
      </c>
      <c r="P475" s="258">
        <v>42445</v>
      </c>
      <c r="Q475" s="259">
        <v>75282467.209999993</v>
      </c>
      <c r="R475" s="259">
        <v>112341661.57067464</v>
      </c>
      <c r="S475" s="254">
        <v>5</v>
      </c>
      <c r="T475" s="256">
        <v>-0.32197918976888462</v>
      </c>
      <c r="U475" s="256">
        <v>-4.1622878304811044</v>
      </c>
      <c r="V475" s="256">
        <v>-0.28924507041259673</v>
      </c>
      <c r="W475" s="256">
        <v>-2.8355688489937245</v>
      </c>
      <c r="X475" s="256">
        <v>-0.20765516023645381</v>
      </c>
      <c r="Y475" s="256">
        <v>-1.5746868028236272</v>
      </c>
      <c r="Z475" s="256">
        <v>0.39502713328369055</v>
      </c>
      <c r="AA475" s="256">
        <v>2.2454622887444469</v>
      </c>
      <c r="AB475" s="256">
        <v>0.26857801268112252</v>
      </c>
      <c r="AC475" s="260">
        <v>-1.4979742872446491</v>
      </c>
      <c r="AD475" s="405">
        <v>23729562000176</v>
      </c>
      <c r="AE475" s="257" t="s">
        <v>2348</v>
      </c>
      <c r="AF475" s="257" t="s">
        <v>2118</v>
      </c>
      <c r="AG475" s="261" t="s">
        <v>1433</v>
      </c>
      <c r="AH475" s="261" t="s">
        <v>2110</v>
      </c>
      <c r="AI475" s="261">
        <v>50000</v>
      </c>
      <c r="AJ475" s="261">
        <v>5000</v>
      </c>
      <c r="AK475" s="261">
        <v>25000</v>
      </c>
      <c r="AL475" s="256">
        <v>1.4999999999999999E-2</v>
      </c>
      <c r="AM475" s="256">
        <v>0.2</v>
      </c>
      <c r="AN475" s="256" t="s">
        <v>2122</v>
      </c>
      <c r="AO475" s="254" t="s">
        <v>1324</v>
      </c>
      <c r="AP475" s="257" t="s">
        <v>716</v>
      </c>
      <c r="AQ475" s="263" t="s">
        <v>687</v>
      </c>
      <c r="AR475" s="256">
        <v>4.0000000000000001E-3</v>
      </c>
      <c r="AS475" s="256">
        <v>4.0000000000000001E-3</v>
      </c>
      <c r="AT475" s="256"/>
      <c r="AW475" s="508"/>
      <c r="AX475" s="508"/>
      <c r="AY475" s="509"/>
      <c r="AZ475" s="509"/>
      <c r="BA475" s="509"/>
      <c r="BB475" s="510"/>
      <c r="BC475" s="509"/>
      <c r="BD475" s="509"/>
      <c r="BE475" s="509"/>
      <c r="BF475" s="509"/>
      <c r="BG475" s="510"/>
      <c r="BH475" s="510"/>
      <c r="BI475" s="511"/>
      <c r="BJ475" s="511"/>
      <c r="BK475" s="511"/>
      <c r="BL475" s="195"/>
      <c r="BM475" s="510"/>
      <c r="BN475" s="510"/>
      <c r="BO475" s="510"/>
      <c r="BP475" s="510"/>
      <c r="BQ475" s="510"/>
      <c r="BR475" s="510"/>
      <c r="BS475" s="510"/>
      <c r="BT475" s="513"/>
      <c r="BU475" s="514"/>
      <c r="BV475" s="512"/>
      <c r="BW475" s="515"/>
    </row>
    <row r="476" spans="2:75" ht="15.75" customHeight="1">
      <c r="B476" s="250" t="s">
        <v>588</v>
      </c>
      <c r="C476" s="251">
        <v>37322097000169</v>
      </c>
      <c r="D476" s="252" t="s">
        <v>14</v>
      </c>
      <c r="E476" s="252" t="s">
        <v>607</v>
      </c>
      <c r="F476" s="252"/>
      <c r="G476" s="253"/>
      <c r="H476" s="253" t="s">
        <v>34</v>
      </c>
      <c r="I476" s="253" t="s">
        <v>34</v>
      </c>
      <c r="J476" s="253" t="s">
        <v>611</v>
      </c>
      <c r="K476" s="254"/>
      <c r="L476" s="255"/>
      <c r="M476" s="255" t="s">
        <v>1414</v>
      </c>
      <c r="N476" s="254">
        <v>545333</v>
      </c>
      <c r="O476" s="254" t="s">
        <v>1321</v>
      </c>
      <c r="P476" s="258">
        <v>44042</v>
      </c>
      <c r="Q476" s="259">
        <v>27376669.879999999</v>
      </c>
      <c r="R476" s="259">
        <v>26108579.625992056</v>
      </c>
      <c r="S476" s="254">
        <v>5</v>
      </c>
      <c r="T476" s="256">
        <v>-0.25831350359195138</v>
      </c>
      <c r="U476" s="256">
        <v>-3.3392690789161641</v>
      </c>
      <c r="V476" s="256">
        <v>-0.19097360071432035</v>
      </c>
      <c r="W476" s="256">
        <v>-1.8721798521690871</v>
      </c>
      <c r="X476" s="256">
        <v>-2.5598940157808059E-2</v>
      </c>
      <c r="Y476" s="256">
        <v>-0.19412141353420442</v>
      </c>
      <c r="Z476" s="256" t="s">
        <v>1417</v>
      </c>
      <c r="AA476" s="256" t="s">
        <v>1417</v>
      </c>
      <c r="AB476" s="256">
        <v>0.23153946748969745</v>
      </c>
      <c r="AC476" s="260">
        <v>-1.2192080437085788</v>
      </c>
      <c r="AD476" s="405">
        <v>0</v>
      </c>
      <c r="AE476" s="257" t="s">
        <v>2184</v>
      </c>
      <c r="AF476" s="257" t="s">
        <v>2115</v>
      </c>
      <c r="AG476" s="261" t="s">
        <v>719</v>
      </c>
      <c r="AH476" s="261" t="s">
        <v>2113</v>
      </c>
      <c r="AI476" s="261">
        <v>100</v>
      </c>
      <c r="AJ476" s="261">
        <v>100</v>
      </c>
      <c r="AK476" s="261">
        <v>100</v>
      </c>
      <c r="AL476" s="256">
        <v>1.95E-2</v>
      </c>
      <c r="AM476" s="256" t="s">
        <v>34</v>
      </c>
      <c r="AN476" s="256" t="s">
        <v>2122</v>
      </c>
      <c r="AO476" s="254" t="s">
        <v>1324</v>
      </c>
      <c r="AP476" s="257" t="s">
        <v>716</v>
      </c>
      <c r="AQ476" s="263" t="s">
        <v>659</v>
      </c>
      <c r="AR476" s="256" t="s">
        <v>34</v>
      </c>
      <c r="AS476" s="256" t="s">
        <v>34</v>
      </c>
      <c r="AT476" s="256"/>
      <c r="AW476" s="508"/>
      <c r="AX476" s="508"/>
      <c r="AY476" s="509"/>
      <c r="AZ476" s="509"/>
      <c r="BA476" s="509"/>
      <c r="BB476" s="510"/>
      <c r="BC476" s="509"/>
      <c r="BD476" s="509"/>
      <c r="BE476" s="509"/>
      <c r="BF476" s="509"/>
      <c r="BG476" s="510"/>
      <c r="BH476" s="510"/>
      <c r="BI476" s="511"/>
      <c r="BJ476" s="511"/>
      <c r="BK476" s="511"/>
      <c r="BL476" s="510"/>
      <c r="BM476" s="510"/>
      <c r="BN476" s="510"/>
      <c r="BO476" s="510"/>
      <c r="BP476" s="510"/>
      <c r="BQ476" s="510"/>
      <c r="BR476" s="510"/>
      <c r="BS476" s="510"/>
      <c r="BT476" s="513"/>
      <c r="BU476" s="514"/>
      <c r="BV476" s="512"/>
      <c r="BW476" s="515"/>
    </row>
    <row r="477" spans="2:75" ht="15.75" customHeight="1">
      <c r="B477" s="250" t="s">
        <v>1140</v>
      </c>
      <c r="C477" s="251">
        <v>17302010000184</v>
      </c>
      <c r="D477" s="252" t="s">
        <v>11</v>
      </c>
      <c r="E477" s="252" t="s">
        <v>661</v>
      </c>
      <c r="F477" s="252"/>
      <c r="G477" s="253"/>
      <c r="H477" s="253" t="s">
        <v>34</v>
      </c>
      <c r="I477" s="253" t="s">
        <v>34</v>
      </c>
      <c r="J477" s="253" t="s">
        <v>611</v>
      </c>
      <c r="K477" s="254" t="s">
        <v>48</v>
      </c>
      <c r="L477" s="255"/>
      <c r="M477" s="255" t="s">
        <v>34</v>
      </c>
      <c r="N477" s="254">
        <v>331597</v>
      </c>
      <c r="O477" s="254" t="s">
        <v>1321</v>
      </c>
      <c r="P477" s="258">
        <v>41348</v>
      </c>
      <c r="Q477" s="259">
        <v>16687843.039999999</v>
      </c>
      <c r="R477" s="259">
        <v>33827815.034841269</v>
      </c>
      <c r="S477" s="254">
        <v>5</v>
      </c>
      <c r="T477" s="256">
        <v>-5.7065904803179079E-2</v>
      </c>
      <c r="U477" s="256">
        <v>-0.73770208959206263</v>
      </c>
      <c r="V477" s="256">
        <v>-3.4581841600116903E-2</v>
      </c>
      <c r="W477" s="256">
        <v>-0.33901768020540229</v>
      </c>
      <c r="X477" s="256">
        <v>5.7360810895005221E-2</v>
      </c>
      <c r="Y477" s="256">
        <v>0.43497744921327447</v>
      </c>
      <c r="Z477" s="256">
        <v>7.0377904186774254E-2</v>
      </c>
      <c r="AA477" s="256">
        <v>0.40005082308809631</v>
      </c>
      <c r="AB477" s="256">
        <v>5.0416803391687498E-2</v>
      </c>
      <c r="AC477" s="260">
        <v>-2.5998384239385035</v>
      </c>
      <c r="AD477" s="405">
        <v>0</v>
      </c>
      <c r="AE477" s="257" t="s">
        <v>2209</v>
      </c>
      <c r="AF477" s="257" t="s">
        <v>736</v>
      </c>
      <c r="AG477" s="261" t="s">
        <v>736</v>
      </c>
      <c r="AH477" s="261" t="s">
        <v>2110</v>
      </c>
      <c r="AI477" s="261">
        <v>25000</v>
      </c>
      <c r="AJ477" s="261">
        <v>5000</v>
      </c>
      <c r="AK477" s="261">
        <v>25000</v>
      </c>
      <c r="AL477" s="256">
        <v>8.6999999999999994E-3</v>
      </c>
      <c r="AM477" s="256" t="s">
        <v>34</v>
      </c>
      <c r="AN477" s="256" t="s">
        <v>64</v>
      </c>
      <c r="AO477" s="254" t="s">
        <v>1324</v>
      </c>
      <c r="AP477" s="257" t="s">
        <v>13</v>
      </c>
      <c r="AQ477" s="263" t="s">
        <v>679</v>
      </c>
      <c r="AR477" s="256">
        <v>4.1759999999999992E-3</v>
      </c>
      <c r="AS477" s="256">
        <v>4.1759999999999992E-3</v>
      </c>
      <c r="AT477" s="256"/>
      <c r="AW477" s="508"/>
      <c r="AX477" s="508"/>
      <c r="AY477" s="509"/>
      <c r="AZ477" s="509"/>
      <c r="BA477" s="509"/>
      <c r="BB477" s="510"/>
      <c r="BC477" s="509"/>
      <c r="BD477" s="509"/>
      <c r="BE477" s="509"/>
      <c r="BF477" s="509"/>
      <c r="BG477" s="510"/>
      <c r="BH477" s="510"/>
      <c r="BI477" s="511"/>
      <c r="BJ477" s="511"/>
      <c r="BK477" s="511"/>
      <c r="BL477" s="510"/>
      <c r="BM477" s="510"/>
      <c r="BN477" s="510"/>
      <c r="BO477" s="510"/>
      <c r="BP477" s="510"/>
      <c r="BQ477" s="510"/>
      <c r="BR477" s="510"/>
      <c r="BS477" s="510"/>
      <c r="BT477" s="513"/>
      <c r="BU477" s="514"/>
      <c r="BV477" s="512"/>
      <c r="BW477" s="515"/>
    </row>
    <row r="478" spans="2:75" ht="15.75" customHeight="1">
      <c r="B478" s="250" t="s">
        <v>1686</v>
      </c>
      <c r="C478" s="251">
        <v>41544075000110</v>
      </c>
      <c r="D478" s="252" t="s">
        <v>14</v>
      </c>
      <c r="E478" s="252" t="s">
        <v>607</v>
      </c>
      <c r="F478" s="252"/>
      <c r="G478" s="253"/>
      <c r="H478" s="253" t="s">
        <v>34</v>
      </c>
      <c r="I478" s="253" t="s">
        <v>34</v>
      </c>
      <c r="J478" s="253" t="s">
        <v>611</v>
      </c>
      <c r="K478" s="254" t="s">
        <v>48</v>
      </c>
      <c r="L478" s="255"/>
      <c r="M478" s="255"/>
      <c r="N478" s="254">
        <v>591521</v>
      </c>
      <c r="O478" s="254" t="s">
        <v>1321</v>
      </c>
      <c r="P478" s="258">
        <v>44314</v>
      </c>
      <c r="Q478" s="259">
        <v>52103405.380000003</v>
      </c>
      <c r="R478" s="259">
        <v>73547036.065238029</v>
      </c>
      <c r="S478" s="254">
        <v>5</v>
      </c>
      <c r="T478" s="256">
        <v>-0.3269944612393032</v>
      </c>
      <c r="U478" s="256">
        <v>-3.6780054222181291</v>
      </c>
      <c r="V478" s="256">
        <v>-0.26455676641783132</v>
      </c>
      <c r="W478" s="256">
        <v>-2.428024860637501</v>
      </c>
      <c r="X478" s="256" t="s">
        <v>1417</v>
      </c>
      <c r="Y478" s="256" t="s">
        <v>1417</v>
      </c>
      <c r="Z478" s="256" t="s">
        <v>1417</v>
      </c>
      <c r="AA478" s="256" t="s">
        <v>1417</v>
      </c>
      <c r="AB478" s="256">
        <v>0.250538254430968</v>
      </c>
      <c r="AC478" s="260">
        <v>-1.5134515102451453</v>
      </c>
      <c r="AD478" s="405">
        <v>0</v>
      </c>
      <c r="AE478" s="257" t="s">
        <v>2123</v>
      </c>
      <c r="AF478" s="257" t="s">
        <v>2109</v>
      </c>
      <c r="AG478" s="261" t="s">
        <v>1432</v>
      </c>
      <c r="AH478" s="261" t="s">
        <v>2170</v>
      </c>
      <c r="AI478" s="261">
        <v>1000</v>
      </c>
      <c r="AJ478" s="261">
        <v>1000</v>
      </c>
      <c r="AK478" s="261">
        <v>1000</v>
      </c>
      <c r="AL478" s="256">
        <v>1E-3</v>
      </c>
      <c r="AM478" s="256" t="s">
        <v>34</v>
      </c>
      <c r="AN478" s="256" t="s">
        <v>34</v>
      </c>
      <c r="AO478" s="254" t="s">
        <v>1324</v>
      </c>
      <c r="AP478" s="257" t="s">
        <v>716</v>
      </c>
      <c r="AQ478" s="263" t="s">
        <v>687</v>
      </c>
      <c r="AR478" s="256" t="s">
        <v>34</v>
      </c>
      <c r="AS478" s="256" t="s">
        <v>34</v>
      </c>
      <c r="AT478" s="256"/>
      <c r="AW478" s="508"/>
      <c r="AX478" s="508"/>
      <c r="AY478" s="509"/>
      <c r="AZ478" s="509"/>
      <c r="BA478" s="509"/>
      <c r="BB478" s="510"/>
      <c r="BC478" s="509"/>
      <c r="BD478" s="509"/>
      <c r="BE478" s="509"/>
      <c r="BF478" s="509"/>
      <c r="BG478" s="510"/>
      <c r="BH478" s="510"/>
      <c r="BI478" s="511"/>
      <c r="BJ478" s="511"/>
      <c r="BK478" s="511"/>
      <c r="BL478" s="510"/>
      <c r="BM478" s="510"/>
      <c r="BN478" s="510"/>
      <c r="BO478" s="510"/>
      <c r="BP478" s="510"/>
      <c r="BQ478" s="510"/>
      <c r="BR478" s="510"/>
      <c r="BS478" s="510"/>
      <c r="BT478" s="513"/>
      <c r="BU478" s="514"/>
      <c r="BV478" s="512"/>
      <c r="BW478" s="515"/>
    </row>
    <row r="479" spans="2:75" ht="15.75" customHeight="1">
      <c r="B479" s="250" t="s">
        <v>1151</v>
      </c>
      <c r="C479" s="251">
        <v>29178368000126</v>
      </c>
      <c r="D479" s="252" t="s">
        <v>11</v>
      </c>
      <c r="E479" s="252" t="s">
        <v>661</v>
      </c>
      <c r="F479" s="252"/>
      <c r="G479" s="253"/>
      <c r="H479" s="253" t="s">
        <v>34</v>
      </c>
      <c r="I479" s="253" t="s">
        <v>34</v>
      </c>
      <c r="J479" s="253" t="s">
        <v>611</v>
      </c>
      <c r="K479" s="254" t="s">
        <v>48</v>
      </c>
      <c r="L479" s="255"/>
      <c r="M479" s="255" t="s">
        <v>34</v>
      </c>
      <c r="N479" s="254">
        <v>466743</v>
      </c>
      <c r="O479" s="254" t="s">
        <v>1321</v>
      </c>
      <c r="P479" s="258">
        <v>43250</v>
      </c>
      <c r="Q479" s="259">
        <v>23971810.879999999</v>
      </c>
      <c r="R479" s="259">
        <v>44497730.589999989</v>
      </c>
      <c r="S479" s="254">
        <v>5</v>
      </c>
      <c r="T479" s="256">
        <v>-7.7758756259938999E-2</v>
      </c>
      <c r="U479" s="256">
        <v>-1.0052026192326537</v>
      </c>
      <c r="V479" s="256">
        <v>-7.1642711780980806E-2</v>
      </c>
      <c r="W479" s="256">
        <v>-0.70233812971748311</v>
      </c>
      <c r="X479" s="256">
        <v>-3.8133607719089246E-2</v>
      </c>
      <c r="Y479" s="256">
        <v>-0.28917407470600165</v>
      </c>
      <c r="Z479" s="256">
        <v>4.0121677596017147E-2</v>
      </c>
      <c r="AA479" s="256">
        <v>0.22806462243270689</v>
      </c>
      <c r="AB479" s="256">
        <v>8.0706841492984308E-2</v>
      </c>
      <c r="AC479" s="260">
        <v>-2.0844393266231522</v>
      </c>
      <c r="AD479" s="405">
        <v>29599922000149</v>
      </c>
      <c r="AE479" s="257" t="s">
        <v>2144</v>
      </c>
      <c r="AF479" s="257" t="s">
        <v>2109</v>
      </c>
      <c r="AG479" s="261" t="s">
        <v>1432</v>
      </c>
      <c r="AH479" s="261" t="s">
        <v>2110</v>
      </c>
      <c r="AI479" s="261">
        <v>5000</v>
      </c>
      <c r="AJ479" s="261">
        <v>5000</v>
      </c>
      <c r="AK479" s="261">
        <v>5000</v>
      </c>
      <c r="AL479" s="256">
        <v>9.0000000000000011E-3</v>
      </c>
      <c r="AM479" s="256" t="s">
        <v>34</v>
      </c>
      <c r="AN479" s="256" t="s">
        <v>34</v>
      </c>
      <c r="AO479" s="254" t="s">
        <v>1324</v>
      </c>
      <c r="AP479" s="257" t="s">
        <v>13</v>
      </c>
      <c r="AQ479" s="263" t="s">
        <v>679</v>
      </c>
      <c r="AR479" s="256">
        <v>5.3327999999999995E-3</v>
      </c>
      <c r="AS479" s="256">
        <v>5.3327999999999995E-3</v>
      </c>
      <c r="AT479" s="256"/>
      <c r="AW479" s="508"/>
      <c r="AX479" s="508"/>
      <c r="AY479" s="509"/>
      <c r="AZ479" s="509"/>
      <c r="BA479" s="509"/>
      <c r="BB479" s="510"/>
      <c r="BC479" s="509"/>
      <c r="BD479" s="509"/>
      <c r="BE479" s="509"/>
      <c r="BF479" s="509"/>
      <c r="BG479" s="510"/>
      <c r="BH479" s="510"/>
      <c r="BI479" s="511"/>
      <c r="BJ479" s="511"/>
      <c r="BK479" s="511"/>
      <c r="BL479" s="510"/>
      <c r="BM479" s="510"/>
      <c r="BN479" s="510"/>
      <c r="BO479" s="510"/>
      <c r="BP479" s="510"/>
      <c r="BQ479" s="510"/>
      <c r="BR479" s="510"/>
      <c r="BS479" s="510"/>
      <c r="BT479" s="513"/>
      <c r="BU479" s="514"/>
      <c r="BV479" s="512"/>
      <c r="BW479" s="515"/>
    </row>
    <row r="480" spans="2:75" ht="15.75" customHeight="1">
      <c r="B480" s="250" t="s">
        <v>365</v>
      </c>
      <c r="C480" s="251">
        <v>38251735000160</v>
      </c>
      <c r="D480" s="252" t="s">
        <v>11</v>
      </c>
      <c r="E480" s="252" t="s">
        <v>620</v>
      </c>
      <c r="F480" s="252"/>
      <c r="G480" s="253" t="s">
        <v>738</v>
      </c>
      <c r="H480" s="253" t="s">
        <v>34</v>
      </c>
      <c r="I480" s="253" t="s">
        <v>34</v>
      </c>
      <c r="J480" s="253"/>
      <c r="K480" s="254" t="s">
        <v>48</v>
      </c>
      <c r="L480" s="255"/>
      <c r="M480" s="255" t="s">
        <v>34</v>
      </c>
      <c r="N480" s="254">
        <v>572314</v>
      </c>
      <c r="O480" s="254" t="s">
        <v>1321</v>
      </c>
      <c r="P480" s="258">
        <v>44224</v>
      </c>
      <c r="Q480" s="259">
        <v>8316637.7599999998</v>
      </c>
      <c r="R480" s="259">
        <v>4184150.4480555565</v>
      </c>
      <c r="S480" s="254">
        <v>5</v>
      </c>
      <c r="T480" s="256">
        <v>7.0857044506559497E-2</v>
      </c>
      <c r="U480" s="256">
        <v>0.91598284431117516</v>
      </c>
      <c r="V480" s="256">
        <v>0.11786440724738201</v>
      </c>
      <c r="W480" s="256">
        <v>1.1554652984026501</v>
      </c>
      <c r="X480" s="256" t="s">
        <v>1417</v>
      </c>
      <c r="Y480" s="256" t="s">
        <v>1417</v>
      </c>
      <c r="Z480" s="256" t="s">
        <v>1417</v>
      </c>
      <c r="AA480" s="256" t="s">
        <v>1417</v>
      </c>
      <c r="AB480" s="256">
        <v>4.8517481082235803E-2</v>
      </c>
      <c r="AC480" s="260">
        <v>0.31873412000263895</v>
      </c>
      <c r="AD480" s="405">
        <v>0</v>
      </c>
      <c r="AE480" s="257" t="s">
        <v>2384</v>
      </c>
      <c r="AF480" s="257" t="s">
        <v>2109</v>
      </c>
      <c r="AG480" s="261" t="s">
        <v>1432</v>
      </c>
      <c r="AH480" s="261" t="s">
        <v>2113</v>
      </c>
      <c r="AI480" s="261">
        <v>100</v>
      </c>
      <c r="AJ480" s="261">
        <v>100</v>
      </c>
      <c r="AK480" s="261">
        <v>100</v>
      </c>
      <c r="AL480" s="256">
        <v>0.02</v>
      </c>
      <c r="AM480" s="256">
        <v>0.2</v>
      </c>
      <c r="AN480" s="256" t="s">
        <v>34</v>
      </c>
      <c r="AO480" s="254" t="s">
        <v>1324</v>
      </c>
      <c r="AP480" s="257" t="s">
        <v>13</v>
      </c>
      <c r="AQ480" s="263" t="s">
        <v>668</v>
      </c>
      <c r="AR480" s="256">
        <v>3.666666666666667E-3</v>
      </c>
      <c r="AS480" s="256">
        <v>3.666666666666667E-3</v>
      </c>
      <c r="AT480" s="256"/>
      <c r="AW480" s="508"/>
      <c r="AX480" s="508"/>
      <c r="AY480" s="509"/>
      <c r="AZ480" s="509"/>
      <c r="BA480" s="509"/>
      <c r="BB480" s="510"/>
      <c r="BC480" s="509"/>
      <c r="BD480" s="509"/>
      <c r="BE480" s="509"/>
      <c r="BF480" s="509"/>
      <c r="BG480" s="510"/>
      <c r="BH480" s="510"/>
      <c r="BI480" s="511"/>
      <c r="BJ480" s="511"/>
      <c r="BK480" s="511"/>
      <c r="BL480" s="510"/>
      <c r="BM480" s="510"/>
      <c r="BN480" s="510"/>
      <c r="BO480" s="510"/>
      <c r="BP480" s="510"/>
      <c r="BQ480" s="510"/>
      <c r="BR480" s="510"/>
      <c r="BS480" s="510"/>
      <c r="BT480" s="513"/>
      <c r="BU480" s="514"/>
      <c r="BV480" s="512"/>
      <c r="BW480" s="515"/>
    </row>
    <row r="481" spans="2:75" ht="15.75" customHeight="1">
      <c r="B481" s="250" t="s">
        <v>376</v>
      </c>
      <c r="C481" s="251">
        <v>11734024000190</v>
      </c>
      <c r="D481" s="252" t="s">
        <v>14</v>
      </c>
      <c r="E481" s="252" t="s">
        <v>607</v>
      </c>
      <c r="F481" s="252"/>
      <c r="G481" s="253"/>
      <c r="H481" s="253" t="s">
        <v>34</v>
      </c>
      <c r="I481" s="253" t="s">
        <v>34</v>
      </c>
      <c r="J481" s="253" t="s">
        <v>608</v>
      </c>
      <c r="K481" s="254" t="s">
        <v>48</v>
      </c>
      <c r="L481" s="255"/>
      <c r="M481" s="255" t="s">
        <v>34</v>
      </c>
      <c r="N481" s="254">
        <v>251666</v>
      </c>
      <c r="O481" s="254" t="s">
        <v>1321</v>
      </c>
      <c r="P481" s="258">
        <v>40365</v>
      </c>
      <c r="Q481" s="259">
        <v>13783639.550000001</v>
      </c>
      <c r="R481" s="259">
        <v>17755386.396388892</v>
      </c>
      <c r="S481" s="254">
        <v>5</v>
      </c>
      <c r="T481" s="256">
        <v>-0.21143934275700738</v>
      </c>
      <c r="U481" s="256">
        <v>-2.7333176528400065</v>
      </c>
      <c r="V481" s="256">
        <v>-0.39498080904085842</v>
      </c>
      <c r="W481" s="256">
        <v>-3.8721326398716762</v>
      </c>
      <c r="X481" s="256">
        <v>-0.42959482951554395</v>
      </c>
      <c r="Y481" s="256">
        <v>-3.2576956326493334</v>
      </c>
      <c r="Z481" s="256">
        <v>-0.32556675682038294</v>
      </c>
      <c r="AA481" s="256">
        <v>-1.8506269906882535</v>
      </c>
      <c r="AB481" s="256">
        <v>0.31336867004700242</v>
      </c>
      <c r="AC481" s="260">
        <v>-1.755685717259488</v>
      </c>
      <c r="AD481" s="405">
        <v>13003672000100</v>
      </c>
      <c r="AE481" s="257" t="s">
        <v>2396</v>
      </c>
      <c r="AF481" s="257" t="s">
        <v>2109</v>
      </c>
      <c r="AG481" s="261" t="s">
        <v>1432</v>
      </c>
      <c r="AH481" s="261" t="s">
        <v>2113</v>
      </c>
      <c r="AI481" s="261">
        <v>10000</v>
      </c>
      <c r="AJ481" s="261">
        <v>1000</v>
      </c>
      <c r="AK481" s="261">
        <v>1000</v>
      </c>
      <c r="AL481" s="256">
        <v>2.2000000000000002E-2</v>
      </c>
      <c r="AM481" s="256">
        <v>0.2</v>
      </c>
      <c r="AN481" s="256" t="s">
        <v>34</v>
      </c>
      <c r="AO481" s="254" t="s">
        <v>1324</v>
      </c>
      <c r="AP481" s="257" t="s">
        <v>716</v>
      </c>
      <c r="AQ481" s="263" t="s">
        <v>659</v>
      </c>
      <c r="AR481" s="256">
        <v>5.8666666666666659E-3</v>
      </c>
      <c r="AS481" s="256">
        <v>5.8666666666666659E-3</v>
      </c>
      <c r="AT481" s="256"/>
      <c r="AW481" s="508"/>
      <c r="AX481" s="508"/>
      <c r="AY481" s="509"/>
      <c r="AZ481" s="509"/>
      <c r="BA481" s="509"/>
      <c r="BB481" s="510"/>
      <c r="BC481" s="509"/>
      <c r="BD481" s="509"/>
      <c r="BE481" s="509"/>
      <c r="BF481" s="509"/>
      <c r="BG481" s="510"/>
      <c r="BH481" s="510"/>
      <c r="BI481" s="511"/>
      <c r="BJ481" s="511"/>
      <c r="BK481" s="511"/>
      <c r="BL481" s="510"/>
      <c r="BM481" s="510"/>
      <c r="BN481" s="510"/>
      <c r="BO481" s="510"/>
      <c r="BP481" s="510"/>
      <c r="BQ481" s="510"/>
      <c r="BR481" s="510"/>
      <c r="BS481" s="510"/>
      <c r="BT481" s="513"/>
      <c r="BU481" s="514"/>
      <c r="BV481" s="512"/>
      <c r="BW481" s="515"/>
    </row>
    <row r="482" spans="2:75" ht="15.75" customHeight="1">
      <c r="B482" s="250" t="s">
        <v>1278</v>
      </c>
      <c r="C482" s="251">
        <v>29982932000169</v>
      </c>
      <c r="D482" s="252" t="s">
        <v>14</v>
      </c>
      <c r="E482" s="252" t="s">
        <v>607</v>
      </c>
      <c r="F482" s="252"/>
      <c r="G482" s="253"/>
      <c r="H482" s="253" t="s">
        <v>34</v>
      </c>
      <c r="I482" s="253" t="s">
        <v>34</v>
      </c>
      <c r="J482" s="253" t="s">
        <v>611</v>
      </c>
      <c r="K482" s="254"/>
      <c r="L482" s="255"/>
      <c r="M482" s="255" t="s">
        <v>1414</v>
      </c>
      <c r="N482" s="254">
        <v>504467</v>
      </c>
      <c r="O482" s="254" t="s">
        <v>1321</v>
      </c>
      <c r="P482" s="258">
        <v>43685</v>
      </c>
      <c r="Q482" s="259">
        <v>16192053.09</v>
      </c>
      <c r="R482" s="259">
        <v>112073513.23853168</v>
      </c>
      <c r="S482" s="254">
        <v>5</v>
      </c>
      <c r="T482" s="256">
        <v>-0.24914513784339376</v>
      </c>
      <c r="U482" s="256">
        <v>-3.2207478253903905</v>
      </c>
      <c r="V482" s="256">
        <v>-0.17231721787594723</v>
      </c>
      <c r="W482" s="256">
        <v>-1.6892849183472933</v>
      </c>
      <c r="X482" s="256">
        <v>1.1081351187759658E-2</v>
      </c>
      <c r="Y482" s="256">
        <v>8.4031899101131888E-2</v>
      </c>
      <c r="Z482" s="256">
        <v>0.54036946262011121</v>
      </c>
      <c r="AA482" s="256">
        <v>3.0716352069698662</v>
      </c>
      <c r="AB482" s="256">
        <v>0.19551331627656945</v>
      </c>
      <c r="AC482" s="260">
        <v>-1.3664817885560863</v>
      </c>
      <c r="AD482" s="405">
        <v>0</v>
      </c>
      <c r="AE482" s="257" t="s">
        <v>2306</v>
      </c>
      <c r="AF482" s="257" t="s">
        <v>2306</v>
      </c>
      <c r="AG482" s="261" t="s">
        <v>59</v>
      </c>
      <c r="AH482" s="261" t="s">
        <v>2110</v>
      </c>
      <c r="AI482" s="261">
        <v>0</v>
      </c>
      <c r="AJ482" s="261">
        <v>0</v>
      </c>
      <c r="AK482" s="261">
        <v>0</v>
      </c>
      <c r="AL482" s="256">
        <v>6.9999999999999993E-3</v>
      </c>
      <c r="AM482" s="256" t="s">
        <v>34</v>
      </c>
      <c r="AN482" s="256" t="s">
        <v>2122</v>
      </c>
      <c r="AO482" s="254" t="s">
        <v>1324</v>
      </c>
      <c r="AP482" s="257" t="s">
        <v>716</v>
      </c>
      <c r="AQ482" s="263" t="s">
        <v>687</v>
      </c>
      <c r="AR482" s="256">
        <v>1.8666666666666666E-3</v>
      </c>
      <c r="AS482" s="256">
        <v>1.8666666666666666E-3</v>
      </c>
      <c r="AT482" s="256"/>
      <c r="AW482" s="508"/>
      <c r="AX482" s="508"/>
      <c r="AY482" s="509"/>
      <c r="AZ482" s="509"/>
      <c r="BA482" s="509"/>
      <c r="BB482" s="510"/>
      <c r="BC482" s="509"/>
      <c r="BD482" s="509"/>
      <c r="BE482" s="509"/>
      <c r="BF482" s="509"/>
      <c r="BG482" s="510"/>
      <c r="BH482" s="510"/>
      <c r="BI482" s="511"/>
      <c r="BJ482" s="511"/>
      <c r="BK482" s="511"/>
      <c r="BL482" s="195"/>
      <c r="BM482" s="510"/>
      <c r="BN482" s="510"/>
      <c r="BO482" s="510"/>
      <c r="BP482" s="510"/>
      <c r="BQ482" s="510"/>
      <c r="BR482" s="510"/>
      <c r="BS482" s="510"/>
      <c r="BT482" s="513"/>
      <c r="BU482" s="514"/>
      <c r="BV482" s="512"/>
      <c r="BW482" s="515"/>
    </row>
    <row r="483" spans="2:75" ht="15.75" customHeight="1">
      <c r="B483" s="250" t="s">
        <v>758</v>
      </c>
      <c r="C483" s="251">
        <v>43164374000155</v>
      </c>
      <c r="D483" s="252" t="s">
        <v>13</v>
      </c>
      <c r="E483" s="252" t="s">
        <v>616</v>
      </c>
      <c r="F483" s="252" t="s">
        <v>618</v>
      </c>
      <c r="G483" s="253" t="s">
        <v>34</v>
      </c>
      <c r="H483" s="253" t="s">
        <v>1338</v>
      </c>
      <c r="I483" s="253" t="s">
        <v>34</v>
      </c>
      <c r="J483" s="253" t="s">
        <v>611</v>
      </c>
      <c r="K483" s="254"/>
      <c r="L483" s="255"/>
      <c r="M483" s="255" t="s">
        <v>1414</v>
      </c>
      <c r="N483" s="254">
        <v>610933</v>
      </c>
      <c r="O483" s="254" t="s">
        <v>1321</v>
      </c>
      <c r="P483" s="258">
        <v>44441</v>
      </c>
      <c r="Q483" s="259">
        <v>3102170.59</v>
      </c>
      <c r="R483" s="259" t="s">
        <v>1417</v>
      </c>
      <c r="S483" s="254">
        <v>6</v>
      </c>
      <c r="T483" s="256">
        <v>3.7014354502272306E-2</v>
      </c>
      <c r="U483" s="256">
        <v>0.47849178516322216</v>
      </c>
      <c r="V483" s="256" t="s">
        <v>1417</v>
      </c>
      <c r="W483" s="256" t="s">
        <v>1417</v>
      </c>
      <c r="X483" s="256" t="s">
        <v>1417</v>
      </c>
      <c r="Y483" s="256" t="s">
        <v>1417</v>
      </c>
      <c r="Z483" s="256" t="s">
        <v>1417</v>
      </c>
      <c r="AA483" s="256" t="s">
        <v>1417</v>
      </c>
      <c r="AB483" s="256" t="s">
        <v>1417</v>
      </c>
      <c r="AC483" s="260" t="s">
        <v>1417</v>
      </c>
      <c r="AD483" s="405">
        <v>43279666000133</v>
      </c>
      <c r="AE483" s="257" t="s">
        <v>2144</v>
      </c>
      <c r="AF483" s="257" t="s">
        <v>2109</v>
      </c>
      <c r="AG483" s="261" t="s">
        <v>1432</v>
      </c>
      <c r="AH483" s="261" t="s">
        <v>2110</v>
      </c>
      <c r="AI483" s="261">
        <v>5000</v>
      </c>
      <c r="AJ483" s="261">
        <v>5000</v>
      </c>
      <c r="AK483" s="261">
        <v>5000</v>
      </c>
      <c r="AL483" s="519">
        <v>0.01</v>
      </c>
      <c r="AM483" s="519" t="s">
        <v>34</v>
      </c>
      <c r="AN483" s="256" t="s">
        <v>34</v>
      </c>
      <c r="AO483" s="254" t="s">
        <v>1324</v>
      </c>
      <c r="AP483" s="257" t="s">
        <v>13</v>
      </c>
      <c r="AQ483" s="263" t="s">
        <v>679</v>
      </c>
      <c r="AR483" s="256" t="s">
        <v>34</v>
      </c>
      <c r="AS483" s="256" t="s">
        <v>34</v>
      </c>
      <c r="AT483" s="256"/>
      <c r="AW483" s="508"/>
      <c r="AX483" s="508"/>
      <c r="AY483" s="509"/>
      <c r="AZ483" s="509"/>
      <c r="BA483" s="509"/>
      <c r="BB483" s="510"/>
      <c r="BC483" s="509"/>
      <c r="BD483" s="509"/>
      <c r="BE483" s="509"/>
      <c r="BF483" s="509"/>
      <c r="BG483" s="510"/>
      <c r="BH483" s="510"/>
      <c r="BI483" s="511"/>
      <c r="BJ483" s="511"/>
      <c r="BK483" s="511"/>
      <c r="BL483" s="195"/>
      <c r="BM483" s="510"/>
      <c r="BN483" s="510"/>
      <c r="BO483" s="510"/>
      <c r="BP483" s="510"/>
      <c r="BQ483" s="510"/>
      <c r="BR483" s="510"/>
      <c r="BS483" s="510"/>
      <c r="BT483" s="513"/>
      <c r="BU483" s="514"/>
      <c r="BV483" s="512"/>
      <c r="BW483" s="515"/>
    </row>
    <row r="484" spans="2:75" ht="15.75" customHeight="1">
      <c r="B484" s="250" t="s">
        <v>1269</v>
      </c>
      <c r="C484" s="251">
        <v>40936530000160</v>
      </c>
      <c r="D484" s="252" t="s">
        <v>14</v>
      </c>
      <c r="E484" s="252" t="s">
        <v>15</v>
      </c>
      <c r="F484" s="252" t="s">
        <v>699</v>
      </c>
      <c r="G484" s="253"/>
      <c r="H484" s="253" t="s">
        <v>34</v>
      </c>
      <c r="I484" s="253" t="s">
        <v>34</v>
      </c>
      <c r="J484" s="253" t="s">
        <v>611</v>
      </c>
      <c r="K484" s="254" t="s">
        <v>49</v>
      </c>
      <c r="L484" s="255"/>
      <c r="M484" s="255" t="s">
        <v>1414</v>
      </c>
      <c r="N484" s="254">
        <v>579319</v>
      </c>
      <c r="O484" s="254" t="s">
        <v>1321</v>
      </c>
      <c r="P484" s="258">
        <v>44273</v>
      </c>
      <c r="Q484" s="259">
        <v>21379247.989999998</v>
      </c>
      <c r="R484" s="259">
        <v>16086029.53746032</v>
      </c>
      <c r="S484" s="254">
        <v>6</v>
      </c>
      <c r="T484" s="256">
        <v>0.2795905991769807</v>
      </c>
      <c r="U484" s="256">
        <v>3.6143222464364619</v>
      </c>
      <c r="V484" s="256">
        <v>0.52695410760386974</v>
      </c>
      <c r="W484" s="256">
        <v>5.1659122495653316</v>
      </c>
      <c r="X484" s="256" t="s">
        <v>1417</v>
      </c>
      <c r="Y484" s="256" t="s">
        <v>1417</v>
      </c>
      <c r="Z484" s="256" t="s">
        <v>1417</v>
      </c>
      <c r="AA484" s="256" t="s">
        <v>1417</v>
      </c>
      <c r="AB484" s="256">
        <v>0.33366980207855212</v>
      </c>
      <c r="AC484" s="260">
        <v>1.1451678594725152</v>
      </c>
      <c r="AD484" s="405">
        <v>0</v>
      </c>
      <c r="AE484" s="257" t="s">
        <v>2229</v>
      </c>
      <c r="AF484" s="257" t="s">
        <v>2109</v>
      </c>
      <c r="AG484" s="261" t="s">
        <v>1432</v>
      </c>
      <c r="AH484" s="261" t="s">
        <v>2113</v>
      </c>
      <c r="AI484" s="261">
        <v>0</v>
      </c>
      <c r="AJ484" s="261">
        <v>0</v>
      </c>
      <c r="AK484" s="261">
        <v>0</v>
      </c>
      <c r="AL484" s="256">
        <v>9.0000000000000011E-3</v>
      </c>
      <c r="AM484" s="256" t="s">
        <v>34</v>
      </c>
      <c r="AN484" s="256" t="s">
        <v>34</v>
      </c>
      <c r="AO484" s="254" t="s">
        <v>1324</v>
      </c>
      <c r="AP484" s="257" t="s">
        <v>13</v>
      </c>
      <c r="AQ484" s="263" t="s">
        <v>668</v>
      </c>
      <c r="AR484" s="256">
        <v>2.9996999999999997E-3</v>
      </c>
      <c r="AS484" s="256">
        <v>2.9996999999999997E-3</v>
      </c>
      <c r="AT484" s="256"/>
      <c r="AW484" s="508"/>
      <c r="AX484" s="508"/>
      <c r="AY484" s="509"/>
      <c r="AZ484" s="509"/>
      <c r="BA484" s="509"/>
      <c r="BB484" s="510"/>
      <c r="BC484" s="509"/>
      <c r="BD484" s="509"/>
      <c r="BE484" s="509"/>
      <c r="BF484" s="509"/>
      <c r="BG484" s="510"/>
      <c r="BH484" s="510"/>
      <c r="BI484" s="511"/>
      <c r="BJ484" s="511"/>
      <c r="BK484" s="511"/>
      <c r="BL484" s="510"/>
      <c r="BM484" s="510"/>
      <c r="BN484" s="510"/>
      <c r="BO484" s="510"/>
      <c r="BP484" s="510"/>
      <c r="BQ484" s="510"/>
      <c r="BR484" s="510"/>
      <c r="BS484" s="510"/>
      <c r="BT484" s="513"/>
      <c r="BU484" s="514"/>
      <c r="BV484" s="512"/>
      <c r="BW484" s="515"/>
    </row>
    <row r="485" spans="2:75" ht="15.75" customHeight="1">
      <c r="B485" s="250" t="s">
        <v>1498</v>
      </c>
      <c r="C485" s="251">
        <v>26387057000189</v>
      </c>
      <c r="D485" s="252" t="s">
        <v>11</v>
      </c>
      <c r="E485" s="252" t="s">
        <v>620</v>
      </c>
      <c r="F485" s="252" t="s">
        <v>663</v>
      </c>
      <c r="G485" s="253" t="s">
        <v>738</v>
      </c>
      <c r="H485" s="253" t="s">
        <v>34</v>
      </c>
      <c r="I485" s="253"/>
      <c r="J485" s="253" t="s">
        <v>608</v>
      </c>
      <c r="K485" s="254" t="s">
        <v>48</v>
      </c>
      <c r="L485" s="255"/>
      <c r="M485" s="255"/>
      <c r="N485" s="254">
        <v>428515</v>
      </c>
      <c r="O485" s="254" t="s">
        <v>1321</v>
      </c>
      <c r="P485" s="258">
        <v>42691</v>
      </c>
      <c r="Q485" s="259" t="s">
        <v>1393</v>
      </c>
      <c r="R485" s="259" t="s">
        <v>1417</v>
      </c>
      <c r="S485" s="254">
        <v>6</v>
      </c>
      <c r="T485" s="256" t="s">
        <v>1417</v>
      </c>
      <c r="U485" s="256" t="s">
        <v>1417</v>
      </c>
      <c r="V485" s="256" t="s">
        <v>1417</v>
      </c>
      <c r="W485" s="256" t="s">
        <v>1417</v>
      </c>
      <c r="X485" s="256" t="s">
        <v>1417</v>
      </c>
      <c r="Y485" s="256" t="s">
        <v>1417</v>
      </c>
      <c r="Z485" s="256" t="s">
        <v>1417</v>
      </c>
      <c r="AA485" s="256" t="s">
        <v>1417</v>
      </c>
      <c r="AB485" s="256" t="s">
        <v>1417</v>
      </c>
      <c r="AC485" s="260" t="s">
        <v>1417</v>
      </c>
      <c r="AD485" s="405">
        <v>19782311000188</v>
      </c>
      <c r="AE485" s="257" t="s">
        <v>2164</v>
      </c>
      <c r="AF485" s="257" t="s">
        <v>2118</v>
      </c>
      <c r="AG485" s="261" t="s">
        <v>1433</v>
      </c>
      <c r="AH485" s="261" t="s">
        <v>2113</v>
      </c>
      <c r="AI485" s="261">
        <v>1000</v>
      </c>
      <c r="AJ485" s="261">
        <v>500</v>
      </c>
      <c r="AK485" s="261">
        <v>500</v>
      </c>
      <c r="AL485" s="519">
        <v>8.0000000000000002E-3</v>
      </c>
      <c r="AM485" s="519" t="s">
        <v>34</v>
      </c>
      <c r="AN485" s="256" t="s">
        <v>34</v>
      </c>
      <c r="AO485" s="254" t="s">
        <v>1324</v>
      </c>
      <c r="AP485" s="257" t="s">
        <v>11</v>
      </c>
      <c r="AQ485" s="263" t="s">
        <v>669</v>
      </c>
      <c r="AR485" s="256">
        <v>1.6000000000000001E-3</v>
      </c>
      <c r="AS485" s="256">
        <v>1.6000000000000001E-3</v>
      </c>
      <c r="AT485" s="256"/>
      <c r="AW485" s="508"/>
      <c r="AX485" s="508"/>
      <c r="AY485" s="509"/>
      <c r="AZ485" s="509"/>
      <c r="BA485" s="509"/>
      <c r="BB485" s="510"/>
      <c r="BC485" s="509"/>
      <c r="BD485" s="509"/>
      <c r="BE485" s="509"/>
      <c r="BF485" s="509"/>
      <c r="BG485" s="510"/>
      <c r="BH485" s="510"/>
      <c r="BI485" s="511"/>
      <c r="BJ485" s="511"/>
      <c r="BK485" s="511"/>
      <c r="BL485" s="510"/>
      <c r="BM485" s="510"/>
      <c r="BN485" s="510"/>
      <c r="BO485" s="510"/>
      <c r="BP485" s="510"/>
      <c r="BQ485" s="510"/>
      <c r="BR485" s="510"/>
      <c r="BS485" s="510"/>
      <c r="BT485" s="513"/>
      <c r="BU485" s="514"/>
      <c r="BV485" s="512"/>
      <c r="BW485" s="515"/>
    </row>
    <row r="486" spans="2:75" ht="15.75" customHeight="1">
      <c r="B486" s="250" t="s">
        <v>799</v>
      </c>
      <c r="C486" s="251">
        <v>33824820000157</v>
      </c>
      <c r="D486" s="252" t="s">
        <v>11</v>
      </c>
      <c r="E486" s="252" t="s">
        <v>661</v>
      </c>
      <c r="F486" s="252" t="s">
        <v>663</v>
      </c>
      <c r="G486" s="253"/>
      <c r="H486" s="253" t="s">
        <v>34</v>
      </c>
      <c r="I486" s="253"/>
      <c r="J486" s="253" t="s">
        <v>611</v>
      </c>
      <c r="K486" s="254" t="s">
        <v>48</v>
      </c>
      <c r="L486" s="255"/>
      <c r="M486" s="255" t="s">
        <v>1414</v>
      </c>
      <c r="N486" s="254">
        <v>505323</v>
      </c>
      <c r="O486" s="254" t="s">
        <v>1321</v>
      </c>
      <c r="P486" s="258">
        <v>43699</v>
      </c>
      <c r="Q486" s="259">
        <v>3353878.37</v>
      </c>
      <c r="R486" s="259">
        <v>5038694.8292063456</v>
      </c>
      <c r="S486" s="254">
        <v>6</v>
      </c>
      <c r="T486" s="256">
        <v>3.2429926893872807E-2</v>
      </c>
      <c r="U486" s="256">
        <v>0.41922799467458965</v>
      </c>
      <c r="V486" s="256">
        <v>5.0472816644866914E-2</v>
      </c>
      <c r="W486" s="256">
        <v>0.4948023708580504</v>
      </c>
      <c r="X486" s="256">
        <v>9.9707846867016725E-2</v>
      </c>
      <c r="Y486" s="256">
        <v>0.75610271577487898</v>
      </c>
      <c r="Z486" s="256">
        <v>0.17823287155629619</v>
      </c>
      <c r="AA486" s="256">
        <v>1.0131334229309243</v>
      </c>
      <c r="AB486" s="256">
        <v>2.3023975168454124E-2</v>
      </c>
      <c r="AC486" s="260">
        <v>-2.069257987716508</v>
      </c>
      <c r="AD486" s="405">
        <v>32841087000116</v>
      </c>
      <c r="AE486" s="257" t="s">
        <v>2169</v>
      </c>
      <c r="AF486" s="257" t="s">
        <v>2169</v>
      </c>
      <c r="AG486" s="261" t="s">
        <v>1435</v>
      </c>
      <c r="AH486" s="261" t="s">
        <v>2110</v>
      </c>
      <c r="AI486" s="261">
        <v>25000</v>
      </c>
      <c r="AJ486" s="261" t="s">
        <v>1427</v>
      </c>
      <c r="AK486" s="261" t="s">
        <v>1427</v>
      </c>
      <c r="AL486" s="256">
        <v>5.0000000000000001E-3</v>
      </c>
      <c r="AM486" s="256">
        <v>0.2</v>
      </c>
      <c r="AN486" s="256" t="s">
        <v>64</v>
      </c>
      <c r="AO486" s="254" t="s">
        <v>1324</v>
      </c>
      <c r="AP486" s="257" t="s">
        <v>11</v>
      </c>
      <c r="AQ486" s="263" t="s">
        <v>2133</v>
      </c>
      <c r="AR486" s="256">
        <v>1.6665E-3</v>
      </c>
      <c r="AS486" s="256">
        <v>1.6665E-3</v>
      </c>
      <c r="AT486" s="256"/>
      <c r="AW486" s="508"/>
      <c r="AX486" s="508"/>
      <c r="AY486" s="509"/>
      <c r="AZ486" s="509"/>
      <c r="BA486" s="509"/>
      <c r="BB486" s="510"/>
      <c r="BC486" s="509"/>
      <c r="BD486" s="509"/>
      <c r="BE486" s="509"/>
      <c r="BF486" s="509"/>
      <c r="BG486" s="510"/>
      <c r="BH486" s="510"/>
      <c r="BI486" s="511"/>
      <c r="BJ486" s="511"/>
      <c r="BK486" s="511"/>
      <c r="BL486" s="195"/>
      <c r="BM486" s="510"/>
      <c r="BN486" s="510"/>
      <c r="BO486" s="510"/>
      <c r="BP486" s="510"/>
      <c r="BQ486" s="510"/>
      <c r="BR486" s="510"/>
      <c r="BS486" s="510"/>
      <c r="BT486" s="513"/>
      <c r="BU486" s="514"/>
      <c r="BV486" s="512"/>
      <c r="BW486" s="515"/>
    </row>
    <row r="487" spans="2:75" ht="15.75" customHeight="1">
      <c r="B487" s="250" t="s">
        <v>1109</v>
      </c>
      <c r="C487" s="251">
        <v>30606457000105</v>
      </c>
      <c r="D487" s="252" t="s">
        <v>11</v>
      </c>
      <c r="E487" s="252" t="s">
        <v>620</v>
      </c>
      <c r="F487" s="252" t="s">
        <v>663</v>
      </c>
      <c r="G487" s="253" t="s">
        <v>738</v>
      </c>
      <c r="H487" s="253" t="s">
        <v>34</v>
      </c>
      <c r="I487" s="253"/>
      <c r="J487" s="253" t="s">
        <v>608</v>
      </c>
      <c r="K487" s="254" t="s">
        <v>48</v>
      </c>
      <c r="L487" s="255"/>
      <c r="M487" s="255" t="s">
        <v>1414</v>
      </c>
      <c r="N487" s="254">
        <v>488704</v>
      </c>
      <c r="O487" s="254" t="s">
        <v>1321</v>
      </c>
      <c r="P487" s="258">
        <v>43524</v>
      </c>
      <c r="Q487" s="259">
        <v>7331798.9699999997</v>
      </c>
      <c r="R487" s="259">
        <v>6773349.0717857191</v>
      </c>
      <c r="S487" s="254">
        <v>6</v>
      </c>
      <c r="T487" s="256">
        <v>9.1916229638696612E-2</v>
      </c>
      <c r="U487" s="256">
        <v>1.1882190408748752</v>
      </c>
      <c r="V487" s="256">
        <v>0.12350395803272374</v>
      </c>
      <c r="W487" s="256">
        <v>1.2107517532639969</v>
      </c>
      <c r="X487" s="256">
        <v>0.17357162425407835</v>
      </c>
      <c r="Y487" s="256">
        <v>1.316225157835385</v>
      </c>
      <c r="Z487" s="256">
        <v>0.1842390153910094</v>
      </c>
      <c r="AA487" s="256">
        <v>1.0472742916087678</v>
      </c>
      <c r="AB487" s="256">
        <v>9.3258677941891136E-3</v>
      </c>
      <c r="AC487" s="260">
        <v>2.0770654162125228</v>
      </c>
      <c r="AD487" s="405">
        <v>0</v>
      </c>
      <c r="AE487" s="257" t="s">
        <v>2349</v>
      </c>
      <c r="AF487" s="257" t="s">
        <v>2109</v>
      </c>
      <c r="AG487" s="261" t="s">
        <v>1432</v>
      </c>
      <c r="AH487" s="261" t="s">
        <v>2113</v>
      </c>
      <c r="AI487" s="261">
        <v>0</v>
      </c>
      <c r="AJ487" s="261">
        <v>0</v>
      </c>
      <c r="AK487" s="261">
        <v>0</v>
      </c>
      <c r="AL487" s="256">
        <v>5.0000000000000001E-3</v>
      </c>
      <c r="AM487" s="256">
        <v>0.2</v>
      </c>
      <c r="AN487" s="256" t="s">
        <v>64</v>
      </c>
      <c r="AO487" s="254" t="s">
        <v>1324</v>
      </c>
      <c r="AP487" s="257" t="s">
        <v>13</v>
      </c>
      <c r="AQ487" s="263" t="s">
        <v>668</v>
      </c>
      <c r="AR487" s="256">
        <v>1E-3</v>
      </c>
      <c r="AS487" s="256">
        <v>1E-3</v>
      </c>
      <c r="AT487" s="256"/>
      <c r="AW487" s="508"/>
      <c r="AX487" s="508"/>
      <c r="AY487" s="509"/>
      <c r="AZ487" s="509"/>
      <c r="BA487" s="509"/>
      <c r="BB487" s="510"/>
      <c r="BC487" s="509"/>
      <c r="BD487" s="509"/>
      <c r="BE487" s="509"/>
      <c r="BF487" s="509"/>
      <c r="BG487" s="510"/>
      <c r="BH487" s="510"/>
      <c r="BI487" s="511"/>
      <c r="BJ487" s="511"/>
      <c r="BK487" s="511"/>
      <c r="BL487" s="510"/>
      <c r="BM487" s="510"/>
      <c r="BN487" s="510"/>
      <c r="BO487" s="510"/>
      <c r="BP487" s="510"/>
      <c r="BQ487" s="510"/>
      <c r="BR487" s="510"/>
      <c r="BS487" s="510"/>
      <c r="BT487" s="513"/>
      <c r="BU487" s="514"/>
      <c r="BV487" s="512"/>
      <c r="BW487" s="515"/>
    </row>
    <row r="488" spans="2:75" ht="15.75" customHeight="1">
      <c r="B488" s="250" t="s">
        <v>970</v>
      </c>
      <c r="C488" s="251">
        <v>33736873000116</v>
      </c>
      <c r="D488" s="252" t="s">
        <v>14</v>
      </c>
      <c r="E488" s="252" t="s">
        <v>15</v>
      </c>
      <c r="F488" s="252" t="s">
        <v>701</v>
      </c>
      <c r="G488" s="253"/>
      <c r="H488" s="253" t="s">
        <v>34</v>
      </c>
      <c r="I488" s="253" t="s">
        <v>34</v>
      </c>
      <c r="J488" s="253" t="s">
        <v>611</v>
      </c>
      <c r="K488" s="254" t="s">
        <v>49</v>
      </c>
      <c r="L488" s="255"/>
      <c r="M488" s="255" t="s">
        <v>34</v>
      </c>
      <c r="N488" s="254">
        <v>501506</v>
      </c>
      <c r="O488" s="254" t="s">
        <v>1321</v>
      </c>
      <c r="P488" s="258">
        <v>43647</v>
      </c>
      <c r="Q488" s="259">
        <v>259085490.81</v>
      </c>
      <c r="R488" s="259">
        <v>402770981.76206374</v>
      </c>
      <c r="S488" s="254">
        <v>6</v>
      </c>
      <c r="T488" s="256">
        <v>-9.6560033168201054E-2</v>
      </c>
      <c r="U488" s="256">
        <v>-1.2482503954847046</v>
      </c>
      <c r="V488" s="256">
        <v>-6.2100211893604373E-2</v>
      </c>
      <c r="W488" s="256">
        <v>-0.60878972322753688</v>
      </c>
      <c r="X488" s="256">
        <v>0.31651199474834213</v>
      </c>
      <c r="Y488" s="256">
        <v>2.4001679539196941</v>
      </c>
      <c r="Z488" s="256">
        <v>0.53457118376331025</v>
      </c>
      <c r="AA488" s="256">
        <v>3.0386759102138621</v>
      </c>
      <c r="AB488" s="256">
        <v>0.12908899631256865</v>
      </c>
      <c r="AC488" s="260">
        <v>-1.1846865448102082</v>
      </c>
      <c r="AD488" s="405">
        <v>33736782000180</v>
      </c>
      <c r="AE488" s="257" t="s">
        <v>2267</v>
      </c>
      <c r="AF488" s="257" t="s">
        <v>2109</v>
      </c>
      <c r="AG488" s="261" t="s">
        <v>1432</v>
      </c>
      <c r="AH488" s="261" t="s">
        <v>2113</v>
      </c>
      <c r="AI488" s="261">
        <v>500</v>
      </c>
      <c r="AJ488" s="261">
        <v>100</v>
      </c>
      <c r="AK488" s="261">
        <v>100</v>
      </c>
      <c r="AL488" s="256">
        <v>0.01</v>
      </c>
      <c r="AM488" s="256" t="s">
        <v>34</v>
      </c>
      <c r="AN488" s="256" t="s">
        <v>64</v>
      </c>
      <c r="AO488" s="254" t="s">
        <v>1324</v>
      </c>
      <c r="AP488" s="257" t="s">
        <v>13</v>
      </c>
      <c r="AQ488" s="263" t="s">
        <v>671</v>
      </c>
      <c r="AR488" s="256">
        <v>4.5333333333333337E-3</v>
      </c>
      <c r="AS488" s="256">
        <v>4.5333333333333337E-3</v>
      </c>
      <c r="AT488" s="256"/>
      <c r="AW488" s="508"/>
      <c r="AX488" s="508"/>
      <c r="AY488" s="509"/>
      <c r="AZ488" s="509"/>
      <c r="BA488" s="509"/>
      <c r="BB488" s="510"/>
      <c r="BC488" s="509"/>
      <c r="BD488" s="509"/>
      <c r="BE488" s="509"/>
      <c r="BF488" s="509"/>
      <c r="BG488" s="510"/>
      <c r="BH488" s="510"/>
      <c r="BI488" s="511"/>
      <c r="BJ488" s="511"/>
      <c r="BK488" s="511"/>
      <c r="BL488" s="510"/>
      <c r="BM488" s="510"/>
      <c r="BN488" s="510"/>
      <c r="BO488" s="510"/>
      <c r="BP488" s="510"/>
      <c r="BQ488" s="510"/>
      <c r="BR488" s="510"/>
      <c r="BS488" s="510"/>
      <c r="BT488" s="513"/>
      <c r="BU488" s="514"/>
      <c r="BV488" s="512"/>
      <c r="BW488" s="515"/>
    </row>
    <row r="489" spans="2:75" ht="15.75" customHeight="1">
      <c r="B489" s="250" t="s">
        <v>971</v>
      </c>
      <c r="C489" s="251">
        <v>35088108000162</v>
      </c>
      <c r="D489" s="252" t="s">
        <v>14</v>
      </c>
      <c r="E489" s="252" t="s">
        <v>15</v>
      </c>
      <c r="F489" s="252" t="s">
        <v>701</v>
      </c>
      <c r="G489" s="253"/>
      <c r="H489" s="253" t="s">
        <v>34</v>
      </c>
      <c r="I489" s="253" t="s">
        <v>34</v>
      </c>
      <c r="J489" s="253" t="s">
        <v>611</v>
      </c>
      <c r="K489" s="254" t="s">
        <v>49</v>
      </c>
      <c r="L489" s="255"/>
      <c r="M489" s="255" t="s">
        <v>34</v>
      </c>
      <c r="N489" s="254">
        <v>518514</v>
      </c>
      <c r="O489" s="254" t="s">
        <v>1321</v>
      </c>
      <c r="P489" s="258">
        <v>43811</v>
      </c>
      <c r="Q489" s="259">
        <v>206224539.11000001</v>
      </c>
      <c r="R489" s="259">
        <v>336582612.66944426</v>
      </c>
      <c r="S489" s="254">
        <v>6</v>
      </c>
      <c r="T489" s="256">
        <v>-0.25105081611908808</v>
      </c>
      <c r="U489" s="256">
        <v>-3.2453829004131838</v>
      </c>
      <c r="V489" s="256">
        <v>-0.21384128294086346</v>
      </c>
      <c r="W489" s="256">
        <v>-2.0963596014653407</v>
      </c>
      <c r="X489" s="256">
        <v>0.49878728414776008</v>
      </c>
      <c r="Y489" s="256">
        <v>3.7823945856647856</v>
      </c>
      <c r="Z489" s="256" t="s">
        <v>1417</v>
      </c>
      <c r="AA489" s="256" t="s">
        <v>1417</v>
      </c>
      <c r="AB489" s="256">
        <v>0.25660955581053263</v>
      </c>
      <c r="AC489" s="260">
        <v>-1.1871552079913059</v>
      </c>
      <c r="AD489" s="405">
        <v>35001472000143</v>
      </c>
      <c r="AE489" s="257" t="s">
        <v>2267</v>
      </c>
      <c r="AF489" s="257" t="s">
        <v>2109</v>
      </c>
      <c r="AG489" s="261" t="s">
        <v>1432</v>
      </c>
      <c r="AH489" s="261" t="s">
        <v>2113</v>
      </c>
      <c r="AI489" s="261">
        <v>500</v>
      </c>
      <c r="AJ489" s="261">
        <v>100</v>
      </c>
      <c r="AK489" s="261">
        <v>100</v>
      </c>
      <c r="AL489" s="256">
        <v>0.01</v>
      </c>
      <c r="AM489" s="256" t="s">
        <v>34</v>
      </c>
      <c r="AN489" s="256" t="s">
        <v>64</v>
      </c>
      <c r="AO489" s="254" t="s">
        <v>1324</v>
      </c>
      <c r="AP489" s="257" t="s">
        <v>13</v>
      </c>
      <c r="AQ489" s="263" t="s">
        <v>671</v>
      </c>
      <c r="AR489" s="256">
        <v>5.0000000000000001E-3</v>
      </c>
      <c r="AS489" s="256">
        <v>5.0000000000000001E-3</v>
      </c>
      <c r="AT489" s="256"/>
      <c r="AW489" s="508"/>
      <c r="AX489" s="508"/>
      <c r="AY489" s="509"/>
      <c r="AZ489" s="509"/>
      <c r="BA489" s="509"/>
      <c r="BB489" s="510"/>
      <c r="BC489" s="509"/>
      <c r="BD489" s="509"/>
      <c r="BE489" s="509"/>
      <c r="BF489" s="509"/>
      <c r="BG489" s="510"/>
      <c r="BH489" s="510"/>
      <c r="BI489" s="511"/>
      <c r="BJ489" s="511"/>
      <c r="BK489" s="511"/>
      <c r="BL489" s="510"/>
      <c r="BM489" s="510"/>
      <c r="BN489" s="510"/>
      <c r="BO489" s="510"/>
      <c r="BP489" s="510"/>
      <c r="BQ489" s="510"/>
      <c r="BR489" s="510"/>
      <c r="BS489" s="510"/>
      <c r="BT489" s="513"/>
      <c r="BU489" s="514"/>
      <c r="BV489" s="512"/>
      <c r="BW489" s="515"/>
    </row>
    <row r="490" spans="2:75" ht="15.75" customHeight="1">
      <c r="B490" s="250" t="s">
        <v>972</v>
      </c>
      <c r="C490" s="251">
        <v>36986672000165</v>
      </c>
      <c r="D490" s="252" t="s">
        <v>14</v>
      </c>
      <c r="E490" s="252" t="s">
        <v>15</v>
      </c>
      <c r="F490" s="252" t="s">
        <v>701</v>
      </c>
      <c r="G490" s="253"/>
      <c r="H490" s="253" t="s">
        <v>34</v>
      </c>
      <c r="I490" s="253" t="s">
        <v>34</v>
      </c>
      <c r="J490" s="253" t="s">
        <v>611</v>
      </c>
      <c r="K490" s="254" t="s">
        <v>49</v>
      </c>
      <c r="L490" s="255"/>
      <c r="M490" s="255" t="s">
        <v>1414</v>
      </c>
      <c r="N490" s="254">
        <v>555071</v>
      </c>
      <c r="O490" s="254" t="s">
        <v>1321</v>
      </c>
      <c r="P490" s="258">
        <v>44105</v>
      </c>
      <c r="Q490" s="259">
        <v>104287764.14</v>
      </c>
      <c r="R490" s="259">
        <v>232097163.1301586</v>
      </c>
      <c r="S490" s="254">
        <v>6</v>
      </c>
      <c r="T490" s="256">
        <v>-0.60371896255001789</v>
      </c>
      <c r="U490" s="256">
        <v>-7.8043928635770907</v>
      </c>
      <c r="V490" s="256">
        <v>-0.57394441271262897</v>
      </c>
      <c r="W490" s="256">
        <v>-5.6265743627727947</v>
      </c>
      <c r="X490" s="256" t="s">
        <v>1417</v>
      </c>
      <c r="Y490" s="256" t="s">
        <v>1417</v>
      </c>
      <c r="Z490" s="256" t="s">
        <v>1417</v>
      </c>
      <c r="AA490" s="256" t="s">
        <v>1417</v>
      </c>
      <c r="AB490" s="256">
        <v>0.634367092718778</v>
      </c>
      <c r="AC490" s="260">
        <v>-1.1753173727808952</v>
      </c>
      <c r="AD490" s="405">
        <v>38167819000110</v>
      </c>
      <c r="AE490" s="257" t="s">
        <v>2267</v>
      </c>
      <c r="AF490" s="257" t="s">
        <v>2109</v>
      </c>
      <c r="AG490" s="261" t="s">
        <v>1432</v>
      </c>
      <c r="AH490" s="261" t="s">
        <v>2113</v>
      </c>
      <c r="AI490" s="261">
        <v>500</v>
      </c>
      <c r="AJ490" s="261">
        <v>100</v>
      </c>
      <c r="AK490" s="261">
        <v>100</v>
      </c>
      <c r="AL490" s="256">
        <v>6.9999999999999993E-3</v>
      </c>
      <c r="AM490" s="256" t="s">
        <v>34</v>
      </c>
      <c r="AN490" s="256" t="s">
        <v>2122</v>
      </c>
      <c r="AO490" s="254" t="s">
        <v>1324</v>
      </c>
      <c r="AP490" s="257" t="s">
        <v>13</v>
      </c>
      <c r="AQ490" s="263" t="s">
        <v>671</v>
      </c>
      <c r="AR490" s="256">
        <v>3.4999999999999996E-3</v>
      </c>
      <c r="AS490" s="256">
        <v>3.4999999999999996E-3</v>
      </c>
      <c r="AT490" s="256"/>
      <c r="AW490" s="508"/>
      <c r="AX490" s="508"/>
      <c r="AY490" s="509"/>
      <c r="AZ490" s="509"/>
      <c r="BA490" s="509"/>
      <c r="BB490" s="510"/>
      <c r="BC490" s="509"/>
      <c r="BD490" s="509"/>
      <c r="BE490" s="509"/>
      <c r="BF490" s="509"/>
      <c r="BG490" s="510"/>
      <c r="BH490" s="510"/>
      <c r="BI490" s="511"/>
      <c r="BJ490" s="511"/>
      <c r="BK490" s="511"/>
      <c r="BL490" s="510"/>
      <c r="BM490" s="510"/>
      <c r="BN490" s="510"/>
      <c r="BO490" s="510"/>
      <c r="BP490" s="510"/>
      <c r="BQ490" s="510"/>
      <c r="BR490" s="510"/>
      <c r="BS490" s="510"/>
      <c r="BT490" s="513"/>
      <c r="BU490" s="514"/>
      <c r="BV490" s="512"/>
      <c r="BW490" s="515"/>
    </row>
    <row r="491" spans="2:75" ht="15.75" customHeight="1">
      <c r="B491" s="250" t="s">
        <v>222</v>
      </c>
      <c r="C491" s="251">
        <v>39957930000173</v>
      </c>
      <c r="D491" s="252" t="s">
        <v>14</v>
      </c>
      <c r="E491" s="252" t="s">
        <v>15</v>
      </c>
      <c r="F491" s="252" t="s">
        <v>701</v>
      </c>
      <c r="G491" s="253"/>
      <c r="H491" s="253" t="s">
        <v>34</v>
      </c>
      <c r="I491" s="253" t="s">
        <v>34</v>
      </c>
      <c r="J491" s="253" t="s">
        <v>611</v>
      </c>
      <c r="K491" s="254" t="s">
        <v>49</v>
      </c>
      <c r="L491" s="255"/>
      <c r="M491" s="255" t="s">
        <v>1414</v>
      </c>
      <c r="N491" s="254">
        <v>568929</v>
      </c>
      <c r="O491" s="254" t="s">
        <v>1321</v>
      </c>
      <c r="P491" s="258">
        <v>44195</v>
      </c>
      <c r="Q491" s="259">
        <v>2827565.02</v>
      </c>
      <c r="R491" s="259">
        <v>4095331.7281746049</v>
      </c>
      <c r="S491" s="254">
        <v>6</v>
      </c>
      <c r="T491" s="256">
        <v>-0.24673205410150556</v>
      </c>
      <c r="U491" s="256">
        <v>-3.1895534208700158</v>
      </c>
      <c r="V491" s="256">
        <v>-0.17627087546005682</v>
      </c>
      <c r="W491" s="256">
        <v>-1.7280439826559679</v>
      </c>
      <c r="X491" s="256" t="s">
        <v>1417</v>
      </c>
      <c r="Y491" s="256" t="s">
        <v>1417</v>
      </c>
      <c r="Z491" s="256" t="s">
        <v>1417</v>
      </c>
      <c r="AA491" s="256" t="s">
        <v>1417</v>
      </c>
      <c r="AB491" s="256">
        <v>0.18620723277785445</v>
      </c>
      <c r="AC491" s="260">
        <v>-1.4699231115886904</v>
      </c>
      <c r="AD491" s="405">
        <v>0</v>
      </c>
      <c r="AE491" s="257" t="s">
        <v>2267</v>
      </c>
      <c r="AF491" s="257" t="s">
        <v>2109</v>
      </c>
      <c r="AG491" s="261" t="s">
        <v>1432</v>
      </c>
      <c r="AH491" s="261" t="s">
        <v>2113</v>
      </c>
      <c r="AI491" s="261">
        <v>0</v>
      </c>
      <c r="AJ491" s="261">
        <v>0</v>
      </c>
      <c r="AK491" s="261">
        <v>0</v>
      </c>
      <c r="AL491" s="256">
        <v>1.3500000000000002E-2</v>
      </c>
      <c r="AM491" s="256">
        <v>0.2</v>
      </c>
      <c r="AN491" s="256" t="s">
        <v>34</v>
      </c>
      <c r="AO491" s="254" t="s">
        <v>1324</v>
      </c>
      <c r="AP491" s="257" t="s">
        <v>13</v>
      </c>
      <c r="AQ491" s="263" t="s">
        <v>671</v>
      </c>
      <c r="AR491" s="256">
        <v>1.8E-3</v>
      </c>
      <c r="AS491" s="256">
        <v>1.8E-3</v>
      </c>
      <c r="AT491" s="256"/>
      <c r="AW491" s="508"/>
      <c r="AX491" s="508"/>
      <c r="AY491" s="509"/>
      <c r="AZ491" s="509"/>
      <c r="BA491" s="509"/>
      <c r="BB491" s="510"/>
      <c r="BC491" s="509"/>
      <c r="BD491" s="509"/>
      <c r="BE491" s="509"/>
      <c r="BF491" s="509"/>
      <c r="BG491" s="510"/>
      <c r="BH491" s="510"/>
      <c r="BI491" s="511"/>
      <c r="BJ491" s="511"/>
      <c r="BK491" s="511"/>
      <c r="BL491" s="510"/>
      <c r="BM491" s="510"/>
      <c r="BN491" s="510"/>
      <c r="BO491" s="510"/>
      <c r="BP491" s="510"/>
      <c r="BQ491" s="510"/>
      <c r="BR491" s="510"/>
      <c r="BS491" s="510"/>
      <c r="BT491" s="513"/>
      <c r="BU491" s="514"/>
      <c r="BV491" s="512"/>
      <c r="BW491" s="515"/>
    </row>
    <row r="492" spans="2:75" ht="15.75" customHeight="1">
      <c r="B492" s="250" t="s">
        <v>106</v>
      </c>
      <c r="C492" s="251">
        <v>9141893000160</v>
      </c>
      <c r="D492" s="252" t="s">
        <v>13</v>
      </c>
      <c r="E492" s="252" t="s">
        <v>616</v>
      </c>
      <c r="F492" s="252" t="s">
        <v>617</v>
      </c>
      <c r="G492" s="253" t="s">
        <v>34</v>
      </c>
      <c r="H492" s="253" t="s">
        <v>1337</v>
      </c>
      <c r="I492" s="253" t="s">
        <v>34</v>
      </c>
      <c r="J492" s="253" t="s">
        <v>608</v>
      </c>
      <c r="K492" s="254" t="s">
        <v>48</v>
      </c>
      <c r="L492" s="255"/>
      <c r="M492" s="255" t="s">
        <v>34</v>
      </c>
      <c r="N492" s="254">
        <v>198978</v>
      </c>
      <c r="O492" s="254" t="s">
        <v>1321</v>
      </c>
      <c r="P492" s="258">
        <v>39416</v>
      </c>
      <c r="Q492" s="259">
        <v>30552192.59</v>
      </c>
      <c r="R492" s="259">
        <v>41940443.126587331</v>
      </c>
      <c r="S492" s="254">
        <v>6</v>
      </c>
      <c r="T492" s="256">
        <v>5.9660560365399018E-2</v>
      </c>
      <c r="U492" s="256">
        <v>0.77124370847330193</v>
      </c>
      <c r="V492" s="256">
        <v>8.4827618470011412E-2</v>
      </c>
      <c r="W492" s="256">
        <v>0.83159430210781471</v>
      </c>
      <c r="X492" s="256">
        <v>7.7397797267949153E-2</v>
      </c>
      <c r="Y492" s="256">
        <v>0.58692155680927116</v>
      </c>
      <c r="Z492" s="256">
        <v>9.8547713726043096E-2</v>
      </c>
      <c r="AA492" s="256">
        <v>0.56017715283090774</v>
      </c>
      <c r="AB492" s="256">
        <v>2.4581803688000919E-2</v>
      </c>
      <c r="AC492" s="260">
        <v>-0.62716811051878707</v>
      </c>
      <c r="AD492" s="405">
        <v>13812152000130</v>
      </c>
      <c r="AE492" s="257" t="s">
        <v>2164</v>
      </c>
      <c r="AF492" s="257" t="s">
        <v>2118</v>
      </c>
      <c r="AG492" s="261" t="s">
        <v>1433</v>
      </c>
      <c r="AH492" s="261" t="s">
        <v>2113</v>
      </c>
      <c r="AI492" s="261">
        <v>1000</v>
      </c>
      <c r="AJ492" s="261">
        <v>500</v>
      </c>
      <c r="AK492" s="261">
        <v>500</v>
      </c>
      <c r="AL492" s="519">
        <v>1.4999999999999999E-2</v>
      </c>
      <c r="AM492" s="519">
        <v>0.2</v>
      </c>
      <c r="AN492" s="256" t="s">
        <v>64</v>
      </c>
      <c r="AO492" s="254" t="s">
        <v>1324</v>
      </c>
      <c r="AP492" s="257" t="s">
        <v>13</v>
      </c>
      <c r="AQ492" s="263" t="s">
        <v>668</v>
      </c>
      <c r="AR492" s="256">
        <v>4.0000000000000001E-3</v>
      </c>
      <c r="AS492" s="256">
        <v>4.0000000000000001E-3</v>
      </c>
      <c r="AT492" s="256"/>
      <c r="AW492" s="508"/>
      <c r="AX492" s="508"/>
      <c r="AY492" s="509"/>
      <c r="AZ492" s="509"/>
      <c r="BA492" s="509"/>
      <c r="BB492" s="509"/>
      <c r="BC492" s="509"/>
      <c r="BD492" s="509"/>
      <c r="BE492" s="509"/>
      <c r="BF492" s="509"/>
      <c r="BG492" s="510"/>
      <c r="BH492" s="510"/>
      <c r="BI492" s="511"/>
      <c r="BJ492" s="511"/>
      <c r="BK492" s="511"/>
      <c r="BL492" s="195"/>
      <c r="BM492" s="510"/>
      <c r="BN492" s="510"/>
      <c r="BO492" s="510"/>
      <c r="BP492" s="510"/>
      <c r="BQ492" s="510"/>
      <c r="BR492" s="510"/>
      <c r="BS492" s="510"/>
      <c r="BT492" s="510"/>
      <c r="BU492" s="510"/>
      <c r="BV492" s="512"/>
      <c r="BW492" s="509"/>
    </row>
    <row r="493" spans="2:75" ht="15.75" customHeight="1">
      <c r="B493" s="250" t="s">
        <v>399</v>
      </c>
      <c r="C493" s="251">
        <v>40575693000165</v>
      </c>
      <c r="D493" s="252" t="s">
        <v>13</v>
      </c>
      <c r="E493" s="252" t="s">
        <v>616</v>
      </c>
      <c r="F493" s="252" t="s">
        <v>617</v>
      </c>
      <c r="G493" s="253" t="s">
        <v>34</v>
      </c>
      <c r="H493" s="253" t="s">
        <v>1338</v>
      </c>
      <c r="I493" s="253" t="s">
        <v>34</v>
      </c>
      <c r="J493" s="253" t="s">
        <v>608</v>
      </c>
      <c r="K493" s="254" t="s">
        <v>48</v>
      </c>
      <c r="L493" s="255"/>
      <c r="M493" s="255" t="s">
        <v>34</v>
      </c>
      <c r="N493" s="254">
        <v>573019</v>
      </c>
      <c r="O493" s="254" t="s">
        <v>1321</v>
      </c>
      <c r="P493" s="258">
        <v>44232</v>
      </c>
      <c r="Q493" s="259">
        <v>30181279.850000001</v>
      </c>
      <c r="R493" s="259">
        <v>52586115.885515846</v>
      </c>
      <c r="S493" s="254">
        <v>6</v>
      </c>
      <c r="T493" s="256">
        <v>8.841042411036204E-2</v>
      </c>
      <c r="U493" s="256">
        <v>1.142898808542175</v>
      </c>
      <c r="V493" s="256">
        <v>0.10845069717193168</v>
      </c>
      <c r="W493" s="256">
        <v>1.0631794627086191</v>
      </c>
      <c r="X493" s="256" t="s">
        <v>1417</v>
      </c>
      <c r="Y493" s="256" t="s">
        <v>1417</v>
      </c>
      <c r="Z493" s="256" t="s">
        <v>1417</v>
      </c>
      <c r="AA493" s="256" t="s">
        <v>1417</v>
      </c>
      <c r="AB493" s="256">
        <v>0.17061379112804997</v>
      </c>
      <c r="AC493" s="260">
        <v>0.11892806287523149</v>
      </c>
      <c r="AD493" s="405">
        <v>0</v>
      </c>
      <c r="AE493" s="257" t="s">
        <v>2410</v>
      </c>
      <c r="AF493" s="257" t="s">
        <v>2109</v>
      </c>
      <c r="AG493" s="261" t="s">
        <v>1432</v>
      </c>
      <c r="AH493" s="261" t="s">
        <v>2113</v>
      </c>
      <c r="AI493" s="261">
        <v>5000</v>
      </c>
      <c r="AJ493" s="261">
        <v>1000</v>
      </c>
      <c r="AK493" s="261">
        <v>5000</v>
      </c>
      <c r="AL493" s="256">
        <v>0.02</v>
      </c>
      <c r="AM493" s="256">
        <v>0.2</v>
      </c>
      <c r="AN493" s="256" t="s">
        <v>64</v>
      </c>
      <c r="AO493" s="254" t="s">
        <v>1324</v>
      </c>
      <c r="AP493" s="257" t="s">
        <v>13</v>
      </c>
      <c r="AQ493" s="263" t="s">
        <v>674</v>
      </c>
      <c r="AR493" s="256">
        <v>6.6666666666666662E-3</v>
      </c>
      <c r="AS493" s="256">
        <v>6.6666666666666662E-3</v>
      </c>
      <c r="AT493" s="256"/>
      <c r="AW493" s="508"/>
      <c r="AX493" s="508"/>
      <c r="AY493" s="509"/>
      <c r="AZ493" s="509"/>
      <c r="BA493" s="509"/>
      <c r="BB493" s="509"/>
      <c r="BC493" s="509"/>
      <c r="BD493" s="509"/>
      <c r="BE493" s="509"/>
      <c r="BF493" s="509"/>
      <c r="BG493" s="510"/>
      <c r="BH493" s="510"/>
      <c r="BI493" s="511"/>
      <c r="BJ493" s="511"/>
      <c r="BK493" s="511"/>
      <c r="BL493" s="195"/>
      <c r="BM493" s="510"/>
      <c r="BN493" s="510"/>
      <c r="BO493" s="510"/>
      <c r="BP493" s="510"/>
      <c r="BQ493" s="510"/>
      <c r="BR493" s="510"/>
      <c r="BS493" s="510"/>
      <c r="BT493" s="510"/>
      <c r="BU493" s="510"/>
      <c r="BV493" s="512"/>
      <c r="BW493" s="509"/>
    </row>
    <row r="494" spans="2:75" ht="15.75" customHeight="1">
      <c r="B494" s="250" t="s">
        <v>69</v>
      </c>
      <c r="C494" s="251">
        <v>11741292000130</v>
      </c>
      <c r="D494" s="252" t="s">
        <v>13</v>
      </c>
      <c r="E494" s="252" t="s">
        <v>615</v>
      </c>
      <c r="F494" s="252" t="s">
        <v>619</v>
      </c>
      <c r="G494" s="253" t="s">
        <v>34</v>
      </c>
      <c r="H494" s="253" t="s">
        <v>865</v>
      </c>
      <c r="I494" s="253" t="s">
        <v>34</v>
      </c>
      <c r="J494" s="253"/>
      <c r="K494" s="254" t="s">
        <v>48</v>
      </c>
      <c r="L494" s="255"/>
      <c r="M494" s="255" t="s">
        <v>1414</v>
      </c>
      <c r="N494" s="254">
        <v>388041</v>
      </c>
      <c r="O494" s="254" t="s">
        <v>1321</v>
      </c>
      <c r="P494" s="258">
        <v>40452</v>
      </c>
      <c r="Q494" s="259">
        <v>13529270.6</v>
      </c>
      <c r="R494" s="259">
        <v>23810979.520674575</v>
      </c>
      <c r="S494" s="254">
        <v>6</v>
      </c>
      <c r="T494" s="256">
        <v>3.5900088035936584E-2</v>
      </c>
      <c r="U494" s="256">
        <v>0.46408744506884708</v>
      </c>
      <c r="V494" s="256">
        <v>3.8438843235752973E-2</v>
      </c>
      <c r="W494" s="256">
        <v>0.37682919302713019</v>
      </c>
      <c r="X494" s="256">
        <v>7.6705058726375119E-2</v>
      </c>
      <c r="Y494" s="256">
        <v>0.58166839460525077</v>
      </c>
      <c r="Z494" s="256">
        <v>3.9976821035966337E-2</v>
      </c>
      <c r="AA494" s="256">
        <v>0.22724121078458159</v>
      </c>
      <c r="AB494" s="256">
        <v>5.4525421838304874E-2</v>
      </c>
      <c r="AC494" s="260">
        <v>-1.0627851634661334</v>
      </c>
      <c r="AD494" s="405">
        <v>0</v>
      </c>
      <c r="AE494" s="257" t="s">
        <v>2125</v>
      </c>
      <c r="AF494" s="257" t="s">
        <v>2109</v>
      </c>
      <c r="AG494" s="261" t="s">
        <v>1432</v>
      </c>
      <c r="AH494" s="261" t="s">
        <v>2113</v>
      </c>
      <c r="AI494" s="261">
        <v>1000</v>
      </c>
      <c r="AJ494" s="261">
        <v>1000</v>
      </c>
      <c r="AK494" s="261">
        <v>1000</v>
      </c>
      <c r="AL494" s="519">
        <v>1.7500000000000002E-2</v>
      </c>
      <c r="AM494" s="519">
        <v>0.2</v>
      </c>
      <c r="AN494" s="256" t="s">
        <v>34</v>
      </c>
      <c r="AO494" s="254" t="s">
        <v>1324</v>
      </c>
      <c r="AP494" s="257" t="s">
        <v>13</v>
      </c>
      <c r="AQ494" s="263" t="s">
        <v>668</v>
      </c>
      <c r="AR494" s="256" t="s">
        <v>34</v>
      </c>
      <c r="AS494" s="256" t="s">
        <v>34</v>
      </c>
      <c r="AT494" s="256"/>
      <c r="AW494" s="508"/>
      <c r="AX494" s="508"/>
      <c r="AY494" s="509"/>
      <c r="AZ494" s="509"/>
      <c r="BA494" s="509"/>
      <c r="BB494" s="509"/>
      <c r="BC494" s="509"/>
      <c r="BD494" s="509"/>
      <c r="BE494" s="509"/>
      <c r="BF494" s="509"/>
      <c r="BG494" s="510"/>
      <c r="BH494" s="510"/>
      <c r="BI494" s="511"/>
      <c r="BJ494" s="511"/>
      <c r="BK494" s="511"/>
      <c r="BL494" s="195"/>
      <c r="BM494" s="510"/>
      <c r="BN494" s="510"/>
      <c r="BO494" s="510"/>
      <c r="BP494" s="510"/>
      <c r="BQ494" s="510"/>
      <c r="BR494" s="510"/>
      <c r="BS494" s="510"/>
      <c r="BT494" s="510"/>
      <c r="BU494" s="510"/>
      <c r="BV494" s="512"/>
      <c r="BW494" s="509"/>
    </row>
    <row r="495" spans="2:75" ht="15.75" customHeight="1">
      <c r="B495" s="250" t="s">
        <v>122</v>
      </c>
      <c r="C495" s="251">
        <v>39800501000198</v>
      </c>
      <c r="D495" s="252" t="s">
        <v>13</v>
      </c>
      <c r="E495" s="252" t="s">
        <v>615</v>
      </c>
      <c r="F495" s="252" t="s">
        <v>619</v>
      </c>
      <c r="G495" s="253" t="s">
        <v>34</v>
      </c>
      <c r="H495" s="253" t="s">
        <v>1338</v>
      </c>
      <c r="I495" s="253" t="s">
        <v>34</v>
      </c>
      <c r="J495" s="253"/>
      <c r="K495" s="254" t="s">
        <v>48</v>
      </c>
      <c r="L495" s="255"/>
      <c r="M495" s="255" t="s">
        <v>1414</v>
      </c>
      <c r="N495" s="254">
        <v>566039</v>
      </c>
      <c r="O495" s="254" t="s">
        <v>1321</v>
      </c>
      <c r="P495" s="258">
        <v>44180</v>
      </c>
      <c r="Q495" s="259">
        <v>1532959.72</v>
      </c>
      <c r="R495" s="259">
        <v>1341566.530912698</v>
      </c>
      <c r="S495" s="254">
        <v>6</v>
      </c>
      <c r="T495" s="256">
        <v>0.71784909419225107</v>
      </c>
      <c r="U495" s="256">
        <v>9.2797753513914643</v>
      </c>
      <c r="V495" s="256">
        <v>-0.10361993426521077</v>
      </c>
      <c r="W495" s="256">
        <v>-1.0158218334303306</v>
      </c>
      <c r="X495" s="256" t="s">
        <v>1417</v>
      </c>
      <c r="Y495" s="256" t="s">
        <v>1417</v>
      </c>
      <c r="Z495" s="256" t="s">
        <v>1417</v>
      </c>
      <c r="AA495" s="256" t="s">
        <v>1417</v>
      </c>
      <c r="AB495" s="256">
        <v>0.44211027319621415</v>
      </c>
      <c r="AC495" s="260">
        <v>-0.24085836267019256</v>
      </c>
      <c r="AD495" s="405">
        <v>0</v>
      </c>
      <c r="AE495" s="257" t="s">
        <v>2171</v>
      </c>
      <c r="AF495" s="257" t="s">
        <v>2109</v>
      </c>
      <c r="AG495" s="261" t="s">
        <v>1432</v>
      </c>
      <c r="AH495" s="261" t="s">
        <v>2113</v>
      </c>
      <c r="AI495" s="261">
        <v>100</v>
      </c>
      <c r="AJ495" s="261">
        <v>100</v>
      </c>
      <c r="AK495" s="261">
        <v>100</v>
      </c>
      <c r="AL495" s="256">
        <v>2E-3</v>
      </c>
      <c r="AM495" s="256">
        <v>0.4</v>
      </c>
      <c r="AN495" s="256" t="s">
        <v>34</v>
      </c>
      <c r="AO495" s="254" t="s">
        <v>1324</v>
      </c>
      <c r="AP495" s="257" t="s">
        <v>13</v>
      </c>
      <c r="AQ495" s="263" t="s">
        <v>668</v>
      </c>
      <c r="AR495" s="256">
        <v>2.6660000000000003E-4</v>
      </c>
      <c r="AS495" s="256">
        <v>2.6660000000000003E-4</v>
      </c>
      <c r="AT495" s="256"/>
      <c r="AW495" s="508"/>
      <c r="AX495" s="508"/>
      <c r="AY495" s="509"/>
      <c r="AZ495" s="509"/>
      <c r="BA495" s="509"/>
      <c r="BB495" s="510"/>
      <c r="BC495" s="509"/>
      <c r="BD495" s="509"/>
      <c r="BE495" s="509"/>
      <c r="BF495" s="509"/>
      <c r="BG495" s="510"/>
      <c r="BH495" s="510"/>
      <c r="BI495" s="511"/>
      <c r="BJ495" s="511"/>
      <c r="BK495" s="511"/>
      <c r="BL495" s="510"/>
      <c r="BM495" s="510"/>
      <c r="BN495" s="510"/>
      <c r="BO495" s="510"/>
      <c r="BP495" s="510"/>
      <c r="BQ495" s="510"/>
      <c r="BR495" s="510"/>
      <c r="BS495" s="510"/>
      <c r="BT495" s="513"/>
      <c r="BU495" s="514"/>
      <c r="BV495" s="512"/>
      <c r="BW495" s="515"/>
    </row>
    <row r="496" spans="2:75" ht="15.75" customHeight="1">
      <c r="B496" s="250" t="s">
        <v>822</v>
      </c>
      <c r="C496" s="251">
        <v>37310314000109</v>
      </c>
      <c r="D496" s="252" t="s">
        <v>13</v>
      </c>
      <c r="E496" s="252" t="s">
        <v>615</v>
      </c>
      <c r="F496" s="252" t="s">
        <v>619</v>
      </c>
      <c r="G496" s="253" t="s">
        <v>34</v>
      </c>
      <c r="H496" s="253" t="s">
        <v>1337</v>
      </c>
      <c r="I496" s="253" t="s">
        <v>34</v>
      </c>
      <c r="J496" s="253"/>
      <c r="K496" s="254" t="s">
        <v>48</v>
      </c>
      <c r="L496" s="255"/>
      <c r="M496" s="255" t="s">
        <v>1414</v>
      </c>
      <c r="N496" s="254">
        <v>541680</v>
      </c>
      <c r="O496" s="254" t="s">
        <v>1321</v>
      </c>
      <c r="P496" s="258">
        <v>44012</v>
      </c>
      <c r="Q496" s="259">
        <v>77265305.620000005</v>
      </c>
      <c r="R496" s="259">
        <v>101113373.73190472</v>
      </c>
      <c r="S496" s="254">
        <v>6</v>
      </c>
      <c r="T496" s="256">
        <v>3.4068134100006642E-2</v>
      </c>
      <c r="U496" s="256">
        <v>0.44040541897580532</v>
      </c>
      <c r="V496" s="256">
        <v>4.7055436470395673E-2</v>
      </c>
      <c r="W496" s="256">
        <v>0.46130061833353314</v>
      </c>
      <c r="X496" s="256">
        <v>3.0576541392051793E-2</v>
      </c>
      <c r="Y496" s="256">
        <v>0.23186746792725205</v>
      </c>
      <c r="Z496" s="256" t="s">
        <v>1417</v>
      </c>
      <c r="AA496" s="256" t="s">
        <v>1417</v>
      </c>
      <c r="AB496" s="256">
        <v>2.927740268497557E-2</v>
      </c>
      <c r="AC496" s="260">
        <v>-1.7330441385021378</v>
      </c>
      <c r="AD496" s="405">
        <v>29011240000173</v>
      </c>
      <c r="AE496" s="257" t="s">
        <v>2179</v>
      </c>
      <c r="AF496" s="257" t="s">
        <v>719</v>
      </c>
      <c r="AG496" s="261" t="s">
        <v>719</v>
      </c>
      <c r="AH496" s="261" t="s">
        <v>2113</v>
      </c>
      <c r="AI496" s="261">
        <v>100</v>
      </c>
      <c r="AJ496" s="261">
        <v>100</v>
      </c>
      <c r="AK496" s="261">
        <v>100</v>
      </c>
      <c r="AL496" s="256">
        <v>0.01</v>
      </c>
      <c r="AM496" s="256">
        <v>0.3</v>
      </c>
      <c r="AN496" s="256" t="s">
        <v>64</v>
      </c>
      <c r="AO496" s="254" t="s">
        <v>1324</v>
      </c>
      <c r="AP496" s="257" t="s">
        <v>13</v>
      </c>
      <c r="AQ496" s="263" t="s">
        <v>668</v>
      </c>
      <c r="AR496" s="256" t="s">
        <v>34</v>
      </c>
      <c r="AS496" s="256" t="s">
        <v>34</v>
      </c>
      <c r="AT496" s="256"/>
      <c r="AW496" s="508"/>
      <c r="AX496" s="508"/>
      <c r="AY496" s="509"/>
      <c r="AZ496" s="509"/>
      <c r="BA496" s="509"/>
      <c r="BB496" s="510"/>
      <c r="BC496" s="509"/>
      <c r="BD496" s="509"/>
      <c r="BE496" s="509"/>
      <c r="BF496" s="509"/>
      <c r="BG496" s="510"/>
      <c r="BH496" s="510"/>
      <c r="BI496" s="511"/>
      <c r="BJ496" s="511"/>
      <c r="BK496" s="511"/>
      <c r="BL496" s="510"/>
      <c r="BM496" s="510"/>
      <c r="BN496" s="510"/>
      <c r="BO496" s="510"/>
      <c r="BP496" s="510"/>
      <c r="BQ496" s="510"/>
      <c r="BR496" s="510"/>
      <c r="BS496" s="510"/>
      <c r="BT496" s="513"/>
      <c r="BU496" s="514"/>
      <c r="BV496" s="512"/>
      <c r="BW496" s="515"/>
    </row>
    <row r="497" spans="2:75" ht="15.75" customHeight="1">
      <c r="B497" s="250" t="s">
        <v>1032</v>
      </c>
      <c r="C497" s="251">
        <v>21624757000126</v>
      </c>
      <c r="D497" s="252" t="s">
        <v>13</v>
      </c>
      <c r="E497" s="252" t="s">
        <v>615</v>
      </c>
      <c r="F497" s="252" t="s">
        <v>619</v>
      </c>
      <c r="G497" s="253" t="s">
        <v>34</v>
      </c>
      <c r="H497" s="253" t="s">
        <v>1337</v>
      </c>
      <c r="I497" s="253" t="s">
        <v>34</v>
      </c>
      <c r="J497" s="253" t="s">
        <v>611</v>
      </c>
      <c r="K497" s="254" t="s">
        <v>48</v>
      </c>
      <c r="L497" s="255"/>
      <c r="M497" s="255" t="s">
        <v>34</v>
      </c>
      <c r="N497" s="254">
        <v>397679</v>
      </c>
      <c r="O497" s="254" t="s">
        <v>1321</v>
      </c>
      <c r="P497" s="258">
        <v>42160</v>
      </c>
      <c r="Q497" s="259">
        <v>3269532065.27</v>
      </c>
      <c r="R497" s="259">
        <v>3585496367.3814301</v>
      </c>
      <c r="S497" s="254">
        <v>6</v>
      </c>
      <c r="T497" s="256">
        <v>0.10255588784207093</v>
      </c>
      <c r="U497" s="256">
        <v>1.3257599791329382</v>
      </c>
      <c r="V497" s="256">
        <v>0.13078899347230499</v>
      </c>
      <c r="W497" s="256">
        <v>1.2821694598020037</v>
      </c>
      <c r="X497" s="256">
        <v>0.17021293897536904</v>
      </c>
      <c r="Y497" s="256">
        <v>1.2907556372263178</v>
      </c>
      <c r="Z497" s="256">
        <v>0.21319619972305115</v>
      </c>
      <c r="AA497" s="256">
        <v>1.2118763149313665</v>
      </c>
      <c r="AB497" s="256">
        <v>2.1926045032874843E-2</v>
      </c>
      <c r="AC497" s="260">
        <v>1.1873077788821149</v>
      </c>
      <c r="AD497" s="405">
        <v>0</v>
      </c>
      <c r="AE497" s="257" t="s">
        <v>2295</v>
      </c>
      <c r="AF497" s="257" t="s">
        <v>2112</v>
      </c>
      <c r="AG497" s="261" t="s">
        <v>59</v>
      </c>
      <c r="AH497" s="261" t="s">
        <v>2113</v>
      </c>
      <c r="AI497" s="261">
        <v>1</v>
      </c>
      <c r="AJ497" s="261">
        <v>1</v>
      </c>
      <c r="AK497" s="261">
        <v>1</v>
      </c>
      <c r="AL497" s="256">
        <v>0.02</v>
      </c>
      <c r="AM497" s="256">
        <v>0.2</v>
      </c>
      <c r="AN497" s="256" t="s">
        <v>64</v>
      </c>
      <c r="AO497" s="254" t="s">
        <v>1324</v>
      </c>
      <c r="AP497" s="257" t="s">
        <v>13</v>
      </c>
      <c r="AQ497" s="263" t="s">
        <v>664</v>
      </c>
      <c r="AR497" s="256">
        <v>4.6666666666666662E-3</v>
      </c>
      <c r="AS497" s="256">
        <v>4.6666666666666662E-3</v>
      </c>
      <c r="AT497" s="256"/>
      <c r="AW497" s="508"/>
      <c r="AX497" s="508"/>
      <c r="AY497" s="509"/>
      <c r="AZ497" s="509"/>
      <c r="BA497" s="509"/>
      <c r="BB497" s="510"/>
      <c r="BC497" s="509"/>
      <c r="BD497" s="509"/>
      <c r="BE497" s="509"/>
      <c r="BF497" s="509"/>
      <c r="BG497" s="510"/>
      <c r="BH497" s="510"/>
      <c r="BI497" s="511"/>
      <c r="BJ497" s="511"/>
      <c r="BK497" s="511"/>
      <c r="BL497" s="510"/>
      <c r="BM497" s="510"/>
      <c r="BN497" s="510"/>
      <c r="BO497" s="510"/>
      <c r="BP497" s="510"/>
      <c r="BQ497" s="510"/>
      <c r="BR497" s="510"/>
      <c r="BS497" s="510"/>
      <c r="BT497" s="513"/>
      <c r="BU497" s="514"/>
      <c r="BV497" s="512"/>
      <c r="BW497" s="515"/>
    </row>
    <row r="498" spans="2:75" ht="15.75" customHeight="1">
      <c r="B498" s="250" t="s">
        <v>530</v>
      </c>
      <c r="C498" s="251">
        <v>41594603000146</v>
      </c>
      <c r="D498" s="252" t="s">
        <v>13</v>
      </c>
      <c r="E498" s="252" t="s">
        <v>616</v>
      </c>
      <c r="F498" s="252" t="s">
        <v>619</v>
      </c>
      <c r="G498" s="253" t="s">
        <v>34</v>
      </c>
      <c r="H498" s="253" t="s">
        <v>1338</v>
      </c>
      <c r="I498" s="253" t="s">
        <v>34</v>
      </c>
      <c r="J498" s="253" t="s">
        <v>611</v>
      </c>
      <c r="K498" s="254" t="s">
        <v>48</v>
      </c>
      <c r="L498" s="255"/>
      <c r="M498" s="255" t="s">
        <v>1414</v>
      </c>
      <c r="N498" s="254">
        <v>600520</v>
      </c>
      <c r="O498" s="254" t="s">
        <v>1321</v>
      </c>
      <c r="P498" s="258">
        <v>44392</v>
      </c>
      <c r="Q498" s="259">
        <v>10495848.060000001</v>
      </c>
      <c r="R498" s="259">
        <v>15106248.725833343</v>
      </c>
      <c r="S498" s="254">
        <v>6</v>
      </c>
      <c r="T498" s="256">
        <v>-0.10936395614170769</v>
      </c>
      <c r="U498" s="256">
        <v>-1.4137692068504268</v>
      </c>
      <c r="V498" s="256">
        <v>-0.11110837051131306</v>
      </c>
      <c r="W498" s="256">
        <v>-1.0892335479906989</v>
      </c>
      <c r="X498" s="256" t="s">
        <v>1417</v>
      </c>
      <c r="Y498" s="256" t="s">
        <v>1417</v>
      </c>
      <c r="Z498" s="256" t="s">
        <v>1417</v>
      </c>
      <c r="AA498" s="256" t="s">
        <v>1417</v>
      </c>
      <c r="AB498" s="256">
        <v>0.11116913551773647</v>
      </c>
      <c r="AC498" s="260">
        <v>-1.8776553169373618</v>
      </c>
      <c r="AD498" s="405">
        <v>41594622000172</v>
      </c>
      <c r="AE498" s="257" t="s">
        <v>2126</v>
      </c>
      <c r="AF498" s="257" t="s">
        <v>2118</v>
      </c>
      <c r="AG498" s="261" t="s">
        <v>1433</v>
      </c>
      <c r="AH498" s="261" t="s">
        <v>2110</v>
      </c>
      <c r="AI498" s="261">
        <v>500</v>
      </c>
      <c r="AJ498" s="261" t="s">
        <v>1427</v>
      </c>
      <c r="AK498" s="261">
        <v>500</v>
      </c>
      <c r="AL498" s="256">
        <v>5.0000000000000001E-3</v>
      </c>
      <c r="AM498" s="256" t="s">
        <v>34</v>
      </c>
      <c r="AN498" s="256" t="s">
        <v>34</v>
      </c>
      <c r="AO498" s="254" t="s">
        <v>1324</v>
      </c>
      <c r="AP498" s="257" t="s">
        <v>13</v>
      </c>
      <c r="AQ498" s="263" t="s">
        <v>679</v>
      </c>
      <c r="AR498" s="256">
        <v>3.3334999999999997E-3</v>
      </c>
      <c r="AS498" s="256">
        <v>3.3334999999999997E-3</v>
      </c>
      <c r="AT498" s="256"/>
      <c r="AW498" s="508"/>
      <c r="AX498" s="508"/>
      <c r="AY498" s="509"/>
      <c r="AZ498" s="509"/>
      <c r="BA498" s="509"/>
      <c r="BB498" s="510"/>
      <c r="BC498" s="509"/>
      <c r="BD498" s="509"/>
      <c r="BE498" s="509"/>
      <c r="BF498" s="509"/>
      <c r="BG498" s="510"/>
      <c r="BH498" s="510"/>
      <c r="BI498" s="511"/>
      <c r="BJ498" s="511"/>
      <c r="BK498" s="511"/>
      <c r="BL498" s="510"/>
      <c r="BM498" s="510"/>
      <c r="BN498" s="510"/>
      <c r="BO498" s="510"/>
      <c r="BP498" s="510"/>
      <c r="BQ498" s="510"/>
      <c r="BR498" s="510"/>
      <c r="BS498" s="510"/>
      <c r="BT498" s="513"/>
      <c r="BU498" s="514"/>
      <c r="BV498" s="512"/>
      <c r="BW498" s="515"/>
    </row>
    <row r="499" spans="2:75" ht="15.75" customHeight="1">
      <c r="B499" s="250" t="s">
        <v>531</v>
      </c>
      <c r="C499" s="251">
        <v>41594555000196</v>
      </c>
      <c r="D499" s="252" t="s">
        <v>13</v>
      </c>
      <c r="E499" s="252" t="s">
        <v>615</v>
      </c>
      <c r="F499" s="252" t="s">
        <v>619</v>
      </c>
      <c r="G499" s="253" t="s">
        <v>34</v>
      </c>
      <c r="H499" s="253" t="s">
        <v>1338</v>
      </c>
      <c r="I499" s="253" t="s">
        <v>34</v>
      </c>
      <c r="J499" s="253"/>
      <c r="K499" s="254" t="s">
        <v>49</v>
      </c>
      <c r="L499" s="255"/>
      <c r="M499" s="255" t="s">
        <v>1414</v>
      </c>
      <c r="N499" s="254">
        <v>600482</v>
      </c>
      <c r="O499" s="254" t="s">
        <v>1321</v>
      </c>
      <c r="P499" s="258">
        <v>44392</v>
      </c>
      <c r="Q499" s="259">
        <v>6812009.3899999997</v>
      </c>
      <c r="R499" s="259">
        <v>9109512.831587296</v>
      </c>
      <c r="S499" s="254">
        <v>6</v>
      </c>
      <c r="T499" s="256">
        <v>-0.20513732126786222</v>
      </c>
      <c r="U499" s="256">
        <v>-2.6518501910126515</v>
      </c>
      <c r="V499" s="256">
        <v>-0.14975915778959337</v>
      </c>
      <c r="W499" s="256">
        <v>-1.4681405013193722</v>
      </c>
      <c r="X499" s="256" t="s">
        <v>1417</v>
      </c>
      <c r="Y499" s="256" t="s">
        <v>1417</v>
      </c>
      <c r="Z499" s="256" t="s">
        <v>1417</v>
      </c>
      <c r="AA499" s="256" t="s">
        <v>1417</v>
      </c>
      <c r="AB499" s="256">
        <v>0.16648694705224459</v>
      </c>
      <c r="AC499" s="260">
        <v>-1.4747353684621403</v>
      </c>
      <c r="AD499" s="405">
        <v>41594569000100</v>
      </c>
      <c r="AE499" s="257" t="s">
        <v>2126</v>
      </c>
      <c r="AF499" s="257" t="s">
        <v>2118</v>
      </c>
      <c r="AG499" s="261" t="s">
        <v>1433</v>
      </c>
      <c r="AH499" s="261" t="s">
        <v>2110</v>
      </c>
      <c r="AI499" s="261">
        <v>500</v>
      </c>
      <c r="AJ499" s="261" t="s">
        <v>1427</v>
      </c>
      <c r="AK499" s="261">
        <v>500</v>
      </c>
      <c r="AL499" s="256">
        <v>5.0000000000000001E-3</v>
      </c>
      <c r="AM499" s="256" t="s">
        <v>34</v>
      </c>
      <c r="AN499" s="256" t="s">
        <v>34</v>
      </c>
      <c r="AO499" s="254" t="s">
        <v>1324</v>
      </c>
      <c r="AP499" s="257" t="s">
        <v>13</v>
      </c>
      <c r="AQ499" s="263" t="s">
        <v>679</v>
      </c>
      <c r="AR499" s="256">
        <v>3.3334999999999997E-3</v>
      </c>
      <c r="AS499" s="256">
        <v>3.3334999999999997E-3</v>
      </c>
      <c r="AT499" s="256"/>
      <c r="AW499" s="508"/>
      <c r="AX499" s="508"/>
      <c r="AY499" s="509"/>
      <c r="AZ499" s="509"/>
      <c r="BA499" s="509"/>
      <c r="BB499" s="510"/>
      <c r="BC499" s="509"/>
      <c r="BD499" s="509"/>
      <c r="BE499" s="509"/>
      <c r="BF499" s="509"/>
      <c r="BG499" s="510"/>
      <c r="BH499" s="510"/>
      <c r="BI499" s="511"/>
      <c r="BJ499" s="511"/>
      <c r="BK499" s="511"/>
      <c r="BL499" s="510"/>
      <c r="BM499" s="510"/>
      <c r="BN499" s="510"/>
      <c r="BO499" s="510"/>
      <c r="BP499" s="510"/>
      <c r="BQ499" s="510"/>
      <c r="BR499" s="510"/>
      <c r="BS499" s="510"/>
      <c r="BT499" s="513"/>
      <c r="BU499" s="514"/>
      <c r="BV499" s="512"/>
      <c r="BW499" s="515"/>
    </row>
    <row r="500" spans="2:75" ht="15.75" customHeight="1">
      <c r="B500" s="250" t="s">
        <v>342</v>
      </c>
      <c r="C500" s="251">
        <v>400490000113</v>
      </c>
      <c r="D500" s="252" t="s">
        <v>13</v>
      </c>
      <c r="E500" s="252" t="s">
        <v>615</v>
      </c>
      <c r="F500" s="252" t="s">
        <v>619</v>
      </c>
      <c r="G500" s="253" t="s">
        <v>34</v>
      </c>
      <c r="H500" s="253" t="s">
        <v>1337</v>
      </c>
      <c r="I500" s="253" t="s">
        <v>34</v>
      </c>
      <c r="J500" s="253"/>
      <c r="K500" s="254" t="s">
        <v>48</v>
      </c>
      <c r="L500" s="255"/>
      <c r="M500" s="255" t="s">
        <v>34</v>
      </c>
      <c r="N500" s="254">
        <v>242918</v>
      </c>
      <c r="O500" s="254" t="s">
        <v>1321</v>
      </c>
      <c r="P500" s="258">
        <v>34731</v>
      </c>
      <c r="Q500" s="259">
        <v>293438991.47000003</v>
      </c>
      <c r="R500" s="259">
        <v>310734080.4548015</v>
      </c>
      <c r="S500" s="254">
        <v>6</v>
      </c>
      <c r="T500" s="256">
        <v>9.7788228530821808E-2</v>
      </c>
      <c r="U500" s="256">
        <v>1.2641275166581543</v>
      </c>
      <c r="V500" s="256">
        <v>0.12804443025616785</v>
      </c>
      <c r="W500" s="256">
        <v>1.2552635631909699</v>
      </c>
      <c r="X500" s="256">
        <v>0.14081232931408127</v>
      </c>
      <c r="Y500" s="256">
        <v>1.067805473233854</v>
      </c>
      <c r="Z500" s="256">
        <v>0.26642180191159825</v>
      </c>
      <c r="AA500" s="256">
        <v>1.5144278928865584</v>
      </c>
      <c r="AB500" s="256">
        <v>4.2050399796151432E-2</v>
      </c>
      <c r="AC500" s="260">
        <v>0.57650433709546178</v>
      </c>
      <c r="AD500" s="405">
        <v>0</v>
      </c>
      <c r="AE500" s="257" t="s">
        <v>2366</v>
      </c>
      <c r="AF500" s="257" t="s">
        <v>2112</v>
      </c>
      <c r="AG500" s="261" t="s">
        <v>59</v>
      </c>
      <c r="AH500" s="261" t="s">
        <v>2113</v>
      </c>
      <c r="AI500" s="261">
        <v>10000</v>
      </c>
      <c r="AJ500" s="261">
        <v>100</v>
      </c>
      <c r="AK500" s="261">
        <v>10000</v>
      </c>
      <c r="AL500" s="256">
        <v>1.4999999999999999E-2</v>
      </c>
      <c r="AM500" s="256">
        <v>0.2</v>
      </c>
      <c r="AN500" s="256" t="s">
        <v>64</v>
      </c>
      <c r="AO500" s="254" t="s">
        <v>1324</v>
      </c>
      <c r="AP500" s="257" t="s">
        <v>13</v>
      </c>
      <c r="AQ500" s="263" t="s">
        <v>664</v>
      </c>
      <c r="AR500" s="256">
        <v>4.4999999999999997E-3</v>
      </c>
      <c r="AS500" s="256">
        <v>4.4999999999999997E-3</v>
      </c>
      <c r="AT500" s="256"/>
      <c r="AW500" s="508"/>
      <c r="AX500" s="508"/>
      <c r="AY500" s="509"/>
      <c r="AZ500" s="509"/>
      <c r="BA500" s="509"/>
      <c r="BB500" s="510"/>
      <c r="BC500" s="509"/>
      <c r="BD500" s="509"/>
      <c r="BE500" s="509"/>
      <c r="BF500" s="509"/>
      <c r="BG500" s="510"/>
      <c r="BH500" s="510"/>
      <c r="BI500" s="511"/>
      <c r="BJ500" s="511"/>
      <c r="BK500" s="511"/>
      <c r="BL500" s="510"/>
      <c r="BM500" s="510"/>
      <c r="BN500" s="510"/>
      <c r="BO500" s="510"/>
      <c r="BP500" s="510"/>
      <c r="BQ500" s="510"/>
      <c r="BR500" s="510"/>
      <c r="BS500" s="510"/>
      <c r="BT500" s="513"/>
      <c r="BU500" s="514"/>
      <c r="BV500" s="512"/>
      <c r="BW500" s="515"/>
    </row>
    <row r="501" spans="2:75" ht="15.75" customHeight="1">
      <c r="B501" s="250" t="s">
        <v>1231</v>
      </c>
      <c r="C501" s="251">
        <v>37504085000155</v>
      </c>
      <c r="D501" s="252" t="s">
        <v>13</v>
      </c>
      <c r="E501" s="252" t="s">
        <v>616</v>
      </c>
      <c r="F501" s="252" t="s">
        <v>619</v>
      </c>
      <c r="G501" s="253" t="s">
        <v>34</v>
      </c>
      <c r="H501" s="253" t="s">
        <v>1338</v>
      </c>
      <c r="I501" s="253" t="s">
        <v>34</v>
      </c>
      <c r="J501" s="253" t="s">
        <v>611</v>
      </c>
      <c r="K501" s="254" t="s">
        <v>49</v>
      </c>
      <c r="L501" s="255"/>
      <c r="M501" s="255" t="s">
        <v>34</v>
      </c>
      <c r="N501" s="254">
        <v>555878</v>
      </c>
      <c r="O501" s="254" t="s">
        <v>1321</v>
      </c>
      <c r="P501" s="258">
        <v>44046</v>
      </c>
      <c r="Q501" s="259">
        <v>7030275.6699999999</v>
      </c>
      <c r="R501" s="259">
        <v>8399368.6753968205</v>
      </c>
      <c r="S501" s="254">
        <v>6</v>
      </c>
      <c r="T501" s="256">
        <v>-0.19355023352003298</v>
      </c>
      <c r="U501" s="256">
        <v>-2.5020616461128249</v>
      </c>
      <c r="V501" s="256">
        <v>-0.14371936278244501</v>
      </c>
      <c r="W501" s="256">
        <v>-1.4089303147735901</v>
      </c>
      <c r="X501" s="256">
        <v>-5.4765127196836905E-2</v>
      </c>
      <c r="Y501" s="256">
        <v>-0.41529390819673612</v>
      </c>
      <c r="Z501" s="256" t="s">
        <v>1417</v>
      </c>
      <c r="AA501" s="256" t="s">
        <v>1417</v>
      </c>
      <c r="AB501" s="256">
        <v>0.16580341680406205</v>
      </c>
      <c r="AC501" s="260">
        <v>-1.4388283613253476</v>
      </c>
      <c r="AD501" s="405">
        <v>37843206000193</v>
      </c>
      <c r="AE501" s="257" t="s">
        <v>2144</v>
      </c>
      <c r="AF501" s="257" t="s">
        <v>2109</v>
      </c>
      <c r="AG501" s="261" t="s">
        <v>1432</v>
      </c>
      <c r="AH501" s="261" t="s">
        <v>2110</v>
      </c>
      <c r="AI501" s="261">
        <v>5000</v>
      </c>
      <c r="AJ501" s="261">
        <v>5000</v>
      </c>
      <c r="AK501" s="261">
        <v>5000</v>
      </c>
      <c r="AL501" s="256">
        <v>0.01</v>
      </c>
      <c r="AM501" s="256" t="s">
        <v>34</v>
      </c>
      <c r="AN501" s="256" t="s">
        <v>34</v>
      </c>
      <c r="AO501" s="254" t="s">
        <v>1324</v>
      </c>
      <c r="AP501" s="257" t="s">
        <v>13</v>
      </c>
      <c r="AQ501" s="263" t="s">
        <v>679</v>
      </c>
      <c r="AR501" s="256">
        <v>6.6666666666666662E-3</v>
      </c>
      <c r="AS501" s="256">
        <v>6.6666666666666662E-3</v>
      </c>
      <c r="AT501" s="256"/>
      <c r="AW501" s="508"/>
      <c r="AX501" s="508"/>
      <c r="AY501" s="509"/>
      <c r="AZ501" s="509"/>
      <c r="BA501" s="509"/>
      <c r="BB501" s="510"/>
      <c r="BC501" s="509"/>
      <c r="BD501" s="509"/>
      <c r="BE501" s="509"/>
      <c r="BF501" s="509"/>
      <c r="BG501" s="510"/>
      <c r="BH501" s="510"/>
      <c r="BI501" s="511"/>
      <c r="BJ501" s="511"/>
      <c r="BK501" s="511"/>
      <c r="BL501" s="510"/>
      <c r="BM501" s="510"/>
      <c r="BN501" s="510"/>
      <c r="BO501" s="510"/>
      <c r="BP501" s="510"/>
      <c r="BQ501" s="510"/>
      <c r="BR501" s="510"/>
      <c r="BS501" s="510"/>
      <c r="BT501" s="513"/>
      <c r="BU501" s="514"/>
      <c r="BV501" s="512"/>
      <c r="BW501" s="515"/>
    </row>
    <row r="502" spans="2:75" ht="15.75" customHeight="1">
      <c r="B502" s="250" t="s">
        <v>1312</v>
      </c>
      <c r="C502" s="251">
        <v>42014125000110</v>
      </c>
      <c r="D502" s="252" t="s">
        <v>13</v>
      </c>
      <c r="E502" s="252" t="s">
        <v>616</v>
      </c>
      <c r="F502" s="252" t="s">
        <v>619</v>
      </c>
      <c r="G502" s="253" t="s">
        <v>34</v>
      </c>
      <c r="H502" s="253" t="s">
        <v>1338</v>
      </c>
      <c r="I502" s="253" t="s">
        <v>34</v>
      </c>
      <c r="J502" s="253" t="s">
        <v>612</v>
      </c>
      <c r="K502" s="254" t="s">
        <v>48</v>
      </c>
      <c r="L502" s="255"/>
      <c r="M502" s="255" t="s">
        <v>34</v>
      </c>
      <c r="N502" s="254">
        <v>616699</v>
      </c>
      <c r="O502" s="254" t="s">
        <v>1321</v>
      </c>
      <c r="P502" s="258">
        <v>44461</v>
      </c>
      <c r="Q502" s="259">
        <v>159145458.87</v>
      </c>
      <c r="R502" s="259" t="s">
        <v>1417</v>
      </c>
      <c r="S502" s="254">
        <v>6</v>
      </c>
      <c r="T502" s="256">
        <v>2.8896648141836678E-2</v>
      </c>
      <c r="U502" s="256">
        <v>0.3735526106168382</v>
      </c>
      <c r="V502" s="256" t="s">
        <v>1417</v>
      </c>
      <c r="W502" s="256" t="s">
        <v>1417</v>
      </c>
      <c r="X502" s="256" t="s">
        <v>1417</v>
      </c>
      <c r="Y502" s="256" t="s">
        <v>1417</v>
      </c>
      <c r="Z502" s="256" t="s">
        <v>1417</v>
      </c>
      <c r="AA502" s="256" t="s">
        <v>1417</v>
      </c>
      <c r="AB502" s="256" t="s">
        <v>1417</v>
      </c>
      <c r="AC502" s="260" t="s">
        <v>1417</v>
      </c>
      <c r="AD502" s="405">
        <v>42046741000153</v>
      </c>
      <c r="AE502" s="257" t="s">
        <v>2439</v>
      </c>
      <c r="AF502" s="257" t="s">
        <v>2112</v>
      </c>
      <c r="AG502" s="261" t="s">
        <v>59</v>
      </c>
      <c r="AH502" s="261" t="s">
        <v>2110</v>
      </c>
      <c r="AI502" s="261">
        <v>5000</v>
      </c>
      <c r="AJ502" s="261">
        <v>5000</v>
      </c>
      <c r="AK502" s="261">
        <v>5000</v>
      </c>
      <c r="AL502" s="256">
        <v>1.9299999999999998E-2</v>
      </c>
      <c r="AM502" s="256">
        <v>0.2</v>
      </c>
      <c r="AN502" s="256" t="s">
        <v>64</v>
      </c>
      <c r="AO502" s="254" t="s">
        <v>1324</v>
      </c>
      <c r="AP502" s="257" t="s">
        <v>13</v>
      </c>
      <c r="AQ502" s="263" t="s">
        <v>664</v>
      </c>
      <c r="AR502" s="256">
        <v>5.1466666666666666E-3</v>
      </c>
      <c r="AS502" s="256">
        <v>5.1466666666666666E-3</v>
      </c>
      <c r="AT502" s="256"/>
      <c r="AW502" s="508"/>
      <c r="AX502" s="508"/>
      <c r="AY502" s="509"/>
      <c r="AZ502" s="509"/>
      <c r="BA502" s="509"/>
      <c r="BB502" s="510"/>
      <c r="BC502" s="509"/>
      <c r="BD502" s="509"/>
      <c r="BE502" s="509"/>
      <c r="BF502" s="509"/>
      <c r="BG502" s="510"/>
      <c r="BH502" s="510"/>
      <c r="BI502" s="511"/>
      <c r="BJ502" s="511"/>
      <c r="BK502" s="511"/>
      <c r="BL502" s="510"/>
      <c r="BM502" s="510"/>
      <c r="BN502" s="510"/>
      <c r="BO502" s="510"/>
      <c r="BP502" s="510"/>
      <c r="BQ502" s="510"/>
      <c r="BR502" s="510"/>
      <c r="BS502" s="510"/>
      <c r="BT502" s="513"/>
      <c r="BU502" s="514"/>
      <c r="BV502" s="512"/>
      <c r="BW502" s="515"/>
    </row>
    <row r="503" spans="2:75" ht="15.75" customHeight="1">
      <c r="B503" s="250" t="s">
        <v>1315</v>
      </c>
      <c r="C503" s="251">
        <v>41978534000174</v>
      </c>
      <c r="D503" s="252" t="s">
        <v>11</v>
      </c>
      <c r="E503" s="252" t="s">
        <v>620</v>
      </c>
      <c r="F503" s="252" t="s">
        <v>619</v>
      </c>
      <c r="G503" s="253" t="s">
        <v>738</v>
      </c>
      <c r="H503" s="253" t="s">
        <v>34</v>
      </c>
      <c r="I503" s="253"/>
      <c r="J503" s="253" t="s">
        <v>608</v>
      </c>
      <c r="K503" s="254" t="s">
        <v>48</v>
      </c>
      <c r="L503" s="255"/>
      <c r="M503" s="255" t="s">
        <v>34</v>
      </c>
      <c r="N503" s="254">
        <v>610879</v>
      </c>
      <c r="O503" s="254" t="s">
        <v>1321</v>
      </c>
      <c r="P503" s="258">
        <v>44439</v>
      </c>
      <c r="Q503" s="259">
        <v>503566768.29000002</v>
      </c>
      <c r="R503" s="259">
        <v>188020315.19162694</v>
      </c>
      <c r="S503" s="254">
        <v>6</v>
      </c>
      <c r="T503" s="256">
        <v>9.745876799151354E-2</v>
      </c>
      <c r="U503" s="256">
        <v>1.2598685159619576</v>
      </c>
      <c r="V503" s="256">
        <v>0.12621119999999997</v>
      </c>
      <c r="W503" s="256">
        <v>1.2372917768438167</v>
      </c>
      <c r="X503" s="256" t="s">
        <v>1417</v>
      </c>
      <c r="Y503" s="256" t="s">
        <v>1417</v>
      </c>
      <c r="Z503" s="256" t="s">
        <v>1417</v>
      </c>
      <c r="AA503" s="256" t="s">
        <v>1417</v>
      </c>
      <c r="AB503" s="256">
        <v>2.8401466580033206E-2</v>
      </c>
      <c r="AC503" s="260">
        <v>0.77942148464354011</v>
      </c>
      <c r="AD503" s="405">
        <v>41955522000124</v>
      </c>
      <c r="AE503" s="257" t="s">
        <v>2439</v>
      </c>
      <c r="AF503" s="257" t="s">
        <v>2112</v>
      </c>
      <c r="AG503" s="261" t="s">
        <v>59</v>
      </c>
      <c r="AH503" s="261" t="s">
        <v>2110</v>
      </c>
      <c r="AI503" s="261">
        <v>50000</v>
      </c>
      <c r="AJ503" s="261">
        <v>5000</v>
      </c>
      <c r="AK503" s="261">
        <v>50000</v>
      </c>
      <c r="AL503" s="256">
        <v>9.300000000000001E-3</v>
      </c>
      <c r="AM503" s="256">
        <v>0.1</v>
      </c>
      <c r="AN503" s="256" t="s">
        <v>64</v>
      </c>
      <c r="AO503" s="254" t="s">
        <v>1324</v>
      </c>
      <c r="AP503" s="257" t="s">
        <v>13</v>
      </c>
      <c r="AQ503" s="263" t="s">
        <v>688</v>
      </c>
      <c r="AR503" s="256">
        <v>2.4799999999999996E-3</v>
      </c>
      <c r="AS503" s="256">
        <v>2.4799999999999996E-3</v>
      </c>
      <c r="AT503" s="256"/>
      <c r="AW503" s="508"/>
      <c r="AX503" s="508"/>
      <c r="AY503" s="509"/>
      <c r="AZ503" s="509"/>
      <c r="BA503" s="509"/>
      <c r="BB503" s="510"/>
      <c r="BC503" s="509"/>
      <c r="BD503" s="509"/>
      <c r="BE503" s="509"/>
      <c r="BF503" s="509"/>
      <c r="BG503" s="510"/>
      <c r="BH503" s="510"/>
      <c r="BI503" s="511"/>
      <c r="BJ503" s="511"/>
      <c r="BK503" s="511"/>
      <c r="BL503" s="510"/>
      <c r="BM503" s="510"/>
      <c r="BN503" s="510"/>
      <c r="BO503" s="510"/>
      <c r="BP503" s="510"/>
      <c r="BQ503" s="510"/>
      <c r="BR503" s="510"/>
      <c r="BS503" s="510"/>
      <c r="BT503" s="513"/>
      <c r="BU503" s="514"/>
      <c r="BV503" s="512"/>
      <c r="BW503" s="515"/>
    </row>
    <row r="504" spans="2:75" ht="15.75" customHeight="1">
      <c r="B504" s="250" t="s">
        <v>546</v>
      </c>
      <c r="C504" s="251">
        <v>41762791000174</v>
      </c>
      <c r="D504" s="252" t="s">
        <v>13</v>
      </c>
      <c r="E504" s="252" t="s">
        <v>615</v>
      </c>
      <c r="F504" s="252" t="s">
        <v>619</v>
      </c>
      <c r="G504" s="253" t="s">
        <v>34</v>
      </c>
      <c r="H504" s="253" t="s">
        <v>1337</v>
      </c>
      <c r="I504" s="253" t="s">
        <v>34</v>
      </c>
      <c r="J504" s="253"/>
      <c r="K504" s="254" t="s">
        <v>48</v>
      </c>
      <c r="L504" s="255"/>
      <c r="M504" s="255" t="s">
        <v>34</v>
      </c>
      <c r="N504" s="254">
        <v>600563</v>
      </c>
      <c r="O504" s="254" t="s">
        <v>1321</v>
      </c>
      <c r="P504" s="258">
        <v>44385</v>
      </c>
      <c r="Q504" s="259">
        <v>7707496.3300000001</v>
      </c>
      <c r="R504" s="259">
        <v>14547242.867182542</v>
      </c>
      <c r="S504" s="254">
        <v>6</v>
      </c>
      <c r="T504" s="256">
        <v>3.0473506520229288E-2</v>
      </c>
      <c r="U504" s="256">
        <v>0.39393696664769495</v>
      </c>
      <c r="V504" s="256">
        <v>5.0700447231001977E-2</v>
      </c>
      <c r="W504" s="256">
        <v>0.49703391173859868</v>
      </c>
      <c r="X504" s="256" t="s">
        <v>1417</v>
      </c>
      <c r="Y504" s="256" t="s">
        <v>1417</v>
      </c>
      <c r="Z504" s="256" t="s">
        <v>1417</v>
      </c>
      <c r="AA504" s="256" t="s">
        <v>1417</v>
      </c>
      <c r="AB504" s="256">
        <v>2.1540145134938859E-2</v>
      </c>
      <c r="AC504" s="260">
        <v>-2.2032864060832029</v>
      </c>
      <c r="AD504" s="405">
        <v>0</v>
      </c>
      <c r="AE504" s="257" t="s">
        <v>2243</v>
      </c>
      <c r="AF504" s="257" t="s">
        <v>2109</v>
      </c>
      <c r="AG504" s="261" t="s">
        <v>1432</v>
      </c>
      <c r="AH504" s="261" t="s">
        <v>2113</v>
      </c>
      <c r="AI504" s="261">
        <v>1000</v>
      </c>
      <c r="AJ504" s="261">
        <v>0</v>
      </c>
      <c r="AK504" s="261">
        <v>0</v>
      </c>
      <c r="AL504" s="256">
        <v>1.2500000000000001E-2</v>
      </c>
      <c r="AM504" s="256" t="s">
        <v>34</v>
      </c>
      <c r="AN504" s="256" t="s">
        <v>34</v>
      </c>
      <c r="AO504" s="254" t="s">
        <v>1324</v>
      </c>
      <c r="AP504" s="257" t="s">
        <v>13</v>
      </c>
      <c r="AQ504" s="263" t="s">
        <v>668</v>
      </c>
      <c r="AR504" s="256">
        <v>3.7499999999999999E-3</v>
      </c>
      <c r="AS504" s="256">
        <v>3.7499999999999999E-3</v>
      </c>
      <c r="AT504" s="256"/>
      <c r="AW504" s="508"/>
      <c r="AX504" s="508"/>
      <c r="AY504" s="509"/>
      <c r="AZ504" s="509"/>
      <c r="BA504" s="509"/>
      <c r="BB504" s="510"/>
      <c r="BC504" s="509"/>
      <c r="BD504" s="509"/>
      <c r="BE504" s="509"/>
      <c r="BF504" s="509"/>
      <c r="BG504" s="510"/>
      <c r="BH504" s="510"/>
      <c r="BI504" s="511"/>
      <c r="BJ504" s="511"/>
      <c r="BK504" s="511"/>
      <c r="BL504" s="510"/>
      <c r="BM504" s="510"/>
      <c r="BN504" s="510"/>
      <c r="BO504" s="510"/>
      <c r="BP504" s="510"/>
      <c r="BQ504" s="510"/>
      <c r="BR504" s="510"/>
      <c r="BS504" s="510"/>
      <c r="BT504" s="513"/>
      <c r="BU504" s="514"/>
      <c r="BV504" s="512"/>
      <c r="BW504" s="515"/>
    </row>
    <row r="505" spans="2:75" ht="15.75" customHeight="1">
      <c r="B505" s="250" t="s">
        <v>724</v>
      </c>
      <c r="C505" s="251">
        <v>25306476000186</v>
      </c>
      <c r="D505" s="252" t="s">
        <v>14</v>
      </c>
      <c r="E505" s="252" t="s">
        <v>15</v>
      </c>
      <c r="F505" s="252" t="s">
        <v>610</v>
      </c>
      <c r="G505" s="253"/>
      <c r="H505" s="253" t="s">
        <v>34</v>
      </c>
      <c r="I505" s="253" t="s">
        <v>34</v>
      </c>
      <c r="J505" s="253" t="s">
        <v>611</v>
      </c>
      <c r="K505" s="254" t="s">
        <v>48</v>
      </c>
      <c r="L505" s="255"/>
      <c r="M505" s="255" t="s">
        <v>1414</v>
      </c>
      <c r="N505" s="254">
        <v>428582</v>
      </c>
      <c r="O505" s="254" t="s">
        <v>1321</v>
      </c>
      <c r="P505" s="258">
        <v>42698</v>
      </c>
      <c r="Q505" s="259">
        <v>13745781.18</v>
      </c>
      <c r="R505" s="259">
        <v>24228853.419761907</v>
      </c>
      <c r="S505" s="254">
        <v>6</v>
      </c>
      <c r="T505" s="256">
        <v>-0.18469397932086362</v>
      </c>
      <c r="U505" s="256">
        <v>-2.3875751195043526</v>
      </c>
      <c r="V505" s="256">
        <v>-9.2993872187758564E-2</v>
      </c>
      <c r="W505" s="256">
        <v>-0.91165089433250468</v>
      </c>
      <c r="X505" s="256">
        <v>-3.4374598446036408E-3</v>
      </c>
      <c r="Y505" s="256">
        <v>-2.6066882452475036E-2</v>
      </c>
      <c r="Z505" s="256">
        <v>0.28959316612410624</v>
      </c>
      <c r="AA505" s="256">
        <v>1.6461414389547557</v>
      </c>
      <c r="AB505" s="256">
        <v>0.1694386875020289</v>
      </c>
      <c r="AC505" s="260">
        <v>-1.0650036066199464</v>
      </c>
      <c r="AD505" s="405">
        <v>23966345000108</v>
      </c>
      <c r="AE505" s="257" t="s">
        <v>2126</v>
      </c>
      <c r="AF505" s="257" t="s">
        <v>2118</v>
      </c>
      <c r="AG505" s="261" t="s">
        <v>1433</v>
      </c>
      <c r="AH505" s="261" t="s">
        <v>2110</v>
      </c>
      <c r="AI505" s="261">
        <v>5000</v>
      </c>
      <c r="AJ505" s="261">
        <v>1000</v>
      </c>
      <c r="AK505" s="261">
        <v>1000</v>
      </c>
      <c r="AL505" s="519">
        <v>5.5000000000000005E-3</v>
      </c>
      <c r="AM505" s="519" t="s">
        <v>34</v>
      </c>
      <c r="AN505" s="256" t="s">
        <v>34</v>
      </c>
      <c r="AO505" s="254" t="s">
        <v>1324</v>
      </c>
      <c r="AP505" s="257" t="s">
        <v>716</v>
      </c>
      <c r="AQ505" s="263" t="s">
        <v>687</v>
      </c>
      <c r="AR505" s="256">
        <v>3.6666666666666662E-3</v>
      </c>
      <c r="AS505" s="256">
        <v>3.6666666666666662E-3</v>
      </c>
      <c r="AT505" s="256"/>
      <c r="AW505" s="508"/>
      <c r="AX505" s="508"/>
      <c r="AY505" s="509"/>
      <c r="AZ505" s="509"/>
      <c r="BA505" s="509"/>
      <c r="BB505" s="509"/>
      <c r="BC505" s="509"/>
      <c r="BD505" s="509"/>
      <c r="BE505" s="509"/>
      <c r="BF505" s="509"/>
      <c r="BG505" s="510"/>
      <c r="BH505" s="510"/>
      <c r="BI505" s="511"/>
      <c r="BJ505" s="511"/>
      <c r="BK505" s="511"/>
      <c r="BL505" s="195"/>
      <c r="BM505" s="510"/>
      <c r="BN505" s="510"/>
      <c r="BO505" s="510"/>
      <c r="BP505" s="510"/>
      <c r="BQ505" s="510"/>
      <c r="BR505" s="510"/>
      <c r="BS505" s="510"/>
      <c r="BT505" s="510"/>
      <c r="BU505" s="510"/>
      <c r="BV505" s="512"/>
      <c r="BW505" s="509"/>
    </row>
    <row r="506" spans="2:75" ht="15.75" customHeight="1">
      <c r="B506" s="250" t="s">
        <v>1064</v>
      </c>
      <c r="C506" s="251">
        <v>32319558000120</v>
      </c>
      <c r="D506" s="252" t="s">
        <v>13</v>
      </c>
      <c r="E506" s="252" t="s">
        <v>616</v>
      </c>
      <c r="F506" s="252" t="s">
        <v>610</v>
      </c>
      <c r="G506" s="253" t="s">
        <v>34</v>
      </c>
      <c r="H506" s="253" t="s">
        <v>1338</v>
      </c>
      <c r="I506" s="253" t="s">
        <v>34</v>
      </c>
      <c r="J506" s="253"/>
      <c r="K506" s="254" t="s">
        <v>48</v>
      </c>
      <c r="L506" s="255"/>
      <c r="M506" s="255" t="s">
        <v>34</v>
      </c>
      <c r="N506" s="254">
        <v>523917</v>
      </c>
      <c r="O506" s="254" t="s">
        <v>1321</v>
      </c>
      <c r="P506" s="258">
        <v>43861</v>
      </c>
      <c r="Q506" s="259">
        <v>31853902.390000001</v>
      </c>
      <c r="R506" s="259">
        <v>49167005.023571409</v>
      </c>
      <c r="S506" s="254">
        <v>6</v>
      </c>
      <c r="T506" s="256">
        <v>-9.3731722040464649E-2</v>
      </c>
      <c r="U506" s="256">
        <v>-1.2116882655028212</v>
      </c>
      <c r="V506" s="256">
        <v>-8.1010622217774775E-2</v>
      </c>
      <c r="W506" s="256">
        <v>-0.79417497581081364</v>
      </c>
      <c r="X506" s="256">
        <v>6.9991019405606592E-2</v>
      </c>
      <c r="Y506" s="256">
        <v>0.53075461475978802</v>
      </c>
      <c r="Z506" s="256" t="s">
        <v>1417</v>
      </c>
      <c r="AA506" s="256" t="s">
        <v>1417</v>
      </c>
      <c r="AB506" s="256">
        <v>0.10479271948204506</v>
      </c>
      <c r="AC506" s="260">
        <v>-1.6808646278848305</v>
      </c>
      <c r="AD506" s="405">
        <v>34461768000184</v>
      </c>
      <c r="AE506" s="257" t="s">
        <v>2126</v>
      </c>
      <c r="AF506" s="257" t="s">
        <v>2118</v>
      </c>
      <c r="AG506" s="261" t="s">
        <v>1433</v>
      </c>
      <c r="AH506" s="261" t="s">
        <v>2110</v>
      </c>
      <c r="AI506" s="261">
        <v>500</v>
      </c>
      <c r="AJ506" s="261">
        <v>500</v>
      </c>
      <c r="AK506" s="261">
        <v>500</v>
      </c>
      <c r="AL506" s="256">
        <v>0.01</v>
      </c>
      <c r="AM506" s="256" t="s">
        <v>34</v>
      </c>
      <c r="AN506" s="256" t="s">
        <v>34</v>
      </c>
      <c r="AO506" s="254" t="s">
        <v>1324</v>
      </c>
      <c r="AP506" s="257" t="s">
        <v>13</v>
      </c>
      <c r="AQ506" s="263" t="s">
        <v>679</v>
      </c>
      <c r="AR506" s="256">
        <v>6.6666666666666662E-3</v>
      </c>
      <c r="AS506" s="256">
        <v>6.6666666666666662E-3</v>
      </c>
      <c r="AT506" s="256"/>
      <c r="AW506" s="508"/>
      <c r="AX506" s="508"/>
      <c r="AY506" s="509"/>
      <c r="AZ506" s="509"/>
      <c r="BA506" s="509"/>
      <c r="BB506" s="510"/>
      <c r="BC506" s="509"/>
      <c r="BD506" s="509"/>
      <c r="BE506" s="509"/>
      <c r="BF506" s="509"/>
      <c r="BG506" s="510"/>
      <c r="BH506" s="510"/>
      <c r="BI506" s="511"/>
      <c r="BJ506" s="511"/>
      <c r="BK506" s="511"/>
      <c r="BL506" s="510"/>
      <c r="BM506" s="510"/>
      <c r="BN506" s="510"/>
      <c r="BO506" s="510"/>
      <c r="BP506" s="510"/>
      <c r="BQ506" s="510"/>
      <c r="BR506" s="510"/>
      <c r="BS506" s="510"/>
      <c r="BT506" s="513"/>
      <c r="BU506" s="514"/>
      <c r="BV506" s="512"/>
      <c r="BW506" s="515"/>
    </row>
    <row r="507" spans="2:75" ht="15.75" customHeight="1">
      <c r="B507" s="250" t="s">
        <v>1065</v>
      </c>
      <c r="C507" s="251">
        <v>38281316000171</v>
      </c>
      <c r="D507" s="252" t="s">
        <v>13</v>
      </c>
      <c r="E507" s="252" t="s">
        <v>616</v>
      </c>
      <c r="F507" s="252" t="s">
        <v>610</v>
      </c>
      <c r="G507" s="253" t="s">
        <v>34</v>
      </c>
      <c r="H507" s="253" t="s">
        <v>1338</v>
      </c>
      <c r="I507" s="253" t="s">
        <v>34</v>
      </c>
      <c r="J507" s="253"/>
      <c r="K507" s="254" t="s">
        <v>49</v>
      </c>
      <c r="L507" s="255"/>
      <c r="M507" s="255" t="s">
        <v>34</v>
      </c>
      <c r="N507" s="254">
        <v>555096</v>
      </c>
      <c r="O507" s="254" t="s">
        <v>1321</v>
      </c>
      <c r="P507" s="258">
        <v>44119</v>
      </c>
      <c r="Q507" s="259">
        <v>14084323.300000001</v>
      </c>
      <c r="R507" s="259">
        <v>21427326.452420637</v>
      </c>
      <c r="S507" s="254">
        <v>6</v>
      </c>
      <c r="T507" s="256">
        <v>-0.20434964607582162</v>
      </c>
      <c r="U507" s="256">
        <v>-2.6416677600656211</v>
      </c>
      <c r="V507" s="256">
        <v>-0.13626659185733014</v>
      </c>
      <c r="W507" s="256">
        <v>-1.3358682396142911</v>
      </c>
      <c r="X507" s="256" t="s">
        <v>1417</v>
      </c>
      <c r="Y507" s="256" t="s">
        <v>1417</v>
      </c>
      <c r="Z507" s="256" t="s">
        <v>1417</v>
      </c>
      <c r="AA507" s="256" t="s">
        <v>1417</v>
      </c>
      <c r="AB507" s="256">
        <v>0.1549823360399025</v>
      </c>
      <c r="AC507" s="260">
        <v>-1.4946437287077934</v>
      </c>
      <c r="AD507" s="405">
        <v>36352767000127</v>
      </c>
      <c r="AE507" s="257" t="s">
        <v>2126</v>
      </c>
      <c r="AF507" s="257" t="s">
        <v>2118</v>
      </c>
      <c r="AG507" s="261" t="s">
        <v>1433</v>
      </c>
      <c r="AH507" s="261" t="s">
        <v>2110</v>
      </c>
      <c r="AI507" s="261">
        <v>1000</v>
      </c>
      <c r="AJ507" s="261" t="s">
        <v>1427</v>
      </c>
      <c r="AK507" s="261">
        <v>500</v>
      </c>
      <c r="AL507" s="256">
        <v>0.01</v>
      </c>
      <c r="AM507" s="256" t="s">
        <v>34</v>
      </c>
      <c r="AN507" s="256" t="s">
        <v>34</v>
      </c>
      <c r="AO507" s="254" t="s">
        <v>1324</v>
      </c>
      <c r="AP507" s="257" t="s">
        <v>13</v>
      </c>
      <c r="AQ507" s="263" t="s">
        <v>679</v>
      </c>
      <c r="AR507" s="256">
        <v>6.6666666666666662E-3</v>
      </c>
      <c r="AS507" s="256">
        <v>6.6666666666666662E-3</v>
      </c>
      <c r="AT507" s="256"/>
      <c r="AW507" s="508"/>
      <c r="AX507" s="508"/>
      <c r="AY507" s="509"/>
      <c r="AZ507" s="509"/>
      <c r="BA507" s="509"/>
      <c r="BB507" s="510"/>
      <c r="BC507" s="509"/>
      <c r="BD507" s="509"/>
      <c r="BE507" s="509"/>
      <c r="BF507" s="509"/>
      <c r="BG507" s="510"/>
      <c r="BH507" s="510"/>
      <c r="BI507" s="511"/>
      <c r="BJ507" s="511"/>
      <c r="BK507" s="511"/>
      <c r="BL507" s="510"/>
      <c r="BM507" s="510"/>
      <c r="BN507" s="510"/>
      <c r="BO507" s="510"/>
      <c r="BP507" s="510"/>
      <c r="BQ507" s="510"/>
      <c r="BR507" s="510"/>
      <c r="BS507" s="510"/>
      <c r="BT507" s="513"/>
      <c r="BU507" s="514"/>
      <c r="BV507" s="512"/>
      <c r="BW507" s="515"/>
    </row>
    <row r="508" spans="2:75" ht="15.75" customHeight="1">
      <c r="B508" s="250" t="s">
        <v>301</v>
      </c>
      <c r="C508" s="251">
        <v>9586692000176</v>
      </c>
      <c r="D508" s="252" t="s">
        <v>13</v>
      </c>
      <c r="E508" s="252" t="s">
        <v>616</v>
      </c>
      <c r="F508" s="252" t="s">
        <v>610</v>
      </c>
      <c r="G508" s="253" t="s">
        <v>34</v>
      </c>
      <c r="H508" s="253" t="s">
        <v>1338</v>
      </c>
      <c r="I508" s="253" t="s">
        <v>34</v>
      </c>
      <c r="J508" s="253"/>
      <c r="K508" s="254" t="s">
        <v>48</v>
      </c>
      <c r="L508" s="255"/>
      <c r="M508" s="255" t="s">
        <v>34</v>
      </c>
      <c r="N508" s="254">
        <v>211451</v>
      </c>
      <c r="O508" s="254" t="s">
        <v>1321</v>
      </c>
      <c r="P508" s="258">
        <v>39611</v>
      </c>
      <c r="Q508" s="259">
        <v>7823341.6100000003</v>
      </c>
      <c r="R508" s="259">
        <v>11392829.258928575</v>
      </c>
      <c r="S508" s="254">
        <v>6</v>
      </c>
      <c r="T508" s="256">
        <v>9.9416724254447253E-2</v>
      </c>
      <c r="U508" s="256">
        <v>1.2851793987294835</v>
      </c>
      <c r="V508" s="256">
        <v>4.7651579490077811E-3</v>
      </c>
      <c r="W508" s="256">
        <v>4.6714481327087269E-2</v>
      </c>
      <c r="X508" s="256">
        <v>-5.849565898584963E-2</v>
      </c>
      <c r="Y508" s="256">
        <v>-0.44358320844327581</v>
      </c>
      <c r="Z508" s="256">
        <v>-9.2593824831266103E-2</v>
      </c>
      <c r="AA508" s="256">
        <v>-0.52633331817209983</v>
      </c>
      <c r="AB508" s="256">
        <v>7.4571772531567201E-2</v>
      </c>
      <c r="AC508" s="260">
        <v>-1.201906631667917</v>
      </c>
      <c r="AD508" s="405">
        <v>9573796000146</v>
      </c>
      <c r="AE508" s="257" t="s">
        <v>2330</v>
      </c>
      <c r="AF508" s="257" t="s">
        <v>2109</v>
      </c>
      <c r="AG508" s="261" t="s">
        <v>1432</v>
      </c>
      <c r="AH508" s="261" t="s">
        <v>2113</v>
      </c>
      <c r="AI508" s="261">
        <v>1000</v>
      </c>
      <c r="AJ508" s="261">
        <v>500</v>
      </c>
      <c r="AK508" s="261">
        <v>1000</v>
      </c>
      <c r="AL508" s="256">
        <v>0.02</v>
      </c>
      <c r="AM508" s="256">
        <v>0.25</v>
      </c>
      <c r="AN508" s="256" t="s">
        <v>64</v>
      </c>
      <c r="AO508" s="254" t="s">
        <v>1324</v>
      </c>
      <c r="AP508" s="257" t="s">
        <v>13</v>
      </c>
      <c r="AQ508" s="263" t="s">
        <v>668</v>
      </c>
      <c r="AR508" s="256">
        <v>5.3333333333333332E-3</v>
      </c>
      <c r="AS508" s="256">
        <v>5.3333333333333332E-3</v>
      </c>
      <c r="AT508" s="256"/>
      <c r="AW508" s="508"/>
      <c r="AX508" s="508"/>
      <c r="AY508" s="509"/>
      <c r="AZ508" s="509"/>
      <c r="BA508" s="509"/>
      <c r="BB508" s="510"/>
      <c r="BC508" s="509"/>
      <c r="BD508" s="509"/>
      <c r="BE508" s="509"/>
      <c r="BF508" s="509"/>
      <c r="BG508" s="510"/>
      <c r="BH508" s="510"/>
      <c r="BI508" s="511"/>
      <c r="BJ508" s="511"/>
      <c r="BK508" s="511"/>
      <c r="BL508" s="510"/>
      <c r="BM508" s="510"/>
      <c r="BN508" s="510"/>
      <c r="BO508" s="510"/>
      <c r="BP508" s="510"/>
      <c r="BQ508" s="510"/>
      <c r="BR508" s="510"/>
      <c r="BS508" s="510"/>
      <c r="BT508" s="513"/>
      <c r="BU508" s="514"/>
      <c r="BV508" s="512"/>
      <c r="BW508" s="515"/>
    </row>
    <row r="509" spans="2:75" ht="15.75" customHeight="1">
      <c r="B509" s="250" t="s">
        <v>980</v>
      </c>
      <c r="C509" s="251">
        <v>19719727000151</v>
      </c>
      <c r="D509" s="252" t="s">
        <v>11</v>
      </c>
      <c r="E509" s="252" t="s">
        <v>621</v>
      </c>
      <c r="F509" s="252" t="s">
        <v>672</v>
      </c>
      <c r="G509" s="253" t="s">
        <v>738</v>
      </c>
      <c r="H509" s="253" t="s">
        <v>34</v>
      </c>
      <c r="I509" s="253"/>
      <c r="J509" s="253" t="s">
        <v>608</v>
      </c>
      <c r="K509" s="254" t="s">
        <v>48</v>
      </c>
      <c r="L509" s="255"/>
      <c r="M509" s="255" t="s">
        <v>1414</v>
      </c>
      <c r="N509" s="254">
        <v>367354</v>
      </c>
      <c r="O509" s="254" t="s">
        <v>1321</v>
      </c>
      <c r="P509" s="258">
        <v>41754</v>
      </c>
      <c r="Q509" s="259">
        <v>853429348.91999996</v>
      </c>
      <c r="R509" s="259">
        <v>990819277.07980216</v>
      </c>
      <c r="S509" s="254">
        <v>6</v>
      </c>
      <c r="T509" s="256">
        <v>7.4976989183257681E-2</v>
      </c>
      <c r="U509" s="256">
        <v>0.96924217328329076</v>
      </c>
      <c r="V509" s="256">
        <v>0.10153738244470722</v>
      </c>
      <c r="W509" s="256">
        <v>0.99540586208737425</v>
      </c>
      <c r="X509" s="256">
        <v>0.1687089777046582</v>
      </c>
      <c r="Y509" s="256">
        <v>1.2793508257000858</v>
      </c>
      <c r="Z509" s="256">
        <v>0.25742255504842571</v>
      </c>
      <c r="AA509" s="256">
        <v>1.463273256266082</v>
      </c>
      <c r="AB509" s="256">
        <v>3.9453290013497871E-2</v>
      </c>
      <c r="AC509" s="260">
        <v>8.8302815717133214E-3</v>
      </c>
      <c r="AD509" s="405">
        <v>0</v>
      </c>
      <c r="AE509" s="257" t="s">
        <v>2275</v>
      </c>
      <c r="AF509" s="257" t="s">
        <v>2115</v>
      </c>
      <c r="AG509" s="261" t="s">
        <v>719</v>
      </c>
      <c r="AH509" s="261" t="s">
        <v>2113</v>
      </c>
      <c r="AI509" s="261">
        <v>500</v>
      </c>
      <c r="AJ509" s="261">
        <v>500</v>
      </c>
      <c r="AK509" s="261">
        <v>500</v>
      </c>
      <c r="AL509" s="256">
        <v>4.0000000000000001E-3</v>
      </c>
      <c r="AM509" s="256">
        <v>0.2</v>
      </c>
      <c r="AN509" s="256" t="s">
        <v>2122</v>
      </c>
      <c r="AO509" s="254" t="s">
        <v>1324</v>
      </c>
      <c r="AP509" s="257" t="s">
        <v>11</v>
      </c>
      <c r="AQ509" s="263" t="s">
        <v>669</v>
      </c>
      <c r="AR509" s="256">
        <v>6.6666666666666664E-4</v>
      </c>
      <c r="AS509" s="256">
        <v>6.6666666666666664E-4</v>
      </c>
      <c r="AT509" s="256"/>
      <c r="AW509" s="508"/>
      <c r="AX509" s="508"/>
      <c r="AY509" s="509"/>
      <c r="AZ509" s="509"/>
      <c r="BA509" s="509"/>
      <c r="BB509" s="510"/>
      <c r="BC509" s="509"/>
      <c r="BD509" s="509"/>
      <c r="BE509" s="509"/>
      <c r="BF509" s="509"/>
      <c r="BG509" s="510"/>
      <c r="BH509" s="510"/>
      <c r="BI509" s="511"/>
      <c r="BJ509" s="511"/>
      <c r="BK509" s="511"/>
      <c r="BL509" s="510"/>
      <c r="BM509" s="510"/>
      <c r="BN509" s="510"/>
      <c r="BO509" s="510"/>
      <c r="BP509" s="510"/>
      <c r="BQ509" s="510"/>
      <c r="BR509" s="510"/>
      <c r="BS509" s="510"/>
      <c r="BT509" s="513"/>
      <c r="BU509" s="514"/>
      <c r="BV509" s="512"/>
      <c r="BW509" s="515"/>
    </row>
    <row r="510" spans="2:75" ht="15.75" customHeight="1">
      <c r="B510" s="250" t="s">
        <v>1392</v>
      </c>
      <c r="C510" s="251">
        <v>43778868000120</v>
      </c>
      <c r="D510" s="252" t="s">
        <v>11</v>
      </c>
      <c r="E510" s="252" t="s">
        <v>621</v>
      </c>
      <c r="F510" s="252" t="s">
        <v>672</v>
      </c>
      <c r="G510" s="253" t="s">
        <v>866</v>
      </c>
      <c r="H510" s="253" t="s">
        <v>34</v>
      </c>
      <c r="I510" s="253"/>
      <c r="J510" s="253" t="s">
        <v>608</v>
      </c>
      <c r="K510" s="254" t="s">
        <v>48</v>
      </c>
      <c r="L510" s="255"/>
      <c r="M510" s="255" t="s">
        <v>34</v>
      </c>
      <c r="N510" s="254">
        <v>639011</v>
      </c>
      <c r="O510" s="254" t="s">
        <v>1321</v>
      </c>
      <c r="P510" s="258">
        <v>44543</v>
      </c>
      <c r="Q510" s="259">
        <v>60440781.579999998</v>
      </c>
      <c r="R510" s="259" t="s">
        <v>1417</v>
      </c>
      <c r="S510" s="254">
        <v>6</v>
      </c>
      <c r="T510" s="256">
        <v>2.3315395805235894E-2</v>
      </c>
      <c r="U510" s="256">
        <v>0.30140267230513357</v>
      </c>
      <c r="V510" s="256" t="s">
        <v>1417</v>
      </c>
      <c r="W510" s="256" t="s">
        <v>1417</v>
      </c>
      <c r="X510" s="256" t="s">
        <v>1417</v>
      </c>
      <c r="Y510" s="256" t="s">
        <v>1417</v>
      </c>
      <c r="Z510" s="256" t="s">
        <v>1417</v>
      </c>
      <c r="AA510" s="256" t="s">
        <v>1417</v>
      </c>
      <c r="AB510" s="256" t="s">
        <v>1417</v>
      </c>
      <c r="AC510" s="260" t="s">
        <v>1417</v>
      </c>
      <c r="AD510" s="405">
        <v>43774619000166</v>
      </c>
      <c r="AE510" s="257" t="s">
        <v>2293</v>
      </c>
      <c r="AF510" s="257" t="s">
        <v>2118</v>
      </c>
      <c r="AG510" s="261" t="s">
        <v>1433</v>
      </c>
      <c r="AH510" s="261" t="s">
        <v>2113</v>
      </c>
      <c r="AI510" s="261">
        <v>20000</v>
      </c>
      <c r="AJ510" s="261">
        <v>5000</v>
      </c>
      <c r="AK510" s="261">
        <v>20000</v>
      </c>
      <c r="AL510" s="256">
        <v>7.4999999999999997E-3</v>
      </c>
      <c r="AM510" s="256">
        <v>0.2</v>
      </c>
      <c r="AN510" s="256" t="s">
        <v>636</v>
      </c>
      <c r="AO510" s="254" t="s">
        <v>1324</v>
      </c>
      <c r="AP510" s="257" t="s">
        <v>11</v>
      </c>
      <c r="AQ510" s="263" t="s">
        <v>683</v>
      </c>
      <c r="AR510" s="256">
        <v>2.0002499999999999E-3</v>
      </c>
      <c r="AS510" s="256">
        <v>2.0002499999999999E-3</v>
      </c>
      <c r="AT510" s="256"/>
      <c r="AW510" s="508"/>
      <c r="AX510" s="508"/>
      <c r="AY510" s="509"/>
      <c r="AZ510" s="509"/>
      <c r="BA510" s="509"/>
      <c r="BB510" s="510"/>
      <c r="BC510" s="509"/>
      <c r="BD510" s="509"/>
      <c r="BE510" s="509"/>
      <c r="BF510" s="509"/>
      <c r="BG510" s="510"/>
      <c r="BH510" s="510"/>
      <c r="BI510" s="511"/>
      <c r="BJ510" s="511"/>
      <c r="BK510" s="511"/>
      <c r="BL510" s="510"/>
      <c r="BM510" s="510"/>
      <c r="BN510" s="510"/>
      <c r="BO510" s="510"/>
      <c r="BP510" s="510"/>
      <c r="BQ510" s="510"/>
      <c r="BR510" s="510"/>
      <c r="BS510" s="510"/>
      <c r="BT510" s="513"/>
      <c r="BU510" s="514"/>
      <c r="BV510" s="512"/>
      <c r="BW510" s="515"/>
    </row>
    <row r="511" spans="2:75" ht="15.75" customHeight="1">
      <c r="B511" s="250" t="s">
        <v>1104</v>
      </c>
      <c r="C511" s="251">
        <v>27181717000133</v>
      </c>
      <c r="D511" s="252" t="s">
        <v>14</v>
      </c>
      <c r="E511" s="252" t="s">
        <v>607</v>
      </c>
      <c r="F511" s="252" t="s">
        <v>860</v>
      </c>
      <c r="G511" s="253"/>
      <c r="H511" s="253" t="s">
        <v>34</v>
      </c>
      <c r="I511" s="253" t="s">
        <v>34</v>
      </c>
      <c r="J511" s="253" t="s">
        <v>611</v>
      </c>
      <c r="K511" s="254"/>
      <c r="L511" s="255"/>
      <c r="M511" s="255" t="s">
        <v>34</v>
      </c>
      <c r="N511" s="254">
        <v>480673</v>
      </c>
      <c r="O511" s="254" t="s">
        <v>1321</v>
      </c>
      <c r="P511" s="258">
        <v>43418</v>
      </c>
      <c r="Q511" s="259">
        <v>18524217.530000001</v>
      </c>
      <c r="R511" s="259">
        <v>30482038.199246027</v>
      </c>
      <c r="S511" s="254">
        <v>6</v>
      </c>
      <c r="T511" s="256">
        <v>-0.18663470580016561</v>
      </c>
      <c r="U511" s="256">
        <v>-2.4126632694959387</v>
      </c>
      <c r="V511" s="256">
        <v>-0.13031596591600147</v>
      </c>
      <c r="W511" s="256">
        <v>-1.2775322080712945</v>
      </c>
      <c r="X511" s="256">
        <v>1.8115121685086777E-2</v>
      </c>
      <c r="Y511" s="256">
        <v>0.13737025854097984</v>
      </c>
      <c r="Z511" s="256">
        <v>0.4603123170784349</v>
      </c>
      <c r="AA511" s="256">
        <v>2.6165644381240702</v>
      </c>
      <c r="AB511" s="256">
        <v>0.17766792055132186</v>
      </c>
      <c r="AC511" s="260">
        <v>-1.2439506655402839</v>
      </c>
      <c r="AD511" s="405">
        <v>0</v>
      </c>
      <c r="AE511" s="257" t="s">
        <v>2347</v>
      </c>
      <c r="AF511" s="257" t="s">
        <v>2109</v>
      </c>
      <c r="AG511" s="261" t="s">
        <v>1432</v>
      </c>
      <c r="AH511" s="261" t="s">
        <v>2110</v>
      </c>
      <c r="AI511" s="261">
        <v>5000</v>
      </c>
      <c r="AJ511" s="261">
        <v>200</v>
      </c>
      <c r="AK511" s="261">
        <v>200</v>
      </c>
      <c r="AL511" s="256">
        <v>1.7500000000000002E-2</v>
      </c>
      <c r="AM511" s="256" t="s">
        <v>34</v>
      </c>
      <c r="AN511" s="256" t="s">
        <v>2127</v>
      </c>
      <c r="AO511" s="254" t="s">
        <v>1324</v>
      </c>
      <c r="AP511" s="257" t="s">
        <v>716</v>
      </c>
      <c r="AQ511" s="263" t="s">
        <v>687</v>
      </c>
      <c r="AR511" s="256">
        <v>5.8333333333333336E-3</v>
      </c>
      <c r="AS511" s="256">
        <v>5.8333333333333336E-3</v>
      </c>
      <c r="AT511" s="256"/>
      <c r="AW511" s="508"/>
      <c r="AX511" s="508"/>
      <c r="AY511" s="509"/>
      <c r="AZ511" s="509"/>
      <c r="BA511" s="509"/>
      <c r="BB511" s="510"/>
      <c r="BC511" s="509"/>
      <c r="BD511" s="509"/>
      <c r="BE511" s="509"/>
      <c r="BF511" s="509"/>
      <c r="BG511" s="510"/>
      <c r="BH511" s="510"/>
      <c r="BI511" s="511"/>
      <c r="BJ511" s="511"/>
      <c r="BK511" s="511"/>
      <c r="BL511" s="510"/>
      <c r="BM511" s="510"/>
      <c r="BN511" s="510"/>
      <c r="BO511" s="510"/>
      <c r="BP511" s="510"/>
      <c r="BQ511" s="510"/>
      <c r="BR511" s="510"/>
      <c r="BS511" s="510"/>
      <c r="BT511" s="513"/>
      <c r="BU511" s="514"/>
      <c r="BV511" s="512"/>
      <c r="BW511" s="515"/>
    </row>
    <row r="512" spans="2:75" ht="15.75" customHeight="1">
      <c r="B512" s="250" t="s">
        <v>498</v>
      </c>
      <c r="C512" s="251">
        <v>42190534000178</v>
      </c>
      <c r="D512" s="252" t="s">
        <v>14</v>
      </c>
      <c r="E512" s="252" t="s">
        <v>607</v>
      </c>
      <c r="F512" s="252" t="s">
        <v>860</v>
      </c>
      <c r="G512" s="253"/>
      <c r="H512" s="253" t="s">
        <v>34</v>
      </c>
      <c r="I512" s="253" t="s">
        <v>34</v>
      </c>
      <c r="J512" s="253" t="s">
        <v>611</v>
      </c>
      <c r="K512" s="254" t="s">
        <v>48</v>
      </c>
      <c r="L512" s="255"/>
      <c r="M512" s="255" t="s">
        <v>1414</v>
      </c>
      <c r="N512" s="254">
        <v>599476</v>
      </c>
      <c r="O512" s="254" t="s">
        <v>1321</v>
      </c>
      <c r="P512" s="258">
        <v>44377</v>
      </c>
      <c r="Q512" s="259">
        <v>70266129.950000003</v>
      </c>
      <c r="R512" s="259">
        <v>80820155.523293689</v>
      </c>
      <c r="S512" s="254">
        <v>6</v>
      </c>
      <c r="T512" s="256">
        <v>3.9015750570764451E-2</v>
      </c>
      <c r="U512" s="256">
        <v>0.5043642227758427</v>
      </c>
      <c r="V512" s="256">
        <v>0.1441958919877615</v>
      </c>
      <c r="W512" s="256">
        <v>1.4136018943732138</v>
      </c>
      <c r="X512" s="256" t="s">
        <v>1417</v>
      </c>
      <c r="Y512" s="256" t="s">
        <v>1417</v>
      </c>
      <c r="Z512" s="256" t="s">
        <v>1417</v>
      </c>
      <c r="AA512" s="256" t="s">
        <v>1417</v>
      </c>
      <c r="AB512" s="256">
        <v>0.13980221109764768</v>
      </c>
      <c r="AC512" s="260">
        <v>0.33856560682154202</v>
      </c>
      <c r="AD512" s="405">
        <v>0</v>
      </c>
      <c r="AE512" s="257" t="s">
        <v>2229</v>
      </c>
      <c r="AF512" s="257" t="s">
        <v>2109</v>
      </c>
      <c r="AG512" s="261" t="s">
        <v>1432</v>
      </c>
      <c r="AH512" s="261" t="s">
        <v>2113</v>
      </c>
      <c r="AI512" s="261">
        <v>0</v>
      </c>
      <c r="AJ512" s="261">
        <v>0</v>
      </c>
      <c r="AK512" s="261">
        <v>0</v>
      </c>
      <c r="AL512" s="256">
        <v>9.0000000000000011E-3</v>
      </c>
      <c r="AM512" s="256">
        <v>0.1</v>
      </c>
      <c r="AN512" s="256" t="s">
        <v>34</v>
      </c>
      <c r="AO512" s="254" t="s">
        <v>1324</v>
      </c>
      <c r="AP512" s="257" t="s">
        <v>13</v>
      </c>
      <c r="AQ512" s="263" t="s">
        <v>668</v>
      </c>
      <c r="AR512" s="256">
        <v>2.9996999999999997E-3</v>
      </c>
      <c r="AS512" s="256">
        <v>2.9996999999999997E-3</v>
      </c>
      <c r="AT512" s="256"/>
      <c r="AW512" s="508"/>
      <c r="AX512" s="508"/>
      <c r="AY512" s="509"/>
      <c r="AZ512" s="509"/>
      <c r="BA512" s="509"/>
      <c r="BB512" s="510"/>
      <c r="BC512" s="509"/>
      <c r="BD512" s="509"/>
      <c r="BE512" s="509"/>
      <c r="BF512" s="509"/>
      <c r="BG512" s="510"/>
      <c r="BH512" s="510"/>
      <c r="BI512" s="511"/>
      <c r="BJ512" s="511"/>
      <c r="BK512" s="511"/>
      <c r="BL512" s="510"/>
      <c r="BM512" s="510"/>
      <c r="BN512" s="510"/>
      <c r="BO512" s="510"/>
      <c r="BP512" s="510"/>
      <c r="BQ512" s="510"/>
      <c r="BR512" s="510"/>
      <c r="BS512" s="510"/>
      <c r="BT512" s="513"/>
      <c r="BU512" s="514"/>
      <c r="BV512" s="512"/>
      <c r="BW512" s="515"/>
    </row>
    <row r="513" spans="2:75" ht="15.75" customHeight="1">
      <c r="B513" s="250" t="s">
        <v>731</v>
      </c>
      <c r="C513" s="251">
        <v>44209755000176</v>
      </c>
      <c r="D513" s="252" t="s">
        <v>14</v>
      </c>
      <c r="E513" s="252" t="s">
        <v>607</v>
      </c>
      <c r="F513" s="252"/>
      <c r="G513" s="253"/>
      <c r="H513" s="253" t="s">
        <v>34</v>
      </c>
      <c r="I513" s="253" t="s">
        <v>34</v>
      </c>
      <c r="J513" s="253" t="s">
        <v>611</v>
      </c>
      <c r="K513" s="254" t="s">
        <v>49</v>
      </c>
      <c r="L513" s="255"/>
      <c r="M513" s="255" t="s">
        <v>1414</v>
      </c>
      <c r="N513" s="254">
        <v>634697</v>
      </c>
      <c r="O513" s="254" t="s">
        <v>1321</v>
      </c>
      <c r="P513" s="258">
        <v>44578</v>
      </c>
      <c r="Q513" s="259">
        <v>1153459.3999999999</v>
      </c>
      <c r="R513" s="259" t="s">
        <v>1417</v>
      </c>
      <c r="S513" s="254">
        <v>6</v>
      </c>
      <c r="T513" s="256" t="s">
        <v>1417</v>
      </c>
      <c r="U513" s="256" t="s">
        <v>1417</v>
      </c>
      <c r="V513" s="256" t="s">
        <v>1417</v>
      </c>
      <c r="W513" s="256" t="s">
        <v>1417</v>
      </c>
      <c r="X513" s="256" t="s">
        <v>1417</v>
      </c>
      <c r="Y513" s="256" t="s">
        <v>1417</v>
      </c>
      <c r="Z513" s="256" t="s">
        <v>1417</v>
      </c>
      <c r="AA513" s="256" t="s">
        <v>1417</v>
      </c>
      <c r="AB513" s="256" t="s">
        <v>1417</v>
      </c>
      <c r="AC513" s="260" t="s">
        <v>1417</v>
      </c>
      <c r="AD513" s="405">
        <v>43984876000122</v>
      </c>
      <c r="AE513" s="257" t="s">
        <v>2123</v>
      </c>
      <c r="AF513" s="257" t="s">
        <v>2109</v>
      </c>
      <c r="AG513" s="261" t="s">
        <v>1432</v>
      </c>
      <c r="AH513" s="261" t="s">
        <v>2110</v>
      </c>
      <c r="AI513" s="261">
        <v>0</v>
      </c>
      <c r="AJ513" s="261">
        <v>0</v>
      </c>
      <c r="AK513" s="261">
        <v>0</v>
      </c>
      <c r="AL513" s="519">
        <v>4.0000000000000001E-3</v>
      </c>
      <c r="AM513" s="519" t="s">
        <v>34</v>
      </c>
      <c r="AN513" s="256" t="s">
        <v>2127</v>
      </c>
      <c r="AO513" s="254" t="s">
        <v>1324</v>
      </c>
      <c r="AP513" s="257" t="s">
        <v>716</v>
      </c>
      <c r="AQ513" s="263" t="s">
        <v>687</v>
      </c>
      <c r="AR513" s="256">
        <v>2.6666666666666666E-3</v>
      </c>
      <c r="AS513" s="256">
        <v>2.6666666666666666E-3</v>
      </c>
      <c r="AT513" s="256"/>
      <c r="AW513" s="508"/>
      <c r="AX513" s="508"/>
      <c r="AY513" s="509"/>
      <c r="AZ513" s="509"/>
      <c r="BA513" s="509"/>
      <c r="BB513" s="510"/>
      <c r="BC513" s="509"/>
      <c r="BD513" s="509"/>
      <c r="BE513" s="509"/>
      <c r="BF513" s="509"/>
      <c r="BG513" s="510"/>
      <c r="BH513" s="510"/>
      <c r="BI513" s="511"/>
      <c r="BJ513" s="511"/>
      <c r="BK513" s="511"/>
      <c r="BL513" s="510"/>
      <c r="BM513" s="510"/>
      <c r="BN513" s="510"/>
      <c r="BO513" s="510"/>
      <c r="BP513" s="510"/>
      <c r="BQ513" s="510"/>
      <c r="BR513" s="510"/>
      <c r="BS513" s="510"/>
      <c r="BT513" s="513"/>
      <c r="BU513" s="514"/>
      <c r="BV513" s="512"/>
      <c r="BW513" s="515"/>
    </row>
    <row r="514" spans="2:75" ht="15.75" customHeight="1">
      <c r="B514" s="250" t="s">
        <v>153</v>
      </c>
      <c r="C514" s="251">
        <v>41287933000199</v>
      </c>
      <c r="D514" s="252" t="s">
        <v>14</v>
      </c>
      <c r="E514" s="252" t="s">
        <v>607</v>
      </c>
      <c r="F514" s="252"/>
      <c r="G514" s="253"/>
      <c r="H514" s="253" t="s">
        <v>34</v>
      </c>
      <c r="I514" s="253" t="s">
        <v>34</v>
      </c>
      <c r="J514" s="253" t="s">
        <v>611</v>
      </c>
      <c r="K514" s="254" t="s">
        <v>48</v>
      </c>
      <c r="L514" s="255"/>
      <c r="M514" s="255" t="s">
        <v>1414</v>
      </c>
      <c r="N514" s="254">
        <v>585378</v>
      </c>
      <c r="O514" s="254" t="s">
        <v>1321</v>
      </c>
      <c r="P514" s="258">
        <v>44300</v>
      </c>
      <c r="Q514" s="259">
        <v>93136487.060000002</v>
      </c>
      <c r="R514" s="259">
        <v>122132653.60972215</v>
      </c>
      <c r="S514" s="254">
        <v>6</v>
      </c>
      <c r="T514" s="256">
        <v>-0.16166281421489226</v>
      </c>
      <c r="U514" s="256">
        <v>-2.0898467529251485</v>
      </c>
      <c r="V514" s="256">
        <v>-0.13222606884243249</v>
      </c>
      <c r="W514" s="256">
        <v>-1.2962576036288869</v>
      </c>
      <c r="X514" s="256" t="s">
        <v>1417</v>
      </c>
      <c r="Y514" s="256" t="s">
        <v>1417</v>
      </c>
      <c r="Z514" s="256" t="s">
        <v>1417</v>
      </c>
      <c r="AA514" s="256" t="s">
        <v>1417</v>
      </c>
      <c r="AB514" s="256">
        <v>0.16023070771555753</v>
      </c>
      <c r="AC514" s="260">
        <v>-1.4112386277743836</v>
      </c>
      <c r="AD514" s="405">
        <v>0</v>
      </c>
      <c r="AE514" s="257" t="s">
        <v>2123</v>
      </c>
      <c r="AF514" s="257" t="s">
        <v>2109</v>
      </c>
      <c r="AG514" s="261" t="s">
        <v>1432</v>
      </c>
      <c r="AH514" s="261" t="s">
        <v>2110</v>
      </c>
      <c r="AI514" s="261">
        <v>5000</v>
      </c>
      <c r="AJ514" s="261">
        <v>1000</v>
      </c>
      <c r="AK514" s="261">
        <v>5000</v>
      </c>
      <c r="AL514" s="256">
        <v>5.0000000000000001E-3</v>
      </c>
      <c r="AM514" s="256">
        <v>0.2</v>
      </c>
      <c r="AN514" s="256" t="s">
        <v>34</v>
      </c>
      <c r="AO514" s="254" t="s">
        <v>1324</v>
      </c>
      <c r="AP514" s="257" t="s">
        <v>716</v>
      </c>
      <c r="AQ514" s="263" t="s">
        <v>687</v>
      </c>
      <c r="AR514" s="256">
        <v>3.3333333333333331E-3</v>
      </c>
      <c r="AS514" s="256">
        <v>3.3333333333333331E-3</v>
      </c>
      <c r="AT514" s="256"/>
      <c r="AV514" s="406"/>
      <c r="AW514" s="508"/>
      <c r="AX514" s="508"/>
      <c r="AY514" s="509"/>
      <c r="AZ514" s="509"/>
      <c r="BA514" s="509"/>
      <c r="BB514" s="510"/>
      <c r="BC514" s="509"/>
      <c r="BD514" s="509"/>
      <c r="BE514" s="509"/>
      <c r="BF514" s="509"/>
      <c r="BG514" s="510"/>
      <c r="BH514" s="510"/>
      <c r="BI514" s="511"/>
      <c r="BJ514" s="511"/>
      <c r="BK514" s="511"/>
      <c r="BL514" s="510"/>
      <c r="BM514" s="510"/>
      <c r="BN514" s="510"/>
      <c r="BO514" s="510"/>
      <c r="BP514" s="510"/>
      <c r="BQ514" s="510"/>
      <c r="BR514" s="510"/>
      <c r="BS514" s="510"/>
      <c r="BT514" s="513"/>
      <c r="BU514" s="514"/>
      <c r="BV514" s="512"/>
      <c r="BW514" s="515"/>
    </row>
    <row r="515" spans="2:75" ht="15.75" customHeight="1">
      <c r="B515" s="250" t="s">
        <v>580</v>
      </c>
      <c r="C515" s="251">
        <v>40938560000106</v>
      </c>
      <c r="D515" s="252" t="s">
        <v>14</v>
      </c>
      <c r="E515" s="252" t="s">
        <v>607</v>
      </c>
      <c r="F515" s="252"/>
      <c r="G515" s="253"/>
      <c r="H515" s="253" t="s">
        <v>34</v>
      </c>
      <c r="I515" s="253" t="s">
        <v>34</v>
      </c>
      <c r="J515" s="253" t="s">
        <v>611</v>
      </c>
      <c r="K515" s="254"/>
      <c r="L515" s="255"/>
      <c r="M515" s="255" t="s">
        <v>1414</v>
      </c>
      <c r="N515" s="254">
        <v>583472</v>
      </c>
      <c r="O515" s="254" t="s">
        <v>1321</v>
      </c>
      <c r="P515" s="258">
        <v>44295</v>
      </c>
      <c r="Q515" s="259">
        <v>37821580.960000001</v>
      </c>
      <c r="R515" s="259">
        <v>164319591.82630962</v>
      </c>
      <c r="S515" s="254">
        <v>6</v>
      </c>
      <c r="T515" s="256">
        <v>-0.14823903766416369</v>
      </c>
      <c r="U515" s="256">
        <v>-1.9163149733828091</v>
      </c>
      <c r="V515" s="256">
        <v>-0.12349386063934487</v>
      </c>
      <c r="W515" s="256">
        <v>-1.2106527650458734</v>
      </c>
      <c r="X515" s="256" t="s">
        <v>1417</v>
      </c>
      <c r="Y515" s="256" t="s">
        <v>1417</v>
      </c>
      <c r="Z515" s="256" t="s">
        <v>1417</v>
      </c>
      <c r="AA515" s="256" t="s">
        <v>1417</v>
      </c>
      <c r="AB515" s="256">
        <v>0.21444830333449946</v>
      </c>
      <c r="AC515" s="260">
        <v>-0.96063820602920202</v>
      </c>
      <c r="AD515" s="405">
        <v>0</v>
      </c>
      <c r="AE515" s="257" t="s">
        <v>2212</v>
      </c>
      <c r="AF515" s="257" t="s">
        <v>2109</v>
      </c>
      <c r="AG515" s="261" t="s">
        <v>1432</v>
      </c>
      <c r="AH515" s="261" t="s">
        <v>2110</v>
      </c>
      <c r="AI515" s="261">
        <v>0</v>
      </c>
      <c r="AJ515" s="261">
        <v>0</v>
      </c>
      <c r="AK515" s="261">
        <v>0</v>
      </c>
      <c r="AL515" s="256">
        <v>2E-3</v>
      </c>
      <c r="AM515" s="256" t="s">
        <v>34</v>
      </c>
      <c r="AN515" s="256" t="s">
        <v>34</v>
      </c>
      <c r="AO515" s="254" t="s">
        <v>1324</v>
      </c>
      <c r="AP515" s="257" t="s">
        <v>716</v>
      </c>
      <c r="AQ515" s="263" t="s">
        <v>687</v>
      </c>
      <c r="AR515" s="256" t="s">
        <v>34</v>
      </c>
      <c r="AS515" s="256" t="s">
        <v>34</v>
      </c>
      <c r="AT515" s="256"/>
      <c r="AW515" s="508"/>
      <c r="AX515" s="508"/>
      <c r="AY515" s="509"/>
      <c r="AZ515" s="509"/>
      <c r="BA515" s="509"/>
      <c r="BB515" s="510"/>
      <c r="BC515" s="509"/>
      <c r="BD515" s="509"/>
      <c r="BE515" s="509"/>
      <c r="BF515" s="509"/>
      <c r="BG515" s="510"/>
      <c r="BH515" s="510"/>
      <c r="BI515" s="511"/>
      <c r="BJ515" s="511"/>
      <c r="BK515" s="511"/>
      <c r="BL515" s="510"/>
      <c r="BM515" s="510"/>
      <c r="BN515" s="510"/>
      <c r="BO515" s="510"/>
      <c r="BP515" s="510"/>
      <c r="BQ515" s="510"/>
      <c r="BR515" s="510"/>
      <c r="BS515" s="510"/>
      <c r="BT515" s="513"/>
      <c r="BU515" s="514"/>
      <c r="BV515" s="512"/>
      <c r="BW515" s="515"/>
    </row>
    <row r="516" spans="2:75" ht="15.75" customHeight="1">
      <c r="B516" s="250" t="s">
        <v>178</v>
      </c>
      <c r="C516" s="251">
        <v>41088640000182</v>
      </c>
      <c r="D516" s="252" t="s">
        <v>14</v>
      </c>
      <c r="E516" s="252" t="s">
        <v>607</v>
      </c>
      <c r="F516" s="252"/>
      <c r="G516" s="253"/>
      <c r="H516" s="253" t="s">
        <v>34</v>
      </c>
      <c r="I516" s="253" t="s">
        <v>34</v>
      </c>
      <c r="J516" s="253" t="s">
        <v>611</v>
      </c>
      <c r="K516" s="254" t="s">
        <v>48</v>
      </c>
      <c r="L516" s="255"/>
      <c r="M516" s="255" t="s">
        <v>34</v>
      </c>
      <c r="N516" s="254">
        <v>583502</v>
      </c>
      <c r="O516" s="254" t="s">
        <v>1324</v>
      </c>
      <c r="P516" s="258">
        <v>44295</v>
      </c>
      <c r="Q516" s="259">
        <v>5502373.4199999999</v>
      </c>
      <c r="R516" s="259">
        <v>8284613.714563489</v>
      </c>
      <c r="S516" s="254">
        <v>6</v>
      </c>
      <c r="T516" s="256">
        <v>-0.15134708130699115</v>
      </c>
      <c r="U516" s="256">
        <v>-1.9564932601858498</v>
      </c>
      <c r="V516" s="256">
        <v>-0.12946191815299979</v>
      </c>
      <c r="W516" s="256">
        <v>-1.269159684284231</v>
      </c>
      <c r="X516" s="256" t="s">
        <v>1417</v>
      </c>
      <c r="Y516" s="256" t="s">
        <v>1417</v>
      </c>
      <c r="Z516" s="256" t="s">
        <v>1417</v>
      </c>
      <c r="AA516" s="256" t="s">
        <v>1417</v>
      </c>
      <c r="AB516" s="256">
        <v>0.21179660829813415</v>
      </c>
      <c r="AC516" s="260">
        <v>-1.0075610493023903</v>
      </c>
      <c r="AD516" s="405">
        <v>40938560000106</v>
      </c>
      <c r="AE516" s="257" t="s">
        <v>2212</v>
      </c>
      <c r="AF516" s="257" t="s">
        <v>2109</v>
      </c>
      <c r="AG516" s="261" t="s">
        <v>1432</v>
      </c>
      <c r="AH516" s="261" t="s">
        <v>2110</v>
      </c>
      <c r="AI516" s="261">
        <v>1000</v>
      </c>
      <c r="AJ516" s="261">
        <v>1000</v>
      </c>
      <c r="AK516" s="261">
        <v>1000</v>
      </c>
      <c r="AL516" s="256">
        <v>8.0000000000000002E-3</v>
      </c>
      <c r="AM516" s="256" t="s">
        <v>34</v>
      </c>
      <c r="AN516" s="256" t="s">
        <v>34</v>
      </c>
      <c r="AO516" s="254" t="s">
        <v>1324</v>
      </c>
      <c r="AP516" s="257" t="s">
        <v>716</v>
      </c>
      <c r="AQ516" s="263" t="s">
        <v>687</v>
      </c>
      <c r="AR516" s="256">
        <v>5.3333333333333332E-3</v>
      </c>
      <c r="AS516" s="256">
        <v>5.3333333333333332E-3</v>
      </c>
      <c r="AT516" s="256"/>
      <c r="AW516" s="508"/>
      <c r="AX516" s="508"/>
      <c r="AY516" s="509"/>
      <c r="AZ516" s="509"/>
      <c r="BA516" s="509"/>
      <c r="BB516" s="510"/>
      <c r="BC516" s="509"/>
      <c r="BD516" s="509"/>
      <c r="BE516" s="509"/>
      <c r="BF516" s="509"/>
      <c r="BG516" s="510"/>
      <c r="BH516" s="510"/>
      <c r="BI516" s="511"/>
      <c r="BJ516" s="511"/>
      <c r="BK516" s="511"/>
      <c r="BL516" s="510"/>
      <c r="BM516" s="510"/>
      <c r="BN516" s="510"/>
      <c r="BO516" s="510"/>
      <c r="BP516" s="510"/>
      <c r="BQ516" s="510"/>
      <c r="BR516" s="510"/>
      <c r="BS516" s="510"/>
      <c r="BT516" s="513"/>
      <c r="BU516" s="514"/>
      <c r="BV516" s="512"/>
      <c r="BW516" s="515"/>
    </row>
    <row r="517" spans="2:75" ht="15.75" customHeight="1">
      <c r="B517" s="250" t="s">
        <v>907</v>
      </c>
      <c r="C517" s="251">
        <v>37712284000159</v>
      </c>
      <c r="D517" s="252" t="s">
        <v>14</v>
      </c>
      <c r="E517" s="252" t="s">
        <v>607</v>
      </c>
      <c r="F517" s="252"/>
      <c r="G517" s="253"/>
      <c r="H517" s="253" t="s">
        <v>34</v>
      </c>
      <c r="I517" s="253" t="s">
        <v>34</v>
      </c>
      <c r="J517" s="253" t="s">
        <v>611</v>
      </c>
      <c r="K517" s="254"/>
      <c r="L517" s="255"/>
      <c r="M517" s="255" t="s">
        <v>34</v>
      </c>
      <c r="N517" s="254">
        <v>566179</v>
      </c>
      <c r="O517" s="254" t="s">
        <v>1321</v>
      </c>
      <c r="P517" s="258">
        <v>44186</v>
      </c>
      <c r="Q517" s="259">
        <v>7322803.7699999996</v>
      </c>
      <c r="R517" s="259">
        <v>13668892.597380962</v>
      </c>
      <c r="S517" s="254">
        <v>6</v>
      </c>
      <c r="T517" s="256">
        <v>-0.24728509436593604</v>
      </c>
      <c r="U517" s="256">
        <v>-3.1967026803114642</v>
      </c>
      <c r="V517" s="256">
        <v>-0.17555654648732022</v>
      </c>
      <c r="W517" s="256">
        <v>-1.7210411701961523</v>
      </c>
      <c r="X517" s="256" t="s">
        <v>1417</v>
      </c>
      <c r="Y517" s="256" t="s">
        <v>1417</v>
      </c>
      <c r="Z517" s="256" t="s">
        <v>1417</v>
      </c>
      <c r="AA517" s="256" t="s">
        <v>1417</v>
      </c>
      <c r="AB517" s="256">
        <v>0.21828745414411718</v>
      </c>
      <c r="AC517" s="260">
        <v>-1.2205034491152718</v>
      </c>
      <c r="AD517" s="405">
        <v>37927395000182</v>
      </c>
      <c r="AE517" s="257" t="s">
        <v>2212</v>
      </c>
      <c r="AF517" s="257" t="s">
        <v>2109</v>
      </c>
      <c r="AG517" s="261" t="s">
        <v>1432</v>
      </c>
      <c r="AH517" s="261" t="s">
        <v>2110</v>
      </c>
      <c r="AI517" s="261">
        <v>1000</v>
      </c>
      <c r="AJ517" s="261">
        <v>1000</v>
      </c>
      <c r="AK517" s="261">
        <v>1000</v>
      </c>
      <c r="AL517" s="256">
        <v>8.0000000000000002E-3</v>
      </c>
      <c r="AM517" s="256" t="s">
        <v>34</v>
      </c>
      <c r="AN517" s="256" t="s">
        <v>34</v>
      </c>
      <c r="AO517" s="254" t="s">
        <v>1324</v>
      </c>
      <c r="AP517" s="257" t="s">
        <v>716</v>
      </c>
      <c r="AQ517" s="263" t="s">
        <v>687</v>
      </c>
      <c r="AR517" s="256">
        <v>5.3333333333333332E-3</v>
      </c>
      <c r="AS517" s="256">
        <v>5.3333333333333332E-3</v>
      </c>
      <c r="AT517" s="256"/>
      <c r="AW517" s="508"/>
      <c r="AX517" s="508"/>
      <c r="AY517" s="509"/>
      <c r="AZ517" s="509"/>
      <c r="BA517" s="509"/>
      <c r="BB517" s="510"/>
      <c r="BC517" s="509"/>
      <c r="BD517" s="509"/>
      <c r="BE517" s="509"/>
      <c r="BF517" s="509"/>
      <c r="BG517" s="510"/>
      <c r="BH517" s="510"/>
      <c r="BI517" s="511"/>
      <c r="BJ517" s="511"/>
      <c r="BK517" s="511"/>
      <c r="BL517" s="510"/>
      <c r="BM517" s="510"/>
      <c r="BN517" s="510"/>
      <c r="BO517" s="510"/>
      <c r="BP517" s="510"/>
      <c r="BQ517" s="510"/>
      <c r="BR517" s="510"/>
      <c r="BS517" s="510"/>
      <c r="BT517" s="513"/>
      <c r="BU517" s="514"/>
      <c r="BV517" s="512"/>
      <c r="BW517" s="515"/>
    </row>
    <row r="518" spans="2:75" ht="15.75" customHeight="1">
      <c r="B518" s="250" t="s">
        <v>921</v>
      </c>
      <c r="C518" s="251">
        <v>44614202000107</v>
      </c>
      <c r="D518" s="252" t="s">
        <v>11</v>
      </c>
      <c r="E518" s="252" t="s">
        <v>661</v>
      </c>
      <c r="F518" s="252"/>
      <c r="G518" s="253"/>
      <c r="H518" s="253" t="s">
        <v>34</v>
      </c>
      <c r="I518" s="253" t="s">
        <v>34</v>
      </c>
      <c r="J518" s="253" t="s">
        <v>611</v>
      </c>
      <c r="K518" s="254" t="s">
        <v>48</v>
      </c>
      <c r="L518" s="255"/>
      <c r="M518" s="255" t="s">
        <v>1414</v>
      </c>
      <c r="N518" s="254">
        <v>644668</v>
      </c>
      <c r="O518" s="254" t="s">
        <v>1321</v>
      </c>
      <c r="P518" s="258">
        <v>44650</v>
      </c>
      <c r="Q518" s="259">
        <v>3784111.87</v>
      </c>
      <c r="R518" s="259" t="s">
        <v>1417</v>
      </c>
      <c r="S518" s="254">
        <v>6</v>
      </c>
      <c r="T518" s="256" t="s">
        <v>1417</v>
      </c>
      <c r="U518" s="256" t="s">
        <v>1417</v>
      </c>
      <c r="V518" s="256" t="s">
        <v>1417</v>
      </c>
      <c r="W518" s="256" t="s">
        <v>1417</v>
      </c>
      <c r="X518" s="256" t="s">
        <v>1417</v>
      </c>
      <c r="Y518" s="256" t="s">
        <v>1417</v>
      </c>
      <c r="Z518" s="256" t="s">
        <v>1417</v>
      </c>
      <c r="AA518" s="256" t="s">
        <v>1417</v>
      </c>
      <c r="AB518" s="256" t="s">
        <v>1417</v>
      </c>
      <c r="AC518" s="260" t="s">
        <v>1417</v>
      </c>
      <c r="AD518" s="405">
        <v>44585973000105</v>
      </c>
      <c r="AE518" s="257" t="s">
        <v>2144</v>
      </c>
      <c r="AF518" s="257" t="s">
        <v>2109</v>
      </c>
      <c r="AG518" s="261" t="s">
        <v>1432</v>
      </c>
      <c r="AH518" s="261" t="s">
        <v>2119</v>
      </c>
      <c r="AI518" s="261">
        <v>5000</v>
      </c>
      <c r="AJ518" s="261">
        <v>5000</v>
      </c>
      <c r="AK518" s="261">
        <v>5000</v>
      </c>
      <c r="AL518" s="256">
        <v>0.01</v>
      </c>
      <c r="AM518" s="256" t="s">
        <v>34</v>
      </c>
      <c r="AN518" s="256" t="s">
        <v>2127</v>
      </c>
      <c r="AO518" s="254" t="s">
        <v>1321</v>
      </c>
      <c r="AP518" s="257" t="s">
        <v>13</v>
      </c>
      <c r="AQ518" s="263" t="s">
        <v>679</v>
      </c>
      <c r="AR518" s="256" t="s">
        <v>34</v>
      </c>
      <c r="AS518" s="256" t="s">
        <v>34</v>
      </c>
      <c r="AT518" s="256"/>
      <c r="AW518" s="508"/>
      <c r="AX518" s="508"/>
      <c r="AY518" s="509"/>
      <c r="AZ518" s="509"/>
      <c r="BA518" s="509"/>
      <c r="BB518" s="510"/>
      <c r="BC518" s="509"/>
      <c r="BD518" s="509"/>
      <c r="BE518" s="509"/>
      <c r="BF518" s="509"/>
      <c r="BG518" s="510"/>
      <c r="BH518" s="510"/>
      <c r="BI518" s="511"/>
      <c r="BJ518" s="511"/>
      <c r="BK518" s="511"/>
      <c r="BL518" s="510"/>
      <c r="BM518" s="510"/>
      <c r="BN518" s="510"/>
      <c r="BO518" s="510"/>
      <c r="BP518" s="510"/>
      <c r="BQ518" s="510"/>
      <c r="BR518" s="510"/>
      <c r="BS518" s="510"/>
      <c r="BT518" s="513"/>
      <c r="BU518" s="514"/>
      <c r="BV518" s="512"/>
      <c r="BW518" s="515"/>
    </row>
    <row r="519" spans="2:75" ht="15.75" customHeight="1">
      <c r="B519" s="250" t="s">
        <v>208</v>
      </c>
      <c r="C519" s="251">
        <v>36668282000147</v>
      </c>
      <c r="D519" s="252" t="s">
        <v>14</v>
      </c>
      <c r="E519" s="252" t="s">
        <v>614</v>
      </c>
      <c r="F519" s="252"/>
      <c r="G519" s="253"/>
      <c r="H519" s="253" t="s">
        <v>1338</v>
      </c>
      <c r="I519" s="253" t="s">
        <v>34</v>
      </c>
      <c r="J519" s="253" t="s">
        <v>608</v>
      </c>
      <c r="K519" s="254" t="s">
        <v>48</v>
      </c>
      <c r="L519" s="255"/>
      <c r="M519" s="255" t="s">
        <v>34</v>
      </c>
      <c r="N519" s="254">
        <v>539538</v>
      </c>
      <c r="O519" s="254" t="s">
        <v>1321</v>
      </c>
      <c r="P519" s="258">
        <v>43985</v>
      </c>
      <c r="Q519" s="259">
        <v>24930185.079999998</v>
      </c>
      <c r="R519" s="259">
        <v>26561857.679007925</v>
      </c>
      <c r="S519" s="254">
        <v>6</v>
      </c>
      <c r="T519" s="256">
        <v>-5.452065542348028E-2</v>
      </c>
      <c r="U519" s="256">
        <v>-0.70479915407544036</v>
      </c>
      <c r="V519" s="256">
        <v>-0.21770602833247588</v>
      </c>
      <c r="W519" s="256">
        <v>-2.1342470289887068</v>
      </c>
      <c r="X519" s="256">
        <v>-0.22538333218806761</v>
      </c>
      <c r="Y519" s="256">
        <v>-1.70912275124218</v>
      </c>
      <c r="Z519" s="256" t="s">
        <v>1417</v>
      </c>
      <c r="AA519" s="256" t="s">
        <v>1417</v>
      </c>
      <c r="AB519" s="256">
        <v>0.35359869672621097</v>
      </c>
      <c r="AC519" s="260">
        <v>-0.79227699980669364</v>
      </c>
      <c r="AD519" s="405">
        <v>0</v>
      </c>
      <c r="AE519" s="257" t="s">
        <v>2256</v>
      </c>
      <c r="AF519" s="257" t="s">
        <v>741</v>
      </c>
      <c r="AG519" s="261" t="s">
        <v>741</v>
      </c>
      <c r="AH519" s="261" t="s">
        <v>2113</v>
      </c>
      <c r="AI519" s="261">
        <v>1000</v>
      </c>
      <c r="AJ519" s="261">
        <v>100</v>
      </c>
      <c r="AK519" s="261">
        <v>1000</v>
      </c>
      <c r="AL519" s="256">
        <v>2.5000000000000001E-2</v>
      </c>
      <c r="AM519" s="256">
        <v>0.2</v>
      </c>
      <c r="AN519" s="256" t="s">
        <v>64</v>
      </c>
      <c r="AO519" s="254" t="s">
        <v>1324</v>
      </c>
      <c r="AP519" s="257" t="s">
        <v>13</v>
      </c>
      <c r="AQ519" s="263" t="s">
        <v>668</v>
      </c>
      <c r="AR519" s="256">
        <v>8.3333333333333332E-3</v>
      </c>
      <c r="AS519" s="256">
        <v>8.3333333333333332E-3</v>
      </c>
      <c r="AT519" s="256"/>
      <c r="AW519" s="508"/>
      <c r="AX519" s="508"/>
      <c r="AY519" s="509"/>
      <c r="AZ519" s="509"/>
      <c r="BA519" s="509"/>
      <c r="BB519" s="510"/>
      <c r="BC519" s="509"/>
      <c r="BD519" s="509"/>
      <c r="BE519" s="509"/>
      <c r="BF519" s="509"/>
      <c r="BG519" s="510"/>
      <c r="BH519" s="510"/>
      <c r="BI519" s="511"/>
      <c r="BJ519" s="511"/>
      <c r="BK519" s="511"/>
      <c r="BL519" s="510"/>
      <c r="BM519" s="510"/>
      <c r="BN519" s="510"/>
      <c r="BO519" s="510"/>
      <c r="BP519" s="510"/>
      <c r="BQ519" s="510"/>
      <c r="BR519" s="510"/>
      <c r="BS519" s="510"/>
      <c r="BT519" s="513"/>
      <c r="BU519" s="514"/>
      <c r="BV519" s="512"/>
      <c r="BW519" s="515"/>
    </row>
    <row r="520" spans="2:75" ht="15.75" customHeight="1">
      <c r="B520" s="250" t="s">
        <v>581</v>
      </c>
      <c r="C520" s="251">
        <v>36947848000170</v>
      </c>
      <c r="D520" s="252" t="s">
        <v>14</v>
      </c>
      <c r="E520" s="252" t="s">
        <v>607</v>
      </c>
      <c r="F520" s="252"/>
      <c r="G520" s="253"/>
      <c r="H520" s="253" t="s">
        <v>34</v>
      </c>
      <c r="I520" s="253" t="s">
        <v>34</v>
      </c>
      <c r="J520" s="253" t="s">
        <v>611</v>
      </c>
      <c r="K520" s="254"/>
      <c r="L520" s="255"/>
      <c r="M520" s="255" t="s">
        <v>1414</v>
      </c>
      <c r="N520" s="254">
        <v>552291</v>
      </c>
      <c r="O520" s="254" t="s">
        <v>1321</v>
      </c>
      <c r="P520" s="258">
        <v>44075</v>
      </c>
      <c r="Q520" s="259">
        <v>1807896.12</v>
      </c>
      <c r="R520" s="259">
        <v>2063240.4530158739</v>
      </c>
      <c r="S520" s="254">
        <v>6</v>
      </c>
      <c r="T520" s="256">
        <v>-0.27328712212156669</v>
      </c>
      <c r="U520" s="256">
        <v>-3.53283596821985</v>
      </c>
      <c r="V520" s="256">
        <v>-0.19365983795442421</v>
      </c>
      <c r="W520" s="256">
        <v>-1.8985139591883702</v>
      </c>
      <c r="X520" s="256" t="s">
        <v>1417</v>
      </c>
      <c r="Y520" s="256" t="s">
        <v>1417</v>
      </c>
      <c r="Z520" s="256" t="s">
        <v>1417</v>
      </c>
      <c r="AA520" s="256" t="s">
        <v>1417</v>
      </c>
      <c r="AB520" s="256">
        <v>0.19492951887379789</v>
      </c>
      <c r="AC520" s="260">
        <v>-1.50501245471908</v>
      </c>
      <c r="AD520" s="405">
        <v>36262399000126</v>
      </c>
      <c r="AE520" s="257" t="s">
        <v>2264</v>
      </c>
      <c r="AF520" s="257" t="s">
        <v>2112</v>
      </c>
      <c r="AG520" s="261" t="s">
        <v>59</v>
      </c>
      <c r="AH520" s="261" t="s">
        <v>2110</v>
      </c>
      <c r="AI520" s="261">
        <v>10000</v>
      </c>
      <c r="AJ520" s="261">
        <v>5000</v>
      </c>
      <c r="AK520" s="261">
        <v>10000</v>
      </c>
      <c r="AL520" s="256">
        <v>1.1000000000000001E-2</v>
      </c>
      <c r="AM520" s="256" t="s">
        <v>34</v>
      </c>
      <c r="AN520" s="256" t="s">
        <v>64</v>
      </c>
      <c r="AO520" s="254" t="s">
        <v>1324</v>
      </c>
      <c r="AP520" s="257" t="s">
        <v>13</v>
      </c>
      <c r="AQ520" s="263" t="s">
        <v>679</v>
      </c>
      <c r="AR520" s="256">
        <v>2.9333333333333329E-3</v>
      </c>
      <c r="AS520" s="256">
        <v>2.9333333333333329E-3</v>
      </c>
      <c r="AT520" s="256"/>
      <c r="AW520" s="508"/>
      <c r="AX520" s="508"/>
      <c r="AY520" s="509"/>
      <c r="AZ520" s="509"/>
      <c r="BA520" s="509"/>
      <c r="BB520" s="510"/>
      <c r="BC520" s="509"/>
      <c r="BD520" s="509"/>
      <c r="BE520" s="509"/>
      <c r="BF520" s="509"/>
      <c r="BG520" s="510"/>
      <c r="BH520" s="510"/>
      <c r="BI520" s="511"/>
      <c r="BJ520" s="511"/>
      <c r="BK520" s="511"/>
      <c r="BL520" s="510"/>
      <c r="BM520" s="510"/>
      <c r="BN520" s="510"/>
      <c r="BO520" s="510"/>
      <c r="BP520" s="510"/>
      <c r="BQ520" s="510"/>
      <c r="BR520" s="510"/>
      <c r="BS520" s="510"/>
      <c r="BT520" s="513"/>
      <c r="BU520" s="514"/>
      <c r="BV520" s="512"/>
      <c r="BW520" s="515"/>
    </row>
    <row r="521" spans="2:75" ht="15.75" customHeight="1">
      <c r="B521" s="250" t="s">
        <v>1005</v>
      </c>
      <c r="C521" s="251">
        <v>41483966000104</v>
      </c>
      <c r="D521" s="252" t="s">
        <v>14</v>
      </c>
      <c r="E521" s="252" t="s">
        <v>607</v>
      </c>
      <c r="F521" s="252"/>
      <c r="G521" s="253" t="s">
        <v>866</v>
      </c>
      <c r="H521" s="253" t="s">
        <v>34</v>
      </c>
      <c r="I521" s="253" t="s">
        <v>34</v>
      </c>
      <c r="J521" s="253" t="s">
        <v>690</v>
      </c>
      <c r="K521" s="254"/>
      <c r="L521" s="255"/>
      <c r="M521" s="255" t="s">
        <v>1414</v>
      </c>
      <c r="N521" s="254">
        <v>604801</v>
      </c>
      <c r="O521" s="254" t="s">
        <v>1321</v>
      </c>
      <c r="P521" s="258">
        <v>44343</v>
      </c>
      <c r="Q521" s="259">
        <v>11681651.17</v>
      </c>
      <c r="R521" s="259">
        <v>22185001.68511904</v>
      </c>
      <c r="S521" s="254">
        <v>6</v>
      </c>
      <c r="T521" s="256">
        <v>-0.23002359254764659</v>
      </c>
      <c r="U521" s="256">
        <v>-2.9735598771828977</v>
      </c>
      <c r="V521" s="256">
        <v>-0.1994612252827731</v>
      </c>
      <c r="W521" s="256">
        <v>-1.9553869533097477</v>
      </c>
      <c r="X521" s="256" t="s">
        <v>1417</v>
      </c>
      <c r="Y521" s="256" t="s">
        <v>1417</v>
      </c>
      <c r="Z521" s="256" t="s">
        <v>1417</v>
      </c>
      <c r="AA521" s="256" t="s">
        <v>1417</v>
      </c>
      <c r="AB521" s="256">
        <v>0.33448311715696388</v>
      </c>
      <c r="AC521" s="260">
        <v>-0.78841004505260481</v>
      </c>
      <c r="AD521" s="405">
        <v>29152373000160</v>
      </c>
      <c r="AE521" s="257" t="s">
        <v>59</v>
      </c>
      <c r="AF521" s="257" t="s">
        <v>2112</v>
      </c>
      <c r="AG521" s="261" t="s">
        <v>59</v>
      </c>
      <c r="AH521" s="261" t="s">
        <v>2110</v>
      </c>
      <c r="AI521" s="261">
        <v>100</v>
      </c>
      <c r="AJ521" s="261" t="s">
        <v>1427</v>
      </c>
      <c r="AK521" s="261" t="s">
        <v>1427</v>
      </c>
      <c r="AL521" s="256">
        <v>8.0000000000000002E-3</v>
      </c>
      <c r="AM521" s="256" t="s">
        <v>34</v>
      </c>
      <c r="AN521" s="256" t="s">
        <v>666</v>
      </c>
      <c r="AO521" s="254" t="s">
        <v>1324</v>
      </c>
      <c r="AP521" s="257" t="s">
        <v>716</v>
      </c>
      <c r="AQ521" s="263" t="s">
        <v>687</v>
      </c>
      <c r="AR521" s="256" t="s">
        <v>34</v>
      </c>
      <c r="AS521" s="256" t="s">
        <v>34</v>
      </c>
      <c r="AT521" s="256"/>
      <c r="AW521" s="508"/>
      <c r="AX521" s="508"/>
      <c r="AY521" s="509"/>
      <c r="AZ521" s="509"/>
      <c r="BA521" s="509"/>
      <c r="BB521" s="510"/>
      <c r="BC521" s="509"/>
      <c r="BD521" s="509"/>
      <c r="BE521" s="509"/>
      <c r="BF521" s="509"/>
      <c r="BG521" s="510"/>
      <c r="BH521" s="510"/>
      <c r="BI521" s="511"/>
      <c r="BJ521" s="511"/>
      <c r="BK521" s="511"/>
      <c r="BL521" s="510"/>
      <c r="BM521" s="510"/>
      <c r="BN521" s="510"/>
      <c r="BO521" s="510"/>
      <c r="BP521" s="510"/>
      <c r="BQ521" s="510"/>
      <c r="BR521" s="510"/>
      <c r="BS521" s="510"/>
      <c r="BT521" s="513"/>
      <c r="BU521" s="514"/>
      <c r="BV521" s="512"/>
      <c r="BW521" s="515"/>
    </row>
    <row r="522" spans="2:75" ht="15.75" customHeight="1">
      <c r="B522" s="250" t="s">
        <v>277</v>
      </c>
      <c r="C522" s="251">
        <v>38173750000138</v>
      </c>
      <c r="D522" s="252" t="s">
        <v>14</v>
      </c>
      <c r="E522" s="252" t="s">
        <v>607</v>
      </c>
      <c r="F522" s="252"/>
      <c r="G522" s="253"/>
      <c r="H522" s="253" t="s">
        <v>34</v>
      </c>
      <c r="I522" s="253" t="s">
        <v>34</v>
      </c>
      <c r="J522" s="253" t="s">
        <v>608</v>
      </c>
      <c r="K522" s="254" t="s">
        <v>48</v>
      </c>
      <c r="L522" s="255"/>
      <c r="M522" s="255" t="s">
        <v>1414</v>
      </c>
      <c r="N522" s="254">
        <v>553786</v>
      </c>
      <c r="O522" s="254" t="s">
        <v>1324</v>
      </c>
      <c r="P522" s="258">
        <v>44096</v>
      </c>
      <c r="Q522" s="259">
        <v>11658432.359999999</v>
      </c>
      <c r="R522" s="259">
        <v>11833481.103492068</v>
      </c>
      <c r="S522" s="254">
        <v>6</v>
      </c>
      <c r="T522" s="256">
        <v>1.5944576521285114E-2</v>
      </c>
      <c r="U522" s="256">
        <v>0.20611865277491057</v>
      </c>
      <c r="V522" s="256">
        <v>-0.11569906285288223</v>
      </c>
      <c r="W522" s="256">
        <v>-1.1342376829980789</v>
      </c>
      <c r="X522" s="256" t="s">
        <v>1417</v>
      </c>
      <c r="Y522" s="256" t="s">
        <v>1417</v>
      </c>
      <c r="Z522" s="256" t="s">
        <v>1417</v>
      </c>
      <c r="AA522" s="256" t="s">
        <v>1417</v>
      </c>
      <c r="AB522" s="256">
        <v>0.19081123073651518</v>
      </c>
      <c r="AC522" s="260">
        <v>-1.0576977230607734</v>
      </c>
      <c r="AD522" s="405">
        <v>0</v>
      </c>
      <c r="AE522" s="257" t="s">
        <v>2208</v>
      </c>
      <c r="AF522" s="257" t="s">
        <v>2109</v>
      </c>
      <c r="AG522" s="261" t="s">
        <v>1432</v>
      </c>
      <c r="AH522" s="261" t="s">
        <v>2131</v>
      </c>
      <c r="AI522" s="261">
        <v>0</v>
      </c>
      <c r="AJ522" s="261">
        <v>0</v>
      </c>
      <c r="AK522" s="261">
        <v>0</v>
      </c>
      <c r="AL522" s="256">
        <v>6.0000000000000001E-3</v>
      </c>
      <c r="AM522" s="256" t="s">
        <v>34</v>
      </c>
      <c r="AN522" s="256" t="s">
        <v>34</v>
      </c>
      <c r="AO522" s="254" t="s">
        <v>1324</v>
      </c>
      <c r="AP522" s="257" t="s">
        <v>716</v>
      </c>
      <c r="AQ522" s="263" t="s">
        <v>659</v>
      </c>
      <c r="AR522" s="256">
        <v>2E-3</v>
      </c>
      <c r="AS522" s="256">
        <v>2E-3</v>
      </c>
      <c r="AT522" s="256"/>
      <c r="AW522" s="508"/>
      <c r="AX522" s="508"/>
      <c r="AY522" s="509"/>
      <c r="AZ522" s="509"/>
      <c r="BA522" s="509"/>
      <c r="BB522" s="510"/>
      <c r="BC522" s="509"/>
      <c r="BD522" s="509"/>
      <c r="BE522" s="509"/>
      <c r="BF522" s="509"/>
      <c r="BG522" s="510"/>
      <c r="BH522" s="510"/>
      <c r="BI522" s="511"/>
      <c r="BJ522" s="511"/>
      <c r="BK522" s="511"/>
      <c r="BL522" s="195"/>
      <c r="BM522" s="510"/>
      <c r="BN522" s="510"/>
      <c r="BO522" s="510"/>
      <c r="BP522" s="510"/>
      <c r="BQ522" s="510"/>
      <c r="BR522" s="510"/>
      <c r="BS522" s="510"/>
      <c r="BT522" s="513"/>
      <c r="BU522" s="514"/>
      <c r="BV522" s="512"/>
      <c r="BW522" s="515"/>
    </row>
    <row r="523" spans="2:75" ht="15.75" customHeight="1">
      <c r="B523" s="250" t="s">
        <v>1659</v>
      </c>
      <c r="C523" s="251">
        <v>26135690000180</v>
      </c>
      <c r="D523" s="252" t="s">
        <v>11</v>
      </c>
      <c r="E523" s="252" t="s">
        <v>661</v>
      </c>
      <c r="F523" s="252"/>
      <c r="G523" s="253"/>
      <c r="H523" s="253" t="s">
        <v>34</v>
      </c>
      <c r="I523" s="253" t="s">
        <v>34</v>
      </c>
      <c r="J523" s="253" t="s">
        <v>611</v>
      </c>
      <c r="K523" s="254" t="s">
        <v>49</v>
      </c>
      <c r="L523" s="255"/>
      <c r="M523" s="255"/>
      <c r="N523" s="254">
        <v>434930</v>
      </c>
      <c r="O523" s="254" t="s">
        <v>1321</v>
      </c>
      <c r="P523" s="258">
        <v>42781</v>
      </c>
      <c r="Q523" s="259">
        <v>57432857.240000002</v>
      </c>
      <c r="R523" s="259">
        <v>113320647.67563488</v>
      </c>
      <c r="S523" s="254">
        <v>6</v>
      </c>
      <c r="T523" s="256">
        <v>-5.7098833747932343E-2</v>
      </c>
      <c r="U523" s="256">
        <v>-0.6422427442082449</v>
      </c>
      <c r="V523" s="256">
        <v>-4.3820162303345733E-2</v>
      </c>
      <c r="W523" s="256">
        <v>-0.40216867219209596</v>
      </c>
      <c r="X523" s="256">
        <v>4.21168021699041E-2</v>
      </c>
      <c r="Y523" s="256">
        <v>0.29615652723270025</v>
      </c>
      <c r="Z523" s="256">
        <v>8.0918435766242469E-2</v>
      </c>
      <c r="AA523" s="256">
        <v>0.44218394585100873</v>
      </c>
      <c r="AB523" s="256">
        <v>5.6519491566127456E-2</v>
      </c>
      <c r="AC523" s="260">
        <v>-2.5947483444206032</v>
      </c>
      <c r="AD523" s="405">
        <v>23720107000100</v>
      </c>
      <c r="AE523" s="257" t="s">
        <v>2318</v>
      </c>
      <c r="AF523" s="257" t="s">
        <v>2318</v>
      </c>
      <c r="AG523" s="261" t="s">
        <v>1436</v>
      </c>
      <c r="AH523" s="261" t="s">
        <v>2110</v>
      </c>
      <c r="AI523" s="261">
        <v>5000</v>
      </c>
      <c r="AJ523" s="261">
        <v>1000</v>
      </c>
      <c r="AK523" s="261">
        <v>1000</v>
      </c>
      <c r="AL523" s="256">
        <v>9.300000000000001E-3</v>
      </c>
      <c r="AM523" s="256" t="s">
        <v>34</v>
      </c>
      <c r="AN523" s="256" t="s">
        <v>64</v>
      </c>
      <c r="AO523" s="254" t="s">
        <v>1324</v>
      </c>
      <c r="AP523" s="257" t="s">
        <v>13</v>
      </c>
      <c r="AQ523" s="263" t="s">
        <v>679</v>
      </c>
      <c r="AR523" s="256" t="s">
        <v>34</v>
      </c>
      <c r="AS523" s="256" t="s">
        <v>34</v>
      </c>
      <c r="AT523" s="256"/>
      <c r="AW523" s="508"/>
      <c r="AX523" s="508"/>
      <c r="AY523" s="509"/>
      <c r="AZ523" s="509"/>
      <c r="BA523" s="509"/>
      <c r="BB523" s="510"/>
      <c r="BC523" s="509"/>
      <c r="BD523" s="509"/>
      <c r="BE523" s="509"/>
      <c r="BF523" s="509"/>
      <c r="BG523" s="510"/>
      <c r="BH523" s="510"/>
      <c r="BI523" s="511"/>
      <c r="BJ523" s="511"/>
      <c r="BK523" s="511"/>
      <c r="BL523" s="195"/>
      <c r="BM523" s="510"/>
      <c r="BN523" s="510"/>
      <c r="BO523" s="510"/>
      <c r="BP523" s="510"/>
      <c r="BQ523" s="510"/>
      <c r="BR523" s="510"/>
      <c r="BS523" s="510"/>
      <c r="BT523" s="513"/>
      <c r="BU523" s="514"/>
      <c r="BV523" s="512"/>
      <c r="BW523" s="515"/>
    </row>
    <row r="524" spans="2:75" ht="15.75" customHeight="1">
      <c r="B524" s="250" t="s">
        <v>1105</v>
      </c>
      <c r="C524" s="251">
        <v>24597757000172</v>
      </c>
      <c r="D524" s="252" t="s">
        <v>14</v>
      </c>
      <c r="E524" s="252" t="s">
        <v>607</v>
      </c>
      <c r="F524" s="252"/>
      <c r="G524" s="253"/>
      <c r="H524" s="253" t="s">
        <v>34</v>
      </c>
      <c r="I524" s="253" t="s">
        <v>34</v>
      </c>
      <c r="J524" s="253" t="s">
        <v>611</v>
      </c>
      <c r="K524" s="254"/>
      <c r="L524" s="255"/>
      <c r="M524" s="255" t="s">
        <v>34</v>
      </c>
      <c r="N524" s="254">
        <v>480193</v>
      </c>
      <c r="O524" s="254" t="s">
        <v>1321</v>
      </c>
      <c r="P524" s="258">
        <v>43418</v>
      </c>
      <c r="Q524" s="259">
        <v>14125958.82</v>
      </c>
      <c r="R524" s="259">
        <v>17898130.194246024</v>
      </c>
      <c r="S524" s="254">
        <v>6</v>
      </c>
      <c r="T524" s="256">
        <v>-0.14670287157513229</v>
      </c>
      <c r="U524" s="256">
        <v>-1.8964566545189014</v>
      </c>
      <c r="V524" s="256">
        <v>-8.1208585669184208E-2</v>
      </c>
      <c r="W524" s="256">
        <v>-0.79611567957200524</v>
      </c>
      <c r="X524" s="256">
        <v>4.0358636462695108E-2</v>
      </c>
      <c r="Y524" s="256">
        <v>0.30604687186870999</v>
      </c>
      <c r="Z524" s="256">
        <v>0.27367630339893001</v>
      </c>
      <c r="AA524" s="256">
        <v>1.555664831164784</v>
      </c>
      <c r="AB524" s="256">
        <v>0.15802396107636532</v>
      </c>
      <c r="AC524" s="260">
        <v>-1.0719476915218857</v>
      </c>
      <c r="AD524" s="405">
        <v>0</v>
      </c>
      <c r="AE524" s="257" t="s">
        <v>2347</v>
      </c>
      <c r="AF524" s="257" t="s">
        <v>2109</v>
      </c>
      <c r="AG524" s="261" t="s">
        <v>1432</v>
      </c>
      <c r="AH524" s="261" t="s">
        <v>2110</v>
      </c>
      <c r="AI524" s="261">
        <v>5000</v>
      </c>
      <c r="AJ524" s="261">
        <v>200</v>
      </c>
      <c r="AK524" s="261">
        <v>200</v>
      </c>
      <c r="AL524" s="256">
        <v>1.7500000000000002E-2</v>
      </c>
      <c r="AM524" s="256" t="s">
        <v>34</v>
      </c>
      <c r="AN524" s="256" t="s">
        <v>2127</v>
      </c>
      <c r="AO524" s="254" t="s">
        <v>1324</v>
      </c>
      <c r="AP524" s="257" t="s">
        <v>13</v>
      </c>
      <c r="AQ524" s="263" t="s">
        <v>679</v>
      </c>
      <c r="AR524" s="256">
        <v>5.8333333333333336E-3</v>
      </c>
      <c r="AS524" s="256">
        <v>5.8333333333333336E-3</v>
      </c>
      <c r="AT524" s="256"/>
      <c r="AW524" s="508"/>
      <c r="AX524" s="508"/>
      <c r="AY524" s="509"/>
      <c r="AZ524" s="509"/>
      <c r="BA524" s="509"/>
      <c r="BB524" s="510"/>
      <c r="BC524" s="509"/>
      <c r="BD524" s="509"/>
      <c r="BE524" s="509"/>
      <c r="BF524" s="509"/>
      <c r="BG524" s="510"/>
      <c r="BH524" s="510"/>
      <c r="BI524" s="511"/>
      <c r="BJ524" s="511"/>
      <c r="BK524" s="511"/>
      <c r="BL524" s="195"/>
      <c r="BM524" s="510"/>
      <c r="BN524" s="510"/>
      <c r="BO524" s="510"/>
      <c r="BP524" s="510"/>
      <c r="BQ524" s="510"/>
      <c r="BR524" s="510"/>
      <c r="BS524" s="510"/>
      <c r="BT524" s="513"/>
      <c r="BU524" s="514"/>
      <c r="BV524" s="512"/>
      <c r="BW524" s="515"/>
    </row>
    <row r="525" spans="2:75" ht="15.75" customHeight="1">
      <c r="B525" s="250" t="s">
        <v>1106</v>
      </c>
      <c r="C525" s="251">
        <v>27181765000121</v>
      </c>
      <c r="D525" s="252" t="s">
        <v>14</v>
      </c>
      <c r="E525" s="252" t="s">
        <v>607</v>
      </c>
      <c r="F525" s="252"/>
      <c r="G525" s="253"/>
      <c r="H525" s="253" t="s">
        <v>34</v>
      </c>
      <c r="I525" s="253" t="s">
        <v>34</v>
      </c>
      <c r="J525" s="253" t="s">
        <v>611</v>
      </c>
      <c r="K525" s="254"/>
      <c r="L525" s="255"/>
      <c r="M525" s="255" t="s">
        <v>34</v>
      </c>
      <c r="N525" s="254">
        <v>480681</v>
      </c>
      <c r="O525" s="254" t="s">
        <v>1321</v>
      </c>
      <c r="P525" s="258">
        <v>43418</v>
      </c>
      <c r="Q525" s="259">
        <v>18945978.920000002</v>
      </c>
      <c r="R525" s="259">
        <v>37146142.912698433</v>
      </c>
      <c r="S525" s="254">
        <v>6</v>
      </c>
      <c r="T525" s="256">
        <v>-0.37335959226573567</v>
      </c>
      <c r="U525" s="256">
        <v>-4.8264923220551461</v>
      </c>
      <c r="V525" s="256">
        <v>-0.35526113777207957</v>
      </c>
      <c r="W525" s="256">
        <v>-3.4827470493709942</v>
      </c>
      <c r="X525" s="256">
        <v>-0.14930478813745729</v>
      </c>
      <c r="Y525" s="256">
        <v>-1.1322053312362543</v>
      </c>
      <c r="Z525" s="256">
        <v>0.3014931812203272</v>
      </c>
      <c r="AA525" s="256">
        <v>1.7137849826068927</v>
      </c>
      <c r="AB525" s="256">
        <v>0.27868307568475692</v>
      </c>
      <c r="AC525" s="260">
        <v>-1.783401538923979</v>
      </c>
      <c r="AD525" s="405">
        <v>0</v>
      </c>
      <c r="AE525" s="257" t="s">
        <v>2347</v>
      </c>
      <c r="AF525" s="257" t="s">
        <v>2109</v>
      </c>
      <c r="AG525" s="261" t="s">
        <v>1432</v>
      </c>
      <c r="AH525" s="261" t="s">
        <v>2110</v>
      </c>
      <c r="AI525" s="261">
        <v>5000</v>
      </c>
      <c r="AJ525" s="261">
        <v>200</v>
      </c>
      <c r="AK525" s="261">
        <v>200</v>
      </c>
      <c r="AL525" s="256">
        <v>1.7500000000000002E-2</v>
      </c>
      <c r="AM525" s="256" t="s">
        <v>34</v>
      </c>
      <c r="AN525" s="256" t="s">
        <v>2127</v>
      </c>
      <c r="AO525" s="254" t="s">
        <v>1324</v>
      </c>
      <c r="AP525" s="257" t="s">
        <v>716</v>
      </c>
      <c r="AQ525" s="263" t="s">
        <v>687</v>
      </c>
      <c r="AR525" s="256">
        <v>5.8333333333333336E-3</v>
      </c>
      <c r="AS525" s="256">
        <v>5.8333333333333336E-3</v>
      </c>
      <c r="AT525" s="256"/>
      <c r="AW525" s="508"/>
      <c r="AX525" s="508"/>
      <c r="AY525" s="509"/>
      <c r="AZ525" s="509"/>
      <c r="BA525" s="509"/>
      <c r="BB525" s="510"/>
      <c r="BC525" s="509"/>
      <c r="BD525" s="509"/>
      <c r="BE525" s="509"/>
      <c r="BF525" s="509"/>
      <c r="BG525" s="510"/>
      <c r="BH525" s="510"/>
      <c r="BI525" s="511"/>
      <c r="BJ525" s="511"/>
      <c r="BK525" s="511"/>
      <c r="BL525" s="510"/>
      <c r="BM525" s="510"/>
      <c r="BN525" s="510"/>
      <c r="BO525" s="510"/>
      <c r="BP525" s="510"/>
      <c r="BQ525" s="510"/>
      <c r="BR525" s="510"/>
      <c r="BS525" s="510"/>
      <c r="BT525" s="513"/>
      <c r="BU525" s="514"/>
      <c r="BV525" s="512"/>
      <c r="BW525" s="515"/>
    </row>
    <row r="526" spans="2:75" ht="15.75" customHeight="1">
      <c r="B526" s="250" t="s">
        <v>338</v>
      </c>
      <c r="C526" s="251">
        <v>39991941000170</v>
      </c>
      <c r="D526" s="252" t="s">
        <v>14</v>
      </c>
      <c r="E526" s="252" t="s">
        <v>607</v>
      </c>
      <c r="F526" s="252"/>
      <c r="G526" s="253"/>
      <c r="H526" s="253" t="s">
        <v>34</v>
      </c>
      <c r="I526" s="253" t="s">
        <v>34</v>
      </c>
      <c r="J526" s="253" t="s">
        <v>611</v>
      </c>
      <c r="K526" s="254" t="s">
        <v>49</v>
      </c>
      <c r="L526" s="255"/>
      <c r="M526" s="255" t="s">
        <v>34</v>
      </c>
      <c r="N526" s="254">
        <v>585424</v>
      </c>
      <c r="O526" s="254" t="s">
        <v>1321</v>
      </c>
      <c r="P526" s="258">
        <v>44301</v>
      </c>
      <c r="Q526" s="259">
        <v>7937446.6500000004</v>
      </c>
      <c r="R526" s="259">
        <v>16872718.223293658</v>
      </c>
      <c r="S526" s="254">
        <v>6</v>
      </c>
      <c r="T526" s="256">
        <v>-0.28503684251822259</v>
      </c>
      <c r="U526" s="256">
        <v>-3.6847268971139218</v>
      </c>
      <c r="V526" s="256">
        <v>-0.23866902442223004</v>
      </c>
      <c r="W526" s="256">
        <v>-2.3397544853781707</v>
      </c>
      <c r="X526" s="256" t="s">
        <v>1417</v>
      </c>
      <c r="Y526" s="256" t="s">
        <v>1417</v>
      </c>
      <c r="Z526" s="256" t="s">
        <v>1417</v>
      </c>
      <c r="AA526" s="256" t="s">
        <v>1417</v>
      </c>
      <c r="AB526" s="256">
        <v>0.23105005224162328</v>
      </c>
      <c r="AC526" s="260">
        <v>-1.4848515643046354</v>
      </c>
      <c r="AD526" s="405">
        <v>39973671000174</v>
      </c>
      <c r="AE526" s="257" t="s">
        <v>2144</v>
      </c>
      <c r="AF526" s="257" t="s">
        <v>2109</v>
      </c>
      <c r="AG526" s="261" t="s">
        <v>1432</v>
      </c>
      <c r="AH526" s="261" t="s">
        <v>2110</v>
      </c>
      <c r="AI526" s="261">
        <v>5000</v>
      </c>
      <c r="AJ526" s="261">
        <v>5000</v>
      </c>
      <c r="AK526" s="261">
        <v>5000</v>
      </c>
      <c r="AL526" s="256">
        <v>0.01</v>
      </c>
      <c r="AM526" s="256" t="s">
        <v>34</v>
      </c>
      <c r="AN526" s="256" t="s">
        <v>34</v>
      </c>
      <c r="AO526" s="254" t="s">
        <v>1324</v>
      </c>
      <c r="AP526" s="257" t="s">
        <v>13</v>
      </c>
      <c r="AQ526" s="263" t="s">
        <v>679</v>
      </c>
      <c r="AR526" s="256">
        <v>6.6669999999999993E-3</v>
      </c>
      <c r="AS526" s="256">
        <v>6.6669999999999993E-3</v>
      </c>
      <c r="AT526" s="256"/>
      <c r="AW526" s="508"/>
      <c r="AX526" s="508"/>
      <c r="AY526" s="509"/>
      <c r="AZ526" s="509"/>
      <c r="BA526" s="509"/>
      <c r="BB526" s="510"/>
      <c r="BC526" s="509"/>
      <c r="BD526" s="509"/>
      <c r="BE526" s="509"/>
      <c r="BF526" s="509"/>
      <c r="BG526" s="510"/>
      <c r="BH526" s="510"/>
      <c r="BI526" s="511"/>
      <c r="BJ526" s="511"/>
      <c r="BK526" s="511"/>
      <c r="BL526" s="510"/>
      <c r="BM526" s="510"/>
      <c r="BN526" s="510"/>
      <c r="BO526" s="510"/>
      <c r="BP526" s="510"/>
      <c r="BQ526" s="510"/>
      <c r="BR526" s="510"/>
      <c r="BS526" s="510"/>
      <c r="BT526" s="513"/>
      <c r="BU526" s="514"/>
      <c r="BV526" s="512"/>
      <c r="BW526" s="515"/>
    </row>
    <row r="527" spans="2:75" ht="15.75" customHeight="1">
      <c r="B527" s="250" t="s">
        <v>1127</v>
      </c>
      <c r="C527" s="251">
        <v>29066331000106</v>
      </c>
      <c r="D527" s="252" t="s">
        <v>11</v>
      </c>
      <c r="E527" s="252" t="s">
        <v>661</v>
      </c>
      <c r="F527" s="252"/>
      <c r="G527" s="253" t="s">
        <v>738</v>
      </c>
      <c r="H527" s="253" t="s">
        <v>34</v>
      </c>
      <c r="I527" s="253" t="s">
        <v>34</v>
      </c>
      <c r="J527" s="253" t="s">
        <v>611</v>
      </c>
      <c r="K527" s="254" t="s">
        <v>48</v>
      </c>
      <c r="L527" s="255"/>
      <c r="M527" s="255" t="s">
        <v>34</v>
      </c>
      <c r="N527" s="254">
        <v>456330</v>
      </c>
      <c r="O527" s="254" t="s">
        <v>1321</v>
      </c>
      <c r="P527" s="258">
        <v>43097</v>
      </c>
      <c r="Q527" s="259">
        <v>49514168.479999997</v>
      </c>
      <c r="R527" s="259">
        <v>100017510.74944441</v>
      </c>
      <c r="S527" s="254">
        <v>6</v>
      </c>
      <c r="T527" s="256">
        <v>-7.1524548965854917E-2</v>
      </c>
      <c r="U527" s="256">
        <v>-0.92461180474092053</v>
      </c>
      <c r="V527" s="256">
        <v>-5.8886246154802424E-2</v>
      </c>
      <c r="W527" s="256">
        <v>-0.57728211233660631</v>
      </c>
      <c r="X527" s="256">
        <v>6.2249064573402846E-2</v>
      </c>
      <c r="Y527" s="256">
        <v>0.47204596485941491</v>
      </c>
      <c r="Z527" s="256">
        <v>0.11430707472816315</v>
      </c>
      <c r="AA527" s="256">
        <v>0.64975846976681839</v>
      </c>
      <c r="AB527" s="256">
        <v>6.222399620175894E-2</v>
      </c>
      <c r="AC527" s="260">
        <v>-2.5055148265507938</v>
      </c>
      <c r="AD527" s="405">
        <v>29066638000107</v>
      </c>
      <c r="AE527" s="257" t="s">
        <v>2364</v>
      </c>
      <c r="AF527" s="257" t="s">
        <v>2118</v>
      </c>
      <c r="AG527" s="261" t="s">
        <v>1433</v>
      </c>
      <c r="AH527" s="261" t="s">
        <v>2110</v>
      </c>
      <c r="AI527" s="261">
        <v>25000</v>
      </c>
      <c r="AJ527" s="261">
        <v>0</v>
      </c>
      <c r="AK527" s="261">
        <v>10000</v>
      </c>
      <c r="AL527" s="256">
        <v>9.300000000000001E-3</v>
      </c>
      <c r="AM527" s="256" t="s">
        <v>34</v>
      </c>
      <c r="AN527" s="256" t="s">
        <v>34</v>
      </c>
      <c r="AO527" s="254" t="s">
        <v>1324</v>
      </c>
      <c r="AP527" s="257" t="s">
        <v>13</v>
      </c>
      <c r="AQ527" s="263" t="s">
        <v>679</v>
      </c>
      <c r="AR527" s="256">
        <v>5.0697399999999988E-3</v>
      </c>
      <c r="AS527" s="256">
        <v>5.0697399999999988E-3</v>
      </c>
      <c r="AT527" s="256"/>
      <c r="AW527" s="508"/>
      <c r="AX527" s="508"/>
      <c r="AY527" s="509"/>
      <c r="AZ527" s="509"/>
      <c r="BA527" s="509"/>
      <c r="BB527" s="510"/>
      <c r="BC527" s="509"/>
      <c r="BD527" s="509"/>
      <c r="BE527" s="509"/>
      <c r="BF527" s="509"/>
      <c r="BG527" s="510"/>
      <c r="BH527" s="510"/>
      <c r="BI527" s="511"/>
      <c r="BJ527" s="511"/>
      <c r="BK527" s="511"/>
      <c r="BL527" s="510"/>
      <c r="BM527" s="510"/>
      <c r="BN527" s="510"/>
      <c r="BO527" s="510"/>
      <c r="BP527" s="510"/>
      <c r="BQ527" s="510"/>
      <c r="BR527" s="510"/>
      <c r="BS527" s="510"/>
      <c r="BT527" s="513"/>
      <c r="BU527" s="514"/>
      <c r="BV527" s="512"/>
      <c r="BW527" s="515"/>
    </row>
    <row r="528" spans="2:75" ht="15.75" customHeight="1">
      <c r="B528" s="250" t="s">
        <v>1131</v>
      </c>
      <c r="C528" s="251">
        <v>27739565000141</v>
      </c>
      <c r="D528" s="252" t="s">
        <v>11</v>
      </c>
      <c r="E528" s="252" t="s">
        <v>661</v>
      </c>
      <c r="F528" s="252"/>
      <c r="G528" s="253"/>
      <c r="H528" s="253" t="s">
        <v>34</v>
      </c>
      <c r="I528" s="253" t="s">
        <v>34</v>
      </c>
      <c r="J528" s="253" t="s">
        <v>611</v>
      </c>
      <c r="K528" s="254" t="s">
        <v>48</v>
      </c>
      <c r="L528" s="255"/>
      <c r="M528" s="255" t="s">
        <v>34</v>
      </c>
      <c r="N528" s="254">
        <v>444278</v>
      </c>
      <c r="O528" s="254" t="s">
        <v>1321</v>
      </c>
      <c r="P528" s="258">
        <v>42921</v>
      </c>
      <c r="Q528" s="259">
        <v>5884528.2199999997</v>
      </c>
      <c r="R528" s="259">
        <v>12191714.086269844</v>
      </c>
      <c r="S528" s="254">
        <v>6</v>
      </c>
      <c r="T528" s="256">
        <v>-2.615258588210001E-2</v>
      </c>
      <c r="U528" s="256">
        <v>-0.33807958219539652</v>
      </c>
      <c r="V528" s="256">
        <v>-9.3012003671149035E-3</v>
      </c>
      <c r="W528" s="256">
        <v>-9.1182864349661219E-2</v>
      </c>
      <c r="X528" s="256">
        <v>7.1168328116920199E-2</v>
      </c>
      <c r="Y528" s="256">
        <v>0.53968236058822705</v>
      </c>
      <c r="Z528" s="256">
        <v>0.1226413942543938</v>
      </c>
      <c r="AA528" s="256">
        <v>0.69713344384247911</v>
      </c>
      <c r="AB528" s="256">
        <v>5.2045113806223238E-2</v>
      </c>
      <c r="AC528" s="260">
        <v>-2.0202296865313767</v>
      </c>
      <c r="AD528" s="405">
        <v>23729512000199</v>
      </c>
      <c r="AE528" s="257" t="s">
        <v>2123</v>
      </c>
      <c r="AF528" s="257" t="s">
        <v>2109</v>
      </c>
      <c r="AG528" s="261" t="s">
        <v>1432</v>
      </c>
      <c r="AH528" s="261" t="s">
        <v>2110</v>
      </c>
      <c r="AI528" s="261">
        <v>5000</v>
      </c>
      <c r="AJ528" s="261">
        <v>1000</v>
      </c>
      <c r="AK528" s="261">
        <v>1000</v>
      </c>
      <c r="AL528" s="256">
        <v>0</v>
      </c>
      <c r="AM528" s="256" t="s">
        <v>34</v>
      </c>
      <c r="AN528" s="256" t="s">
        <v>34</v>
      </c>
      <c r="AO528" s="254" t="s">
        <v>1324</v>
      </c>
      <c r="AP528" s="257" t="s">
        <v>13</v>
      </c>
      <c r="AQ528" s="263" t="s">
        <v>679</v>
      </c>
      <c r="AR528" s="256">
        <v>4.3499199999999993E-3</v>
      </c>
      <c r="AS528" s="256">
        <v>4.3499199999999993E-3</v>
      </c>
      <c r="AT528" s="256"/>
      <c r="AW528" s="508"/>
      <c r="AX528" s="508"/>
      <c r="AY528" s="509"/>
      <c r="AZ528" s="509"/>
      <c r="BA528" s="509"/>
      <c r="BB528" s="510"/>
      <c r="BC528" s="509"/>
      <c r="BD528" s="509"/>
      <c r="BE528" s="509"/>
      <c r="BF528" s="509"/>
      <c r="BG528" s="510"/>
      <c r="BH528" s="510"/>
      <c r="BI528" s="511"/>
      <c r="BJ528" s="511"/>
      <c r="BK528" s="511"/>
      <c r="BL528" s="510"/>
      <c r="BM528" s="510"/>
      <c r="BN528" s="510"/>
      <c r="BO528" s="510"/>
      <c r="BP528" s="510"/>
      <c r="BQ528" s="510"/>
      <c r="BR528" s="510"/>
      <c r="BS528" s="510"/>
      <c r="BT528" s="513"/>
      <c r="BU528" s="514"/>
      <c r="BV528" s="512"/>
      <c r="BW528" s="515"/>
    </row>
    <row r="529" spans="2:75" ht="15.75" customHeight="1">
      <c r="B529" s="250" t="s">
        <v>1704</v>
      </c>
      <c r="C529" s="251">
        <v>20852221000103</v>
      </c>
      <c r="D529" s="252" t="s">
        <v>14</v>
      </c>
      <c r="E529" s="252" t="s">
        <v>607</v>
      </c>
      <c r="F529" s="252"/>
      <c r="G529" s="253"/>
      <c r="H529" s="253" t="s">
        <v>34</v>
      </c>
      <c r="I529" s="253" t="s">
        <v>34</v>
      </c>
      <c r="J529" s="253" t="s">
        <v>611</v>
      </c>
      <c r="K529" s="254" t="s">
        <v>48</v>
      </c>
      <c r="L529" s="255"/>
      <c r="M529" s="255"/>
      <c r="N529" s="254">
        <v>384021</v>
      </c>
      <c r="O529" s="254" t="s">
        <v>1321</v>
      </c>
      <c r="P529" s="258">
        <v>41961</v>
      </c>
      <c r="Q529" s="259" t="s">
        <v>1393</v>
      </c>
      <c r="R529" s="259" t="s">
        <v>1417</v>
      </c>
      <c r="S529" s="254">
        <v>6</v>
      </c>
      <c r="T529" s="256" t="s">
        <v>1417</v>
      </c>
      <c r="U529" s="256" t="s">
        <v>1417</v>
      </c>
      <c r="V529" s="256" t="s">
        <v>1417</v>
      </c>
      <c r="W529" s="256" t="s">
        <v>1417</v>
      </c>
      <c r="X529" s="256" t="s">
        <v>1417</v>
      </c>
      <c r="Y529" s="256" t="s">
        <v>1417</v>
      </c>
      <c r="Z529" s="256" t="s">
        <v>1417</v>
      </c>
      <c r="AA529" s="256" t="s">
        <v>1417</v>
      </c>
      <c r="AB529" s="256" t="s">
        <v>1417</v>
      </c>
      <c r="AC529" s="260" t="s">
        <v>1417</v>
      </c>
      <c r="AD529" s="405">
        <v>0</v>
      </c>
      <c r="AE529" s="257" t="s">
        <v>2420</v>
      </c>
      <c r="AF529" s="257" t="s">
        <v>2109</v>
      </c>
      <c r="AG529" s="261" t="s">
        <v>1432</v>
      </c>
      <c r="AH529" s="261" t="s">
        <v>726</v>
      </c>
      <c r="AI529" s="261">
        <v>200000</v>
      </c>
      <c r="AJ529" s="261">
        <v>50000</v>
      </c>
      <c r="AK529" s="261">
        <v>200000</v>
      </c>
      <c r="AL529" s="256">
        <v>1.0800000000000001E-2</v>
      </c>
      <c r="AM529" s="256">
        <v>0.1</v>
      </c>
      <c r="AN529" s="256" t="s">
        <v>34</v>
      </c>
      <c r="AO529" s="254" t="s">
        <v>1324</v>
      </c>
      <c r="AP529" s="257" t="s">
        <v>716</v>
      </c>
      <c r="AQ529" s="263" t="s">
        <v>687</v>
      </c>
      <c r="AR529" s="256">
        <v>1.3333333333333334E-4</v>
      </c>
      <c r="AS529" s="256">
        <v>1.3333333333333334E-4</v>
      </c>
      <c r="AT529" s="256"/>
      <c r="AW529" s="508"/>
      <c r="AX529" s="508"/>
      <c r="AY529" s="509"/>
      <c r="AZ529" s="509"/>
      <c r="BA529" s="509"/>
      <c r="BB529" s="510"/>
      <c r="BC529" s="509"/>
      <c r="BD529" s="509"/>
      <c r="BE529" s="509"/>
      <c r="BF529" s="509"/>
      <c r="BG529" s="510"/>
      <c r="BH529" s="510"/>
      <c r="BI529" s="511"/>
      <c r="BJ529" s="511"/>
      <c r="BK529" s="511"/>
      <c r="BL529" s="510"/>
      <c r="BM529" s="510"/>
      <c r="BN529" s="510"/>
      <c r="BO529" s="510"/>
      <c r="BP529" s="510"/>
      <c r="BQ529" s="510"/>
      <c r="BR529" s="510"/>
      <c r="BS529" s="510"/>
      <c r="BT529" s="513"/>
      <c r="BU529" s="514"/>
      <c r="BV529" s="512"/>
      <c r="BW529" s="515"/>
    </row>
    <row r="530" spans="2:75" ht="15.75" customHeight="1">
      <c r="B530" s="250" t="s">
        <v>1313</v>
      </c>
      <c r="C530" s="251">
        <v>41326212000140</v>
      </c>
      <c r="D530" s="252" t="s">
        <v>14</v>
      </c>
      <c r="E530" s="252" t="s">
        <v>607</v>
      </c>
      <c r="F530" s="252"/>
      <c r="G530" s="253"/>
      <c r="H530" s="253" t="s">
        <v>34</v>
      </c>
      <c r="I530" s="253" t="s">
        <v>34</v>
      </c>
      <c r="J530" s="253" t="s">
        <v>611</v>
      </c>
      <c r="K530" s="254" t="s">
        <v>48</v>
      </c>
      <c r="L530" s="255"/>
      <c r="M530" s="255" t="s">
        <v>34</v>
      </c>
      <c r="N530" s="254">
        <v>594210</v>
      </c>
      <c r="O530" s="254" t="s">
        <v>1324</v>
      </c>
      <c r="P530" s="258">
        <v>44329</v>
      </c>
      <c r="Q530" s="259">
        <v>27158525.09</v>
      </c>
      <c r="R530" s="259">
        <v>53793277.054087259</v>
      </c>
      <c r="S530" s="254">
        <v>6</v>
      </c>
      <c r="T530" s="256">
        <v>-0.21278317541405822</v>
      </c>
      <c r="U530" s="256">
        <v>-2.7506896398887992</v>
      </c>
      <c r="V530" s="256">
        <v>-0.22593571603227036</v>
      </c>
      <c r="W530" s="256">
        <v>-2.2149254863439052</v>
      </c>
      <c r="X530" s="256" t="s">
        <v>1417</v>
      </c>
      <c r="Y530" s="256" t="s">
        <v>1417</v>
      </c>
      <c r="Z530" s="256" t="s">
        <v>1417</v>
      </c>
      <c r="AA530" s="256" t="s">
        <v>1417</v>
      </c>
      <c r="AB530" s="256">
        <v>0.34964965918585528</v>
      </c>
      <c r="AC530" s="260">
        <v>-0.83555395265485333</v>
      </c>
      <c r="AD530" s="405">
        <v>41326197000130</v>
      </c>
      <c r="AE530" s="257" t="s">
        <v>2439</v>
      </c>
      <c r="AF530" s="257" t="s">
        <v>2112</v>
      </c>
      <c r="AG530" s="261" t="s">
        <v>59</v>
      </c>
      <c r="AH530" s="261" t="s">
        <v>2110</v>
      </c>
      <c r="AI530" s="261">
        <v>5000</v>
      </c>
      <c r="AJ530" s="261" t="s">
        <v>1427</v>
      </c>
      <c r="AK530" s="261" t="s">
        <v>1427</v>
      </c>
      <c r="AL530" s="256">
        <v>1.95E-2</v>
      </c>
      <c r="AM530" s="256">
        <v>0.2</v>
      </c>
      <c r="AN530" s="256" t="s">
        <v>2122</v>
      </c>
      <c r="AO530" s="254" t="s">
        <v>1324</v>
      </c>
      <c r="AP530" s="257" t="s">
        <v>716</v>
      </c>
      <c r="AQ530" s="263" t="s">
        <v>687</v>
      </c>
      <c r="AR530" s="256">
        <v>5.1999999999999998E-3</v>
      </c>
      <c r="AS530" s="256">
        <v>5.1999999999999998E-3</v>
      </c>
      <c r="AT530" s="256"/>
      <c r="AW530" s="508"/>
      <c r="AX530" s="508"/>
      <c r="AY530" s="509"/>
      <c r="AZ530" s="509"/>
      <c r="BA530" s="509"/>
      <c r="BB530" s="510"/>
      <c r="BC530" s="509"/>
      <c r="BD530" s="509"/>
      <c r="BE530" s="509"/>
      <c r="BF530" s="509"/>
      <c r="BG530" s="510"/>
      <c r="BH530" s="510"/>
      <c r="BI530" s="511"/>
      <c r="BJ530" s="511"/>
      <c r="BK530" s="511"/>
      <c r="BL530" s="510"/>
      <c r="BM530" s="510"/>
      <c r="BN530" s="510"/>
      <c r="BO530" s="510"/>
      <c r="BP530" s="510"/>
      <c r="BQ530" s="510"/>
      <c r="BR530" s="510"/>
      <c r="BS530" s="510"/>
      <c r="BT530" s="513"/>
      <c r="BU530" s="514"/>
      <c r="BV530" s="512"/>
      <c r="BW530" s="515"/>
    </row>
    <row r="531" spans="2:75" ht="15.75" customHeight="1">
      <c r="B531" s="250" t="s">
        <v>1314</v>
      </c>
      <c r="C531" s="251">
        <v>41409952000140</v>
      </c>
      <c r="D531" s="252" t="s">
        <v>14</v>
      </c>
      <c r="E531" s="252" t="s">
        <v>607</v>
      </c>
      <c r="F531" s="252"/>
      <c r="G531" s="253"/>
      <c r="H531" s="253" t="s">
        <v>34</v>
      </c>
      <c r="I531" s="253" t="s">
        <v>34</v>
      </c>
      <c r="J531" s="253" t="s">
        <v>611</v>
      </c>
      <c r="K531" s="254" t="s">
        <v>49</v>
      </c>
      <c r="L531" s="255"/>
      <c r="M531" s="255" t="s">
        <v>34</v>
      </c>
      <c r="N531" s="254">
        <v>594350</v>
      </c>
      <c r="O531" s="254" t="s">
        <v>1321</v>
      </c>
      <c r="P531" s="258">
        <v>44329</v>
      </c>
      <c r="Q531" s="259">
        <v>2543604.0699999998</v>
      </c>
      <c r="R531" s="259">
        <v>39169887.85412696</v>
      </c>
      <c r="S531" s="254">
        <v>6</v>
      </c>
      <c r="T531" s="256">
        <v>-0.31181855052522589</v>
      </c>
      <c r="U531" s="256">
        <v>-4.0309392638108603</v>
      </c>
      <c r="V531" s="256">
        <v>-0.28564462131016688</v>
      </c>
      <c r="W531" s="256">
        <v>-2.8002724088411775</v>
      </c>
      <c r="X531" s="256" t="s">
        <v>1417</v>
      </c>
      <c r="Y531" s="256" t="s">
        <v>1417</v>
      </c>
      <c r="Z531" s="256" t="s">
        <v>1417</v>
      </c>
      <c r="AA531" s="256" t="s">
        <v>1417</v>
      </c>
      <c r="AB531" s="256">
        <v>0.33643501319826868</v>
      </c>
      <c r="AC531" s="260">
        <v>-1.1210615983148033</v>
      </c>
      <c r="AD531" s="405">
        <v>41326197000130</v>
      </c>
      <c r="AE531" s="257" t="s">
        <v>2439</v>
      </c>
      <c r="AF531" s="257" t="s">
        <v>2112</v>
      </c>
      <c r="AG531" s="261" t="s">
        <v>59</v>
      </c>
      <c r="AH531" s="261" t="s">
        <v>2110</v>
      </c>
      <c r="AI531" s="261">
        <v>5000</v>
      </c>
      <c r="AJ531" s="261" t="s">
        <v>1427</v>
      </c>
      <c r="AK531" s="261" t="s">
        <v>1427</v>
      </c>
      <c r="AL531" s="256">
        <v>1.95E-2</v>
      </c>
      <c r="AM531" s="256">
        <v>0.2</v>
      </c>
      <c r="AN531" s="256" t="s">
        <v>2122</v>
      </c>
      <c r="AO531" s="254" t="s">
        <v>1324</v>
      </c>
      <c r="AP531" s="257" t="s">
        <v>716</v>
      </c>
      <c r="AQ531" s="263" t="s">
        <v>687</v>
      </c>
      <c r="AR531" s="256">
        <v>5.1999999999999998E-3</v>
      </c>
      <c r="AS531" s="256">
        <v>5.1999999999999998E-3</v>
      </c>
      <c r="AT531" s="256"/>
      <c r="AW531" s="508"/>
      <c r="AX531" s="508"/>
      <c r="AY531" s="509"/>
      <c r="AZ531" s="509"/>
      <c r="BA531" s="509"/>
      <c r="BB531" s="510"/>
      <c r="BC531" s="509"/>
      <c r="BD531" s="509"/>
      <c r="BE531" s="509"/>
      <c r="BF531" s="509"/>
      <c r="BG531" s="510"/>
      <c r="BH531" s="510"/>
      <c r="BI531" s="511"/>
      <c r="BJ531" s="511"/>
      <c r="BK531" s="511"/>
      <c r="BL531" s="510"/>
      <c r="BM531" s="510"/>
      <c r="BN531" s="510"/>
      <c r="BO531" s="510"/>
      <c r="BP531" s="510"/>
      <c r="BQ531" s="510"/>
      <c r="BR531" s="510"/>
      <c r="BS531" s="510"/>
      <c r="BT531" s="513"/>
      <c r="BU531" s="514"/>
      <c r="BV531" s="512"/>
      <c r="BW531" s="515"/>
    </row>
    <row r="532" spans="2:75" ht="15.75" customHeight="1">
      <c r="B532" s="250" t="s">
        <v>788</v>
      </c>
      <c r="C532" s="251">
        <v>22681798000117</v>
      </c>
      <c r="D532" s="252" t="s">
        <v>11</v>
      </c>
      <c r="E532" s="252" t="s">
        <v>620</v>
      </c>
      <c r="F532" s="252" t="s">
        <v>663</v>
      </c>
      <c r="G532" s="253" t="s">
        <v>738</v>
      </c>
      <c r="H532" s="253" t="s">
        <v>34</v>
      </c>
      <c r="I532" s="253" t="s">
        <v>1304</v>
      </c>
      <c r="J532" s="253" t="s">
        <v>608</v>
      </c>
      <c r="K532" s="254" t="s">
        <v>48</v>
      </c>
      <c r="L532" s="255"/>
      <c r="M532" s="255" t="s">
        <v>1414</v>
      </c>
      <c r="N532" s="254">
        <v>403822</v>
      </c>
      <c r="O532" s="254" t="s">
        <v>1321</v>
      </c>
      <c r="P532" s="258">
        <v>42219</v>
      </c>
      <c r="Q532" s="259">
        <v>507079895.44999999</v>
      </c>
      <c r="R532" s="259">
        <v>546323480.66595256</v>
      </c>
      <c r="S532" s="254">
        <v>7</v>
      </c>
      <c r="T532" s="256">
        <v>7.9789669046282929E-2</v>
      </c>
      <c r="U532" s="256">
        <v>1.0314566252180577</v>
      </c>
      <c r="V532" s="256">
        <v>0.10550274510114988</v>
      </c>
      <c r="W532" s="256">
        <v>1.0342796752435763</v>
      </c>
      <c r="X532" s="256">
        <v>0.13658286272553721</v>
      </c>
      <c r="Y532" s="256">
        <v>1.0357326597656982</v>
      </c>
      <c r="Z532" s="256">
        <v>0.18696109916889769</v>
      </c>
      <c r="AA532" s="256">
        <v>1.0627474982698952</v>
      </c>
      <c r="AB532" s="256">
        <v>1.6754186491688648E-3</v>
      </c>
      <c r="AC532" s="260">
        <v>1.8917619431738006</v>
      </c>
      <c r="AD532" s="405">
        <v>0</v>
      </c>
      <c r="AE532" s="257" t="s">
        <v>2164</v>
      </c>
      <c r="AF532" s="257" t="s">
        <v>2109</v>
      </c>
      <c r="AG532" s="261" t="s">
        <v>1432</v>
      </c>
      <c r="AH532" s="261" t="s">
        <v>2113</v>
      </c>
      <c r="AI532" s="261">
        <v>500</v>
      </c>
      <c r="AJ532" s="261">
        <v>300</v>
      </c>
      <c r="AK532" s="261">
        <v>300</v>
      </c>
      <c r="AL532" s="519">
        <v>4.0000000000000001E-3</v>
      </c>
      <c r="AM532" s="519">
        <v>0.1</v>
      </c>
      <c r="AN532" s="256" t="s">
        <v>34</v>
      </c>
      <c r="AO532" s="254" t="s">
        <v>1324</v>
      </c>
      <c r="AP532" s="257" t="s">
        <v>11</v>
      </c>
      <c r="AQ532" s="263" t="s">
        <v>1373</v>
      </c>
      <c r="AR532" s="256">
        <v>1E-3</v>
      </c>
      <c r="AS532" s="256">
        <v>1E-3</v>
      </c>
      <c r="AT532" s="256"/>
      <c r="AW532" s="508"/>
      <c r="AX532" s="508"/>
      <c r="AY532" s="509"/>
      <c r="AZ532" s="509"/>
      <c r="BA532" s="509"/>
      <c r="BB532" s="510"/>
      <c r="BC532" s="509"/>
      <c r="BD532" s="509"/>
      <c r="BE532" s="509"/>
      <c r="BF532" s="509"/>
      <c r="BG532" s="510"/>
      <c r="BH532" s="510"/>
      <c r="BI532" s="511"/>
      <c r="BJ532" s="511"/>
      <c r="BK532" s="511"/>
      <c r="BL532" s="510"/>
      <c r="BM532" s="510"/>
      <c r="BN532" s="510"/>
      <c r="BO532" s="510"/>
      <c r="BP532" s="510"/>
      <c r="BQ532" s="510"/>
      <c r="BR532" s="510"/>
      <c r="BS532" s="510"/>
      <c r="BT532" s="513"/>
      <c r="BU532" s="514"/>
      <c r="BV532" s="512"/>
      <c r="BW532" s="515"/>
    </row>
    <row r="533" spans="2:75" ht="15.75" customHeight="1">
      <c r="B533" s="250" t="s">
        <v>814</v>
      </c>
      <c r="C533" s="251">
        <v>34109809000178</v>
      </c>
      <c r="D533" s="252" t="s">
        <v>11</v>
      </c>
      <c r="E533" s="252" t="s">
        <v>620</v>
      </c>
      <c r="F533" s="252" t="s">
        <v>663</v>
      </c>
      <c r="G533" s="253" t="s">
        <v>738</v>
      </c>
      <c r="H533" s="253" t="s">
        <v>34</v>
      </c>
      <c r="I533" s="253"/>
      <c r="J533" s="253" t="s">
        <v>608</v>
      </c>
      <c r="K533" s="254" t="s">
        <v>48</v>
      </c>
      <c r="L533" s="255"/>
      <c r="M533" s="255" t="s">
        <v>1414</v>
      </c>
      <c r="N533" s="254">
        <v>527017</v>
      </c>
      <c r="O533" s="254" t="s">
        <v>1321</v>
      </c>
      <c r="P533" s="258">
        <v>43769</v>
      </c>
      <c r="Q533" s="259">
        <v>55262801.140000001</v>
      </c>
      <c r="R533" s="259">
        <v>24703214.021468256</v>
      </c>
      <c r="S533" s="254">
        <v>7</v>
      </c>
      <c r="T533" s="256">
        <v>8.6401537650901972E-2</v>
      </c>
      <c r="U533" s="256">
        <v>1.1169295411835274</v>
      </c>
      <c r="V533" s="256">
        <v>0.11687025034260667</v>
      </c>
      <c r="W533" s="256">
        <v>1.1457192365383226</v>
      </c>
      <c r="X533" s="256">
        <v>0.16338562786645494</v>
      </c>
      <c r="Y533" s="256">
        <v>1.2389828968343317</v>
      </c>
      <c r="Z533" s="256" t="s">
        <v>1417</v>
      </c>
      <c r="AA533" s="256" t="s">
        <v>1417</v>
      </c>
      <c r="AB533" s="256">
        <v>2.9186531457089109E-3</v>
      </c>
      <c r="AC533" s="260">
        <v>4.5934773052394595</v>
      </c>
      <c r="AD533" s="405">
        <v>32388077000177</v>
      </c>
      <c r="AE533" s="257" t="s">
        <v>2179</v>
      </c>
      <c r="AF533" s="257" t="s">
        <v>2115</v>
      </c>
      <c r="AG533" s="261" t="s">
        <v>719</v>
      </c>
      <c r="AH533" s="261" t="s">
        <v>2113</v>
      </c>
      <c r="AI533" s="261">
        <v>1000</v>
      </c>
      <c r="AJ533" s="261">
        <v>500</v>
      </c>
      <c r="AK533" s="261">
        <v>500</v>
      </c>
      <c r="AL533" s="256">
        <v>2.5000000000000001E-3</v>
      </c>
      <c r="AM533" s="256">
        <v>0.2</v>
      </c>
      <c r="AN533" s="256" t="s">
        <v>64</v>
      </c>
      <c r="AO533" s="254" t="s">
        <v>1324</v>
      </c>
      <c r="AP533" s="257" t="s">
        <v>11</v>
      </c>
      <c r="AQ533" s="263" t="s">
        <v>675</v>
      </c>
      <c r="AR533" s="256">
        <v>6.6666666666666664E-4</v>
      </c>
      <c r="AS533" s="256">
        <v>6.6666666666666664E-4</v>
      </c>
      <c r="AT533" s="256"/>
      <c r="AW533" s="508"/>
      <c r="AX533" s="508"/>
      <c r="AY533" s="509"/>
      <c r="AZ533" s="509"/>
      <c r="BA533" s="509"/>
      <c r="BB533" s="510"/>
      <c r="BC533" s="509"/>
      <c r="BD533" s="509"/>
      <c r="BE533" s="509"/>
      <c r="BF533" s="509"/>
      <c r="BG533" s="510"/>
      <c r="BH533" s="510"/>
      <c r="BI533" s="511"/>
      <c r="BJ533" s="511"/>
      <c r="BK533" s="511"/>
      <c r="BL533" s="510"/>
      <c r="BM533" s="510"/>
      <c r="BN533" s="510"/>
      <c r="BO533" s="510"/>
      <c r="BP533" s="510"/>
      <c r="BQ533" s="510"/>
      <c r="BR533" s="510"/>
      <c r="BS533" s="510"/>
      <c r="BT533" s="513"/>
      <c r="BU533" s="514"/>
      <c r="BV533" s="512"/>
      <c r="BW533" s="515"/>
    </row>
    <row r="534" spans="2:75" ht="15.75" customHeight="1">
      <c r="B534" s="250" t="s">
        <v>1514</v>
      </c>
      <c r="C534" s="251">
        <v>43103846000160</v>
      </c>
      <c r="D534" s="252" t="s">
        <v>11</v>
      </c>
      <c r="E534" s="252" t="s">
        <v>620</v>
      </c>
      <c r="F534" s="252" t="s">
        <v>663</v>
      </c>
      <c r="G534" s="253" t="s">
        <v>738</v>
      </c>
      <c r="H534" s="253" t="s">
        <v>34</v>
      </c>
      <c r="I534" s="253"/>
      <c r="J534" s="253" t="s">
        <v>608</v>
      </c>
      <c r="K534" s="254" t="s">
        <v>48</v>
      </c>
      <c r="L534" s="255"/>
      <c r="M534" s="255"/>
      <c r="N534" s="254">
        <v>634824</v>
      </c>
      <c r="O534" s="254" t="s">
        <v>1321</v>
      </c>
      <c r="P534" s="258">
        <v>44578</v>
      </c>
      <c r="Q534" s="259">
        <v>27569466.420000002</v>
      </c>
      <c r="R534" s="259" t="s">
        <v>1417</v>
      </c>
      <c r="S534" s="254">
        <v>7</v>
      </c>
      <c r="T534" s="256" t="s">
        <v>1417</v>
      </c>
      <c r="U534" s="256" t="s">
        <v>1417</v>
      </c>
      <c r="V534" s="256" t="s">
        <v>1417</v>
      </c>
      <c r="W534" s="256" t="s">
        <v>1417</v>
      </c>
      <c r="X534" s="256" t="s">
        <v>1417</v>
      </c>
      <c r="Y534" s="256" t="s">
        <v>1417</v>
      </c>
      <c r="Z534" s="256" t="s">
        <v>1417</v>
      </c>
      <c r="AA534" s="256" t="s">
        <v>1417</v>
      </c>
      <c r="AB534" s="256" t="s">
        <v>1417</v>
      </c>
      <c r="AC534" s="260" t="s">
        <v>1417</v>
      </c>
      <c r="AD534" s="405">
        <v>0</v>
      </c>
      <c r="AE534" s="257" t="s">
        <v>2144</v>
      </c>
      <c r="AF534" s="257" t="s">
        <v>2109</v>
      </c>
      <c r="AG534" s="261" t="s">
        <v>1432</v>
      </c>
      <c r="AH534" s="261" t="s">
        <v>2119</v>
      </c>
      <c r="AI534" s="261">
        <v>1000</v>
      </c>
      <c r="AJ534" s="261" t="s">
        <v>1427</v>
      </c>
      <c r="AK534" s="261" t="s">
        <v>1427</v>
      </c>
      <c r="AL534" s="256">
        <v>8.0000000000000002E-3</v>
      </c>
      <c r="AM534" s="256">
        <v>0.2</v>
      </c>
      <c r="AN534" s="256" t="s">
        <v>2127</v>
      </c>
      <c r="AO534" s="254" t="s">
        <v>1321</v>
      </c>
      <c r="AP534" s="257" t="s">
        <v>11</v>
      </c>
      <c r="AQ534" s="263" t="s">
        <v>2190</v>
      </c>
      <c r="AR534" s="256" t="s">
        <v>34</v>
      </c>
      <c r="AS534" s="256" t="s">
        <v>34</v>
      </c>
      <c r="AT534" s="256"/>
      <c r="AW534" s="508"/>
      <c r="AX534" s="508"/>
      <c r="AY534" s="509"/>
      <c r="AZ534" s="509"/>
      <c r="BA534" s="509"/>
      <c r="BB534" s="510"/>
      <c r="BC534" s="509"/>
      <c r="BD534" s="509"/>
      <c r="BE534" s="509"/>
      <c r="BF534" s="509"/>
      <c r="BG534" s="510"/>
      <c r="BH534" s="510"/>
      <c r="BI534" s="511"/>
      <c r="BJ534" s="511"/>
      <c r="BK534" s="511"/>
      <c r="BL534" s="510"/>
      <c r="BM534" s="510"/>
      <c r="BN534" s="510"/>
      <c r="BO534" s="510"/>
      <c r="BP534" s="510"/>
      <c r="BQ534" s="510"/>
      <c r="BR534" s="510"/>
      <c r="BS534" s="510"/>
      <c r="BT534" s="513"/>
      <c r="BU534" s="514"/>
      <c r="BV534" s="512"/>
      <c r="BW534" s="515"/>
    </row>
    <row r="535" spans="2:75" ht="15.75" customHeight="1">
      <c r="B535" s="250" t="s">
        <v>1515</v>
      </c>
      <c r="C535" s="251">
        <v>21336440000194</v>
      </c>
      <c r="D535" s="252" t="s">
        <v>11</v>
      </c>
      <c r="E535" s="252" t="s">
        <v>620</v>
      </c>
      <c r="F535" s="252" t="s">
        <v>663</v>
      </c>
      <c r="G535" s="253" t="s">
        <v>738</v>
      </c>
      <c r="H535" s="253" t="s">
        <v>34</v>
      </c>
      <c r="I535" s="253"/>
      <c r="J535" s="253" t="s">
        <v>608</v>
      </c>
      <c r="K535" s="254" t="s">
        <v>48</v>
      </c>
      <c r="L535" s="255"/>
      <c r="M535" s="255"/>
      <c r="N535" s="254">
        <v>388491</v>
      </c>
      <c r="O535" s="254" t="s">
        <v>1321</v>
      </c>
      <c r="P535" s="258">
        <v>42011</v>
      </c>
      <c r="Q535" s="259">
        <v>2398469794.1799998</v>
      </c>
      <c r="R535" s="259">
        <v>1343031026.4814286</v>
      </c>
      <c r="S535" s="254">
        <v>7</v>
      </c>
      <c r="T535" s="256">
        <v>0.11064047843386238</v>
      </c>
      <c r="U535" s="256">
        <v>1.2444745334654064</v>
      </c>
      <c r="V535" s="256">
        <v>0.13436236800167833</v>
      </c>
      <c r="W535" s="256">
        <v>1.233138635082029</v>
      </c>
      <c r="X535" s="256">
        <v>0.2172746168757298</v>
      </c>
      <c r="Y535" s="256">
        <v>1.5278295757153422</v>
      </c>
      <c r="Z535" s="256">
        <v>0.2300383490847846</v>
      </c>
      <c r="AA535" s="256">
        <v>1.2570592094638222</v>
      </c>
      <c r="AB535" s="256">
        <v>4.9554769224500871E-3</v>
      </c>
      <c r="AC535" s="260">
        <v>4.5747319139667884</v>
      </c>
      <c r="AD535" s="405">
        <v>0</v>
      </c>
      <c r="AE535" s="257" t="s">
        <v>2144</v>
      </c>
      <c r="AF535" s="257" t="s">
        <v>2109</v>
      </c>
      <c r="AG535" s="261" t="s">
        <v>1432</v>
      </c>
      <c r="AH535" s="261" t="s">
        <v>2119</v>
      </c>
      <c r="AI535" s="261">
        <v>0</v>
      </c>
      <c r="AJ535" s="261">
        <v>0</v>
      </c>
      <c r="AK535" s="261">
        <v>0</v>
      </c>
      <c r="AL535" s="256">
        <v>5.0000000000000001E-3</v>
      </c>
      <c r="AM535" s="256" t="s">
        <v>34</v>
      </c>
      <c r="AN535" s="256" t="s">
        <v>34</v>
      </c>
      <c r="AO535" s="254" t="s">
        <v>1321</v>
      </c>
      <c r="AP535" s="257" t="s">
        <v>13</v>
      </c>
      <c r="AQ535" s="263" t="s">
        <v>2177</v>
      </c>
      <c r="AR535" s="256" t="s">
        <v>34</v>
      </c>
      <c r="AS535" s="256" t="s">
        <v>34</v>
      </c>
      <c r="AT535" s="256"/>
      <c r="AW535" s="508"/>
      <c r="AX535" s="508"/>
      <c r="AY535" s="509"/>
      <c r="AZ535" s="509"/>
      <c r="BA535" s="509"/>
      <c r="BB535" s="510"/>
      <c r="BC535" s="509"/>
      <c r="BD535" s="509"/>
      <c r="BE535" s="509"/>
      <c r="BF535" s="509"/>
      <c r="BG535" s="510"/>
      <c r="BH535" s="510"/>
      <c r="BI535" s="511"/>
      <c r="BJ535" s="511"/>
      <c r="BK535" s="511"/>
      <c r="BL535" s="510"/>
      <c r="BM535" s="510"/>
      <c r="BN535" s="510"/>
      <c r="BO535" s="510"/>
      <c r="BP535" s="510"/>
      <c r="BQ535" s="510"/>
      <c r="BR535" s="510"/>
      <c r="BS535" s="510"/>
      <c r="BT535" s="513"/>
      <c r="BU535" s="514"/>
      <c r="BV535" s="512"/>
      <c r="BW535" s="515"/>
    </row>
    <row r="536" spans="2:75" ht="15.75" customHeight="1">
      <c r="B536" s="250" t="s">
        <v>1516</v>
      </c>
      <c r="C536" s="251">
        <v>33165157000126</v>
      </c>
      <c r="D536" s="252" t="s">
        <v>11</v>
      </c>
      <c r="E536" s="252" t="s">
        <v>620</v>
      </c>
      <c r="F536" s="252" t="s">
        <v>663</v>
      </c>
      <c r="G536" s="253" t="s">
        <v>738</v>
      </c>
      <c r="H536" s="253" t="s">
        <v>34</v>
      </c>
      <c r="I536" s="253"/>
      <c r="J536" s="253" t="s">
        <v>608</v>
      </c>
      <c r="K536" s="254" t="s">
        <v>48</v>
      </c>
      <c r="L536" s="255"/>
      <c r="M536" s="255"/>
      <c r="N536" s="254">
        <v>506893</v>
      </c>
      <c r="O536" s="254" t="s">
        <v>1321</v>
      </c>
      <c r="P536" s="258">
        <v>43711</v>
      </c>
      <c r="Q536" s="259">
        <v>2293297304.5599999</v>
      </c>
      <c r="R536" s="259">
        <v>1246007904.1592853</v>
      </c>
      <c r="S536" s="254">
        <v>7</v>
      </c>
      <c r="T536" s="256">
        <v>0.10631014362822011</v>
      </c>
      <c r="U536" s="256">
        <v>1.1957673020498982</v>
      </c>
      <c r="V536" s="256">
        <v>0.1284766718959458</v>
      </c>
      <c r="W536" s="256">
        <v>1.1791214324212365</v>
      </c>
      <c r="X536" s="256">
        <v>0.20075210893186912</v>
      </c>
      <c r="Y536" s="256">
        <v>1.4116467621653357</v>
      </c>
      <c r="Z536" s="256">
        <v>0.20037788078785046</v>
      </c>
      <c r="AA536" s="256">
        <v>1.0949776914125482</v>
      </c>
      <c r="AB536" s="256">
        <v>4.964649286742377E-3</v>
      </c>
      <c r="AC536" s="260">
        <v>3.5179558641481381</v>
      </c>
      <c r="AD536" s="405">
        <v>21336440000194</v>
      </c>
      <c r="AE536" s="257" t="s">
        <v>2144</v>
      </c>
      <c r="AF536" s="257" t="s">
        <v>2109</v>
      </c>
      <c r="AG536" s="261" t="s">
        <v>1432</v>
      </c>
      <c r="AH536" s="261" t="s">
        <v>2119</v>
      </c>
      <c r="AI536" s="261">
        <v>0</v>
      </c>
      <c r="AJ536" s="261">
        <v>0</v>
      </c>
      <c r="AK536" s="261">
        <v>0</v>
      </c>
      <c r="AL536" s="256">
        <v>5.0000000000000001E-3</v>
      </c>
      <c r="AM536" s="256" t="s">
        <v>34</v>
      </c>
      <c r="AN536" s="256" t="s">
        <v>34</v>
      </c>
      <c r="AO536" s="254" t="s">
        <v>1321</v>
      </c>
      <c r="AP536" s="257" t="s">
        <v>13</v>
      </c>
      <c r="AQ536" s="263" t="s">
        <v>2177</v>
      </c>
      <c r="AR536" s="256" t="s">
        <v>34</v>
      </c>
      <c r="AS536" s="256" t="s">
        <v>34</v>
      </c>
      <c r="AT536" s="256"/>
      <c r="AW536" s="508"/>
      <c r="AX536" s="508"/>
      <c r="AY536" s="509"/>
      <c r="AZ536" s="509"/>
      <c r="BA536" s="509"/>
      <c r="BB536" s="510"/>
      <c r="BC536" s="509"/>
      <c r="BD536" s="509"/>
      <c r="BE536" s="509"/>
      <c r="BF536" s="509"/>
      <c r="BG536" s="510"/>
      <c r="BH536" s="510"/>
      <c r="BI536" s="511"/>
      <c r="BJ536" s="511"/>
      <c r="BK536" s="511"/>
      <c r="BL536" s="510"/>
      <c r="BM536" s="510"/>
      <c r="BN536" s="510"/>
      <c r="BO536" s="510"/>
      <c r="BP536" s="510"/>
      <c r="BQ536" s="510"/>
      <c r="BR536" s="510"/>
      <c r="BS536" s="510"/>
      <c r="BT536" s="513"/>
      <c r="BU536" s="514"/>
      <c r="BV536" s="512"/>
      <c r="BW536" s="515"/>
    </row>
    <row r="537" spans="2:75" ht="15.75" customHeight="1">
      <c r="B537" s="250" t="s">
        <v>871</v>
      </c>
      <c r="C537" s="251">
        <v>45294958000170</v>
      </c>
      <c r="D537" s="252" t="s">
        <v>11</v>
      </c>
      <c r="E537" s="252" t="s">
        <v>661</v>
      </c>
      <c r="F537" s="252" t="s">
        <v>663</v>
      </c>
      <c r="G537" s="253"/>
      <c r="H537" s="253" t="s">
        <v>34</v>
      </c>
      <c r="I537" s="253"/>
      <c r="J537" s="253" t="s">
        <v>611</v>
      </c>
      <c r="K537" s="254" t="s">
        <v>49</v>
      </c>
      <c r="L537" s="255"/>
      <c r="M537" s="255" t="s">
        <v>34</v>
      </c>
      <c r="N537" s="254">
        <v>648582</v>
      </c>
      <c r="O537" s="254" t="s">
        <v>1321</v>
      </c>
      <c r="P537" s="258">
        <v>44678</v>
      </c>
      <c r="Q537" s="259">
        <v>25581319.710000001</v>
      </c>
      <c r="R537" s="259" t="s">
        <v>1417</v>
      </c>
      <c r="S537" s="254">
        <v>7</v>
      </c>
      <c r="T537" s="256" t="s">
        <v>1417</v>
      </c>
      <c r="U537" s="256" t="s">
        <v>1417</v>
      </c>
      <c r="V537" s="256" t="s">
        <v>1417</v>
      </c>
      <c r="W537" s="256" t="s">
        <v>1417</v>
      </c>
      <c r="X537" s="256" t="s">
        <v>1417</v>
      </c>
      <c r="Y537" s="256" t="s">
        <v>1417</v>
      </c>
      <c r="Z537" s="256" t="s">
        <v>1417</v>
      </c>
      <c r="AA537" s="256" t="s">
        <v>1417</v>
      </c>
      <c r="AB537" s="256" t="s">
        <v>1417</v>
      </c>
      <c r="AC537" s="260" t="s">
        <v>1417</v>
      </c>
      <c r="AD537" s="405">
        <v>0</v>
      </c>
      <c r="AE537" s="257" t="s">
        <v>2144</v>
      </c>
      <c r="AF537" s="257" t="s">
        <v>2109</v>
      </c>
      <c r="AG537" s="261" t="s">
        <v>1432</v>
      </c>
      <c r="AH537" s="261" t="s">
        <v>2110</v>
      </c>
      <c r="AI537" s="261">
        <v>0</v>
      </c>
      <c r="AJ537" s="261" t="s">
        <v>1427</v>
      </c>
      <c r="AK537" s="261">
        <v>0</v>
      </c>
      <c r="AL537" s="256">
        <v>8.0000000000000002E-3</v>
      </c>
      <c r="AM537" s="256">
        <v>0.2</v>
      </c>
      <c r="AN537" s="256" t="s">
        <v>2127</v>
      </c>
      <c r="AO537" s="254" t="s">
        <v>1324</v>
      </c>
      <c r="AP537" s="257" t="s">
        <v>13</v>
      </c>
      <c r="AQ537" s="263" t="s">
        <v>679</v>
      </c>
      <c r="AR537" s="256">
        <v>2.6666666666666666E-3</v>
      </c>
      <c r="AS537" s="256">
        <v>2.6666666666666666E-3</v>
      </c>
      <c r="AT537" s="256"/>
      <c r="AW537" s="508"/>
      <c r="AX537" s="508"/>
      <c r="AY537" s="509"/>
      <c r="AZ537" s="509"/>
      <c r="BA537" s="509"/>
      <c r="BB537" s="510"/>
      <c r="BC537" s="509"/>
      <c r="BD537" s="509"/>
      <c r="BE537" s="509"/>
      <c r="BF537" s="509"/>
      <c r="BG537" s="510"/>
      <c r="BH537" s="510"/>
      <c r="BI537" s="511"/>
      <c r="BJ537" s="511"/>
      <c r="BK537" s="511"/>
      <c r="BL537" s="510"/>
      <c r="BM537" s="510"/>
      <c r="BN537" s="510"/>
      <c r="BO537" s="510"/>
      <c r="BP537" s="510"/>
      <c r="BQ537" s="510"/>
      <c r="BR537" s="510"/>
      <c r="BS537" s="510"/>
      <c r="BT537" s="513"/>
      <c r="BU537" s="514"/>
      <c r="BV537" s="512"/>
      <c r="BW537" s="515"/>
    </row>
    <row r="538" spans="2:75" ht="15.75" customHeight="1">
      <c r="B538" s="250" t="s">
        <v>417</v>
      </c>
      <c r="C538" s="251">
        <v>36017289000107</v>
      </c>
      <c r="D538" s="252" t="s">
        <v>11</v>
      </c>
      <c r="E538" s="252" t="s">
        <v>620</v>
      </c>
      <c r="F538" s="252" t="s">
        <v>663</v>
      </c>
      <c r="G538" s="253" t="s">
        <v>738</v>
      </c>
      <c r="H538" s="253" t="s">
        <v>34</v>
      </c>
      <c r="I538" s="253" t="s">
        <v>34</v>
      </c>
      <c r="J538" s="253" t="s">
        <v>608</v>
      </c>
      <c r="K538" s="254" t="s">
        <v>48</v>
      </c>
      <c r="L538" s="255"/>
      <c r="M538" s="255" t="s">
        <v>1414</v>
      </c>
      <c r="N538" s="254">
        <v>546496</v>
      </c>
      <c r="O538" s="254" t="s">
        <v>1321</v>
      </c>
      <c r="P538" s="258">
        <v>44042</v>
      </c>
      <c r="Q538" s="259">
        <v>408060251.61000001</v>
      </c>
      <c r="R538" s="259">
        <v>214570625.15682527</v>
      </c>
      <c r="S538" s="254">
        <v>7</v>
      </c>
      <c r="T538" s="256">
        <v>8.5390796213933529E-2</v>
      </c>
      <c r="U538" s="256">
        <v>1.1038634893499399</v>
      </c>
      <c r="V538" s="256">
        <v>0.11289645783122637</v>
      </c>
      <c r="W538" s="256">
        <v>1.1067627826165281</v>
      </c>
      <c r="X538" s="256">
        <v>0.15189289971567144</v>
      </c>
      <c r="Y538" s="256">
        <v>1.1518314514916246</v>
      </c>
      <c r="Z538" s="256" t="s">
        <v>1417</v>
      </c>
      <c r="AA538" s="256" t="s">
        <v>1417</v>
      </c>
      <c r="AB538" s="256">
        <v>2.81178134408115E-3</v>
      </c>
      <c r="AC538" s="260">
        <v>3.4997762378345425</v>
      </c>
      <c r="AD538" s="405">
        <v>0</v>
      </c>
      <c r="AE538" s="257" t="s">
        <v>2421</v>
      </c>
      <c r="AF538" s="257" t="s">
        <v>736</v>
      </c>
      <c r="AG538" s="261" t="s">
        <v>736</v>
      </c>
      <c r="AH538" s="261" t="s">
        <v>2113</v>
      </c>
      <c r="AI538" s="261">
        <v>100</v>
      </c>
      <c r="AJ538" s="261">
        <v>100</v>
      </c>
      <c r="AK538" s="261">
        <v>100</v>
      </c>
      <c r="AL538" s="256">
        <v>4.0000000000000001E-3</v>
      </c>
      <c r="AM538" s="256" t="s">
        <v>34</v>
      </c>
      <c r="AN538" s="256" t="s">
        <v>64</v>
      </c>
      <c r="AO538" s="254" t="s">
        <v>1324</v>
      </c>
      <c r="AP538" s="257" t="s">
        <v>11</v>
      </c>
      <c r="AQ538" s="263" t="s">
        <v>675</v>
      </c>
      <c r="AR538" s="256">
        <v>7.9999999999999993E-4</v>
      </c>
      <c r="AS538" s="256">
        <v>7.9999999999999993E-4</v>
      </c>
      <c r="AT538" s="256"/>
      <c r="AW538" s="508"/>
      <c r="AX538" s="508"/>
      <c r="AY538" s="509"/>
      <c r="AZ538" s="509"/>
      <c r="BA538" s="509"/>
      <c r="BB538" s="510"/>
      <c r="BC538" s="509"/>
      <c r="BD538" s="509"/>
      <c r="BE538" s="509"/>
      <c r="BF538" s="509"/>
      <c r="BG538" s="510"/>
      <c r="BH538" s="510"/>
      <c r="BI538" s="511"/>
      <c r="BJ538" s="511"/>
      <c r="BK538" s="511"/>
      <c r="BL538" s="510"/>
      <c r="BM538" s="510"/>
      <c r="BN538" s="510"/>
      <c r="BO538" s="510"/>
      <c r="BP538" s="510"/>
      <c r="BQ538" s="510"/>
      <c r="BR538" s="510"/>
      <c r="BS538" s="510"/>
      <c r="BT538" s="513"/>
      <c r="BU538" s="514"/>
      <c r="BV538" s="512"/>
      <c r="BW538" s="515"/>
    </row>
    <row r="539" spans="2:75" ht="15.75" customHeight="1">
      <c r="B539" s="250" t="s">
        <v>1258</v>
      </c>
      <c r="C539" s="251">
        <v>44209582000196</v>
      </c>
      <c r="D539" s="252" t="s">
        <v>14</v>
      </c>
      <c r="E539" s="252" t="s">
        <v>15</v>
      </c>
      <c r="F539" s="252" t="s">
        <v>701</v>
      </c>
      <c r="G539" s="253"/>
      <c r="H539" s="253" t="s">
        <v>34</v>
      </c>
      <c r="I539" s="253" t="s">
        <v>34</v>
      </c>
      <c r="J539" s="253" t="s">
        <v>611</v>
      </c>
      <c r="K539" s="254" t="s">
        <v>49</v>
      </c>
      <c r="L539" s="255"/>
      <c r="M539" s="255" t="s">
        <v>1414</v>
      </c>
      <c r="N539" s="254">
        <v>624985</v>
      </c>
      <c r="O539" s="254" t="s">
        <v>1321</v>
      </c>
      <c r="P539" s="258">
        <v>44523</v>
      </c>
      <c r="Q539" s="259">
        <v>2839068.09</v>
      </c>
      <c r="R539" s="259" t="s">
        <v>1417</v>
      </c>
      <c r="S539" s="254">
        <v>7</v>
      </c>
      <c r="T539" s="256">
        <v>-0.57893674741405854</v>
      </c>
      <c r="U539" s="256">
        <v>-7.4840283314878908</v>
      </c>
      <c r="V539" s="256" t="s">
        <v>1417</v>
      </c>
      <c r="W539" s="256" t="s">
        <v>1417</v>
      </c>
      <c r="X539" s="256" t="s">
        <v>1417</v>
      </c>
      <c r="Y539" s="256" t="s">
        <v>1417</v>
      </c>
      <c r="Z539" s="256" t="s">
        <v>1417</v>
      </c>
      <c r="AA539" s="256" t="s">
        <v>1417</v>
      </c>
      <c r="AB539" s="256" t="s">
        <v>1417</v>
      </c>
      <c r="AC539" s="260" t="s">
        <v>1417</v>
      </c>
      <c r="AD539" s="405">
        <v>0</v>
      </c>
      <c r="AE539" s="257" t="s">
        <v>2229</v>
      </c>
      <c r="AF539" s="257" t="s">
        <v>2109</v>
      </c>
      <c r="AG539" s="261" t="s">
        <v>1432</v>
      </c>
      <c r="AH539" s="261" t="s">
        <v>2113</v>
      </c>
      <c r="AI539" s="261">
        <v>1000</v>
      </c>
      <c r="AJ539" s="261">
        <v>100</v>
      </c>
      <c r="AK539" s="261">
        <v>100</v>
      </c>
      <c r="AL539" s="256">
        <v>3.4000000000000002E-3</v>
      </c>
      <c r="AM539" s="256" t="s">
        <v>34</v>
      </c>
      <c r="AN539" s="256" t="s">
        <v>2127</v>
      </c>
      <c r="AO539" s="254" t="s">
        <v>1324</v>
      </c>
      <c r="AP539" s="257" t="s">
        <v>13</v>
      </c>
      <c r="AQ539" s="263" t="s">
        <v>671</v>
      </c>
      <c r="AR539" s="256">
        <v>1.1332199999999999E-3</v>
      </c>
      <c r="AS539" s="256">
        <v>1.1332199999999999E-3</v>
      </c>
      <c r="AT539" s="256"/>
      <c r="AW539" s="508"/>
      <c r="AX539" s="508"/>
      <c r="AY539" s="509"/>
      <c r="AZ539" s="509"/>
      <c r="BA539" s="509"/>
      <c r="BB539" s="510"/>
      <c r="BC539" s="509"/>
      <c r="BD539" s="509"/>
      <c r="BE539" s="509"/>
      <c r="BF539" s="509"/>
      <c r="BG539" s="510"/>
      <c r="BH539" s="510"/>
      <c r="BI539" s="511"/>
      <c r="BJ539" s="511"/>
      <c r="BK539" s="511"/>
      <c r="BL539" s="510"/>
      <c r="BM539" s="510"/>
      <c r="BN539" s="510"/>
      <c r="BO539" s="510"/>
      <c r="BP539" s="510"/>
      <c r="BQ539" s="510"/>
      <c r="BR539" s="510"/>
      <c r="BS539" s="510"/>
      <c r="BT539" s="513"/>
      <c r="BU539" s="514"/>
      <c r="BV539" s="512"/>
      <c r="BW539" s="515"/>
    </row>
    <row r="540" spans="2:75" ht="15.75" customHeight="1">
      <c r="B540" s="250" t="s">
        <v>1259</v>
      </c>
      <c r="C540" s="251">
        <v>41545885000191</v>
      </c>
      <c r="D540" s="252" t="s">
        <v>14</v>
      </c>
      <c r="E540" s="252" t="s">
        <v>15</v>
      </c>
      <c r="F540" s="252" t="s">
        <v>701</v>
      </c>
      <c r="G540" s="253"/>
      <c r="H540" s="253" t="s">
        <v>34</v>
      </c>
      <c r="I540" s="253" t="s">
        <v>34</v>
      </c>
      <c r="J540" s="253" t="s">
        <v>611</v>
      </c>
      <c r="K540" s="254" t="s">
        <v>49</v>
      </c>
      <c r="L540" s="255"/>
      <c r="M540" s="255" t="s">
        <v>1414</v>
      </c>
      <c r="N540" s="254">
        <v>612618</v>
      </c>
      <c r="O540" s="254" t="s">
        <v>1321</v>
      </c>
      <c r="P540" s="258">
        <v>44306</v>
      </c>
      <c r="Q540" s="259">
        <v>15826624.210000001</v>
      </c>
      <c r="R540" s="259">
        <v>36201364.435357116</v>
      </c>
      <c r="S540" s="254">
        <v>7</v>
      </c>
      <c r="T540" s="256">
        <v>-0.62555273568232628</v>
      </c>
      <c r="U540" s="256">
        <v>-8.0866423104041498</v>
      </c>
      <c r="V540" s="256">
        <v>-0.63444031253798339</v>
      </c>
      <c r="W540" s="256">
        <v>-6.2196364633365988</v>
      </c>
      <c r="X540" s="256" t="s">
        <v>1417</v>
      </c>
      <c r="Y540" s="256" t="s">
        <v>1417</v>
      </c>
      <c r="Z540" s="256" t="s">
        <v>1417</v>
      </c>
      <c r="AA540" s="256" t="s">
        <v>1417</v>
      </c>
      <c r="AB540" s="256">
        <v>0.76584828571467956</v>
      </c>
      <c r="AC540" s="260">
        <v>-1.0537153241735926</v>
      </c>
      <c r="AD540" s="405">
        <v>0</v>
      </c>
      <c r="AE540" s="257" t="s">
        <v>2229</v>
      </c>
      <c r="AF540" s="257" t="s">
        <v>2109</v>
      </c>
      <c r="AG540" s="261" t="s">
        <v>1432</v>
      </c>
      <c r="AH540" s="261" t="s">
        <v>2113</v>
      </c>
      <c r="AI540" s="261">
        <v>0</v>
      </c>
      <c r="AJ540" s="261">
        <v>0</v>
      </c>
      <c r="AK540" s="261">
        <v>0</v>
      </c>
      <c r="AL540" s="256">
        <v>5.0000000000000001E-4</v>
      </c>
      <c r="AM540" s="256" t="s">
        <v>34</v>
      </c>
      <c r="AN540" s="256" t="s">
        <v>34</v>
      </c>
      <c r="AO540" s="254" t="s">
        <v>1324</v>
      </c>
      <c r="AP540" s="257" t="s">
        <v>13</v>
      </c>
      <c r="AQ540" s="263" t="s">
        <v>671</v>
      </c>
      <c r="AR540" s="256">
        <v>1.6664999999999998E-4</v>
      </c>
      <c r="AS540" s="256">
        <v>1.6664999999999998E-4</v>
      </c>
      <c r="AT540" s="256"/>
      <c r="AW540" s="508"/>
      <c r="AX540" s="508"/>
      <c r="AY540" s="509"/>
      <c r="AZ540" s="509"/>
      <c r="BA540" s="509"/>
      <c r="BB540" s="510"/>
      <c r="BC540" s="509"/>
      <c r="BD540" s="509"/>
      <c r="BE540" s="509"/>
      <c r="BF540" s="509"/>
      <c r="BG540" s="510"/>
      <c r="BH540" s="510"/>
      <c r="BI540" s="511"/>
      <c r="BJ540" s="511"/>
      <c r="BK540" s="511"/>
      <c r="BL540" s="510"/>
      <c r="BM540" s="510"/>
      <c r="BN540" s="510"/>
      <c r="BO540" s="510"/>
      <c r="BP540" s="510"/>
      <c r="BQ540" s="510"/>
      <c r="BR540" s="510"/>
      <c r="BS540" s="510"/>
      <c r="BT540" s="513"/>
      <c r="BU540" s="514"/>
      <c r="BV540" s="512"/>
      <c r="BW540" s="515"/>
    </row>
    <row r="541" spans="2:75" ht="15.75" customHeight="1">
      <c r="B541" s="250" t="s">
        <v>1260</v>
      </c>
      <c r="C541" s="251">
        <v>43508446000134</v>
      </c>
      <c r="D541" s="252" t="s">
        <v>14</v>
      </c>
      <c r="E541" s="252" t="s">
        <v>15</v>
      </c>
      <c r="F541" s="252" t="s">
        <v>701</v>
      </c>
      <c r="G541" s="253"/>
      <c r="H541" s="253" t="s">
        <v>34</v>
      </c>
      <c r="I541" s="253" t="s">
        <v>34</v>
      </c>
      <c r="J541" s="253" t="s">
        <v>611</v>
      </c>
      <c r="K541" s="254" t="s">
        <v>49</v>
      </c>
      <c r="L541" s="255"/>
      <c r="M541" s="255" t="s">
        <v>1414</v>
      </c>
      <c r="N541" s="254">
        <v>615986</v>
      </c>
      <c r="O541" s="254" t="s">
        <v>1321</v>
      </c>
      <c r="P541" s="258">
        <v>44469</v>
      </c>
      <c r="Q541" s="259">
        <v>6457112.3899999997</v>
      </c>
      <c r="R541" s="259" t="s">
        <v>1417</v>
      </c>
      <c r="S541" s="254">
        <v>7</v>
      </c>
      <c r="T541" s="256">
        <v>-0.7147110391915118</v>
      </c>
      <c r="U541" s="256">
        <v>-9.2392091019070399</v>
      </c>
      <c r="V541" s="256" t="s">
        <v>1417</v>
      </c>
      <c r="W541" s="256" t="s">
        <v>1417</v>
      </c>
      <c r="X541" s="256" t="s">
        <v>1417</v>
      </c>
      <c r="Y541" s="256" t="s">
        <v>1417</v>
      </c>
      <c r="Z541" s="256" t="s">
        <v>1417</v>
      </c>
      <c r="AA541" s="256" t="s">
        <v>1417</v>
      </c>
      <c r="AB541" s="256" t="s">
        <v>1417</v>
      </c>
      <c r="AC541" s="260" t="s">
        <v>1417</v>
      </c>
      <c r="AD541" s="405">
        <v>0</v>
      </c>
      <c r="AE541" s="257" t="s">
        <v>2229</v>
      </c>
      <c r="AF541" s="257" t="s">
        <v>2109</v>
      </c>
      <c r="AG541" s="261" t="s">
        <v>1432</v>
      </c>
      <c r="AH541" s="261" t="s">
        <v>2113</v>
      </c>
      <c r="AI541" s="261">
        <v>0</v>
      </c>
      <c r="AJ541" s="261">
        <v>0</v>
      </c>
      <c r="AK541" s="261">
        <v>0</v>
      </c>
      <c r="AL541" s="256">
        <v>3.4000000000000002E-3</v>
      </c>
      <c r="AM541" s="256" t="s">
        <v>34</v>
      </c>
      <c r="AN541" s="256" t="s">
        <v>2127</v>
      </c>
      <c r="AO541" s="254" t="s">
        <v>1324</v>
      </c>
      <c r="AP541" s="257" t="s">
        <v>13</v>
      </c>
      <c r="AQ541" s="263" t="s">
        <v>671</v>
      </c>
      <c r="AR541" s="256">
        <v>1.1332199999999999E-3</v>
      </c>
      <c r="AS541" s="256">
        <v>1.1332199999999999E-3</v>
      </c>
      <c r="AT541" s="256"/>
      <c r="AW541" s="508"/>
      <c r="AX541" s="508"/>
      <c r="AY541" s="509"/>
      <c r="AZ541" s="509"/>
      <c r="BA541" s="509"/>
      <c r="BB541" s="510"/>
      <c r="BC541" s="509"/>
      <c r="BD541" s="509"/>
      <c r="BE541" s="509"/>
      <c r="BF541" s="509"/>
      <c r="BG541" s="510"/>
      <c r="BH541" s="510"/>
      <c r="BI541" s="511"/>
      <c r="BJ541" s="511"/>
      <c r="BK541" s="511"/>
      <c r="BL541" s="510"/>
      <c r="BM541" s="510"/>
      <c r="BN541" s="510"/>
      <c r="BO541" s="510"/>
      <c r="BP541" s="510"/>
      <c r="BQ541" s="510"/>
      <c r="BR541" s="510"/>
      <c r="BS541" s="510"/>
      <c r="BT541" s="513"/>
      <c r="BU541" s="514"/>
      <c r="BV541" s="512"/>
      <c r="BW541" s="515"/>
    </row>
    <row r="542" spans="2:75" ht="15.75" customHeight="1">
      <c r="B542" s="250" t="s">
        <v>1261</v>
      </c>
      <c r="C542" s="251">
        <v>44026806000124</v>
      </c>
      <c r="D542" s="252" t="s">
        <v>14</v>
      </c>
      <c r="E542" s="252" t="s">
        <v>15</v>
      </c>
      <c r="F542" s="252" t="s">
        <v>701</v>
      </c>
      <c r="G542" s="253"/>
      <c r="H542" s="253" t="s">
        <v>34</v>
      </c>
      <c r="I542" s="253" t="s">
        <v>34</v>
      </c>
      <c r="J542" s="253" t="s">
        <v>611</v>
      </c>
      <c r="K542" s="254" t="s">
        <v>49</v>
      </c>
      <c r="L542" s="255"/>
      <c r="M542" s="255" t="s">
        <v>1414</v>
      </c>
      <c r="N542" s="254">
        <v>626082</v>
      </c>
      <c r="O542" s="254" t="s">
        <v>1321</v>
      </c>
      <c r="P542" s="258">
        <v>44530</v>
      </c>
      <c r="Q542" s="259">
        <v>4242281.0199999996</v>
      </c>
      <c r="R542" s="259" t="s">
        <v>1417</v>
      </c>
      <c r="S542" s="254">
        <v>7</v>
      </c>
      <c r="T542" s="256">
        <v>-0.62098168035260093</v>
      </c>
      <c r="U542" s="256">
        <v>-8.0275513859719574</v>
      </c>
      <c r="V542" s="256" t="s">
        <v>1417</v>
      </c>
      <c r="W542" s="256" t="s">
        <v>1417</v>
      </c>
      <c r="X542" s="256" t="s">
        <v>1417</v>
      </c>
      <c r="Y542" s="256" t="s">
        <v>1417</v>
      </c>
      <c r="Z542" s="256" t="s">
        <v>1417</v>
      </c>
      <c r="AA542" s="256" t="s">
        <v>1417</v>
      </c>
      <c r="AB542" s="256" t="s">
        <v>1417</v>
      </c>
      <c r="AC542" s="260" t="s">
        <v>1417</v>
      </c>
      <c r="AD542" s="405">
        <v>0</v>
      </c>
      <c r="AE542" s="257" t="s">
        <v>2229</v>
      </c>
      <c r="AF542" s="257" t="s">
        <v>2109</v>
      </c>
      <c r="AG542" s="261" t="s">
        <v>1432</v>
      </c>
      <c r="AH542" s="261" t="s">
        <v>2113</v>
      </c>
      <c r="AI542" s="261">
        <v>1000</v>
      </c>
      <c r="AJ542" s="261">
        <v>100</v>
      </c>
      <c r="AK542" s="261">
        <v>100</v>
      </c>
      <c r="AL542" s="256">
        <v>3.4000000000000002E-3</v>
      </c>
      <c r="AM542" s="256" t="s">
        <v>34</v>
      </c>
      <c r="AN542" s="256" t="s">
        <v>2127</v>
      </c>
      <c r="AO542" s="254" t="s">
        <v>1324</v>
      </c>
      <c r="AP542" s="257" t="s">
        <v>13</v>
      </c>
      <c r="AQ542" s="263" t="s">
        <v>671</v>
      </c>
      <c r="AR542" s="256">
        <v>1.1332199999999999E-3</v>
      </c>
      <c r="AS542" s="256">
        <v>1.1332199999999999E-3</v>
      </c>
      <c r="AT542" s="256"/>
      <c r="AW542" s="508"/>
      <c r="AX542" s="508"/>
      <c r="AY542" s="509"/>
      <c r="AZ542" s="509"/>
      <c r="BA542" s="509"/>
      <c r="BB542" s="510"/>
      <c r="BC542" s="509"/>
      <c r="BD542" s="509"/>
      <c r="BE542" s="509"/>
      <c r="BF542" s="509"/>
      <c r="BG542" s="510"/>
      <c r="BH542" s="510"/>
      <c r="BI542" s="511"/>
      <c r="BJ542" s="511"/>
      <c r="BK542" s="511"/>
      <c r="BL542" s="510"/>
      <c r="BM542" s="510"/>
      <c r="BN542" s="510"/>
      <c r="BO542" s="510"/>
      <c r="BP542" s="510"/>
      <c r="BQ542" s="510"/>
      <c r="BR542" s="510"/>
      <c r="BS542" s="510"/>
      <c r="BT542" s="513"/>
      <c r="BU542" s="514"/>
      <c r="BV542" s="512"/>
      <c r="BW542" s="515"/>
    </row>
    <row r="543" spans="2:75" ht="15.75" customHeight="1">
      <c r="B543" s="250" t="s">
        <v>505</v>
      </c>
      <c r="C543" s="251">
        <v>36380409000128</v>
      </c>
      <c r="D543" s="252" t="s">
        <v>14</v>
      </c>
      <c r="E543" s="252" t="s">
        <v>15</v>
      </c>
      <c r="F543" s="252" t="s">
        <v>701</v>
      </c>
      <c r="G543" s="253"/>
      <c r="H543" s="253" t="s">
        <v>34</v>
      </c>
      <c r="I543" s="253" t="s">
        <v>34</v>
      </c>
      <c r="J543" s="253" t="s">
        <v>611</v>
      </c>
      <c r="K543" s="254" t="s">
        <v>49</v>
      </c>
      <c r="L543" s="255"/>
      <c r="M543" s="255" t="s">
        <v>1414</v>
      </c>
      <c r="N543" s="254">
        <v>530026</v>
      </c>
      <c r="O543" s="254" t="s">
        <v>1321</v>
      </c>
      <c r="P543" s="258">
        <v>43889</v>
      </c>
      <c r="Q543" s="259">
        <v>44579718.979999997</v>
      </c>
      <c r="R543" s="259">
        <v>68740373.194880933</v>
      </c>
      <c r="S543" s="254">
        <v>7</v>
      </c>
      <c r="T543" s="256">
        <v>-0.25004122223342951</v>
      </c>
      <c r="U543" s="256">
        <v>-3.2323316831993596</v>
      </c>
      <c r="V543" s="256">
        <v>-0.1762237845980863</v>
      </c>
      <c r="W543" s="256">
        <v>-1.7275823347492796</v>
      </c>
      <c r="X543" s="256">
        <v>-1.1825893803525389E-3</v>
      </c>
      <c r="Y543" s="256">
        <v>-8.9677901010504421E-3</v>
      </c>
      <c r="Z543" s="256" t="s">
        <v>1417</v>
      </c>
      <c r="AA543" s="256" t="s">
        <v>1417</v>
      </c>
      <c r="AB543" s="256">
        <v>0.16101987075846294</v>
      </c>
      <c r="AC543" s="260">
        <v>-1.7267459813888817</v>
      </c>
      <c r="AD543" s="405">
        <v>0</v>
      </c>
      <c r="AE543" s="257" t="s">
        <v>2229</v>
      </c>
      <c r="AF543" s="257" t="s">
        <v>2109</v>
      </c>
      <c r="AG543" s="261" t="s">
        <v>1432</v>
      </c>
      <c r="AH543" s="261" t="s">
        <v>2113</v>
      </c>
      <c r="AI543" s="261">
        <v>1000</v>
      </c>
      <c r="AJ543" s="261">
        <v>0</v>
      </c>
      <c r="AK543" s="261">
        <v>0</v>
      </c>
      <c r="AL543" s="256">
        <v>5.0000000000000001E-4</v>
      </c>
      <c r="AM543" s="256" t="s">
        <v>34</v>
      </c>
      <c r="AN543" s="256" t="s">
        <v>34</v>
      </c>
      <c r="AO543" s="254" t="s">
        <v>1324</v>
      </c>
      <c r="AP543" s="257" t="s">
        <v>13</v>
      </c>
      <c r="AQ543" s="263" t="s">
        <v>668</v>
      </c>
      <c r="AR543" s="256">
        <v>1.6664999999999998E-4</v>
      </c>
      <c r="AS543" s="256">
        <v>1.6664999999999998E-4</v>
      </c>
      <c r="AT543" s="256"/>
      <c r="AW543" s="508"/>
      <c r="AX543" s="508"/>
      <c r="AY543" s="509"/>
      <c r="AZ543" s="509"/>
      <c r="BA543" s="509"/>
      <c r="BB543" s="510"/>
      <c r="BC543" s="509"/>
      <c r="BD543" s="509"/>
      <c r="BE543" s="509"/>
      <c r="BF543" s="509"/>
      <c r="BG543" s="510"/>
      <c r="BH543" s="510"/>
      <c r="BI543" s="511"/>
      <c r="BJ543" s="511"/>
      <c r="BK543" s="511"/>
      <c r="BL543" s="510"/>
      <c r="BM543" s="510"/>
      <c r="BN543" s="510"/>
      <c r="BO543" s="510"/>
      <c r="BP543" s="510"/>
      <c r="BQ543" s="510"/>
      <c r="BR543" s="510"/>
      <c r="BS543" s="510"/>
      <c r="BT543" s="513"/>
      <c r="BU543" s="514"/>
      <c r="BV543" s="512"/>
      <c r="BW543" s="515"/>
    </row>
    <row r="544" spans="2:75" ht="15.75" customHeight="1">
      <c r="B544" s="250" t="s">
        <v>1493</v>
      </c>
      <c r="C544" s="251">
        <v>38377278000155</v>
      </c>
      <c r="D544" s="252" t="s">
        <v>14</v>
      </c>
      <c r="E544" s="252" t="s">
        <v>616</v>
      </c>
      <c r="F544" s="252" t="s">
        <v>617</v>
      </c>
      <c r="G544" s="253" t="s">
        <v>34</v>
      </c>
      <c r="H544" s="253" t="s">
        <v>34</v>
      </c>
      <c r="I544" s="253" t="s">
        <v>34</v>
      </c>
      <c r="J544" s="253" t="s">
        <v>608</v>
      </c>
      <c r="K544" s="254" t="s">
        <v>48</v>
      </c>
      <c r="L544" s="255"/>
      <c r="M544" s="255"/>
      <c r="N544" s="254">
        <v>576743</v>
      </c>
      <c r="O544" s="254" t="s">
        <v>1321</v>
      </c>
      <c r="P544" s="258">
        <v>44235</v>
      </c>
      <c r="Q544" s="259" t="s">
        <v>1393</v>
      </c>
      <c r="R544" s="259" t="s">
        <v>1417</v>
      </c>
      <c r="S544" s="254">
        <v>7</v>
      </c>
      <c r="T544" s="256" t="s">
        <v>1417</v>
      </c>
      <c r="U544" s="256" t="s">
        <v>1417</v>
      </c>
      <c r="V544" s="256" t="s">
        <v>1417</v>
      </c>
      <c r="W544" s="256" t="s">
        <v>1417</v>
      </c>
      <c r="X544" s="256" t="s">
        <v>1417</v>
      </c>
      <c r="Y544" s="256" t="s">
        <v>1417</v>
      </c>
      <c r="Z544" s="256" t="s">
        <v>1417</v>
      </c>
      <c r="AA544" s="256" t="s">
        <v>1417</v>
      </c>
      <c r="AB544" s="256" t="s">
        <v>1417</v>
      </c>
      <c r="AC544" s="260" t="s">
        <v>1417</v>
      </c>
      <c r="AD544" s="405">
        <v>0</v>
      </c>
      <c r="AE544" s="257" t="s">
        <v>2143</v>
      </c>
      <c r="AF544" s="257" t="s">
        <v>2118</v>
      </c>
      <c r="AG544" s="261" t="s">
        <v>1433</v>
      </c>
      <c r="AH544" s="261" t="s">
        <v>2110</v>
      </c>
      <c r="AI544" s="261">
        <v>500</v>
      </c>
      <c r="AJ544" s="261" t="s">
        <v>1427</v>
      </c>
      <c r="AK544" s="261">
        <v>100</v>
      </c>
      <c r="AL544" s="519">
        <v>0</v>
      </c>
      <c r="AM544" s="519">
        <v>0.2</v>
      </c>
      <c r="AN544" s="256" t="s">
        <v>34</v>
      </c>
      <c r="AO544" s="254" t="s">
        <v>1324</v>
      </c>
      <c r="AP544" s="257" t="s">
        <v>716</v>
      </c>
      <c r="AQ544" s="263" t="s">
        <v>687</v>
      </c>
      <c r="AR544" s="256">
        <v>4.0000000000000001E-3</v>
      </c>
      <c r="AS544" s="256">
        <v>4.0000000000000001E-3</v>
      </c>
      <c r="AT544" s="256"/>
      <c r="AW544" s="508"/>
      <c r="AX544" s="508"/>
      <c r="AY544" s="509"/>
      <c r="AZ544" s="509"/>
      <c r="BA544" s="509"/>
      <c r="BB544" s="510"/>
      <c r="BC544" s="509"/>
      <c r="BD544" s="509"/>
      <c r="BE544" s="509"/>
      <c r="BF544" s="509"/>
      <c r="BG544" s="510"/>
      <c r="BH544" s="510"/>
      <c r="BI544" s="511"/>
      <c r="BJ544" s="511"/>
      <c r="BK544" s="511"/>
      <c r="BL544" s="510"/>
      <c r="BM544" s="510"/>
      <c r="BN544" s="510"/>
      <c r="BO544" s="510"/>
      <c r="BP544" s="510"/>
      <c r="BQ544" s="510"/>
      <c r="BR544" s="510"/>
      <c r="BS544" s="510"/>
      <c r="BT544" s="513"/>
      <c r="BU544" s="514"/>
      <c r="BV544" s="512"/>
      <c r="BW544" s="515"/>
    </row>
    <row r="545" spans="2:75" ht="15.75" customHeight="1">
      <c r="B545" s="250" t="s">
        <v>1603</v>
      </c>
      <c r="C545" s="251">
        <v>34979876000143</v>
      </c>
      <c r="D545" s="252" t="s">
        <v>13</v>
      </c>
      <c r="E545" s="252" t="s">
        <v>616</v>
      </c>
      <c r="F545" s="252" t="s">
        <v>617</v>
      </c>
      <c r="G545" s="253" t="s">
        <v>34</v>
      </c>
      <c r="H545" s="253" t="s">
        <v>1337</v>
      </c>
      <c r="I545" s="253" t="s">
        <v>34</v>
      </c>
      <c r="J545" s="253" t="s">
        <v>608</v>
      </c>
      <c r="K545" s="254" t="s">
        <v>48</v>
      </c>
      <c r="L545" s="255"/>
      <c r="M545" s="255"/>
      <c r="N545" s="254">
        <v>536474</v>
      </c>
      <c r="O545" s="254" t="s">
        <v>1321</v>
      </c>
      <c r="P545" s="258">
        <v>43966</v>
      </c>
      <c r="Q545" s="259">
        <v>100928778.90000001</v>
      </c>
      <c r="R545" s="259">
        <v>114713752.58694442</v>
      </c>
      <c r="S545" s="254">
        <v>7</v>
      </c>
      <c r="T545" s="256">
        <v>4.8418643316860965E-2</v>
      </c>
      <c r="U545" s="256">
        <v>0.54460871288438606</v>
      </c>
      <c r="V545" s="256">
        <v>8.4910650507639351E-2</v>
      </c>
      <c r="W545" s="256">
        <v>0.77928519144296171</v>
      </c>
      <c r="X545" s="256">
        <v>0.20367604327307176</v>
      </c>
      <c r="Y545" s="256">
        <v>1.4322072557387484</v>
      </c>
      <c r="Z545" s="256" t="s">
        <v>1417</v>
      </c>
      <c r="AA545" s="256" t="s">
        <v>1417</v>
      </c>
      <c r="AB545" s="256">
        <v>3.8985298980494659E-2</v>
      </c>
      <c r="AC545" s="260">
        <v>-0.54320756682320437</v>
      </c>
      <c r="AD545" s="405">
        <v>0</v>
      </c>
      <c r="AE545" s="257" t="s">
        <v>2293</v>
      </c>
      <c r="AF545" s="257" t="s">
        <v>2109</v>
      </c>
      <c r="AG545" s="261" t="s">
        <v>1432</v>
      </c>
      <c r="AH545" s="261" t="s">
        <v>2119</v>
      </c>
      <c r="AI545" s="261">
        <v>0</v>
      </c>
      <c r="AJ545" s="261">
        <v>0</v>
      </c>
      <c r="AK545" s="261">
        <v>0</v>
      </c>
      <c r="AL545" s="256">
        <v>0.01</v>
      </c>
      <c r="AM545" s="256">
        <v>0.2</v>
      </c>
      <c r="AN545" s="256" t="s">
        <v>34</v>
      </c>
      <c r="AO545" s="254" t="s">
        <v>1321</v>
      </c>
      <c r="AP545" s="257" t="s">
        <v>13</v>
      </c>
      <c r="AQ545" s="263" t="s">
        <v>2177</v>
      </c>
      <c r="AR545" s="256" t="s">
        <v>34</v>
      </c>
      <c r="AS545" s="256" t="s">
        <v>34</v>
      </c>
      <c r="AT545" s="256"/>
      <c r="AW545" s="508"/>
      <c r="AX545" s="508"/>
      <c r="AY545" s="509"/>
      <c r="AZ545" s="509"/>
      <c r="BA545" s="509"/>
      <c r="BB545" s="510"/>
      <c r="BC545" s="509"/>
      <c r="BD545" s="509"/>
      <c r="BE545" s="509"/>
      <c r="BF545" s="509"/>
      <c r="BG545" s="510"/>
      <c r="BH545" s="510"/>
      <c r="BI545" s="511"/>
      <c r="BJ545" s="511"/>
      <c r="BK545" s="511"/>
      <c r="BL545" s="510"/>
      <c r="BM545" s="510"/>
      <c r="BN545" s="510"/>
      <c r="BO545" s="510"/>
      <c r="BP545" s="510"/>
      <c r="BQ545" s="510"/>
      <c r="BR545" s="510"/>
      <c r="BS545" s="510"/>
      <c r="BT545" s="513"/>
      <c r="BU545" s="514"/>
      <c r="BV545" s="512"/>
      <c r="BW545" s="515"/>
    </row>
    <row r="546" spans="2:75" ht="15.75" customHeight="1">
      <c r="B546" s="250" t="s">
        <v>954</v>
      </c>
      <c r="C546" s="251">
        <v>41969176000133</v>
      </c>
      <c r="D546" s="252" t="s">
        <v>13</v>
      </c>
      <c r="E546" s="252" t="s">
        <v>615</v>
      </c>
      <c r="F546" s="252" t="s">
        <v>619</v>
      </c>
      <c r="G546" s="253" t="s">
        <v>34</v>
      </c>
      <c r="H546" s="253" t="s">
        <v>1338</v>
      </c>
      <c r="I546" s="253" t="s">
        <v>34</v>
      </c>
      <c r="J546" s="253"/>
      <c r="K546" s="254" t="s">
        <v>48</v>
      </c>
      <c r="L546" s="255"/>
      <c r="M546" s="255" t="s">
        <v>34</v>
      </c>
      <c r="N546" s="254">
        <v>611069</v>
      </c>
      <c r="O546" s="254" t="s">
        <v>1321</v>
      </c>
      <c r="P546" s="258">
        <v>44440</v>
      </c>
      <c r="Q546" s="259">
        <v>20390694.559999999</v>
      </c>
      <c r="R546" s="259" t="s">
        <v>1417</v>
      </c>
      <c r="S546" s="254">
        <v>7</v>
      </c>
      <c r="T546" s="256">
        <v>0.10090870322085244</v>
      </c>
      <c r="U546" s="256">
        <v>1.304466502034699</v>
      </c>
      <c r="V546" s="256" t="s">
        <v>1417</v>
      </c>
      <c r="W546" s="256" t="s">
        <v>1417</v>
      </c>
      <c r="X546" s="256" t="s">
        <v>1417</v>
      </c>
      <c r="Y546" s="256" t="s">
        <v>1417</v>
      </c>
      <c r="Z546" s="256" t="s">
        <v>1417</v>
      </c>
      <c r="AA546" s="256" t="s">
        <v>1417</v>
      </c>
      <c r="AB546" s="256" t="s">
        <v>1417</v>
      </c>
      <c r="AC546" s="260" t="s">
        <v>1417</v>
      </c>
      <c r="AD546" s="405">
        <v>41969199000148</v>
      </c>
      <c r="AE546" s="257" t="s">
        <v>2252</v>
      </c>
      <c r="AF546" s="257" t="s">
        <v>2112</v>
      </c>
      <c r="AG546" s="261" t="s">
        <v>59</v>
      </c>
      <c r="AH546" s="261" t="s">
        <v>2113</v>
      </c>
      <c r="AI546" s="261">
        <v>500</v>
      </c>
      <c r="AJ546" s="261">
        <v>100</v>
      </c>
      <c r="AK546" s="261">
        <v>500</v>
      </c>
      <c r="AL546" s="256">
        <v>1.89E-2</v>
      </c>
      <c r="AM546" s="256">
        <v>0.2</v>
      </c>
      <c r="AN546" s="256" t="s">
        <v>64</v>
      </c>
      <c r="AO546" s="254" t="s">
        <v>1324</v>
      </c>
      <c r="AP546" s="257" t="s">
        <v>13</v>
      </c>
      <c r="AQ546" s="263" t="s">
        <v>664</v>
      </c>
      <c r="AR546" s="256">
        <v>3.7800000000000004E-3</v>
      </c>
      <c r="AS546" s="256">
        <v>3.7800000000000004E-3</v>
      </c>
      <c r="AT546" s="256"/>
      <c r="AW546" s="508"/>
      <c r="AX546" s="508"/>
      <c r="AY546" s="509"/>
      <c r="AZ546" s="509"/>
      <c r="BA546" s="509"/>
      <c r="BB546" s="510"/>
      <c r="BC546" s="509"/>
      <c r="BD546" s="509"/>
      <c r="BE546" s="509"/>
      <c r="BF546" s="509"/>
      <c r="BG546" s="510"/>
      <c r="BH546" s="510"/>
      <c r="BI546" s="511"/>
      <c r="BJ546" s="511"/>
      <c r="BK546" s="511"/>
      <c r="BL546" s="510"/>
      <c r="BM546" s="510"/>
      <c r="BN546" s="510"/>
      <c r="BO546" s="510"/>
      <c r="BP546" s="510"/>
      <c r="BQ546" s="510"/>
      <c r="BR546" s="510"/>
      <c r="BS546" s="510"/>
      <c r="BT546" s="513"/>
      <c r="BU546" s="514"/>
      <c r="BV546" s="512"/>
      <c r="BW546" s="515"/>
    </row>
    <row r="547" spans="2:75" ht="15.75" customHeight="1">
      <c r="B547" s="250" t="s">
        <v>266</v>
      </c>
      <c r="C547" s="251">
        <v>26725138000141</v>
      </c>
      <c r="D547" s="252" t="s">
        <v>13</v>
      </c>
      <c r="E547" s="252" t="s">
        <v>615</v>
      </c>
      <c r="F547" s="252" t="s">
        <v>619</v>
      </c>
      <c r="G547" s="253" t="s">
        <v>34</v>
      </c>
      <c r="H547" s="253" t="s">
        <v>1338</v>
      </c>
      <c r="I547" s="253" t="s">
        <v>34</v>
      </c>
      <c r="J547" s="253"/>
      <c r="K547" s="254" t="s">
        <v>48</v>
      </c>
      <c r="L547" s="255"/>
      <c r="M547" s="255" t="s">
        <v>34</v>
      </c>
      <c r="N547" s="254">
        <v>433543</v>
      </c>
      <c r="O547" s="254" t="s">
        <v>1321</v>
      </c>
      <c r="P547" s="258">
        <v>42762</v>
      </c>
      <c r="Q547" s="259">
        <v>16774329.189999999</v>
      </c>
      <c r="R547" s="259">
        <v>43266160.778333344</v>
      </c>
      <c r="S547" s="254">
        <v>7</v>
      </c>
      <c r="T547" s="256">
        <v>7.3832810831820028E-2</v>
      </c>
      <c r="U547" s="256">
        <v>0.95445115641196032</v>
      </c>
      <c r="V547" s="256">
        <v>6.6135216684566123E-2</v>
      </c>
      <c r="W547" s="256">
        <v>0.64834626216688906</v>
      </c>
      <c r="X547" s="256">
        <v>8.3568878466887098E-2</v>
      </c>
      <c r="Y547" s="256">
        <v>0.63371798658282164</v>
      </c>
      <c r="Z547" s="256">
        <v>0.24338742610550268</v>
      </c>
      <c r="AA547" s="256">
        <v>1.3834930333304425</v>
      </c>
      <c r="AB547" s="256">
        <v>7.8415408164918474E-2</v>
      </c>
      <c r="AC547" s="260">
        <v>-0.38317942308261838</v>
      </c>
      <c r="AD547" s="405">
        <v>26725144000107</v>
      </c>
      <c r="AE547" s="257" t="s">
        <v>2300</v>
      </c>
      <c r="AF547" s="257" t="s">
        <v>2115</v>
      </c>
      <c r="AG547" s="261" t="s">
        <v>719</v>
      </c>
      <c r="AH547" s="261" t="s">
        <v>2113</v>
      </c>
      <c r="AI547" s="261">
        <v>5000</v>
      </c>
      <c r="AJ547" s="261">
        <v>1000</v>
      </c>
      <c r="AK547" s="261">
        <v>4000</v>
      </c>
      <c r="AL547" s="256">
        <v>1.4999999999999999E-2</v>
      </c>
      <c r="AM547" s="256">
        <v>0.2</v>
      </c>
      <c r="AN547" s="256" t="s">
        <v>64</v>
      </c>
      <c r="AO547" s="254" t="s">
        <v>1324</v>
      </c>
      <c r="AP547" s="257" t="s">
        <v>13</v>
      </c>
      <c r="AQ547" s="263" t="s">
        <v>668</v>
      </c>
      <c r="AR547" s="256">
        <v>4.9999999999999992E-3</v>
      </c>
      <c r="AS547" s="256">
        <v>4.9999999999999992E-3</v>
      </c>
      <c r="AT547" s="256"/>
      <c r="AW547" s="508"/>
      <c r="AX547" s="508"/>
      <c r="AY547" s="509"/>
      <c r="AZ547" s="509"/>
      <c r="BA547" s="509"/>
      <c r="BB547" s="510"/>
      <c r="BC547" s="509"/>
      <c r="BD547" s="509"/>
      <c r="BE547" s="509"/>
      <c r="BF547" s="509"/>
      <c r="BG547" s="510"/>
      <c r="BH547" s="510"/>
      <c r="BI547" s="511"/>
      <c r="BJ547" s="511"/>
      <c r="BK547" s="511"/>
      <c r="BL547" s="510"/>
      <c r="BM547" s="510"/>
      <c r="BN547" s="510"/>
      <c r="BO547" s="510"/>
      <c r="BP547" s="510"/>
      <c r="BQ547" s="510"/>
      <c r="BR547" s="510"/>
      <c r="BS547" s="510"/>
      <c r="BT547" s="513"/>
      <c r="BU547" s="514"/>
      <c r="BV547" s="512"/>
      <c r="BW547" s="515"/>
    </row>
    <row r="548" spans="2:75" ht="15.75" customHeight="1">
      <c r="B548" s="250" t="s">
        <v>499</v>
      </c>
      <c r="C548" s="251">
        <v>42480017000133</v>
      </c>
      <c r="D548" s="252" t="s">
        <v>14</v>
      </c>
      <c r="E548" s="252" t="s">
        <v>607</v>
      </c>
      <c r="F548" s="252" t="s">
        <v>860</v>
      </c>
      <c r="G548" s="253"/>
      <c r="H548" s="253" t="s">
        <v>34</v>
      </c>
      <c r="I548" s="253" t="s">
        <v>34</v>
      </c>
      <c r="J548" s="253" t="s">
        <v>611</v>
      </c>
      <c r="K548" s="254" t="s">
        <v>48</v>
      </c>
      <c r="L548" s="255"/>
      <c r="M548" s="255" t="s">
        <v>1414</v>
      </c>
      <c r="N548" s="254">
        <v>601551</v>
      </c>
      <c r="O548" s="254" t="s">
        <v>1321</v>
      </c>
      <c r="P548" s="258">
        <v>44397</v>
      </c>
      <c r="Q548" s="259">
        <v>3228511.35</v>
      </c>
      <c r="R548" s="259">
        <v>4625489.7684920644</v>
      </c>
      <c r="S548" s="254">
        <v>7</v>
      </c>
      <c r="T548" s="256">
        <v>-0.26066463309492516</v>
      </c>
      <c r="U548" s="256">
        <v>-3.3696625888977789</v>
      </c>
      <c r="V548" s="256">
        <v>-0.18439594996894182</v>
      </c>
      <c r="W548" s="256">
        <v>-1.8076968809414349</v>
      </c>
      <c r="X548" s="256" t="s">
        <v>1417</v>
      </c>
      <c r="Y548" s="256" t="s">
        <v>1417</v>
      </c>
      <c r="Z548" s="256" t="s">
        <v>1417</v>
      </c>
      <c r="AA548" s="256" t="s">
        <v>1417</v>
      </c>
      <c r="AB548" s="256">
        <v>0.2420026881130426</v>
      </c>
      <c r="AC548" s="260">
        <v>-1.1229306226111371</v>
      </c>
      <c r="AD548" s="405">
        <v>0</v>
      </c>
      <c r="AE548" s="257" t="s">
        <v>2229</v>
      </c>
      <c r="AF548" s="257" t="s">
        <v>2109</v>
      </c>
      <c r="AG548" s="261" t="s">
        <v>1432</v>
      </c>
      <c r="AH548" s="261" t="s">
        <v>2113</v>
      </c>
      <c r="AI548" s="261">
        <v>100</v>
      </c>
      <c r="AJ548" s="261">
        <v>100</v>
      </c>
      <c r="AK548" s="261">
        <v>100</v>
      </c>
      <c r="AL548" s="256">
        <v>9.0000000000000011E-3</v>
      </c>
      <c r="AM548" s="256">
        <v>0.1</v>
      </c>
      <c r="AN548" s="256" t="s">
        <v>34</v>
      </c>
      <c r="AO548" s="254" t="s">
        <v>1324</v>
      </c>
      <c r="AP548" s="257" t="s">
        <v>716</v>
      </c>
      <c r="AQ548" s="263" t="s">
        <v>659</v>
      </c>
      <c r="AR548" s="256">
        <v>2.9996999999999997E-3</v>
      </c>
      <c r="AS548" s="256">
        <v>2.9996999999999997E-3</v>
      </c>
      <c r="AT548" s="256"/>
      <c r="AW548" s="508"/>
      <c r="AX548" s="508"/>
      <c r="AY548" s="509"/>
      <c r="AZ548" s="509"/>
      <c r="BA548" s="509"/>
      <c r="BB548" s="510"/>
      <c r="BC548" s="509"/>
      <c r="BD548" s="509"/>
      <c r="BE548" s="509"/>
      <c r="BF548" s="509"/>
      <c r="BG548" s="510"/>
      <c r="BH548" s="510"/>
      <c r="BI548" s="511"/>
      <c r="BJ548" s="511"/>
      <c r="BK548" s="511"/>
      <c r="BL548" s="510"/>
      <c r="BM548" s="510"/>
      <c r="BN548" s="510"/>
      <c r="BO548" s="510"/>
      <c r="BP548" s="510"/>
      <c r="BQ548" s="510"/>
      <c r="BR548" s="510"/>
      <c r="BS548" s="510"/>
      <c r="BT548" s="513"/>
      <c r="BU548" s="514"/>
      <c r="BV548" s="512"/>
      <c r="BW548" s="515"/>
    </row>
    <row r="549" spans="2:75" ht="15.75" customHeight="1">
      <c r="B549" s="250" t="s">
        <v>1712</v>
      </c>
      <c r="C549" s="251">
        <v>42730540000170</v>
      </c>
      <c r="D549" s="252" t="s">
        <v>14</v>
      </c>
      <c r="E549" s="252" t="s">
        <v>607</v>
      </c>
      <c r="F549" s="252" t="s">
        <v>860</v>
      </c>
      <c r="G549" s="253"/>
      <c r="H549" s="253" t="s">
        <v>34</v>
      </c>
      <c r="I549" s="253" t="s">
        <v>34</v>
      </c>
      <c r="J549" s="253" t="s">
        <v>611</v>
      </c>
      <c r="K549" s="254" t="s">
        <v>48</v>
      </c>
      <c r="L549" s="255"/>
      <c r="M549" s="255"/>
      <c r="N549" s="254">
        <v>606308</v>
      </c>
      <c r="O549" s="254" t="s">
        <v>1321</v>
      </c>
      <c r="P549" s="258">
        <v>44418</v>
      </c>
      <c r="Q549" s="259" t="s">
        <v>1393</v>
      </c>
      <c r="R549" s="259" t="s">
        <v>1417</v>
      </c>
      <c r="S549" s="254">
        <v>7</v>
      </c>
      <c r="T549" s="256" t="s">
        <v>1417</v>
      </c>
      <c r="U549" s="256" t="s">
        <v>1417</v>
      </c>
      <c r="V549" s="256" t="s">
        <v>1417</v>
      </c>
      <c r="W549" s="256" t="s">
        <v>1417</v>
      </c>
      <c r="X549" s="256" t="s">
        <v>1417</v>
      </c>
      <c r="Y549" s="256" t="s">
        <v>1417</v>
      </c>
      <c r="Z549" s="256" t="s">
        <v>1417</v>
      </c>
      <c r="AA549" s="256" t="s">
        <v>1417</v>
      </c>
      <c r="AB549" s="256" t="s">
        <v>1417</v>
      </c>
      <c r="AC549" s="260" t="s">
        <v>1417</v>
      </c>
      <c r="AD549" s="405">
        <v>17036289000100</v>
      </c>
      <c r="AE549" s="257" t="s">
        <v>2229</v>
      </c>
      <c r="AF549" s="257" t="s">
        <v>2109</v>
      </c>
      <c r="AG549" s="261" t="s">
        <v>1432</v>
      </c>
      <c r="AH549" s="261" t="s">
        <v>2113</v>
      </c>
      <c r="AI549" s="261">
        <v>0</v>
      </c>
      <c r="AJ549" s="261">
        <v>0</v>
      </c>
      <c r="AK549" s="261">
        <v>0</v>
      </c>
      <c r="AL549" s="256">
        <v>9.0000000000000011E-3</v>
      </c>
      <c r="AM549" s="256">
        <v>0.1</v>
      </c>
      <c r="AN549" s="256" t="s">
        <v>34</v>
      </c>
      <c r="AO549" s="254" t="s">
        <v>1324</v>
      </c>
      <c r="AP549" s="257" t="s">
        <v>716</v>
      </c>
      <c r="AQ549" s="263" t="s">
        <v>694</v>
      </c>
      <c r="AR549" s="256">
        <v>2.9996999999999997E-3</v>
      </c>
      <c r="AS549" s="256">
        <v>2.9996999999999997E-3</v>
      </c>
      <c r="AT549" s="256"/>
      <c r="AW549" s="508"/>
      <c r="AX549" s="508"/>
      <c r="AY549" s="509"/>
      <c r="AZ549" s="509"/>
      <c r="BA549" s="509"/>
      <c r="BB549" s="510"/>
      <c r="BC549" s="509"/>
      <c r="BD549" s="509"/>
      <c r="BE549" s="509"/>
      <c r="BF549" s="509"/>
      <c r="BG549" s="510"/>
      <c r="BH549" s="510"/>
      <c r="BI549" s="511"/>
      <c r="BJ549" s="511"/>
      <c r="BK549" s="511"/>
      <c r="BL549" s="195"/>
      <c r="BM549" s="510"/>
      <c r="BN549" s="510"/>
      <c r="BO549" s="510"/>
      <c r="BP549" s="510"/>
      <c r="BQ549" s="510"/>
      <c r="BR549" s="510"/>
      <c r="BS549" s="510"/>
      <c r="BT549" s="513"/>
      <c r="BU549" s="514"/>
      <c r="BV549" s="512"/>
      <c r="BW549" s="515"/>
    </row>
    <row r="550" spans="2:75" ht="15.75" customHeight="1">
      <c r="B550" s="250" t="s">
        <v>466</v>
      </c>
      <c r="C550" s="251">
        <v>43214822000188</v>
      </c>
      <c r="D550" s="252" t="s">
        <v>14</v>
      </c>
      <c r="E550" s="252" t="s">
        <v>607</v>
      </c>
      <c r="F550" s="252"/>
      <c r="G550" s="253"/>
      <c r="H550" s="253" t="s">
        <v>34</v>
      </c>
      <c r="I550" s="253" t="s">
        <v>34</v>
      </c>
      <c r="J550" s="253" t="s">
        <v>608</v>
      </c>
      <c r="K550" s="254" t="s">
        <v>48</v>
      </c>
      <c r="L550" s="255"/>
      <c r="M550" s="255" t="s">
        <v>1414</v>
      </c>
      <c r="N550" s="254">
        <v>616338</v>
      </c>
      <c r="O550" s="254" t="s">
        <v>1321</v>
      </c>
      <c r="P550" s="258">
        <v>44470</v>
      </c>
      <c r="Q550" s="259">
        <v>40073131.579999998</v>
      </c>
      <c r="R550" s="259" t="s">
        <v>1417</v>
      </c>
      <c r="S550" s="254">
        <v>7</v>
      </c>
      <c r="T550" s="256">
        <v>-7.7225619365686393E-2</v>
      </c>
      <c r="U550" s="256">
        <v>-0.99831065454226187</v>
      </c>
      <c r="V550" s="256" t="s">
        <v>1417</v>
      </c>
      <c r="W550" s="256" t="s">
        <v>1417</v>
      </c>
      <c r="X550" s="256" t="s">
        <v>1417</v>
      </c>
      <c r="Y550" s="256" t="s">
        <v>1417</v>
      </c>
      <c r="Z550" s="256" t="s">
        <v>1417</v>
      </c>
      <c r="AA550" s="256" t="s">
        <v>1417</v>
      </c>
      <c r="AB550" s="256" t="s">
        <v>1417</v>
      </c>
      <c r="AC550" s="260" t="s">
        <v>1417</v>
      </c>
      <c r="AD550" s="405">
        <v>43214858000161</v>
      </c>
      <c r="AE550" s="257" t="s">
        <v>2157</v>
      </c>
      <c r="AF550" s="257" t="s">
        <v>2109</v>
      </c>
      <c r="AG550" s="261" t="s">
        <v>1432</v>
      </c>
      <c r="AH550" s="261" t="s">
        <v>2110</v>
      </c>
      <c r="AI550" s="261">
        <v>1000</v>
      </c>
      <c r="AJ550" s="261" t="s">
        <v>1427</v>
      </c>
      <c r="AK550" s="261" t="s">
        <v>1427</v>
      </c>
      <c r="AL550" s="519">
        <v>1.6E-2</v>
      </c>
      <c r="AM550" s="519">
        <v>0.15</v>
      </c>
      <c r="AN550" s="256" t="s">
        <v>2127</v>
      </c>
      <c r="AO550" s="254" t="s">
        <v>1324</v>
      </c>
      <c r="AP550" s="257" t="s">
        <v>716</v>
      </c>
      <c r="AQ550" s="263" t="s">
        <v>659</v>
      </c>
      <c r="AR550" s="256" t="s">
        <v>34</v>
      </c>
      <c r="AS550" s="256" t="s">
        <v>34</v>
      </c>
      <c r="AT550" s="256"/>
      <c r="AW550" s="508"/>
      <c r="AX550" s="508"/>
      <c r="AY550" s="509"/>
      <c r="AZ550" s="509"/>
      <c r="BA550" s="509"/>
      <c r="BB550" s="510"/>
      <c r="BC550" s="509"/>
      <c r="BD550" s="509"/>
      <c r="BE550" s="509"/>
      <c r="BF550" s="509"/>
      <c r="BG550" s="510"/>
      <c r="BH550" s="510"/>
      <c r="BI550" s="511"/>
      <c r="BJ550" s="511"/>
      <c r="BK550" s="511"/>
      <c r="BL550" s="510"/>
      <c r="BM550" s="510"/>
      <c r="BN550" s="510"/>
      <c r="BO550" s="510"/>
      <c r="BP550" s="510"/>
      <c r="BQ550" s="510"/>
      <c r="BR550" s="510"/>
      <c r="BS550" s="510"/>
      <c r="BT550" s="513"/>
      <c r="BU550" s="514"/>
      <c r="BV550" s="512"/>
      <c r="BW550" s="515"/>
    </row>
    <row r="551" spans="2:75" ht="15.75" customHeight="1">
      <c r="B551" s="250" t="s">
        <v>129</v>
      </c>
      <c r="C551" s="251">
        <v>11108013000103</v>
      </c>
      <c r="D551" s="252" t="s">
        <v>14</v>
      </c>
      <c r="E551" s="252" t="s">
        <v>607</v>
      </c>
      <c r="F551" s="252"/>
      <c r="G551" s="253"/>
      <c r="H551" s="253" t="s">
        <v>34</v>
      </c>
      <c r="I551" s="253" t="s">
        <v>34</v>
      </c>
      <c r="J551" s="253" t="s">
        <v>608</v>
      </c>
      <c r="K551" s="254" t="s">
        <v>48</v>
      </c>
      <c r="L551" s="255"/>
      <c r="M551" s="255" t="s">
        <v>34</v>
      </c>
      <c r="N551" s="254">
        <v>237191</v>
      </c>
      <c r="O551" s="254" t="s">
        <v>1321</v>
      </c>
      <c r="P551" s="258">
        <v>40115</v>
      </c>
      <c r="Q551" s="259">
        <v>328755442.54000002</v>
      </c>
      <c r="R551" s="259">
        <v>419214439.02190471</v>
      </c>
      <c r="S551" s="254">
        <v>7</v>
      </c>
      <c r="T551" s="256">
        <v>-4.7557062741357292E-2</v>
      </c>
      <c r="U551" s="256">
        <v>-0.61477943231009047</v>
      </c>
      <c r="V551" s="256">
        <v>-0.20575595734711072</v>
      </c>
      <c r="W551" s="256">
        <v>-2.0170963754580202</v>
      </c>
      <c r="X551" s="256">
        <v>-7.2582259416458905E-2</v>
      </c>
      <c r="Y551" s="256">
        <v>-0.55040445848816644</v>
      </c>
      <c r="Z551" s="256">
        <v>-1.1638072633453733E-2</v>
      </c>
      <c r="AA551" s="256">
        <v>-6.6154577775096035E-2</v>
      </c>
      <c r="AB551" s="256">
        <v>0.26726604703806317</v>
      </c>
      <c r="AC551" s="260">
        <v>-1.0914378368958988</v>
      </c>
      <c r="AD551" s="405">
        <v>0</v>
      </c>
      <c r="AE551" s="257" t="s">
        <v>2128</v>
      </c>
      <c r="AF551" s="257" t="s">
        <v>728</v>
      </c>
      <c r="AG551" s="261" t="s">
        <v>728</v>
      </c>
      <c r="AH551" s="261" t="s">
        <v>2113</v>
      </c>
      <c r="AI551" s="261">
        <v>5000</v>
      </c>
      <c r="AJ551" s="261">
        <v>1000</v>
      </c>
      <c r="AK551" s="261">
        <v>1000</v>
      </c>
      <c r="AL551" s="256">
        <v>0.02</v>
      </c>
      <c r="AM551" s="256">
        <v>0.2</v>
      </c>
      <c r="AN551" s="256" t="s">
        <v>2122</v>
      </c>
      <c r="AO551" s="254" t="s">
        <v>1324</v>
      </c>
      <c r="AP551" s="257" t="s">
        <v>716</v>
      </c>
      <c r="AQ551" s="263" t="s">
        <v>681</v>
      </c>
      <c r="AR551" s="256">
        <v>6.6000000000000008E-3</v>
      </c>
      <c r="AS551" s="256">
        <v>6.6000000000000008E-3</v>
      </c>
      <c r="AT551" s="256"/>
      <c r="AW551" s="508"/>
      <c r="AX551" s="508"/>
      <c r="AY551" s="509"/>
      <c r="AZ551" s="509"/>
      <c r="BA551" s="509"/>
      <c r="BB551" s="510"/>
      <c r="BC551" s="509"/>
      <c r="BD551" s="509"/>
      <c r="BE551" s="509"/>
      <c r="BF551" s="509"/>
      <c r="BG551" s="510"/>
      <c r="BH551" s="510"/>
      <c r="BI551" s="511"/>
      <c r="BJ551" s="511"/>
      <c r="BK551" s="511"/>
      <c r="BL551" s="510"/>
      <c r="BM551" s="510"/>
      <c r="BN551" s="510"/>
      <c r="BO551" s="510"/>
      <c r="BP551" s="510"/>
      <c r="BQ551" s="510"/>
      <c r="BR551" s="510"/>
      <c r="BS551" s="510"/>
      <c r="BT551" s="513"/>
      <c r="BU551" s="514"/>
      <c r="BV551" s="512"/>
      <c r="BW551" s="515"/>
    </row>
    <row r="552" spans="2:75" ht="15.75" customHeight="1">
      <c r="B552" s="250" t="s">
        <v>833</v>
      </c>
      <c r="C552" s="251">
        <v>45294999000167</v>
      </c>
      <c r="D552" s="252" t="s">
        <v>11</v>
      </c>
      <c r="E552" s="252" t="s">
        <v>661</v>
      </c>
      <c r="F552" s="252"/>
      <c r="G552" s="253"/>
      <c r="H552" s="253" t="s">
        <v>34</v>
      </c>
      <c r="I552" s="253" t="s">
        <v>34</v>
      </c>
      <c r="J552" s="253" t="s">
        <v>696</v>
      </c>
      <c r="K552" s="254" t="s">
        <v>48</v>
      </c>
      <c r="L552" s="255"/>
      <c r="M552" s="255" t="s">
        <v>1414</v>
      </c>
      <c r="N552" s="254">
        <v>648604</v>
      </c>
      <c r="O552" s="254" t="s">
        <v>1321</v>
      </c>
      <c r="P552" s="258">
        <v>44678</v>
      </c>
      <c r="Q552" s="259">
        <v>77787588.090000004</v>
      </c>
      <c r="R552" s="259" t="s">
        <v>1417</v>
      </c>
      <c r="S552" s="254">
        <v>7</v>
      </c>
      <c r="T552" s="256" t="s">
        <v>1417</v>
      </c>
      <c r="U552" s="256" t="s">
        <v>1417</v>
      </c>
      <c r="V552" s="256" t="s">
        <v>1417</v>
      </c>
      <c r="W552" s="256" t="s">
        <v>1417</v>
      </c>
      <c r="X552" s="256" t="s">
        <v>1417</v>
      </c>
      <c r="Y552" s="256" t="s">
        <v>1417</v>
      </c>
      <c r="Z552" s="256" t="s">
        <v>1417</v>
      </c>
      <c r="AA552" s="256" t="s">
        <v>1417</v>
      </c>
      <c r="AB552" s="256" t="s">
        <v>1417</v>
      </c>
      <c r="AC552" s="260" t="s">
        <v>1417</v>
      </c>
      <c r="AD552" s="405">
        <v>0</v>
      </c>
      <c r="AE552" s="257" t="s">
        <v>2144</v>
      </c>
      <c r="AF552" s="257" t="s">
        <v>2109</v>
      </c>
      <c r="AG552" s="261" t="s">
        <v>1432</v>
      </c>
      <c r="AH552" s="261" t="s">
        <v>2110</v>
      </c>
      <c r="AI552" s="261">
        <v>0</v>
      </c>
      <c r="AJ552" s="261" t="s">
        <v>1427</v>
      </c>
      <c r="AK552" s="261">
        <v>0</v>
      </c>
      <c r="AL552" s="256">
        <v>8.0000000000000002E-3</v>
      </c>
      <c r="AM552" s="256">
        <v>0.2</v>
      </c>
      <c r="AN552" s="256" t="s">
        <v>2127</v>
      </c>
      <c r="AO552" s="254" t="s">
        <v>1324</v>
      </c>
      <c r="AP552" s="257" t="s">
        <v>13</v>
      </c>
      <c r="AQ552" s="263" t="s">
        <v>679</v>
      </c>
      <c r="AR552" s="256" t="s">
        <v>34</v>
      </c>
      <c r="AS552" s="256" t="s">
        <v>34</v>
      </c>
      <c r="AT552" s="256"/>
      <c r="AW552" s="508"/>
      <c r="AX552" s="508"/>
      <c r="AY552" s="509"/>
      <c r="AZ552" s="509"/>
      <c r="BA552" s="509"/>
      <c r="BB552" s="510"/>
      <c r="BC552" s="509"/>
      <c r="BD552" s="509"/>
      <c r="BE552" s="509"/>
      <c r="BF552" s="509"/>
      <c r="BG552" s="510"/>
      <c r="BH552" s="510"/>
      <c r="BI552" s="511"/>
      <c r="BJ552" s="511"/>
      <c r="BK552" s="511"/>
      <c r="BL552" s="195"/>
      <c r="BM552" s="510"/>
      <c r="BN552" s="510"/>
      <c r="BO552" s="510"/>
      <c r="BP552" s="510"/>
      <c r="BQ552" s="510"/>
      <c r="BR552" s="510"/>
      <c r="BS552" s="510"/>
      <c r="BT552" s="513"/>
      <c r="BU552" s="514"/>
      <c r="BV552" s="512"/>
      <c r="BW552" s="515"/>
    </row>
    <row r="553" spans="2:75" ht="15.75" customHeight="1">
      <c r="B553" s="250" t="s">
        <v>855</v>
      </c>
      <c r="C553" s="251">
        <v>44980432000181</v>
      </c>
      <c r="D553" s="252" t="s">
        <v>14</v>
      </c>
      <c r="E553" s="252" t="s">
        <v>607</v>
      </c>
      <c r="F553" s="252"/>
      <c r="G553" s="253"/>
      <c r="H553" s="253" t="s">
        <v>34</v>
      </c>
      <c r="I553" s="253" t="s">
        <v>34</v>
      </c>
      <c r="J553" s="253" t="s">
        <v>611</v>
      </c>
      <c r="K553" s="254"/>
      <c r="L553" s="255"/>
      <c r="M553" s="255" t="s">
        <v>1414</v>
      </c>
      <c r="N553" s="254">
        <v>644781</v>
      </c>
      <c r="O553" s="254" t="s">
        <v>1321</v>
      </c>
      <c r="P553" s="258">
        <v>44651</v>
      </c>
      <c r="Q553" s="259">
        <v>20436254.16</v>
      </c>
      <c r="R553" s="259" t="s">
        <v>1417</v>
      </c>
      <c r="S553" s="254">
        <v>7</v>
      </c>
      <c r="T553" s="256" t="s">
        <v>1417</v>
      </c>
      <c r="U553" s="256" t="s">
        <v>1417</v>
      </c>
      <c r="V553" s="256" t="s">
        <v>1417</v>
      </c>
      <c r="W553" s="256" t="s">
        <v>1417</v>
      </c>
      <c r="X553" s="256" t="s">
        <v>1417</v>
      </c>
      <c r="Y553" s="256" t="s">
        <v>1417</v>
      </c>
      <c r="Z553" s="256" t="s">
        <v>1417</v>
      </c>
      <c r="AA553" s="256" t="s">
        <v>1417</v>
      </c>
      <c r="AB553" s="256" t="s">
        <v>1417</v>
      </c>
      <c r="AC553" s="260" t="s">
        <v>1417</v>
      </c>
      <c r="AD553" s="405">
        <v>0</v>
      </c>
      <c r="AE553" s="257" t="s">
        <v>2144</v>
      </c>
      <c r="AF553" s="257" t="s">
        <v>2109</v>
      </c>
      <c r="AG553" s="261" t="s">
        <v>1432</v>
      </c>
      <c r="AH553" s="261" t="s">
        <v>2110</v>
      </c>
      <c r="AI553" s="261">
        <v>1000</v>
      </c>
      <c r="AJ553" s="261">
        <v>500</v>
      </c>
      <c r="AK553" s="261">
        <v>500</v>
      </c>
      <c r="AL553" s="256">
        <v>1.4999999999999999E-2</v>
      </c>
      <c r="AM553" s="256">
        <v>0.2</v>
      </c>
      <c r="AN553" s="256" t="s">
        <v>2127</v>
      </c>
      <c r="AO553" s="254" t="s">
        <v>1324</v>
      </c>
      <c r="AP553" s="257" t="s">
        <v>716</v>
      </c>
      <c r="AQ553" s="263" t="s">
        <v>687</v>
      </c>
      <c r="AR553" s="256" t="s">
        <v>34</v>
      </c>
      <c r="AS553" s="256" t="s">
        <v>34</v>
      </c>
      <c r="AT553" s="256"/>
      <c r="AW553" s="508"/>
      <c r="AX553" s="508"/>
      <c r="AY553" s="509"/>
      <c r="AZ553" s="509"/>
      <c r="BA553" s="509"/>
      <c r="BB553" s="510"/>
      <c r="BC553" s="509"/>
      <c r="BD553" s="509"/>
      <c r="BE553" s="509"/>
      <c r="BF553" s="509"/>
      <c r="BG553" s="510"/>
      <c r="BH553" s="510"/>
      <c r="BI553" s="511"/>
      <c r="BJ553" s="511"/>
      <c r="BK553" s="511"/>
      <c r="BL553" s="510"/>
      <c r="BM553" s="510"/>
      <c r="BN553" s="510"/>
      <c r="BO553" s="510"/>
      <c r="BP553" s="510"/>
      <c r="BQ553" s="510"/>
      <c r="BR553" s="510"/>
      <c r="BS553" s="510"/>
      <c r="BT553" s="513"/>
      <c r="BU553" s="514"/>
      <c r="BV553" s="512"/>
      <c r="BW553" s="515"/>
    </row>
    <row r="554" spans="2:75" ht="15.75" customHeight="1">
      <c r="B554" s="250" t="s">
        <v>872</v>
      </c>
      <c r="C554" s="251">
        <v>37098846000116</v>
      </c>
      <c r="D554" s="252" t="s">
        <v>11</v>
      </c>
      <c r="E554" s="252" t="s">
        <v>661</v>
      </c>
      <c r="F554" s="252"/>
      <c r="G554" s="253"/>
      <c r="H554" s="253" t="s">
        <v>34</v>
      </c>
      <c r="I554" s="253" t="s">
        <v>34</v>
      </c>
      <c r="J554" s="253" t="s">
        <v>700</v>
      </c>
      <c r="K554" s="254" t="s">
        <v>48</v>
      </c>
      <c r="L554" s="255"/>
      <c r="M554" s="255" t="s">
        <v>34</v>
      </c>
      <c r="N554" s="254">
        <v>537942</v>
      </c>
      <c r="O554" s="254" t="s">
        <v>1321</v>
      </c>
      <c r="P554" s="258">
        <v>43977</v>
      </c>
      <c r="Q554" s="259">
        <v>14293390.699999999</v>
      </c>
      <c r="R554" s="259">
        <v>11454541.70301586</v>
      </c>
      <c r="S554" s="254">
        <v>7</v>
      </c>
      <c r="T554" s="256">
        <v>-0.138939624558159</v>
      </c>
      <c r="U554" s="256">
        <v>-1.7960996450893147</v>
      </c>
      <c r="V554" s="256">
        <v>-0.14697397187208494</v>
      </c>
      <c r="W554" s="256">
        <v>-1.4408363664033395</v>
      </c>
      <c r="X554" s="256">
        <v>-4.8212926145289492E-2</v>
      </c>
      <c r="Y554" s="256">
        <v>-0.36560737734640603</v>
      </c>
      <c r="Z554" s="256" t="s">
        <v>1417</v>
      </c>
      <c r="AA554" s="256" t="s">
        <v>1417</v>
      </c>
      <c r="AB554" s="256">
        <v>7.5725516703819107E-2</v>
      </c>
      <c r="AC554" s="260">
        <v>-3.3434062913104245</v>
      </c>
      <c r="AD554" s="405">
        <v>0</v>
      </c>
      <c r="AE554" s="257" t="s">
        <v>2144</v>
      </c>
      <c r="AF554" s="257" t="s">
        <v>2109</v>
      </c>
      <c r="AG554" s="261" t="s">
        <v>1432</v>
      </c>
      <c r="AH554" s="261" t="s">
        <v>2110</v>
      </c>
      <c r="AI554" s="261">
        <v>20000</v>
      </c>
      <c r="AJ554" s="261">
        <v>10000</v>
      </c>
      <c r="AK554" s="261">
        <v>10000</v>
      </c>
      <c r="AL554" s="256">
        <v>8.0000000000000002E-3</v>
      </c>
      <c r="AM554" s="256">
        <v>0.2</v>
      </c>
      <c r="AN554" s="256" t="s">
        <v>34</v>
      </c>
      <c r="AO554" s="254" t="s">
        <v>1324</v>
      </c>
      <c r="AP554" s="257" t="s">
        <v>13</v>
      </c>
      <c r="AQ554" s="263" t="s">
        <v>679</v>
      </c>
      <c r="AR554" s="256">
        <v>2.6663999999999998E-3</v>
      </c>
      <c r="AS554" s="256">
        <v>2.6663999999999998E-3</v>
      </c>
      <c r="AT554" s="256"/>
      <c r="AW554" s="508"/>
      <c r="AX554" s="508"/>
      <c r="AY554" s="509"/>
      <c r="AZ554" s="509"/>
      <c r="BA554" s="509"/>
      <c r="BB554" s="510"/>
      <c r="BC554" s="509"/>
      <c r="BD554" s="509"/>
      <c r="BE554" s="509"/>
      <c r="BF554" s="509"/>
      <c r="BG554" s="510"/>
      <c r="BH554" s="510"/>
      <c r="BI554" s="511"/>
      <c r="BJ554" s="511"/>
      <c r="BK554" s="511"/>
      <c r="BL554" s="195"/>
      <c r="BM554" s="510"/>
      <c r="BN554" s="510"/>
      <c r="BO554" s="510"/>
      <c r="BP554" s="510"/>
      <c r="BQ554" s="510"/>
      <c r="BR554" s="510"/>
      <c r="BS554" s="510"/>
      <c r="BT554" s="513"/>
      <c r="BU554" s="514"/>
      <c r="BV554" s="512"/>
      <c r="BW554" s="515"/>
    </row>
    <row r="555" spans="2:75" ht="15.75" customHeight="1">
      <c r="B555" s="250" t="s">
        <v>251</v>
      </c>
      <c r="C555" s="251">
        <v>12845796000162</v>
      </c>
      <c r="D555" s="252" t="s">
        <v>14</v>
      </c>
      <c r="E555" s="252" t="s">
        <v>607</v>
      </c>
      <c r="F555" s="252"/>
      <c r="G555" s="253"/>
      <c r="H555" s="253" t="s">
        <v>34</v>
      </c>
      <c r="I555" s="253" t="s">
        <v>34</v>
      </c>
      <c r="J555" s="253" t="s">
        <v>608</v>
      </c>
      <c r="K555" s="254" t="s">
        <v>48</v>
      </c>
      <c r="L555" s="255"/>
      <c r="M555" s="255" t="s">
        <v>34</v>
      </c>
      <c r="N555" s="254">
        <v>263435</v>
      </c>
      <c r="O555" s="254" t="s">
        <v>1321</v>
      </c>
      <c r="P555" s="258">
        <v>40529</v>
      </c>
      <c r="Q555" s="259">
        <v>72126670.840000004</v>
      </c>
      <c r="R555" s="259">
        <v>55473766.686468281</v>
      </c>
      <c r="S555" s="254">
        <v>7</v>
      </c>
      <c r="T555" s="256">
        <v>1.7075515105593242E-2</v>
      </c>
      <c r="U555" s="256">
        <v>0.22073851659240176</v>
      </c>
      <c r="V555" s="256">
        <v>-8.8555633204365658E-2</v>
      </c>
      <c r="W555" s="256">
        <v>-0.86814131199892652</v>
      </c>
      <c r="X555" s="256">
        <v>0.23850726843444181</v>
      </c>
      <c r="Y555" s="256">
        <v>1.8086439438999111</v>
      </c>
      <c r="Z555" s="256">
        <v>0.34753077412538658</v>
      </c>
      <c r="AA555" s="256">
        <v>1.9754775855265003</v>
      </c>
      <c r="AB555" s="256">
        <v>0.16749571958597026</v>
      </c>
      <c r="AC555" s="260">
        <v>-1.0497297650642801</v>
      </c>
      <c r="AD555" s="405">
        <v>12807182000196</v>
      </c>
      <c r="AE555" s="257" t="s">
        <v>2293</v>
      </c>
      <c r="AF555" s="257" t="s">
        <v>2109</v>
      </c>
      <c r="AG555" s="261" t="s">
        <v>1432</v>
      </c>
      <c r="AH555" s="261" t="s">
        <v>2113</v>
      </c>
      <c r="AI555" s="261">
        <v>500</v>
      </c>
      <c r="AJ555" s="261">
        <v>500</v>
      </c>
      <c r="AK555" s="261">
        <v>500</v>
      </c>
      <c r="AL555" s="256">
        <v>1.3500000000000002E-2</v>
      </c>
      <c r="AM555" s="256">
        <v>0.2</v>
      </c>
      <c r="AN555" s="256" t="s">
        <v>666</v>
      </c>
      <c r="AO555" s="254" t="s">
        <v>1324</v>
      </c>
      <c r="AP555" s="257" t="s">
        <v>716</v>
      </c>
      <c r="AQ555" s="263" t="s">
        <v>659</v>
      </c>
      <c r="AR555" s="256">
        <v>5.3333333333333332E-3</v>
      </c>
      <c r="AS555" s="256">
        <v>5.3333333333333332E-3</v>
      </c>
      <c r="AT555" s="256"/>
      <c r="AW555" s="508"/>
      <c r="AX555" s="508"/>
      <c r="AY555" s="509"/>
      <c r="AZ555" s="509"/>
      <c r="BA555" s="509"/>
      <c r="BB555" s="510"/>
      <c r="BC555" s="509"/>
      <c r="BD555" s="509"/>
      <c r="BE555" s="509"/>
      <c r="BF555" s="509"/>
      <c r="BG555" s="510"/>
      <c r="BH555" s="510"/>
      <c r="BI555" s="511"/>
      <c r="BJ555" s="511"/>
      <c r="BK555" s="511"/>
      <c r="BL555" s="510"/>
      <c r="BM555" s="510"/>
      <c r="BN555" s="510"/>
      <c r="BO555" s="510"/>
      <c r="BP555" s="510"/>
      <c r="BQ555" s="510"/>
      <c r="BR555" s="510"/>
      <c r="BS555" s="510"/>
      <c r="BT555" s="513"/>
      <c r="BU555" s="514"/>
      <c r="BV555" s="512"/>
      <c r="BW555" s="515"/>
    </row>
    <row r="556" spans="2:75" ht="15.75" customHeight="1">
      <c r="B556" s="250" t="s">
        <v>507</v>
      </c>
      <c r="C556" s="251">
        <v>43095852000112</v>
      </c>
      <c r="D556" s="252" t="s">
        <v>14</v>
      </c>
      <c r="E556" s="252" t="s">
        <v>607</v>
      </c>
      <c r="F556" s="252"/>
      <c r="G556" s="253"/>
      <c r="H556" s="253" t="s">
        <v>34</v>
      </c>
      <c r="I556" s="253" t="s">
        <v>34</v>
      </c>
      <c r="J556" s="253" t="s">
        <v>611</v>
      </c>
      <c r="K556" s="254" t="s">
        <v>48</v>
      </c>
      <c r="L556" s="255"/>
      <c r="M556" s="255" t="s">
        <v>1414</v>
      </c>
      <c r="N556" s="254">
        <v>607215</v>
      </c>
      <c r="O556" s="254" t="s">
        <v>1321</v>
      </c>
      <c r="P556" s="258">
        <v>44425</v>
      </c>
      <c r="Q556" s="259">
        <v>7779507.9299999997</v>
      </c>
      <c r="R556" s="259">
        <v>4402016.3791666673</v>
      </c>
      <c r="S556" s="254">
        <v>7</v>
      </c>
      <c r="T556" s="256">
        <v>-2.909367049901912E-2</v>
      </c>
      <c r="U556" s="256">
        <v>-0.37609955708322884</v>
      </c>
      <c r="V556" s="256">
        <v>-2.5193840451835481E-2</v>
      </c>
      <c r="W556" s="256">
        <v>-0.24698387796147375</v>
      </c>
      <c r="X556" s="256" t="s">
        <v>1417</v>
      </c>
      <c r="Y556" s="256" t="s">
        <v>1417</v>
      </c>
      <c r="Z556" s="256" t="s">
        <v>1417</v>
      </c>
      <c r="AA556" s="256" t="s">
        <v>1417</v>
      </c>
      <c r="AB556" s="256">
        <v>0.34191419742363688</v>
      </c>
      <c r="AC556" s="260">
        <v>-0.19015995048111095</v>
      </c>
      <c r="AD556" s="405">
        <v>0</v>
      </c>
      <c r="AE556" s="257" t="s">
        <v>2229</v>
      </c>
      <c r="AF556" s="257" t="s">
        <v>2109</v>
      </c>
      <c r="AG556" s="261" t="s">
        <v>1432</v>
      </c>
      <c r="AH556" s="261" t="s">
        <v>2113</v>
      </c>
      <c r="AI556" s="261">
        <v>0</v>
      </c>
      <c r="AJ556" s="261">
        <v>0</v>
      </c>
      <c r="AK556" s="261">
        <v>0</v>
      </c>
      <c r="AL556" s="256">
        <v>9.0000000000000011E-3</v>
      </c>
      <c r="AM556" s="256">
        <v>0.1</v>
      </c>
      <c r="AN556" s="256" t="s">
        <v>34</v>
      </c>
      <c r="AO556" s="254" t="s">
        <v>1324</v>
      </c>
      <c r="AP556" s="257" t="s">
        <v>716</v>
      </c>
      <c r="AQ556" s="263" t="s">
        <v>694</v>
      </c>
      <c r="AR556" s="256">
        <v>2.9996999999999997E-3</v>
      </c>
      <c r="AS556" s="256">
        <v>2.9996999999999997E-3</v>
      </c>
      <c r="AT556" s="256"/>
      <c r="AW556" s="508"/>
      <c r="AX556" s="508"/>
      <c r="AY556" s="509"/>
      <c r="AZ556" s="509"/>
      <c r="BA556" s="509"/>
      <c r="BB556" s="510"/>
      <c r="BC556" s="509"/>
      <c r="BD556" s="509"/>
      <c r="BE556" s="509"/>
      <c r="BF556" s="509"/>
      <c r="BG556" s="510"/>
      <c r="BH556" s="510"/>
      <c r="BI556" s="511"/>
      <c r="BJ556" s="511"/>
      <c r="BK556" s="511"/>
      <c r="BL556" s="510"/>
      <c r="BM556" s="510"/>
      <c r="BN556" s="510"/>
      <c r="BO556" s="510"/>
      <c r="BP556" s="510"/>
      <c r="BQ556" s="510"/>
      <c r="BR556" s="510"/>
      <c r="BS556" s="510"/>
      <c r="BT556" s="513"/>
      <c r="BU556" s="514"/>
      <c r="BV556" s="512"/>
      <c r="BW556" s="515"/>
    </row>
    <row r="557" spans="2:75" ht="15.75" customHeight="1">
      <c r="B557" s="250" t="s">
        <v>50</v>
      </c>
      <c r="C557" s="251">
        <v>33600729000158</v>
      </c>
      <c r="D557" s="252" t="s">
        <v>14</v>
      </c>
      <c r="E557" s="252" t="s">
        <v>15</v>
      </c>
      <c r="F557" s="252" t="s">
        <v>699</v>
      </c>
      <c r="G557" s="253"/>
      <c r="H557" s="253" t="s">
        <v>34</v>
      </c>
      <c r="I557" s="253" t="s">
        <v>34</v>
      </c>
      <c r="J557" s="253" t="s">
        <v>611</v>
      </c>
      <c r="K557" s="254" t="s">
        <v>48</v>
      </c>
      <c r="L557" s="255"/>
      <c r="M557" s="255" t="s">
        <v>1414</v>
      </c>
      <c r="N557" s="254">
        <v>498874</v>
      </c>
      <c r="O557" s="254" t="s">
        <v>1321</v>
      </c>
      <c r="P557" s="258">
        <v>43635</v>
      </c>
      <c r="Q557" s="259">
        <v>80451731.5</v>
      </c>
      <c r="R557" s="259">
        <v>105968985.63916662</v>
      </c>
      <c r="S557" s="254">
        <v>8</v>
      </c>
      <c r="T557" s="256">
        <v>-1.7699160240729483E-2</v>
      </c>
      <c r="U557" s="256">
        <v>-0.22880049897821861</v>
      </c>
      <c r="V557" s="256">
        <v>4.7807249871223423E-3</v>
      </c>
      <c r="W557" s="256">
        <v>4.6867090352664717E-2</v>
      </c>
      <c r="X557" s="256">
        <v>-8.5865963552267277E-2</v>
      </c>
      <c r="Y557" s="256">
        <v>-0.65113720007499931</v>
      </c>
      <c r="Z557" s="256">
        <v>0.16403947572773192</v>
      </c>
      <c r="AA557" s="256">
        <v>0.93245355970903354</v>
      </c>
      <c r="AB557" s="256">
        <v>0.14390704935726353</v>
      </c>
      <c r="AC557" s="260">
        <v>-0.57014115712161606</v>
      </c>
      <c r="AD557" s="405">
        <v>0</v>
      </c>
      <c r="AE557" s="257" t="s">
        <v>2144</v>
      </c>
      <c r="AF557" s="257" t="s">
        <v>2109</v>
      </c>
      <c r="AG557" s="261" t="s">
        <v>1432</v>
      </c>
      <c r="AH557" s="261" t="s">
        <v>2113</v>
      </c>
      <c r="AI557" s="261">
        <v>500</v>
      </c>
      <c r="AJ557" s="261">
        <v>500</v>
      </c>
      <c r="AK557" s="261">
        <v>500</v>
      </c>
      <c r="AL557" s="256">
        <v>1E-3</v>
      </c>
      <c r="AM557" s="256" t="s">
        <v>34</v>
      </c>
      <c r="AN557" s="256" t="s">
        <v>64</v>
      </c>
      <c r="AO557" s="254" t="s">
        <v>1324</v>
      </c>
      <c r="AP557" s="257" t="s">
        <v>13</v>
      </c>
      <c r="AQ557" s="263" t="s">
        <v>671</v>
      </c>
      <c r="AR557" s="256">
        <v>3.5E-4</v>
      </c>
      <c r="AS557" s="256">
        <v>3.5E-4</v>
      </c>
      <c r="AT557" s="256"/>
      <c r="AW557" s="508"/>
      <c r="AX557" s="508"/>
      <c r="AY557" s="509"/>
      <c r="AZ557" s="509"/>
      <c r="BA557" s="509"/>
      <c r="BB557" s="510"/>
      <c r="BC557" s="509"/>
      <c r="BD557" s="509"/>
      <c r="BE557" s="509"/>
      <c r="BF557" s="509"/>
      <c r="BG557" s="510"/>
      <c r="BH557" s="510"/>
      <c r="BI557" s="511"/>
      <c r="BJ557" s="511"/>
      <c r="BK557" s="511"/>
      <c r="BL557" s="510"/>
      <c r="BM557" s="510"/>
      <c r="BN557" s="510"/>
      <c r="BO557" s="510"/>
      <c r="BP557" s="510"/>
      <c r="BQ557" s="510"/>
      <c r="BR557" s="510"/>
      <c r="BS557" s="510"/>
      <c r="BT557" s="513"/>
      <c r="BU557" s="514"/>
      <c r="BV557" s="512"/>
      <c r="BW557" s="515"/>
    </row>
    <row r="558" spans="2:75" ht="15.75" customHeight="1">
      <c r="B558" s="250" t="s">
        <v>1526</v>
      </c>
      <c r="C558" s="251">
        <v>36498594000150</v>
      </c>
      <c r="D558" s="252" t="s">
        <v>14</v>
      </c>
      <c r="E558" s="252" t="s">
        <v>15</v>
      </c>
      <c r="F558" s="252" t="s">
        <v>699</v>
      </c>
      <c r="G558" s="253"/>
      <c r="H558" s="253" t="s">
        <v>34</v>
      </c>
      <c r="I558" s="253" t="s">
        <v>34</v>
      </c>
      <c r="J558" s="253" t="s">
        <v>611</v>
      </c>
      <c r="K558" s="254" t="s">
        <v>48</v>
      </c>
      <c r="L558" s="255"/>
      <c r="M558" s="255"/>
      <c r="N558" s="254">
        <v>535370</v>
      </c>
      <c r="O558" s="254" t="s">
        <v>1321</v>
      </c>
      <c r="P558" s="258">
        <v>43950</v>
      </c>
      <c r="Q558" s="259">
        <v>10276576.33</v>
      </c>
      <c r="R558" s="259">
        <v>13185195.58325397</v>
      </c>
      <c r="S558" s="254">
        <v>8</v>
      </c>
      <c r="T558" s="256">
        <v>-4.4750566366919875E-2</v>
      </c>
      <c r="U558" s="256">
        <v>-0.50335050055912156</v>
      </c>
      <c r="V558" s="256">
        <v>7.8678462598424925E-3</v>
      </c>
      <c r="W558" s="256">
        <v>7.220879880426212E-2</v>
      </c>
      <c r="X558" s="256">
        <v>-7.511549727648259E-2</v>
      </c>
      <c r="Y558" s="256">
        <v>-0.52819643630629165</v>
      </c>
      <c r="Z558" s="256" t="s">
        <v>1417</v>
      </c>
      <c r="AA558" s="256" t="s">
        <v>1417</v>
      </c>
      <c r="AB558" s="256">
        <v>0.14261466933890588</v>
      </c>
      <c r="AC558" s="260">
        <v>-0.59923003373471373</v>
      </c>
      <c r="AD558" s="405">
        <v>33600729000158</v>
      </c>
      <c r="AE558" s="257" t="s">
        <v>2144</v>
      </c>
      <c r="AF558" s="257" t="s">
        <v>2109</v>
      </c>
      <c r="AG558" s="261" t="s">
        <v>1432</v>
      </c>
      <c r="AH558" s="261" t="s">
        <v>2113</v>
      </c>
      <c r="AI558" s="261">
        <v>500</v>
      </c>
      <c r="AJ558" s="261">
        <v>500</v>
      </c>
      <c r="AK558" s="261">
        <v>500</v>
      </c>
      <c r="AL558" s="256">
        <v>2E-3</v>
      </c>
      <c r="AM558" s="256" t="s">
        <v>34</v>
      </c>
      <c r="AN558" s="256" t="s">
        <v>64</v>
      </c>
      <c r="AO558" s="254" t="s">
        <v>1324</v>
      </c>
      <c r="AP558" s="257" t="s">
        <v>13</v>
      </c>
      <c r="AQ558" s="263" t="s">
        <v>671</v>
      </c>
      <c r="AR558" s="256" t="s">
        <v>34</v>
      </c>
      <c r="AS558" s="256" t="s">
        <v>34</v>
      </c>
      <c r="AT558" s="256"/>
      <c r="AW558" s="508"/>
      <c r="AX558" s="508"/>
      <c r="AY558" s="509"/>
      <c r="AZ558" s="509"/>
      <c r="BA558" s="509"/>
      <c r="BB558" s="510"/>
      <c r="BC558" s="509"/>
      <c r="BD558" s="509"/>
      <c r="BE558" s="509"/>
      <c r="BF558" s="509"/>
      <c r="BG558" s="510"/>
      <c r="BH558" s="510"/>
      <c r="BI558" s="511"/>
      <c r="BJ558" s="511"/>
      <c r="BK558" s="511"/>
      <c r="BL558" s="510"/>
      <c r="BM558" s="510"/>
      <c r="BN558" s="510"/>
      <c r="BO558" s="510"/>
      <c r="BP558" s="510"/>
      <c r="BQ558" s="510"/>
      <c r="BR558" s="510"/>
      <c r="BS558" s="510"/>
      <c r="BT558" s="513"/>
      <c r="BU558" s="514"/>
      <c r="BV558" s="512"/>
      <c r="BW558" s="515"/>
    </row>
    <row r="559" spans="2:75" ht="15.75" customHeight="1">
      <c r="B559" s="250" t="s">
        <v>141</v>
      </c>
      <c r="C559" s="251">
        <v>5097427000173</v>
      </c>
      <c r="D559" s="252" t="s">
        <v>13</v>
      </c>
      <c r="E559" s="252" t="s">
        <v>616</v>
      </c>
      <c r="F559" s="252" t="s">
        <v>617</v>
      </c>
      <c r="G559" s="253" t="s">
        <v>34</v>
      </c>
      <c r="H559" s="253" t="s">
        <v>865</v>
      </c>
      <c r="I559" s="253" t="s">
        <v>34</v>
      </c>
      <c r="J559" s="253" t="s">
        <v>608</v>
      </c>
      <c r="K559" s="254" t="s">
        <v>48</v>
      </c>
      <c r="L559" s="255"/>
      <c r="M559" s="255" t="s">
        <v>34</v>
      </c>
      <c r="N559" s="254">
        <v>108741</v>
      </c>
      <c r="O559" s="254" t="s">
        <v>1321</v>
      </c>
      <c r="P559" s="258">
        <v>37431</v>
      </c>
      <c r="Q559" s="259">
        <v>17164055.030000001</v>
      </c>
      <c r="R559" s="259">
        <v>16609985.126071431</v>
      </c>
      <c r="S559" s="254">
        <v>8</v>
      </c>
      <c r="T559" s="256">
        <v>7.8413300383070261E-2</v>
      </c>
      <c r="U559" s="256">
        <v>1.0136640388671889</v>
      </c>
      <c r="V559" s="256">
        <v>8.9480743499110282E-2</v>
      </c>
      <c r="W559" s="256">
        <v>0.87721048621136632</v>
      </c>
      <c r="X559" s="256">
        <v>3.2855102060510344E-2</v>
      </c>
      <c r="Y559" s="256">
        <v>0.24914620740075724</v>
      </c>
      <c r="Z559" s="256">
        <v>0.10528347034222785</v>
      </c>
      <c r="AA559" s="256">
        <v>0.59846537709053538</v>
      </c>
      <c r="AB559" s="256">
        <v>5.3579776563456818E-2</v>
      </c>
      <c r="AC559" s="260">
        <v>-0.18677396760583834</v>
      </c>
      <c r="AD559" s="405">
        <v>0</v>
      </c>
      <c r="AE559" s="257" t="s">
        <v>2188</v>
      </c>
      <c r="AF559" s="257" t="s">
        <v>2118</v>
      </c>
      <c r="AG559" s="261" t="s">
        <v>1433</v>
      </c>
      <c r="AH559" s="261" t="s">
        <v>2113</v>
      </c>
      <c r="AI559" s="261">
        <v>5000</v>
      </c>
      <c r="AJ559" s="261">
        <v>1000</v>
      </c>
      <c r="AK559" s="261">
        <v>1000</v>
      </c>
      <c r="AL559" s="256">
        <v>0.02</v>
      </c>
      <c r="AM559" s="256">
        <v>0.2</v>
      </c>
      <c r="AN559" s="256" t="s">
        <v>64</v>
      </c>
      <c r="AO559" s="254" t="s">
        <v>1324</v>
      </c>
      <c r="AP559" s="257" t="s">
        <v>13</v>
      </c>
      <c r="AQ559" s="263" t="s">
        <v>668</v>
      </c>
      <c r="AR559" s="256">
        <v>4.6666666666666662E-3</v>
      </c>
      <c r="AS559" s="256">
        <v>4.6666666666666662E-3</v>
      </c>
      <c r="AT559" s="256"/>
      <c r="AW559" s="508"/>
      <c r="AX559" s="508"/>
      <c r="AY559" s="509"/>
      <c r="AZ559" s="509"/>
      <c r="BA559" s="509"/>
      <c r="BB559" s="510"/>
      <c r="BC559" s="509"/>
      <c r="BD559" s="509"/>
      <c r="BE559" s="509"/>
      <c r="BF559" s="509"/>
      <c r="BG559" s="510"/>
      <c r="BH559" s="510"/>
      <c r="BI559" s="511"/>
      <c r="BJ559" s="511"/>
      <c r="BK559" s="511"/>
      <c r="BL559" s="510"/>
      <c r="BM559" s="510"/>
      <c r="BN559" s="510"/>
      <c r="BO559" s="510"/>
      <c r="BP559" s="510"/>
      <c r="BQ559" s="510"/>
      <c r="BR559" s="510"/>
      <c r="BS559" s="510"/>
      <c r="BT559" s="513"/>
      <c r="BU559" s="514"/>
      <c r="BV559" s="512"/>
      <c r="BW559" s="515"/>
    </row>
    <row r="560" spans="2:75" ht="15.75" customHeight="1">
      <c r="B560" s="250" t="s">
        <v>1167</v>
      </c>
      <c r="C560" s="251">
        <v>38075003000167</v>
      </c>
      <c r="D560" s="252" t="s">
        <v>13</v>
      </c>
      <c r="E560" s="252" t="s">
        <v>616</v>
      </c>
      <c r="F560" s="252" t="s">
        <v>619</v>
      </c>
      <c r="G560" s="253" t="s">
        <v>34</v>
      </c>
      <c r="H560" s="253" t="s">
        <v>1338</v>
      </c>
      <c r="I560" s="253" t="s">
        <v>34</v>
      </c>
      <c r="J560" s="253" t="s">
        <v>611</v>
      </c>
      <c r="K560" s="254" t="s">
        <v>48</v>
      </c>
      <c r="L560" s="255"/>
      <c r="M560" s="255" t="s">
        <v>34</v>
      </c>
      <c r="N560" s="254">
        <v>632309</v>
      </c>
      <c r="O560" s="254" t="s">
        <v>1321</v>
      </c>
      <c r="P560" s="258">
        <v>44550</v>
      </c>
      <c r="Q560" s="259">
        <v>8047434.0300000003</v>
      </c>
      <c r="R560" s="259" t="s">
        <v>1417</v>
      </c>
      <c r="S560" s="254">
        <v>8</v>
      </c>
      <c r="T560" s="256">
        <v>-6.3622737432984633E-2</v>
      </c>
      <c r="U560" s="256">
        <v>-0.82246354476912165</v>
      </c>
      <c r="V560" s="256" t="s">
        <v>1417</v>
      </c>
      <c r="W560" s="256" t="s">
        <v>1417</v>
      </c>
      <c r="X560" s="256" t="s">
        <v>1417</v>
      </c>
      <c r="Y560" s="256" t="s">
        <v>1417</v>
      </c>
      <c r="Z560" s="256" t="s">
        <v>1417</v>
      </c>
      <c r="AA560" s="256" t="s">
        <v>1417</v>
      </c>
      <c r="AB560" s="256" t="s">
        <v>1417</v>
      </c>
      <c r="AC560" s="260" t="s">
        <v>1417</v>
      </c>
      <c r="AD560" s="405">
        <v>0</v>
      </c>
      <c r="AE560" s="257" t="s">
        <v>2224</v>
      </c>
      <c r="AF560" s="257" t="s">
        <v>741</v>
      </c>
      <c r="AG560" s="261" t="s">
        <v>741</v>
      </c>
      <c r="AH560" s="261" t="s">
        <v>2110</v>
      </c>
      <c r="AI560" s="261">
        <v>1000</v>
      </c>
      <c r="AJ560" s="261">
        <v>1000</v>
      </c>
      <c r="AK560" s="261">
        <v>1000</v>
      </c>
      <c r="AL560" s="256">
        <v>8.6999999999999994E-3</v>
      </c>
      <c r="AM560" s="256" t="s">
        <v>34</v>
      </c>
      <c r="AN560" s="256" t="s">
        <v>2122</v>
      </c>
      <c r="AO560" s="254" t="s">
        <v>1324</v>
      </c>
      <c r="AP560" s="257" t="s">
        <v>13</v>
      </c>
      <c r="AQ560" s="263" t="s">
        <v>679</v>
      </c>
      <c r="AR560" s="256">
        <v>4.6666799999999994E-3</v>
      </c>
      <c r="AS560" s="256">
        <v>4.6666799999999994E-3</v>
      </c>
      <c r="AT560" s="256"/>
      <c r="AW560" s="508"/>
      <c r="AX560" s="508"/>
      <c r="AY560" s="509"/>
      <c r="AZ560" s="509"/>
      <c r="BA560" s="509"/>
      <c r="BB560" s="510"/>
      <c r="BC560" s="509"/>
      <c r="BD560" s="509"/>
      <c r="BE560" s="509"/>
      <c r="BF560" s="509"/>
      <c r="BG560" s="510"/>
      <c r="BH560" s="510"/>
      <c r="BI560" s="511"/>
      <c r="BJ560" s="511"/>
      <c r="BK560" s="511"/>
      <c r="BL560" s="510"/>
      <c r="BM560" s="510"/>
      <c r="BN560" s="510"/>
      <c r="BO560" s="510"/>
      <c r="BP560" s="510"/>
      <c r="BQ560" s="510"/>
      <c r="BR560" s="510"/>
      <c r="BS560" s="510"/>
      <c r="BT560" s="513"/>
      <c r="BU560" s="514"/>
      <c r="BV560" s="512"/>
      <c r="BW560" s="515"/>
    </row>
    <row r="561" spans="2:75" ht="15.75" customHeight="1">
      <c r="B561" s="250" t="s">
        <v>1544</v>
      </c>
      <c r="C561" s="251">
        <v>29550612000130</v>
      </c>
      <c r="D561" s="252" t="s">
        <v>14</v>
      </c>
      <c r="E561" s="252" t="s">
        <v>607</v>
      </c>
      <c r="F561" s="252" t="s">
        <v>1317</v>
      </c>
      <c r="G561" s="253"/>
      <c r="H561" s="253" t="s">
        <v>34</v>
      </c>
      <c r="I561" s="253" t="s">
        <v>34</v>
      </c>
      <c r="J561" s="253" t="s">
        <v>608</v>
      </c>
      <c r="K561" s="254" t="s">
        <v>48</v>
      </c>
      <c r="L561" s="255"/>
      <c r="M561" s="255"/>
      <c r="N561" s="254">
        <v>471569</v>
      </c>
      <c r="O561" s="254" t="s">
        <v>1321</v>
      </c>
      <c r="P561" s="258">
        <v>43313</v>
      </c>
      <c r="Q561" s="259">
        <v>48212805.789999999</v>
      </c>
      <c r="R561" s="259">
        <v>70530539.248690441</v>
      </c>
      <c r="S561" s="254">
        <v>9</v>
      </c>
      <c r="T561" s="256">
        <v>-4.9532035790634588E-2</v>
      </c>
      <c r="U561" s="256">
        <v>-0.55713205514552422</v>
      </c>
      <c r="V561" s="256">
        <v>-0.18384179586897742</v>
      </c>
      <c r="W561" s="256">
        <v>-1.6872463964468685</v>
      </c>
      <c r="X561" s="256">
        <v>-0.17006584574181027</v>
      </c>
      <c r="Y561" s="256">
        <v>-1.1958673897558476</v>
      </c>
      <c r="Z561" s="256">
        <v>-7.9517801170612357E-2</v>
      </c>
      <c r="AA561" s="256">
        <v>-0.43453008889830763</v>
      </c>
      <c r="AB561" s="256">
        <v>0.18445341065872789</v>
      </c>
      <c r="AC561" s="260">
        <v>-1.569723450952363</v>
      </c>
      <c r="AD561" s="405">
        <v>0</v>
      </c>
      <c r="AE561" s="257" t="s">
        <v>2215</v>
      </c>
      <c r="AF561" s="257" t="s">
        <v>2109</v>
      </c>
      <c r="AG561" s="261" t="s">
        <v>1432</v>
      </c>
      <c r="AH561" s="261" t="s">
        <v>2119</v>
      </c>
      <c r="AI561" s="261">
        <v>5000</v>
      </c>
      <c r="AJ561" s="261">
        <v>0</v>
      </c>
      <c r="AK561" s="261">
        <v>1000</v>
      </c>
      <c r="AL561" s="256">
        <v>1.8000000000000002E-2</v>
      </c>
      <c r="AM561" s="256">
        <v>0.2</v>
      </c>
      <c r="AN561" s="256" t="s">
        <v>34</v>
      </c>
      <c r="AO561" s="254" t="s">
        <v>1321</v>
      </c>
      <c r="AP561" s="257" t="s">
        <v>13</v>
      </c>
      <c r="AQ561" s="263" t="s">
        <v>2177</v>
      </c>
      <c r="AR561" s="256" t="s">
        <v>34</v>
      </c>
      <c r="AS561" s="256" t="s">
        <v>34</v>
      </c>
      <c r="AT561" s="256"/>
      <c r="AW561" s="508"/>
      <c r="AX561" s="508"/>
      <c r="AY561" s="509"/>
      <c r="AZ561" s="509"/>
      <c r="BA561" s="509"/>
      <c r="BB561" s="510"/>
      <c r="BC561" s="509"/>
      <c r="BD561" s="509"/>
      <c r="BE561" s="509"/>
      <c r="BF561" s="509"/>
      <c r="BG561" s="510"/>
      <c r="BH561" s="510"/>
      <c r="BI561" s="511"/>
      <c r="BJ561" s="511"/>
      <c r="BK561" s="511"/>
      <c r="BL561" s="510"/>
      <c r="BM561" s="510"/>
      <c r="BN561" s="510"/>
      <c r="BO561" s="510"/>
      <c r="BP561" s="510"/>
      <c r="BQ561" s="510"/>
      <c r="BR561" s="510"/>
      <c r="BS561" s="510"/>
      <c r="BT561" s="513"/>
      <c r="BU561" s="514"/>
      <c r="BV561" s="512"/>
      <c r="BW561" s="515"/>
    </row>
    <row r="562" spans="2:75" ht="15.75" customHeight="1">
      <c r="B562" s="250" t="s">
        <v>1702</v>
      </c>
      <c r="C562" s="251">
        <v>33146130000196</v>
      </c>
      <c r="D562" s="252" t="s">
        <v>14</v>
      </c>
      <c r="E562" s="252" t="s">
        <v>607</v>
      </c>
      <c r="F562" s="252" t="s">
        <v>1317</v>
      </c>
      <c r="G562" s="253"/>
      <c r="H562" s="253" t="s">
        <v>34</v>
      </c>
      <c r="I562" s="253" t="s">
        <v>34</v>
      </c>
      <c r="J562" s="253" t="s">
        <v>608</v>
      </c>
      <c r="K562" s="254" t="s">
        <v>48</v>
      </c>
      <c r="L562" s="255"/>
      <c r="M562" s="255"/>
      <c r="N562" s="254">
        <v>511730</v>
      </c>
      <c r="O562" s="254" t="s">
        <v>1321</v>
      </c>
      <c r="P562" s="258">
        <v>43710</v>
      </c>
      <c r="Q562" s="259">
        <v>259693586.40000001</v>
      </c>
      <c r="R562" s="259">
        <v>287979347.08666658</v>
      </c>
      <c r="S562" s="254">
        <v>9</v>
      </c>
      <c r="T562" s="256">
        <v>0.10582838908571901</v>
      </c>
      <c r="U562" s="256">
        <v>1.1903485686169777</v>
      </c>
      <c r="V562" s="256">
        <v>4.6644227467608657E-2</v>
      </c>
      <c r="W562" s="256">
        <v>0.42808711880654077</v>
      </c>
      <c r="X562" s="256">
        <v>0.50228638087919486</v>
      </c>
      <c r="Y562" s="256">
        <v>3.531972575633048</v>
      </c>
      <c r="Z562" s="256">
        <v>0.6538109173708293</v>
      </c>
      <c r="AA562" s="256">
        <v>3.572791398472754</v>
      </c>
      <c r="AB562" s="256">
        <v>0.1827928118709678</v>
      </c>
      <c r="AC562" s="260">
        <v>-0.22546040304042617</v>
      </c>
      <c r="AD562" s="405">
        <v>33600869000126</v>
      </c>
      <c r="AE562" s="257" t="s">
        <v>2260</v>
      </c>
      <c r="AF562" s="257" t="s">
        <v>2109</v>
      </c>
      <c r="AG562" s="261" t="s">
        <v>1432</v>
      </c>
      <c r="AH562" s="261" t="s">
        <v>2119</v>
      </c>
      <c r="AI562" s="261">
        <v>1000</v>
      </c>
      <c r="AJ562" s="261">
        <v>0</v>
      </c>
      <c r="AK562" s="261">
        <v>1000</v>
      </c>
      <c r="AL562" s="256">
        <v>0.02</v>
      </c>
      <c r="AM562" s="256">
        <v>0.2</v>
      </c>
      <c r="AN562" s="256" t="s">
        <v>34</v>
      </c>
      <c r="AO562" s="254" t="s">
        <v>1321</v>
      </c>
      <c r="AP562" s="257" t="s">
        <v>13</v>
      </c>
      <c r="AQ562" s="263" t="s">
        <v>2177</v>
      </c>
      <c r="AR562" s="256" t="s">
        <v>34</v>
      </c>
      <c r="AS562" s="256" t="s">
        <v>34</v>
      </c>
      <c r="AT562" s="256"/>
      <c r="AW562" s="508"/>
      <c r="AX562" s="508"/>
      <c r="AY562" s="509"/>
      <c r="AZ562" s="509"/>
      <c r="BA562" s="509"/>
      <c r="BB562" s="510"/>
      <c r="BC562" s="509"/>
      <c r="BD562" s="509"/>
      <c r="BE562" s="509"/>
      <c r="BF562" s="509"/>
      <c r="BG562" s="510"/>
      <c r="BH562" s="510"/>
      <c r="BI562" s="511"/>
      <c r="BJ562" s="511"/>
      <c r="BK562" s="511"/>
      <c r="BL562" s="510"/>
      <c r="BM562" s="510"/>
      <c r="BN562" s="510"/>
      <c r="BO562" s="510"/>
      <c r="BP562" s="510"/>
      <c r="BQ562" s="510"/>
      <c r="BR562" s="510"/>
      <c r="BS562" s="510"/>
      <c r="BT562" s="513"/>
      <c r="BU562" s="514"/>
      <c r="BV562" s="512"/>
      <c r="BW562" s="515"/>
    </row>
    <row r="563" spans="2:75" ht="15.75" customHeight="1">
      <c r="B563" s="250" t="s">
        <v>1543</v>
      </c>
      <c r="C563" s="251">
        <v>33768898000100</v>
      </c>
      <c r="D563" s="252" t="s">
        <v>11</v>
      </c>
      <c r="E563" s="252" t="s">
        <v>620</v>
      </c>
      <c r="F563" s="252" t="s">
        <v>663</v>
      </c>
      <c r="G563" s="253" t="s">
        <v>738</v>
      </c>
      <c r="H563" s="253" t="s">
        <v>34</v>
      </c>
      <c r="I563" s="253"/>
      <c r="J563" s="253"/>
      <c r="K563" s="254" t="s">
        <v>48</v>
      </c>
      <c r="L563" s="255"/>
      <c r="M563" s="255"/>
      <c r="N563" s="254">
        <v>539570</v>
      </c>
      <c r="O563" s="254" t="s">
        <v>1321</v>
      </c>
      <c r="P563" s="258">
        <v>43998</v>
      </c>
      <c r="Q563" s="259">
        <v>3251100.25</v>
      </c>
      <c r="R563" s="259">
        <v>6243972.6450396813</v>
      </c>
      <c r="S563" s="254">
        <v>9</v>
      </c>
      <c r="T563" s="256">
        <v>2.2750216332035444E-2</v>
      </c>
      <c r="U563" s="256">
        <v>0.25589246591129844</v>
      </c>
      <c r="V563" s="256">
        <v>4.6885183484485005E-2</v>
      </c>
      <c r="W563" s="256">
        <v>0.43029854286957891</v>
      </c>
      <c r="X563" s="256">
        <v>0.12533580000467004</v>
      </c>
      <c r="Y563" s="256">
        <v>0.8813350813666454</v>
      </c>
      <c r="Z563" s="256" t="s">
        <v>1417</v>
      </c>
      <c r="AA563" s="256" t="s">
        <v>1417</v>
      </c>
      <c r="AB563" s="256">
        <v>7.1582707905544191E-2</v>
      </c>
      <c r="AC563" s="260">
        <v>-0.76933311032911034</v>
      </c>
      <c r="AD563" s="405">
        <v>33768907000154</v>
      </c>
      <c r="AE563" s="257" t="s">
        <v>2213</v>
      </c>
      <c r="AF563" s="257" t="s">
        <v>2115</v>
      </c>
      <c r="AG563" s="261" t="s">
        <v>719</v>
      </c>
      <c r="AH563" s="261" t="s">
        <v>2119</v>
      </c>
      <c r="AI563" s="261">
        <v>0</v>
      </c>
      <c r="AJ563" s="261">
        <v>0</v>
      </c>
      <c r="AK563" s="261">
        <v>0</v>
      </c>
      <c r="AL563" s="256">
        <v>8.0000000000000002E-3</v>
      </c>
      <c r="AM563" s="256" t="s">
        <v>34</v>
      </c>
      <c r="AN563" s="256" t="s">
        <v>64</v>
      </c>
      <c r="AO563" s="254" t="s">
        <v>1321</v>
      </c>
      <c r="AP563" s="257" t="s">
        <v>13</v>
      </c>
      <c r="AQ563" s="263" t="s">
        <v>2177</v>
      </c>
      <c r="AR563" s="256" t="s">
        <v>34</v>
      </c>
      <c r="AS563" s="256" t="s">
        <v>34</v>
      </c>
      <c r="AT563" s="256"/>
      <c r="AW563" s="508"/>
      <c r="AX563" s="508"/>
      <c r="AY563" s="509"/>
      <c r="AZ563" s="509"/>
      <c r="BA563" s="509"/>
      <c r="BB563" s="510"/>
      <c r="BC563" s="509"/>
      <c r="BD563" s="509"/>
      <c r="BE563" s="509"/>
      <c r="BF563" s="509"/>
      <c r="BG563" s="510"/>
      <c r="BH563" s="510"/>
      <c r="BI563" s="511"/>
      <c r="BJ563" s="511"/>
      <c r="BK563" s="511"/>
      <c r="BL563" s="510"/>
      <c r="BM563" s="510"/>
      <c r="BN563" s="510"/>
      <c r="BO563" s="510"/>
      <c r="BP563" s="510"/>
      <c r="BQ563" s="510"/>
      <c r="BR563" s="510"/>
      <c r="BS563" s="510"/>
      <c r="BT563" s="513"/>
      <c r="BU563" s="514"/>
      <c r="BV563" s="512"/>
      <c r="BW563" s="515"/>
    </row>
    <row r="564" spans="2:75" ht="15.75" customHeight="1">
      <c r="B564" s="250" t="s">
        <v>1604</v>
      </c>
      <c r="C564" s="251">
        <v>41498482000139</v>
      </c>
      <c r="D564" s="252" t="s">
        <v>13</v>
      </c>
      <c r="E564" s="252" t="s">
        <v>615</v>
      </c>
      <c r="F564" s="252" t="s">
        <v>619</v>
      </c>
      <c r="G564" s="253" t="s">
        <v>34</v>
      </c>
      <c r="H564" s="253" t="s">
        <v>1338</v>
      </c>
      <c r="I564" s="253" t="s">
        <v>34</v>
      </c>
      <c r="J564" s="253" t="s">
        <v>611</v>
      </c>
      <c r="K564" s="254" t="s">
        <v>48</v>
      </c>
      <c r="L564" s="255"/>
      <c r="M564" s="255"/>
      <c r="N564" s="254">
        <v>622125</v>
      </c>
      <c r="O564" s="254" t="s">
        <v>1321</v>
      </c>
      <c r="P564" s="258">
        <v>44509</v>
      </c>
      <c r="Q564" s="259">
        <v>283315366.29000002</v>
      </c>
      <c r="R564" s="259" t="s">
        <v>1417</v>
      </c>
      <c r="S564" s="254">
        <v>9</v>
      </c>
      <c r="T564" s="256">
        <v>0.19067061195254964</v>
      </c>
      <c r="U564" s="256">
        <v>2.144646554443947</v>
      </c>
      <c r="V564" s="256" t="s">
        <v>1417</v>
      </c>
      <c r="W564" s="256" t="s">
        <v>1417</v>
      </c>
      <c r="X564" s="256" t="s">
        <v>1417</v>
      </c>
      <c r="Y564" s="256" t="s">
        <v>1417</v>
      </c>
      <c r="Z564" s="256" t="s">
        <v>1417</v>
      </c>
      <c r="AA564" s="256" t="s">
        <v>1417</v>
      </c>
      <c r="AB564" s="256" t="s">
        <v>1417</v>
      </c>
      <c r="AC564" s="260" t="s">
        <v>1417</v>
      </c>
      <c r="AD564" s="405">
        <v>41575707000103</v>
      </c>
      <c r="AE564" s="257" t="s">
        <v>2294</v>
      </c>
      <c r="AF564" s="257" t="s">
        <v>2112</v>
      </c>
      <c r="AG564" s="261" t="s">
        <v>59</v>
      </c>
      <c r="AH564" s="261" t="s">
        <v>2119</v>
      </c>
      <c r="AI564" s="261">
        <v>1</v>
      </c>
      <c r="AJ564" s="261" t="s">
        <v>1427</v>
      </c>
      <c r="AK564" s="261" t="s">
        <v>1427</v>
      </c>
      <c r="AL564" s="256">
        <v>7.4999999999999997E-3</v>
      </c>
      <c r="AM564" s="256" t="s">
        <v>34</v>
      </c>
      <c r="AN564" s="256" t="s">
        <v>64</v>
      </c>
      <c r="AO564" s="254" t="s">
        <v>1321</v>
      </c>
      <c r="AP564" s="257" t="s">
        <v>13</v>
      </c>
      <c r="AQ564" s="263" t="s">
        <v>2177</v>
      </c>
      <c r="AR564" s="256" t="s">
        <v>34</v>
      </c>
      <c r="AS564" s="256" t="s">
        <v>34</v>
      </c>
      <c r="AT564" s="256"/>
      <c r="AW564" s="508"/>
      <c r="AX564" s="508"/>
      <c r="AY564" s="509"/>
      <c r="AZ564" s="509"/>
      <c r="BA564" s="509"/>
      <c r="BB564" s="510"/>
      <c r="BC564" s="509"/>
      <c r="BD564" s="509"/>
      <c r="BE564" s="509"/>
      <c r="BF564" s="509"/>
      <c r="BG564" s="510"/>
      <c r="BH564" s="510"/>
      <c r="BI564" s="511"/>
      <c r="BJ564" s="511"/>
      <c r="BK564" s="511"/>
      <c r="BL564" s="510"/>
      <c r="BM564" s="510"/>
      <c r="BN564" s="510"/>
      <c r="BO564" s="510"/>
      <c r="BP564" s="510"/>
      <c r="BQ564" s="510"/>
      <c r="BR564" s="510"/>
      <c r="BS564" s="510"/>
      <c r="BT564" s="513"/>
      <c r="BU564" s="514"/>
      <c r="BV564" s="512"/>
      <c r="BW564" s="515"/>
    </row>
    <row r="565" spans="2:75" ht="15.75" customHeight="1">
      <c r="B565" s="250" t="s">
        <v>578</v>
      </c>
      <c r="C565" s="251">
        <v>39151551000191</v>
      </c>
      <c r="D565" s="252" t="s">
        <v>14</v>
      </c>
      <c r="E565" s="252" t="s">
        <v>607</v>
      </c>
      <c r="F565" s="252"/>
      <c r="G565" s="253"/>
      <c r="H565" s="253" t="s">
        <v>34</v>
      </c>
      <c r="I565" s="253" t="s">
        <v>34</v>
      </c>
      <c r="J565" s="253" t="s">
        <v>612</v>
      </c>
      <c r="K565" s="254" t="s">
        <v>48</v>
      </c>
      <c r="L565" s="255"/>
      <c r="M565" s="255" t="s">
        <v>1414</v>
      </c>
      <c r="N565" s="254">
        <v>567477</v>
      </c>
      <c r="O565" s="254" t="s">
        <v>1324</v>
      </c>
      <c r="P565" s="258">
        <v>44193</v>
      </c>
      <c r="Q565" s="259">
        <v>66546578.280000001</v>
      </c>
      <c r="R565" s="259">
        <v>194177841.3753573</v>
      </c>
      <c r="S565" s="254">
        <v>9</v>
      </c>
      <c r="T565" s="256">
        <v>-0.36238461986141712</v>
      </c>
      <c r="U565" s="256">
        <v>-4.6846167116743924</v>
      </c>
      <c r="V565" s="256">
        <v>-0.25190507018483299</v>
      </c>
      <c r="W565" s="256">
        <v>-2.4695119916850365</v>
      </c>
      <c r="X565" s="256" t="s">
        <v>1417</v>
      </c>
      <c r="Y565" s="256" t="s">
        <v>1417</v>
      </c>
      <c r="Z565" s="256" t="s">
        <v>1417</v>
      </c>
      <c r="AA565" s="256" t="s">
        <v>1417</v>
      </c>
      <c r="AB565" s="256">
        <v>0.24750164365647312</v>
      </c>
      <c r="AC565" s="260">
        <v>-1.4409240331926831</v>
      </c>
      <c r="AD565" s="405">
        <v>0</v>
      </c>
      <c r="AE565" s="257" t="s">
        <v>2179</v>
      </c>
      <c r="AF565" s="257" t="s">
        <v>719</v>
      </c>
      <c r="AG565" s="261" t="s">
        <v>719</v>
      </c>
      <c r="AH565" s="261" t="s">
        <v>2110</v>
      </c>
      <c r="AI565" s="261">
        <v>1000</v>
      </c>
      <c r="AJ565" s="261">
        <v>500</v>
      </c>
      <c r="AK565" s="261">
        <v>500</v>
      </c>
      <c r="AL565" s="256">
        <v>5.0000000000000001E-3</v>
      </c>
      <c r="AM565" s="256" t="s">
        <v>34</v>
      </c>
      <c r="AN565" s="256" t="s">
        <v>2122</v>
      </c>
      <c r="AO565" s="254" t="s">
        <v>1324</v>
      </c>
      <c r="AP565" s="257" t="s">
        <v>716</v>
      </c>
      <c r="AQ565" s="263" t="s">
        <v>687</v>
      </c>
      <c r="AR565" s="256">
        <v>1.3333333333333333E-3</v>
      </c>
      <c r="AS565" s="256">
        <v>1.3333333333333333E-3</v>
      </c>
      <c r="AT565" s="256"/>
      <c r="AW565" s="508"/>
      <c r="AX565" s="508"/>
      <c r="AY565" s="509"/>
      <c r="AZ565" s="509"/>
      <c r="BA565" s="509"/>
      <c r="BB565" s="510"/>
      <c r="BC565" s="509"/>
      <c r="BD565" s="509"/>
      <c r="BE565" s="509"/>
      <c r="BF565" s="509"/>
      <c r="BG565" s="510"/>
      <c r="BH565" s="510"/>
      <c r="BI565" s="511"/>
      <c r="BJ565" s="511"/>
      <c r="BK565" s="511"/>
      <c r="BL565" s="510"/>
      <c r="BM565" s="510"/>
      <c r="BN565" s="510"/>
      <c r="BO565" s="510"/>
      <c r="BP565" s="510"/>
      <c r="BQ565" s="510"/>
      <c r="BR565" s="510"/>
      <c r="BS565" s="510"/>
      <c r="BT565" s="513"/>
      <c r="BU565" s="514"/>
      <c r="BV565" s="512"/>
      <c r="BW565" s="515"/>
    </row>
    <row r="566" spans="2:75" ht="15.75" customHeight="1">
      <c r="B566" s="250" t="s">
        <v>1599</v>
      </c>
      <c r="C566" s="251">
        <v>44347000000138</v>
      </c>
      <c r="D566" s="252" t="s">
        <v>14</v>
      </c>
      <c r="E566" s="252" t="s">
        <v>614</v>
      </c>
      <c r="F566" s="252"/>
      <c r="G566" s="253"/>
      <c r="H566" s="253" t="s">
        <v>1338</v>
      </c>
      <c r="I566" s="253"/>
      <c r="J566" s="253" t="s">
        <v>690</v>
      </c>
      <c r="K566" s="254" t="s">
        <v>48</v>
      </c>
      <c r="L566" s="255"/>
      <c r="M566" s="255"/>
      <c r="N566" s="254">
        <v>627674</v>
      </c>
      <c r="O566" s="254" t="s">
        <v>1321</v>
      </c>
      <c r="P566" s="258">
        <v>44551</v>
      </c>
      <c r="Q566" s="259" t="s">
        <v>1393</v>
      </c>
      <c r="R566" s="259" t="s">
        <v>1417</v>
      </c>
      <c r="S566" s="254">
        <v>9</v>
      </c>
      <c r="T566" s="256" t="s">
        <v>1417</v>
      </c>
      <c r="U566" s="256" t="s">
        <v>1417</v>
      </c>
      <c r="V566" s="256" t="s">
        <v>1417</v>
      </c>
      <c r="W566" s="256" t="s">
        <v>1417</v>
      </c>
      <c r="X566" s="256" t="s">
        <v>1417</v>
      </c>
      <c r="Y566" s="256" t="s">
        <v>1417</v>
      </c>
      <c r="Z566" s="256" t="s">
        <v>1417</v>
      </c>
      <c r="AA566" s="256" t="s">
        <v>1417</v>
      </c>
      <c r="AB566" s="256" t="s">
        <v>1417</v>
      </c>
      <c r="AC566" s="260" t="s">
        <v>1417</v>
      </c>
      <c r="AD566" s="405">
        <v>44347468000122</v>
      </c>
      <c r="AE566" s="257" t="s">
        <v>2280</v>
      </c>
      <c r="AF566" s="257" t="s">
        <v>2109</v>
      </c>
      <c r="AG566" s="261" t="s">
        <v>1432</v>
      </c>
      <c r="AH566" s="261" t="s">
        <v>2113</v>
      </c>
      <c r="AI566" s="261">
        <v>1000</v>
      </c>
      <c r="AJ566" s="261">
        <v>1000</v>
      </c>
      <c r="AK566" s="261">
        <v>1000</v>
      </c>
      <c r="AL566" s="256">
        <v>0.01</v>
      </c>
      <c r="AM566" s="256">
        <v>0.2</v>
      </c>
      <c r="AN566" s="256" t="s">
        <v>2127</v>
      </c>
      <c r="AO566" s="254" t="s">
        <v>1324</v>
      </c>
      <c r="AP566" s="257" t="s">
        <v>716</v>
      </c>
      <c r="AQ566" s="263" t="s">
        <v>659</v>
      </c>
      <c r="AR566" s="256">
        <v>2.6670000000000001E-3</v>
      </c>
      <c r="AS566" s="256">
        <v>2.6670000000000001E-3</v>
      </c>
      <c r="AT566" s="256"/>
      <c r="AW566" s="508"/>
      <c r="AX566" s="508"/>
      <c r="AY566" s="509"/>
      <c r="AZ566" s="509"/>
      <c r="BA566" s="509"/>
      <c r="BB566" s="510"/>
      <c r="BC566" s="509"/>
      <c r="BD566" s="509"/>
      <c r="BE566" s="509"/>
      <c r="BF566" s="509"/>
      <c r="BG566" s="510"/>
      <c r="BH566" s="510"/>
      <c r="BI566" s="511"/>
      <c r="BJ566" s="511"/>
      <c r="BK566" s="511"/>
      <c r="BL566" s="510"/>
      <c r="BM566" s="510"/>
      <c r="BN566" s="510"/>
      <c r="BO566" s="510"/>
      <c r="BP566" s="510"/>
      <c r="BQ566" s="510"/>
      <c r="BR566" s="510"/>
      <c r="BS566" s="510"/>
      <c r="BT566" s="513"/>
      <c r="BU566" s="514"/>
      <c r="BV566" s="512"/>
      <c r="BW566" s="515"/>
    </row>
    <row r="567" spans="2:75" ht="15.75" customHeight="1">
      <c r="B567" s="250" t="s">
        <v>1082</v>
      </c>
      <c r="C567" s="251">
        <v>39345935000145</v>
      </c>
      <c r="D567" s="252" t="s">
        <v>14</v>
      </c>
      <c r="E567" s="252" t="s">
        <v>607</v>
      </c>
      <c r="F567" s="252"/>
      <c r="G567" s="253"/>
      <c r="H567" s="253" t="s">
        <v>34</v>
      </c>
      <c r="I567" s="253" t="s">
        <v>34</v>
      </c>
      <c r="J567" s="253" t="s">
        <v>611</v>
      </c>
      <c r="K567" s="254" t="s">
        <v>49</v>
      </c>
      <c r="L567" s="255"/>
      <c r="M567" s="255" t="s">
        <v>34</v>
      </c>
      <c r="N567" s="254">
        <v>568066</v>
      </c>
      <c r="O567" s="254" t="s">
        <v>1321</v>
      </c>
      <c r="P567" s="258">
        <v>44194</v>
      </c>
      <c r="Q567" s="259">
        <v>10117304.07</v>
      </c>
      <c r="R567" s="259">
        <v>19851082.778373014</v>
      </c>
      <c r="S567" s="254">
        <v>9</v>
      </c>
      <c r="T567" s="256">
        <v>-0.50413371844446409</v>
      </c>
      <c r="U567" s="256">
        <v>-6.5170349758404171</v>
      </c>
      <c r="V567" s="256">
        <v>-0.54964266850317656</v>
      </c>
      <c r="W567" s="256">
        <v>-5.3883360109203657</v>
      </c>
      <c r="X567" s="256" t="s">
        <v>1417</v>
      </c>
      <c r="Y567" s="256" t="s">
        <v>1417</v>
      </c>
      <c r="Z567" s="256" t="s">
        <v>1417</v>
      </c>
      <c r="AA567" s="256" t="s">
        <v>1417</v>
      </c>
      <c r="AB567" s="256">
        <v>0.50857645663784568</v>
      </c>
      <c r="AC567" s="260">
        <v>-1.5049540419640668</v>
      </c>
      <c r="AD567" s="405">
        <v>39330087000109</v>
      </c>
      <c r="AE567" s="257" t="s">
        <v>2144</v>
      </c>
      <c r="AF567" s="257" t="s">
        <v>2109</v>
      </c>
      <c r="AG567" s="261" t="s">
        <v>1432</v>
      </c>
      <c r="AH567" s="261" t="s">
        <v>2110</v>
      </c>
      <c r="AI567" s="261">
        <v>5000</v>
      </c>
      <c r="AJ567" s="261">
        <v>5000</v>
      </c>
      <c r="AK567" s="261">
        <v>5000</v>
      </c>
      <c r="AL567" s="256">
        <v>0.01</v>
      </c>
      <c r="AM567" s="256" t="s">
        <v>34</v>
      </c>
      <c r="AN567" s="256" t="s">
        <v>34</v>
      </c>
      <c r="AO567" s="254" t="s">
        <v>1324</v>
      </c>
      <c r="AP567" s="257" t="s">
        <v>716</v>
      </c>
      <c r="AQ567" s="263" t="s">
        <v>687</v>
      </c>
      <c r="AR567" s="256">
        <v>6.0000000000000001E-3</v>
      </c>
      <c r="AS567" s="256">
        <v>6.0000000000000001E-3</v>
      </c>
      <c r="AT567" s="256"/>
      <c r="AW567" s="508"/>
      <c r="AX567" s="508"/>
      <c r="AY567" s="509"/>
      <c r="AZ567" s="509"/>
      <c r="BA567" s="509"/>
      <c r="BB567" s="510"/>
      <c r="BC567" s="509"/>
      <c r="BD567" s="509"/>
      <c r="BE567" s="509"/>
      <c r="BF567" s="509"/>
      <c r="BG567" s="510"/>
      <c r="BH567" s="510"/>
      <c r="BI567" s="511"/>
      <c r="BJ567" s="511"/>
      <c r="BK567" s="511"/>
      <c r="BL567" s="510"/>
      <c r="BM567" s="510"/>
      <c r="BN567" s="510"/>
      <c r="BO567" s="510"/>
      <c r="BP567" s="510"/>
      <c r="BQ567" s="510"/>
      <c r="BR567" s="510"/>
      <c r="BS567" s="510"/>
      <c r="BT567" s="513"/>
      <c r="BU567" s="514"/>
      <c r="BV567" s="512"/>
      <c r="BW567" s="515"/>
    </row>
    <row r="568" spans="2:75" ht="15.75" customHeight="1">
      <c r="B568" s="250" t="s">
        <v>366</v>
      </c>
      <c r="C568" s="251">
        <v>4621018000161</v>
      </c>
      <c r="D568" s="252" t="s">
        <v>14</v>
      </c>
      <c r="E568" s="252" t="s">
        <v>614</v>
      </c>
      <c r="F568" s="252"/>
      <c r="G568" s="253"/>
      <c r="H568" s="253" t="s">
        <v>865</v>
      </c>
      <c r="I568" s="253" t="s">
        <v>34</v>
      </c>
      <c r="J568" s="253" t="s">
        <v>608</v>
      </c>
      <c r="K568" s="254" t="s">
        <v>48</v>
      </c>
      <c r="L568" s="255"/>
      <c r="M568" s="255" t="s">
        <v>1414</v>
      </c>
      <c r="N568" s="254">
        <v>97101</v>
      </c>
      <c r="O568" s="254" t="s">
        <v>1321</v>
      </c>
      <c r="P568" s="258">
        <v>37138</v>
      </c>
      <c r="Q568" s="259">
        <v>67280421.560000002</v>
      </c>
      <c r="R568" s="259">
        <v>85588892.617777735</v>
      </c>
      <c r="S568" s="254">
        <v>9</v>
      </c>
      <c r="T568" s="256">
        <v>4.8062580764635321E-2</v>
      </c>
      <c r="U568" s="256">
        <v>0.62131436246470495</v>
      </c>
      <c r="V568" s="256">
        <v>-1.8091765920399738E-2</v>
      </c>
      <c r="W568" s="256">
        <v>-0.17735980009613891</v>
      </c>
      <c r="X568" s="256">
        <v>9.680294176264348E-2</v>
      </c>
      <c r="Y568" s="256">
        <v>0.73407429266175794</v>
      </c>
      <c r="Z568" s="256">
        <v>0.25964031112876285</v>
      </c>
      <c r="AA568" s="256">
        <v>1.4758797007972084</v>
      </c>
      <c r="AB568" s="256">
        <v>0.10375412092498716</v>
      </c>
      <c r="AC568" s="260">
        <v>-1.0606462198468176</v>
      </c>
      <c r="AD568" s="405">
        <v>0</v>
      </c>
      <c r="AE568" s="257" t="s">
        <v>2385</v>
      </c>
      <c r="AF568" s="257" t="s">
        <v>2115</v>
      </c>
      <c r="AG568" s="261" t="s">
        <v>719</v>
      </c>
      <c r="AH568" s="261" t="s">
        <v>2113</v>
      </c>
      <c r="AI568" s="261">
        <v>100</v>
      </c>
      <c r="AJ568" s="261">
        <v>100</v>
      </c>
      <c r="AK568" s="261">
        <v>100</v>
      </c>
      <c r="AL568" s="256">
        <v>1.4499999999999999E-2</v>
      </c>
      <c r="AM568" s="256">
        <v>0.2</v>
      </c>
      <c r="AN568" s="256" t="s">
        <v>64</v>
      </c>
      <c r="AO568" s="254" t="s">
        <v>1324</v>
      </c>
      <c r="AP568" s="257" t="s">
        <v>13</v>
      </c>
      <c r="AQ568" s="263" t="s">
        <v>668</v>
      </c>
      <c r="AR568" s="256">
        <v>3.3833333333333332E-3</v>
      </c>
      <c r="AS568" s="256">
        <v>3.3833333333333332E-3</v>
      </c>
      <c r="AT568" s="256"/>
      <c r="AW568" s="508"/>
      <c r="AX568" s="508"/>
      <c r="AY568" s="509"/>
      <c r="AZ568" s="509"/>
      <c r="BA568" s="509"/>
      <c r="BB568" s="510"/>
      <c r="BC568" s="509"/>
      <c r="BD568" s="509"/>
      <c r="BE568" s="509"/>
      <c r="BF568" s="509"/>
      <c r="BG568" s="510"/>
      <c r="BH568" s="510"/>
      <c r="BI568" s="511"/>
      <c r="BJ568" s="511"/>
      <c r="BK568" s="511"/>
      <c r="BL568" s="195"/>
      <c r="BM568" s="510"/>
      <c r="BN568" s="510"/>
      <c r="BO568" s="510"/>
      <c r="BP568" s="510"/>
      <c r="BQ568" s="510"/>
      <c r="BR568" s="510"/>
      <c r="BS568" s="510"/>
      <c r="BT568" s="513"/>
      <c r="BU568" s="514"/>
      <c r="BV568" s="512"/>
      <c r="BW568" s="515"/>
    </row>
    <row r="569" spans="2:75" ht="15.75" customHeight="1">
      <c r="B569" s="250" t="s">
        <v>1175</v>
      </c>
      <c r="C569" s="251">
        <v>34658702000189</v>
      </c>
      <c r="D569" s="252" t="s">
        <v>14</v>
      </c>
      <c r="E569" s="252" t="s">
        <v>607</v>
      </c>
      <c r="F569" s="252"/>
      <c r="G569" s="253"/>
      <c r="H569" s="253" t="s">
        <v>34</v>
      </c>
      <c r="I569" s="253" t="s">
        <v>34</v>
      </c>
      <c r="J569" s="253" t="s">
        <v>608</v>
      </c>
      <c r="K569" s="254" t="s">
        <v>48</v>
      </c>
      <c r="L569" s="255"/>
      <c r="M569" s="255" t="s">
        <v>34</v>
      </c>
      <c r="N569" s="254">
        <v>524042</v>
      </c>
      <c r="O569" s="254" t="s">
        <v>1321</v>
      </c>
      <c r="P569" s="258">
        <v>43850</v>
      </c>
      <c r="Q569" s="259">
        <v>24946191.93</v>
      </c>
      <c r="R569" s="259">
        <v>23461465.222539689</v>
      </c>
      <c r="S569" s="254">
        <v>9</v>
      </c>
      <c r="T569" s="256">
        <v>4.0598192455848725E-2</v>
      </c>
      <c r="U569" s="256">
        <v>0.52482075788749905</v>
      </c>
      <c r="V569" s="256">
        <v>-0.14673390606551451</v>
      </c>
      <c r="W569" s="256">
        <v>-1.4384829187824393</v>
      </c>
      <c r="X569" s="256">
        <v>8.1717654576039633E-2</v>
      </c>
      <c r="Y569" s="256">
        <v>0.61967981952417528</v>
      </c>
      <c r="Z569" s="256" t="s">
        <v>1417</v>
      </c>
      <c r="AA569" s="256" t="s">
        <v>1417</v>
      </c>
      <c r="AB569" s="256">
        <v>0.22817452498976884</v>
      </c>
      <c r="AC569" s="260">
        <v>-1.0070132370658262</v>
      </c>
      <c r="AD569" s="405">
        <v>0</v>
      </c>
      <c r="AE569" s="257" t="s">
        <v>2385</v>
      </c>
      <c r="AF569" s="257" t="s">
        <v>2115</v>
      </c>
      <c r="AG569" s="261" t="s">
        <v>719</v>
      </c>
      <c r="AH569" s="261" t="s">
        <v>2113</v>
      </c>
      <c r="AI569" s="261">
        <v>100</v>
      </c>
      <c r="AJ569" s="261">
        <v>100</v>
      </c>
      <c r="AK569" s="261">
        <v>100</v>
      </c>
      <c r="AL569" s="256">
        <v>1.95E-2</v>
      </c>
      <c r="AM569" s="256">
        <v>0.2</v>
      </c>
      <c r="AN569" s="256" t="s">
        <v>666</v>
      </c>
      <c r="AO569" s="254" t="s">
        <v>1324</v>
      </c>
      <c r="AP569" s="257" t="s">
        <v>716</v>
      </c>
      <c r="AQ569" s="263" t="s">
        <v>659</v>
      </c>
      <c r="AR569" s="256">
        <v>4.5499999999999994E-3</v>
      </c>
      <c r="AS569" s="256">
        <v>4.5499999999999994E-3</v>
      </c>
      <c r="AT569" s="256"/>
      <c r="AX569" s="508"/>
      <c r="AY569" s="509"/>
      <c r="AZ569" s="509"/>
      <c r="BA569" s="509"/>
      <c r="BB569" s="510"/>
      <c r="BC569" s="509"/>
      <c r="BD569" s="509"/>
      <c r="BE569" s="509"/>
      <c r="BF569" s="509"/>
      <c r="BG569" s="510"/>
      <c r="BH569" s="510"/>
      <c r="BI569" s="511"/>
      <c r="BJ569" s="511"/>
      <c r="BK569" s="511"/>
      <c r="BL569" s="510"/>
      <c r="BM569" s="510"/>
      <c r="BN569" s="510"/>
      <c r="BO569" s="510"/>
      <c r="BP569" s="510"/>
      <c r="BQ569" s="510"/>
      <c r="BR569" s="510"/>
      <c r="BS569" s="510"/>
      <c r="BT569" s="513"/>
      <c r="BU569" s="514"/>
      <c r="BV569" s="512"/>
      <c r="BW569" s="515"/>
    </row>
    <row r="570" spans="2:75" ht="15.75" customHeight="1">
      <c r="B570" s="250" t="s">
        <v>1208</v>
      </c>
      <c r="C570" s="251">
        <v>38949124000190</v>
      </c>
      <c r="D570" s="252" t="s">
        <v>14</v>
      </c>
      <c r="E570" s="252" t="s">
        <v>607</v>
      </c>
      <c r="F570" s="252"/>
      <c r="G570" s="253" t="s">
        <v>866</v>
      </c>
      <c r="H570" s="253" t="s">
        <v>34</v>
      </c>
      <c r="I570" s="253" t="s">
        <v>34</v>
      </c>
      <c r="J570" s="253" t="s">
        <v>690</v>
      </c>
      <c r="K570" s="254" t="s">
        <v>48</v>
      </c>
      <c r="L570" s="255"/>
      <c r="M570" s="255" t="s">
        <v>34</v>
      </c>
      <c r="N570" s="254">
        <v>555835</v>
      </c>
      <c r="O570" s="254" t="s">
        <v>1321</v>
      </c>
      <c r="P570" s="258">
        <v>44112</v>
      </c>
      <c r="Q570" s="259">
        <v>16401802.17</v>
      </c>
      <c r="R570" s="259">
        <v>32572580.255158707</v>
      </c>
      <c r="S570" s="254">
        <v>9</v>
      </c>
      <c r="T570" s="256">
        <v>-0.10894441151657253</v>
      </c>
      <c r="U570" s="256">
        <v>-1.4083456715940108</v>
      </c>
      <c r="V570" s="256">
        <v>-8.691496009450228E-2</v>
      </c>
      <c r="W570" s="256">
        <v>-0.85205722954568364</v>
      </c>
      <c r="X570" s="256" t="s">
        <v>1417</v>
      </c>
      <c r="Y570" s="256" t="s">
        <v>1417</v>
      </c>
      <c r="Z570" s="256" t="s">
        <v>1417</v>
      </c>
      <c r="AA570" s="256" t="s">
        <v>1417</v>
      </c>
      <c r="AB570" s="256">
        <v>0.27231564581211598</v>
      </c>
      <c r="AC570" s="260">
        <v>-0.55477241097913343</v>
      </c>
      <c r="AD570" s="405">
        <v>38948616000161</v>
      </c>
      <c r="AE570" s="257" t="s">
        <v>2144</v>
      </c>
      <c r="AF570" s="257" t="s">
        <v>2109</v>
      </c>
      <c r="AG570" s="261" t="s">
        <v>1432</v>
      </c>
      <c r="AH570" s="261" t="s">
        <v>2110</v>
      </c>
      <c r="AI570" s="261">
        <v>5000</v>
      </c>
      <c r="AJ570" s="261">
        <v>5000</v>
      </c>
      <c r="AK570" s="261">
        <v>5000</v>
      </c>
      <c r="AL570" s="256">
        <v>1.2E-2</v>
      </c>
      <c r="AM570" s="256" t="s">
        <v>34</v>
      </c>
      <c r="AN570" s="256" t="s">
        <v>34</v>
      </c>
      <c r="AO570" s="254" t="s">
        <v>1324</v>
      </c>
      <c r="AP570" s="257" t="s">
        <v>716</v>
      </c>
      <c r="AQ570" s="263" t="s">
        <v>687</v>
      </c>
      <c r="AR570" s="256">
        <v>8.0000000000000002E-3</v>
      </c>
      <c r="AS570" s="256">
        <v>8.0000000000000002E-3</v>
      </c>
      <c r="AT570" s="256"/>
      <c r="AW570" s="508"/>
      <c r="AX570" s="508"/>
      <c r="AY570" s="509"/>
      <c r="AZ570" s="509"/>
      <c r="BA570" s="509"/>
      <c r="BB570" s="510"/>
      <c r="BC570" s="509"/>
      <c r="BD570" s="509"/>
      <c r="BE570" s="509"/>
      <c r="BF570" s="509"/>
      <c r="BG570" s="510"/>
      <c r="BH570" s="510"/>
      <c r="BI570" s="511"/>
      <c r="BJ570" s="511"/>
      <c r="BK570" s="511"/>
      <c r="BL570" s="195"/>
      <c r="BM570" s="510"/>
      <c r="BN570" s="510"/>
      <c r="BO570" s="510"/>
      <c r="BP570" s="510"/>
      <c r="BQ570" s="510"/>
      <c r="BR570" s="510"/>
      <c r="BS570" s="510"/>
      <c r="BT570" s="513"/>
      <c r="BU570" s="514"/>
      <c r="BV570" s="512"/>
      <c r="BW570" s="515"/>
    </row>
    <row r="571" spans="2:75" ht="15.75" customHeight="1">
      <c r="B571" s="250" t="s">
        <v>1699</v>
      </c>
      <c r="C571" s="251">
        <v>38948616000161</v>
      </c>
      <c r="D571" s="252" t="s">
        <v>14</v>
      </c>
      <c r="E571" s="252" t="s">
        <v>607</v>
      </c>
      <c r="F571" s="252"/>
      <c r="G571" s="253" t="s">
        <v>866</v>
      </c>
      <c r="H571" s="253" t="s">
        <v>34</v>
      </c>
      <c r="I571" s="253" t="s">
        <v>34</v>
      </c>
      <c r="J571" s="253" t="s">
        <v>690</v>
      </c>
      <c r="K571" s="254" t="s">
        <v>48</v>
      </c>
      <c r="L571" s="255"/>
      <c r="M571" s="255"/>
      <c r="N571" s="254">
        <v>555827</v>
      </c>
      <c r="O571" s="254" t="s">
        <v>1321</v>
      </c>
      <c r="P571" s="258">
        <v>44112</v>
      </c>
      <c r="Q571" s="259">
        <v>13819988.67</v>
      </c>
      <c r="R571" s="259">
        <v>30530137.219920654</v>
      </c>
      <c r="S571" s="254">
        <v>9</v>
      </c>
      <c r="T571" s="256">
        <v>-0.20210487236671926</v>
      </c>
      <c r="U571" s="256">
        <v>-2.2732581267714451</v>
      </c>
      <c r="V571" s="256">
        <v>-0.16593841105332963</v>
      </c>
      <c r="W571" s="256">
        <v>-1.522934351018788</v>
      </c>
      <c r="X571" s="256" t="s">
        <v>1417</v>
      </c>
      <c r="Y571" s="256" t="s">
        <v>1417</v>
      </c>
      <c r="Z571" s="256" t="s">
        <v>1417</v>
      </c>
      <c r="AA571" s="256" t="s">
        <v>1417</v>
      </c>
      <c r="AB571" s="256">
        <v>0.28379883631477842</v>
      </c>
      <c r="AC571" s="260">
        <v>-0.86179527171051862</v>
      </c>
      <c r="AD571" s="405">
        <v>0</v>
      </c>
      <c r="AE571" s="257" t="s">
        <v>2144</v>
      </c>
      <c r="AF571" s="257" t="s">
        <v>2109</v>
      </c>
      <c r="AG571" s="261" t="s">
        <v>1432</v>
      </c>
      <c r="AH571" s="261" t="s">
        <v>2170</v>
      </c>
      <c r="AI571" s="261">
        <v>2000000</v>
      </c>
      <c r="AJ571" s="261">
        <v>1000</v>
      </c>
      <c r="AK571" s="261">
        <v>2000000</v>
      </c>
      <c r="AL571" s="256">
        <v>2E-3</v>
      </c>
      <c r="AM571" s="256" t="s">
        <v>34</v>
      </c>
      <c r="AN571" s="256" t="s">
        <v>34</v>
      </c>
      <c r="AO571" s="254" t="s">
        <v>1324</v>
      </c>
      <c r="AP571" s="257" t="s">
        <v>716</v>
      </c>
      <c r="AQ571" s="263" t="s">
        <v>687</v>
      </c>
      <c r="AR571" s="256" t="s">
        <v>34</v>
      </c>
      <c r="AS571" s="256" t="s">
        <v>34</v>
      </c>
      <c r="AT571" s="256"/>
      <c r="AX571" s="508"/>
      <c r="AY571" s="509"/>
      <c r="AZ571" s="509"/>
      <c r="BA571" s="509"/>
      <c r="BB571" s="510"/>
      <c r="BC571" s="509"/>
      <c r="BD571" s="509"/>
      <c r="BE571" s="509"/>
      <c r="BF571" s="509"/>
      <c r="BG571" s="510"/>
      <c r="BH571" s="510"/>
      <c r="BI571" s="511"/>
      <c r="BJ571" s="511"/>
      <c r="BK571" s="511"/>
      <c r="BL571" s="510"/>
      <c r="BM571" s="510"/>
      <c r="BN571" s="510"/>
      <c r="BO571" s="510"/>
      <c r="BP571" s="510"/>
      <c r="BQ571" s="510"/>
      <c r="BR571" s="510"/>
      <c r="BS571" s="510"/>
      <c r="BT571" s="513"/>
      <c r="BU571" s="514"/>
      <c r="BV571" s="512"/>
      <c r="BW571" s="515"/>
    </row>
    <row r="572" spans="2:75" ht="15.75" customHeight="1">
      <c r="B572" s="250" t="s">
        <v>812</v>
      </c>
      <c r="C572" s="251">
        <v>21185984000100</v>
      </c>
      <c r="D572" s="252" t="s">
        <v>11</v>
      </c>
      <c r="E572" s="252" t="s">
        <v>620</v>
      </c>
      <c r="F572" s="252" t="s">
        <v>663</v>
      </c>
      <c r="G572" s="253" t="s">
        <v>738</v>
      </c>
      <c r="H572" s="253" t="s">
        <v>34</v>
      </c>
      <c r="I572" s="253"/>
      <c r="J572" s="253" t="s">
        <v>608</v>
      </c>
      <c r="K572" s="254" t="s">
        <v>48</v>
      </c>
      <c r="L572" s="255"/>
      <c r="M572" s="255" t="s">
        <v>1414</v>
      </c>
      <c r="N572" s="254">
        <v>385883</v>
      </c>
      <c r="O572" s="254" t="s">
        <v>1321</v>
      </c>
      <c r="P572" s="258">
        <v>42003</v>
      </c>
      <c r="Q572" s="259">
        <v>575579940</v>
      </c>
      <c r="R572" s="259">
        <v>640552171.45900798</v>
      </c>
      <c r="S572" s="254">
        <v>10</v>
      </c>
      <c r="T572" s="256">
        <v>8.6486458670264721E-2</v>
      </c>
      <c r="U572" s="256">
        <v>1.1180273317758305</v>
      </c>
      <c r="V572" s="256">
        <v>0.11951103960933329</v>
      </c>
      <c r="W572" s="256">
        <v>1.171607801452516</v>
      </c>
      <c r="X572" s="256">
        <v>0.17176861230263074</v>
      </c>
      <c r="Y572" s="256">
        <v>1.3025525906714153</v>
      </c>
      <c r="Z572" s="256">
        <v>0.184719028614859</v>
      </c>
      <c r="AA572" s="256">
        <v>1.0500028423877821</v>
      </c>
      <c r="AB572" s="256">
        <v>3.0237420587593275E-3</v>
      </c>
      <c r="AC572" s="260">
        <v>5.2153221428023082</v>
      </c>
      <c r="AD572" s="405">
        <v>17137984000150</v>
      </c>
      <c r="AE572" s="257" t="s">
        <v>2128</v>
      </c>
      <c r="AF572" s="257" t="s">
        <v>728</v>
      </c>
      <c r="AG572" s="261" t="s">
        <v>728</v>
      </c>
      <c r="AH572" s="261" t="s">
        <v>2113</v>
      </c>
      <c r="AI572" s="261">
        <v>5000</v>
      </c>
      <c r="AJ572" s="261">
        <v>5000</v>
      </c>
      <c r="AK572" s="261">
        <v>5000</v>
      </c>
      <c r="AL572" s="256">
        <v>4.0000000000000001E-3</v>
      </c>
      <c r="AM572" s="256" t="s">
        <v>34</v>
      </c>
      <c r="AN572" s="256" t="s">
        <v>34</v>
      </c>
      <c r="AO572" s="254" t="s">
        <v>1324</v>
      </c>
      <c r="AP572" s="257" t="s">
        <v>11</v>
      </c>
      <c r="AQ572" s="263" t="s">
        <v>677</v>
      </c>
      <c r="AR572" s="256">
        <v>1.2800000000000001E-3</v>
      </c>
      <c r="AS572" s="256">
        <v>1.2800000000000001E-3</v>
      </c>
      <c r="AT572" s="256"/>
      <c r="AX572" s="508"/>
      <c r="AY572" s="509"/>
      <c r="AZ572" s="509"/>
      <c r="BA572" s="509"/>
      <c r="BB572" s="510"/>
      <c r="BC572" s="509"/>
      <c r="BD572" s="509"/>
      <c r="BE572" s="509"/>
      <c r="BF572" s="509"/>
      <c r="BG572" s="510"/>
      <c r="BH572" s="510"/>
      <c r="BI572" s="511"/>
      <c r="BJ572" s="511"/>
      <c r="BK572" s="511"/>
      <c r="BL572" s="510"/>
      <c r="BM572" s="510"/>
      <c r="BN572" s="510"/>
      <c r="BO572" s="510"/>
      <c r="BP572" s="510"/>
      <c r="BQ572" s="510"/>
      <c r="BR572" s="510"/>
      <c r="BS572" s="510"/>
      <c r="BT572" s="513"/>
      <c r="BU572" s="514"/>
      <c r="BV572" s="512"/>
      <c r="BW572" s="515"/>
    </row>
    <row r="573" spans="2:75" ht="15.75" customHeight="1">
      <c r="B573" s="250" t="s">
        <v>1178</v>
      </c>
      <c r="C573" s="251">
        <v>35744790000102</v>
      </c>
      <c r="D573" s="252" t="s">
        <v>13</v>
      </c>
      <c r="E573" s="252" t="s">
        <v>616</v>
      </c>
      <c r="F573" s="252" t="s">
        <v>617</v>
      </c>
      <c r="G573" s="253" t="s">
        <v>34</v>
      </c>
      <c r="H573" s="253" t="s">
        <v>1338</v>
      </c>
      <c r="I573" s="253" t="s">
        <v>34</v>
      </c>
      <c r="J573" s="253" t="s">
        <v>608</v>
      </c>
      <c r="K573" s="254"/>
      <c r="L573" s="255"/>
      <c r="M573" s="255" t="s">
        <v>34</v>
      </c>
      <c r="N573" s="254">
        <v>534021</v>
      </c>
      <c r="O573" s="254" t="s">
        <v>1321</v>
      </c>
      <c r="P573" s="258">
        <v>43922</v>
      </c>
      <c r="Q573" s="259">
        <v>45297104.840000004</v>
      </c>
      <c r="R573" s="259">
        <v>125596392.01357147</v>
      </c>
      <c r="S573" s="254">
        <v>10</v>
      </c>
      <c r="T573" s="256">
        <v>-4.9098056427643089E-2</v>
      </c>
      <c r="U573" s="256">
        <v>-0.63470015846596284</v>
      </c>
      <c r="V573" s="256">
        <v>-7.7625874307658549E-2</v>
      </c>
      <c r="W573" s="256">
        <v>-0.76099312859062951</v>
      </c>
      <c r="X573" s="256">
        <v>-3.0984499253442155E-2</v>
      </c>
      <c r="Y573" s="256">
        <v>-0.23496108650002459</v>
      </c>
      <c r="Z573" s="256" t="s">
        <v>1417</v>
      </c>
      <c r="AA573" s="256" t="s">
        <v>1417</v>
      </c>
      <c r="AB573" s="256">
        <v>0.10464112558792027</v>
      </c>
      <c r="AC573" s="260">
        <v>-1.6483169929037162</v>
      </c>
      <c r="AD573" s="405">
        <v>35769107000183</v>
      </c>
      <c r="AE573" s="257" t="s">
        <v>2386</v>
      </c>
      <c r="AF573" s="257" t="s">
        <v>2118</v>
      </c>
      <c r="AG573" s="261" t="s">
        <v>1433</v>
      </c>
      <c r="AH573" s="261" t="s">
        <v>2110</v>
      </c>
      <c r="AI573" s="261">
        <v>5000</v>
      </c>
      <c r="AJ573" s="261">
        <v>0</v>
      </c>
      <c r="AK573" s="261">
        <v>0</v>
      </c>
      <c r="AL573" s="256">
        <v>7.4999999999999997E-3</v>
      </c>
      <c r="AM573" s="256" t="s">
        <v>34</v>
      </c>
      <c r="AN573" s="256" t="s">
        <v>34</v>
      </c>
      <c r="AO573" s="254" t="s">
        <v>1324</v>
      </c>
      <c r="AP573" s="257" t="s">
        <v>13</v>
      </c>
      <c r="AQ573" s="263" t="s">
        <v>679</v>
      </c>
      <c r="AR573" s="256">
        <v>4.3499999999999997E-3</v>
      </c>
      <c r="AS573" s="256">
        <v>4.3499999999999997E-3</v>
      </c>
      <c r="AT573" s="256"/>
      <c r="AX573" s="508"/>
      <c r="AY573" s="509"/>
      <c r="AZ573" s="509"/>
      <c r="BA573" s="509"/>
      <c r="BB573" s="510"/>
      <c r="BC573" s="509"/>
      <c r="BD573" s="509"/>
      <c r="BE573" s="509"/>
      <c r="BF573" s="509"/>
      <c r="BG573" s="510"/>
      <c r="BH573" s="510"/>
      <c r="BI573" s="511"/>
      <c r="BJ573" s="511"/>
      <c r="BK573" s="511"/>
      <c r="BL573" s="510"/>
      <c r="BM573" s="510"/>
      <c r="BN573" s="510"/>
      <c r="BO573" s="510"/>
      <c r="BP573" s="510"/>
      <c r="BQ573" s="510"/>
      <c r="BR573" s="510"/>
      <c r="BS573" s="510"/>
      <c r="BT573" s="513"/>
      <c r="BU573" s="514"/>
      <c r="BV573" s="512"/>
      <c r="BW573" s="515"/>
    </row>
    <row r="574" spans="2:75" ht="15.75" customHeight="1">
      <c r="B574" s="250" t="s">
        <v>1288</v>
      </c>
      <c r="C574" s="251">
        <v>45081757000195</v>
      </c>
      <c r="D574" s="252" t="s">
        <v>11</v>
      </c>
      <c r="E574" s="252" t="s">
        <v>620</v>
      </c>
      <c r="F574" s="252" t="s">
        <v>619</v>
      </c>
      <c r="G574" s="253" t="s">
        <v>738</v>
      </c>
      <c r="H574" s="253" t="s">
        <v>34</v>
      </c>
      <c r="I574" s="253"/>
      <c r="J574" s="253" t="s">
        <v>608</v>
      </c>
      <c r="K574" s="254" t="s">
        <v>48</v>
      </c>
      <c r="L574" s="255"/>
      <c r="M574" s="255" t="s">
        <v>1414</v>
      </c>
      <c r="N574" s="254">
        <v>651222</v>
      </c>
      <c r="O574" s="254" t="s">
        <v>1321</v>
      </c>
      <c r="P574" s="258">
        <v>44694</v>
      </c>
      <c r="Q574" s="259">
        <v>5198365.3600000003</v>
      </c>
      <c r="R574" s="259" t="s">
        <v>1417</v>
      </c>
      <c r="S574" s="254">
        <v>10</v>
      </c>
      <c r="T574" s="256" t="s">
        <v>1417</v>
      </c>
      <c r="U574" s="256" t="s">
        <v>1417</v>
      </c>
      <c r="V574" s="256" t="s">
        <v>1417</v>
      </c>
      <c r="W574" s="256" t="s">
        <v>1417</v>
      </c>
      <c r="X574" s="256" t="s">
        <v>1417</v>
      </c>
      <c r="Y574" s="256" t="s">
        <v>1417</v>
      </c>
      <c r="Z574" s="256" t="s">
        <v>1417</v>
      </c>
      <c r="AA574" s="256" t="s">
        <v>1417</v>
      </c>
      <c r="AB574" s="256" t="s">
        <v>1417</v>
      </c>
      <c r="AC574" s="260" t="s">
        <v>1417</v>
      </c>
      <c r="AD574" s="405">
        <v>18428655000120</v>
      </c>
      <c r="AE574" s="257" t="s">
        <v>2169</v>
      </c>
      <c r="AF574" s="257" t="s">
        <v>2169</v>
      </c>
      <c r="AG574" s="261" t="s">
        <v>1435</v>
      </c>
      <c r="AH574" s="261" t="s">
        <v>2113</v>
      </c>
      <c r="AI574" s="261">
        <v>200</v>
      </c>
      <c r="AJ574" s="261">
        <v>200</v>
      </c>
      <c r="AK574" s="261">
        <v>200</v>
      </c>
      <c r="AL574" s="256">
        <v>5.0000000000000001E-3</v>
      </c>
      <c r="AM574" s="256">
        <v>0.2</v>
      </c>
      <c r="AN574" s="256" t="s">
        <v>64</v>
      </c>
      <c r="AO574" s="254" t="s">
        <v>1324</v>
      </c>
      <c r="AP574" s="257" t="s">
        <v>11</v>
      </c>
      <c r="AQ574" s="263" t="s">
        <v>1374</v>
      </c>
      <c r="AR574" s="256">
        <v>1.6666666666666666E-3</v>
      </c>
      <c r="AS574" s="256">
        <v>1.6666666666666666E-3</v>
      </c>
      <c r="AT574" s="256"/>
      <c r="AX574" s="508"/>
      <c r="AY574" s="509"/>
      <c r="AZ574" s="509"/>
      <c r="BA574" s="509"/>
      <c r="BB574" s="510"/>
      <c r="BC574" s="509"/>
      <c r="BD574" s="509"/>
      <c r="BE574" s="509"/>
      <c r="BF574" s="509"/>
      <c r="BG574" s="510"/>
      <c r="BH574" s="510"/>
      <c r="BI574" s="511"/>
      <c r="BJ574" s="511"/>
      <c r="BK574" s="511"/>
      <c r="BL574" s="510"/>
      <c r="BM574" s="510"/>
      <c r="BN574" s="510"/>
      <c r="BO574" s="510"/>
      <c r="BP574" s="510"/>
      <c r="BQ574" s="510"/>
      <c r="BR574" s="510"/>
      <c r="BS574" s="510"/>
      <c r="BT574" s="513"/>
      <c r="BU574" s="514"/>
      <c r="BV574" s="512"/>
      <c r="BW574" s="515"/>
    </row>
    <row r="575" spans="2:75" ht="15.75" customHeight="1">
      <c r="B575" s="250" t="s">
        <v>144</v>
      </c>
      <c r="C575" s="251">
        <v>41266134000136</v>
      </c>
      <c r="D575" s="252" t="s">
        <v>13</v>
      </c>
      <c r="E575" s="252" t="s">
        <v>615</v>
      </c>
      <c r="F575" s="252" t="s">
        <v>619</v>
      </c>
      <c r="G575" s="253" t="s">
        <v>34</v>
      </c>
      <c r="H575" s="253" t="s">
        <v>1337</v>
      </c>
      <c r="I575" s="253" t="s">
        <v>34</v>
      </c>
      <c r="J575" s="253"/>
      <c r="K575" s="254" t="s">
        <v>48</v>
      </c>
      <c r="L575" s="255"/>
      <c r="M575" s="255" t="s">
        <v>34</v>
      </c>
      <c r="N575" s="254">
        <v>586870</v>
      </c>
      <c r="O575" s="254" t="s">
        <v>1321</v>
      </c>
      <c r="P575" s="258">
        <v>44314</v>
      </c>
      <c r="Q575" s="259">
        <v>7280004.1699999999</v>
      </c>
      <c r="R575" s="259">
        <v>3882553.1922619035</v>
      </c>
      <c r="S575" s="254">
        <v>10</v>
      </c>
      <c r="T575" s="256">
        <v>5.8189868310841053E-2</v>
      </c>
      <c r="U575" s="256">
        <v>0.75223178523234402</v>
      </c>
      <c r="V575" s="256">
        <v>3.9614182820174149E-2</v>
      </c>
      <c r="W575" s="256">
        <v>0.38835145097890744</v>
      </c>
      <c r="X575" s="256" t="s">
        <v>1417</v>
      </c>
      <c r="Y575" s="256" t="s">
        <v>1417</v>
      </c>
      <c r="Z575" s="256" t="s">
        <v>1417</v>
      </c>
      <c r="AA575" s="256" t="s">
        <v>1417</v>
      </c>
      <c r="AB575" s="256">
        <v>4.3275221612904029E-2</v>
      </c>
      <c r="AC575" s="260">
        <v>-1.3256244905377337</v>
      </c>
      <c r="AD575" s="405">
        <v>0</v>
      </c>
      <c r="AE575" s="257" t="s">
        <v>2123</v>
      </c>
      <c r="AF575" s="257" t="s">
        <v>2109</v>
      </c>
      <c r="AG575" s="261" t="s">
        <v>1432</v>
      </c>
      <c r="AH575" s="261" t="s">
        <v>2113</v>
      </c>
      <c r="AI575" s="261">
        <v>0</v>
      </c>
      <c r="AJ575" s="261">
        <v>0</v>
      </c>
      <c r="AK575" s="261">
        <v>0</v>
      </c>
      <c r="AL575" s="256">
        <v>8.0000000000000002E-3</v>
      </c>
      <c r="AM575" s="256" t="s">
        <v>34</v>
      </c>
      <c r="AN575" s="256" t="s">
        <v>34</v>
      </c>
      <c r="AO575" s="254" t="s">
        <v>1324</v>
      </c>
      <c r="AP575" s="257" t="s">
        <v>13</v>
      </c>
      <c r="AQ575" s="263" t="s">
        <v>686</v>
      </c>
      <c r="AR575" s="256">
        <v>5.3333333333333332E-3</v>
      </c>
      <c r="AS575" s="256">
        <v>5.3333333333333332E-3</v>
      </c>
      <c r="AT575" s="256"/>
      <c r="AX575" s="508"/>
      <c r="AY575" s="509"/>
      <c r="AZ575" s="509"/>
      <c r="BA575" s="509"/>
      <c r="BB575" s="510"/>
      <c r="BC575" s="509"/>
      <c r="BD575" s="509"/>
      <c r="BE575" s="509"/>
      <c r="BF575" s="509"/>
      <c r="BG575" s="510"/>
      <c r="BH575" s="510"/>
      <c r="BI575" s="511"/>
      <c r="BJ575" s="511"/>
      <c r="BK575" s="511"/>
      <c r="BL575" s="510"/>
      <c r="BM575" s="510"/>
      <c r="BN575" s="510"/>
      <c r="BO575" s="510"/>
      <c r="BP575" s="510"/>
      <c r="BQ575" s="510"/>
      <c r="BR575" s="510"/>
      <c r="BS575" s="510"/>
      <c r="BT575" s="513"/>
      <c r="BU575" s="514"/>
      <c r="BV575" s="512"/>
      <c r="BW575" s="515"/>
    </row>
    <row r="576" spans="2:75" ht="15.75" customHeight="1">
      <c r="B576" s="250" t="s">
        <v>145</v>
      </c>
      <c r="C576" s="251">
        <v>41266158000195</v>
      </c>
      <c r="D576" s="252" t="s">
        <v>13</v>
      </c>
      <c r="E576" s="252" t="s">
        <v>615</v>
      </c>
      <c r="F576" s="252" t="s">
        <v>619</v>
      </c>
      <c r="G576" s="253" t="s">
        <v>34</v>
      </c>
      <c r="H576" s="253" t="s">
        <v>1338</v>
      </c>
      <c r="I576" s="253" t="s">
        <v>34</v>
      </c>
      <c r="J576" s="253"/>
      <c r="K576" s="254" t="s">
        <v>48</v>
      </c>
      <c r="L576" s="255"/>
      <c r="M576" s="255" t="s">
        <v>34</v>
      </c>
      <c r="N576" s="254">
        <v>586889</v>
      </c>
      <c r="O576" s="254" t="s">
        <v>1321</v>
      </c>
      <c r="P576" s="258">
        <v>44314</v>
      </c>
      <c r="Q576" s="259">
        <v>5886841.8399999999</v>
      </c>
      <c r="R576" s="259">
        <v>3321881.8286904762</v>
      </c>
      <c r="S576" s="254">
        <v>10</v>
      </c>
      <c r="T576" s="256">
        <v>1.03796777131826E-2</v>
      </c>
      <c r="U576" s="256">
        <v>0.13418011971800711</v>
      </c>
      <c r="V576" s="256">
        <v>-4.8277525629483398E-2</v>
      </c>
      <c r="W576" s="256">
        <v>-0.47328117843524531</v>
      </c>
      <c r="X576" s="256" t="s">
        <v>1417</v>
      </c>
      <c r="Y576" s="256" t="s">
        <v>1417</v>
      </c>
      <c r="Z576" s="256" t="s">
        <v>1417</v>
      </c>
      <c r="AA576" s="256" t="s">
        <v>1417</v>
      </c>
      <c r="AB576" s="256">
        <v>8.3042787188664535E-2</v>
      </c>
      <c r="AC576" s="260">
        <v>-1.7243198683653824</v>
      </c>
      <c r="AD576" s="405">
        <v>0</v>
      </c>
      <c r="AE576" s="257" t="s">
        <v>2123</v>
      </c>
      <c r="AF576" s="257" t="s">
        <v>2109</v>
      </c>
      <c r="AG576" s="261" t="s">
        <v>1432</v>
      </c>
      <c r="AH576" s="261" t="s">
        <v>2113</v>
      </c>
      <c r="AI576" s="261">
        <v>0</v>
      </c>
      <c r="AJ576" s="261">
        <v>0</v>
      </c>
      <c r="AK576" s="261">
        <v>0</v>
      </c>
      <c r="AL576" s="256">
        <v>8.0000000000000002E-3</v>
      </c>
      <c r="AM576" s="256" t="s">
        <v>34</v>
      </c>
      <c r="AN576" s="256" t="s">
        <v>34</v>
      </c>
      <c r="AO576" s="254" t="s">
        <v>1324</v>
      </c>
      <c r="AP576" s="257" t="s">
        <v>13</v>
      </c>
      <c r="AQ576" s="263" t="s">
        <v>668</v>
      </c>
      <c r="AR576" s="256">
        <v>5.3333333333333332E-3</v>
      </c>
      <c r="AS576" s="256">
        <v>5.3333333333333332E-3</v>
      </c>
      <c r="AT576" s="256"/>
      <c r="AX576" s="508"/>
      <c r="AY576" s="509"/>
      <c r="AZ576" s="509"/>
      <c r="BA576" s="509"/>
      <c r="BB576" s="510"/>
      <c r="BC576" s="509"/>
      <c r="BD576" s="509"/>
      <c r="BE576" s="509"/>
      <c r="BF576" s="509"/>
      <c r="BG576" s="510"/>
      <c r="BH576" s="510"/>
      <c r="BI576" s="511"/>
      <c r="BJ576" s="511"/>
      <c r="BK576" s="511"/>
      <c r="BL576" s="510"/>
      <c r="BM576" s="510"/>
      <c r="BN576" s="510"/>
      <c r="BO576" s="510"/>
      <c r="BP576" s="510"/>
      <c r="BQ576" s="510"/>
      <c r="BR576" s="510"/>
      <c r="BS576" s="510"/>
      <c r="BT576" s="513"/>
      <c r="BU576" s="514"/>
      <c r="BV576" s="512"/>
      <c r="BW576" s="515"/>
    </row>
    <row r="577" spans="2:75" ht="15.75" customHeight="1">
      <c r="B577" s="250" t="s">
        <v>1254</v>
      </c>
      <c r="C577" s="251">
        <v>35002827000119</v>
      </c>
      <c r="D577" s="252" t="s">
        <v>13</v>
      </c>
      <c r="E577" s="252" t="s">
        <v>615</v>
      </c>
      <c r="F577" s="252" t="s">
        <v>619</v>
      </c>
      <c r="G577" s="253" t="s">
        <v>34</v>
      </c>
      <c r="H577" s="253" t="s">
        <v>1337</v>
      </c>
      <c r="I577" s="253" t="s">
        <v>34</v>
      </c>
      <c r="J577" s="253"/>
      <c r="K577" s="254" t="s">
        <v>48</v>
      </c>
      <c r="L577" s="255"/>
      <c r="M577" s="255" t="s">
        <v>1414</v>
      </c>
      <c r="N577" s="254">
        <v>514993</v>
      </c>
      <c r="O577" s="254" t="s">
        <v>1321</v>
      </c>
      <c r="P577" s="258">
        <v>43782</v>
      </c>
      <c r="Q577" s="259">
        <v>2578039.62</v>
      </c>
      <c r="R577" s="259">
        <v>1917681.6800396824</v>
      </c>
      <c r="S577" s="254">
        <v>10</v>
      </c>
      <c r="T577" s="256">
        <v>0.10674952983370734</v>
      </c>
      <c r="U577" s="256">
        <v>1.3799720076796029</v>
      </c>
      <c r="V577" s="256">
        <v>0.1066564581460101</v>
      </c>
      <c r="W577" s="256">
        <v>1.0455899207942325</v>
      </c>
      <c r="X577" s="256">
        <v>0.14236233777406193</v>
      </c>
      <c r="Y577" s="256">
        <v>1.0795594689612766</v>
      </c>
      <c r="Z577" s="256" t="s">
        <v>1417</v>
      </c>
      <c r="AA577" s="256" t="s">
        <v>1417</v>
      </c>
      <c r="AB577" s="256">
        <v>3.4847037572936813E-2</v>
      </c>
      <c r="AC577" s="260">
        <v>0.13819345644838013</v>
      </c>
      <c r="AD577" s="405">
        <v>35002795000151</v>
      </c>
      <c r="AE577" s="257" t="s">
        <v>2432</v>
      </c>
      <c r="AF577" s="257" t="s">
        <v>2109</v>
      </c>
      <c r="AG577" s="261" t="s">
        <v>1432</v>
      </c>
      <c r="AH577" s="261" t="s">
        <v>2113</v>
      </c>
      <c r="AI577" s="261">
        <v>1000</v>
      </c>
      <c r="AJ577" s="261">
        <v>100</v>
      </c>
      <c r="AK577" s="261">
        <v>1000</v>
      </c>
      <c r="AL577" s="256">
        <v>0.01</v>
      </c>
      <c r="AM577" s="256" t="s">
        <v>34</v>
      </c>
      <c r="AN577" s="256" t="s">
        <v>34</v>
      </c>
      <c r="AO577" s="254" t="s">
        <v>1324</v>
      </c>
      <c r="AP577" s="257" t="s">
        <v>13</v>
      </c>
      <c r="AQ577" s="263" t="s">
        <v>664</v>
      </c>
      <c r="AR577" s="256">
        <v>2E-3</v>
      </c>
      <c r="AS577" s="256">
        <v>2E-3</v>
      </c>
      <c r="AT577" s="256"/>
      <c r="AX577" s="508"/>
      <c r="AY577" s="509"/>
      <c r="AZ577" s="509"/>
      <c r="BA577" s="509"/>
      <c r="BB577" s="510"/>
      <c r="BC577" s="509"/>
      <c r="BD577" s="509"/>
      <c r="BE577" s="509"/>
      <c r="BF577" s="509"/>
      <c r="BG577" s="510"/>
      <c r="BH577" s="510"/>
      <c r="BI577" s="511"/>
      <c r="BJ577" s="511"/>
      <c r="BK577" s="511"/>
      <c r="BL577" s="510"/>
      <c r="BM577" s="510"/>
      <c r="BN577" s="510"/>
      <c r="BO577" s="510"/>
      <c r="BP577" s="510"/>
      <c r="BQ577" s="510"/>
      <c r="BR577" s="510"/>
      <c r="BS577" s="510"/>
      <c r="BT577" s="513"/>
      <c r="BU577" s="514"/>
      <c r="BV577" s="512"/>
      <c r="BW577" s="515"/>
    </row>
    <row r="578" spans="2:75" ht="15.75" customHeight="1">
      <c r="B578" s="250" t="s">
        <v>1708</v>
      </c>
      <c r="C578" s="251">
        <v>35002795000151</v>
      </c>
      <c r="D578" s="252" t="s">
        <v>13</v>
      </c>
      <c r="E578" s="252" t="s">
        <v>615</v>
      </c>
      <c r="F578" s="252" t="s">
        <v>619</v>
      </c>
      <c r="G578" s="253" t="s">
        <v>34</v>
      </c>
      <c r="H578" s="253" t="s">
        <v>1337</v>
      </c>
      <c r="I578" s="253" t="s">
        <v>34</v>
      </c>
      <c r="J578" s="253"/>
      <c r="K578" s="254" t="s">
        <v>48</v>
      </c>
      <c r="L578" s="255"/>
      <c r="M578" s="255"/>
      <c r="N578" s="254">
        <v>514977</v>
      </c>
      <c r="O578" s="254" t="s">
        <v>1321</v>
      </c>
      <c r="P578" s="258">
        <v>43782</v>
      </c>
      <c r="Q578" s="259">
        <v>29790499.699999999</v>
      </c>
      <c r="R578" s="259">
        <v>25123946.512539696</v>
      </c>
      <c r="S578" s="254">
        <v>10</v>
      </c>
      <c r="T578" s="256">
        <v>0.1311463876561485</v>
      </c>
      <c r="U578" s="256">
        <v>1.47512322708926</v>
      </c>
      <c r="V578" s="256">
        <v>0.14283531791801241</v>
      </c>
      <c r="W578" s="256">
        <v>1.3109008988046813</v>
      </c>
      <c r="X578" s="256">
        <v>0.18945266783041204</v>
      </c>
      <c r="Y578" s="256">
        <v>1.3321914601512324</v>
      </c>
      <c r="Z578" s="256" t="s">
        <v>1417</v>
      </c>
      <c r="AA578" s="256" t="s">
        <v>1417</v>
      </c>
      <c r="AB578" s="256">
        <v>3.5761862587742395E-2</v>
      </c>
      <c r="AC578" s="260">
        <v>0.85955285334128295</v>
      </c>
      <c r="AD578" s="405">
        <v>34719487000189</v>
      </c>
      <c r="AE578" s="257" t="s">
        <v>2432</v>
      </c>
      <c r="AF578" s="257" t="s">
        <v>2109</v>
      </c>
      <c r="AG578" s="261" t="s">
        <v>1432</v>
      </c>
      <c r="AH578" s="261" t="s">
        <v>2113</v>
      </c>
      <c r="AI578" s="261">
        <v>1000</v>
      </c>
      <c r="AJ578" s="261">
        <v>100</v>
      </c>
      <c r="AK578" s="261">
        <v>1000</v>
      </c>
      <c r="AL578" s="256">
        <v>1.9E-2</v>
      </c>
      <c r="AM578" s="256">
        <v>0.2</v>
      </c>
      <c r="AN578" s="256" t="s">
        <v>34</v>
      </c>
      <c r="AO578" s="254" t="s">
        <v>1324</v>
      </c>
      <c r="AP578" s="257" t="s">
        <v>13</v>
      </c>
      <c r="AQ578" s="263" t="s">
        <v>664</v>
      </c>
      <c r="AR578" s="256">
        <v>4.0000000000000001E-3</v>
      </c>
      <c r="AS578" s="256">
        <v>4.0000000000000001E-3</v>
      </c>
      <c r="AT578" s="256"/>
      <c r="AX578" s="508"/>
      <c r="AY578" s="509"/>
      <c r="AZ578" s="509"/>
      <c r="BA578" s="509"/>
      <c r="BB578" s="510"/>
      <c r="BC578" s="509"/>
      <c r="BD578" s="509"/>
      <c r="BE578" s="509"/>
      <c r="BF578" s="509"/>
      <c r="BG578" s="510"/>
      <c r="BH578" s="510"/>
      <c r="BI578" s="511"/>
      <c r="BJ578" s="511"/>
      <c r="BK578" s="511"/>
      <c r="BL578" s="510"/>
      <c r="BM578" s="510"/>
      <c r="BN578" s="510"/>
      <c r="BO578" s="510"/>
      <c r="BP578" s="510"/>
      <c r="BQ578" s="510"/>
      <c r="BR578" s="510"/>
      <c r="BS578" s="510"/>
      <c r="BT578" s="513"/>
      <c r="BU578" s="514"/>
      <c r="BV578" s="512"/>
      <c r="BW578" s="515"/>
    </row>
    <row r="579" spans="2:75" ht="15.75" customHeight="1">
      <c r="B579" s="250" t="s">
        <v>1310</v>
      </c>
      <c r="C579" s="251">
        <v>37405108000174</v>
      </c>
      <c r="D579" s="252" t="s">
        <v>13</v>
      </c>
      <c r="E579" s="252" t="s">
        <v>616</v>
      </c>
      <c r="F579" s="252" t="s">
        <v>619</v>
      </c>
      <c r="G579" s="253" t="s">
        <v>34</v>
      </c>
      <c r="H579" s="253" t="s">
        <v>1337</v>
      </c>
      <c r="I579" s="253" t="s">
        <v>34</v>
      </c>
      <c r="J579" s="253" t="s">
        <v>611</v>
      </c>
      <c r="K579" s="254" t="s">
        <v>48</v>
      </c>
      <c r="L579" s="255"/>
      <c r="M579" s="255" t="s">
        <v>1414</v>
      </c>
      <c r="N579" s="254">
        <v>547816</v>
      </c>
      <c r="O579" s="254" t="s">
        <v>1321</v>
      </c>
      <c r="P579" s="258">
        <v>44055</v>
      </c>
      <c r="Q579" s="259">
        <v>46839717.200000003</v>
      </c>
      <c r="R579" s="259">
        <v>49475425.509563468</v>
      </c>
      <c r="S579" s="254">
        <v>10</v>
      </c>
      <c r="T579" s="256">
        <v>8.8620887982138408E-2</v>
      </c>
      <c r="U579" s="256">
        <v>1.1456195160912546</v>
      </c>
      <c r="V579" s="256">
        <v>0.12851172642663511</v>
      </c>
      <c r="W579" s="256">
        <v>1.2598446281762465</v>
      </c>
      <c r="X579" s="256">
        <v>0.21140257915271854</v>
      </c>
      <c r="Y579" s="256">
        <v>1.6031041612238437</v>
      </c>
      <c r="Z579" s="256" t="s">
        <v>1417</v>
      </c>
      <c r="AA579" s="256" t="s">
        <v>1417</v>
      </c>
      <c r="AB579" s="256">
        <v>3.5430944455046881E-2</v>
      </c>
      <c r="AC579" s="260">
        <v>0.68871381210724691</v>
      </c>
      <c r="AD579" s="405">
        <v>37405165000153</v>
      </c>
      <c r="AE579" s="257" t="s">
        <v>2386</v>
      </c>
      <c r="AF579" s="257" t="s">
        <v>2118</v>
      </c>
      <c r="AG579" s="261" t="s">
        <v>1433</v>
      </c>
      <c r="AH579" s="261" t="s">
        <v>2110</v>
      </c>
      <c r="AI579" s="261">
        <v>1000</v>
      </c>
      <c r="AJ579" s="261">
        <v>500</v>
      </c>
      <c r="AK579" s="261">
        <v>0</v>
      </c>
      <c r="AL579" s="256">
        <v>6.5000000000000006E-3</v>
      </c>
      <c r="AM579" s="256" t="s">
        <v>34</v>
      </c>
      <c r="AN579" s="256" t="s">
        <v>34</v>
      </c>
      <c r="AO579" s="254" t="s">
        <v>1324</v>
      </c>
      <c r="AP579" s="257" t="s">
        <v>13</v>
      </c>
      <c r="AQ579" s="263" t="s">
        <v>679</v>
      </c>
      <c r="AR579" s="256">
        <v>3.6833333333333332E-3</v>
      </c>
      <c r="AS579" s="256">
        <v>3.6833333333333332E-3</v>
      </c>
      <c r="AT579" s="256"/>
      <c r="AX579" s="508"/>
      <c r="AY579" s="509"/>
      <c r="AZ579" s="509"/>
      <c r="BA579" s="509"/>
      <c r="BB579" s="510"/>
      <c r="BC579" s="509"/>
      <c r="BD579" s="509"/>
      <c r="BE579" s="509"/>
      <c r="BF579" s="509"/>
      <c r="BG579" s="510"/>
      <c r="BH579" s="510"/>
      <c r="BI579" s="511"/>
      <c r="BJ579" s="511"/>
      <c r="BK579" s="511"/>
      <c r="BL579" s="510"/>
      <c r="BM579" s="510"/>
      <c r="BN579" s="510"/>
      <c r="BO579" s="510"/>
      <c r="BP579" s="510"/>
      <c r="BQ579" s="510"/>
      <c r="BR579" s="510"/>
      <c r="BS579" s="510"/>
      <c r="BT579" s="513"/>
      <c r="BU579" s="514"/>
      <c r="BV579" s="512"/>
      <c r="BW579" s="515"/>
    </row>
    <row r="580" spans="2:75" ht="15.75" customHeight="1">
      <c r="B580" s="250" t="s">
        <v>1311</v>
      </c>
      <c r="C580" s="251">
        <v>38032741000127</v>
      </c>
      <c r="D580" s="252" t="s">
        <v>13</v>
      </c>
      <c r="E580" s="252" t="s">
        <v>616</v>
      </c>
      <c r="F580" s="252" t="s">
        <v>619</v>
      </c>
      <c r="G580" s="253" t="s">
        <v>34</v>
      </c>
      <c r="H580" s="253" t="s">
        <v>1338</v>
      </c>
      <c r="I580" s="253" t="s">
        <v>34</v>
      </c>
      <c r="J580" s="253" t="s">
        <v>611</v>
      </c>
      <c r="K580" s="254" t="s">
        <v>49</v>
      </c>
      <c r="L580" s="255"/>
      <c r="M580" s="255" t="s">
        <v>34</v>
      </c>
      <c r="N580" s="254">
        <v>558508</v>
      </c>
      <c r="O580" s="254" t="s">
        <v>1321</v>
      </c>
      <c r="P580" s="258">
        <v>44139</v>
      </c>
      <c r="Q580" s="259">
        <v>17823527.109999999</v>
      </c>
      <c r="R580" s="259">
        <v>19159397.576388877</v>
      </c>
      <c r="S580" s="254">
        <v>10</v>
      </c>
      <c r="T580" s="256">
        <v>-5.7517932292594831E-2</v>
      </c>
      <c r="U580" s="256">
        <v>-0.74354553717508387</v>
      </c>
      <c r="V580" s="256">
        <v>2.9707107344308925E-2</v>
      </c>
      <c r="W580" s="256">
        <v>0.2912289846775088</v>
      </c>
      <c r="X580" s="256" t="s">
        <v>1417</v>
      </c>
      <c r="Y580" s="256" t="s">
        <v>1417</v>
      </c>
      <c r="Z580" s="256" t="s">
        <v>1417</v>
      </c>
      <c r="AA580" s="256" t="s">
        <v>1417</v>
      </c>
      <c r="AB580" s="256">
        <v>0.15432059754987443</v>
      </c>
      <c r="AC580" s="260">
        <v>-0.36307765982586521</v>
      </c>
      <c r="AD580" s="405">
        <v>0</v>
      </c>
      <c r="AE580" s="257" t="s">
        <v>2386</v>
      </c>
      <c r="AF580" s="257" t="s">
        <v>2118</v>
      </c>
      <c r="AG580" s="261" t="s">
        <v>1433</v>
      </c>
      <c r="AH580" s="261" t="s">
        <v>2110</v>
      </c>
      <c r="AI580" s="261">
        <v>1000</v>
      </c>
      <c r="AJ580" s="261">
        <v>500</v>
      </c>
      <c r="AK580" s="261">
        <v>0</v>
      </c>
      <c r="AL580" s="256">
        <v>7.4999999999999997E-3</v>
      </c>
      <c r="AM580" s="256" t="s">
        <v>34</v>
      </c>
      <c r="AN580" s="256" t="s">
        <v>34</v>
      </c>
      <c r="AO580" s="254" t="s">
        <v>1324</v>
      </c>
      <c r="AP580" s="257" t="s">
        <v>13</v>
      </c>
      <c r="AQ580" s="263" t="s">
        <v>679</v>
      </c>
      <c r="AR580" s="256">
        <v>4.2499999999999994E-3</v>
      </c>
      <c r="AS580" s="256">
        <v>4.2499999999999994E-3</v>
      </c>
      <c r="AT580" s="256"/>
      <c r="AX580" s="508"/>
      <c r="AY580" s="509"/>
      <c r="AZ580" s="509"/>
      <c r="BA580" s="509"/>
      <c r="BB580" s="510"/>
      <c r="BC580" s="509"/>
      <c r="BD580" s="509"/>
      <c r="BE580" s="509"/>
      <c r="BF580" s="509"/>
      <c r="BG580" s="510"/>
      <c r="BH580" s="510"/>
      <c r="BI580" s="511"/>
      <c r="BJ580" s="511"/>
      <c r="BK580" s="511"/>
      <c r="BL580" s="510"/>
      <c r="BM580" s="510"/>
      <c r="BN580" s="510"/>
      <c r="BO580" s="510"/>
      <c r="BP580" s="510"/>
      <c r="BQ580" s="510"/>
      <c r="BR580" s="510"/>
      <c r="BS580" s="510"/>
      <c r="BT580" s="513"/>
      <c r="BU580" s="514"/>
      <c r="BV580" s="512"/>
      <c r="BW580" s="515"/>
    </row>
    <row r="581" spans="2:75" ht="15.75" customHeight="1">
      <c r="B581" s="250" t="s">
        <v>1594</v>
      </c>
      <c r="C581" s="251">
        <v>38134833000118</v>
      </c>
      <c r="D581" s="252" t="s">
        <v>14</v>
      </c>
      <c r="E581" s="252" t="s">
        <v>614</v>
      </c>
      <c r="F581" s="252" t="s">
        <v>689</v>
      </c>
      <c r="G581" s="253"/>
      <c r="H581" s="253" t="s">
        <v>865</v>
      </c>
      <c r="I581" s="253" t="s">
        <v>34</v>
      </c>
      <c r="J581" s="253" t="s">
        <v>608</v>
      </c>
      <c r="K581" s="254" t="s">
        <v>48</v>
      </c>
      <c r="L581" s="255"/>
      <c r="M581" s="255"/>
      <c r="N581" s="254">
        <v>553344</v>
      </c>
      <c r="O581" s="254" t="s">
        <v>1321</v>
      </c>
      <c r="P581" s="258">
        <v>44103</v>
      </c>
      <c r="Q581" s="259">
        <v>16112511.24</v>
      </c>
      <c r="R581" s="259">
        <v>22844443.151111096</v>
      </c>
      <c r="S581" s="254">
        <v>10</v>
      </c>
      <c r="T581" s="256">
        <v>4.3687323340679818E-4</v>
      </c>
      <c r="U581" s="256">
        <v>4.91391234947021E-3</v>
      </c>
      <c r="V581" s="256">
        <v>-2.0050865446246791E-2</v>
      </c>
      <c r="W581" s="256">
        <v>-0.1840209964764043</v>
      </c>
      <c r="X581" s="256">
        <v>0.16606469999999995</v>
      </c>
      <c r="Y581" s="256">
        <v>1.1677321713442939</v>
      </c>
      <c r="Z581" s="256" t="s">
        <v>1417</v>
      </c>
      <c r="AA581" s="256" t="s">
        <v>1417</v>
      </c>
      <c r="AB581" s="256">
        <v>0.14937693647898248</v>
      </c>
      <c r="AC581" s="260">
        <v>-0.7535309882158463</v>
      </c>
      <c r="AD581" s="405">
        <v>28470590000135</v>
      </c>
      <c r="AE581" s="257" t="s">
        <v>2179</v>
      </c>
      <c r="AF581" s="257" t="s">
        <v>719</v>
      </c>
      <c r="AG581" s="261" t="s">
        <v>719</v>
      </c>
      <c r="AH581" s="261" t="s">
        <v>2113</v>
      </c>
      <c r="AI581" s="261">
        <v>1000</v>
      </c>
      <c r="AJ581" s="261">
        <v>300</v>
      </c>
      <c r="AK581" s="261">
        <v>1000</v>
      </c>
      <c r="AL581" s="256">
        <v>0</v>
      </c>
      <c r="AM581" s="256" t="s">
        <v>34</v>
      </c>
      <c r="AN581" s="256" t="s">
        <v>2122</v>
      </c>
      <c r="AO581" s="254" t="s">
        <v>1324</v>
      </c>
      <c r="AP581" s="257" t="s">
        <v>13</v>
      </c>
      <c r="AQ581" s="263" t="s">
        <v>668</v>
      </c>
      <c r="AR581" s="256" t="s">
        <v>34</v>
      </c>
      <c r="AS581" s="256" t="s">
        <v>34</v>
      </c>
      <c r="AT581" s="256"/>
      <c r="AX581" s="508"/>
      <c r="AY581" s="509"/>
      <c r="AZ581" s="509"/>
      <c r="BA581" s="509"/>
      <c r="BB581" s="510"/>
      <c r="BC581" s="509"/>
      <c r="BD581" s="509"/>
      <c r="BE581" s="509"/>
      <c r="BF581" s="509"/>
      <c r="BG581" s="510"/>
      <c r="BH581" s="510"/>
      <c r="BI581" s="511"/>
      <c r="BJ581" s="511"/>
      <c r="BK581" s="511"/>
      <c r="BL581" s="510"/>
      <c r="BM581" s="510"/>
      <c r="BN581" s="510"/>
      <c r="BO581" s="510"/>
      <c r="BP581" s="510"/>
      <c r="BQ581" s="510"/>
      <c r="BR581" s="510"/>
      <c r="BS581" s="510"/>
      <c r="BT581" s="513"/>
      <c r="BU581" s="514"/>
      <c r="BV581" s="512"/>
      <c r="BW581" s="515"/>
    </row>
    <row r="582" spans="2:75" ht="15.75" customHeight="1">
      <c r="B582" s="250" t="s">
        <v>1299</v>
      </c>
      <c r="C582" s="251">
        <v>35535700000165</v>
      </c>
      <c r="D582" s="252" t="s">
        <v>14</v>
      </c>
      <c r="E582" s="252" t="s">
        <v>607</v>
      </c>
      <c r="F582" s="252"/>
      <c r="G582" s="253"/>
      <c r="H582" s="253" t="s">
        <v>34</v>
      </c>
      <c r="I582" s="253" t="s">
        <v>34</v>
      </c>
      <c r="J582" s="253" t="s">
        <v>611</v>
      </c>
      <c r="K582" s="254" t="s">
        <v>48</v>
      </c>
      <c r="L582" s="255"/>
      <c r="M582" s="255" t="s">
        <v>1414</v>
      </c>
      <c r="N582" s="254">
        <v>535427</v>
      </c>
      <c r="O582" s="254" t="s">
        <v>1321</v>
      </c>
      <c r="P582" s="258">
        <v>43944</v>
      </c>
      <c r="Q582" s="259">
        <v>726586304.26999998</v>
      </c>
      <c r="R582" s="259">
        <v>2192666935.9036517</v>
      </c>
      <c r="S582" s="254">
        <v>10</v>
      </c>
      <c r="T582" s="256">
        <v>-0.21854926219084081</v>
      </c>
      <c r="U582" s="256">
        <v>-2.8252289690849728</v>
      </c>
      <c r="V582" s="256">
        <v>-0.24506618661618584</v>
      </c>
      <c r="W582" s="256">
        <v>-2.4024680652959409</v>
      </c>
      <c r="X582" s="256">
        <v>-2.9541434910819842E-2</v>
      </c>
      <c r="Y582" s="256">
        <v>-0.22401806744205757</v>
      </c>
      <c r="Z582" s="256" t="s">
        <v>1417</v>
      </c>
      <c r="AA582" s="256" t="s">
        <v>1417</v>
      </c>
      <c r="AB582" s="256">
        <v>0.22588003649669472</v>
      </c>
      <c r="AC582" s="260">
        <v>-1.5605019821661819</v>
      </c>
      <c r="AD582" s="405">
        <v>0</v>
      </c>
      <c r="AE582" s="257" t="s">
        <v>2318</v>
      </c>
      <c r="AF582" s="257" t="s">
        <v>2318</v>
      </c>
      <c r="AG582" s="261" t="s">
        <v>1436</v>
      </c>
      <c r="AH582" s="261" t="s">
        <v>2110</v>
      </c>
      <c r="AI582" s="261" t="s">
        <v>1427</v>
      </c>
      <c r="AJ582" s="261" t="s">
        <v>1427</v>
      </c>
      <c r="AK582" s="261" t="s">
        <v>1427</v>
      </c>
      <c r="AL582" s="256">
        <v>7.4999999999999997E-3</v>
      </c>
      <c r="AM582" s="256" t="s">
        <v>34</v>
      </c>
      <c r="AN582" s="256" t="s">
        <v>64</v>
      </c>
      <c r="AO582" s="254" t="s">
        <v>1324</v>
      </c>
      <c r="AP582" s="257" t="s">
        <v>13</v>
      </c>
      <c r="AQ582" s="263" t="s">
        <v>679</v>
      </c>
      <c r="AR582" s="256">
        <v>3.4999999999999996E-3</v>
      </c>
      <c r="AS582" s="256">
        <v>3.4999999999999996E-3</v>
      </c>
      <c r="AT582" s="256"/>
      <c r="AX582" s="508"/>
      <c r="AY582" s="509"/>
      <c r="AZ582" s="509"/>
      <c r="BA582" s="509"/>
      <c r="BB582" s="510"/>
      <c r="BC582" s="509"/>
      <c r="BD582" s="509"/>
      <c r="BE582" s="509"/>
      <c r="BF582" s="509"/>
      <c r="BG582" s="510"/>
      <c r="BH582" s="510"/>
      <c r="BI582" s="511"/>
      <c r="BJ582" s="511"/>
      <c r="BK582" s="511"/>
      <c r="BL582" s="510"/>
      <c r="BM582" s="510"/>
      <c r="BN582" s="510"/>
      <c r="BO582" s="510"/>
      <c r="BP582" s="510"/>
      <c r="BQ582" s="510"/>
      <c r="BR582" s="510"/>
      <c r="BS582" s="510"/>
      <c r="BT582" s="513"/>
      <c r="BU582" s="514"/>
      <c r="BV582" s="512"/>
      <c r="BW582" s="515"/>
    </row>
    <row r="583" spans="2:75" ht="15.75" customHeight="1">
      <c r="B583" s="250" t="s">
        <v>1300</v>
      </c>
      <c r="C583" s="251">
        <v>36400318000107</v>
      </c>
      <c r="D583" s="252" t="s">
        <v>14</v>
      </c>
      <c r="E583" s="252" t="s">
        <v>607</v>
      </c>
      <c r="F583" s="252"/>
      <c r="G583" s="253"/>
      <c r="H583" s="253" t="s">
        <v>34</v>
      </c>
      <c r="I583" s="253" t="s">
        <v>34</v>
      </c>
      <c r="J583" s="253" t="s">
        <v>611</v>
      </c>
      <c r="K583" s="254" t="s">
        <v>49</v>
      </c>
      <c r="L583" s="255"/>
      <c r="M583" s="255" t="s">
        <v>1414</v>
      </c>
      <c r="N583" s="254">
        <v>572063</v>
      </c>
      <c r="O583" s="254" t="s">
        <v>1321</v>
      </c>
      <c r="P583" s="258">
        <v>44195</v>
      </c>
      <c r="Q583" s="259">
        <v>16995232.469999999</v>
      </c>
      <c r="R583" s="259">
        <v>32049976.029603172</v>
      </c>
      <c r="S583" s="254">
        <v>10</v>
      </c>
      <c r="T583" s="256">
        <v>-0.30263600510839073</v>
      </c>
      <c r="U583" s="256">
        <v>-3.9122347069456556</v>
      </c>
      <c r="V583" s="256">
        <v>-0.28020765761056554</v>
      </c>
      <c r="W583" s="256">
        <v>-2.7469719848176752</v>
      </c>
      <c r="X583" s="256" t="s">
        <v>1417</v>
      </c>
      <c r="Y583" s="256" t="s">
        <v>1417</v>
      </c>
      <c r="Z583" s="256" t="s">
        <v>1417</v>
      </c>
      <c r="AA583" s="256" t="s">
        <v>1417</v>
      </c>
      <c r="AB583" s="256">
        <v>0.22864346083331089</v>
      </c>
      <c r="AC583" s="260">
        <v>-1.7479558591359807</v>
      </c>
      <c r="AD583" s="405">
        <v>0</v>
      </c>
      <c r="AE583" s="257" t="s">
        <v>2318</v>
      </c>
      <c r="AF583" s="257" t="s">
        <v>2318</v>
      </c>
      <c r="AG583" s="261" t="s">
        <v>1436</v>
      </c>
      <c r="AH583" s="261" t="s">
        <v>2110</v>
      </c>
      <c r="AI583" s="261" t="s">
        <v>1427</v>
      </c>
      <c r="AJ583" s="261" t="s">
        <v>1427</v>
      </c>
      <c r="AK583" s="261" t="s">
        <v>1427</v>
      </c>
      <c r="AL583" s="256">
        <v>7.4999999999999997E-3</v>
      </c>
      <c r="AM583" s="256" t="s">
        <v>34</v>
      </c>
      <c r="AN583" s="256" t="s">
        <v>64</v>
      </c>
      <c r="AO583" s="254" t="s">
        <v>1324</v>
      </c>
      <c r="AP583" s="257" t="s">
        <v>13</v>
      </c>
      <c r="AQ583" s="263" t="s">
        <v>679</v>
      </c>
      <c r="AR583" s="256">
        <v>3.4999999999999996E-3</v>
      </c>
      <c r="AS583" s="256">
        <v>3.4999999999999996E-3</v>
      </c>
      <c r="AT583" s="256"/>
      <c r="AX583" s="508"/>
      <c r="AY583" s="509"/>
      <c r="AZ583" s="509"/>
      <c r="BA583" s="509"/>
      <c r="BB583" s="510"/>
      <c r="BC583" s="509"/>
      <c r="BD583" s="509"/>
      <c r="BE583" s="509"/>
      <c r="BF583" s="509"/>
      <c r="BG583" s="510"/>
      <c r="BH583" s="510"/>
      <c r="BI583" s="511"/>
      <c r="BJ583" s="511"/>
      <c r="BK583" s="511"/>
      <c r="BL583" s="510"/>
      <c r="BM583" s="510"/>
      <c r="BN583" s="510"/>
      <c r="BO583" s="510"/>
      <c r="BP583" s="510"/>
      <c r="BQ583" s="510"/>
      <c r="BR583" s="510"/>
      <c r="BS583" s="510"/>
      <c r="BT583" s="513"/>
      <c r="BU583" s="514"/>
      <c r="BV583" s="512"/>
      <c r="BW583" s="515"/>
    </row>
    <row r="584" spans="2:75" ht="15.75" customHeight="1">
      <c r="B584" s="250" t="s">
        <v>356</v>
      </c>
      <c r="C584" s="251">
        <v>10265295000181</v>
      </c>
      <c r="D584" s="252" t="s">
        <v>14</v>
      </c>
      <c r="E584" s="252" t="s">
        <v>607</v>
      </c>
      <c r="F584" s="252"/>
      <c r="G584" s="253"/>
      <c r="H584" s="253" t="s">
        <v>34</v>
      </c>
      <c r="I584" s="253" t="s">
        <v>34</v>
      </c>
      <c r="J584" s="253" t="s">
        <v>608</v>
      </c>
      <c r="K584" s="254" t="s">
        <v>48</v>
      </c>
      <c r="L584" s="255"/>
      <c r="M584" s="255" t="s">
        <v>34</v>
      </c>
      <c r="N584" s="254">
        <v>220681</v>
      </c>
      <c r="O584" s="254" t="s">
        <v>1321</v>
      </c>
      <c r="P584" s="258">
        <v>39780</v>
      </c>
      <c r="Q584" s="259">
        <v>4897569.12</v>
      </c>
      <c r="R584" s="259">
        <v>5146841.9315476203</v>
      </c>
      <c r="S584" s="254">
        <v>10</v>
      </c>
      <c r="T584" s="256">
        <v>3.0262807530350155E-3</v>
      </c>
      <c r="U584" s="256">
        <v>3.912132196810103E-2</v>
      </c>
      <c r="V584" s="256">
        <v>-0.16776126970282434</v>
      </c>
      <c r="W584" s="256">
        <v>-1.6446213923659894</v>
      </c>
      <c r="X584" s="256">
        <v>-0.26256258208389049</v>
      </c>
      <c r="Y584" s="256">
        <v>-1.991059757205186</v>
      </c>
      <c r="Z584" s="256">
        <v>-0.11895567621036662</v>
      </c>
      <c r="AA584" s="256">
        <v>-0.67618262761370007</v>
      </c>
      <c r="AB584" s="256">
        <v>0.29302121029138323</v>
      </c>
      <c r="AC584" s="260">
        <v>-0.81174868587716165</v>
      </c>
      <c r="AD584" s="405">
        <v>0</v>
      </c>
      <c r="AE584" s="257" t="s">
        <v>2379</v>
      </c>
      <c r="AF584" s="257" t="s">
        <v>2115</v>
      </c>
      <c r="AG584" s="261" t="s">
        <v>719</v>
      </c>
      <c r="AH584" s="261" t="s">
        <v>2110</v>
      </c>
      <c r="AI584" s="261">
        <v>5000</v>
      </c>
      <c r="AJ584" s="261">
        <v>5000</v>
      </c>
      <c r="AK584" s="261">
        <v>5000</v>
      </c>
      <c r="AL584" s="256">
        <v>0.02</v>
      </c>
      <c r="AM584" s="256">
        <v>0.2</v>
      </c>
      <c r="AN584" s="256" t="s">
        <v>2122</v>
      </c>
      <c r="AO584" s="254" t="s">
        <v>1324</v>
      </c>
      <c r="AP584" s="257" t="s">
        <v>716</v>
      </c>
      <c r="AQ584" s="263" t="s">
        <v>659</v>
      </c>
      <c r="AR584" s="256">
        <v>6.0000000000000001E-3</v>
      </c>
      <c r="AS584" s="256">
        <v>6.0000000000000001E-3</v>
      </c>
      <c r="AT584" s="256"/>
      <c r="AX584" s="508"/>
      <c r="AY584" s="509"/>
      <c r="AZ584" s="509"/>
      <c r="BA584" s="509"/>
      <c r="BB584" s="510"/>
      <c r="BC584" s="509"/>
      <c r="BD584" s="509"/>
      <c r="BE584" s="509"/>
      <c r="BF584" s="509"/>
      <c r="BG584" s="510"/>
      <c r="BH584" s="510"/>
      <c r="BI584" s="511"/>
      <c r="BJ584" s="511"/>
      <c r="BK584" s="511"/>
      <c r="BL584" s="510"/>
      <c r="BM584" s="510"/>
      <c r="BN584" s="510"/>
      <c r="BO584" s="510"/>
      <c r="BP584" s="510"/>
      <c r="BQ584" s="510"/>
      <c r="BR584" s="510"/>
      <c r="BS584" s="510"/>
      <c r="BT584" s="513"/>
      <c r="BU584" s="514"/>
      <c r="BV584" s="512"/>
      <c r="BW584" s="515"/>
    </row>
    <row r="585" spans="2:75" ht="15.75" customHeight="1">
      <c r="B585" s="250" t="s">
        <v>1248</v>
      </c>
      <c r="C585" s="251">
        <v>37013129000144</v>
      </c>
      <c r="D585" s="252" t="s">
        <v>14</v>
      </c>
      <c r="E585" s="252" t="s">
        <v>607</v>
      </c>
      <c r="F585" s="252"/>
      <c r="G585" s="253"/>
      <c r="H585" s="253" t="s">
        <v>34</v>
      </c>
      <c r="I585" s="253" t="s">
        <v>34</v>
      </c>
      <c r="J585" s="253" t="s">
        <v>611</v>
      </c>
      <c r="K585" s="254" t="s">
        <v>48</v>
      </c>
      <c r="L585" s="255"/>
      <c r="M585" s="255" t="s">
        <v>1414</v>
      </c>
      <c r="N585" s="254">
        <v>541400</v>
      </c>
      <c r="O585" s="254" t="s">
        <v>1321</v>
      </c>
      <c r="P585" s="258">
        <v>44011</v>
      </c>
      <c r="Q585" s="259">
        <v>118399256.09999999</v>
      </c>
      <c r="R585" s="259">
        <v>212163348.29162708</v>
      </c>
      <c r="S585" s="254">
        <v>10</v>
      </c>
      <c r="T585" s="256">
        <v>-0.10184128583702823</v>
      </c>
      <c r="U585" s="256">
        <v>-1.3165221795367543</v>
      </c>
      <c r="V585" s="256">
        <v>-9.9875476653421003E-2</v>
      </c>
      <c r="W585" s="256">
        <v>-0.97911362835972116</v>
      </c>
      <c r="X585" s="256">
        <v>0.11020646786966193</v>
      </c>
      <c r="Y585" s="256">
        <v>0.83571566602320202</v>
      </c>
      <c r="Z585" s="256" t="s">
        <v>1417</v>
      </c>
      <c r="AA585" s="256" t="s">
        <v>1417</v>
      </c>
      <c r="AB585" s="256">
        <v>0.19526058787374742</v>
      </c>
      <c r="AC585" s="260">
        <v>-0.93880293458751018</v>
      </c>
      <c r="AD585" s="405">
        <v>36428288000147</v>
      </c>
      <c r="AE585" s="257" t="s">
        <v>2219</v>
      </c>
      <c r="AF585" s="257" t="s">
        <v>2112</v>
      </c>
      <c r="AG585" s="261" t="s">
        <v>59</v>
      </c>
      <c r="AH585" s="261" t="s">
        <v>2110</v>
      </c>
      <c r="AI585" s="261">
        <v>10000</v>
      </c>
      <c r="AJ585" s="261">
        <v>5000</v>
      </c>
      <c r="AK585" s="261">
        <v>10000</v>
      </c>
      <c r="AL585" s="256">
        <v>1.4999999999999999E-2</v>
      </c>
      <c r="AM585" s="256">
        <v>0.1</v>
      </c>
      <c r="AN585" s="256" t="s">
        <v>2122</v>
      </c>
      <c r="AO585" s="254" t="s">
        <v>1324</v>
      </c>
      <c r="AP585" s="257" t="s">
        <v>716</v>
      </c>
      <c r="AQ585" s="263" t="s">
        <v>687</v>
      </c>
      <c r="AR585" s="256">
        <v>2E-3</v>
      </c>
      <c r="AS585" s="256">
        <v>2E-3</v>
      </c>
      <c r="AT585" s="256"/>
      <c r="AX585" s="508"/>
      <c r="AY585" s="509"/>
      <c r="AZ585" s="509"/>
      <c r="BA585" s="509"/>
      <c r="BB585" s="510"/>
      <c r="BC585" s="509"/>
      <c r="BD585" s="509"/>
      <c r="BE585" s="509"/>
      <c r="BF585" s="509"/>
      <c r="BG585" s="510"/>
      <c r="BH585" s="510"/>
      <c r="BI585" s="511"/>
      <c r="BJ585" s="511"/>
      <c r="BK585" s="511"/>
      <c r="BL585" s="510"/>
      <c r="BM585" s="510"/>
      <c r="BN585" s="510"/>
      <c r="BO585" s="510"/>
      <c r="BP585" s="510"/>
      <c r="BQ585" s="510"/>
      <c r="BR585" s="510"/>
      <c r="BS585" s="510"/>
      <c r="BT585" s="513"/>
      <c r="BU585" s="514"/>
      <c r="BV585" s="512"/>
      <c r="BW585" s="515"/>
    </row>
    <row r="586" spans="2:75" ht="15.75" customHeight="1">
      <c r="B586" s="250" t="s">
        <v>1249</v>
      </c>
      <c r="C586" s="251">
        <v>34831155000191</v>
      </c>
      <c r="D586" s="252" t="s">
        <v>14</v>
      </c>
      <c r="E586" s="252" t="s">
        <v>607</v>
      </c>
      <c r="F586" s="252"/>
      <c r="G586" s="253"/>
      <c r="H586" s="253" t="s">
        <v>34</v>
      </c>
      <c r="I586" s="253" t="s">
        <v>34</v>
      </c>
      <c r="J586" s="253" t="s">
        <v>611</v>
      </c>
      <c r="K586" s="254" t="s">
        <v>48</v>
      </c>
      <c r="L586" s="255"/>
      <c r="M586" s="255" t="s">
        <v>1414</v>
      </c>
      <c r="N586" s="254">
        <v>525081</v>
      </c>
      <c r="O586" s="254" t="s">
        <v>1321</v>
      </c>
      <c r="P586" s="258">
        <v>43846</v>
      </c>
      <c r="Q586" s="259">
        <v>167598385.40000001</v>
      </c>
      <c r="R586" s="259">
        <v>269613345.76182538</v>
      </c>
      <c r="S586" s="254">
        <v>10</v>
      </c>
      <c r="T586" s="256">
        <v>-0.2028016229060734</v>
      </c>
      <c r="U586" s="256">
        <v>-2.6216561624050061</v>
      </c>
      <c r="V586" s="256">
        <v>-0.16947705594230333</v>
      </c>
      <c r="W586" s="256">
        <v>-1.6614418346478876</v>
      </c>
      <c r="X586" s="256">
        <v>-4.4433968996294593E-2</v>
      </c>
      <c r="Y586" s="256">
        <v>-0.33695085879814396</v>
      </c>
      <c r="Z586" s="256" t="s">
        <v>1417</v>
      </c>
      <c r="AA586" s="256" t="s">
        <v>1417</v>
      </c>
      <c r="AB586" s="256">
        <v>0.20886308877679746</v>
      </c>
      <c r="AC586" s="260">
        <v>-1.2497466350488065</v>
      </c>
      <c r="AD586" s="405">
        <v>25682017000105</v>
      </c>
      <c r="AE586" s="257" t="s">
        <v>2219</v>
      </c>
      <c r="AF586" s="257" t="s">
        <v>2112</v>
      </c>
      <c r="AG586" s="261" t="s">
        <v>59</v>
      </c>
      <c r="AH586" s="261" t="s">
        <v>2110</v>
      </c>
      <c r="AI586" s="261">
        <v>10000</v>
      </c>
      <c r="AJ586" s="261">
        <v>5000</v>
      </c>
      <c r="AK586" s="261">
        <v>10000</v>
      </c>
      <c r="AL586" s="256">
        <v>1.4999999999999999E-2</v>
      </c>
      <c r="AM586" s="256">
        <v>0.1</v>
      </c>
      <c r="AN586" s="256" t="s">
        <v>2122</v>
      </c>
      <c r="AO586" s="254" t="s">
        <v>1324</v>
      </c>
      <c r="AP586" s="257" t="s">
        <v>716</v>
      </c>
      <c r="AQ586" s="263" t="s">
        <v>687</v>
      </c>
      <c r="AR586" s="256">
        <v>2E-3</v>
      </c>
      <c r="AS586" s="256">
        <v>2E-3</v>
      </c>
      <c r="AT586" s="256"/>
      <c r="AX586" s="508"/>
      <c r="AY586" s="509"/>
      <c r="AZ586" s="509"/>
      <c r="BA586" s="509"/>
      <c r="BB586" s="510"/>
      <c r="BC586" s="509"/>
      <c r="BD586" s="509"/>
      <c r="BE586" s="509"/>
      <c r="BF586" s="509"/>
      <c r="BG586" s="510"/>
      <c r="BH586" s="510"/>
      <c r="BI586" s="511"/>
      <c r="BJ586" s="511"/>
      <c r="BK586" s="511"/>
      <c r="BL586" s="510"/>
      <c r="BM586" s="510"/>
      <c r="BN586" s="510"/>
      <c r="BO586" s="510"/>
      <c r="BP586" s="510"/>
      <c r="BQ586" s="510"/>
      <c r="BR586" s="510"/>
      <c r="BS586" s="510"/>
      <c r="BT586" s="513"/>
      <c r="BU586" s="514"/>
      <c r="BV586" s="512"/>
      <c r="BW586" s="515"/>
    </row>
    <row r="587" spans="2:75" ht="15.75" customHeight="1">
      <c r="B587" s="250" t="s">
        <v>428</v>
      </c>
      <c r="C587" s="251">
        <v>29574952000109</v>
      </c>
      <c r="D587" s="252" t="s">
        <v>14</v>
      </c>
      <c r="E587" s="252" t="s">
        <v>614</v>
      </c>
      <c r="F587" s="252"/>
      <c r="G587" s="253"/>
      <c r="H587" s="253" t="s">
        <v>1338</v>
      </c>
      <c r="I587" s="253" t="s">
        <v>34</v>
      </c>
      <c r="J587" s="253" t="s">
        <v>608</v>
      </c>
      <c r="K587" s="254" t="s">
        <v>48</v>
      </c>
      <c r="L587" s="255"/>
      <c r="M587" s="255" t="s">
        <v>1414</v>
      </c>
      <c r="N587" s="254">
        <v>469173</v>
      </c>
      <c r="O587" s="254" t="s">
        <v>1321</v>
      </c>
      <c r="P587" s="258">
        <v>43165</v>
      </c>
      <c r="Q587" s="259">
        <v>103722441.23999999</v>
      </c>
      <c r="R587" s="259">
        <v>122322467.43718259</v>
      </c>
      <c r="S587" s="254">
        <v>10</v>
      </c>
      <c r="T587" s="256">
        <v>1.6425262417874897E-2</v>
      </c>
      <c r="U587" s="256">
        <v>0.21233257318105758</v>
      </c>
      <c r="V587" s="256">
        <v>-0.13672025013792</v>
      </c>
      <c r="W587" s="256">
        <v>-1.3403156076772755</v>
      </c>
      <c r="X587" s="256">
        <v>-1.3056296139483115E-2</v>
      </c>
      <c r="Y587" s="256">
        <v>-9.9008265439636797E-2</v>
      </c>
      <c r="Z587" s="256">
        <v>0.73794388507815967</v>
      </c>
      <c r="AA587" s="256">
        <v>4.1947122755301303</v>
      </c>
      <c r="AB587" s="256">
        <v>0.36702268621482986</v>
      </c>
      <c r="AC587" s="260">
        <v>-0.48277912664117634</v>
      </c>
      <c r="AD587" s="405">
        <v>0</v>
      </c>
      <c r="AE587" s="257" t="s">
        <v>2428</v>
      </c>
      <c r="AF587" s="257" t="s">
        <v>2118</v>
      </c>
      <c r="AG587" s="261" t="s">
        <v>1433</v>
      </c>
      <c r="AH587" s="261" t="s">
        <v>2113</v>
      </c>
      <c r="AI587" s="261">
        <v>500</v>
      </c>
      <c r="AJ587" s="261">
        <v>100</v>
      </c>
      <c r="AK587" s="261">
        <v>500</v>
      </c>
      <c r="AL587" s="256">
        <v>0.02</v>
      </c>
      <c r="AM587" s="256">
        <v>0.2</v>
      </c>
      <c r="AN587" s="256" t="s">
        <v>2127</v>
      </c>
      <c r="AO587" s="254" t="s">
        <v>1324</v>
      </c>
      <c r="AP587" s="257" t="s">
        <v>13</v>
      </c>
      <c r="AQ587" s="263" t="s">
        <v>674</v>
      </c>
      <c r="AR587" s="256">
        <v>3.3333333333333331E-3</v>
      </c>
      <c r="AS587" s="256">
        <v>3.3333333333333331E-3</v>
      </c>
      <c r="AT587" s="256"/>
      <c r="AX587" s="508"/>
      <c r="AY587" s="509"/>
      <c r="AZ587" s="509"/>
      <c r="BA587" s="509"/>
      <c r="BB587" s="510"/>
      <c r="BC587" s="509"/>
      <c r="BD587" s="509"/>
      <c r="BE587" s="509"/>
      <c r="BF587" s="509"/>
      <c r="BG587" s="510"/>
      <c r="BH587" s="510"/>
      <c r="BI587" s="511"/>
      <c r="BJ587" s="511"/>
      <c r="BK587" s="511"/>
      <c r="BL587" s="510"/>
      <c r="BM587" s="510"/>
      <c r="BN587" s="510"/>
      <c r="BO587" s="510"/>
      <c r="BP587" s="510"/>
      <c r="BQ587" s="510"/>
      <c r="BR587" s="510"/>
      <c r="BS587" s="510"/>
      <c r="BT587" s="513"/>
      <c r="BU587" s="514"/>
      <c r="BV587" s="512"/>
      <c r="BW587" s="515"/>
    </row>
    <row r="588" spans="2:75" ht="15.75" customHeight="1">
      <c r="B588" s="250" t="s">
        <v>1285</v>
      </c>
      <c r="C588" s="251">
        <v>35001522000192</v>
      </c>
      <c r="D588" s="252" t="s">
        <v>14</v>
      </c>
      <c r="E588" s="252" t="s">
        <v>607</v>
      </c>
      <c r="F588" s="252"/>
      <c r="G588" s="253"/>
      <c r="H588" s="253" t="s">
        <v>34</v>
      </c>
      <c r="I588" s="253" t="s">
        <v>34</v>
      </c>
      <c r="J588" s="253" t="s">
        <v>608</v>
      </c>
      <c r="K588" s="254" t="s">
        <v>48</v>
      </c>
      <c r="L588" s="255"/>
      <c r="M588" s="255" t="s">
        <v>34</v>
      </c>
      <c r="N588" s="254">
        <v>519431</v>
      </c>
      <c r="O588" s="254" t="s">
        <v>1321</v>
      </c>
      <c r="P588" s="258">
        <v>43819</v>
      </c>
      <c r="Q588" s="259">
        <v>6307754.2400000002</v>
      </c>
      <c r="R588" s="259">
        <v>6415771.1314285733</v>
      </c>
      <c r="S588" s="254">
        <v>10</v>
      </c>
      <c r="T588" s="256">
        <v>3.7884198283854476E-2</v>
      </c>
      <c r="U588" s="256">
        <v>0.48973642550503416</v>
      </c>
      <c r="V588" s="256">
        <v>9.5850675391369045E-3</v>
      </c>
      <c r="W588" s="256">
        <v>9.3965711812158459E-2</v>
      </c>
      <c r="X588" s="256">
        <v>9.7200607818237028E-2</v>
      </c>
      <c r="Y588" s="256">
        <v>0.73708986660155817</v>
      </c>
      <c r="Z588" s="256" t="s">
        <v>1417</v>
      </c>
      <c r="AA588" s="256" t="s">
        <v>1417</v>
      </c>
      <c r="AB588" s="256">
        <v>0.16148477932330774</v>
      </c>
      <c r="AC588" s="260">
        <v>-0.46216510900622476</v>
      </c>
      <c r="AD588" s="405">
        <v>0</v>
      </c>
      <c r="AE588" s="257" t="s">
        <v>2442</v>
      </c>
      <c r="AF588" s="257" t="s">
        <v>2109</v>
      </c>
      <c r="AG588" s="261" t="s">
        <v>1432</v>
      </c>
      <c r="AH588" s="261" t="s">
        <v>2113</v>
      </c>
      <c r="AI588" s="261">
        <v>5000</v>
      </c>
      <c r="AJ588" s="261">
        <v>1000</v>
      </c>
      <c r="AK588" s="261">
        <v>1000</v>
      </c>
      <c r="AL588" s="256">
        <v>0.02</v>
      </c>
      <c r="AM588" s="256">
        <v>0.2</v>
      </c>
      <c r="AN588" s="256" t="s">
        <v>34</v>
      </c>
      <c r="AO588" s="254" t="s">
        <v>1324</v>
      </c>
      <c r="AP588" s="257" t="s">
        <v>716</v>
      </c>
      <c r="AQ588" s="263" t="s">
        <v>659</v>
      </c>
      <c r="AR588" s="256">
        <v>8.0000000000000002E-3</v>
      </c>
      <c r="AS588" s="256">
        <v>8.0000000000000002E-3</v>
      </c>
      <c r="AT588" s="256"/>
      <c r="AX588" s="508"/>
      <c r="AY588" s="509"/>
      <c r="AZ588" s="509"/>
      <c r="BA588" s="509"/>
      <c r="BB588" s="510"/>
      <c r="BC588" s="509"/>
      <c r="BD588" s="509"/>
      <c r="BE588" s="509"/>
      <c r="BF588" s="509"/>
      <c r="BG588" s="510"/>
      <c r="BH588" s="510"/>
      <c r="BI588" s="511"/>
      <c r="BJ588" s="511"/>
      <c r="BK588" s="511"/>
      <c r="BL588" s="510"/>
      <c r="BM588" s="510"/>
      <c r="BN588" s="510"/>
      <c r="BO588" s="510"/>
      <c r="BP588" s="510"/>
      <c r="BQ588" s="510"/>
      <c r="BR588" s="510"/>
      <c r="BS588" s="510"/>
      <c r="BT588" s="513"/>
      <c r="BU588" s="514"/>
      <c r="BV588" s="512"/>
      <c r="BW588" s="515"/>
    </row>
    <row r="589" spans="2:75" ht="15.75" customHeight="1">
      <c r="B589" s="250" t="s">
        <v>442</v>
      </c>
      <c r="C589" s="251">
        <v>17094929000120</v>
      </c>
      <c r="D589" s="252" t="s">
        <v>14</v>
      </c>
      <c r="E589" s="252" t="s">
        <v>607</v>
      </c>
      <c r="F589" s="252"/>
      <c r="G589" s="253"/>
      <c r="H589" s="253" t="s">
        <v>34</v>
      </c>
      <c r="I589" s="253" t="s">
        <v>34</v>
      </c>
      <c r="J589" s="253" t="s">
        <v>608</v>
      </c>
      <c r="K589" s="254" t="s">
        <v>48</v>
      </c>
      <c r="L589" s="255"/>
      <c r="M589" s="255" t="s">
        <v>1414</v>
      </c>
      <c r="N589" s="254">
        <v>385875</v>
      </c>
      <c r="O589" s="254" t="s">
        <v>1321</v>
      </c>
      <c r="P589" s="258">
        <v>41243</v>
      </c>
      <c r="Q589" s="259">
        <v>21393540.010000002</v>
      </c>
      <c r="R589" s="259">
        <v>20131479.810833331</v>
      </c>
      <c r="S589" s="254">
        <v>10</v>
      </c>
      <c r="T589" s="256">
        <v>0.15227557829129723</v>
      </c>
      <c r="U589" s="256">
        <v>1.9684961219272861</v>
      </c>
      <c r="V589" s="256">
        <v>7.8192693368246635E-2</v>
      </c>
      <c r="W589" s="256">
        <v>0.76654985067729042</v>
      </c>
      <c r="X589" s="256">
        <v>0.1467181878541759</v>
      </c>
      <c r="Y589" s="256">
        <v>1.1125906714049016</v>
      </c>
      <c r="Z589" s="256">
        <v>0.32136828193921407</v>
      </c>
      <c r="AA589" s="256">
        <v>1.8267614983674132</v>
      </c>
      <c r="AB589" s="256">
        <v>0.15713212624911824</v>
      </c>
      <c r="AC589" s="260">
        <v>-6.0852395886522519E-2</v>
      </c>
      <c r="AD589" s="405">
        <v>0</v>
      </c>
      <c r="AE589" s="257" t="s">
        <v>2442</v>
      </c>
      <c r="AF589" s="257" t="s">
        <v>2109</v>
      </c>
      <c r="AG589" s="261" t="s">
        <v>1432</v>
      </c>
      <c r="AH589" s="261" t="s">
        <v>2113</v>
      </c>
      <c r="AI589" s="261">
        <v>10000</v>
      </c>
      <c r="AJ589" s="261">
        <v>5000</v>
      </c>
      <c r="AK589" s="261">
        <v>10000</v>
      </c>
      <c r="AL589" s="256">
        <v>0.02</v>
      </c>
      <c r="AM589" s="256" t="s">
        <v>34</v>
      </c>
      <c r="AN589" s="256" t="s">
        <v>34</v>
      </c>
      <c r="AO589" s="254" t="s">
        <v>1324</v>
      </c>
      <c r="AP589" s="257" t="s">
        <v>716</v>
      </c>
      <c r="AQ589" s="263" t="s">
        <v>659</v>
      </c>
      <c r="AR589" s="256" t="s">
        <v>34</v>
      </c>
      <c r="AS589" s="256" t="s">
        <v>34</v>
      </c>
      <c r="AT589" s="256"/>
      <c r="AX589" s="508"/>
      <c r="AY589" s="509"/>
      <c r="AZ589" s="509"/>
      <c r="BA589" s="509"/>
      <c r="BB589" s="510"/>
      <c r="BC589" s="509"/>
      <c r="BD589" s="509"/>
      <c r="BE589" s="509"/>
      <c r="BF589" s="509"/>
      <c r="BG589" s="510"/>
      <c r="BH589" s="510"/>
      <c r="BI589" s="511"/>
      <c r="BJ589" s="511"/>
      <c r="BK589" s="511"/>
      <c r="BL589" s="510"/>
      <c r="BM589" s="510"/>
      <c r="BN589" s="510"/>
      <c r="BO589" s="510"/>
      <c r="BP589" s="510"/>
      <c r="BQ589" s="510"/>
      <c r="BR589" s="510"/>
      <c r="BS589" s="510"/>
      <c r="BT589" s="513"/>
      <c r="BU589" s="514"/>
      <c r="BV589" s="512"/>
      <c r="BW589" s="515"/>
    </row>
    <row r="590" spans="2:75" ht="15.75" customHeight="1">
      <c r="B590" s="250" t="s">
        <v>142</v>
      </c>
      <c r="C590" s="251">
        <v>8739850000118</v>
      </c>
      <c r="D590" s="252" t="s">
        <v>13</v>
      </c>
      <c r="E590" s="252" t="s">
        <v>616</v>
      </c>
      <c r="F590" s="252" t="s">
        <v>617</v>
      </c>
      <c r="G590" s="253" t="s">
        <v>34</v>
      </c>
      <c r="H590" s="253" t="s">
        <v>1338</v>
      </c>
      <c r="I590" s="253" t="s">
        <v>34</v>
      </c>
      <c r="J590" s="253" t="s">
        <v>608</v>
      </c>
      <c r="K590" s="254" t="s">
        <v>48</v>
      </c>
      <c r="L590" s="255"/>
      <c r="M590" s="255" t="s">
        <v>34</v>
      </c>
      <c r="N590" s="254">
        <v>181722</v>
      </c>
      <c r="O590" s="254" t="s">
        <v>1321</v>
      </c>
      <c r="P590" s="258">
        <v>39184</v>
      </c>
      <c r="Q590" s="259">
        <v>26201703.09</v>
      </c>
      <c r="R590" s="259">
        <v>27382295.648730174</v>
      </c>
      <c r="S590" s="254">
        <v>11</v>
      </c>
      <c r="T590" s="256">
        <v>0.1015305812536067</v>
      </c>
      <c r="U590" s="256">
        <v>1.3125056407431186</v>
      </c>
      <c r="V590" s="256">
        <v>0.1073868904129287</v>
      </c>
      <c r="W590" s="256">
        <v>1.0527505993821851</v>
      </c>
      <c r="X590" s="256">
        <v>7.5640236467953148E-3</v>
      </c>
      <c r="Y590" s="256">
        <v>5.7359365398343999E-2</v>
      </c>
      <c r="Z590" s="256">
        <v>0.11216094327953496</v>
      </c>
      <c r="AA590" s="256">
        <v>0.6375591628621905</v>
      </c>
      <c r="AB590" s="256">
        <v>0.10035872285974505</v>
      </c>
      <c r="AC590" s="260">
        <v>9.8494753725882705E-2</v>
      </c>
      <c r="AD590" s="405">
        <v>0</v>
      </c>
      <c r="AE590" s="257" t="s">
        <v>2188</v>
      </c>
      <c r="AF590" s="257" t="s">
        <v>2118</v>
      </c>
      <c r="AG590" s="261" t="s">
        <v>1433</v>
      </c>
      <c r="AH590" s="261" t="s">
        <v>2113</v>
      </c>
      <c r="AI590" s="261">
        <v>5000</v>
      </c>
      <c r="AJ590" s="261">
        <v>1000</v>
      </c>
      <c r="AK590" s="261">
        <v>1000</v>
      </c>
      <c r="AL590" s="256">
        <v>0.02</v>
      </c>
      <c r="AM590" s="256">
        <v>0.2</v>
      </c>
      <c r="AN590" s="256" t="s">
        <v>64</v>
      </c>
      <c r="AO590" s="254" t="s">
        <v>1324</v>
      </c>
      <c r="AP590" s="257" t="s">
        <v>13</v>
      </c>
      <c r="AQ590" s="263" t="s">
        <v>664</v>
      </c>
      <c r="AR590" s="256">
        <v>4.6666666666666662E-3</v>
      </c>
      <c r="AS590" s="256">
        <v>4.6666666666666662E-3</v>
      </c>
      <c r="AT590" s="256"/>
      <c r="AX590" s="508"/>
      <c r="AY590" s="509"/>
      <c r="AZ590" s="509"/>
      <c r="BA590" s="509"/>
      <c r="BB590" s="510"/>
      <c r="BC590" s="509"/>
      <c r="BD590" s="509"/>
      <c r="BE590" s="509"/>
      <c r="BF590" s="509"/>
      <c r="BG590" s="510"/>
      <c r="BH590" s="510"/>
      <c r="BI590" s="511"/>
      <c r="BJ590" s="511"/>
      <c r="BK590" s="511"/>
      <c r="BL590" s="510"/>
      <c r="BM590" s="510"/>
      <c r="BN590" s="510"/>
      <c r="BO590" s="510"/>
      <c r="BP590" s="510"/>
      <c r="BQ590" s="510"/>
      <c r="BR590" s="510"/>
      <c r="BS590" s="510"/>
      <c r="BT590" s="513"/>
      <c r="BU590" s="514"/>
      <c r="BV590" s="512"/>
      <c r="BW590" s="515"/>
    </row>
    <row r="591" spans="2:75" ht="15.75" customHeight="1">
      <c r="B591" s="250" t="s">
        <v>884</v>
      </c>
      <c r="C591" s="251">
        <v>9083868000177</v>
      </c>
      <c r="D591" s="252" t="s">
        <v>13</v>
      </c>
      <c r="E591" s="252" t="s">
        <v>616</v>
      </c>
      <c r="F591" s="252" t="s">
        <v>617</v>
      </c>
      <c r="G591" s="253" t="s">
        <v>34</v>
      </c>
      <c r="H591" s="253" t="s">
        <v>1337</v>
      </c>
      <c r="I591" s="253" t="s">
        <v>34</v>
      </c>
      <c r="J591" s="253" t="s">
        <v>608</v>
      </c>
      <c r="K591" s="254" t="s">
        <v>48</v>
      </c>
      <c r="L591" s="255"/>
      <c r="M591" s="255" t="s">
        <v>34</v>
      </c>
      <c r="N591" s="254">
        <v>200565</v>
      </c>
      <c r="O591" s="254" t="s">
        <v>1324</v>
      </c>
      <c r="P591" s="258">
        <v>39415</v>
      </c>
      <c r="Q591" s="259">
        <v>6073778.6799999997</v>
      </c>
      <c r="R591" s="259">
        <v>8887415.23781747</v>
      </c>
      <c r="S591" s="254">
        <v>11</v>
      </c>
      <c r="T591" s="256">
        <v>1.1869938563819016E-2</v>
      </c>
      <c r="U591" s="256">
        <v>0.15344501260533561</v>
      </c>
      <c r="V591" s="256">
        <v>1.6645339026268857E-2</v>
      </c>
      <c r="W591" s="256">
        <v>0.16317998006500156</v>
      </c>
      <c r="X591" s="256">
        <v>4.390443185988846E-2</v>
      </c>
      <c r="Y591" s="256">
        <v>0.33293528249676885</v>
      </c>
      <c r="Z591" s="256">
        <v>5.2336418925230443E-2</v>
      </c>
      <c r="AA591" s="256">
        <v>0.29749717202372278</v>
      </c>
      <c r="AB591" s="256">
        <v>4.6927092310396851E-2</v>
      </c>
      <c r="AC591" s="260">
        <v>-1.6951296161348635</v>
      </c>
      <c r="AD591" s="405">
        <v>0</v>
      </c>
      <c r="AE591" s="257" t="s">
        <v>469</v>
      </c>
      <c r="AF591" s="257" t="s">
        <v>469</v>
      </c>
      <c r="AG591" s="261" t="s">
        <v>469</v>
      </c>
      <c r="AH591" s="261" t="s">
        <v>2113</v>
      </c>
      <c r="AI591" s="261">
        <v>100</v>
      </c>
      <c r="AJ591" s="261">
        <v>100</v>
      </c>
      <c r="AK591" s="261">
        <v>100</v>
      </c>
      <c r="AL591" s="256">
        <v>1.4999999999999999E-2</v>
      </c>
      <c r="AM591" s="256">
        <v>0.2</v>
      </c>
      <c r="AN591" s="256" t="s">
        <v>2122</v>
      </c>
      <c r="AO591" s="254" t="s">
        <v>1324</v>
      </c>
      <c r="AP591" s="257" t="s">
        <v>13</v>
      </c>
      <c r="AQ591" s="263" t="s">
        <v>674</v>
      </c>
      <c r="AR591" s="256">
        <v>4.4999999999999997E-3</v>
      </c>
      <c r="AS591" s="256">
        <v>4.4999999999999997E-3</v>
      </c>
      <c r="AT591" s="256"/>
      <c r="AX591" s="508"/>
      <c r="AY591" s="509"/>
      <c r="AZ591" s="509"/>
      <c r="BA591" s="509"/>
      <c r="BB591" s="510"/>
      <c r="BC591" s="509"/>
      <c r="BD591" s="509"/>
      <c r="BE591" s="509"/>
      <c r="BF591" s="509"/>
      <c r="BG591" s="510"/>
      <c r="BH591" s="510"/>
      <c r="BI591" s="511"/>
      <c r="BJ591" s="511"/>
      <c r="BK591" s="511"/>
      <c r="BL591" s="510"/>
      <c r="BM591" s="510"/>
      <c r="BN591" s="510"/>
      <c r="BO591" s="510"/>
      <c r="BP591" s="510"/>
      <c r="BQ591" s="510"/>
      <c r="BR591" s="510"/>
      <c r="BS591" s="510"/>
      <c r="BT591" s="513"/>
      <c r="BU591" s="514"/>
      <c r="BV591" s="512"/>
      <c r="BW591" s="515"/>
    </row>
    <row r="592" spans="2:75" ht="15.75" customHeight="1">
      <c r="B592" s="250" t="s">
        <v>831</v>
      </c>
      <c r="C592" s="251">
        <v>36484248000112</v>
      </c>
      <c r="D592" s="252" t="s">
        <v>13</v>
      </c>
      <c r="E592" s="252" t="s">
        <v>616</v>
      </c>
      <c r="F592" s="252" t="s">
        <v>610</v>
      </c>
      <c r="G592" s="253" t="s">
        <v>34</v>
      </c>
      <c r="H592" s="253" t="s">
        <v>1338</v>
      </c>
      <c r="I592" s="253" t="s">
        <v>34</v>
      </c>
      <c r="J592" s="253"/>
      <c r="K592" s="254" t="s">
        <v>48</v>
      </c>
      <c r="L592" s="255"/>
      <c r="M592" s="255" t="s">
        <v>34</v>
      </c>
      <c r="N592" s="254">
        <v>535451</v>
      </c>
      <c r="O592" s="254" t="s">
        <v>1321</v>
      </c>
      <c r="P592" s="258">
        <v>43943</v>
      </c>
      <c r="Q592" s="259">
        <v>11578116.109999999</v>
      </c>
      <c r="R592" s="259">
        <v>18994533.808174595</v>
      </c>
      <c r="S592" s="254">
        <v>11</v>
      </c>
      <c r="T592" s="256">
        <v>3.5328039998167693E-2</v>
      </c>
      <c r="U592" s="256">
        <v>0.45669246843149003</v>
      </c>
      <c r="V592" s="256">
        <v>6.0457396566755861E-2</v>
      </c>
      <c r="W592" s="256">
        <v>0.59268463988483311</v>
      </c>
      <c r="X592" s="256">
        <v>5.9371931722614235E-2</v>
      </c>
      <c r="Y592" s="256">
        <v>0.45022814379034903</v>
      </c>
      <c r="Z592" s="256" t="s">
        <v>1417</v>
      </c>
      <c r="AA592" s="256" t="s">
        <v>1417</v>
      </c>
      <c r="AB592" s="256">
        <v>7.9958016413448088E-2</v>
      </c>
      <c r="AC592" s="260">
        <v>-0.44081092586173637</v>
      </c>
      <c r="AD592" s="405">
        <v>0</v>
      </c>
      <c r="AE592" s="257" t="s">
        <v>2186</v>
      </c>
      <c r="AF592" s="257" t="s">
        <v>2187</v>
      </c>
      <c r="AG592" s="261" t="s">
        <v>1434</v>
      </c>
      <c r="AH592" s="261" t="s">
        <v>2113</v>
      </c>
      <c r="AI592" s="261">
        <v>0</v>
      </c>
      <c r="AJ592" s="261">
        <v>0</v>
      </c>
      <c r="AK592" s="261">
        <v>0</v>
      </c>
      <c r="AL592" s="256">
        <v>1.8500000000000003E-2</v>
      </c>
      <c r="AM592" s="256">
        <v>0.2</v>
      </c>
      <c r="AN592" s="256" t="s">
        <v>64</v>
      </c>
      <c r="AO592" s="254" t="s">
        <v>1324</v>
      </c>
      <c r="AP592" s="257" t="s">
        <v>13</v>
      </c>
      <c r="AQ592" s="263" t="s">
        <v>664</v>
      </c>
      <c r="AR592" s="256">
        <v>6.1666666666666658E-3</v>
      </c>
      <c r="AS592" s="256">
        <v>6.1666666666666658E-3</v>
      </c>
      <c r="AT592" s="256"/>
      <c r="AX592" s="508"/>
      <c r="AY592" s="509"/>
      <c r="AZ592" s="509"/>
      <c r="BA592" s="509"/>
      <c r="BB592" s="510"/>
      <c r="BC592" s="509"/>
      <c r="BD592" s="509"/>
      <c r="BE592" s="509"/>
      <c r="BF592" s="509"/>
      <c r="BG592" s="510"/>
      <c r="BH592" s="510"/>
      <c r="BI592" s="511"/>
      <c r="BJ592" s="511"/>
      <c r="BK592" s="511"/>
      <c r="BL592" s="510"/>
      <c r="BM592" s="510"/>
      <c r="BN592" s="510"/>
      <c r="BO592" s="510"/>
      <c r="BP592" s="510"/>
      <c r="BQ592" s="510"/>
      <c r="BR592" s="510"/>
      <c r="BS592" s="510"/>
      <c r="BT592" s="513"/>
      <c r="BU592" s="514"/>
      <c r="BV592" s="512"/>
      <c r="BW592" s="515"/>
    </row>
    <row r="593" spans="2:75" ht="15.75" customHeight="1">
      <c r="B593" s="250" t="s">
        <v>1025</v>
      </c>
      <c r="C593" s="251">
        <v>14146496000110</v>
      </c>
      <c r="D593" s="252" t="s">
        <v>13</v>
      </c>
      <c r="E593" s="252" t="s">
        <v>616</v>
      </c>
      <c r="F593" s="252" t="s">
        <v>610</v>
      </c>
      <c r="G593" s="253" t="s">
        <v>34</v>
      </c>
      <c r="H593" s="253" t="s">
        <v>865</v>
      </c>
      <c r="I593" s="253" t="s">
        <v>34</v>
      </c>
      <c r="J593" s="253"/>
      <c r="K593" s="254" t="s">
        <v>48</v>
      </c>
      <c r="L593" s="255"/>
      <c r="M593" s="255" t="s">
        <v>34</v>
      </c>
      <c r="N593" s="254">
        <v>299677</v>
      </c>
      <c r="O593" s="254" t="s">
        <v>1321</v>
      </c>
      <c r="P593" s="258">
        <v>40991</v>
      </c>
      <c r="Q593" s="259">
        <v>1056528380</v>
      </c>
      <c r="R593" s="259">
        <v>1322599544.0523806</v>
      </c>
      <c r="S593" s="254">
        <v>11</v>
      </c>
      <c r="T593" s="256">
        <v>1.9259853718576858E-2</v>
      </c>
      <c r="U593" s="256">
        <v>0.24897588818463967</v>
      </c>
      <c r="V593" s="256">
        <v>3.5043262733119862E-2</v>
      </c>
      <c r="W593" s="256">
        <v>0.3435411501789587</v>
      </c>
      <c r="X593" s="256">
        <v>5.4795436755154192E-2</v>
      </c>
      <c r="Y593" s="256">
        <v>0.41552375108350714</v>
      </c>
      <c r="Z593" s="256">
        <v>0.16981433422685055</v>
      </c>
      <c r="AA593" s="256">
        <v>0.96527972755936642</v>
      </c>
      <c r="AB593" s="256">
        <v>6.5805260894973544E-2</v>
      </c>
      <c r="AC593" s="260">
        <v>-0.92021564546215495</v>
      </c>
      <c r="AD593" s="405">
        <v>43761843000113</v>
      </c>
      <c r="AE593" s="257" t="s">
        <v>2293</v>
      </c>
      <c r="AF593" s="257" t="s">
        <v>2118</v>
      </c>
      <c r="AG593" s="261" t="s">
        <v>1433</v>
      </c>
      <c r="AH593" s="261" t="s">
        <v>2110</v>
      </c>
      <c r="AI593" s="261">
        <v>100000</v>
      </c>
      <c r="AJ593" s="261">
        <v>50000</v>
      </c>
      <c r="AK593" s="261">
        <v>100000</v>
      </c>
      <c r="AL593" s="256">
        <v>0.02</v>
      </c>
      <c r="AM593" s="256">
        <v>0.2</v>
      </c>
      <c r="AN593" s="256" t="s">
        <v>2127</v>
      </c>
      <c r="AO593" s="254" t="s">
        <v>1324</v>
      </c>
      <c r="AP593" s="257" t="s">
        <v>13</v>
      </c>
      <c r="AQ593" s="263" t="s">
        <v>668</v>
      </c>
      <c r="AR593" s="256">
        <v>5.3333333333333332E-3</v>
      </c>
      <c r="AS593" s="256">
        <v>5.3333333333333332E-3</v>
      </c>
      <c r="AT593" s="256"/>
      <c r="AW593" s="508"/>
      <c r="AX593" s="508"/>
      <c r="AY593" s="509"/>
      <c r="AZ593" s="509"/>
      <c r="BA593" s="509"/>
      <c r="BB593" s="510"/>
      <c r="BC593" s="509"/>
      <c r="BD593" s="509"/>
      <c r="BE593" s="509"/>
      <c r="BF593" s="509"/>
      <c r="BG593" s="510"/>
      <c r="BH593" s="510"/>
      <c r="BI593" s="511"/>
      <c r="BJ593" s="511"/>
      <c r="BK593" s="511"/>
      <c r="BL593" s="195"/>
      <c r="BM593" s="510"/>
      <c r="BN593" s="510"/>
      <c r="BO593" s="510"/>
      <c r="BP593" s="510"/>
      <c r="BQ593" s="510"/>
      <c r="BR593" s="510"/>
      <c r="BS593" s="510"/>
      <c r="BT593" s="513"/>
      <c r="BU593" s="514"/>
      <c r="BV593" s="512"/>
      <c r="BW593" s="515"/>
    </row>
    <row r="594" spans="2:75" ht="15.75" customHeight="1">
      <c r="B594" s="250" t="s">
        <v>252</v>
      </c>
      <c r="C594" s="251">
        <v>9441308000147</v>
      </c>
      <c r="D594" s="252" t="s">
        <v>13</v>
      </c>
      <c r="E594" s="252" t="s">
        <v>616</v>
      </c>
      <c r="F594" s="252" t="s">
        <v>610</v>
      </c>
      <c r="G594" s="253" t="s">
        <v>34</v>
      </c>
      <c r="H594" s="253" t="s">
        <v>1337</v>
      </c>
      <c r="I594" s="253" t="s">
        <v>34</v>
      </c>
      <c r="J594" s="253"/>
      <c r="K594" s="254" t="s">
        <v>48</v>
      </c>
      <c r="L594" s="255"/>
      <c r="M594" s="255" t="s">
        <v>34</v>
      </c>
      <c r="N594" s="254">
        <v>208809</v>
      </c>
      <c r="O594" s="254" t="s">
        <v>1321</v>
      </c>
      <c r="P594" s="258">
        <v>39568</v>
      </c>
      <c r="Q594" s="259">
        <v>422127651.25</v>
      </c>
      <c r="R594" s="259">
        <v>526045439.29523808</v>
      </c>
      <c r="S594" s="254">
        <v>11</v>
      </c>
      <c r="T594" s="256">
        <v>3.8478302527927166E-2</v>
      </c>
      <c r="U594" s="256">
        <v>0.4974165270262409</v>
      </c>
      <c r="V594" s="256">
        <v>6.1045472361618724E-2</v>
      </c>
      <c r="W594" s="256">
        <v>0.59844974904427939</v>
      </c>
      <c r="X594" s="256">
        <v>8.2253343278160695E-2</v>
      </c>
      <c r="Y594" s="256">
        <v>0.62374204426586355</v>
      </c>
      <c r="Z594" s="256">
        <v>0.16896003682773331</v>
      </c>
      <c r="AA594" s="256">
        <v>0.96042362418959459</v>
      </c>
      <c r="AB594" s="256">
        <v>3.4262004912184126E-2</v>
      </c>
      <c r="AC594" s="260">
        <v>-1.088866192674067</v>
      </c>
      <c r="AD594" s="405">
        <v>9412694000149</v>
      </c>
      <c r="AE594" s="257" t="s">
        <v>2293</v>
      </c>
      <c r="AF594" s="257" t="s">
        <v>2118</v>
      </c>
      <c r="AG594" s="261" t="s">
        <v>1433</v>
      </c>
      <c r="AH594" s="261" t="s">
        <v>2113</v>
      </c>
      <c r="AI594" s="261">
        <v>20000</v>
      </c>
      <c r="AJ594" s="261">
        <v>1000</v>
      </c>
      <c r="AK594" s="261">
        <v>20000</v>
      </c>
      <c r="AL594" s="256">
        <v>0.02</v>
      </c>
      <c r="AM594" s="256">
        <v>0.2</v>
      </c>
      <c r="AN594" s="256" t="s">
        <v>64</v>
      </c>
      <c r="AO594" s="254" t="s">
        <v>1324</v>
      </c>
      <c r="AP594" s="257" t="s">
        <v>13</v>
      </c>
      <c r="AQ594" s="263" t="s">
        <v>668</v>
      </c>
      <c r="AR594" s="256">
        <v>5.3333333333333332E-3</v>
      </c>
      <c r="AS594" s="256">
        <v>5.3333333333333332E-3</v>
      </c>
      <c r="AT594" s="256"/>
      <c r="AX594" s="508"/>
      <c r="AY594" s="509"/>
      <c r="AZ594" s="509"/>
      <c r="BA594" s="509"/>
      <c r="BB594" s="510"/>
      <c r="BC594" s="509"/>
      <c r="BD594" s="509"/>
      <c r="BE594" s="509"/>
      <c r="BF594" s="509"/>
      <c r="BG594" s="510"/>
      <c r="BH594" s="510"/>
      <c r="BI594" s="511"/>
      <c r="BJ594" s="511"/>
      <c r="BK594" s="511"/>
      <c r="BL594" s="510"/>
      <c r="BM594" s="510"/>
      <c r="BN594" s="510"/>
      <c r="BO594" s="510"/>
      <c r="BP594" s="510"/>
      <c r="BQ594" s="510"/>
      <c r="BR594" s="510"/>
      <c r="BS594" s="510"/>
      <c r="BT594" s="513"/>
      <c r="BU594" s="514"/>
      <c r="BV594" s="512"/>
      <c r="BW594" s="515"/>
    </row>
    <row r="595" spans="2:75" ht="15.75" customHeight="1">
      <c r="B595" s="250" t="s">
        <v>253</v>
      </c>
      <c r="C595" s="251">
        <v>31923761000149</v>
      </c>
      <c r="D595" s="252" t="s">
        <v>13</v>
      </c>
      <c r="E595" s="252" t="s">
        <v>616</v>
      </c>
      <c r="F595" s="252" t="s">
        <v>610</v>
      </c>
      <c r="G595" s="253"/>
      <c r="H595" s="253" t="s">
        <v>1338</v>
      </c>
      <c r="I595" s="253" t="s">
        <v>34</v>
      </c>
      <c r="J595" s="253" t="s">
        <v>608</v>
      </c>
      <c r="K595" s="254" t="s">
        <v>48</v>
      </c>
      <c r="L595" s="255"/>
      <c r="M595" s="255" t="s">
        <v>34</v>
      </c>
      <c r="N595" s="254">
        <v>484032</v>
      </c>
      <c r="O595" s="254" t="s">
        <v>1321</v>
      </c>
      <c r="P595" s="258">
        <v>43467</v>
      </c>
      <c r="Q595" s="259">
        <v>47207298.670000002</v>
      </c>
      <c r="R595" s="259">
        <v>39355776.027460314</v>
      </c>
      <c r="S595" s="254">
        <v>11</v>
      </c>
      <c r="T595" s="256">
        <v>3.4510110392894422E-2</v>
      </c>
      <c r="U595" s="256">
        <v>0.44611893277950315</v>
      </c>
      <c r="V595" s="256">
        <v>0.12414345595700937</v>
      </c>
      <c r="W595" s="256">
        <v>1.2170209712337754</v>
      </c>
      <c r="X595" s="256">
        <v>0.1372573879948249</v>
      </c>
      <c r="Y595" s="256">
        <v>1.0408477074173381</v>
      </c>
      <c r="Z595" s="256">
        <v>0.21667591277490961</v>
      </c>
      <c r="AA595" s="256">
        <v>1.2316561320002581</v>
      </c>
      <c r="AB595" s="256">
        <v>7.8557925511239746E-2</v>
      </c>
      <c r="AC595" s="260">
        <v>0.29227955131829036</v>
      </c>
      <c r="AD595" s="405">
        <v>0</v>
      </c>
      <c r="AE595" s="257" t="s">
        <v>2293</v>
      </c>
      <c r="AF595" s="257" t="s">
        <v>2118</v>
      </c>
      <c r="AG595" s="261" t="s">
        <v>1433</v>
      </c>
      <c r="AH595" s="261" t="s">
        <v>2113</v>
      </c>
      <c r="AI595" s="261">
        <v>5000</v>
      </c>
      <c r="AJ595" s="261">
        <v>1000</v>
      </c>
      <c r="AK595" s="261">
        <v>5000</v>
      </c>
      <c r="AL595" s="256">
        <v>0.02</v>
      </c>
      <c r="AM595" s="256">
        <v>0.2</v>
      </c>
      <c r="AN595" s="256" t="s">
        <v>64</v>
      </c>
      <c r="AO595" s="254" t="s">
        <v>1324</v>
      </c>
      <c r="AP595" s="257" t="s">
        <v>13</v>
      </c>
      <c r="AQ595" s="263" t="s">
        <v>668</v>
      </c>
      <c r="AR595" s="256">
        <v>6.6666666666666662E-3</v>
      </c>
      <c r="AS595" s="256">
        <v>6.6666666666666662E-3</v>
      </c>
      <c r="AT595" s="256"/>
      <c r="AX595" s="508"/>
      <c r="AY595" s="509"/>
      <c r="AZ595" s="509"/>
      <c r="BA595" s="509"/>
      <c r="BB595" s="510"/>
      <c r="BC595" s="509"/>
      <c r="BD595" s="509"/>
      <c r="BE595" s="509"/>
      <c r="BF595" s="509"/>
      <c r="BG595" s="510"/>
      <c r="BH595" s="510"/>
      <c r="BI595" s="511"/>
      <c r="BJ595" s="511"/>
      <c r="BK595" s="511"/>
      <c r="BL595" s="510"/>
      <c r="BM595" s="510"/>
      <c r="BN595" s="510"/>
      <c r="BO595" s="510"/>
      <c r="BP595" s="510"/>
      <c r="BQ595" s="510"/>
      <c r="BR595" s="510"/>
      <c r="BS595" s="510"/>
      <c r="BT595" s="513"/>
      <c r="BU595" s="514"/>
      <c r="BV595" s="512"/>
      <c r="BW595" s="515"/>
    </row>
    <row r="596" spans="2:75" ht="15.75" customHeight="1">
      <c r="B596" s="250" t="s">
        <v>508</v>
      </c>
      <c r="C596" s="251">
        <v>42081209000177</v>
      </c>
      <c r="D596" s="252" t="s">
        <v>14</v>
      </c>
      <c r="E596" s="252" t="s">
        <v>607</v>
      </c>
      <c r="F596" s="252" t="s">
        <v>860</v>
      </c>
      <c r="G596" s="253"/>
      <c r="H596" s="253" t="s">
        <v>34</v>
      </c>
      <c r="I596" s="253" t="s">
        <v>34</v>
      </c>
      <c r="J596" s="253" t="s">
        <v>611</v>
      </c>
      <c r="K596" s="254" t="s">
        <v>48</v>
      </c>
      <c r="L596" s="255"/>
      <c r="M596" s="255" t="s">
        <v>1414</v>
      </c>
      <c r="N596" s="254">
        <v>599484</v>
      </c>
      <c r="O596" s="254" t="s">
        <v>1321</v>
      </c>
      <c r="P596" s="258">
        <v>44377</v>
      </c>
      <c r="Q596" s="259">
        <v>15705296.300000001</v>
      </c>
      <c r="R596" s="259">
        <v>15315517.764603185</v>
      </c>
      <c r="S596" s="254">
        <v>11</v>
      </c>
      <c r="T596" s="256">
        <v>3.8191103631369128E-2</v>
      </c>
      <c r="U596" s="256">
        <v>0.49370385083456164</v>
      </c>
      <c r="V596" s="256">
        <v>0.17403867377650273</v>
      </c>
      <c r="W596" s="256">
        <v>1.7061609422655872</v>
      </c>
      <c r="X596" s="256" t="s">
        <v>1417</v>
      </c>
      <c r="Y596" s="256" t="s">
        <v>1417</v>
      </c>
      <c r="Z596" s="256" t="s">
        <v>1417</v>
      </c>
      <c r="AA596" s="256" t="s">
        <v>1417</v>
      </c>
      <c r="AB596" s="256">
        <v>0.17606906374988723</v>
      </c>
      <c r="AC596" s="260">
        <v>0.44758231032946771</v>
      </c>
      <c r="AD596" s="405">
        <v>0</v>
      </c>
      <c r="AE596" s="257" t="s">
        <v>2229</v>
      </c>
      <c r="AF596" s="257" t="s">
        <v>2109</v>
      </c>
      <c r="AG596" s="261" t="s">
        <v>1432</v>
      </c>
      <c r="AH596" s="261" t="s">
        <v>2113</v>
      </c>
      <c r="AI596" s="261">
        <v>0</v>
      </c>
      <c r="AJ596" s="261">
        <v>0</v>
      </c>
      <c r="AK596" s="261">
        <v>0</v>
      </c>
      <c r="AL596" s="256">
        <v>5.0000000000000001E-4</v>
      </c>
      <c r="AM596" s="256" t="s">
        <v>34</v>
      </c>
      <c r="AN596" s="256" t="s">
        <v>34</v>
      </c>
      <c r="AO596" s="254" t="s">
        <v>1324</v>
      </c>
      <c r="AP596" s="257" t="s">
        <v>13</v>
      </c>
      <c r="AQ596" s="263" t="s">
        <v>668</v>
      </c>
      <c r="AR596" s="256">
        <v>1.6664999999999998E-4</v>
      </c>
      <c r="AS596" s="256">
        <v>1.6664999999999998E-4</v>
      </c>
      <c r="AT596" s="256"/>
      <c r="AX596" s="508"/>
      <c r="AY596" s="509"/>
      <c r="AZ596" s="509"/>
      <c r="BA596" s="509"/>
      <c r="BB596" s="510"/>
      <c r="BC596" s="509"/>
      <c r="BD596" s="509"/>
      <c r="BE596" s="509"/>
      <c r="BF596" s="509"/>
      <c r="BG596" s="510"/>
      <c r="BH596" s="510"/>
      <c r="BI596" s="511"/>
      <c r="BJ596" s="511"/>
      <c r="BK596" s="511"/>
      <c r="BL596" s="510"/>
      <c r="BM596" s="510"/>
      <c r="BN596" s="510"/>
      <c r="BO596" s="510"/>
      <c r="BP596" s="510"/>
      <c r="BQ596" s="510"/>
      <c r="BR596" s="510"/>
      <c r="BS596" s="510"/>
      <c r="BT596" s="513"/>
      <c r="BU596" s="514"/>
      <c r="BV596" s="512"/>
      <c r="BW596" s="515"/>
    </row>
    <row r="597" spans="2:75" ht="15.75" customHeight="1">
      <c r="B597" s="250" t="s">
        <v>763</v>
      </c>
      <c r="C597" s="251">
        <v>21689246000192</v>
      </c>
      <c r="D597" s="252" t="s">
        <v>14</v>
      </c>
      <c r="E597" s="252" t="s">
        <v>607</v>
      </c>
      <c r="F597" s="252" t="s">
        <v>1317</v>
      </c>
      <c r="G597" s="253"/>
      <c r="H597" s="253" t="s">
        <v>34</v>
      </c>
      <c r="I597" s="253" t="s">
        <v>34</v>
      </c>
      <c r="J597" s="253" t="s">
        <v>611</v>
      </c>
      <c r="K597" s="254" t="s">
        <v>48</v>
      </c>
      <c r="L597" s="255"/>
      <c r="M597" s="255" t="s">
        <v>34</v>
      </c>
      <c r="N597" s="254">
        <v>393959</v>
      </c>
      <c r="O597" s="254" t="s">
        <v>1321</v>
      </c>
      <c r="P597" s="258">
        <v>42086</v>
      </c>
      <c r="Q597" s="259">
        <v>129646583.42</v>
      </c>
      <c r="R597" s="259">
        <v>244100756.29658735</v>
      </c>
      <c r="S597" s="254">
        <v>12</v>
      </c>
      <c r="T597" s="256">
        <v>-0.2647879920666083</v>
      </c>
      <c r="U597" s="256">
        <v>-3.422966055127572</v>
      </c>
      <c r="V597" s="256">
        <v>-0.33140546547983907</v>
      </c>
      <c r="W597" s="256">
        <v>-3.2488816938536544</v>
      </c>
      <c r="X597" s="256">
        <v>-3.9399622077738172E-2</v>
      </c>
      <c r="Y597" s="256">
        <v>-0.29877449157250102</v>
      </c>
      <c r="Z597" s="256">
        <v>1.0940013880367023</v>
      </c>
      <c r="AA597" s="256">
        <v>6.2186585520096944</v>
      </c>
      <c r="AB597" s="256">
        <v>0.29760929866981961</v>
      </c>
      <c r="AC597" s="260">
        <v>-1.5292556290626005</v>
      </c>
      <c r="AD597" s="405">
        <v>39466384000178</v>
      </c>
      <c r="AE597" s="257" t="s">
        <v>2146</v>
      </c>
      <c r="AF597" s="257" t="s">
        <v>2109</v>
      </c>
      <c r="AG597" s="261" t="s">
        <v>1432</v>
      </c>
      <c r="AH597" s="261" t="s">
        <v>2110</v>
      </c>
      <c r="AI597" s="261">
        <v>1000</v>
      </c>
      <c r="AJ597" s="261">
        <v>100</v>
      </c>
      <c r="AK597" s="261">
        <v>1000</v>
      </c>
      <c r="AL597" s="519">
        <v>1.8700000000000001E-2</v>
      </c>
      <c r="AM597" s="519">
        <v>0.2</v>
      </c>
      <c r="AN597" s="256" t="s">
        <v>34</v>
      </c>
      <c r="AO597" s="254" t="s">
        <v>1324</v>
      </c>
      <c r="AP597" s="257" t="s">
        <v>716</v>
      </c>
      <c r="AQ597" s="263" t="s">
        <v>659</v>
      </c>
      <c r="AR597" s="256">
        <v>6.6666666666666662E-3</v>
      </c>
      <c r="AS597" s="256">
        <v>6.6666666666666662E-3</v>
      </c>
      <c r="AT597" s="256"/>
      <c r="AX597" s="508"/>
      <c r="AY597" s="509"/>
      <c r="AZ597" s="509"/>
      <c r="BA597" s="509"/>
      <c r="BB597" s="510"/>
      <c r="BC597" s="509"/>
      <c r="BD597" s="509"/>
      <c r="BE597" s="509"/>
      <c r="BF597" s="509"/>
      <c r="BG597" s="510"/>
      <c r="BH597" s="510"/>
      <c r="BI597" s="511"/>
      <c r="BJ597" s="511"/>
      <c r="BK597" s="511"/>
      <c r="BL597" s="510"/>
      <c r="BM597" s="510"/>
      <c r="BN597" s="510"/>
      <c r="BO597" s="510"/>
      <c r="BP597" s="510"/>
      <c r="BQ597" s="510"/>
      <c r="BR597" s="510"/>
      <c r="BS597" s="510"/>
      <c r="BT597" s="513"/>
      <c r="BU597" s="514"/>
      <c r="BV597" s="512"/>
      <c r="BW597" s="515"/>
    </row>
    <row r="598" spans="2:75" ht="15.75" customHeight="1">
      <c r="B598" s="250" t="s">
        <v>87</v>
      </c>
      <c r="C598" s="251">
        <v>41373625000186</v>
      </c>
      <c r="D598" s="252" t="s">
        <v>14</v>
      </c>
      <c r="E598" s="252" t="s">
        <v>607</v>
      </c>
      <c r="F598" s="252" t="s">
        <v>1317</v>
      </c>
      <c r="G598" s="253"/>
      <c r="H598" s="253" t="s">
        <v>34</v>
      </c>
      <c r="I598" s="253" t="s">
        <v>34</v>
      </c>
      <c r="J598" s="253" t="s">
        <v>611</v>
      </c>
      <c r="K598" s="254" t="s">
        <v>49</v>
      </c>
      <c r="L598" s="255"/>
      <c r="M598" s="255" t="s">
        <v>34</v>
      </c>
      <c r="N598" s="254">
        <v>593151</v>
      </c>
      <c r="O598" s="254" t="s">
        <v>1321</v>
      </c>
      <c r="P598" s="258">
        <v>44316</v>
      </c>
      <c r="Q598" s="259">
        <v>8945533.2899999991</v>
      </c>
      <c r="R598" s="259">
        <v>11657944.6590873</v>
      </c>
      <c r="S598" s="254">
        <v>12</v>
      </c>
      <c r="T598" s="256">
        <v>-0.32832226308292667</v>
      </c>
      <c r="U598" s="256">
        <v>-4.2442859772614527</v>
      </c>
      <c r="V598" s="256">
        <v>-0.35851442966165714</v>
      </c>
      <c r="W598" s="256">
        <v>-3.5146401880357643</v>
      </c>
      <c r="X598" s="256" t="s">
        <v>1417</v>
      </c>
      <c r="Y598" s="256" t="s">
        <v>1417</v>
      </c>
      <c r="Z598" s="256" t="s">
        <v>1417</v>
      </c>
      <c r="AA598" s="256" t="s">
        <v>1417</v>
      </c>
      <c r="AB598" s="256">
        <v>0.29008398563060966</v>
      </c>
      <c r="AC598" s="260">
        <v>-1.7192906112881619</v>
      </c>
      <c r="AD598" s="405">
        <v>0</v>
      </c>
      <c r="AE598" s="257" t="s">
        <v>2146</v>
      </c>
      <c r="AF598" s="257" t="s">
        <v>2109</v>
      </c>
      <c r="AG598" s="261" t="s">
        <v>1432</v>
      </c>
      <c r="AH598" s="261" t="s">
        <v>2110</v>
      </c>
      <c r="AI598" s="261">
        <v>1000</v>
      </c>
      <c r="AJ598" s="261">
        <v>1000</v>
      </c>
      <c r="AK598" s="261">
        <v>1000</v>
      </c>
      <c r="AL598" s="519">
        <v>0.02</v>
      </c>
      <c r="AM598" s="519">
        <v>0.2</v>
      </c>
      <c r="AN598" s="256" t="s">
        <v>34</v>
      </c>
      <c r="AO598" s="254" t="s">
        <v>1324</v>
      </c>
      <c r="AP598" s="257" t="s">
        <v>716</v>
      </c>
      <c r="AQ598" s="263" t="s">
        <v>687</v>
      </c>
      <c r="AR598" s="256">
        <v>6.6666666666666662E-3</v>
      </c>
      <c r="AS598" s="256">
        <v>6.6666666666666662E-3</v>
      </c>
      <c r="AT598" s="256"/>
      <c r="AX598" s="508"/>
      <c r="AY598" s="509"/>
      <c r="AZ598" s="509"/>
      <c r="BA598" s="509"/>
      <c r="BB598" s="510"/>
      <c r="BC598" s="509"/>
      <c r="BD598" s="509"/>
      <c r="BE598" s="509"/>
      <c r="BF598" s="509"/>
      <c r="BG598" s="510"/>
      <c r="BH598" s="510"/>
      <c r="BI598" s="511"/>
      <c r="BJ598" s="511"/>
      <c r="BK598" s="511"/>
      <c r="BL598" s="510"/>
      <c r="BM598" s="510"/>
      <c r="BN598" s="510"/>
      <c r="BO598" s="510"/>
      <c r="BP598" s="510"/>
      <c r="BQ598" s="510"/>
      <c r="BR598" s="510"/>
      <c r="BS598" s="510"/>
      <c r="BT598" s="513"/>
      <c r="BU598" s="514"/>
      <c r="BV598" s="512"/>
      <c r="BW598" s="515"/>
    </row>
    <row r="599" spans="2:75" ht="15.75" customHeight="1">
      <c r="B599" s="250" t="s">
        <v>1588</v>
      </c>
      <c r="C599" s="251">
        <v>37128109000119</v>
      </c>
      <c r="D599" s="252" t="s">
        <v>14</v>
      </c>
      <c r="E599" s="252" t="s">
        <v>614</v>
      </c>
      <c r="F599" s="252" t="s">
        <v>1317</v>
      </c>
      <c r="G599" s="253"/>
      <c r="H599" s="253" t="s">
        <v>865</v>
      </c>
      <c r="I599" s="253" t="s">
        <v>34</v>
      </c>
      <c r="J599" s="253" t="s">
        <v>608</v>
      </c>
      <c r="K599" s="254" t="s">
        <v>48</v>
      </c>
      <c r="L599" s="255"/>
      <c r="M599" s="255"/>
      <c r="N599" s="254">
        <v>553794</v>
      </c>
      <c r="O599" s="254" t="s">
        <v>1321</v>
      </c>
      <c r="P599" s="258">
        <v>44109</v>
      </c>
      <c r="Q599" s="259">
        <v>31673948.789999999</v>
      </c>
      <c r="R599" s="259">
        <v>45363107.936547622</v>
      </c>
      <c r="S599" s="254">
        <v>12</v>
      </c>
      <c r="T599" s="256">
        <v>5.9698158052556849E-2</v>
      </c>
      <c r="U599" s="256">
        <v>0.67147971920249649</v>
      </c>
      <c r="V599" s="256">
        <v>-9.4300198766301802E-2</v>
      </c>
      <c r="W599" s="256">
        <v>-0.86545972748254107</v>
      </c>
      <c r="X599" s="256" t="s">
        <v>1417</v>
      </c>
      <c r="Y599" s="256" t="s">
        <v>1417</v>
      </c>
      <c r="Z599" s="256" t="s">
        <v>1417</v>
      </c>
      <c r="AA599" s="256" t="s">
        <v>1417</v>
      </c>
      <c r="AB599" s="256">
        <v>0.21390980235453769</v>
      </c>
      <c r="AC599" s="260">
        <v>-0.83965436615065336</v>
      </c>
      <c r="AD599" s="405">
        <v>31963459000114</v>
      </c>
      <c r="AE599" s="257" t="s">
        <v>2222</v>
      </c>
      <c r="AF599" s="257" t="s">
        <v>2118</v>
      </c>
      <c r="AG599" s="261" t="s">
        <v>1433</v>
      </c>
      <c r="AH599" s="261" t="s">
        <v>2119</v>
      </c>
      <c r="AI599" s="261">
        <v>200</v>
      </c>
      <c r="AJ599" s="261" t="s">
        <v>1427</v>
      </c>
      <c r="AK599" s="261">
        <v>200</v>
      </c>
      <c r="AL599" s="256">
        <v>1.8500000000000003E-2</v>
      </c>
      <c r="AM599" s="256">
        <v>0.2</v>
      </c>
      <c r="AN599" s="256" t="s">
        <v>34</v>
      </c>
      <c r="AO599" s="254" t="s">
        <v>1321</v>
      </c>
      <c r="AP599" s="257" t="s">
        <v>13</v>
      </c>
      <c r="AQ599" s="263" t="s">
        <v>2177</v>
      </c>
      <c r="AR599" s="256" t="s">
        <v>34</v>
      </c>
      <c r="AS599" s="256" t="s">
        <v>34</v>
      </c>
      <c r="AT599" s="256"/>
      <c r="AX599" s="508"/>
      <c r="AY599" s="509"/>
      <c r="AZ599" s="509"/>
      <c r="BA599" s="509"/>
      <c r="BB599" s="510"/>
      <c r="BC599" s="509"/>
      <c r="BD599" s="509"/>
      <c r="BE599" s="509"/>
      <c r="BF599" s="509"/>
      <c r="BG599" s="510"/>
      <c r="BH599" s="510"/>
      <c r="BI599" s="511"/>
      <c r="BJ599" s="511"/>
      <c r="BK599" s="511"/>
      <c r="BL599" s="510"/>
      <c r="BM599" s="510"/>
      <c r="BN599" s="510"/>
      <c r="BO599" s="510"/>
      <c r="BP599" s="510"/>
      <c r="BQ599" s="510"/>
      <c r="BR599" s="510"/>
      <c r="BS599" s="510"/>
      <c r="BT599" s="513"/>
      <c r="BU599" s="514"/>
      <c r="BV599" s="512"/>
      <c r="BW599" s="515"/>
    </row>
    <row r="600" spans="2:75" ht="15.75" customHeight="1">
      <c r="B600" s="250" t="s">
        <v>1026</v>
      </c>
      <c r="C600" s="251">
        <v>31455960000170</v>
      </c>
      <c r="D600" s="252" t="s">
        <v>13</v>
      </c>
      <c r="E600" s="252" t="s">
        <v>616</v>
      </c>
      <c r="F600" s="252" t="s">
        <v>617</v>
      </c>
      <c r="G600" s="253" t="s">
        <v>34</v>
      </c>
      <c r="H600" s="253" t="s">
        <v>1337</v>
      </c>
      <c r="I600" s="253" t="s">
        <v>34</v>
      </c>
      <c r="J600" s="253" t="s">
        <v>608</v>
      </c>
      <c r="K600" s="254" t="s">
        <v>48</v>
      </c>
      <c r="L600" s="255"/>
      <c r="M600" s="255" t="s">
        <v>34</v>
      </c>
      <c r="N600" s="254">
        <v>482986</v>
      </c>
      <c r="O600" s="254" t="s">
        <v>1321</v>
      </c>
      <c r="P600" s="258">
        <v>43410</v>
      </c>
      <c r="Q600" s="259">
        <v>196532702.44</v>
      </c>
      <c r="R600" s="259">
        <v>174958483.54134923</v>
      </c>
      <c r="S600" s="254">
        <v>12</v>
      </c>
      <c r="T600" s="256">
        <v>5.2700110434273917E-2</v>
      </c>
      <c r="U600" s="256">
        <v>0.68126461366350821</v>
      </c>
      <c r="V600" s="256">
        <v>7.1013409990320575E-2</v>
      </c>
      <c r="W600" s="256">
        <v>0.69616886795040545</v>
      </c>
      <c r="X600" s="256">
        <v>0.1490802578976218</v>
      </c>
      <c r="Y600" s="256">
        <v>1.130502677639295</v>
      </c>
      <c r="Z600" s="256">
        <v>0.28835957699149994</v>
      </c>
      <c r="AA600" s="256">
        <v>1.6391293184099043</v>
      </c>
      <c r="AB600" s="256">
        <v>4.9635227693667502E-2</v>
      </c>
      <c r="AC600" s="260">
        <v>-0.55023792290035178</v>
      </c>
      <c r="AD600" s="405">
        <v>43761784000183</v>
      </c>
      <c r="AE600" s="257" t="s">
        <v>2293</v>
      </c>
      <c r="AF600" s="257" t="s">
        <v>2118</v>
      </c>
      <c r="AG600" s="261" t="s">
        <v>1433</v>
      </c>
      <c r="AH600" s="261" t="s">
        <v>2110</v>
      </c>
      <c r="AI600" s="261">
        <v>100000</v>
      </c>
      <c r="AJ600" s="261">
        <v>500</v>
      </c>
      <c r="AK600" s="261">
        <v>100000</v>
      </c>
      <c r="AL600" s="256">
        <v>0.02</v>
      </c>
      <c r="AM600" s="256">
        <v>0.2</v>
      </c>
      <c r="AN600" s="256" t="s">
        <v>2127</v>
      </c>
      <c r="AO600" s="254" t="s">
        <v>1324</v>
      </c>
      <c r="AP600" s="257" t="s">
        <v>716</v>
      </c>
      <c r="AQ600" s="263" t="s">
        <v>659</v>
      </c>
      <c r="AR600" s="256">
        <v>5.3333333333333332E-3</v>
      </c>
      <c r="AS600" s="256">
        <v>5.3333333333333332E-3</v>
      </c>
      <c r="AT600" s="256"/>
      <c r="AX600" s="508"/>
      <c r="AY600" s="509"/>
      <c r="AZ600" s="509"/>
      <c r="BA600" s="509"/>
      <c r="BB600" s="510"/>
      <c r="BC600" s="509"/>
      <c r="BD600" s="509"/>
      <c r="BE600" s="509"/>
      <c r="BF600" s="509"/>
      <c r="BG600" s="510"/>
      <c r="BH600" s="510"/>
      <c r="BI600" s="511"/>
      <c r="BJ600" s="511"/>
      <c r="BK600" s="511"/>
      <c r="BL600" s="510"/>
      <c r="BM600" s="510"/>
      <c r="BN600" s="510"/>
      <c r="BO600" s="510"/>
      <c r="BP600" s="510"/>
      <c r="BQ600" s="510"/>
      <c r="BR600" s="510"/>
      <c r="BS600" s="510"/>
      <c r="BT600" s="513"/>
      <c r="BU600" s="514"/>
      <c r="BV600" s="512"/>
      <c r="BW600" s="515"/>
    </row>
    <row r="601" spans="2:75" ht="15.75" customHeight="1">
      <c r="B601" s="250" t="s">
        <v>500</v>
      </c>
      <c r="C601" s="251">
        <v>42730566000119</v>
      </c>
      <c r="D601" s="252" t="s">
        <v>14</v>
      </c>
      <c r="E601" s="252" t="s">
        <v>607</v>
      </c>
      <c r="F601" s="252" t="s">
        <v>860</v>
      </c>
      <c r="G601" s="253"/>
      <c r="H601" s="253" t="s">
        <v>34</v>
      </c>
      <c r="I601" s="253" t="s">
        <v>34</v>
      </c>
      <c r="J601" s="253" t="s">
        <v>611</v>
      </c>
      <c r="K601" s="254" t="s">
        <v>48</v>
      </c>
      <c r="L601" s="255"/>
      <c r="M601" s="255" t="s">
        <v>1414</v>
      </c>
      <c r="N601" s="254">
        <v>612421</v>
      </c>
      <c r="O601" s="254" t="s">
        <v>1321</v>
      </c>
      <c r="P601" s="258">
        <v>44407</v>
      </c>
      <c r="Q601" s="259">
        <v>2755183.64</v>
      </c>
      <c r="R601" s="259">
        <v>4224525.779722224</v>
      </c>
      <c r="S601" s="254">
        <v>12</v>
      </c>
      <c r="T601" s="256">
        <v>-0.41975965467749798</v>
      </c>
      <c r="U601" s="256">
        <v>-5.4263149852796557</v>
      </c>
      <c r="V601" s="256">
        <v>-0.37593467750940002</v>
      </c>
      <c r="W601" s="256">
        <v>-3.6854168656411863</v>
      </c>
      <c r="X601" s="256" t="s">
        <v>1417</v>
      </c>
      <c r="Y601" s="256" t="s">
        <v>1417</v>
      </c>
      <c r="Z601" s="256" t="s">
        <v>1417</v>
      </c>
      <c r="AA601" s="256" t="s">
        <v>1417</v>
      </c>
      <c r="AB601" s="256">
        <v>0.39362730451698785</v>
      </c>
      <c r="AC601" s="260">
        <v>-1.2469777413957199</v>
      </c>
      <c r="AD601" s="405">
        <v>0</v>
      </c>
      <c r="AE601" s="257" t="s">
        <v>2229</v>
      </c>
      <c r="AF601" s="257" t="s">
        <v>2109</v>
      </c>
      <c r="AG601" s="261" t="s">
        <v>1432</v>
      </c>
      <c r="AH601" s="261" t="s">
        <v>2113</v>
      </c>
      <c r="AI601" s="261">
        <v>100</v>
      </c>
      <c r="AJ601" s="261">
        <v>100</v>
      </c>
      <c r="AK601" s="261">
        <v>100</v>
      </c>
      <c r="AL601" s="256">
        <v>9.0000000000000011E-3</v>
      </c>
      <c r="AM601" s="256">
        <v>0.1</v>
      </c>
      <c r="AN601" s="256" t="s">
        <v>2127</v>
      </c>
      <c r="AO601" s="254" t="s">
        <v>1324</v>
      </c>
      <c r="AP601" s="257" t="s">
        <v>716</v>
      </c>
      <c r="AQ601" s="263" t="s">
        <v>694</v>
      </c>
      <c r="AR601" s="256">
        <v>2.9996999999999997E-3</v>
      </c>
      <c r="AS601" s="256">
        <v>2.9996999999999997E-3</v>
      </c>
      <c r="AT601" s="256"/>
      <c r="AX601" s="508"/>
      <c r="AY601" s="509"/>
      <c r="AZ601" s="509"/>
      <c r="BA601" s="509"/>
      <c r="BB601" s="510"/>
      <c r="BC601" s="509"/>
      <c r="BD601" s="509"/>
      <c r="BE601" s="509"/>
      <c r="BF601" s="509"/>
      <c r="BG601" s="510"/>
      <c r="BH601" s="510"/>
      <c r="BI601" s="511"/>
      <c r="BJ601" s="511"/>
      <c r="BK601" s="511"/>
      <c r="BL601" s="510"/>
      <c r="BM601" s="510"/>
      <c r="BN601" s="510"/>
      <c r="BO601" s="510"/>
      <c r="BP601" s="510"/>
      <c r="BQ601" s="510"/>
      <c r="BR601" s="510"/>
      <c r="BS601" s="510"/>
      <c r="BT601" s="513"/>
      <c r="BU601" s="514"/>
      <c r="BV601" s="512"/>
      <c r="BW601" s="515"/>
    </row>
    <row r="602" spans="2:75" ht="15.75" customHeight="1">
      <c r="B602" s="250" t="s">
        <v>502</v>
      </c>
      <c r="C602" s="251">
        <v>34218748000187</v>
      </c>
      <c r="D602" s="252" t="s">
        <v>14</v>
      </c>
      <c r="E602" s="252" t="s">
        <v>607</v>
      </c>
      <c r="F602" s="252" t="s">
        <v>860</v>
      </c>
      <c r="G602" s="253"/>
      <c r="H602" s="253" t="s">
        <v>34</v>
      </c>
      <c r="I602" s="253" t="s">
        <v>34</v>
      </c>
      <c r="J602" s="253" t="s">
        <v>611</v>
      </c>
      <c r="K602" s="254" t="s">
        <v>48</v>
      </c>
      <c r="L602" s="255"/>
      <c r="M602" s="255" t="s">
        <v>1414</v>
      </c>
      <c r="N602" s="254">
        <v>518719</v>
      </c>
      <c r="O602" s="254" t="s">
        <v>1321</v>
      </c>
      <c r="P602" s="258">
        <v>43788</v>
      </c>
      <c r="Q602" s="259">
        <v>18269505.289999999</v>
      </c>
      <c r="R602" s="259">
        <v>36017573.316785738</v>
      </c>
      <c r="S602" s="254">
        <v>12</v>
      </c>
      <c r="T602" s="256">
        <v>-0.54072695643947899</v>
      </c>
      <c r="U602" s="256">
        <v>-6.9900829057202269</v>
      </c>
      <c r="V602" s="256">
        <v>-0.63332747749578322</v>
      </c>
      <c r="W602" s="256">
        <v>-6.2087269588972314</v>
      </c>
      <c r="X602" s="256">
        <v>-0.65249790945016173</v>
      </c>
      <c r="Y602" s="256">
        <v>-4.9480101804896153</v>
      </c>
      <c r="Z602" s="256" t="s">
        <v>1417</v>
      </c>
      <c r="AA602" s="256" t="s">
        <v>1417</v>
      </c>
      <c r="AB602" s="256">
        <v>0.423822732351533</v>
      </c>
      <c r="AC602" s="260">
        <v>-2.3814289673176314</v>
      </c>
      <c r="AD602" s="405">
        <v>0</v>
      </c>
      <c r="AE602" s="257" t="s">
        <v>2229</v>
      </c>
      <c r="AF602" s="257" t="s">
        <v>2109</v>
      </c>
      <c r="AG602" s="261" t="s">
        <v>1432</v>
      </c>
      <c r="AH602" s="261" t="s">
        <v>2113</v>
      </c>
      <c r="AI602" s="261">
        <v>1000</v>
      </c>
      <c r="AJ602" s="261">
        <v>100</v>
      </c>
      <c r="AK602" s="261">
        <v>0</v>
      </c>
      <c r="AL602" s="256">
        <v>7.1999999999999998E-3</v>
      </c>
      <c r="AM602" s="256" t="s">
        <v>34</v>
      </c>
      <c r="AN602" s="256" t="s">
        <v>2127</v>
      </c>
      <c r="AO602" s="254" t="s">
        <v>1324</v>
      </c>
      <c r="AP602" s="257" t="s">
        <v>13</v>
      </c>
      <c r="AQ602" s="263" t="s">
        <v>668</v>
      </c>
      <c r="AR602" s="256">
        <v>2.3997599999999999E-3</v>
      </c>
      <c r="AS602" s="256">
        <v>2.3997599999999999E-3</v>
      </c>
      <c r="AT602" s="256"/>
      <c r="AX602" s="508"/>
      <c r="AY602" s="509"/>
      <c r="AZ602" s="509"/>
      <c r="BA602" s="509"/>
      <c r="BB602" s="510"/>
      <c r="BC602" s="509"/>
      <c r="BD602" s="509"/>
      <c r="BE602" s="509"/>
      <c r="BF602" s="509"/>
      <c r="BG602" s="510"/>
      <c r="BH602" s="510"/>
      <c r="BI602" s="511"/>
      <c r="BJ602" s="511"/>
      <c r="BK602" s="511"/>
      <c r="BL602" s="510"/>
      <c r="BM602" s="510"/>
      <c r="BN602" s="510"/>
      <c r="BO602" s="510"/>
      <c r="BP602" s="510"/>
      <c r="BQ602" s="510"/>
      <c r="BR602" s="510"/>
      <c r="BS602" s="510"/>
      <c r="BT602" s="513"/>
      <c r="BU602" s="514"/>
      <c r="BV602" s="512"/>
      <c r="BW602" s="515"/>
    </row>
    <row r="603" spans="2:75" ht="15.75" customHeight="1">
      <c r="B603" s="250" t="s">
        <v>1267</v>
      </c>
      <c r="C603" s="251">
        <v>44209661000105</v>
      </c>
      <c r="D603" s="252" t="s">
        <v>14</v>
      </c>
      <c r="E603" s="252" t="s">
        <v>607</v>
      </c>
      <c r="F603" s="252" t="s">
        <v>860</v>
      </c>
      <c r="G603" s="253"/>
      <c r="H603" s="253" t="s">
        <v>34</v>
      </c>
      <c r="I603" s="253" t="s">
        <v>34</v>
      </c>
      <c r="J603" s="253" t="s">
        <v>611</v>
      </c>
      <c r="K603" s="254" t="s">
        <v>48</v>
      </c>
      <c r="L603" s="255"/>
      <c r="M603" s="255" t="s">
        <v>1414</v>
      </c>
      <c r="N603" s="254">
        <v>626112</v>
      </c>
      <c r="O603" s="254" t="s">
        <v>1321</v>
      </c>
      <c r="P603" s="258">
        <v>44530</v>
      </c>
      <c r="Q603" s="259">
        <v>30442052.780000001</v>
      </c>
      <c r="R603" s="259" t="s">
        <v>1417</v>
      </c>
      <c r="S603" s="254">
        <v>12</v>
      </c>
      <c r="T603" s="256">
        <v>-0.52169925357127445</v>
      </c>
      <c r="U603" s="256">
        <v>-6.7441080768898711</v>
      </c>
      <c r="V603" s="256" t="s">
        <v>1417</v>
      </c>
      <c r="W603" s="256" t="s">
        <v>1417</v>
      </c>
      <c r="X603" s="256" t="s">
        <v>1417</v>
      </c>
      <c r="Y603" s="256" t="s">
        <v>1417</v>
      </c>
      <c r="Z603" s="256" t="s">
        <v>1417</v>
      </c>
      <c r="AA603" s="256" t="s">
        <v>1417</v>
      </c>
      <c r="AB603" s="256" t="s">
        <v>1417</v>
      </c>
      <c r="AC603" s="260" t="s">
        <v>1417</v>
      </c>
      <c r="AD603" s="405">
        <v>0</v>
      </c>
      <c r="AE603" s="257" t="s">
        <v>2229</v>
      </c>
      <c r="AF603" s="257" t="s">
        <v>2109</v>
      </c>
      <c r="AG603" s="261" t="s">
        <v>1432</v>
      </c>
      <c r="AH603" s="261" t="s">
        <v>2113</v>
      </c>
      <c r="AI603" s="261">
        <v>1000</v>
      </c>
      <c r="AJ603" s="261">
        <v>100</v>
      </c>
      <c r="AK603" s="261">
        <v>100</v>
      </c>
      <c r="AL603" s="256">
        <v>9.0000000000000011E-3</v>
      </c>
      <c r="AM603" s="256">
        <v>0.1</v>
      </c>
      <c r="AN603" s="256" t="s">
        <v>2127</v>
      </c>
      <c r="AO603" s="254" t="s">
        <v>1324</v>
      </c>
      <c r="AP603" s="257" t="s">
        <v>716</v>
      </c>
      <c r="AQ603" s="263" t="s">
        <v>659</v>
      </c>
      <c r="AR603" s="256">
        <v>2.9996999999999997E-3</v>
      </c>
      <c r="AS603" s="256">
        <v>2.9996999999999997E-3</v>
      </c>
      <c r="AT603" s="256"/>
      <c r="AW603" s="508"/>
      <c r="AX603" s="508"/>
      <c r="AY603" s="509"/>
      <c r="AZ603" s="509"/>
      <c r="BA603" s="509"/>
      <c r="BB603" s="510"/>
      <c r="BC603" s="509"/>
      <c r="BD603" s="509"/>
      <c r="BE603" s="509"/>
      <c r="BF603" s="509"/>
      <c r="BG603" s="510"/>
      <c r="BH603" s="510"/>
      <c r="BI603" s="511"/>
      <c r="BJ603" s="511"/>
      <c r="BK603" s="511"/>
      <c r="BL603" s="195"/>
      <c r="BM603" s="510"/>
      <c r="BN603" s="510"/>
      <c r="BO603" s="510"/>
      <c r="BP603" s="510"/>
      <c r="BQ603" s="510"/>
      <c r="BR603" s="510"/>
      <c r="BS603" s="510"/>
      <c r="BT603" s="513"/>
      <c r="BU603" s="514"/>
      <c r="BV603" s="512"/>
      <c r="BW603" s="515"/>
    </row>
    <row r="604" spans="2:75" ht="15.75" customHeight="1">
      <c r="B604" s="250" t="s">
        <v>509</v>
      </c>
      <c r="C604" s="251">
        <v>39456513000147</v>
      </c>
      <c r="D604" s="252" t="s">
        <v>14</v>
      </c>
      <c r="E604" s="252" t="s">
        <v>607</v>
      </c>
      <c r="F604" s="252" t="s">
        <v>860</v>
      </c>
      <c r="G604" s="253" t="s">
        <v>866</v>
      </c>
      <c r="H604" s="253" t="s">
        <v>34</v>
      </c>
      <c r="I604" s="253" t="s">
        <v>34</v>
      </c>
      <c r="J604" s="253" t="s">
        <v>611</v>
      </c>
      <c r="K604" s="254"/>
      <c r="L604" s="255"/>
      <c r="M604" s="255" t="s">
        <v>1414</v>
      </c>
      <c r="N604" s="254">
        <v>560189</v>
      </c>
      <c r="O604" s="254" t="s">
        <v>1321</v>
      </c>
      <c r="P604" s="258">
        <v>44146</v>
      </c>
      <c r="Q604" s="259">
        <v>9222899.1300000008</v>
      </c>
      <c r="R604" s="259">
        <v>16379094.668888895</v>
      </c>
      <c r="S604" s="254">
        <v>12</v>
      </c>
      <c r="T604" s="256">
        <v>-0.36568136277648333</v>
      </c>
      <c r="U604" s="256">
        <v>-4.7272343508002459</v>
      </c>
      <c r="V604" s="256">
        <v>-0.40412148209259469</v>
      </c>
      <c r="W604" s="256">
        <v>-3.961741799769777</v>
      </c>
      <c r="X604" s="256" t="s">
        <v>1417</v>
      </c>
      <c r="Y604" s="256" t="s">
        <v>1417</v>
      </c>
      <c r="Z604" s="256" t="s">
        <v>1417</v>
      </c>
      <c r="AA604" s="256" t="s">
        <v>1417</v>
      </c>
      <c r="AB604" s="256">
        <v>0.31465595547993408</v>
      </c>
      <c r="AC604" s="260">
        <v>-1.796044667720027</v>
      </c>
      <c r="AD604" s="405">
        <v>0</v>
      </c>
      <c r="AE604" s="257" t="s">
        <v>2229</v>
      </c>
      <c r="AF604" s="257" t="s">
        <v>2109</v>
      </c>
      <c r="AG604" s="261" t="s">
        <v>1432</v>
      </c>
      <c r="AH604" s="261" t="s">
        <v>2113</v>
      </c>
      <c r="AI604" s="261">
        <v>0</v>
      </c>
      <c r="AJ604" s="261">
        <v>0</v>
      </c>
      <c r="AK604" s="261">
        <v>0</v>
      </c>
      <c r="AL604" s="256">
        <v>9.0000000000000011E-3</v>
      </c>
      <c r="AM604" s="256" t="s">
        <v>34</v>
      </c>
      <c r="AN604" s="256" t="s">
        <v>34</v>
      </c>
      <c r="AO604" s="254" t="s">
        <v>1324</v>
      </c>
      <c r="AP604" s="257" t="s">
        <v>716</v>
      </c>
      <c r="AQ604" s="263" t="s">
        <v>659</v>
      </c>
      <c r="AR604" s="256">
        <v>2.9996999999999997E-3</v>
      </c>
      <c r="AS604" s="256">
        <v>2.9996999999999997E-3</v>
      </c>
      <c r="AT604" s="256"/>
      <c r="AX604" s="508"/>
      <c r="AY604" s="509"/>
      <c r="AZ604" s="509"/>
      <c r="BA604" s="509"/>
      <c r="BB604" s="510"/>
      <c r="BC604" s="509"/>
      <c r="BD604" s="509"/>
      <c r="BE604" s="509"/>
      <c r="BF604" s="509"/>
      <c r="BG604" s="510"/>
      <c r="BH604" s="510"/>
      <c r="BI604" s="511"/>
      <c r="BJ604" s="511"/>
      <c r="BK604" s="511"/>
      <c r="BL604" s="510"/>
      <c r="BM604" s="510"/>
      <c r="BN604" s="510"/>
      <c r="BO604" s="510"/>
      <c r="BP604" s="510"/>
      <c r="BQ604" s="510"/>
      <c r="BR604" s="510"/>
      <c r="BS604" s="510"/>
      <c r="BT604" s="513"/>
      <c r="BU604" s="514"/>
      <c r="BV604" s="512"/>
      <c r="BW604" s="515"/>
    </row>
    <row r="605" spans="2:75" ht="15.75" customHeight="1">
      <c r="B605" s="250" t="s">
        <v>739</v>
      </c>
      <c r="C605" s="251">
        <v>11209172000196</v>
      </c>
      <c r="D605" s="252" t="s">
        <v>14</v>
      </c>
      <c r="E605" s="252" t="s">
        <v>607</v>
      </c>
      <c r="F605" s="252"/>
      <c r="G605" s="253"/>
      <c r="H605" s="253" t="s">
        <v>34</v>
      </c>
      <c r="I605" s="253" t="s">
        <v>34</v>
      </c>
      <c r="J605" s="253" t="s">
        <v>608</v>
      </c>
      <c r="K605" s="254" t="s">
        <v>48</v>
      </c>
      <c r="L605" s="255"/>
      <c r="M605" s="255" t="s">
        <v>34</v>
      </c>
      <c r="N605" s="254">
        <v>242322</v>
      </c>
      <c r="O605" s="254" t="s">
        <v>1321</v>
      </c>
      <c r="P605" s="258">
        <v>40210</v>
      </c>
      <c r="Q605" s="259">
        <v>76261011.790000007</v>
      </c>
      <c r="R605" s="259">
        <v>96437208.480436519</v>
      </c>
      <c r="S605" s="254">
        <v>12</v>
      </c>
      <c r="T605" s="256">
        <v>6.6962439476543567E-2</v>
      </c>
      <c r="U605" s="256">
        <v>0.86563652493382159</v>
      </c>
      <c r="V605" s="256">
        <v>-1.4365829060956403E-2</v>
      </c>
      <c r="W605" s="256">
        <v>-0.14083316032701768</v>
      </c>
      <c r="X605" s="256">
        <v>0.17821371800797303</v>
      </c>
      <c r="Y605" s="256">
        <v>1.3514269980564724</v>
      </c>
      <c r="Z605" s="256">
        <v>0.23976551585514994</v>
      </c>
      <c r="AA605" s="256">
        <v>1.3629049212866469</v>
      </c>
      <c r="AB605" s="256">
        <v>0.22724563714951851</v>
      </c>
      <c r="AC605" s="260">
        <v>-0.37789275689979374</v>
      </c>
      <c r="AD605" s="405">
        <v>0</v>
      </c>
      <c r="AE605" s="257" t="s">
        <v>2132</v>
      </c>
      <c r="AF605" s="257" t="s">
        <v>2109</v>
      </c>
      <c r="AG605" s="261" t="s">
        <v>1432</v>
      </c>
      <c r="AH605" s="261" t="s">
        <v>2113</v>
      </c>
      <c r="AI605" s="261">
        <v>1000</v>
      </c>
      <c r="AJ605" s="261">
        <v>1000</v>
      </c>
      <c r="AK605" s="261">
        <v>1000</v>
      </c>
      <c r="AL605" s="519">
        <v>0.02</v>
      </c>
      <c r="AM605" s="519">
        <v>0.15</v>
      </c>
      <c r="AN605" s="256" t="s">
        <v>34</v>
      </c>
      <c r="AO605" s="254" t="s">
        <v>1324</v>
      </c>
      <c r="AP605" s="257" t="s">
        <v>716</v>
      </c>
      <c r="AQ605" s="263" t="s">
        <v>659</v>
      </c>
      <c r="AR605" s="256">
        <v>5.3333333333333332E-3</v>
      </c>
      <c r="AS605" s="256">
        <v>5.3333333333333332E-3</v>
      </c>
      <c r="AT605" s="256"/>
      <c r="AX605" s="508"/>
      <c r="AY605" s="509"/>
      <c r="AZ605" s="509"/>
      <c r="BA605" s="509"/>
      <c r="BB605" s="510"/>
      <c r="BC605" s="509"/>
      <c r="BD605" s="509"/>
      <c r="BE605" s="509"/>
      <c r="BF605" s="509"/>
      <c r="BG605" s="510"/>
      <c r="BH605" s="510"/>
      <c r="BI605" s="511"/>
      <c r="BJ605" s="511"/>
      <c r="BK605" s="511"/>
      <c r="BL605" s="510"/>
      <c r="BM605" s="510"/>
      <c r="BN605" s="510"/>
      <c r="BO605" s="510"/>
      <c r="BP605" s="510"/>
      <c r="BQ605" s="510"/>
      <c r="BR605" s="510"/>
      <c r="BS605" s="510"/>
      <c r="BT605" s="513"/>
      <c r="BU605" s="514"/>
      <c r="BV605" s="512"/>
      <c r="BW605" s="515"/>
    </row>
    <row r="606" spans="2:75" ht="15.75" customHeight="1">
      <c r="B606" s="250" t="s">
        <v>759</v>
      </c>
      <c r="C606" s="251">
        <v>35002927000145</v>
      </c>
      <c r="D606" s="252" t="s">
        <v>14</v>
      </c>
      <c r="E606" s="252" t="s">
        <v>614</v>
      </c>
      <c r="F606" s="252"/>
      <c r="G606" s="253"/>
      <c r="H606" s="253" t="s">
        <v>865</v>
      </c>
      <c r="I606" s="253" t="s">
        <v>34</v>
      </c>
      <c r="J606" s="253" t="s">
        <v>611</v>
      </c>
      <c r="K606" s="254" t="s">
        <v>48</v>
      </c>
      <c r="L606" s="255"/>
      <c r="M606" s="255" t="s">
        <v>34</v>
      </c>
      <c r="N606" s="254">
        <v>527882</v>
      </c>
      <c r="O606" s="254" t="s">
        <v>1321</v>
      </c>
      <c r="P606" s="258">
        <v>43881</v>
      </c>
      <c r="Q606" s="259">
        <v>9985111.5600000005</v>
      </c>
      <c r="R606" s="259">
        <v>18888344.317063492</v>
      </c>
      <c r="S606" s="254">
        <v>12</v>
      </c>
      <c r="T606" s="256">
        <v>-2.9161704621655793E-2</v>
      </c>
      <c r="U606" s="256">
        <v>-0.37697904746554622</v>
      </c>
      <c r="V606" s="256">
        <v>6.2891518732216767E-2</v>
      </c>
      <c r="W606" s="256">
        <v>0.6165471761665422</v>
      </c>
      <c r="X606" s="256">
        <v>0.20794845182069555</v>
      </c>
      <c r="Y606" s="256">
        <v>1.5769108861864427</v>
      </c>
      <c r="Z606" s="256" t="s">
        <v>1417</v>
      </c>
      <c r="AA606" s="256" t="s">
        <v>1417</v>
      </c>
      <c r="AB606" s="256">
        <v>0.14739426522801771</v>
      </c>
      <c r="AC606" s="260">
        <v>-0.17167963591047689</v>
      </c>
      <c r="AD606" s="405">
        <v>34979903000188</v>
      </c>
      <c r="AE606" s="257" t="s">
        <v>2144</v>
      </c>
      <c r="AF606" s="257" t="s">
        <v>2109</v>
      </c>
      <c r="AG606" s="261" t="s">
        <v>1432</v>
      </c>
      <c r="AH606" s="261" t="s">
        <v>2110</v>
      </c>
      <c r="AI606" s="261">
        <v>5000</v>
      </c>
      <c r="AJ606" s="261">
        <v>5000</v>
      </c>
      <c r="AK606" s="261">
        <v>5000</v>
      </c>
      <c r="AL606" s="519">
        <v>8.0000000000000002E-3</v>
      </c>
      <c r="AM606" s="519" t="s">
        <v>34</v>
      </c>
      <c r="AN606" s="256" t="s">
        <v>34</v>
      </c>
      <c r="AO606" s="254" t="s">
        <v>1324</v>
      </c>
      <c r="AP606" s="257" t="s">
        <v>13</v>
      </c>
      <c r="AQ606" s="263" t="s">
        <v>679</v>
      </c>
      <c r="AR606" s="256">
        <v>6.4000000000000003E-3</v>
      </c>
      <c r="AS606" s="256">
        <v>6.4000000000000003E-3</v>
      </c>
      <c r="AT606" s="256"/>
      <c r="AX606" s="508"/>
      <c r="AY606" s="509"/>
      <c r="AZ606" s="509"/>
      <c r="BA606" s="509"/>
      <c r="BB606" s="510"/>
      <c r="BC606" s="509"/>
      <c r="BD606" s="509"/>
      <c r="BE606" s="509"/>
      <c r="BF606" s="509"/>
      <c r="BG606" s="510"/>
      <c r="BH606" s="510"/>
      <c r="BI606" s="511"/>
      <c r="BJ606" s="511"/>
      <c r="BK606" s="511"/>
      <c r="BL606" s="510"/>
      <c r="BM606" s="510"/>
      <c r="BN606" s="510"/>
      <c r="BO606" s="510"/>
      <c r="BP606" s="510"/>
      <c r="BQ606" s="510"/>
      <c r="BR606" s="510"/>
      <c r="BS606" s="510"/>
      <c r="BT606" s="513"/>
      <c r="BU606" s="514"/>
      <c r="BV606" s="512"/>
      <c r="BW606" s="515"/>
    </row>
    <row r="607" spans="2:75" ht="15.75" customHeight="1">
      <c r="B607" s="250" t="s">
        <v>1496</v>
      </c>
      <c r="C607" s="251">
        <v>31848081000108</v>
      </c>
      <c r="D607" s="252" t="s">
        <v>14</v>
      </c>
      <c r="E607" s="252" t="s">
        <v>607</v>
      </c>
      <c r="F607" s="252"/>
      <c r="G607" s="253"/>
      <c r="H607" s="253" t="s">
        <v>34</v>
      </c>
      <c r="I607" s="253" t="s">
        <v>34</v>
      </c>
      <c r="J607" s="253" t="s">
        <v>608</v>
      </c>
      <c r="K607" s="254" t="s">
        <v>48</v>
      </c>
      <c r="L607" s="255"/>
      <c r="M607" s="255"/>
      <c r="N607" s="254">
        <v>484156</v>
      </c>
      <c r="O607" s="254" t="s">
        <v>1324</v>
      </c>
      <c r="P607" s="258">
        <v>43447</v>
      </c>
      <c r="Q607" s="259" t="s">
        <v>1393</v>
      </c>
      <c r="R607" s="259" t="s">
        <v>1417</v>
      </c>
      <c r="S607" s="254">
        <v>12</v>
      </c>
      <c r="T607" s="256" t="s">
        <v>1417</v>
      </c>
      <c r="U607" s="256" t="s">
        <v>1417</v>
      </c>
      <c r="V607" s="256" t="s">
        <v>1417</v>
      </c>
      <c r="W607" s="256" t="s">
        <v>1417</v>
      </c>
      <c r="X607" s="256" t="s">
        <v>1417</v>
      </c>
      <c r="Y607" s="256" t="s">
        <v>1417</v>
      </c>
      <c r="Z607" s="256" t="s">
        <v>1417</v>
      </c>
      <c r="AA607" s="256" t="s">
        <v>1417</v>
      </c>
      <c r="AB607" s="256" t="s">
        <v>1417</v>
      </c>
      <c r="AC607" s="260" t="s">
        <v>1417</v>
      </c>
      <c r="AD607" s="405">
        <v>0</v>
      </c>
      <c r="AE607" s="257" t="s">
        <v>2155</v>
      </c>
      <c r="AF607" s="257" t="s">
        <v>761</v>
      </c>
      <c r="AG607" s="261" t="s">
        <v>761</v>
      </c>
      <c r="AH607" s="261" t="s">
        <v>2113</v>
      </c>
      <c r="AI607" s="261">
        <v>100</v>
      </c>
      <c r="AJ607" s="261">
        <v>100</v>
      </c>
      <c r="AK607" s="261">
        <v>100</v>
      </c>
      <c r="AL607" s="519">
        <v>0.02</v>
      </c>
      <c r="AM607" s="519">
        <v>0.2</v>
      </c>
      <c r="AN607" s="256" t="s">
        <v>666</v>
      </c>
      <c r="AO607" s="254" t="s">
        <v>1324</v>
      </c>
      <c r="AP607" s="257" t="s">
        <v>716</v>
      </c>
      <c r="AQ607" s="263" t="s">
        <v>659</v>
      </c>
      <c r="AR607" s="256">
        <v>5.3333333333333332E-3</v>
      </c>
      <c r="AS607" s="256">
        <v>5.3333333333333332E-3</v>
      </c>
      <c r="AT607" s="256"/>
      <c r="AX607" s="508"/>
      <c r="AY607" s="509"/>
      <c r="AZ607" s="509"/>
      <c r="BA607" s="509"/>
      <c r="BB607" s="510"/>
      <c r="BC607" s="509"/>
      <c r="BD607" s="509"/>
      <c r="BE607" s="509"/>
      <c r="BF607" s="509"/>
      <c r="BG607" s="510"/>
      <c r="BH607" s="510"/>
      <c r="BI607" s="511"/>
      <c r="BJ607" s="511"/>
      <c r="BK607" s="511"/>
      <c r="BL607" s="510"/>
      <c r="BM607" s="510"/>
      <c r="BN607" s="510"/>
      <c r="BO607" s="510"/>
      <c r="BP607" s="510"/>
      <c r="BQ607" s="510"/>
      <c r="BR607" s="510"/>
      <c r="BS607" s="510"/>
      <c r="BT607" s="513"/>
      <c r="BU607" s="514"/>
      <c r="BV607" s="512"/>
      <c r="BW607" s="515"/>
    </row>
    <row r="608" spans="2:75" ht="15.75" customHeight="1">
      <c r="B608" s="250" t="s">
        <v>104</v>
      </c>
      <c r="C608" s="251">
        <v>32065814000109</v>
      </c>
      <c r="D608" s="252" t="s">
        <v>14</v>
      </c>
      <c r="E608" s="252" t="s">
        <v>607</v>
      </c>
      <c r="F608" s="252"/>
      <c r="G608" s="253"/>
      <c r="H608" s="253" t="s">
        <v>34</v>
      </c>
      <c r="I608" s="253" t="s">
        <v>34</v>
      </c>
      <c r="J608" s="253" t="s">
        <v>608</v>
      </c>
      <c r="K608" s="254" t="s">
        <v>48</v>
      </c>
      <c r="L608" s="255"/>
      <c r="M608" s="255" t="s">
        <v>34</v>
      </c>
      <c r="N608" s="254">
        <v>506060</v>
      </c>
      <c r="O608" s="254" t="s">
        <v>1321</v>
      </c>
      <c r="P608" s="258">
        <v>43682</v>
      </c>
      <c r="Q608" s="259">
        <v>72848305.730000004</v>
      </c>
      <c r="R608" s="259">
        <v>55482109.938134894</v>
      </c>
      <c r="S608" s="254">
        <v>12</v>
      </c>
      <c r="T608" s="256">
        <v>3.1940331513662379E-2</v>
      </c>
      <c r="U608" s="256">
        <v>0.41289889963471338</v>
      </c>
      <c r="V608" s="256">
        <v>-7.5376734947476876E-2</v>
      </c>
      <c r="W608" s="256">
        <v>-0.73894404233419142</v>
      </c>
      <c r="X608" s="256">
        <v>0.2919410227047996</v>
      </c>
      <c r="Y608" s="256">
        <v>2.2138418093372181</v>
      </c>
      <c r="Z608" s="256">
        <v>0.65004972815509254</v>
      </c>
      <c r="AA608" s="256">
        <v>3.6950933933254064</v>
      </c>
      <c r="AB608" s="256">
        <v>0.17770152823192234</v>
      </c>
      <c r="AC608" s="260">
        <v>-0.89875380426957141</v>
      </c>
      <c r="AD608" s="405">
        <v>0</v>
      </c>
      <c r="AE608" s="257" t="s">
        <v>2163</v>
      </c>
      <c r="AF608" s="257" t="s">
        <v>2109</v>
      </c>
      <c r="AG608" s="261" t="s">
        <v>1432</v>
      </c>
      <c r="AH608" s="261" t="s">
        <v>2113</v>
      </c>
      <c r="AI608" s="261">
        <v>1000</v>
      </c>
      <c r="AJ608" s="261">
        <v>1000</v>
      </c>
      <c r="AK608" s="261">
        <v>1000</v>
      </c>
      <c r="AL608" s="519">
        <v>0.02</v>
      </c>
      <c r="AM608" s="519">
        <v>0.2</v>
      </c>
      <c r="AN608" s="256" t="s">
        <v>2127</v>
      </c>
      <c r="AO608" s="254" t="s">
        <v>1324</v>
      </c>
      <c r="AP608" s="257" t="s">
        <v>716</v>
      </c>
      <c r="AQ608" s="263" t="s">
        <v>659</v>
      </c>
      <c r="AR608" s="256">
        <v>6.6666666666666662E-3</v>
      </c>
      <c r="AS608" s="256">
        <v>6.6666666666666662E-3</v>
      </c>
      <c r="AT608" s="256"/>
      <c r="AX608" s="508"/>
      <c r="AY608" s="509"/>
      <c r="AZ608" s="509"/>
      <c r="BA608" s="509"/>
      <c r="BB608" s="510"/>
      <c r="BC608" s="509"/>
      <c r="BD608" s="509"/>
      <c r="BE608" s="509"/>
      <c r="BF608" s="509"/>
      <c r="BG608" s="510"/>
      <c r="BH608" s="510"/>
      <c r="BI608" s="511"/>
      <c r="BJ608" s="511"/>
      <c r="BK608" s="511"/>
      <c r="BL608" s="510"/>
      <c r="BM608" s="510"/>
      <c r="BN608" s="510"/>
      <c r="BO608" s="510"/>
      <c r="BP608" s="510"/>
      <c r="BQ608" s="510"/>
      <c r="BR608" s="510"/>
      <c r="BS608" s="510"/>
      <c r="BT608" s="513"/>
      <c r="BU608" s="514"/>
      <c r="BV608" s="512"/>
      <c r="BW608" s="515"/>
    </row>
    <row r="609" spans="2:75" ht="15.75" customHeight="1">
      <c r="B609" s="250" t="s">
        <v>818</v>
      </c>
      <c r="C609" s="251">
        <v>34054867000141</v>
      </c>
      <c r="D609" s="252" t="s">
        <v>14</v>
      </c>
      <c r="E609" s="252" t="s">
        <v>607</v>
      </c>
      <c r="F609" s="252"/>
      <c r="G609" s="253"/>
      <c r="H609" s="253" t="s">
        <v>34</v>
      </c>
      <c r="I609" s="253" t="s">
        <v>34</v>
      </c>
      <c r="J609" s="253" t="s">
        <v>608</v>
      </c>
      <c r="K609" s="254" t="s">
        <v>48</v>
      </c>
      <c r="L609" s="255"/>
      <c r="M609" s="255" t="s">
        <v>34</v>
      </c>
      <c r="N609" s="254">
        <v>508608</v>
      </c>
      <c r="O609" s="254" t="s">
        <v>1321</v>
      </c>
      <c r="P609" s="258">
        <v>43738</v>
      </c>
      <c r="Q609" s="259">
        <v>11049965.82</v>
      </c>
      <c r="R609" s="259">
        <v>11654609.607539693</v>
      </c>
      <c r="S609" s="254">
        <v>12</v>
      </c>
      <c r="T609" s="256">
        <v>-3.7863767956039518E-2</v>
      </c>
      <c r="U609" s="256">
        <v>-0.48947231866975083</v>
      </c>
      <c r="V609" s="256">
        <v>-0.16072277280671388</v>
      </c>
      <c r="W609" s="256">
        <v>-1.5756205879136251</v>
      </c>
      <c r="X609" s="256">
        <v>2.0478210927953544E-2</v>
      </c>
      <c r="Y609" s="256">
        <v>0.15528999354972986</v>
      </c>
      <c r="Z609" s="256" t="s">
        <v>1417</v>
      </c>
      <c r="AA609" s="256" t="s">
        <v>1417</v>
      </c>
      <c r="AB609" s="256">
        <v>0.25713827188006133</v>
      </c>
      <c r="AC609" s="260">
        <v>-0.93051412012709223</v>
      </c>
      <c r="AD609" s="405">
        <v>16880814000106</v>
      </c>
      <c r="AE609" s="257" t="s">
        <v>2179</v>
      </c>
      <c r="AF609" s="257" t="s">
        <v>2115</v>
      </c>
      <c r="AG609" s="261" t="s">
        <v>719</v>
      </c>
      <c r="AH609" s="261" t="s">
        <v>2113</v>
      </c>
      <c r="AI609" s="261">
        <v>100</v>
      </c>
      <c r="AJ609" s="261">
        <v>100</v>
      </c>
      <c r="AK609" s="261">
        <v>100</v>
      </c>
      <c r="AL609" s="256">
        <v>1.4999999999999999E-2</v>
      </c>
      <c r="AM609" s="256">
        <v>0.2</v>
      </c>
      <c r="AN609" s="256" t="s">
        <v>2122</v>
      </c>
      <c r="AO609" s="254" t="s">
        <v>1324</v>
      </c>
      <c r="AP609" s="257" t="s">
        <v>716</v>
      </c>
      <c r="AQ609" s="263" t="s">
        <v>681</v>
      </c>
      <c r="AR609" s="256">
        <v>4.0000000000000001E-3</v>
      </c>
      <c r="AS609" s="256">
        <v>4.0000000000000001E-3</v>
      </c>
      <c r="AT609" s="256"/>
      <c r="AX609" s="508"/>
      <c r="AY609" s="509"/>
      <c r="AZ609" s="509"/>
      <c r="BA609" s="509"/>
      <c r="BB609" s="510"/>
      <c r="BC609" s="509"/>
      <c r="BD609" s="509"/>
      <c r="BE609" s="509"/>
      <c r="BF609" s="509"/>
      <c r="BG609" s="510"/>
      <c r="BH609" s="510"/>
      <c r="BI609" s="511"/>
      <c r="BJ609" s="511"/>
      <c r="BK609" s="511"/>
      <c r="BL609" s="510"/>
      <c r="BM609" s="510"/>
      <c r="BN609" s="510"/>
      <c r="BO609" s="510"/>
      <c r="BP609" s="510"/>
      <c r="BQ609" s="510"/>
      <c r="BR609" s="510"/>
      <c r="BS609" s="510"/>
      <c r="BT609" s="513"/>
      <c r="BU609" s="514"/>
      <c r="BV609" s="512"/>
      <c r="BW609" s="515"/>
    </row>
    <row r="610" spans="2:75" ht="15.75" customHeight="1">
      <c r="B610" s="250" t="s">
        <v>1557</v>
      </c>
      <c r="C610" s="251">
        <v>31525297000132</v>
      </c>
      <c r="D610" s="252" t="s">
        <v>14</v>
      </c>
      <c r="E610" s="252" t="s">
        <v>614</v>
      </c>
      <c r="F610" s="252"/>
      <c r="G610" s="253"/>
      <c r="H610" s="253" t="s">
        <v>865</v>
      </c>
      <c r="I610" s="253" t="s">
        <v>34</v>
      </c>
      <c r="J610" s="253" t="s">
        <v>608</v>
      </c>
      <c r="K610" s="254" t="s">
        <v>48</v>
      </c>
      <c r="L610" s="255"/>
      <c r="M610" s="255"/>
      <c r="N610" s="254">
        <v>520136</v>
      </c>
      <c r="O610" s="254" t="s">
        <v>1321</v>
      </c>
      <c r="P610" s="258">
        <v>43829</v>
      </c>
      <c r="Q610" s="259">
        <v>22207034.550000001</v>
      </c>
      <c r="R610" s="259">
        <v>24971312.951309524</v>
      </c>
      <c r="S610" s="254">
        <v>12</v>
      </c>
      <c r="T610" s="256">
        <v>6.8490850976097084E-2</v>
      </c>
      <c r="U610" s="256">
        <v>0.77037916883266322</v>
      </c>
      <c r="V610" s="256">
        <v>2.9078452489504469E-2</v>
      </c>
      <c r="W610" s="256">
        <v>0.2668735580245003</v>
      </c>
      <c r="X610" s="256">
        <v>0.14038253354330421</v>
      </c>
      <c r="Y610" s="256">
        <v>0.98714055854938376</v>
      </c>
      <c r="Z610" s="256" t="s">
        <v>1417</v>
      </c>
      <c r="AA610" s="256" t="s">
        <v>1417</v>
      </c>
      <c r="AB610" s="256">
        <v>0.16683837231233903</v>
      </c>
      <c r="AC610" s="260">
        <v>-0.36507826587520492</v>
      </c>
      <c r="AD610" s="405">
        <v>35625272000161</v>
      </c>
      <c r="AE610" s="257" t="s">
        <v>1547</v>
      </c>
      <c r="AF610" s="257" t="s">
        <v>2121</v>
      </c>
      <c r="AG610" s="261" t="s">
        <v>59</v>
      </c>
      <c r="AH610" s="261" t="s">
        <v>2131</v>
      </c>
      <c r="AI610" s="261">
        <v>100000</v>
      </c>
      <c r="AJ610" s="261">
        <v>50000</v>
      </c>
      <c r="AK610" s="261">
        <v>100000</v>
      </c>
      <c r="AL610" s="256">
        <v>0</v>
      </c>
      <c r="AM610" s="256" t="s">
        <v>34</v>
      </c>
      <c r="AN610" s="256" t="s">
        <v>2141</v>
      </c>
      <c r="AO610" s="254" t="s">
        <v>1324</v>
      </c>
      <c r="AP610" s="257" t="s">
        <v>716</v>
      </c>
      <c r="AQ610" s="263" t="s">
        <v>659</v>
      </c>
      <c r="AR610" s="256" t="s">
        <v>34</v>
      </c>
      <c r="AS610" s="256" t="s">
        <v>34</v>
      </c>
      <c r="AT610" s="256"/>
      <c r="AX610" s="508"/>
      <c r="AY610" s="509"/>
      <c r="AZ610" s="509"/>
      <c r="BA610" s="509"/>
      <c r="BB610" s="510"/>
      <c r="BC610" s="509"/>
      <c r="BD610" s="509"/>
      <c r="BE610" s="509"/>
      <c r="BF610" s="509"/>
      <c r="BG610" s="510"/>
      <c r="BH610" s="510"/>
      <c r="BI610" s="511"/>
      <c r="BJ610" s="511"/>
      <c r="BK610" s="511"/>
      <c r="BL610" s="510"/>
      <c r="BM610" s="510"/>
      <c r="BN610" s="510"/>
      <c r="BO610" s="510"/>
      <c r="BP610" s="510"/>
      <c r="BQ610" s="510"/>
      <c r="BR610" s="510"/>
      <c r="BS610" s="510"/>
      <c r="BT610" s="513"/>
      <c r="BU610" s="514"/>
      <c r="BV610" s="512"/>
      <c r="BW610" s="515"/>
    </row>
    <row r="611" spans="2:75" ht="15.75" customHeight="1">
      <c r="B611" s="250" t="s">
        <v>567</v>
      </c>
      <c r="C611" s="251">
        <v>33378392000186</v>
      </c>
      <c r="D611" s="252" t="s">
        <v>14</v>
      </c>
      <c r="E611" s="252" t="s">
        <v>614</v>
      </c>
      <c r="F611" s="252"/>
      <c r="G611" s="253"/>
      <c r="H611" s="253" t="s">
        <v>865</v>
      </c>
      <c r="I611" s="253" t="s">
        <v>34</v>
      </c>
      <c r="J611" s="253" t="s">
        <v>608</v>
      </c>
      <c r="K611" s="254" t="s">
        <v>48</v>
      </c>
      <c r="L611" s="255"/>
      <c r="M611" s="255" t="s">
        <v>34</v>
      </c>
      <c r="N611" s="254">
        <v>505307</v>
      </c>
      <c r="O611" s="254" t="s">
        <v>1321</v>
      </c>
      <c r="P611" s="258">
        <v>43703</v>
      </c>
      <c r="Q611" s="259">
        <v>37030660.82</v>
      </c>
      <c r="R611" s="259">
        <v>42439117.729285702</v>
      </c>
      <c r="S611" s="254">
        <v>12</v>
      </c>
      <c r="T611" s="256">
        <v>4.1567395529460427E-3</v>
      </c>
      <c r="U611" s="256">
        <v>5.3734983519045931E-2</v>
      </c>
      <c r="V611" s="256">
        <v>-3.0704270361027852E-2</v>
      </c>
      <c r="W611" s="256">
        <v>-0.30100451649052617</v>
      </c>
      <c r="X611" s="256">
        <v>0.24430167356173538</v>
      </c>
      <c r="Y611" s="256">
        <v>1.852583970595</v>
      </c>
      <c r="Z611" s="256">
        <v>0.40507186285480445</v>
      </c>
      <c r="AA611" s="256">
        <v>2.3025597880100848</v>
      </c>
      <c r="AB611" s="256">
        <v>0.13129046541406419</v>
      </c>
      <c r="AC611" s="260">
        <v>-0.91189855070935333</v>
      </c>
      <c r="AD611" s="405">
        <v>0</v>
      </c>
      <c r="AE611" s="257" t="s">
        <v>2293</v>
      </c>
      <c r="AF611" s="257" t="s">
        <v>2118</v>
      </c>
      <c r="AG611" s="261" t="s">
        <v>1433</v>
      </c>
      <c r="AH611" s="261" t="s">
        <v>2113</v>
      </c>
      <c r="AI611" s="261">
        <v>20000</v>
      </c>
      <c r="AJ611" s="261">
        <v>5000</v>
      </c>
      <c r="AK611" s="261">
        <v>20000</v>
      </c>
      <c r="AL611" s="256">
        <v>1.7500000000000002E-2</v>
      </c>
      <c r="AM611" s="256">
        <v>0.2</v>
      </c>
      <c r="AN611" s="256" t="s">
        <v>64</v>
      </c>
      <c r="AO611" s="254" t="s">
        <v>1324</v>
      </c>
      <c r="AP611" s="257" t="s">
        <v>13</v>
      </c>
      <c r="AQ611" s="263" t="s">
        <v>668</v>
      </c>
      <c r="AR611" s="256">
        <v>4.6666666666666671E-3</v>
      </c>
      <c r="AS611" s="256">
        <v>4.6666666666666671E-3</v>
      </c>
      <c r="AT611" s="256"/>
      <c r="AX611" s="508"/>
      <c r="AY611" s="509"/>
      <c r="AZ611" s="509"/>
      <c r="BA611" s="509"/>
      <c r="BB611" s="510"/>
      <c r="BC611" s="509"/>
      <c r="BD611" s="509"/>
      <c r="BE611" s="509"/>
      <c r="BF611" s="509"/>
      <c r="BG611" s="510"/>
      <c r="BH611" s="510"/>
      <c r="BI611" s="511"/>
      <c r="BJ611" s="511"/>
      <c r="BK611" s="511"/>
      <c r="BL611" s="510"/>
      <c r="BM611" s="510"/>
      <c r="BN611" s="510"/>
      <c r="BO611" s="510"/>
      <c r="BP611" s="510"/>
      <c r="BQ611" s="510"/>
      <c r="BR611" s="510"/>
      <c r="BS611" s="510"/>
      <c r="BT611" s="513"/>
      <c r="BU611" s="514"/>
      <c r="BV611" s="512"/>
      <c r="BW611" s="515"/>
    </row>
    <row r="612" spans="2:75" ht="15.75" customHeight="1">
      <c r="B612" s="250" t="s">
        <v>1298</v>
      </c>
      <c r="C612" s="251">
        <v>31848144000126</v>
      </c>
      <c r="D612" s="252" t="s">
        <v>14</v>
      </c>
      <c r="E612" s="252" t="s">
        <v>607</v>
      </c>
      <c r="F612" s="252"/>
      <c r="G612" s="253"/>
      <c r="H612" s="253" t="s">
        <v>34</v>
      </c>
      <c r="I612" s="253" t="s">
        <v>34</v>
      </c>
      <c r="J612" s="253" t="s">
        <v>608</v>
      </c>
      <c r="K612" s="254" t="s">
        <v>48</v>
      </c>
      <c r="L612" s="255"/>
      <c r="M612" s="255" t="s">
        <v>34</v>
      </c>
      <c r="N612" s="254">
        <v>490067</v>
      </c>
      <c r="O612" s="254" t="s">
        <v>1321</v>
      </c>
      <c r="P612" s="258">
        <v>43524</v>
      </c>
      <c r="Q612" s="259">
        <v>38400825.039999999</v>
      </c>
      <c r="R612" s="259">
        <v>33868305.694246024</v>
      </c>
      <c r="S612" s="254">
        <v>12</v>
      </c>
      <c r="T612" s="256">
        <v>0.1615775800810435</v>
      </c>
      <c r="U612" s="256">
        <v>2.0887449146407708</v>
      </c>
      <c r="V612" s="256">
        <v>0.31785968655734287</v>
      </c>
      <c r="W612" s="256">
        <v>3.1160877669141369</v>
      </c>
      <c r="X612" s="256">
        <v>0.41400612399407133</v>
      </c>
      <c r="Y612" s="256">
        <v>3.1394836468271894</v>
      </c>
      <c r="Z612" s="256">
        <v>0.47279218557528657</v>
      </c>
      <c r="AA612" s="256">
        <v>2.6875040564870587</v>
      </c>
      <c r="AB612" s="256">
        <v>0.15787420349533279</v>
      </c>
      <c r="AC612" s="260">
        <v>1.2121419153488917</v>
      </c>
      <c r="AD612" s="405">
        <v>0</v>
      </c>
      <c r="AE612" s="257" t="s">
        <v>2299</v>
      </c>
      <c r="AF612" s="257" t="s">
        <v>761</v>
      </c>
      <c r="AG612" s="261" t="s">
        <v>719</v>
      </c>
      <c r="AH612" s="261" t="s">
        <v>2110</v>
      </c>
      <c r="AI612" s="261">
        <v>10000</v>
      </c>
      <c r="AJ612" s="261">
        <v>5000</v>
      </c>
      <c r="AK612" s="261">
        <v>5000</v>
      </c>
      <c r="AL612" s="256">
        <v>0.02</v>
      </c>
      <c r="AM612" s="256">
        <v>0.2</v>
      </c>
      <c r="AN612" s="256" t="s">
        <v>666</v>
      </c>
      <c r="AO612" s="254" t="s">
        <v>1324</v>
      </c>
      <c r="AP612" s="257" t="s">
        <v>716</v>
      </c>
      <c r="AQ612" s="263" t="s">
        <v>659</v>
      </c>
      <c r="AR612" s="256">
        <v>6.6666666666666662E-3</v>
      </c>
      <c r="AS612" s="256">
        <v>6.6666666666666662E-3</v>
      </c>
      <c r="AT612" s="256"/>
      <c r="AX612" s="508"/>
      <c r="AY612" s="509"/>
      <c r="AZ612" s="509"/>
      <c r="BA612" s="509"/>
      <c r="BB612" s="510"/>
      <c r="BC612" s="509"/>
      <c r="BD612" s="509"/>
      <c r="BE612" s="509"/>
      <c r="BF612" s="509"/>
      <c r="BG612" s="510"/>
      <c r="BH612" s="510"/>
      <c r="BI612" s="511"/>
      <c r="BJ612" s="511"/>
      <c r="BK612" s="511"/>
      <c r="BL612" s="510"/>
      <c r="BM612" s="510"/>
      <c r="BN612" s="510"/>
      <c r="BO612" s="510"/>
      <c r="BP612" s="510"/>
      <c r="BQ612" s="510"/>
      <c r="BR612" s="510"/>
      <c r="BS612" s="510"/>
      <c r="BT612" s="513"/>
      <c r="BU612" s="514"/>
      <c r="BV612" s="512"/>
      <c r="BW612" s="515"/>
    </row>
    <row r="613" spans="2:75" ht="15.75" customHeight="1">
      <c r="B613" s="250" t="s">
        <v>560</v>
      </c>
      <c r="C613" s="251">
        <v>41044877000161</v>
      </c>
      <c r="D613" s="252" t="s">
        <v>14</v>
      </c>
      <c r="E613" s="252" t="s">
        <v>607</v>
      </c>
      <c r="F613" s="252"/>
      <c r="G613" s="253"/>
      <c r="H613" s="253" t="s">
        <v>34</v>
      </c>
      <c r="I613" s="253" t="s">
        <v>34</v>
      </c>
      <c r="J613" s="253" t="s">
        <v>608</v>
      </c>
      <c r="K613" s="254" t="s">
        <v>48</v>
      </c>
      <c r="L613" s="255"/>
      <c r="M613" s="255" t="s">
        <v>34</v>
      </c>
      <c r="N613" s="254">
        <v>579971</v>
      </c>
      <c r="O613" s="254" t="s">
        <v>1321</v>
      </c>
      <c r="P613" s="258">
        <v>44277</v>
      </c>
      <c r="Q613" s="259">
        <v>10450338.33</v>
      </c>
      <c r="R613" s="259">
        <v>10542982.106984129</v>
      </c>
      <c r="S613" s="254">
        <v>12</v>
      </c>
      <c r="T613" s="256">
        <v>-1.4359252901287811E-2</v>
      </c>
      <c r="U613" s="256">
        <v>-0.18562486491357252</v>
      </c>
      <c r="V613" s="256">
        <v>-0.13273757950805865</v>
      </c>
      <c r="W613" s="256">
        <v>-1.3012721185082887</v>
      </c>
      <c r="X613" s="256" t="s">
        <v>1417</v>
      </c>
      <c r="Y613" s="256" t="s">
        <v>1417</v>
      </c>
      <c r="Z613" s="256" t="s">
        <v>1417</v>
      </c>
      <c r="AA613" s="256" t="s">
        <v>1417</v>
      </c>
      <c r="AB613" s="256">
        <v>0.14412941911230534</v>
      </c>
      <c r="AC613" s="260">
        <v>-1.5897794547700832</v>
      </c>
      <c r="AD613" s="405">
        <v>40936273000167</v>
      </c>
      <c r="AE613" s="257" t="s">
        <v>2307</v>
      </c>
      <c r="AF613" s="257" t="s">
        <v>2109</v>
      </c>
      <c r="AG613" s="261" t="s">
        <v>1432</v>
      </c>
      <c r="AH613" s="261" t="s">
        <v>2113</v>
      </c>
      <c r="AI613" s="261">
        <v>500</v>
      </c>
      <c r="AJ613" s="261">
        <v>100</v>
      </c>
      <c r="AK613" s="261">
        <v>100</v>
      </c>
      <c r="AL613" s="256">
        <v>1.9E-2</v>
      </c>
      <c r="AM613" s="256">
        <v>0.2</v>
      </c>
      <c r="AN613" s="256" t="s">
        <v>666</v>
      </c>
      <c r="AO613" s="254" t="s">
        <v>1324</v>
      </c>
      <c r="AP613" s="257" t="s">
        <v>716</v>
      </c>
      <c r="AQ613" s="263" t="s">
        <v>659</v>
      </c>
      <c r="AR613" s="256">
        <v>6.3326999999999993E-3</v>
      </c>
      <c r="AS613" s="256">
        <v>6.3326999999999993E-3</v>
      </c>
      <c r="AT613" s="256"/>
      <c r="AW613" s="508"/>
      <c r="AX613" s="508"/>
      <c r="AY613" s="509"/>
      <c r="AZ613" s="509"/>
      <c r="BA613" s="509"/>
      <c r="BB613" s="510"/>
      <c r="BC613" s="509"/>
      <c r="BD613" s="509"/>
      <c r="BE613" s="509"/>
      <c r="BF613" s="509"/>
      <c r="BG613" s="510"/>
      <c r="BH613" s="510"/>
      <c r="BI613" s="511"/>
      <c r="BJ613" s="511"/>
      <c r="BK613" s="511"/>
      <c r="BL613" s="195"/>
      <c r="BM613" s="510"/>
      <c r="BN613" s="510"/>
      <c r="BO613" s="510"/>
      <c r="BP613" s="510"/>
      <c r="BQ613" s="510"/>
      <c r="BR613" s="510"/>
      <c r="BS613" s="510"/>
      <c r="BT613" s="513"/>
      <c r="BU613" s="514"/>
      <c r="BV613" s="512"/>
      <c r="BW613" s="515"/>
    </row>
    <row r="614" spans="2:75" ht="15.75" customHeight="1">
      <c r="B614" s="250" t="s">
        <v>1653</v>
      </c>
      <c r="C614" s="251">
        <v>32666342000131</v>
      </c>
      <c r="D614" s="252" t="s">
        <v>11</v>
      </c>
      <c r="E614" s="252" t="s">
        <v>661</v>
      </c>
      <c r="F614" s="252"/>
      <c r="G614" s="253" t="s">
        <v>738</v>
      </c>
      <c r="H614" s="253" t="s">
        <v>34</v>
      </c>
      <c r="I614" s="253" t="s">
        <v>34</v>
      </c>
      <c r="J614" s="253" t="s">
        <v>611</v>
      </c>
      <c r="K614" s="254" t="s">
        <v>48</v>
      </c>
      <c r="L614" s="255"/>
      <c r="M614" s="255"/>
      <c r="N614" s="254">
        <v>492876</v>
      </c>
      <c r="O614" s="254" t="s">
        <v>1321</v>
      </c>
      <c r="P614" s="258">
        <v>43570</v>
      </c>
      <c r="Q614" s="259">
        <v>29218031.82</v>
      </c>
      <c r="R614" s="259">
        <v>52649416.551865093</v>
      </c>
      <c r="S614" s="254">
        <v>12</v>
      </c>
      <c r="T614" s="256">
        <v>-4.4830479407123369E-2</v>
      </c>
      <c r="U614" s="256">
        <v>-0.5042493555246168</v>
      </c>
      <c r="V614" s="256">
        <v>-2.9331923211314503E-2</v>
      </c>
      <c r="W614" s="256">
        <v>-0.26919983840028366</v>
      </c>
      <c r="X614" s="256">
        <v>5.9730213457510617E-2</v>
      </c>
      <c r="Y614" s="256">
        <v>0.42001034449583241</v>
      </c>
      <c r="Z614" s="256">
        <v>7.3957679230857609E-2</v>
      </c>
      <c r="AA614" s="256">
        <v>0.40414644844045294</v>
      </c>
      <c r="AB614" s="256">
        <v>0.2038733191974624</v>
      </c>
      <c r="AC614" s="260">
        <v>-0.55279579159152792</v>
      </c>
      <c r="AD614" s="405">
        <v>29363886000110</v>
      </c>
      <c r="AE614" s="257" t="s">
        <v>2318</v>
      </c>
      <c r="AF614" s="257" t="s">
        <v>2318</v>
      </c>
      <c r="AG614" s="261" t="s">
        <v>1436</v>
      </c>
      <c r="AH614" s="261" t="s">
        <v>2110</v>
      </c>
      <c r="AI614" s="261">
        <v>1000</v>
      </c>
      <c r="AJ614" s="261">
        <v>1000</v>
      </c>
      <c r="AK614" s="261">
        <v>1000</v>
      </c>
      <c r="AL614" s="256">
        <v>8.5000000000000006E-3</v>
      </c>
      <c r="AM614" s="256" t="s">
        <v>34</v>
      </c>
      <c r="AN614" s="256" t="s">
        <v>64</v>
      </c>
      <c r="AO614" s="254" t="s">
        <v>1324</v>
      </c>
      <c r="AP614" s="257" t="s">
        <v>13</v>
      </c>
      <c r="AQ614" s="263" t="s">
        <v>679</v>
      </c>
      <c r="AR614" s="256" t="s">
        <v>34</v>
      </c>
      <c r="AS614" s="256" t="s">
        <v>34</v>
      </c>
      <c r="AT614" s="256"/>
      <c r="AW614" s="508"/>
      <c r="AX614" s="508"/>
      <c r="AY614" s="509"/>
      <c r="AZ614" s="509"/>
      <c r="BA614" s="509"/>
      <c r="BB614" s="510"/>
      <c r="BC614" s="509"/>
      <c r="BD614" s="509"/>
      <c r="BE614" s="509"/>
      <c r="BF614" s="509"/>
      <c r="BG614" s="510"/>
      <c r="BH614" s="510"/>
      <c r="BI614" s="511"/>
      <c r="BJ614" s="511"/>
      <c r="BK614" s="511"/>
      <c r="BL614" s="195"/>
      <c r="BM614" s="510"/>
      <c r="BN614" s="510"/>
      <c r="BO614" s="510"/>
      <c r="BP614" s="510"/>
      <c r="BQ614" s="510"/>
      <c r="BR614" s="510"/>
      <c r="BS614" s="510"/>
      <c r="BT614" s="513"/>
      <c r="BU614" s="514"/>
      <c r="BV614" s="512"/>
      <c r="BW614" s="515"/>
    </row>
    <row r="615" spans="2:75" ht="15.75" customHeight="1">
      <c r="B615" s="250" t="s">
        <v>1071</v>
      </c>
      <c r="C615" s="251">
        <v>44479850000190</v>
      </c>
      <c r="D615" s="252" t="s">
        <v>14</v>
      </c>
      <c r="E615" s="252" t="s">
        <v>607</v>
      </c>
      <c r="F615" s="252"/>
      <c r="G615" s="253"/>
      <c r="H615" s="253" t="s">
        <v>34</v>
      </c>
      <c r="I615" s="253" t="s">
        <v>34</v>
      </c>
      <c r="J615" s="253" t="s">
        <v>611</v>
      </c>
      <c r="K615" s="254"/>
      <c r="L615" s="255"/>
      <c r="M615" s="255" t="s">
        <v>34</v>
      </c>
      <c r="N615" s="254">
        <v>640931</v>
      </c>
      <c r="O615" s="254" t="s">
        <v>1321</v>
      </c>
      <c r="P615" s="258">
        <v>44634</v>
      </c>
      <c r="Q615" s="259">
        <v>1006625.22</v>
      </c>
      <c r="R615" s="259" t="s">
        <v>1417</v>
      </c>
      <c r="S615" s="254">
        <v>12</v>
      </c>
      <c r="T615" s="256" t="s">
        <v>1417</v>
      </c>
      <c r="U615" s="256" t="s">
        <v>1417</v>
      </c>
      <c r="V615" s="256" t="s">
        <v>1417</v>
      </c>
      <c r="W615" s="256" t="s">
        <v>1417</v>
      </c>
      <c r="X615" s="256" t="s">
        <v>1417</v>
      </c>
      <c r="Y615" s="256" t="s">
        <v>1417</v>
      </c>
      <c r="Z615" s="256" t="s">
        <v>1417</v>
      </c>
      <c r="AA615" s="256" t="s">
        <v>1417</v>
      </c>
      <c r="AB615" s="256" t="s">
        <v>1417</v>
      </c>
      <c r="AC615" s="260" t="s">
        <v>1417</v>
      </c>
      <c r="AD615" s="405">
        <v>44839365000180</v>
      </c>
      <c r="AE615" s="257" t="s">
        <v>2144</v>
      </c>
      <c r="AF615" s="257" t="s">
        <v>2109</v>
      </c>
      <c r="AG615" s="261" t="s">
        <v>1432</v>
      </c>
      <c r="AH615" s="261" t="s">
        <v>2110</v>
      </c>
      <c r="AI615" s="261">
        <v>5000</v>
      </c>
      <c r="AJ615" s="261">
        <v>5000</v>
      </c>
      <c r="AK615" s="261">
        <v>5000</v>
      </c>
      <c r="AL615" s="256">
        <v>0.01</v>
      </c>
      <c r="AM615" s="256" t="s">
        <v>34</v>
      </c>
      <c r="AN615" s="256" t="s">
        <v>2127</v>
      </c>
      <c r="AO615" s="254" t="s">
        <v>1324</v>
      </c>
      <c r="AP615" s="257" t="s">
        <v>716</v>
      </c>
      <c r="AQ615" s="263" t="s">
        <v>687</v>
      </c>
      <c r="AR615" s="256">
        <v>6.6666666666666662E-3</v>
      </c>
      <c r="AS615" s="256">
        <v>6.6666666666666662E-3</v>
      </c>
      <c r="AT615" s="256"/>
      <c r="AW615" s="508"/>
      <c r="AX615" s="508"/>
      <c r="AY615" s="509"/>
      <c r="AZ615" s="509"/>
      <c r="BA615" s="509"/>
      <c r="BB615" s="510"/>
      <c r="BC615" s="509"/>
      <c r="BD615" s="509"/>
      <c r="BE615" s="509"/>
      <c r="BF615" s="509"/>
      <c r="BG615" s="510"/>
      <c r="BH615" s="510"/>
      <c r="BI615" s="511"/>
      <c r="BJ615" s="511"/>
      <c r="BK615" s="511"/>
      <c r="BL615" s="195"/>
      <c r="BM615" s="510"/>
      <c r="BN615" s="510"/>
      <c r="BO615" s="510"/>
      <c r="BP615" s="510"/>
      <c r="BQ615" s="510"/>
      <c r="BR615" s="510"/>
      <c r="BS615" s="510"/>
      <c r="BT615" s="513"/>
      <c r="BU615" s="514"/>
      <c r="BV615" s="512"/>
      <c r="BW615" s="515"/>
    </row>
    <row r="616" spans="2:75" ht="15.75" customHeight="1">
      <c r="B616" s="250" t="s">
        <v>495</v>
      </c>
      <c r="C616" s="251">
        <v>29853005000149</v>
      </c>
      <c r="D616" s="252" t="s">
        <v>11</v>
      </c>
      <c r="E616" s="252" t="s">
        <v>661</v>
      </c>
      <c r="F616" s="252"/>
      <c r="G616" s="253" t="s">
        <v>738</v>
      </c>
      <c r="H616" s="253" t="s">
        <v>34</v>
      </c>
      <c r="I616" s="253" t="s">
        <v>34</v>
      </c>
      <c r="J616" s="253" t="s">
        <v>611</v>
      </c>
      <c r="K616" s="254" t="s">
        <v>48</v>
      </c>
      <c r="L616" s="255"/>
      <c r="M616" s="255" t="s">
        <v>34</v>
      </c>
      <c r="N616" s="254">
        <v>468584</v>
      </c>
      <c r="O616" s="254" t="s">
        <v>1321</v>
      </c>
      <c r="P616" s="258">
        <v>43276</v>
      </c>
      <c r="Q616" s="259">
        <v>289427583.36000001</v>
      </c>
      <c r="R616" s="259">
        <v>513240800.04194432</v>
      </c>
      <c r="S616" s="254">
        <v>12</v>
      </c>
      <c r="T616" s="256">
        <v>-1.3800829773554901E-2</v>
      </c>
      <c r="U616" s="256">
        <v>-0.1784060201475792</v>
      </c>
      <c r="V616" s="256">
        <v>6.3757504152963662E-3</v>
      </c>
      <c r="W616" s="256">
        <v>6.2503672891587633E-2</v>
      </c>
      <c r="X616" s="256">
        <v>9.1516665458549529E-2</v>
      </c>
      <c r="Y616" s="256">
        <v>0.69398749913995328</v>
      </c>
      <c r="Z616" s="256">
        <v>0.12040631208340913</v>
      </c>
      <c r="AA616" s="256">
        <v>0.68442851219519685</v>
      </c>
      <c r="AB616" s="256">
        <v>3.9782284180971024E-2</v>
      </c>
      <c r="AC616" s="260">
        <v>-2.2624912736453635</v>
      </c>
      <c r="AD616" s="405">
        <v>29363886000110</v>
      </c>
      <c r="AE616" s="257" t="s">
        <v>2126</v>
      </c>
      <c r="AF616" s="257" t="s">
        <v>2118</v>
      </c>
      <c r="AG616" s="261" t="s">
        <v>1433</v>
      </c>
      <c r="AH616" s="261" t="s">
        <v>2110</v>
      </c>
      <c r="AI616" s="261">
        <v>0</v>
      </c>
      <c r="AJ616" s="261">
        <v>1000</v>
      </c>
      <c r="AK616" s="261">
        <v>1000</v>
      </c>
      <c r="AL616" s="256">
        <v>8.5000000000000006E-3</v>
      </c>
      <c r="AM616" s="256" t="s">
        <v>34</v>
      </c>
      <c r="AN616" s="256" t="s">
        <v>34</v>
      </c>
      <c r="AO616" s="254" t="s">
        <v>1324</v>
      </c>
      <c r="AP616" s="257" t="s">
        <v>13</v>
      </c>
      <c r="AQ616" s="263" t="s">
        <v>679</v>
      </c>
      <c r="AR616" s="256">
        <v>5.6666666666666671E-3</v>
      </c>
      <c r="AS616" s="256">
        <v>5.6666666666666671E-3</v>
      </c>
      <c r="AT616" s="256"/>
      <c r="AW616" s="508"/>
      <c r="AX616" s="508"/>
      <c r="AY616" s="509"/>
      <c r="AZ616" s="509"/>
      <c r="BA616" s="509"/>
      <c r="BB616" s="510"/>
      <c r="BC616" s="509"/>
      <c r="BD616" s="509"/>
      <c r="BE616" s="509"/>
      <c r="BF616" s="509"/>
      <c r="BG616" s="510"/>
      <c r="BH616" s="510"/>
      <c r="BI616" s="511"/>
      <c r="BJ616" s="511"/>
      <c r="BK616" s="511"/>
      <c r="BL616" s="195"/>
      <c r="BM616" s="510"/>
      <c r="BN616" s="510"/>
      <c r="BO616" s="510"/>
      <c r="BP616" s="510"/>
      <c r="BQ616" s="510"/>
      <c r="BR616" s="510"/>
      <c r="BS616" s="510"/>
      <c r="BT616" s="513"/>
      <c r="BU616" s="514"/>
      <c r="BV616" s="512"/>
      <c r="BW616" s="515"/>
    </row>
    <row r="617" spans="2:75" ht="15.75" customHeight="1">
      <c r="B617" s="250" t="s">
        <v>315</v>
      </c>
      <c r="C617" s="251">
        <v>40660810000199</v>
      </c>
      <c r="D617" s="252" t="s">
        <v>11</v>
      </c>
      <c r="E617" s="252" t="s">
        <v>661</v>
      </c>
      <c r="F617" s="252"/>
      <c r="G617" s="253" t="s">
        <v>738</v>
      </c>
      <c r="H617" s="253" t="s">
        <v>34</v>
      </c>
      <c r="I617" s="253" t="s">
        <v>34</v>
      </c>
      <c r="J617" s="253" t="s">
        <v>611</v>
      </c>
      <c r="K617" s="254" t="s">
        <v>49</v>
      </c>
      <c r="L617" s="255"/>
      <c r="M617" s="255" t="s">
        <v>34</v>
      </c>
      <c r="N617" s="254">
        <v>585211</v>
      </c>
      <c r="O617" s="254" t="s">
        <v>1321</v>
      </c>
      <c r="P617" s="258">
        <v>44285</v>
      </c>
      <c r="Q617" s="259">
        <v>16210224.57</v>
      </c>
      <c r="R617" s="259">
        <v>11944706.510873014</v>
      </c>
      <c r="S617" s="254">
        <v>12</v>
      </c>
      <c r="T617" s="256">
        <v>-0.13667483922631551</v>
      </c>
      <c r="U617" s="256">
        <v>-1.7668223230606745</v>
      </c>
      <c r="V617" s="256">
        <v>-7.176842161252861E-2</v>
      </c>
      <c r="W617" s="256">
        <v>-0.7035705064070521</v>
      </c>
      <c r="X617" s="256" t="s">
        <v>1417</v>
      </c>
      <c r="Y617" s="256" t="s">
        <v>1417</v>
      </c>
      <c r="Z617" s="256" t="s">
        <v>1417</v>
      </c>
      <c r="AA617" s="256" t="s">
        <v>1417</v>
      </c>
      <c r="AB617" s="256">
        <v>0.15060094417618719</v>
      </c>
      <c r="AC617" s="260">
        <v>-1.0647042258793868</v>
      </c>
      <c r="AD617" s="405">
        <v>38281496000191</v>
      </c>
      <c r="AE617" s="257" t="s">
        <v>2126</v>
      </c>
      <c r="AF617" s="257" t="s">
        <v>2118</v>
      </c>
      <c r="AG617" s="261" t="s">
        <v>1433</v>
      </c>
      <c r="AH617" s="261" t="s">
        <v>2110</v>
      </c>
      <c r="AI617" s="261">
        <v>500</v>
      </c>
      <c r="AJ617" s="261" t="s">
        <v>1427</v>
      </c>
      <c r="AK617" s="261">
        <v>500</v>
      </c>
      <c r="AL617" s="256">
        <v>8.5000000000000006E-3</v>
      </c>
      <c r="AM617" s="256" t="s">
        <v>34</v>
      </c>
      <c r="AN617" s="256" t="s">
        <v>34</v>
      </c>
      <c r="AO617" s="254" t="s">
        <v>1324</v>
      </c>
      <c r="AP617" s="257" t="s">
        <v>13</v>
      </c>
      <c r="AQ617" s="263" t="s">
        <v>679</v>
      </c>
      <c r="AR617" s="256">
        <v>5.6666666666666671E-3</v>
      </c>
      <c r="AS617" s="256">
        <v>5.6666666666666671E-3</v>
      </c>
      <c r="AT617" s="256"/>
      <c r="AX617" s="508"/>
      <c r="AY617" s="509"/>
      <c r="AZ617" s="509"/>
      <c r="BA617" s="509"/>
      <c r="BB617" s="510"/>
      <c r="BC617" s="509"/>
      <c r="BD617" s="509"/>
      <c r="BE617" s="509"/>
      <c r="BF617" s="509"/>
      <c r="BG617" s="510"/>
      <c r="BH617" s="510"/>
      <c r="BI617" s="511"/>
      <c r="BJ617" s="511"/>
      <c r="BK617" s="511"/>
      <c r="BL617" s="510"/>
      <c r="BM617" s="510"/>
      <c r="BN617" s="510"/>
      <c r="BO617" s="510"/>
      <c r="BP617" s="510"/>
      <c r="BQ617" s="510"/>
      <c r="BR617" s="510"/>
      <c r="BS617" s="510"/>
      <c r="BT617" s="513"/>
      <c r="BU617" s="514"/>
      <c r="BV617" s="512"/>
      <c r="BW617" s="515"/>
    </row>
    <row r="618" spans="2:75" ht="15.75" customHeight="1">
      <c r="B618" s="250" t="s">
        <v>1186</v>
      </c>
      <c r="C618" s="251">
        <v>33270025000164</v>
      </c>
      <c r="D618" s="252" t="s">
        <v>14</v>
      </c>
      <c r="E618" s="252" t="s">
        <v>607</v>
      </c>
      <c r="F618" s="252"/>
      <c r="G618" s="253"/>
      <c r="H618" s="253" t="s">
        <v>34</v>
      </c>
      <c r="I618" s="253" t="s">
        <v>34</v>
      </c>
      <c r="J618" s="253" t="s">
        <v>611</v>
      </c>
      <c r="K618" s="254" t="s">
        <v>48</v>
      </c>
      <c r="L618" s="255"/>
      <c r="M618" s="255" t="s">
        <v>34</v>
      </c>
      <c r="N618" s="254">
        <v>509396</v>
      </c>
      <c r="O618" s="254" t="s">
        <v>1321</v>
      </c>
      <c r="P618" s="258">
        <v>43685</v>
      </c>
      <c r="Q618" s="259">
        <v>14701797.77</v>
      </c>
      <c r="R618" s="259">
        <v>18607338.097976208</v>
      </c>
      <c r="S618" s="254">
        <v>12</v>
      </c>
      <c r="T618" s="256">
        <v>-0.10790643699827052</v>
      </c>
      <c r="U618" s="256">
        <v>-1.3949275724026342</v>
      </c>
      <c r="V618" s="256">
        <v>-0.32039338600514244</v>
      </c>
      <c r="W618" s="256">
        <v>-3.1409264935228385</v>
      </c>
      <c r="X618" s="256">
        <v>0.11922602330992005</v>
      </c>
      <c r="Y618" s="256">
        <v>0.90411259342408057</v>
      </c>
      <c r="Z618" s="256">
        <v>5.5335804351248408E-2</v>
      </c>
      <c r="AA618" s="256">
        <v>0.31454665115075847</v>
      </c>
      <c r="AB618" s="256">
        <v>0.21491053693861267</v>
      </c>
      <c r="AC618" s="260">
        <v>-2.1402441576709155</v>
      </c>
      <c r="AD618" s="405">
        <v>0</v>
      </c>
      <c r="AE618" s="257" t="s">
        <v>2392</v>
      </c>
      <c r="AF618" s="257" t="s">
        <v>761</v>
      </c>
      <c r="AG618" s="261" t="s">
        <v>761</v>
      </c>
      <c r="AH618" s="261" t="s">
        <v>2113</v>
      </c>
      <c r="AI618" s="261">
        <v>10000</v>
      </c>
      <c r="AJ618" s="261">
        <v>5000</v>
      </c>
      <c r="AK618" s="261">
        <v>10000</v>
      </c>
      <c r="AL618" s="256">
        <v>0.02</v>
      </c>
      <c r="AM618" s="256">
        <v>0.2</v>
      </c>
      <c r="AN618" s="256" t="s">
        <v>34</v>
      </c>
      <c r="AO618" s="254" t="s">
        <v>1324</v>
      </c>
      <c r="AP618" s="257" t="s">
        <v>716</v>
      </c>
      <c r="AQ618" s="263" t="s">
        <v>659</v>
      </c>
      <c r="AR618" s="256">
        <v>5.3333333333333332E-3</v>
      </c>
      <c r="AS618" s="256">
        <v>5.3333333333333332E-3</v>
      </c>
      <c r="AT618" s="256"/>
      <c r="AX618" s="508"/>
      <c r="AY618" s="509"/>
      <c r="AZ618" s="509"/>
      <c r="BA618" s="509"/>
      <c r="BB618" s="510"/>
      <c r="BC618" s="509"/>
      <c r="BD618" s="509"/>
      <c r="BE618" s="509"/>
      <c r="BF618" s="509"/>
      <c r="BG618" s="510"/>
      <c r="BH618" s="510"/>
      <c r="BI618" s="511"/>
      <c r="BJ618" s="511"/>
      <c r="BK618" s="511"/>
      <c r="BL618" s="510"/>
      <c r="BM618" s="510"/>
      <c r="BN618" s="510"/>
      <c r="BO618" s="510"/>
      <c r="BP618" s="510"/>
      <c r="BQ618" s="510"/>
      <c r="BR618" s="510"/>
      <c r="BS618" s="510"/>
      <c r="BT618" s="513"/>
      <c r="BU618" s="514"/>
      <c r="BV618" s="512"/>
      <c r="BW618" s="515"/>
    </row>
    <row r="619" spans="2:75" ht="15.75" customHeight="1">
      <c r="B619" s="250" t="s">
        <v>603</v>
      </c>
      <c r="C619" s="251">
        <v>43140576000167</v>
      </c>
      <c r="D619" s="252" t="s">
        <v>14</v>
      </c>
      <c r="E619" s="252" t="s">
        <v>607</v>
      </c>
      <c r="F619" s="252"/>
      <c r="G619" s="253" t="s">
        <v>866</v>
      </c>
      <c r="H619" s="253" t="s">
        <v>34</v>
      </c>
      <c r="I619" s="253" t="s">
        <v>34</v>
      </c>
      <c r="J619" s="253" t="s">
        <v>611</v>
      </c>
      <c r="K619" s="254"/>
      <c r="L619" s="255"/>
      <c r="M619" s="255" t="s">
        <v>1414</v>
      </c>
      <c r="N619" s="254">
        <v>609481</v>
      </c>
      <c r="O619" s="254" t="s">
        <v>1321</v>
      </c>
      <c r="P619" s="258">
        <v>44439</v>
      </c>
      <c r="Q619" s="259">
        <v>1941946.19</v>
      </c>
      <c r="R619" s="259">
        <v>2379221.3038095231</v>
      </c>
      <c r="S619" s="254">
        <v>12</v>
      </c>
      <c r="T619" s="256">
        <v>-0.22146539636422213</v>
      </c>
      <c r="U619" s="256">
        <v>-2.8629264047193308</v>
      </c>
      <c r="V619" s="256">
        <v>-0.1802532</v>
      </c>
      <c r="W619" s="256">
        <v>-1.7670840789865236</v>
      </c>
      <c r="X619" s="256" t="s">
        <v>1417</v>
      </c>
      <c r="Y619" s="256" t="s">
        <v>1417</v>
      </c>
      <c r="Z619" s="256" t="s">
        <v>1417</v>
      </c>
      <c r="AA619" s="256" t="s">
        <v>1417</v>
      </c>
      <c r="AB619" s="256">
        <v>0.22668326954560053</v>
      </c>
      <c r="AC619" s="260">
        <v>-1.1923245194497731</v>
      </c>
      <c r="AD619" s="405">
        <v>0</v>
      </c>
      <c r="AE619" s="257" t="s">
        <v>2229</v>
      </c>
      <c r="AF619" s="257" t="s">
        <v>2109</v>
      </c>
      <c r="AG619" s="261" t="s">
        <v>1432</v>
      </c>
      <c r="AH619" s="261" t="s">
        <v>2113</v>
      </c>
      <c r="AI619" s="261">
        <v>100</v>
      </c>
      <c r="AJ619" s="261">
        <v>100</v>
      </c>
      <c r="AK619" s="261">
        <v>100</v>
      </c>
      <c r="AL619" s="256">
        <v>9.0000000000000011E-3</v>
      </c>
      <c r="AM619" s="256">
        <v>0.1</v>
      </c>
      <c r="AN619" s="256" t="s">
        <v>34</v>
      </c>
      <c r="AO619" s="254" t="s">
        <v>1324</v>
      </c>
      <c r="AP619" s="257" t="s">
        <v>716</v>
      </c>
      <c r="AQ619" s="263" t="s">
        <v>694</v>
      </c>
      <c r="AR619" s="256">
        <v>2.9996999999999997E-3</v>
      </c>
      <c r="AS619" s="256">
        <v>2.9996999999999997E-3</v>
      </c>
      <c r="AT619" s="256"/>
      <c r="AW619" s="508"/>
      <c r="AX619" s="508"/>
      <c r="AY619" s="509"/>
      <c r="AZ619" s="509"/>
      <c r="BA619" s="509"/>
      <c r="BB619" s="509"/>
      <c r="BC619" s="509"/>
      <c r="BD619" s="509"/>
      <c r="BE619" s="509"/>
      <c r="BF619" s="509"/>
      <c r="BG619" s="510"/>
      <c r="BH619" s="510"/>
      <c r="BI619" s="511"/>
      <c r="BJ619" s="511"/>
      <c r="BK619" s="511"/>
      <c r="BL619" s="195"/>
      <c r="BM619" s="510"/>
      <c r="BN619" s="510"/>
      <c r="BO619" s="510"/>
      <c r="BP619" s="510"/>
      <c r="BQ619" s="510"/>
      <c r="BR619" s="510"/>
      <c r="BS619" s="510"/>
      <c r="BT619" s="510"/>
      <c r="BU619" s="510"/>
      <c r="BV619" s="512"/>
      <c r="BW619" s="509"/>
    </row>
    <row r="620" spans="2:75" ht="15.75" customHeight="1">
      <c r="B620" s="250" t="s">
        <v>1266</v>
      </c>
      <c r="C620" s="251">
        <v>38173769000184</v>
      </c>
      <c r="D620" s="252" t="s">
        <v>14</v>
      </c>
      <c r="E620" s="252" t="s">
        <v>607</v>
      </c>
      <c r="F620" s="252"/>
      <c r="G620" s="253"/>
      <c r="H620" s="253" t="s">
        <v>34</v>
      </c>
      <c r="I620" s="253" t="s">
        <v>34</v>
      </c>
      <c r="J620" s="253" t="s">
        <v>611</v>
      </c>
      <c r="K620" s="254"/>
      <c r="L620" s="255"/>
      <c r="M620" s="255" t="s">
        <v>1414</v>
      </c>
      <c r="N620" s="254">
        <v>552852</v>
      </c>
      <c r="O620" s="254" t="s">
        <v>1321</v>
      </c>
      <c r="P620" s="258">
        <v>44076</v>
      </c>
      <c r="Q620" s="259">
        <v>10211750.41</v>
      </c>
      <c r="R620" s="259">
        <v>15294038.641904756</v>
      </c>
      <c r="S620" s="254">
        <v>12</v>
      </c>
      <c r="T620" s="256">
        <v>-0.25416732177344215</v>
      </c>
      <c r="U620" s="256">
        <v>-3.2856705772908561</v>
      </c>
      <c r="V620" s="256">
        <v>-0.15911473778680396</v>
      </c>
      <c r="W620" s="256">
        <v>-1.5598564678750595</v>
      </c>
      <c r="X620" s="256" t="s">
        <v>1417</v>
      </c>
      <c r="Y620" s="256" t="s">
        <v>1417</v>
      </c>
      <c r="Z620" s="256" t="s">
        <v>1417</v>
      </c>
      <c r="AA620" s="256" t="s">
        <v>1417</v>
      </c>
      <c r="AB620" s="256">
        <v>0.2037000276397693</v>
      </c>
      <c r="AC620" s="260">
        <v>-1.225961981328219</v>
      </c>
      <c r="AD620" s="405">
        <v>0</v>
      </c>
      <c r="AE620" s="257" t="s">
        <v>2229</v>
      </c>
      <c r="AF620" s="257" t="s">
        <v>2109</v>
      </c>
      <c r="AG620" s="261" t="s">
        <v>1432</v>
      </c>
      <c r="AH620" s="261" t="s">
        <v>2113</v>
      </c>
      <c r="AI620" s="261">
        <v>0</v>
      </c>
      <c r="AJ620" s="261">
        <v>0</v>
      </c>
      <c r="AK620" s="261">
        <v>0</v>
      </c>
      <c r="AL620" s="256">
        <v>9.0000000000000011E-3</v>
      </c>
      <c r="AM620" s="256" t="s">
        <v>34</v>
      </c>
      <c r="AN620" s="256" t="s">
        <v>2122</v>
      </c>
      <c r="AO620" s="254" t="s">
        <v>1324</v>
      </c>
      <c r="AP620" s="257" t="s">
        <v>716</v>
      </c>
      <c r="AQ620" s="263" t="s">
        <v>659</v>
      </c>
      <c r="AR620" s="256">
        <v>2.9996999999999997E-3</v>
      </c>
      <c r="AS620" s="256">
        <v>2.9996999999999997E-3</v>
      </c>
      <c r="AT620" s="256"/>
      <c r="AW620" s="508"/>
      <c r="AX620" s="508"/>
      <c r="AY620" s="509"/>
      <c r="AZ620" s="509"/>
      <c r="BA620" s="509"/>
      <c r="BB620" s="509"/>
      <c r="BC620" s="509"/>
      <c r="BD620" s="509"/>
      <c r="BE620" s="509"/>
      <c r="BF620" s="509"/>
      <c r="BG620" s="510"/>
      <c r="BH620" s="510"/>
      <c r="BI620" s="511"/>
      <c r="BJ620" s="511"/>
      <c r="BK620" s="511"/>
      <c r="BL620" s="195"/>
      <c r="BM620" s="510"/>
      <c r="BN620" s="510"/>
      <c r="BO620" s="510"/>
      <c r="BP620" s="510"/>
      <c r="BQ620" s="510"/>
      <c r="BR620" s="510"/>
      <c r="BS620" s="510"/>
      <c r="BT620" s="510"/>
      <c r="BU620" s="510"/>
      <c r="BV620" s="512"/>
      <c r="BW620" s="509"/>
    </row>
    <row r="621" spans="2:75" ht="15.75" customHeight="1">
      <c r="B621" s="250" t="s">
        <v>586</v>
      </c>
      <c r="C621" s="251">
        <v>38440156000166</v>
      </c>
      <c r="D621" s="252" t="s">
        <v>14</v>
      </c>
      <c r="E621" s="252" t="s">
        <v>607</v>
      </c>
      <c r="F621" s="252"/>
      <c r="G621" s="253" t="s">
        <v>866</v>
      </c>
      <c r="H621" s="253" t="s">
        <v>34</v>
      </c>
      <c r="I621" s="253" t="s">
        <v>34</v>
      </c>
      <c r="J621" s="253" t="s">
        <v>1270</v>
      </c>
      <c r="K621" s="254" t="s">
        <v>48</v>
      </c>
      <c r="L621" s="255"/>
      <c r="M621" s="255" t="s">
        <v>1414</v>
      </c>
      <c r="N621" s="254">
        <v>554995</v>
      </c>
      <c r="O621" s="254" t="s">
        <v>1321</v>
      </c>
      <c r="P621" s="258">
        <v>44104</v>
      </c>
      <c r="Q621" s="259">
        <v>104505654.34999999</v>
      </c>
      <c r="R621" s="259">
        <v>159068324.58825409</v>
      </c>
      <c r="S621" s="254">
        <v>12</v>
      </c>
      <c r="T621" s="256">
        <v>-0.29173221105494351</v>
      </c>
      <c r="U621" s="256">
        <v>-3.7712792329993037</v>
      </c>
      <c r="V621" s="256">
        <v>-0.27207762009624425</v>
      </c>
      <c r="W621" s="256">
        <v>-2.667270432483956</v>
      </c>
      <c r="X621" s="256" t="s">
        <v>1417</v>
      </c>
      <c r="Y621" s="256" t="s">
        <v>1417</v>
      </c>
      <c r="Z621" s="256" t="s">
        <v>1417</v>
      </c>
      <c r="AA621" s="256" t="s">
        <v>1417</v>
      </c>
      <c r="AB621" s="256">
        <v>0.40670849889892269</v>
      </c>
      <c r="AC621" s="260">
        <v>-0.82251748937787472</v>
      </c>
      <c r="AD621" s="405">
        <v>0</v>
      </c>
      <c r="AE621" s="257" t="s">
        <v>2229</v>
      </c>
      <c r="AF621" s="257" t="s">
        <v>2109</v>
      </c>
      <c r="AG621" s="261" t="s">
        <v>1432</v>
      </c>
      <c r="AH621" s="261" t="s">
        <v>2113</v>
      </c>
      <c r="AI621" s="261">
        <v>1000</v>
      </c>
      <c r="AJ621" s="261">
        <v>100</v>
      </c>
      <c r="AK621" s="261">
        <v>100</v>
      </c>
      <c r="AL621" s="256">
        <v>9.0000000000000011E-3</v>
      </c>
      <c r="AM621" s="256" t="s">
        <v>34</v>
      </c>
      <c r="AN621" s="256" t="s">
        <v>34</v>
      </c>
      <c r="AO621" s="254" t="s">
        <v>1324</v>
      </c>
      <c r="AP621" s="257" t="s">
        <v>716</v>
      </c>
      <c r="AQ621" s="263" t="s">
        <v>659</v>
      </c>
      <c r="AR621" s="256">
        <v>2.9996999999999997E-3</v>
      </c>
      <c r="AS621" s="256">
        <v>2.9996999999999997E-3</v>
      </c>
      <c r="AT621" s="256"/>
      <c r="AW621" s="508"/>
      <c r="AX621" s="508"/>
      <c r="AY621" s="509"/>
      <c r="AZ621" s="509"/>
      <c r="BA621" s="509"/>
      <c r="BB621" s="509"/>
      <c r="BC621" s="509"/>
      <c r="BD621" s="509"/>
      <c r="BE621" s="509"/>
      <c r="BF621" s="509"/>
      <c r="BG621" s="510"/>
      <c r="BH621" s="510"/>
      <c r="BI621" s="511"/>
      <c r="BJ621" s="511"/>
      <c r="BK621" s="511"/>
      <c r="BL621" s="195"/>
      <c r="BM621" s="510"/>
      <c r="BN621" s="510"/>
      <c r="BO621" s="510"/>
      <c r="BP621" s="510"/>
      <c r="BQ621" s="510"/>
      <c r="BR621" s="510"/>
      <c r="BS621" s="510"/>
      <c r="BT621" s="510"/>
      <c r="BU621" s="510"/>
      <c r="BV621" s="512"/>
      <c r="BW621" s="509"/>
    </row>
    <row r="622" spans="2:75" ht="15.75" customHeight="1">
      <c r="B622" s="250" t="s">
        <v>587</v>
      </c>
      <c r="C622" s="251">
        <v>36017669000133</v>
      </c>
      <c r="D622" s="252" t="s">
        <v>14</v>
      </c>
      <c r="E622" s="252" t="s">
        <v>607</v>
      </c>
      <c r="F622" s="252"/>
      <c r="G622" s="253" t="s">
        <v>866</v>
      </c>
      <c r="H622" s="253" t="s">
        <v>34</v>
      </c>
      <c r="I622" s="253" t="s">
        <v>34</v>
      </c>
      <c r="J622" s="253" t="s">
        <v>611</v>
      </c>
      <c r="K622" s="254"/>
      <c r="L622" s="255"/>
      <c r="M622" s="255" t="s">
        <v>1414</v>
      </c>
      <c r="N622" s="254">
        <v>538663</v>
      </c>
      <c r="O622" s="254" t="s">
        <v>1321</v>
      </c>
      <c r="P622" s="258">
        <v>43991</v>
      </c>
      <c r="Q622" s="259">
        <v>157578277.81</v>
      </c>
      <c r="R622" s="259">
        <v>259118843.974841</v>
      </c>
      <c r="S622" s="254">
        <v>12</v>
      </c>
      <c r="T622" s="256">
        <v>-0.34741150720281233</v>
      </c>
      <c r="U622" s="256">
        <v>-4.491056361863996</v>
      </c>
      <c r="V622" s="256">
        <v>-0.27494755837481311</v>
      </c>
      <c r="W622" s="256">
        <v>-2.6954054239278418</v>
      </c>
      <c r="X622" s="256">
        <v>-0.10876089083190732</v>
      </c>
      <c r="Y622" s="256">
        <v>-0.82475359274158921</v>
      </c>
      <c r="Z622" s="256" t="s">
        <v>1417</v>
      </c>
      <c r="AA622" s="256" t="s">
        <v>1417</v>
      </c>
      <c r="AB622" s="256">
        <v>0.32254647656126845</v>
      </c>
      <c r="AC622" s="260">
        <v>-1.1365595854414465</v>
      </c>
      <c r="AD622" s="405">
        <v>0</v>
      </c>
      <c r="AE622" s="257" t="s">
        <v>2229</v>
      </c>
      <c r="AF622" s="257" t="s">
        <v>2109</v>
      </c>
      <c r="AG622" s="261" t="s">
        <v>1432</v>
      </c>
      <c r="AH622" s="261" t="s">
        <v>2113</v>
      </c>
      <c r="AI622" s="261">
        <v>0</v>
      </c>
      <c r="AJ622" s="261">
        <v>100</v>
      </c>
      <c r="AK622" s="261">
        <v>0</v>
      </c>
      <c r="AL622" s="256">
        <v>0</v>
      </c>
      <c r="AM622" s="256" t="s">
        <v>34</v>
      </c>
      <c r="AN622" s="256" t="s">
        <v>2127</v>
      </c>
      <c r="AO622" s="254" t="s">
        <v>1324</v>
      </c>
      <c r="AP622" s="257" t="s">
        <v>716</v>
      </c>
      <c r="AQ622" s="263" t="s">
        <v>659</v>
      </c>
      <c r="AR622" s="256">
        <v>2.9996999999999997E-3</v>
      </c>
      <c r="AS622" s="256">
        <v>2.9996999999999997E-3</v>
      </c>
      <c r="AT622" s="256"/>
      <c r="AW622" s="508"/>
      <c r="AX622" s="508"/>
      <c r="AY622" s="509"/>
      <c r="AZ622" s="509"/>
      <c r="BA622" s="509"/>
      <c r="BB622" s="509"/>
      <c r="BC622" s="509"/>
      <c r="BD622" s="509"/>
      <c r="BE622" s="509"/>
      <c r="BF622" s="509"/>
      <c r="BG622" s="510"/>
      <c r="BH622" s="510"/>
      <c r="BI622" s="511"/>
      <c r="BJ622" s="511"/>
      <c r="BK622" s="511"/>
      <c r="BL622" s="195"/>
      <c r="BM622" s="510"/>
      <c r="BN622" s="510"/>
      <c r="BO622" s="510"/>
      <c r="BP622" s="510"/>
      <c r="BQ622" s="510"/>
      <c r="BR622" s="510"/>
      <c r="BS622" s="510"/>
      <c r="BT622" s="510"/>
      <c r="BU622" s="510"/>
      <c r="BV622" s="512"/>
      <c r="BW622" s="509"/>
    </row>
    <row r="623" spans="2:75" ht="15.75" customHeight="1">
      <c r="B623" s="250" t="s">
        <v>504</v>
      </c>
      <c r="C623" s="251">
        <v>41033759000158</v>
      </c>
      <c r="D623" s="252" t="s">
        <v>14</v>
      </c>
      <c r="E623" s="252" t="s">
        <v>15</v>
      </c>
      <c r="F623" s="252" t="s">
        <v>701</v>
      </c>
      <c r="G623" s="253"/>
      <c r="H623" s="253" t="s">
        <v>34</v>
      </c>
      <c r="I623" s="253" t="s">
        <v>34</v>
      </c>
      <c r="J623" s="253" t="s">
        <v>611</v>
      </c>
      <c r="K623" s="254" t="s">
        <v>49</v>
      </c>
      <c r="L623" s="255"/>
      <c r="M623" s="255" t="s">
        <v>1414</v>
      </c>
      <c r="N623" s="254">
        <v>582220</v>
      </c>
      <c r="O623" s="254" t="s">
        <v>1321</v>
      </c>
      <c r="P623" s="258">
        <v>44286</v>
      </c>
      <c r="Q623" s="259">
        <v>13910600.789999999</v>
      </c>
      <c r="R623" s="259">
        <v>31247184.779047657</v>
      </c>
      <c r="S623" s="254">
        <v>13</v>
      </c>
      <c r="T623" s="256">
        <v>-0.67852922984666231</v>
      </c>
      <c r="U623" s="256">
        <v>-8.7714797904911261</v>
      </c>
      <c r="V623" s="256">
        <v>-0.7629229022466294</v>
      </c>
      <c r="W623" s="256">
        <v>-7.4791954542510792</v>
      </c>
      <c r="X623" s="256" t="s">
        <v>1417</v>
      </c>
      <c r="Y623" s="256" t="s">
        <v>1417</v>
      </c>
      <c r="Z623" s="256" t="s">
        <v>1417</v>
      </c>
      <c r="AA623" s="256" t="s">
        <v>1417</v>
      </c>
      <c r="AB623" s="256">
        <v>0.73810565027833686</v>
      </c>
      <c r="AC623" s="260">
        <v>-1.7001171527966417</v>
      </c>
      <c r="AD623" s="405">
        <v>41395280000161</v>
      </c>
      <c r="AE623" s="257" t="s">
        <v>2229</v>
      </c>
      <c r="AF623" s="257" t="s">
        <v>2109</v>
      </c>
      <c r="AG623" s="261" t="s">
        <v>1432</v>
      </c>
      <c r="AH623" s="261" t="s">
        <v>2110</v>
      </c>
      <c r="AI623" s="261">
        <v>0</v>
      </c>
      <c r="AJ623" s="261">
        <v>0</v>
      </c>
      <c r="AK623" s="261">
        <v>0</v>
      </c>
      <c r="AL623" s="256">
        <v>5.0000000000000001E-4</v>
      </c>
      <c r="AM623" s="256" t="s">
        <v>34</v>
      </c>
      <c r="AN623" s="256" t="s">
        <v>34</v>
      </c>
      <c r="AO623" s="254" t="s">
        <v>1324</v>
      </c>
      <c r="AP623" s="257" t="s">
        <v>13</v>
      </c>
      <c r="AQ623" s="263" t="s">
        <v>679</v>
      </c>
      <c r="AR623" s="256">
        <v>1.6664999999999998E-4</v>
      </c>
      <c r="AS623" s="256">
        <v>1.6664999999999998E-4</v>
      </c>
      <c r="AT623" s="256"/>
      <c r="AX623" s="508"/>
      <c r="AY623" s="509"/>
      <c r="AZ623" s="509"/>
      <c r="BA623" s="509"/>
      <c r="BB623" s="510"/>
      <c r="BC623" s="509"/>
      <c r="BD623" s="509"/>
      <c r="BE623" s="509"/>
      <c r="BF623" s="509"/>
      <c r="BG623" s="510"/>
      <c r="BH623" s="510"/>
      <c r="BI623" s="511"/>
      <c r="BJ623" s="511"/>
      <c r="BK623" s="511"/>
      <c r="BL623" s="510"/>
      <c r="BM623" s="510"/>
      <c r="BN623" s="510"/>
      <c r="BO623" s="510"/>
      <c r="BP623" s="510"/>
      <c r="BQ623" s="510"/>
      <c r="BR623" s="510"/>
      <c r="BS623" s="510"/>
      <c r="BT623" s="513"/>
      <c r="BU623" s="514"/>
      <c r="BV623" s="512"/>
      <c r="BW623" s="515"/>
    </row>
    <row r="624" spans="2:75" ht="15.75" customHeight="1">
      <c r="B624" s="250" t="s">
        <v>604</v>
      </c>
      <c r="C624" s="251">
        <v>43508005000132</v>
      </c>
      <c r="D624" s="252" t="s">
        <v>14</v>
      </c>
      <c r="E624" s="252" t="s">
        <v>15</v>
      </c>
      <c r="F624" s="252" t="s">
        <v>701</v>
      </c>
      <c r="G624" s="253"/>
      <c r="H624" s="253" t="s">
        <v>34</v>
      </c>
      <c r="I624" s="253" t="s">
        <v>34</v>
      </c>
      <c r="J624" s="253" t="s">
        <v>611</v>
      </c>
      <c r="K624" s="254" t="s">
        <v>49</v>
      </c>
      <c r="L624" s="255"/>
      <c r="M624" s="255" t="s">
        <v>34</v>
      </c>
      <c r="N624" s="254">
        <v>616052</v>
      </c>
      <c r="O624" s="254" t="s">
        <v>1321</v>
      </c>
      <c r="P624" s="258">
        <v>44469</v>
      </c>
      <c r="Q624" s="259">
        <v>9410341.4000000004</v>
      </c>
      <c r="R624" s="259" t="s">
        <v>1417</v>
      </c>
      <c r="S624" s="254">
        <v>13</v>
      </c>
      <c r="T624" s="256">
        <v>-0.78726785015839951</v>
      </c>
      <c r="U624" s="256">
        <v>-10.177165159013621</v>
      </c>
      <c r="V624" s="256" t="s">
        <v>1417</v>
      </c>
      <c r="W624" s="256" t="s">
        <v>1417</v>
      </c>
      <c r="X624" s="256" t="s">
        <v>1417</v>
      </c>
      <c r="Y624" s="256" t="s">
        <v>1417</v>
      </c>
      <c r="Z624" s="256" t="s">
        <v>1417</v>
      </c>
      <c r="AA624" s="256" t="s">
        <v>1417</v>
      </c>
      <c r="AB624" s="256" t="s">
        <v>1417</v>
      </c>
      <c r="AC624" s="260" t="s">
        <v>1417</v>
      </c>
      <c r="AD624" s="405">
        <v>42682760000176</v>
      </c>
      <c r="AE624" s="257" t="s">
        <v>2229</v>
      </c>
      <c r="AF624" s="257" t="s">
        <v>2109</v>
      </c>
      <c r="AG624" s="261" t="s">
        <v>1432</v>
      </c>
      <c r="AH624" s="261" t="s">
        <v>2110</v>
      </c>
      <c r="AI624" s="261">
        <v>0</v>
      </c>
      <c r="AJ624" s="261">
        <v>0</v>
      </c>
      <c r="AK624" s="261">
        <v>0</v>
      </c>
      <c r="AL624" s="256">
        <v>1.3999999999999999E-2</v>
      </c>
      <c r="AM624" s="256">
        <v>0.2</v>
      </c>
      <c r="AN624" s="256" t="s">
        <v>2127</v>
      </c>
      <c r="AO624" s="254" t="s">
        <v>1324</v>
      </c>
      <c r="AP624" s="257" t="s">
        <v>13</v>
      </c>
      <c r="AQ624" s="263" t="s">
        <v>679</v>
      </c>
      <c r="AR624" s="256">
        <v>4.6661999999999997E-3</v>
      </c>
      <c r="AS624" s="256">
        <v>4.6661999999999997E-3</v>
      </c>
      <c r="AT624" s="256"/>
      <c r="AX624" s="508"/>
      <c r="AY624" s="509"/>
      <c r="AZ624" s="509"/>
      <c r="BA624" s="509"/>
      <c r="BB624" s="510"/>
      <c r="BC624" s="509"/>
      <c r="BD624" s="509"/>
      <c r="BE624" s="509"/>
      <c r="BF624" s="509"/>
      <c r="BG624" s="510"/>
      <c r="BH624" s="510"/>
      <c r="BI624" s="511"/>
      <c r="BJ624" s="511"/>
      <c r="BK624" s="511"/>
      <c r="BL624" s="510"/>
      <c r="BM624" s="510"/>
      <c r="BN624" s="510"/>
      <c r="BO624" s="510"/>
      <c r="BP624" s="510"/>
      <c r="BQ624" s="510"/>
      <c r="BR624" s="510"/>
      <c r="BS624" s="510"/>
      <c r="BT624" s="513"/>
      <c r="BU624" s="514"/>
      <c r="BV624" s="512"/>
      <c r="BW624" s="515"/>
    </row>
    <row r="625" spans="2:75" ht="15.75" customHeight="1">
      <c r="B625" s="250" t="s">
        <v>1262</v>
      </c>
      <c r="C625" s="251">
        <v>43984912000158</v>
      </c>
      <c r="D625" s="252" t="s">
        <v>14</v>
      </c>
      <c r="E625" s="252" t="s">
        <v>15</v>
      </c>
      <c r="F625" s="252" t="s">
        <v>701</v>
      </c>
      <c r="G625" s="253"/>
      <c r="H625" s="253" t="s">
        <v>34</v>
      </c>
      <c r="I625" s="253" t="s">
        <v>34</v>
      </c>
      <c r="J625" s="253" t="s">
        <v>611</v>
      </c>
      <c r="K625" s="254" t="s">
        <v>49</v>
      </c>
      <c r="L625" s="255"/>
      <c r="M625" s="255" t="s">
        <v>34</v>
      </c>
      <c r="N625" s="254">
        <v>626090</v>
      </c>
      <c r="O625" s="254" t="s">
        <v>1321</v>
      </c>
      <c r="P625" s="258">
        <v>44530</v>
      </c>
      <c r="Q625" s="259">
        <v>6729998.2199999997</v>
      </c>
      <c r="R625" s="259" t="s">
        <v>1417</v>
      </c>
      <c r="S625" s="254">
        <v>13</v>
      </c>
      <c r="T625" s="256">
        <v>-0.74418394206754956</v>
      </c>
      <c r="U625" s="256">
        <v>-9.620211069947084</v>
      </c>
      <c r="V625" s="256" t="s">
        <v>1417</v>
      </c>
      <c r="W625" s="256" t="s">
        <v>1417</v>
      </c>
      <c r="X625" s="256" t="s">
        <v>1417</v>
      </c>
      <c r="Y625" s="256" t="s">
        <v>1417</v>
      </c>
      <c r="Z625" s="256" t="s">
        <v>1417</v>
      </c>
      <c r="AA625" s="256" t="s">
        <v>1417</v>
      </c>
      <c r="AB625" s="256" t="s">
        <v>1417</v>
      </c>
      <c r="AC625" s="260" t="s">
        <v>1417</v>
      </c>
      <c r="AD625" s="405">
        <v>40226808000106</v>
      </c>
      <c r="AE625" s="257" t="s">
        <v>2229</v>
      </c>
      <c r="AF625" s="257" t="s">
        <v>2109</v>
      </c>
      <c r="AG625" s="261" t="s">
        <v>1432</v>
      </c>
      <c r="AH625" s="261" t="s">
        <v>2110</v>
      </c>
      <c r="AI625" s="261">
        <v>5000</v>
      </c>
      <c r="AJ625" s="261">
        <v>100</v>
      </c>
      <c r="AK625" s="261">
        <v>100</v>
      </c>
      <c r="AL625" s="256">
        <v>1.3999999999999999E-2</v>
      </c>
      <c r="AM625" s="256">
        <v>0.2</v>
      </c>
      <c r="AN625" s="256" t="s">
        <v>2127</v>
      </c>
      <c r="AO625" s="254" t="s">
        <v>1324</v>
      </c>
      <c r="AP625" s="257" t="s">
        <v>13</v>
      </c>
      <c r="AQ625" s="263" t="s">
        <v>679</v>
      </c>
      <c r="AR625" s="256">
        <v>4.6661999999999997E-3</v>
      </c>
      <c r="AS625" s="256">
        <v>4.6661999999999997E-3</v>
      </c>
      <c r="AT625" s="256"/>
      <c r="AX625" s="508"/>
      <c r="AY625" s="509"/>
      <c r="AZ625" s="509"/>
      <c r="BA625" s="509"/>
      <c r="BB625" s="510"/>
      <c r="BC625" s="509"/>
      <c r="BD625" s="509"/>
      <c r="BE625" s="509"/>
      <c r="BF625" s="509"/>
      <c r="BG625" s="510"/>
      <c r="BH625" s="510"/>
      <c r="BI625" s="511"/>
      <c r="BJ625" s="511"/>
      <c r="BK625" s="511"/>
      <c r="BL625" s="510"/>
      <c r="BM625" s="510"/>
      <c r="BN625" s="510"/>
      <c r="BO625" s="510"/>
      <c r="BP625" s="510"/>
      <c r="BQ625" s="510"/>
      <c r="BR625" s="510"/>
      <c r="BS625" s="510"/>
      <c r="BT625" s="513"/>
      <c r="BU625" s="514"/>
      <c r="BV625" s="512"/>
      <c r="BW625" s="515"/>
    </row>
    <row r="626" spans="2:75" ht="15.75" customHeight="1">
      <c r="B626" s="250" t="s">
        <v>506</v>
      </c>
      <c r="C626" s="251">
        <v>43507873000106</v>
      </c>
      <c r="D626" s="252" t="s">
        <v>14</v>
      </c>
      <c r="E626" s="252" t="s">
        <v>15</v>
      </c>
      <c r="F626" s="252" t="s">
        <v>701</v>
      </c>
      <c r="G626" s="253"/>
      <c r="H626" s="253" t="s">
        <v>34</v>
      </c>
      <c r="I626" s="253" t="s">
        <v>34</v>
      </c>
      <c r="J626" s="253" t="s">
        <v>611</v>
      </c>
      <c r="K626" s="254" t="s">
        <v>49</v>
      </c>
      <c r="L626" s="255"/>
      <c r="M626" s="255" t="s">
        <v>1414</v>
      </c>
      <c r="N626" s="254">
        <v>619711</v>
      </c>
      <c r="O626" s="254" t="s">
        <v>1321</v>
      </c>
      <c r="P626" s="258">
        <v>44494</v>
      </c>
      <c r="Q626" s="259">
        <v>631568.18999999994</v>
      </c>
      <c r="R626" s="259" t="s">
        <v>1417</v>
      </c>
      <c r="S626" s="254">
        <v>13</v>
      </c>
      <c r="T626" s="256">
        <v>-0.61293726959215333</v>
      </c>
      <c r="U626" s="256">
        <v>-7.9235597179525543</v>
      </c>
      <c r="V626" s="256" t="s">
        <v>1417</v>
      </c>
      <c r="W626" s="256" t="s">
        <v>1417</v>
      </c>
      <c r="X626" s="256" t="s">
        <v>1417</v>
      </c>
      <c r="Y626" s="256" t="s">
        <v>1417</v>
      </c>
      <c r="Z626" s="256" t="s">
        <v>1417</v>
      </c>
      <c r="AA626" s="256" t="s">
        <v>1417</v>
      </c>
      <c r="AB626" s="256" t="s">
        <v>1417</v>
      </c>
      <c r="AC626" s="260" t="s">
        <v>1417</v>
      </c>
      <c r="AD626" s="405">
        <v>35435027000191</v>
      </c>
      <c r="AE626" s="257" t="s">
        <v>2229</v>
      </c>
      <c r="AF626" s="257" t="s">
        <v>2109</v>
      </c>
      <c r="AG626" s="261" t="s">
        <v>1432</v>
      </c>
      <c r="AH626" s="261" t="s">
        <v>2110</v>
      </c>
      <c r="AI626" s="261">
        <v>500</v>
      </c>
      <c r="AJ626" s="261">
        <v>500</v>
      </c>
      <c r="AK626" s="261">
        <v>500</v>
      </c>
      <c r="AL626" s="256">
        <v>5.0000000000000001E-4</v>
      </c>
      <c r="AM626" s="256" t="s">
        <v>34</v>
      </c>
      <c r="AN626" s="256" t="s">
        <v>2127</v>
      </c>
      <c r="AO626" s="254" t="s">
        <v>1324</v>
      </c>
      <c r="AP626" s="257" t="s">
        <v>13</v>
      </c>
      <c r="AQ626" s="263" t="s">
        <v>679</v>
      </c>
      <c r="AR626" s="256">
        <v>1.6664999999999998E-4</v>
      </c>
      <c r="AS626" s="256">
        <v>1.6664999999999998E-4</v>
      </c>
      <c r="AT626" s="256"/>
      <c r="AX626" s="508"/>
      <c r="AY626" s="509"/>
      <c r="AZ626" s="509"/>
      <c r="BA626" s="509"/>
      <c r="BB626" s="510"/>
      <c r="BC626" s="509"/>
      <c r="BD626" s="509"/>
      <c r="BE626" s="509"/>
      <c r="BF626" s="509"/>
      <c r="BG626" s="510"/>
      <c r="BH626" s="510"/>
      <c r="BI626" s="511"/>
      <c r="BJ626" s="511"/>
      <c r="BK626" s="511"/>
      <c r="BL626" s="510"/>
      <c r="BM626" s="510"/>
      <c r="BN626" s="510"/>
      <c r="BO626" s="510"/>
      <c r="BP626" s="510"/>
      <c r="BQ626" s="510"/>
      <c r="BR626" s="510"/>
      <c r="BS626" s="510"/>
      <c r="BT626" s="513"/>
      <c r="BU626" s="514"/>
      <c r="BV626" s="512"/>
      <c r="BW626" s="515"/>
    </row>
    <row r="627" spans="2:75" ht="15.75" customHeight="1">
      <c r="B627" s="250" t="s">
        <v>209</v>
      </c>
      <c r="C627" s="251">
        <v>27324405000131</v>
      </c>
      <c r="D627" s="252" t="s">
        <v>13</v>
      </c>
      <c r="E627" s="252" t="s">
        <v>615</v>
      </c>
      <c r="F627" s="252" t="s">
        <v>619</v>
      </c>
      <c r="G627" s="253" t="s">
        <v>34</v>
      </c>
      <c r="H627" s="253" t="s">
        <v>1337</v>
      </c>
      <c r="I627" s="253" t="s">
        <v>34</v>
      </c>
      <c r="J627" s="253" t="s">
        <v>611</v>
      </c>
      <c r="K627" s="254" t="s">
        <v>48</v>
      </c>
      <c r="L627" s="255"/>
      <c r="M627" s="255" t="s">
        <v>1414</v>
      </c>
      <c r="N627" s="254">
        <v>441996</v>
      </c>
      <c r="O627" s="254" t="s">
        <v>1321</v>
      </c>
      <c r="P627" s="258">
        <v>42877</v>
      </c>
      <c r="Q627" s="259">
        <v>58067890.469999999</v>
      </c>
      <c r="R627" s="259">
        <v>74265138.602063477</v>
      </c>
      <c r="S627" s="254">
        <v>13</v>
      </c>
      <c r="T627" s="256">
        <v>4.2272682563059494E-2</v>
      </c>
      <c r="U627" s="256">
        <v>0.54646721833268252</v>
      </c>
      <c r="V627" s="256">
        <v>5.4754052662313812E-2</v>
      </c>
      <c r="W627" s="256">
        <v>0.53677279914899934</v>
      </c>
      <c r="X627" s="256">
        <v>9.1780808383400858E-2</v>
      </c>
      <c r="Y627" s="256">
        <v>0.69599054292344986</v>
      </c>
      <c r="Z627" s="256">
        <v>0.18258804378308646</v>
      </c>
      <c r="AA627" s="256">
        <v>1.0378896337637171</v>
      </c>
      <c r="AB627" s="256">
        <v>3.9114029565807014E-2</v>
      </c>
      <c r="AC627" s="260">
        <v>-1.1013187219327158</v>
      </c>
      <c r="AD627" s="405">
        <v>0</v>
      </c>
      <c r="AE627" s="257" t="s">
        <v>2259</v>
      </c>
      <c r="AF627" s="257" t="s">
        <v>2118</v>
      </c>
      <c r="AG627" s="261" t="s">
        <v>1433</v>
      </c>
      <c r="AH627" s="261" t="s">
        <v>2113</v>
      </c>
      <c r="AI627" s="261">
        <v>25000</v>
      </c>
      <c r="AJ627" s="261">
        <v>10000</v>
      </c>
      <c r="AK627" s="261">
        <v>20000</v>
      </c>
      <c r="AL627" s="256">
        <v>5.5000000000000005E-3</v>
      </c>
      <c r="AM627" s="256">
        <v>0.1</v>
      </c>
      <c r="AN627" s="256" t="s">
        <v>64</v>
      </c>
      <c r="AO627" s="254" t="s">
        <v>1324</v>
      </c>
      <c r="AP627" s="257" t="s">
        <v>13</v>
      </c>
      <c r="AQ627" s="263" t="s">
        <v>668</v>
      </c>
      <c r="AR627" s="256">
        <v>1.2833333333333332E-3</v>
      </c>
      <c r="AS627" s="256">
        <v>1.2833333333333332E-3</v>
      </c>
      <c r="AT627" s="256"/>
      <c r="AX627" s="508"/>
      <c r="AY627" s="509"/>
      <c r="AZ627" s="509"/>
      <c r="BA627" s="509"/>
      <c r="BB627" s="510"/>
      <c r="BC627" s="509"/>
      <c r="BD627" s="509"/>
      <c r="BE627" s="509"/>
      <c r="BF627" s="509"/>
      <c r="BG627" s="510"/>
      <c r="BH627" s="510"/>
      <c r="BI627" s="511"/>
      <c r="BJ627" s="511"/>
      <c r="BK627" s="511"/>
      <c r="BL627" s="510"/>
      <c r="BM627" s="510"/>
      <c r="BN627" s="510"/>
      <c r="BO627" s="510"/>
      <c r="BP627" s="510"/>
      <c r="BQ627" s="510"/>
      <c r="BR627" s="510"/>
      <c r="BS627" s="510"/>
      <c r="BT627" s="513"/>
      <c r="BU627" s="514"/>
      <c r="BV627" s="512"/>
      <c r="BW627" s="515"/>
    </row>
    <row r="628" spans="2:75" ht="15.75" customHeight="1">
      <c r="B628" s="250" t="s">
        <v>740</v>
      </c>
      <c r="C628" s="251">
        <v>31848238000103</v>
      </c>
      <c r="D628" s="252" t="s">
        <v>14</v>
      </c>
      <c r="E628" s="252" t="s">
        <v>607</v>
      </c>
      <c r="F628" s="252"/>
      <c r="G628" s="253"/>
      <c r="H628" s="253" t="s">
        <v>34</v>
      </c>
      <c r="I628" s="253" t="s">
        <v>34</v>
      </c>
      <c r="J628" s="253" t="s">
        <v>608</v>
      </c>
      <c r="K628" s="254" t="s">
        <v>48</v>
      </c>
      <c r="L628" s="255"/>
      <c r="M628" s="255" t="s">
        <v>1414</v>
      </c>
      <c r="N628" s="254">
        <v>509892</v>
      </c>
      <c r="O628" s="254" t="s">
        <v>1321</v>
      </c>
      <c r="P628" s="258">
        <v>43658</v>
      </c>
      <c r="Q628" s="259">
        <v>2262268.5499999998</v>
      </c>
      <c r="R628" s="259">
        <v>3482117.4941666676</v>
      </c>
      <c r="S628" s="254">
        <v>13</v>
      </c>
      <c r="T628" s="256">
        <v>-5.3367427989555849E-2</v>
      </c>
      <c r="U628" s="256">
        <v>-0.68989115794859113</v>
      </c>
      <c r="V628" s="256">
        <v>-0.17308578445774614</v>
      </c>
      <c r="W628" s="256">
        <v>-1.6968194407321273</v>
      </c>
      <c r="X628" s="256">
        <v>-7.3739058769766053E-2</v>
      </c>
      <c r="Y628" s="256">
        <v>-0.5591766781291011</v>
      </c>
      <c r="Z628" s="256">
        <v>3.7952160272171964E-2</v>
      </c>
      <c r="AA628" s="256">
        <v>0.21573238263191935</v>
      </c>
      <c r="AB628" s="256">
        <v>0.17331498170270546</v>
      </c>
      <c r="AC628" s="260">
        <v>-1.5700749830704859</v>
      </c>
      <c r="AD628" s="405">
        <v>0</v>
      </c>
      <c r="AE628" s="257" t="s">
        <v>2134</v>
      </c>
      <c r="AF628" s="257" t="s">
        <v>741</v>
      </c>
      <c r="AG628" s="261" t="s">
        <v>741</v>
      </c>
      <c r="AH628" s="261" t="s">
        <v>2113</v>
      </c>
      <c r="AI628" s="261">
        <v>5000</v>
      </c>
      <c r="AJ628" s="261">
        <v>500</v>
      </c>
      <c r="AK628" s="261">
        <v>5000</v>
      </c>
      <c r="AL628" s="519">
        <v>1.9650000000000001E-2</v>
      </c>
      <c r="AM628" s="519">
        <v>0.2</v>
      </c>
      <c r="AN628" s="256" t="s">
        <v>666</v>
      </c>
      <c r="AO628" s="254" t="s">
        <v>1324</v>
      </c>
      <c r="AP628" s="257" t="s">
        <v>716</v>
      </c>
      <c r="AQ628" s="263" t="s">
        <v>665</v>
      </c>
      <c r="AR628" s="256">
        <v>1.3333333333333333E-3</v>
      </c>
      <c r="AS628" s="256">
        <v>1.3333333333333333E-3</v>
      </c>
      <c r="AT628" s="256"/>
      <c r="AX628" s="508"/>
      <c r="AY628" s="509"/>
      <c r="AZ628" s="509"/>
      <c r="BA628" s="509"/>
      <c r="BB628" s="510"/>
      <c r="BC628" s="509"/>
      <c r="BD628" s="509"/>
      <c r="BE628" s="509"/>
      <c r="BF628" s="509"/>
      <c r="BG628" s="510"/>
      <c r="BH628" s="510"/>
      <c r="BI628" s="511"/>
      <c r="BJ628" s="511"/>
      <c r="BK628" s="511"/>
      <c r="BL628" s="510"/>
      <c r="BM628" s="510"/>
      <c r="BN628" s="510"/>
      <c r="BO628" s="510"/>
      <c r="BP628" s="510"/>
      <c r="BQ628" s="510"/>
      <c r="BR628" s="510"/>
      <c r="BS628" s="510"/>
      <c r="BT628" s="513"/>
      <c r="BU628" s="514"/>
      <c r="BV628" s="512"/>
      <c r="BW628" s="515"/>
    </row>
    <row r="629" spans="2:75" ht="15.75" customHeight="1">
      <c r="B629" s="250" t="s">
        <v>1567</v>
      </c>
      <c r="C629" s="251">
        <v>4147027000162</v>
      </c>
      <c r="D629" s="252" t="s">
        <v>13</v>
      </c>
      <c r="E629" s="252" t="s">
        <v>615</v>
      </c>
      <c r="F629" s="252" t="s">
        <v>619</v>
      </c>
      <c r="G629" s="253" t="s">
        <v>34</v>
      </c>
      <c r="H629" s="253" t="s">
        <v>1338</v>
      </c>
      <c r="I629" s="253" t="s">
        <v>34</v>
      </c>
      <c r="J629" s="253" t="s">
        <v>611</v>
      </c>
      <c r="K629" s="254" t="s">
        <v>48</v>
      </c>
      <c r="L629" s="255"/>
      <c r="M629" s="255"/>
      <c r="N629" s="254">
        <v>97081</v>
      </c>
      <c r="O629" s="254" t="s">
        <v>1324</v>
      </c>
      <c r="P629" s="258">
        <v>37196</v>
      </c>
      <c r="Q629" s="259">
        <v>108876576.58</v>
      </c>
      <c r="R629" s="259">
        <v>112160911.68960318</v>
      </c>
      <c r="S629" s="254">
        <v>14</v>
      </c>
      <c r="T629" s="256">
        <v>0.1115687428004597</v>
      </c>
      <c r="U629" s="256">
        <v>1.2549155707865194</v>
      </c>
      <c r="V629" s="256">
        <v>8.3201869758038338E-2</v>
      </c>
      <c r="W629" s="256">
        <v>0.76360249998287133</v>
      </c>
      <c r="X629" s="256">
        <v>0.16135690642763389</v>
      </c>
      <c r="Y629" s="256">
        <v>1.134627953467167</v>
      </c>
      <c r="Z629" s="256">
        <v>0.17423001460220999</v>
      </c>
      <c r="AA629" s="256">
        <v>0.95209101131221241</v>
      </c>
      <c r="AB629" s="256">
        <v>8.1788575528471921E-2</v>
      </c>
      <c r="AC629" s="260">
        <v>-0.24674708923460983</v>
      </c>
      <c r="AD629" s="405">
        <v>22188046000119</v>
      </c>
      <c r="AE629" s="257" t="s">
        <v>1547</v>
      </c>
      <c r="AF629" s="257" t="s">
        <v>2121</v>
      </c>
      <c r="AG629" s="261" t="s">
        <v>1547</v>
      </c>
      <c r="AH629" s="261" t="s">
        <v>2113</v>
      </c>
      <c r="AI629" s="261">
        <v>100000</v>
      </c>
      <c r="AJ629" s="261">
        <v>50000</v>
      </c>
      <c r="AK629" s="261">
        <v>100000</v>
      </c>
      <c r="AL629" s="256">
        <v>0</v>
      </c>
      <c r="AM629" s="256" t="s">
        <v>34</v>
      </c>
      <c r="AN629" s="256" t="s">
        <v>64</v>
      </c>
      <c r="AO629" s="254" t="s">
        <v>1324</v>
      </c>
      <c r="AP629" s="257" t="s">
        <v>13</v>
      </c>
      <c r="AQ629" s="263" t="s">
        <v>664</v>
      </c>
      <c r="AR629" s="256" t="s">
        <v>34</v>
      </c>
      <c r="AS629" s="256" t="s">
        <v>34</v>
      </c>
      <c r="AT629" s="256"/>
      <c r="AX629" s="508"/>
      <c r="AY629" s="509"/>
      <c r="AZ629" s="509"/>
      <c r="BA629" s="509"/>
      <c r="BB629" s="510"/>
      <c r="BC629" s="509"/>
      <c r="BD629" s="509"/>
      <c r="BE629" s="509"/>
      <c r="BF629" s="509"/>
      <c r="BG629" s="510"/>
      <c r="BH629" s="510"/>
      <c r="BI629" s="511"/>
      <c r="BJ629" s="511"/>
      <c r="BK629" s="511"/>
      <c r="BL629" s="510"/>
      <c r="BM629" s="510"/>
      <c r="BN629" s="510"/>
      <c r="BO629" s="510"/>
      <c r="BP629" s="510"/>
      <c r="BQ629" s="510"/>
      <c r="BR629" s="510"/>
      <c r="BS629" s="510"/>
      <c r="BT629" s="513"/>
      <c r="BU629" s="514"/>
      <c r="BV629" s="512"/>
      <c r="BW629" s="515"/>
    </row>
    <row r="630" spans="2:75" ht="15.75" customHeight="1">
      <c r="B630" s="250" t="s">
        <v>185</v>
      </c>
      <c r="C630" s="251">
        <v>13155995000101</v>
      </c>
      <c r="D630" s="252" t="s">
        <v>14</v>
      </c>
      <c r="E630" s="252" t="s">
        <v>607</v>
      </c>
      <c r="F630" s="252"/>
      <c r="G630" s="253"/>
      <c r="H630" s="253" t="s">
        <v>34</v>
      </c>
      <c r="I630" s="253" t="s">
        <v>34</v>
      </c>
      <c r="J630" s="253" t="s">
        <v>608</v>
      </c>
      <c r="K630" s="254" t="s">
        <v>48</v>
      </c>
      <c r="L630" s="255"/>
      <c r="M630" s="255" t="s">
        <v>1414</v>
      </c>
      <c r="N630" s="254">
        <v>289140</v>
      </c>
      <c r="O630" s="254" t="s">
        <v>1321</v>
      </c>
      <c r="P630" s="258">
        <v>40802</v>
      </c>
      <c r="Q630" s="259">
        <v>140563845.65000001</v>
      </c>
      <c r="R630" s="259">
        <v>151542825.07503977</v>
      </c>
      <c r="S630" s="254">
        <v>14</v>
      </c>
      <c r="T630" s="256">
        <v>5.6849573694760291E-2</v>
      </c>
      <c r="U630" s="256">
        <v>0.73490553512973134</v>
      </c>
      <c r="V630" s="256">
        <v>-0.11648045801563067</v>
      </c>
      <c r="W630" s="256">
        <v>-1.1418979683715971</v>
      </c>
      <c r="X630" s="256">
        <v>-2.1059589757095099E-2</v>
      </c>
      <c r="Y630" s="256">
        <v>-0.15969869482470805</v>
      </c>
      <c r="Z630" s="256">
        <v>3.0372141104899608E-3</v>
      </c>
      <c r="AA630" s="256">
        <v>1.7264509633190029E-2</v>
      </c>
      <c r="AB630" s="256">
        <v>0.21599854298955165</v>
      </c>
      <c r="AC630" s="260">
        <v>-0.91498889122752702</v>
      </c>
      <c r="AD630" s="405">
        <v>0</v>
      </c>
      <c r="AE630" s="257" t="s">
        <v>2224</v>
      </c>
      <c r="AF630" s="257" t="s">
        <v>741</v>
      </c>
      <c r="AG630" s="261" t="s">
        <v>741</v>
      </c>
      <c r="AH630" s="261" t="s">
        <v>2113</v>
      </c>
      <c r="AI630" s="261">
        <v>500</v>
      </c>
      <c r="AJ630" s="261">
        <v>500</v>
      </c>
      <c r="AK630" s="261">
        <v>500</v>
      </c>
      <c r="AL630" s="256">
        <v>0.02</v>
      </c>
      <c r="AM630" s="256">
        <v>0.2</v>
      </c>
      <c r="AN630" s="256" t="s">
        <v>666</v>
      </c>
      <c r="AO630" s="254" t="s">
        <v>1324</v>
      </c>
      <c r="AP630" s="257" t="s">
        <v>716</v>
      </c>
      <c r="AQ630" s="263" t="s">
        <v>670</v>
      </c>
      <c r="AR630" s="256">
        <v>3.3333333333333335E-3</v>
      </c>
      <c r="AS630" s="256">
        <v>3.3333333333333335E-3</v>
      </c>
      <c r="AT630" s="256"/>
      <c r="AX630" s="508"/>
      <c r="AY630" s="509"/>
      <c r="AZ630" s="509"/>
      <c r="BA630" s="509"/>
      <c r="BB630" s="510"/>
      <c r="BC630" s="509"/>
      <c r="BD630" s="509"/>
      <c r="BE630" s="509"/>
      <c r="BF630" s="509"/>
      <c r="BG630" s="510"/>
      <c r="BH630" s="510"/>
      <c r="BI630" s="511"/>
      <c r="BJ630" s="511"/>
      <c r="BK630" s="511"/>
      <c r="BL630" s="510"/>
      <c r="BM630" s="510"/>
      <c r="BN630" s="510"/>
      <c r="BO630" s="510"/>
      <c r="BP630" s="510"/>
      <c r="BQ630" s="510"/>
      <c r="BR630" s="510"/>
      <c r="BS630" s="510"/>
      <c r="BT630" s="513"/>
      <c r="BU630" s="514"/>
      <c r="BV630" s="512"/>
      <c r="BW630" s="515"/>
    </row>
    <row r="631" spans="2:75" ht="15.75" customHeight="1">
      <c r="B631" s="250" t="s">
        <v>220</v>
      </c>
      <c r="C631" s="251">
        <v>24623392000103</v>
      </c>
      <c r="D631" s="252" t="s">
        <v>14</v>
      </c>
      <c r="E631" s="252" t="s">
        <v>614</v>
      </c>
      <c r="F631" s="252"/>
      <c r="G631" s="253"/>
      <c r="H631" s="253" t="s">
        <v>1338</v>
      </c>
      <c r="I631" s="253" t="s">
        <v>34</v>
      </c>
      <c r="J631" s="253" t="s">
        <v>608</v>
      </c>
      <c r="K631" s="254" t="s">
        <v>48</v>
      </c>
      <c r="L631" s="255"/>
      <c r="M631" s="255" t="s">
        <v>34</v>
      </c>
      <c r="N631" s="254">
        <v>420591</v>
      </c>
      <c r="O631" s="254" t="s">
        <v>1321</v>
      </c>
      <c r="P631" s="258">
        <v>42562</v>
      </c>
      <c r="Q631" s="259">
        <v>19076564.600000001</v>
      </c>
      <c r="R631" s="259">
        <v>17893028.365158737</v>
      </c>
      <c r="S631" s="254">
        <v>14</v>
      </c>
      <c r="T631" s="256">
        <v>0.11064787588552383</v>
      </c>
      <c r="U631" s="256">
        <v>1.4303666879759502</v>
      </c>
      <c r="V631" s="256">
        <v>0.10320206366794404</v>
      </c>
      <c r="W631" s="256">
        <v>1.0117253043284529</v>
      </c>
      <c r="X631" s="256">
        <v>0.33024121327579081</v>
      </c>
      <c r="Y631" s="256">
        <v>2.5042791120707246</v>
      </c>
      <c r="Z631" s="256">
        <v>0.76101644732156104</v>
      </c>
      <c r="AA631" s="256">
        <v>4.3258641991754869</v>
      </c>
      <c r="AB631" s="256">
        <v>0.24738513363878367</v>
      </c>
      <c r="AC631" s="260">
        <v>0.12774169300612562</v>
      </c>
      <c r="AD631" s="405">
        <v>0</v>
      </c>
      <c r="AE631" s="257" t="s">
        <v>2265</v>
      </c>
      <c r="AF631" s="257" t="s">
        <v>2109</v>
      </c>
      <c r="AG631" s="261" t="s">
        <v>1432</v>
      </c>
      <c r="AH631" s="261" t="s">
        <v>2113</v>
      </c>
      <c r="AI631" s="261">
        <v>5000</v>
      </c>
      <c r="AJ631" s="261">
        <v>1000</v>
      </c>
      <c r="AK631" s="261">
        <v>1000</v>
      </c>
      <c r="AL631" s="256">
        <v>0.02</v>
      </c>
      <c r="AM631" s="256">
        <v>0.2</v>
      </c>
      <c r="AN631" s="256" t="s">
        <v>64</v>
      </c>
      <c r="AO631" s="254" t="s">
        <v>1324</v>
      </c>
      <c r="AP631" s="257" t="s">
        <v>13</v>
      </c>
      <c r="AQ631" s="263" t="s">
        <v>668</v>
      </c>
      <c r="AR631" s="256">
        <v>4.6666666666666662E-3</v>
      </c>
      <c r="AS631" s="256">
        <v>4.6666666666666662E-3</v>
      </c>
      <c r="AT631" s="256"/>
      <c r="AX631" s="508"/>
      <c r="AY631" s="509"/>
      <c r="AZ631" s="509"/>
      <c r="BA631" s="509"/>
      <c r="BB631" s="510"/>
      <c r="BC631" s="509"/>
      <c r="BD631" s="509"/>
      <c r="BE631" s="509"/>
      <c r="BF631" s="509"/>
      <c r="BG631" s="510"/>
      <c r="BH631" s="510"/>
      <c r="BI631" s="511"/>
      <c r="BJ631" s="511"/>
      <c r="BK631" s="511"/>
      <c r="BL631" s="510"/>
      <c r="BM631" s="510"/>
      <c r="BN631" s="510"/>
      <c r="BO631" s="510"/>
      <c r="BP631" s="510"/>
      <c r="BQ631" s="510"/>
      <c r="BR631" s="510"/>
      <c r="BS631" s="510"/>
      <c r="BT631" s="513"/>
      <c r="BU631" s="514"/>
      <c r="BV631" s="512"/>
      <c r="BW631" s="515"/>
    </row>
    <row r="632" spans="2:75" ht="15.75" customHeight="1">
      <c r="B632" s="250" t="s">
        <v>242</v>
      </c>
      <c r="C632" s="251">
        <v>7266253000150</v>
      </c>
      <c r="D632" s="252" t="s">
        <v>14</v>
      </c>
      <c r="E632" s="252" t="s">
        <v>607</v>
      </c>
      <c r="F632" s="252"/>
      <c r="G632" s="253"/>
      <c r="H632" s="253" t="s">
        <v>34</v>
      </c>
      <c r="I632" s="253" t="s">
        <v>34</v>
      </c>
      <c r="J632" s="253" t="s">
        <v>608</v>
      </c>
      <c r="K632" s="254" t="s">
        <v>48</v>
      </c>
      <c r="L632" s="255"/>
      <c r="M632" s="255" t="s">
        <v>34</v>
      </c>
      <c r="N632" s="254">
        <v>156981</v>
      </c>
      <c r="O632" s="254" t="s">
        <v>1321</v>
      </c>
      <c r="P632" s="258">
        <v>38611</v>
      </c>
      <c r="Q632" s="259">
        <v>21827155.710000001</v>
      </c>
      <c r="R632" s="259">
        <v>24975840.935515858</v>
      </c>
      <c r="S632" s="254">
        <v>14</v>
      </c>
      <c r="T632" s="256">
        <v>-8.8241307723799345E-2</v>
      </c>
      <c r="U632" s="256">
        <v>-1.1407126080047114</v>
      </c>
      <c r="V632" s="256">
        <v>-0.22467290518009486</v>
      </c>
      <c r="W632" s="256">
        <v>-2.2025457174873706</v>
      </c>
      <c r="X632" s="256">
        <v>-0.17010072424250267</v>
      </c>
      <c r="Y632" s="256">
        <v>-1.2899046925220019</v>
      </c>
      <c r="Z632" s="256">
        <v>-0.1060948538230293</v>
      </c>
      <c r="AA632" s="256">
        <v>-0.60307754383641166</v>
      </c>
      <c r="AB632" s="256">
        <v>0.23873749317710669</v>
      </c>
      <c r="AC632" s="260">
        <v>-1.353033837981648</v>
      </c>
      <c r="AD632" s="405">
        <v>11361527000168</v>
      </c>
      <c r="AE632" s="257" t="s">
        <v>2287</v>
      </c>
      <c r="AF632" s="257" t="s">
        <v>2109</v>
      </c>
      <c r="AG632" s="261" t="s">
        <v>1432</v>
      </c>
      <c r="AH632" s="261" t="s">
        <v>2113</v>
      </c>
      <c r="AI632" s="261">
        <v>1000</v>
      </c>
      <c r="AJ632" s="261">
        <v>1000</v>
      </c>
      <c r="AK632" s="261">
        <v>1000</v>
      </c>
      <c r="AL632" s="256">
        <v>0.02</v>
      </c>
      <c r="AM632" s="256">
        <v>0.2</v>
      </c>
      <c r="AN632" s="256" t="s">
        <v>34</v>
      </c>
      <c r="AO632" s="254" t="s">
        <v>1324</v>
      </c>
      <c r="AP632" s="257" t="s">
        <v>716</v>
      </c>
      <c r="AQ632" s="263" t="s">
        <v>659</v>
      </c>
      <c r="AR632" s="256">
        <v>4.6666666666666662E-3</v>
      </c>
      <c r="AS632" s="256">
        <v>4.6666666666666662E-3</v>
      </c>
      <c r="AT632" s="256"/>
      <c r="AX632" s="508"/>
      <c r="AY632" s="509"/>
      <c r="AZ632" s="509"/>
      <c r="BA632" s="509"/>
      <c r="BB632" s="510"/>
      <c r="BC632" s="509"/>
      <c r="BD632" s="509"/>
      <c r="BE632" s="509"/>
      <c r="BF632" s="509"/>
      <c r="BG632" s="510"/>
      <c r="BH632" s="510"/>
      <c r="BI632" s="511"/>
      <c r="BJ632" s="511"/>
      <c r="BK632" s="511"/>
      <c r="BL632" s="510"/>
      <c r="BM632" s="510"/>
      <c r="BN632" s="510"/>
      <c r="BO632" s="510"/>
      <c r="BP632" s="510"/>
      <c r="BQ632" s="510"/>
      <c r="BR632" s="510"/>
      <c r="BS632" s="510"/>
      <c r="BT632" s="513"/>
      <c r="BU632" s="514"/>
      <c r="BV632" s="512"/>
      <c r="BW632" s="515"/>
    </row>
    <row r="633" spans="2:75" ht="15.75" customHeight="1">
      <c r="B633" s="250" t="s">
        <v>1629</v>
      </c>
      <c r="C633" s="251">
        <v>35591542000160</v>
      </c>
      <c r="D633" s="252" t="s">
        <v>14</v>
      </c>
      <c r="E633" s="252"/>
      <c r="F633" s="252"/>
      <c r="G633" s="253"/>
      <c r="H633" s="253" t="s">
        <v>34</v>
      </c>
      <c r="I633" s="253"/>
      <c r="J633" s="253"/>
      <c r="K633" s="254"/>
      <c r="L633" s="255"/>
      <c r="M633" s="255"/>
      <c r="N633" s="254">
        <v>530956</v>
      </c>
      <c r="O633" s="254" t="s">
        <v>1321</v>
      </c>
      <c r="P633" s="258">
        <v>43909</v>
      </c>
      <c r="Q633" s="259">
        <v>113042604.72</v>
      </c>
      <c r="R633" s="259">
        <v>117031758.33912708</v>
      </c>
      <c r="S633" s="254">
        <v>14</v>
      </c>
      <c r="T633" s="256">
        <v>-0.10348795682248502</v>
      </c>
      <c r="U633" s="256">
        <v>-1.1640235889158408</v>
      </c>
      <c r="V633" s="256">
        <v>-0.22486053435874276</v>
      </c>
      <c r="W633" s="256">
        <v>-2.0637044177391406</v>
      </c>
      <c r="X633" s="256">
        <v>-9.854901855330922E-2</v>
      </c>
      <c r="Y633" s="256">
        <v>-0.6929760474026383</v>
      </c>
      <c r="Z633" s="256" t="s">
        <v>1417</v>
      </c>
      <c r="AA633" s="256" t="s">
        <v>1417</v>
      </c>
      <c r="AB633" s="256">
        <v>0.2490969006952253</v>
      </c>
      <c r="AC633" s="260">
        <v>-1.3133614934422204</v>
      </c>
      <c r="AD633" s="405">
        <v>73232530000139</v>
      </c>
      <c r="AE633" s="257" t="s">
        <v>2318</v>
      </c>
      <c r="AF633" s="257" t="s">
        <v>2318</v>
      </c>
      <c r="AG633" s="261" t="s">
        <v>1436</v>
      </c>
      <c r="AH633" s="261" t="s">
        <v>2110</v>
      </c>
      <c r="AI633" s="261" t="s">
        <v>1427</v>
      </c>
      <c r="AJ633" s="261" t="s">
        <v>1427</v>
      </c>
      <c r="AK633" s="261" t="s">
        <v>1427</v>
      </c>
      <c r="AL633" s="256">
        <v>0</v>
      </c>
      <c r="AM633" s="256" t="s">
        <v>34</v>
      </c>
      <c r="AN633" s="256" t="s">
        <v>666</v>
      </c>
      <c r="AO633" s="254" t="s">
        <v>1324</v>
      </c>
      <c r="AP633" s="257" t="s">
        <v>716</v>
      </c>
      <c r="AQ633" s="263" t="s">
        <v>659</v>
      </c>
      <c r="AR633" s="256" t="s">
        <v>34</v>
      </c>
      <c r="AS633" s="256" t="s">
        <v>34</v>
      </c>
      <c r="AT633" s="256"/>
      <c r="AX633" s="508"/>
      <c r="AY633" s="509"/>
      <c r="AZ633" s="509"/>
      <c r="BA633" s="509"/>
      <c r="BB633" s="510"/>
      <c r="BC633" s="509"/>
      <c r="BD633" s="509"/>
      <c r="BE633" s="509"/>
      <c r="BF633" s="509"/>
      <c r="BG633" s="510"/>
      <c r="BH633" s="510"/>
      <c r="BI633" s="511"/>
      <c r="BJ633" s="511"/>
      <c r="BK633" s="511"/>
      <c r="BL633" s="510"/>
      <c r="BM633" s="510"/>
      <c r="BN633" s="510"/>
      <c r="BO633" s="510"/>
      <c r="BP633" s="510"/>
      <c r="BQ633" s="510"/>
      <c r="BR633" s="510"/>
      <c r="BS633" s="510"/>
      <c r="BT633" s="513"/>
      <c r="BU633" s="514"/>
      <c r="BV633" s="512"/>
      <c r="BW633" s="515"/>
    </row>
    <row r="634" spans="2:75" ht="15.75" customHeight="1">
      <c r="B634" s="250" t="s">
        <v>590</v>
      </c>
      <c r="C634" s="251">
        <v>6940782000125</v>
      </c>
      <c r="D634" s="252" t="s">
        <v>14</v>
      </c>
      <c r="E634" s="252" t="s">
        <v>614</v>
      </c>
      <c r="F634" s="252"/>
      <c r="G634" s="253"/>
      <c r="H634" s="253" t="s">
        <v>1338</v>
      </c>
      <c r="I634" s="253" t="s">
        <v>34</v>
      </c>
      <c r="J634" s="253" t="s">
        <v>608</v>
      </c>
      <c r="K634" s="254" t="s">
        <v>48</v>
      </c>
      <c r="L634" s="255"/>
      <c r="M634" s="255" t="s">
        <v>34</v>
      </c>
      <c r="N634" s="254">
        <v>141690</v>
      </c>
      <c r="O634" s="254" t="s">
        <v>1321</v>
      </c>
      <c r="P634" s="258">
        <v>38238</v>
      </c>
      <c r="Q634" s="259">
        <v>10595223.32</v>
      </c>
      <c r="R634" s="259">
        <v>5752900.9848412704</v>
      </c>
      <c r="S634" s="254">
        <v>14</v>
      </c>
      <c r="T634" s="256">
        <v>-3.5858440678693593E-2</v>
      </c>
      <c r="U634" s="256">
        <v>-0.46354906155297876</v>
      </c>
      <c r="V634" s="256">
        <v>-0.15421133934012887</v>
      </c>
      <c r="W634" s="256">
        <v>-1.5117867674312018</v>
      </c>
      <c r="X634" s="256">
        <v>-5.2190999820325046E-2</v>
      </c>
      <c r="Y634" s="256">
        <v>-0.395773832683252</v>
      </c>
      <c r="Z634" s="256">
        <v>6.9863928696820787E-2</v>
      </c>
      <c r="AA634" s="256">
        <v>0.39712921977837978</v>
      </c>
      <c r="AB634" s="256">
        <v>0.20510978539164365</v>
      </c>
      <c r="AC634" s="260">
        <v>-1.1877745874036709</v>
      </c>
      <c r="AD634" s="405">
        <v>0</v>
      </c>
      <c r="AE634" s="257" t="s">
        <v>2378</v>
      </c>
      <c r="AF634" s="257" t="s">
        <v>2115</v>
      </c>
      <c r="AG634" s="261" t="s">
        <v>719</v>
      </c>
      <c r="AH634" s="261" t="s">
        <v>2113</v>
      </c>
      <c r="AI634" s="261">
        <v>1000</v>
      </c>
      <c r="AJ634" s="261">
        <v>1000</v>
      </c>
      <c r="AK634" s="261">
        <v>1000</v>
      </c>
      <c r="AL634" s="256">
        <v>5.0000000000000001E-3</v>
      </c>
      <c r="AM634" s="256">
        <v>0.2</v>
      </c>
      <c r="AN634" s="256" t="s">
        <v>666</v>
      </c>
      <c r="AO634" s="254" t="s">
        <v>1324</v>
      </c>
      <c r="AP634" s="257" t="s">
        <v>716</v>
      </c>
      <c r="AQ634" s="263" t="s">
        <v>659</v>
      </c>
      <c r="AR634" s="256">
        <v>8.0000000000000002E-3</v>
      </c>
      <c r="AS634" s="256">
        <v>8.0000000000000002E-3</v>
      </c>
      <c r="AT634" s="256"/>
      <c r="AX634" s="508"/>
      <c r="AY634" s="509"/>
      <c r="AZ634" s="509"/>
      <c r="BA634" s="509"/>
      <c r="BB634" s="510"/>
      <c r="BC634" s="509"/>
      <c r="BD634" s="509"/>
      <c r="BE634" s="509"/>
      <c r="BF634" s="509"/>
      <c r="BG634" s="510"/>
      <c r="BH634" s="510"/>
      <c r="BI634" s="511"/>
      <c r="BJ634" s="511"/>
      <c r="BK634" s="511"/>
      <c r="BL634" s="510"/>
      <c r="BM634" s="510"/>
      <c r="BN634" s="510"/>
      <c r="BO634" s="510"/>
      <c r="BP634" s="510"/>
      <c r="BQ634" s="510"/>
      <c r="BR634" s="510"/>
      <c r="BS634" s="510"/>
      <c r="BT634" s="513"/>
      <c r="BU634" s="514"/>
      <c r="BV634" s="512"/>
      <c r="BW634" s="515"/>
    </row>
    <row r="635" spans="2:75" ht="15.75" customHeight="1">
      <c r="B635" s="250" t="s">
        <v>426</v>
      </c>
      <c r="C635" s="251">
        <v>11447072000106</v>
      </c>
      <c r="D635" s="252" t="s">
        <v>14</v>
      </c>
      <c r="E635" s="252" t="s">
        <v>607</v>
      </c>
      <c r="F635" s="252"/>
      <c r="G635" s="253"/>
      <c r="H635" s="253" t="s">
        <v>34</v>
      </c>
      <c r="I635" s="253" t="s">
        <v>34</v>
      </c>
      <c r="J635" s="253" t="s">
        <v>608</v>
      </c>
      <c r="K635" s="254" t="s">
        <v>48</v>
      </c>
      <c r="L635" s="255"/>
      <c r="M635" s="255" t="s">
        <v>34</v>
      </c>
      <c r="N635" s="254">
        <v>242950</v>
      </c>
      <c r="O635" s="254" t="s">
        <v>1321</v>
      </c>
      <c r="P635" s="258">
        <v>40228</v>
      </c>
      <c r="Q635" s="259">
        <v>36915603.270000003</v>
      </c>
      <c r="R635" s="259">
        <v>42854850.396785691</v>
      </c>
      <c r="S635" s="254">
        <v>14</v>
      </c>
      <c r="T635" s="256">
        <v>-9.2761420943561879E-2</v>
      </c>
      <c r="U635" s="256">
        <v>-1.1991449938384635</v>
      </c>
      <c r="V635" s="256">
        <v>-0.1638477860375992</v>
      </c>
      <c r="W635" s="256">
        <v>-1.6062561667933328</v>
      </c>
      <c r="X635" s="256">
        <v>0.18090256072631261</v>
      </c>
      <c r="Y635" s="256">
        <v>1.3718169808462883</v>
      </c>
      <c r="Z635" s="256">
        <v>0.1793390364867109</v>
      </c>
      <c r="AA635" s="256">
        <v>1.0194212230010884</v>
      </c>
      <c r="AB635" s="256">
        <v>0.21657426102317745</v>
      </c>
      <c r="AC635" s="260">
        <v>-1.1664453798039796</v>
      </c>
      <c r="AD635" s="405">
        <v>0</v>
      </c>
      <c r="AE635" s="257" t="s">
        <v>2426</v>
      </c>
      <c r="AF635" s="257" t="s">
        <v>2109</v>
      </c>
      <c r="AG635" s="261" t="s">
        <v>1432</v>
      </c>
      <c r="AH635" s="261" t="s">
        <v>2113</v>
      </c>
      <c r="AI635" s="261">
        <v>500</v>
      </c>
      <c r="AJ635" s="261">
        <v>500</v>
      </c>
      <c r="AK635" s="261">
        <v>500</v>
      </c>
      <c r="AL635" s="256">
        <v>0.02</v>
      </c>
      <c r="AM635" s="256">
        <v>0.2</v>
      </c>
      <c r="AN635" s="256" t="s">
        <v>2127</v>
      </c>
      <c r="AO635" s="254" t="s">
        <v>1324</v>
      </c>
      <c r="AP635" s="257" t="s">
        <v>716</v>
      </c>
      <c r="AQ635" s="263" t="s">
        <v>659</v>
      </c>
      <c r="AR635" s="256">
        <v>6.6666666666666662E-3</v>
      </c>
      <c r="AS635" s="256">
        <v>6.6666666666666662E-3</v>
      </c>
      <c r="AT635" s="256"/>
      <c r="AX635" s="508"/>
      <c r="AY635" s="509"/>
      <c r="AZ635" s="509"/>
      <c r="BA635" s="509"/>
      <c r="BB635" s="510"/>
      <c r="BC635" s="509"/>
      <c r="BD635" s="509"/>
      <c r="BE635" s="509"/>
      <c r="BF635" s="509"/>
      <c r="BG635" s="510"/>
      <c r="BH635" s="510"/>
      <c r="BI635" s="511"/>
      <c r="BJ635" s="511"/>
      <c r="BK635" s="511"/>
      <c r="BL635" s="510"/>
      <c r="BM635" s="510"/>
      <c r="BN635" s="510"/>
      <c r="BO635" s="510"/>
      <c r="BP635" s="510"/>
      <c r="BQ635" s="510"/>
      <c r="BR635" s="510"/>
      <c r="BS635" s="510"/>
      <c r="BT635" s="513"/>
      <c r="BU635" s="514"/>
      <c r="BV635" s="512"/>
      <c r="BW635" s="515"/>
    </row>
    <row r="636" spans="2:75" ht="15.75" customHeight="1">
      <c r="B636" s="250" t="s">
        <v>1253</v>
      </c>
      <c r="C636" s="251">
        <v>31132367000192</v>
      </c>
      <c r="D636" s="252" t="s">
        <v>14</v>
      </c>
      <c r="E636" s="252" t="s">
        <v>607</v>
      </c>
      <c r="F636" s="252"/>
      <c r="G636" s="253"/>
      <c r="H636" s="253" t="s">
        <v>34</v>
      </c>
      <c r="I636" s="253" t="s">
        <v>34</v>
      </c>
      <c r="J636" s="253" t="s">
        <v>608</v>
      </c>
      <c r="K636" s="254" t="s">
        <v>48</v>
      </c>
      <c r="L636" s="255"/>
      <c r="M636" s="255" t="s">
        <v>1414</v>
      </c>
      <c r="N636" s="254">
        <v>484687</v>
      </c>
      <c r="O636" s="254" t="s">
        <v>1321</v>
      </c>
      <c r="P636" s="258">
        <v>43479</v>
      </c>
      <c r="Q636" s="259">
        <v>28277210.120000001</v>
      </c>
      <c r="R636" s="259">
        <v>29075101.641666666</v>
      </c>
      <c r="S636" s="254">
        <v>14</v>
      </c>
      <c r="T636" s="256">
        <v>-1.1478949183141296E-3</v>
      </c>
      <c r="U636" s="256">
        <v>-1.4839061656747251E-2</v>
      </c>
      <c r="V636" s="256">
        <v>-0.13215342480825942</v>
      </c>
      <c r="W636" s="256">
        <v>-1.2955454491915699</v>
      </c>
      <c r="X636" s="256">
        <v>2.3501823433483615E-2</v>
      </c>
      <c r="Y636" s="256">
        <v>0.17821859645027482</v>
      </c>
      <c r="Z636" s="256">
        <v>0.2239478362031877</v>
      </c>
      <c r="AA636" s="256">
        <v>1.2729921022388115</v>
      </c>
      <c r="AB636" s="256">
        <v>0.29803853238788891</v>
      </c>
      <c r="AC636" s="260">
        <v>-0.65295200624859306</v>
      </c>
      <c r="AD636" s="405">
        <v>0</v>
      </c>
      <c r="AE636" s="257" t="s">
        <v>2428</v>
      </c>
      <c r="AF636" s="257" t="s">
        <v>2118</v>
      </c>
      <c r="AG636" s="261" t="s">
        <v>1433</v>
      </c>
      <c r="AH636" s="261" t="s">
        <v>2113</v>
      </c>
      <c r="AI636" s="261">
        <v>500</v>
      </c>
      <c r="AJ636" s="261">
        <v>100</v>
      </c>
      <c r="AK636" s="261">
        <v>100</v>
      </c>
      <c r="AL636" s="256">
        <v>0.02</v>
      </c>
      <c r="AM636" s="256">
        <v>0.2</v>
      </c>
      <c r="AN636" s="256" t="s">
        <v>2127</v>
      </c>
      <c r="AO636" s="254" t="s">
        <v>1324</v>
      </c>
      <c r="AP636" s="257" t="s">
        <v>716</v>
      </c>
      <c r="AQ636" s="263" t="s">
        <v>659</v>
      </c>
      <c r="AR636" s="256">
        <v>3.3333333333333331E-3</v>
      </c>
      <c r="AS636" s="256">
        <v>3.3333333333333331E-3</v>
      </c>
      <c r="AT636" s="256"/>
      <c r="AW636" s="508"/>
      <c r="AX636" s="508"/>
      <c r="AY636" s="509"/>
      <c r="AZ636" s="509"/>
      <c r="BA636" s="509"/>
      <c r="BB636" s="510"/>
      <c r="BC636" s="509"/>
      <c r="BD636" s="509"/>
      <c r="BE636" s="509"/>
      <c r="BF636" s="509"/>
      <c r="BG636" s="510"/>
      <c r="BH636" s="510"/>
      <c r="BI636" s="511"/>
      <c r="BJ636" s="511"/>
      <c r="BK636" s="511"/>
      <c r="BL636" s="195"/>
      <c r="BM636" s="510"/>
      <c r="BN636" s="510"/>
      <c r="BO636" s="510"/>
      <c r="BP636" s="510"/>
      <c r="BQ636" s="510"/>
      <c r="BR636" s="510"/>
      <c r="BS636" s="510"/>
      <c r="BT636" s="513"/>
      <c r="BU636" s="514"/>
      <c r="BV636" s="512"/>
      <c r="BW636" s="515"/>
    </row>
    <row r="637" spans="2:75" ht="15.75" customHeight="1">
      <c r="B637" s="250" t="s">
        <v>1256</v>
      </c>
      <c r="C637" s="251">
        <v>12287682000144</v>
      </c>
      <c r="D637" s="252" t="s">
        <v>14</v>
      </c>
      <c r="E637" s="252" t="s">
        <v>607</v>
      </c>
      <c r="F637" s="252"/>
      <c r="G637" s="253"/>
      <c r="H637" s="253" t="s">
        <v>34</v>
      </c>
      <c r="I637" s="253" t="s">
        <v>34</v>
      </c>
      <c r="J637" s="253" t="s">
        <v>608</v>
      </c>
      <c r="K637" s="254" t="s">
        <v>48</v>
      </c>
      <c r="L637" s="255"/>
      <c r="M637" s="255" t="s">
        <v>34</v>
      </c>
      <c r="N637" s="254">
        <v>270466</v>
      </c>
      <c r="O637" s="254" t="s">
        <v>1321</v>
      </c>
      <c r="P637" s="258">
        <v>40633</v>
      </c>
      <c r="Q637" s="259">
        <v>84099400.650000006</v>
      </c>
      <c r="R637" s="259">
        <v>102948050.51456352</v>
      </c>
      <c r="S637" s="254">
        <v>14</v>
      </c>
      <c r="T637" s="256">
        <v>8.2179540244822435E-2</v>
      </c>
      <c r="U637" s="256">
        <v>1.0623509566599076</v>
      </c>
      <c r="V637" s="256">
        <v>-2.8131654420626706E-2</v>
      </c>
      <c r="W637" s="256">
        <v>-0.27578427812787959</v>
      </c>
      <c r="X637" s="256">
        <v>0.1108331880266622</v>
      </c>
      <c r="Y637" s="256">
        <v>0.84046819882406343</v>
      </c>
      <c r="Z637" s="256">
        <v>0.14207911380618055</v>
      </c>
      <c r="AA637" s="256">
        <v>0.8076237432553619</v>
      </c>
      <c r="AB637" s="256">
        <v>0.18560476022236241</v>
      </c>
      <c r="AC637" s="260">
        <v>-0.58447822827100115</v>
      </c>
      <c r="AD637" s="405">
        <v>0</v>
      </c>
      <c r="AE637" s="257" t="s">
        <v>2432</v>
      </c>
      <c r="AF637" s="257" t="s">
        <v>2115</v>
      </c>
      <c r="AG637" s="261" t="s">
        <v>719</v>
      </c>
      <c r="AH637" s="261" t="s">
        <v>2113</v>
      </c>
      <c r="AI637" s="261">
        <v>500</v>
      </c>
      <c r="AJ637" s="261">
        <v>500</v>
      </c>
      <c r="AK637" s="261">
        <v>500</v>
      </c>
      <c r="AL637" s="256">
        <v>2.9670000000000002E-2</v>
      </c>
      <c r="AM637" s="256" t="s">
        <v>34</v>
      </c>
      <c r="AN637" s="256" t="s">
        <v>2122</v>
      </c>
      <c r="AO637" s="254" t="s">
        <v>1324</v>
      </c>
      <c r="AP637" s="257" t="s">
        <v>716</v>
      </c>
      <c r="AQ637" s="263" t="s">
        <v>667</v>
      </c>
      <c r="AR637" s="256">
        <v>7.4174999999999996E-3</v>
      </c>
      <c r="AS637" s="256">
        <v>7.4174999999999996E-3</v>
      </c>
      <c r="AT637" s="256"/>
      <c r="AW637" s="508"/>
      <c r="AX637" s="508"/>
      <c r="AY637" s="509"/>
      <c r="AZ637" s="509"/>
      <c r="BA637" s="509"/>
      <c r="BB637" s="510"/>
      <c r="BC637" s="509"/>
      <c r="BD637" s="509"/>
      <c r="BE637" s="509"/>
      <c r="BF637" s="509"/>
      <c r="BG637" s="510"/>
      <c r="BH637" s="510"/>
      <c r="BI637" s="511"/>
      <c r="BJ637" s="511"/>
      <c r="BK637" s="511"/>
      <c r="BL637" s="195"/>
      <c r="BM637" s="510"/>
      <c r="BN637" s="510"/>
      <c r="BO637" s="510"/>
      <c r="BP637" s="510"/>
      <c r="BQ637" s="510"/>
      <c r="BR637" s="510"/>
      <c r="BS637" s="510"/>
      <c r="BT637" s="513"/>
      <c r="BU637" s="514"/>
      <c r="BV637" s="512"/>
      <c r="BW637" s="515"/>
    </row>
    <row r="638" spans="2:75" ht="15.75" customHeight="1">
      <c r="B638" s="250" t="s">
        <v>1581</v>
      </c>
      <c r="C638" s="251">
        <v>31611455000177</v>
      </c>
      <c r="D638" s="252" t="s">
        <v>11</v>
      </c>
      <c r="E638" s="252" t="s">
        <v>620</v>
      </c>
      <c r="F638" s="252" t="s">
        <v>663</v>
      </c>
      <c r="G638" s="253"/>
      <c r="H638" s="253" t="s">
        <v>34</v>
      </c>
      <c r="I638" s="253"/>
      <c r="J638" s="253" t="s">
        <v>608</v>
      </c>
      <c r="K638" s="254" t="s">
        <v>48</v>
      </c>
      <c r="L638" s="255"/>
      <c r="M638" s="255"/>
      <c r="N638" s="254">
        <v>493228</v>
      </c>
      <c r="O638" s="254" t="s">
        <v>1321</v>
      </c>
      <c r="P638" s="258">
        <v>43579</v>
      </c>
      <c r="Q638" s="259">
        <v>187959478.58000001</v>
      </c>
      <c r="R638" s="259">
        <v>132306279.84055555</v>
      </c>
      <c r="S638" s="254">
        <v>15</v>
      </c>
      <c r="T638" s="256">
        <v>9.7170916581435396E-2</v>
      </c>
      <c r="U638" s="256">
        <v>1.0929700665690287</v>
      </c>
      <c r="V638" s="256">
        <v>0.11977415581514195</v>
      </c>
      <c r="W638" s="256">
        <v>1.0992522773797906</v>
      </c>
      <c r="X638" s="256">
        <v>0.18236562575800019</v>
      </c>
      <c r="Y638" s="256">
        <v>1.282356865396141</v>
      </c>
      <c r="Z638" s="256">
        <v>0.19259790604503957</v>
      </c>
      <c r="AA638" s="256">
        <v>1.0524635239324043</v>
      </c>
      <c r="AB638" s="256">
        <v>1.9376423700449002E-3</v>
      </c>
      <c r="AC638" s="260">
        <v>5.01113872601438</v>
      </c>
      <c r="AD638" s="405">
        <v>31611340000182</v>
      </c>
      <c r="AE638" s="257" t="s">
        <v>1547</v>
      </c>
      <c r="AF638" s="257" t="s">
        <v>2121</v>
      </c>
      <c r="AG638" s="261" t="s">
        <v>59</v>
      </c>
      <c r="AH638" s="261" t="s">
        <v>2110</v>
      </c>
      <c r="AI638" s="261">
        <v>50000</v>
      </c>
      <c r="AJ638" s="261">
        <v>50000</v>
      </c>
      <c r="AK638" s="261">
        <v>50000</v>
      </c>
      <c r="AL638" s="256">
        <v>5.0000000000000001E-3</v>
      </c>
      <c r="AM638" s="256">
        <v>0.1</v>
      </c>
      <c r="AN638" s="256" t="s">
        <v>64</v>
      </c>
      <c r="AO638" s="254" t="s">
        <v>1324</v>
      </c>
      <c r="AP638" s="257" t="s">
        <v>13</v>
      </c>
      <c r="AQ638" s="263" t="s">
        <v>668</v>
      </c>
      <c r="AR638" s="256" t="s">
        <v>34</v>
      </c>
      <c r="AS638" s="256" t="s">
        <v>34</v>
      </c>
      <c r="AT638" s="256"/>
      <c r="AW638" s="508"/>
      <c r="AX638" s="508"/>
      <c r="AY638" s="509"/>
      <c r="AZ638" s="509"/>
      <c r="BA638" s="509"/>
      <c r="BB638" s="510"/>
      <c r="BC638" s="509"/>
      <c r="BD638" s="509"/>
      <c r="BE638" s="509"/>
      <c r="BF638" s="509"/>
      <c r="BG638" s="510"/>
      <c r="BH638" s="510"/>
      <c r="BI638" s="511"/>
      <c r="BJ638" s="511"/>
      <c r="BK638" s="511"/>
      <c r="BL638" s="195"/>
      <c r="BM638" s="510"/>
      <c r="BN638" s="510"/>
      <c r="BO638" s="510"/>
      <c r="BP638" s="510"/>
      <c r="BQ638" s="510"/>
      <c r="BR638" s="510"/>
      <c r="BS638" s="510"/>
      <c r="BT638" s="513"/>
      <c r="BU638" s="514"/>
      <c r="BV638" s="512"/>
      <c r="BW638" s="515"/>
    </row>
    <row r="639" spans="2:75" ht="15.75" customHeight="1">
      <c r="B639" s="250" t="s">
        <v>987</v>
      </c>
      <c r="C639" s="251">
        <v>27826059000190</v>
      </c>
      <c r="D639" s="252" t="s">
        <v>11</v>
      </c>
      <c r="E639" s="252" t="s">
        <v>620</v>
      </c>
      <c r="F639" s="252" t="s">
        <v>663</v>
      </c>
      <c r="G639" s="253" t="s">
        <v>738</v>
      </c>
      <c r="H639" s="253" t="s">
        <v>34</v>
      </c>
      <c r="I639" s="253"/>
      <c r="J639" s="253" t="s">
        <v>608</v>
      </c>
      <c r="K639" s="254" t="s">
        <v>48</v>
      </c>
      <c r="L639" s="255"/>
      <c r="M639" s="255" t="s">
        <v>34</v>
      </c>
      <c r="N639" s="254">
        <v>451703</v>
      </c>
      <c r="O639" s="254" t="s">
        <v>1321</v>
      </c>
      <c r="P639" s="258">
        <v>43039</v>
      </c>
      <c r="Q639" s="259">
        <v>285870599.62</v>
      </c>
      <c r="R639" s="259">
        <v>201595926.65801588</v>
      </c>
      <c r="S639" s="254">
        <v>15</v>
      </c>
      <c r="T639" s="256">
        <v>8.9148642531748923E-2</v>
      </c>
      <c r="U639" s="256">
        <v>1.1524419021619248</v>
      </c>
      <c r="V639" s="256">
        <v>0.13203273930126125</v>
      </c>
      <c r="W639" s="256">
        <v>1.2943623276825988</v>
      </c>
      <c r="X639" s="256">
        <v>0.18617651980953265</v>
      </c>
      <c r="Y639" s="256">
        <v>1.411810370644653</v>
      </c>
      <c r="Z639" s="256">
        <v>0.16208718692553248</v>
      </c>
      <c r="AA639" s="256">
        <v>0.92135611724821731</v>
      </c>
      <c r="AB639" s="256">
        <v>7.2841136790539147E-3</v>
      </c>
      <c r="AC639" s="260">
        <v>3.6956690339351201</v>
      </c>
      <c r="AD639" s="405">
        <v>0</v>
      </c>
      <c r="AE639" s="257" t="s">
        <v>2279</v>
      </c>
      <c r="AF639" s="257" t="s">
        <v>2109</v>
      </c>
      <c r="AG639" s="261" t="s">
        <v>1432</v>
      </c>
      <c r="AH639" s="261" t="s">
        <v>2113</v>
      </c>
      <c r="AI639" s="261">
        <v>500</v>
      </c>
      <c r="AJ639" s="261">
        <v>100</v>
      </c>
      <c r="AK639" s="261">
        <v>500</v>
      </c>
      <c r="AL639" s="256">
        <v>6.0000000000000001E-3</v>
      </c>
      <c r="AM639" s="256">
        <v>0.2</v>
      </c>
      <c r="AN639" s="256" t="s">
        <v>64</v>
      </c>
      <c r="AO639" s="254" t="s">
        <v>1324</v>
      </c>
      <c r="AP639" s="257" t="s">
        <v>11</v>
      </c>
      <c r="AQ639" s="263" t="s">
        <v>675</v>
      </c>
      <c r="AR639" s="256">
        <v>1.8E-3</v>
      </c>
      <c r="AS639" s="256">
        <v>1.8E-3</v>
      </c>
      <c r="AT639" s="256"/>
      <c r="AW639" s="508"/>
      <c r="AX639" s="508"/>
      <c r="AY639" s="509"/>
      <c r="AZ639" s="509"/>
      <c r="BA639" s="509"/>
      <c r="BB639" s="510"/>
      <c r="BC639" s="509"/>
      <c r="BD639" s="509"/>
      <c r="BE639" s="509"/>
      <c r="BF639" s="509"/>
      <c r="BG639" s="510"/>
      <c r="BH639" s="510"/>
      <c r="BI639" s="511"/>
      <c r="BJ639" s="511"/>
      <c r="BK639" s="511"/>
      <c r="BL639" s="195"/>
      <c r="BM639" s="510"/>
      <c r="BN639" s="510"/>
      <c r="BO639" s="510"/>
      <c r="BP639" s="510"/>
      <c r="BQ639" s="510"/>
      <c r="BR639" s="510"/>
      <c r="BS639" s="510"/>
      <c r="BT639" s="513"/>
      <c r="BU639" s="514"/>
      <c r="BV639" s="512"/>
      <c r="BW639" s="515"/>
    </row>
    <row r="640" spans="2:75" ht="15.75" customHeight="1">
      <c r="B640" s="250" t="s">
        <v>1209</v>
      </c>
      <c r="C640" s="251">
        <v>16599959000125</v>
      </c>
      <c r="D640" s="252" t="s">
        <v>11</v>
      </c>
      <c r="E640" s="252" t="s">
        <v>620</v>
      </c>
      <c r="F640" s="252" t="s">
        <v>663</v>
      </c>
      <c r="G640" s="253" t="s">
        <v>738</v>
      </c>
      <c r="H640" s="253" t="s">
        <v>34</v>
      </c>
      <c r="I640" s="253" t="s">
        <v>34</v>
      </c>
      <c r="J640" s="253" t="s">
        <v>608</v>
      </c>
      <c r="K640" s="254" t="s">
        <v>48</v>
      </c>
      <c r="L640" s="255"/>
      <c r="M640" s="255" t="s">
        <v>34</v>
      </c>
      <c r="N640" s="254">
        <v>317748</v>
      </c>
      <c r="O640" s="254" t="s">
        <v>1321</v>
      </c>
      <c r="P640" s="258">
        <v>41180</v>
      </c>
      <c r="Q640" s="259">
        <v>87814007.599999994</v>
      </c>
      <c r="R640" s="259">
        <v>74322143.130476162</v>
      </c>
      <c r="S640" s="254">
        <v>15</v>
      </c>
      <c r="T640" s="256">
        <v>9.3172615300869843E-2</v>
      </c>
      <c r="U640" s="256">
        <v>1.2044605835528608</v>
      </c>
      <c r="V640" s="256">
        <v>0.12469217077395278</v>
      </c>
      <c r="W640" s="256">
        <v>1.2224002111969201</v>
      </c>
      <c r="X640" s="256">
        <v>0.19305127384239351</v>
      </c>
      <c r="Y640" s="256">
        <v>1.4639428793474349</v>
      </c>
      <c r="Z640" s="256">
        <v>0.17643997609896767</v>
      </c>
      <c r="AA640" s="256">
        <v>1.002942023915806</v>
      </c>
      <c r="AB640" s="256">
        <v>3.7241690389012367E-3</v>
      </c>
      <c r="AC640" s="260">
        <v>5.4754786073483599</v>
      </c>
      <c r="AD640" s="405">
        <v>0</v>
      </c>
      <c r="AE640" s="257" t="s">
        <v>2407</v>
      </c>
      <c r="AF640" s="257" t="s">
        <v>2109</v>
      </c>
      <c r="AG640" s="261" t="s">
        <v>1432</v>
      </c>
      <c r="AH640" s="261" t="s">
        <v>2113</v>
      </c>
      <c r="AI640" s="261">
        <v>500</v>
      </c>
      <c r="AJ640" s="261">
        <v>0</v>
      </c>
      <c r="AK640" s="261">
        <v>0</v>
      </c>
      <c r="AL640" s="256">
        <v>7.4999999999999997E-3</v>
      </c>
      <c r="AM640" s="256" t="s">
        <v>34</v>
      </c>
      <c r="AN640" s="256" t="s">
        <v>64</v>
      </c>
      <c r="AO640" s="254" t="s">
        <v>1324</v>
      </c>
      <c r="AP640" s="257" t="s">
        <v>11</v>
      </c>
      <c r="AQ640" s="263" t="s">
        <v>675</v>
      </c>
      <c r="AR640" s="256">
        <v>1.4999999999999998E-3</v>
      </c>
      <c r="AS640" s="256">
        <v>1.4999999999999998E-3</v>
      </c>
      <c r="AT640" s="256"/>
      <c r="AW640" s="508"/>
      <c r="AX640" s="508"/>
      <c r="AY640" s="509"/>
      <c r="AZ640" s="509"/>
      <c r="BA640" s="509"/>
      <c r="BB640" s="510"/>
      <c r="BC640" s="509"/>
      <c r="BD640" s="509"/>
      <c r="BE640" s="509"/>
      <c r="BF640" s="509"/>
      <c r="BG640" s="510"/>
      <c r="BH640" s="510"/>
      <c r="BI640" s="511"/>
      <c r="BJ640" s="511"/>
      <c r="BK640" s="511"/>
      <c r="BL640" s="195"/>
      <c r="BM640" s="510"/>
      <c r="BN640" s="510"/>
      <c r="BO640" s="510"/>
      <c r="BP640" s="510"/>
      <c r="BQ640" s="510"/>
      <c r="BR640" s="510"/>
      <c r="BS640" s="510"/>
      <c r="BT640" s="513"/>
      <c r="BU640" s="514"/>
      <c r="BV640" s="512"/>
      <c r="BW640" s="515"/>
    </row>
    <row r="641" spans="2:75" ht="15.75" customHeight="1">
      <c r="B641" s="250" t="s">
        <v>969</v>
      </c>
      <c r="C641" s="251">
        <v>33736845000107</v>
      </c>
      <c r="D641" s="252" t="s">
        <v>14</v>
      </c>
      <c r="E641" s="252" t="s">
        <v>15</v>
      </c>
      <c r="F641" s="252" t="s">
        <v>701</v>
      </c>
      <c r="G641" s="253"/>
      <c r="H641" s="253" t="s">
        <v>34</v>
      </c>
      <c r="I641" s="253" t="s">
        <v>34</v>
      </c>
      <c r="J641" s="253" t="s">
        <v>611</v>
      </c>
      <c r="K641" s="254" t="s">
        <v>49</v>
      </c>
      <c r="L641" s="255"/>
      <c r="M641" s="255" t="s">
        <v>34</v>
      </c>
      <c r="N641" s="254">
        <v>504505</v>
      </c>
      <c r="O641" s="254" t="s">
        <v>1321</v>
      </c>
      <c r="P641" s="258">
        <v>43677</v>
      </c>
      <c r="Q641" s="259">
        <v>97388405.969999999</v>
      </c>
      <c r="R641" s="259">
        <v>257174199.54821435</v>
      </c>
      <c r="S641" s="254">
        <v>15</v>
      </c>
      <c r="T641" s="256">
        <v>-0.60332921813063189</v>
      </c>
      <c r="U641" s="256">
        <v>-7.7993545613968385</v>
      </c>
      <c r="V641" s="256">
        <v>-0.5809579796010983</v>
      </c>
      <c r="W641" s="256">
        <v>-5.695330769790929</v>
      </c>
      <c r="X641" s="256">
        <v>0.68811617780681189</v>
      </c>
      <c r="Y641" s="256">
        <v>5.2181099798723096</v>
      </c>
      <c r="Z641" s="256">
        <v>1.670794180091888</v>
      </c>
      <c r="AA641" s="256">
        <v>9.4973357715044049</v>
      </c>
      <c r="AB641" s="256">
        <v>0.64738171929304544</v>
      </c>
      <c r="AC641" s="260">
        <v>-1.1638697482365963</v>
      </c>
      <c r="AD641" s="405">
        <v>0</v>
      </c>
      <c r="AE641" s="257" t="s">
        <v>2267</v>
      </c>
      <c r="AF641" s="257" t="s">
        <v>2109</v>
      </c>
      <c r="AG641" s="261" t="s">
        <v>1432</v>
      </c>
      <c r="AH641" s="261" t="s">
        <v>726</v>
      </c>
      <c r="AI641" s="261">
        <v>500</v>
      </c>
      <c r="AJ641" s="261">
        <v>100</v>
      </c>
      <c r="AK641" s="261">
        <v>100</v>
      </c>
      <c r="AL641" s="256">
        <v>0.01</v>
      </c>
      <c r="AM641" s="256" t="s">
        <v>34</v>
      </c>
      <c r="AN641" s="256" t="s">
        <v>34</v>
      </c>
      <c r="AO641" s="254" t="s">
        <v>1324</v>
      </c>
      <c r="AP641" s="257" t="s">
        <v>13</v>
      </c>
      <c r="AQ641" s="263" t="s">
        <v>671</v>
      </c>
      <c r="AR641" s="256">
        <v>6.6666666666666662E-3</v>
      </c>
      <c r="AS641" s="256">
        <v>6.6666666666666662E-3</v>
      </c>
      <c r="AT641" s="256"/>
      <c r="AX641" s="508"/>
      <c r="AY641" s="509"/>
      <c r="AZ641" s="509"/>
      <c r="BA641" s="509"/>
      <c r="BB641" s="510"/>
      <c r="BC641" s="509"/>
      <c r="BD641" s="509"/>
      <c r="BE641" s="509"/>
      <c r="BF641" s="509"/>
      <c r="BG641" s="510"/>
      <c r="BH641" s="510"/>
      <c r="BI641" s="511"/>
      <c r="BJ641" s="511"/>
      <c r="BK641" s="511"/>
      <c r="BL641" s="510"/>
      <c r="BM641" s="510"/>
      <c r="BN641" s="510"/>
      <c r="BO641" s="510"/>
      <c r="BP641" s="510"/>
      <c r="BQ641" s="510"/>
      <c r="BR641" s="510"/>
      <c r="BS641" s="510"/>
      <c r="BT641" s="513"/>
      <c r="BU641" s="514"/>
      <c r="BV641" s="512"/>
      <c r="BW641" s="515"/>
    </row>
    <row r="642" spans="2:75" ht="15.75" customHeight="1">
      <c r="B642" s="250" t="s">
        <v>489</v>
      </c>
      <c r="C642" s="251">
        <v>25274966000148</v>
      </c>
      <c r="D642" s="252" t="s">
        <v>11</v>
      </c>
      <c r="E642" s="252" t="s">
        <v>620</v>
      </c>
      <c r="F642" s="252" t="s">
        <v>685</v>
      </c>
      <c r="G642" s="253"/>
      <c r="H642" s="253" t="s">
        <v>34</v>
      </c>
      <c r="I642" s="253" t="s">
        <v>1319</v>
      </c>
      <c r="J642" s="253" t="s">
        <v>608</v>
      </c>
      <c r="K642" s="254" t="s">
        <v>48</v>
      </c>
      <c r="L642" s="255"/>
      <c r="M642" s="255" t="s">
        <v>34</v>
      </c>
      <c r="N642" s="254">
        <v>427616</v>
      </c>
      <c r="O642" s="254" t="s">
        <v>1321</v>
      </c>
      <c r="P642" s="258">
        <v>42681</v>
      </c>
      <c r="Q642" s="259">
        <v>3323101.49</v>
      </c>
      <c r="R642" s="259">
        <v>4398580.8413888887</v>
      </c>
      <c r="S642" s="254">
        <v>15</v>
      </c>
      <c r="T642" s="256">
        <v>8.3467772869320278E-2</v>
      </c>
      <c r="U642" s="256">
        <v>1.0790041912357973</v>
      </c>
      <c r="V642" s="256">
        <v>0.15755683296555323</v>
      </c>
      <c r="W642" s="256">
        <v>1.5445837914054683</v>
      </c>
      <c r="X642" s="256">
        <v>7.2679002476814025E-2</v>
      </c>
      <c r="Y642" s="256">
        <v>0.55113807868923681</v>
      </c>
      <c r="Z642" s="256">
        <v>3.5718425258933095E-2</v>
      </c>
      <c r="AA642" s="256">
        <v>0.20303510866599697</v>
      </c>
      <c r="AB642" s="256">
        <v>2.8963119553108038E-2</v>
      </c>
      <c r="AC642" s="260">
        <v>1.7129951794034901</v>
      </c>
      <c r="AD642" s="405">
        <v>0</v>
      </c>
      <c r="AE642" s="257" t="s">
        <v>2388</v>
      </c>
      <c r="AF642" s="257" t="s">
        <v>1180</v>
      </c>
      <c r="AG642" s="261" t="s">
        <v>1180</v>
      </c>
      <c r="AH642" s="261" t="s">
        <v>2113</v>
      </c>
      <c r="AI642" s="261">
        <v>1000</v>
      </c>
      <c r="AJ642" s="261">
        <v>1000</v>
      </c>
      <c r="AK642" s="261">
        <v>1000</v>
      </c>
      <c r="AL642" s="256">
        <v>6.0000000000000001E-3</v>
      </c>
      <c r="AM642" s="256">
        <v>0.2</v>
      </c>
      <c r="AN642" s="256" t="s">
        <v>64</v>
      </c>
      <c r="AO642" s="254" t="s">
        <v>1324</v>
      </c>
      <c r="AP642" s="257" t="s">
        <v>11</v>
      </c>
      <c r="AQ642" s="263" t="s">
        <v>1373</v>
      </c>
      <c r="AR642" s="256">
        <v>8.8000000000000003E-4</v>
      </c>
      <c r="AS642" s="256">
        <v>8.8000000000000003E-4</v>
      </c>
      <c r="AT642" s="256"/>
      <c r="AX642" s="508"/>
      <c r="AY642" s="509"/>
      <c r="AZ642" s="509"/>
      <c r="BA642" s="509"/>
      <c r="BB642" s="510"/>
      <c r="BC642" s="509"/>
      <c r="BD642" s="509"/>
      <c r="BE642" s="509"/>
      <c r="BF642" s="509"/>
      <c r="BG642" s="510"/>
      <c r="BH642" s="510"/>
      <c r="BI642" s="511"/>
      <c r="BJ642" s="511"/>
      <c r="BK642" s="511"/>
      <c r="BL642" s="510"/>
      <c r="BM642" s="510"/>
      <c r="BN642" s="510"/>
      <c r="BO642" s="510"/>
      <c r="BP642" s="510"/>
      <c r="BQ642" s="510"/>
      <c r="BR642" s="510"/>
      <c r="BS642" s="510"/>
      <c r="BT642" s="513"/>
      <c r="BU642" s="514"/>
      <c r="BV642" s="512"/>
      <c r="BW642" s="515"/>
    </row>
    <row r="643" spans="2:75" ht="15.75" customHeight="1">
      <c r="B643" s="250" t="s">
        <v>1241</v>
      </c>
      <c r="C643" s="251">
        <v>10326625000100</v>
      </c>
      <c r="D643" s="252" t="s">
        <v>11</v>
      </c>
      <c r="E643" s="252" t="s">
        <v>620</v>
      </c>
      <c r="F643" s="252" t="s">
        <v>685</v>
      </c>
      <c r="G643" s="253" t="s">
        <v>738</v>
      </c>
      <c r="H643" s="253" t="s">
        <v>34</v>
      </c>
      <c r="I643" s="253" t="s">
        <v>1319</v>
      </c>
      <c r="J643" s="253" t="s">
        <v>608</v>
      </c>
      <c r="K643" s="254" t="s">
        <v>48</v>
      </c>
      <c r="L643" s="255"/>
      <c r="M643" s="255" t="s">
        <v>34</v>
      </c>
      <c r="N643" s="254">
        <v>222836</v>
      </c>
      <c r="O643" s="254" t="s">
        <v>1321</v>
      </c>
      <c r="P643" s="258">
        <v>39829</v>
      </c>
      <c r="Q643" s="259">
        <v>335036509.44999999</v>
      </c>
      <c r="R643" s="259">
        <v>269605539.12873024</v>
      </c>
      <c r="S643" s="254">
        <v>15</v>
      </c>
      <c r="T643" s="256">
        <v>8.7247909272893498E-2</v>
      </c>
      <c r="U643" s="256">
        <v>1.1278707523369829</v>
      </c>
      <c r="V643" s="256">
        <v>0.11751886895354713</v>
      </c>
      <c r="W643" s="256">
        <v>1.1520778677344801</v>
      </c>
      <c r="X643" s="256">
        <v>0.17936150305153276</v>
      </c>
      <c r="Y643" s="256">
        <v>1.3601308605490481</v>
      </c>
      <c r="Z643" s="256">
        <v>0.20872591448440425</v>
      </c>
      <c r="AA643" s="256">
        <v>1.1864657644208936</v>
      </c>
      <c r="AB643" s="256">
        <v>1.6209397691270418E-3</v>
      </c>
      <c r="AC643" s="260">
        <v>8.6275058533318791</v>
      </c>
      <c r="AD643" s="405">
        <v>0</v>
      </c>
      <c r="AE643" s="257" t="s">
        <v>2244</v>
      </c>
      <c r="AF643" s="257" t="s">
        <v>2118</v>
      </c>
      <c r="AG643" s="261" t="s">
        <v>1433</v>
      </c>
      <c r="AH643" s="261" t="s">
        <v>2113</v>
      </c>
      <c r="AI643" s="261">
        <v>1000</v>
      </c>
      <c r="AJ643" s="261">
        <v>100</v>
      </c>
      <c r="AK643" s="261">
        <v>0</v>
      </c>
      <c r="AL643" s="256">
        <v>5.0000000000000001E-3</v>
      </c>
      <c r="AM643" s="256">
        <v>0.2</v>
      </c>
      <c r="AN643" s="256" t="s">
        <v>2127</v>
      </c>
      <c r="AO643" s="254" t="s">
        <v>1324</v>
      </c>
      <c r="AP643" s="257" t="s">
        <v>11</v>
      </c>
      <c r="AQ643" s="263" t="s">
        <v>675</v>
      </c>
      <c r="AR643" s="256">
        <v>1.3500000000000001E-3</v>
      </c>
      <c r="AS643" s="256">
        <v>1.3500000000000001E-3</v>
      </c>
      <c r="AT643" s="256"/>
      <c r="AW643" s="508"/>
      <c r="AX643" s="508"/>
      <c r="AY643" s="509"/>
      <c r="AZ643" s="509"/>
      <c r="BA643" s="509"/>
      <c r="BB643" s="509"/>
      <c r="BC643" s="509"/>
      <c r="BD643" s="509"/>
      <c r="BE643" s="509"/>
      <c r="BF643" s="509"/>
      <c r="BG643" s="510"/>
      <c r="BH643" s="510"/>
      <c r="BI643" s="511"/>
      <c r="BJ643" s="511"/>
      <c r="BK643" s="511"/>
      <c r="BL643" s="195"/>
      <c r="BM643" s="510"/>
      <c r="BN643" s="510"/>
      <c r="BO643" s="510"/>
      <c r="BP643" s="510"/>
      <c r="BQ643" s="510"/>
      <c r="BR643" s="510"/>
      <c r="BS643" s="510"/>
      <c r="BT643" s="510"/>
      <c r="BU643" s="510"/>
      <c r="BV643" s="512"/>
      <c r="BW643" s="509"/>
    </row>
    <row r="644" spans="2:75" ht="15.75" customHeight="1">
      <c r="B644" s="250" t="s">
        <v>349</v>
      </c>
      <c r="C644" s="251">
        <v>40102306000173</v>
      </c>
      <c r="D644" s="252" t="s">
        <v>14</v>
      </c>
      <c r="E644" s="252" t="s">
        <v>15</v>
      </c>
      <c r="F644" s="252" t="s">
        <v>16</v>
      </c>
      <c r="G644" s="253"/>
      <c r="H644" s="253" t="s">
        <v>34</v>
      </c>
      <c r="I644" s="253" t="s">
        <v>34</v>
      </c>
      <c r="J644" s="253" t="s">
        <v>690</v>
      </c>
      <c r="K644" s="254" t="s">
        <v>49</v>
      </c>
      <c r="L644" s="255"/>
      <c r="M644" s="255" t="s">
        <v>1414</v>
      </c>
      <c r="N644" s="254">
        <v>568767</v>
      </c>
      <c r="O644" s="254" t="s">
        <v>1321</v>
      </c>
      <c r="P644" s="258">
        <v>44195</v>
      </c>
      <c r="Q644" s="259">
        <v>80957607.049999997</v>
      </c>
      <c r="R644" s="259">
        <v>109287732.0750397</v>
      </c>
      <c r="S644" s="254">
        <v>15</v>
      </c>
      <c r="T644" s="256">
        <v>-0.22624850941451924</v>
      </c>
      <c r="U644" s="256">
        <v>-2.9247586406950701</v>
      </c>
      <c r="V644" s="256">
        <v>-8.2300245812882866E-2</v>
      </c>
      <c r="W644" s="256">
        <v>-0.8068175992028026</v>
      </c>
      <c r="X644" s="256" t="s">
        <v>1417</v>
      </c>
      <c r="Y644" s="256" t="s">
        <v>1417</v>
      </c>
      <c r="Z644" s="256" t="s">
        <v>1417</v>
      </c>
      <c r="AA644" s="256" t="s">
        <v>1417</v>
      </c>
      <c r="AB644" s="256">
        <v>0.19308675285811283</v>
      </c>
      <c r="AC644" s="260">
        <v>-0.85172484596598097</v>
      </c>
      <c r="AD644" s="405">
        <v>40102272000117</v>
      </c>
      <c r="AE644" s="257" t="s">
        <v>2374</v>
      </c>
      <c r="AF644" s="257" t="s">
        <v>2109</v>
      </c>
      <c r="AG644" s="261" t="s">
        <v>1432</v>
      </c>
      <c r="AH644" s="261" t="s">
        <v>2113</v>
      </c>
      <c r="AI644" s="261">
        <v>1000</v>
      </c>
      <c r="AJ644" s="261">
        <v>1000</v>
      </c>
      <c r="AK644" s="261">
        <v>1000</v>
      </c>
      <c r="AL644" s="256">
        <v>1.4999999999999999E-2</v>
      </c>
      <c r="AM644" s="256">
        <v>0.2</v>
      </c>
      <c r="AN644" s="256" t="s">
        <v>34</v>
      </c>
      <c r="AO644" s="254" t="s">
        <v>1324</v>
      </c>
      <c r="AP644" s="257" t="s">
        <v>716</v>
      </c>
      <c r="AQ644" s="263" t="s">
        <v>659</v>
      </c>
      <c r="AR644" s="256">
        <v>3.0000000000000001E-3</v>
      </c>
      <c r="AS644" s="256">
        <v>3.0000000000000001E-3</v>
      </c>
      <c r="AT644" s="256"/>
      <c r="AW644" s="508"/>
      <c r="AX644" s="508"/>
      <c r="AY644" s="509"/>
      <c r="AZ644" s="509"/>
      <c r="BA644" s="509"/>
      <c r="BB644" s="509"/>
      <c r="BC644" s="509"/>
      <c r="BD644" s="509"/>
      <c r="BE644" s="509"/>
      <c r="BF644" s="509"/>
      <c r="BG644" s="510"/>
      <c r="BH644" s="510"/>
      <c r="BI644" s="511"/>
      <c r="BJ644" s="511"/>
      <c r="BK644" s="511"/>
      <c r="BL644" s="195"/>
      <c r="BM644" s="510"/>
      <c r="BN644" s="510"/>
      <c r="BO644" s="510"/>
      <c r="BP644" s="510"/>
      <c r="BQ644" s="510"/>
      <c r="BR644" s="510"/>
      <c r="BS644" s="510"/>
      <c r="BT644" s="510"/>
      <c r="BU644" s="510"/>
      <c r="BV644" s="512"/>
      <c r="BW644" s="509"/>
    </row>
    <row r="645" spans="2:75" ht="15.75" customHeight="1">
      <c r="B645" s="250" t="s">
        <v>585</v>
      </c>
      <c r="C645" s="251">
        <v>41088682000113</v>
      </c>
      <c r="D645" s="252" t="s">
        <v>14</v>
      </c>
      <c r="E645" s="252" t="s">
        <v>15</v>
      </c>
      <c r="F645" s="252" t="s">
        <v>16</v>
      </c>
      <c r="G645" s="253"/>
      <c r="H645" s="253" t="s">
        <v>34</v>
      </c>
      <c r="I645" s="253" t="s">
        <v>34</v>
      </c>
      <c r="J645" s="253" t="s">
        <v>690</v>
      </c>
      <c r="K645" s="254" t="s">
        <v>48</v>
      </c>
      <c r="L645" s="255"/>
      <c r="M645" s="255" t="s">
        <v>1414</v>
      </c>
      <c r="N645" s="254">
        <v>634964</v>
      </c>
      <c r="O645" s="254" t="s">
        <v>1321</v>
      </c>
      <c r="P645" s="258">
        <v>44348</v>
      </c>
      <c r="Q645" s="259">
        <v>28185394.440000001</v>
      </c>
      <c r="R645" s="259">
        <v>11466992.891111108</v>
      </c>
      <c r="S645" s="254">
        <v>15</v>
      </c>
      <c r="T645" s="256">
        <v>-0.12114614471774476</v>
      </c>
      <c r="U645" s="256">
        <v>-1.5660798582365427</v>
      </c>
      <c r="V645" s="256">
        <v>-1.554543601656222E-2</v>
      </c>
      <c r="W645" s="256">
        <v>-0.15239725278536403</v>
      </c>
      <c r="X645" s="256" t="s">
        <v>1417</v>
      </c>
      <c r="Y645" s="256" t="s">
        <v>1417</v>
      </c>
      <c r="Z645" s="256" t="s">
        <v>1417</v>
      </c>
      <c r="AA645" s="256" t="s">
        <v>1417</v>
      </c>
      <c r="AB645" s="256">
        <v>0.17268030582022775</v>
      </c>
      <c r="AC645" s="260">
        <v>-0.56704352501972966</v>
      </c>
      <c r="AD645" s="405">
        <v>41536017000145</v>
      </c>
      <c r="AE645" s="257" t="s">
        <v>2374</v>
      </c>
      <c r="AF645" s="257" t="s">
        <v>2109</v>
      </c>
      <c r="AG645" s="261" t="s">
        <v>1432</v>
      </c>
      <c r="AH645" s="261" t="s">
        <v>2113</v>
      </c>
      <c r="AI645" s="261">
        <v>1000</v>
      </c>
      <c r="AJ645" s="261">
        <v>1000</v>
      </c>
      <c r="AK645" s="261">
        <v>1000</v>
      </c>
      <c r="AL645" s="256">
        <v>1.4999999999999999E-2</v>
      </c>
      <c r="AM645" s="256">
        <v>0.2</v>
      </c>
      <c r="AN645" s="256" t="s">
        <v>34</v>
      </c>
      <c r="AO645" s="254" t="s">
        <v>1324</v>
      </c>
      <c r="AP645" s="257" t="s">
        <v>716</v>
      </c>
      <c r="AQ645" s="263" t="s">
        <v>659</v>
      </c>
      <c r="AR645" s="256">
        <v>3.0000000000000001E-3</v>
      </c>
      <c r="AS645" s="256">
        <v>3.0000000000000001E-3</v>
      </c>
      <c r="AT645" s="256"/>
      <c r="AW645" s="508"/>
      <c r="AX645" s="508"/>
      <c r="AY645" s="509"/>
      <c r="AZ645" s="509"/>
      <c r="BA645" s="509"/>
      <c r="BB645" s="509"/>
      <c r="BC645" s="509"/>
      <c r="BD645" s="509"/>
      <c r="BE645" s="509"/>
      <c r="BF645" s="509"/>
      <c r="BG645" s="510"/>
      <c r="BH645" s="510"/>
      <c r="BI645" s="511"/>
      <c r="BJ645" s="511"/>
      <c r="BK645" s="511"/>
      <c r="BL645" s="195"/>
      <c r="BM645" s="510"/>
      <c r="BN645" s="510"/>
      <c r="BO645" s="510"/>
      <c r="BP645" s="510"/>
      <c r="BQ645" s="510"/>
      <c r="BR645" s="510"/>
      <c r="BS645" s="510"/>
      <c r="BT645" s="510"/>
      <c r="BU645" s="510"/>
      <c r="BV645" s="512"/>
      <c r="BW645" s="509"/>
    </row>
    <row r="646" spans="2:75" ht="15.75" customHeight="1">
      <c r="B646" s="250" t="s">
        <v>916</v>
      </c>
      <c r="C646" s="251">
        <v>26142614000100</v>
      </c>
      <c r="D646" s="252" t="s">
        <v>11</v>
      </c>
      <c r="E646" s="252" t="s">
        <v>621</v>
      </c>
      <c r="F646" s="252" t="s">
        <v>692</v>
      </c>
      <c r="G646" s="253" t="s">
        <v>738</v>
      </c>
      <c r="H646" s="253" t="s">
        <v>34</v>
      </c>
      <c r="I646" s="253"/>
      <c r="J646" s="253" t="s">
        <v>608</v>
      </c>
      <c r="K646" s="254" t="s">
        <v>48</v>
      </c>
      <c r="L646" s="255"/>
      <c r="M646" s="255" t="s">
        <v>34</v>
      </c>
      <c r="N646" s="254">
        <v>431923</v>
      </c>
      <c r="O646" s="254" t="s">
        <v>1321</v>
      </c>
      <c r="P646" s="258">
        <v>42675</v>
      </c>
      <c r="Q646" s="259">
        <v>85323823.939999998</v>
      </c>
      <c r="R646" s="259">
        <v>93512239.999047592</v>
      </c>
      <c r="S646" s="254">
        <v>15</v>
      </c>
      <c r="T646" s="256">
        <v>5.5720333638414887E-2</v>
      </c>
      <c r="U646" s="256">
        <v>0.72030762851473529</v>
      </c>
      <c r="V646" s="256">
        <v>8.8760415207804977E-2</v>
      </c>
      <c r="W646" s="256">
        <v>0.87014886036944405</v>
      </c>
      <c r="X646" s="256">
        <v>0.16562324054624433</v>
      </c>
      <c r="Y646" s="256">
        <v>1.2559511202711244</v>
      </c>
      <c r="Z646" s="256">
        <v>0.21253906883121698</v>
      </c>
      <c r="AA646" s="256">
        <v>1.2081409699080592</v>
      </c>
      <c r="AB646" s="256">
        <v>2.7034999100929082E-2</v>
      </c>
      <c r="AC646" s="260">
        <v>-0.43404030872130378</v>
      </c>
      <c r="AD646" s="405">
        <v>0</v>
      </c>
      <c r="AE646" s="257" t="s">
        <v>2224</v>
      </c>
      <c r="AF646" s="257" t="s">
        <v>741</v>
      </c>
      <c r="AG646" s="261" t="s">
        <v>741</v>
      </c>
      <c r="AH646" s="261" t="s">
        <v>2113</v>
      </c>
      <c r="AI646" s="261">
        <v>100</v>
      </c>
      <c r="AJ646" s="261">
        <v>0</v>
      </c>
      <c r="AK646" s="261">
        <v>100</v>
      </c>
      <c r="AL646" s="256">
        <v>7.4999999999999997E-3</v>
      </c>
      <c r="AM646" s="256" t="s">
        <v>34</v>
      </c>
      <c r="AN646" s="256" t="s">
        <v>2122</v>
      </c>
      <c r="AO646" s="254" t="s">
        <v>1324</v>
      </c>
      <c r="AP646" s="257" t="s">
        <v>13</v>
      </c>
      <c r="AQ646" s="263" t="s">
        <v>671</v>
      </c>
      <c r="AR646" s="256">
        <v>1E-3</v>
      </c>
      <c r="AS646" s="256">
        <v>1E-3</v>
      </c>
      <c r="AT646" s="256"/>
      <c r="AX646" s="508"/>
      <c r="AY646" s="509"/>
      <c r="AZ646" s="509"/>
      <c r="BA646" s="509"/>
      <c r="BB646" s="510"/>
      <c r="BC646" s="509"/>
      <c r="BD646" s="509"/>
      <c r="BE646" s="509"/>
      <c r="BF646" s="509"/>
      <c r="BG646" s="510"/>
      <c r="BH646" s="510"/>
      <c r="BI646" s="511"/>
      <c r="BJ646" s="511"/>
      <c r="BK646" s="511"/>
      <c r="BL646" s="510"/>
      <c r="BM646" s="510"/>
      <c r="BN646" s="510"/>
      <c r="BO646" s="510"/>
      <c r="BP646" s="510"/>
      <c r="BQ646" s="510"/>
      <c r="BR646" s="510"/>
      <c r="BS646" s="510"/>
      <c r="BT646" s="513"/>
      <c r="BU646" s="514"/>
      <c r="BV646" s="512"/>
      <c r="BW646" s="515"/>
    </row>
    <row r="647" spans="2:75" ht="15.75" customHeight="1">
      <c r="B647" s="250" t="s">
        <v>803</v>
      </c>
      <c r="C647" s="251">
        <v>35844973000191</v>
      </c>
      <c r="D647" s="252" t="s">
        <v>13</v>
      </c>
      <c r="E647" s="252" t="s">
        <v>616</v>
      </c>
      <c r="F647" s="252" t="s">
        <v>617</v>
      </c>
      <c r="G647" s="253"/>
      <c r="H647" s="253" t="s">
        <v>1337</v>
      </c>
      <c r="I647" s="253" t="s">
        <v>34</v>
      </c>
      <c r="J647" s="253" t="s">
        <v>608</v>
      </c>
      <c r="K647" s="254" t="s">
        <v>48</v>
      </c>
      <c r="L647" s="255"/>
      <c r="M647" s="255" t="s">
        <v>1414</v>
      </c>
      <c r="N647" s="254">
        <v>529125</v>
      </c>
      <c r="O647" s="254" t="s">
        <v>1321</v>
      </c>
      <c r="P647" s="258">
        <v>43895</v>
      </c>
      <c r="Q647" s="259">
        <v>81474113.209999993</v>
      </c>
      <c r="R647" s="259">
        <v>69455632.970119074</v>
      </c>
      <c r="S647" s="254">
        <v>15</v>
      </c>
      <c r="T647" s="256">
        <v>9.8084444317565467E-2</v>
      </c>
      <c r="U647" s="256">
        <v>1.267956755949192</v>
      </c>
      <c r="V647" s="256">
        <v>0.12085849883149202</v>
      </c>
      <c r="W647" s="256">
        <v>1.1848174073766287</v>
      </c>
      <c r="X647" s="256">
        <v>0.21776427230534212</v>
      </c>
      <c r="Y647" s="256">
        <v>1.6513460360688648</v>
      </c>
      <c r="Z647" s="256" t="s">
        <v>1417</v>
      </c>
      <c r="AA647" s="256" t="s">
        <v>1417</v>
      </c>
      <c r="AB647" s="256">
        <v>3.2611585784505619E-2</v>
      </c>
      <c r="AC647" s="260">
        <v>0.5365583372381324</v>
      </c>
      <c r="AD647" s="405">
        <v>35844975000180</v>
      </c>
      <c r="AE647" s="257" t="s">
        <v>2173</v>
      </c>
      <c r="AF647" s="257" t="s">
        <v>2115</v>
      </c>
      <c r="AG647" s="261" t="s">
        <v>719</v>
      </c>
      <c r="AH647" s="261" t="s">
        <v>2113</v>
      </c>
      <c r="AI647" s="261">
        <v>1000</v>
      </c>
      <c r="AJ647" s="261">
        <v>1000</v>
      </c>
      <c r="AK647" s="261">
        <v>1000</v>
      </c>
      <c r="AL647" s="256">
        <v>1.4370000000000001E-2</v>
      </c>
      <c r="AM647" s="256">
        <v>0.2</v>
      </c>
      <c r="AN647" s="256" t="s">
        <v>64</v>
      </c>
      <c r="AO647" s="254" t="s">
        <v>1324</v>
      </c>
      <c r="AP647" s="257" t="s">
        <v>13</v>
      </c>
      <c r="AQ647" s="263" t="s">
        <v>668</v>
      </c>
      <c r="AR647" s="256">
        <v>2.8740000000000003E-3</v>
      </c>
      <c r="AS647" s="256">
        <v>2.8740000000000003E-3</v>
      </c>
      <c r="AT647" s="256"/>
      <c r="AX647" s="508"/>
      <c r="AY647" s="509"/>
      <c r="AZ647" s="509"/>
      <c r="BA647" s="509"/>
      <c r="BB647" s="510"/>
      <c r="BC647" s="509"/>
      <c r="BD647" s="509"/>
      <c r="BE647" s="509"/>
      <c r="BF647" s="509"/>
      <c r="BG647" s="510"/>
      <c r="BH647" s="510"/>
      <c r="BI647" s="511"/>
      <c r="BJ647" s="511"/>
      <c r="BK647" s="511"/>
      <c r="BL647" s="510"/>
      <c r="BM647" s="510"/>
      <c r="BN647" s="510"/>
      <c r="BO647" s="510"/>
      <c r="BP647" s="510"/>
      <c r="BQ647" s="510"/>
      <c r="BR647" s="510"/>
      <c r="BS647" s="510"/>
      <c r="BT647" s="513"/>
      <c r="BU647" s="514"/>
      <c r="BV647" s="512"/>
      <c r="BW647" s="515"/>
    </row>
    <row r="648" spans="2:75" ht="15.75" customHeight="1">
      <c r="B648" s="250" t="s">
        <v>1654</v>
      </c>
      <c r="C648" s="251">
        <v>15674503000110</v>
      </c>
      <c r="D648" s="252" t="s">
        <v>13</v>
      </c>
      <c r="E648" s="252" t="s">
        <v>616</v>
      </c>
      <c r="F648" s="252" t="s">
        <v>617</v>
      </c>
      <c r="G648" s="253" t="s">
        <v>34</v>
      </c>
      <c r="H648" s="253" t="s">
        <v>1337</v>
      </c>
      <c r="I648" s="253" t="s">
        <v>34</v>
      </c>
      <c r="J648" s="253" t="s">
        <v>608</v>
      </c>
      <c r="K648" s="254" t="s">
        <v>48</v>
      </c>
      <c r="L648" s="255"/>
      <c r="M648" s="255"/>
      <c r="N648" s="254">
        <v>311243</v>
      </c>
      <c r="O648" s="254" t="s">
        <v>1321</v>
      </c>
      <c r="P648" s="258">
        <v>41152</v>
      </c>
      <c r="Q648" s="259">
        <v>111140994.75</v>
      </c>
      <c r="R648" s="259">
        <v>180629794.41996029</v>
      </c>
      <c r="S648" s="254">
        <v>15</v>
      </c>
      <c r="T648" s="256">
        <v>8.8542529616671528E-2</v>
      </c>
      <c r="U648" s="256">
        <v>0.99591871615434058</v>
      </c>
      <c r="V648" s="256">
        <v>9.9682870437089122E-2</v>
      </c>
      <c r="W648" s="256">
        <v>0.91486031855523242</v>
      </c>
      <c r="X648" s="256">
        <v>0.12891977043546143</v>
      </c>
      <c r="Y648" s="256">
        <v>0.90653681041069734</v>
      </c>
      <c r="Z648" s="256">
        <v>0.18674891433671403</v>
      </c>
      <c r="AA648" s="256">
        <v>1.0205013362263959</v>
      </c>
      <c r="AB648" s="256">
        <v>2.1946587783663034E-2</v>
      </c>
      <c r="AC648" s="260">
        <v>-0.37203539326711288</v>
      </c>
      <c r="AD648" s="405">
        <v>11403956000150</v>
      </c>
      <c r="AE648" s="257" t="s">
        <v>2318</v>
      </c>
      <c r="AF648" s="257" t="s">
        <v>2318</v>
      </c>
      <c r="AG648" s="261" t="s">
        <v>1436</v>
      </c>
      <c r="AH648" s="261" t="s">
        <v>2319</v>
      </c>
      <c r="AI648" s="261">
        <v>5000</v>
      </c>
      <c r="AJ648" s="261">
        <v>0</v>
      </c>
      <c r="AK648" s="261">
        <v>0</v>
      </c>
      <c r="AL648" s="256">
        <v>0</v>
      </c>
      <c r="AM648" s="256" t="s">
        <v>34</v>
      </c>
      <c r="AN648" s="256" t="s">
        <v>64</v>
      </c>
      <c r="AO648" s="254" t="s">
        <v>1324</v>
      </c>
      <c r="AP648" s="257" t="s">
        <v>13</v>
      </c>
      <c r="AQ648" s="263" t="s">
        <v>668</v>
      </c>
      <c r="AR648" s="256" t="s">
        <v>34</v>
      </c>
      <c r="AS648" s="256" t="s">
        <v>34</v>
      </c>
      <c r="AT648" s="256"/>
      <c r="AX648" s="508"/>
      <c r="AY648" s="509"/>
      <c r="AZ648" s="509"/>
      <c r="BA648" s="509"/>
      <c r="BB648" s="510"/>
      <c r="BC648" s="509"/>
      <c r="BD648" s="509"/>
      <c r="BE648" s="509"/>
      <c r="BF648" s="509"/>
      <c r="BG648" s="510"/>
      <c r="BH648" s="510"/>
      <c r="BI648" s="511"/>
      <c r="BJ648" s="511"/>
      <c r="BK648" s="511"/>
      <c r="BL648" s="510"/>
      <c r="BM648" s="510"/>
      <c r="BN648" s="510"/>
      <c r="BO648" s="510"/>
      <c r="BP648" s="510"/>
      <c r="BQ648" s="510"/>
      <c r="BR648" s="510"/>
      <c r="BS648" s="510"/>
      <c r="BT648" s="513"/>
      <c r="BU648" s="514"/>
      <c r="BV648" s="512"/>
      <c r="BW648" s="515"/>
    </row>
    <row r="649" spans="2:75" ht="15.75" customHeight="1">
      <c r="B649" s="250" t="s">
        <v>1664</v>
      </c>
      <c r="C649" s="251">
        <v>19391009000107</v>
      </c>
      <c r="D649" s="252" t="s">
        <v>13</v>
      </c>
      <c r="E649" s="252" t="s">
        <v>616</v>
      </c>
      <c r="F649" s="252" t="s">
        <v>617</v>
      </c>
      <c r="G649" s="253" t="s">
        <v>34</v>
      </c>
      <c r="H649" s="253" t="s">
        <v>1337</v>
      </c>
      <c r="I649" s="253" t="s">
        <v>34</v>
      </c>
      <c r="J649" s="253" t="s">
        <v>608</v>
      </c>
      <c r="K649" s="254" t="s">
        <v>48</v>
      </c>
      <c r="L649" s="255"/>
      <c r="M649" s="255"/>
      <c r="N649" s="254">
        <v>366226</v>
      </c>
      <c r="O649" s="254" t="s">
        <v>1321</v>
      </c>
      <c r="P649" s="258">
        <v>41754</v>
      </c>
      <c r="Q649" s="259">
        <v>73358765.239999995</v>
      </c>
      <c r="R649" s="259">
        <v>102408227.0008335</v>
      </c>
      <c r="S649" s="254">
        <v>15</v>
      </c>
      <c r="T649" s="256">
        <v>0.11138198250399856</v>
      </c>
      <c r="U649" s="256">
        <v>1.2528149071225669</v>
      </c>
      <c r="V649" s="256">
        <v>0.106455570136194</v>
      </c>
      <c r="W649" s="256">
        <v>0.97701818155650333</v>
      </c>
      <c r="X649" s="256">
        <v>0.21114800149008217</v>
      </c>
      <c r="Y649" s="256">
        <v>1.4847485001630205</v>
      </c>
      <c r="Z649" s="256">
        <v>0.3266364428287456</v>
      </c>
      <c r="AA649" s="256">
        <v>1.7849256449542843</v>
      </c>
      <c r="AB649" s="256">
        <v>4.7351630810266006E-2</v>
      </c>
      <c r="AC649" s="260">
        <v>-2.4206772088075364E-2</v>
      </c>
      <c r="AD649" s="405">
        <v>18772290000157</v>
      </c>
      <c r="AE649" s="257" t="s">
        <v>2318</v>
      </c>
      <c r="AF649" s="257" t="s">
        <v>2318</v>
      </c>
      <c r="AG649" s="261" t="s">
        <v>1436</v>
      </c>
      <c r="AH649" s="261" t="s">
        <v>2319</v>
      </c>
      <c r="AI649" s="261">
        <v>10000</v>
      </c>
      <c r="AJ649" s="261">
        <v>5000</v>
      </c>
      <c r="AK649" s="261">
        <v>10000</v>
      </c>
      <c r="AL649" s="256">
        <v>0</v>
      </c>
      <c r="AM649" s="256" t="s">
        <v>34</v>
      </c>
      <c r="AN649" s="256" t="s">
        <v>64</v>
      </c>
      <c r="AO649" s="254" t="s">
        <v>1324</v>
      </c>
      <c r="AP649" s="257" t="s">
        <v>13</v>
      </c>
      <c r="AQ649" s="263" t="s">
        <v>674</v>
      </c>
      <c r="AR649" s="256" t="s">
        <v>34</v>
      </c>
      <c r="AS649" s="256" t="s">
        <v>34</v>
      </c>
      <c r="AT649" s="256"/>
      <c r="AW649" s="508"/>
      <c r="AX649" s="508"/>
      <c r="AY649" s="509"/>
      <c r="AZ649" s="509"/>
      <c r="BA649" s="509"/>
      <c r="BB649" s="510"/>
      <c r="BC649" s="509"/>
      <c r="BD649" s="509"/>
      <c r="BE649" s="509"/>
      <c r="BF649" s="509"/>
      <c r="BG649" s="510"/>
      <c r="BH649" s="510"/>
      <c r="BI649" s="511"/>
      <c r="BJ649" s="511"/>
      <c r="BK649" s="511"/>
      <c r="BL649" s="195"/>
      <c r="BM649" s="510"/>
      <c r="BN649" s="510"/>
      <c r="BO649" s="510"/>
      <c r="BP649" s="510"/>
      <c r="BQ649" s="510"/>
      <c r="BR649" s="510"/>
      <c r="BS649" s="510"/>
      <c r="BT649" s="513"/>
      <c r="BU649" s="514"/>
      <c r="BV649" s="512"/>
      <c r="BW649" s="515"/>
    </row>
    <row r="650" spans="2:75" ht="15.75" customHeight="1">
      <c r="B650" s="250" t="s">
        <v>316</v>
      </c>
      <c r="C650" s="251">
        <v>11403956000150</v>
      </c>
      <c r="D650" s="252" t="s">
        <v>13</v>
      </c>
      <c r="E650" s="252" t="s">
        <v>616</v>
      </c>
      <c r="F650" s="252" t="s">
        <v>617</v>
      </c>
      <c r="G650" s="253" t="s">
        <v>34</v>
      </c>
      <c r="H650" s="253" t="s">
        <v>1337</v>
      </c>
      <c r="I650" s="253" t="s">
        <v>34</v>
      </c>
      <c r="J650" s="253" t="s">
        <v>608</v>
      </c>
      <c r="K650" s="254" t="s">
        <v>48</v>
      </c>
      <c r="L650" s="255"/>
      <c r="M650" s="255" t="s">
        <v>34</v>
      </c>
      <c r="N650" s="254">
        <v>245054</v>
      </c>
      <c r="O650" s="254" t="s">
        <v>1321</v>
      </c>
      <c r="P650" s="258">
        <v>40259</v>
      </c>
      <c r="Q650" s="259">
        <v>629359612.44000006</v>
      </c>
      <c r="R650" s="259">
        <v>1066502920.7008338</v>
      </c>
      <c r="S650" s="254">
        <v>15</v>
      </c>
      <c r="T650" s="256">
        <v>7.2963108919518849E-2</v>
      </c>
      <c r="U650" s="256">
        <v>0.94320835004203396</v>
      </c>
      <c r="V650" s="256">
        <v>8.5338471963945617E-2</v>
      </c>
      <c r="W650" s="256">
        <v>0.83660237450722708</v>
      </c>
      <c r="X650" s="256">
        <v>0.10326658806158129</v>
      </c>
      <c r="Y650" s="256">
        <v>0.78308929673614436</v>
      </c>
      <c r="Z650" s="256">
        <v>0.17659719527231754</v>
      </c>
      <c r="AA650" s="256">
        <v>1.0038357086657375</v>
      </c>
      <c r="AB650" s="256">
        <v>2.1167869595454244E-2</v>
      </c>
      <c r="AC650" s="260">
        <v>-0.70974020215866207</v>
      </c>
      <c r="AD650" s="405">
        <v>11490618000101</v>
      </c>
      <c r="AE650" s="257" t="s">
        <v>2344</v>
      </c>
      <c r="AF650" s="257" t="s">
        <v>2118</v>
      </c>
      <c r="AG650" s="261" t="s">
        <v>1433</v>
      </c>
      <c r="AH650" s="261" t="s">
        <v>2113</v>
      </c>
      <c r="AI650" s="261">
        <v>1000</v>
      </c>
      <c r="AJ650" s="261">
        <v>0</v>
      </c>
      <c r="AK650" s="261">
        <v>0</v>
      </c>
      <c r="AL650" s="256">
        <v>0.02</v>
      </c>
      <c r="AM650" s="256">
        <v>0.2</v>
      </c>
      <c r="AN650" s="256" t="s">
        <v>64</v>
      </c>
      <c r="AO650" s="254" t="s">
        <v>1324</v>
      </c>
      <c r="AP650" s="257" t="s">
        <v>13</v>
      </c>
      <c r="AQ650" s="263" t="s">
        <v>668</v>
      </c>
      <c r="AR650" s="256">
        <v>5.0000000000000001E-3</v>
      </c>
      <c r="AS650" s="256">
        <v>5.0000000000000001E-3</v>
      </c>
      <c r="AT650" s="256"/>
      <c r="AW650" s="508"/>
      <c r="AX650" s="508"/>
      <c r="AY650" s="509"/>
      <c r="AZ650" s="509"/>
      <c r="BA650" s="509"/>
      <c r="BB650" s="510"/>
      <c r="BC650" s="509"/>
      <c r="BD650" s="509"/>
      <c r="BE650" s="509"/>
      <c r="BF650" s="509"/>
      <c r="BG650" s="510"/>
      <c r="BH650" s="510"/>
      <c r="BI650" s="511"/>
      <c r="BJ650" s="511"/>
      <c r="BK650" s="511"/>
      <c r="BL650" s="195"/>
      <c r="BM650" s="510"/>
      <c r="BN650" s="510"/>
      <c r="BO650" s="510"/>
      <c r="BP650" s="510"/>
      <c r="BQ650" s="510"/>
      <c r="BR650" s="510"/>
      <c r="BS650" s="510"/>
      <c r="BT650" s="513"/>
      <c r="BU650" s="514"/>
      <c r="BV650" s="512"/>
      <c r="BW650" s="515"/>
    </row>
    <row r="651" spans="2:75" ht="15.75" customHeight="1">
      <c r="B651" s="250" t="s">
        <v>744</v>
      </c>
      <c r="C651" s="251">
        <v>13001211000190</v>
      </c>
      <c r="D651" s="252" t="s">
        <v>13</v>
      </c>
      <c r="E651" s="252" t="s">
        <v>615</v>
      </c>
      <c r="F651" s="252" t="s">
        <v>619</v>
      </c>
      <c r="G651" s="253" t="s">
        <v>34</v>
      </c>
      <c r="H651" s="253" t="s">
        <v>865</v>
      </c>
      <c r="I651" s="253" t="s">
        <v>34</v>
      </c>
      <c r="J651" s="253"/>
      <c r="K651" s="254" t="s">
        <v>48</v>
      </c>
      <c r="L651" s="255"/>
      <c r="M651" s="255" t="s">
        <v>34</v>
      </c>
      <c r="N651" s="254">
        <v>268127</v>
      </c>
      <c r="O651" s="254" t="s">
        <v>1321</v>
      </c>
      <c r="P651" s="258">
        <v>40588</v>
      </c>
      <c r="Q651" s="259">
        <v>122217088.31999999</v>
      </c>
      <c r="R651" s="259">
        <v>118658724.50793654</v>
      </c>
      <c r="S651" s="254">
        <v>15</v>
      </c>
      <c r="T651" s="256">
        <v>6.5780044674182525E-2</v>
      </c>
      <c r="U651" s="256">
        <v>0.85035147654226528</v>
      </c>
      <c r="V651" s="256">
        <v>6.3942717708104668E-2</v>
      </c>
      <c r="W651" s="256">
        <v>0.62685244106135929</v>
      </c>
      <c r="X651" s="256">
        <v>7.5380469904373193E-2</v>
      </c>
      <c r="Y651" s="256">
        <v>0.57162379694247645</v>
      </c>
      <c r="Z651" s="256">
        <v>0.19774896878699755</v>
      </c>
      <c r="AA651" s="256">
        <v>1.1240692464798814</v>
      </c>
      <c r="AB651" s="256">
        <v>6.6022327872018158E-2</v>
      </c>
      <c r="AC651" s="260">
        <v>-0.49969546286423266</v>
      </c>
      <c r="AD651" s="405">
        <v>0</v>
      </c>
      <c r="AE651" s="257" t="s">
        <v>2135</v>
      </c>
      <c r="AF651" s="257" t="s">
        <v>2109</v>
      </c>
      <c r="AG651" s="261" t="s">
        <v>1432</v>
      </c>
      <c r="AH651" s="261" t="s">
        <v>2113</v>
      </c>
      <c r="AI651" s="261">
        <v>5000</v>
      </c>
      <c r="AJ651" s="261">
        <v>1000</v>
      </c>
      <c r="AK651" s="261">
        <v>5000</v>
      </c>
      <c r="AL651" s="519">
        <v>0.02</v>
      </c>
      <c r="AM651" s="519">
        <v>0.2</v>
      </c>
      <c r="AN651" s="256" t="s">
        <v>64</v>
      </c>
      <c r="AO651" s="254" t="s">
        <v>1324</v>
      </c>
      <c r="AP651" s="257" t="s">
        <v>13</v>
      </c>
      <c r="AQ651" s="263" t="s">
        <v>664</v>
      </c>
      <c r="AR651" s="256">
        <v>4.0000000000000001E-3</v>
      </c>
      <c r="AS651" s="256">
        <v>4.0000000000000001E-3</v>
      </c>
      <c r="AT651" s="256"/>
      <c r="AX651" s="508"/>
      <c r="AY651" s="509"/>
      <c r="AZ651" s="509"/>
      <c r="BA651" s="509"/>
      <c r="BB651" s="510"/>
      <c r="BC651" s="509"/>
      <c r="BD651" s="509"/>
      <c r="BE651" s="509"/>
      <c r="BF651" s="509"/>
      <c r="BG651" s="510"/>
      <c r="BH651" s="510"/>
      <c r="BI651" s="511"/>
      <c r="BJ651" s="511"/>
      <c r="BK651" s="511"/>
      <c r="BL651" s="510"/>
      <c r="BM651" s="510"/>
      <c r="BN651" s="510"/>
      <c r="BO651" s="510"/>
      <c r="BP651" s="510"/>
      <c r="BQ651" s="510"/>
      <c r="BR651" s="510"/>
      <c r="BS651" s="510"/>
      <c r="BT651" s="513"/>
      <c r="BU651" s="514"/>
      <c r="BV651" s="512"/>
      <c r="BW651" s="515"/>
    </row>
    <row r="652" spans="2:75" ht="15.75" customHeight="1">
      <c r="B652" s="250" t="s">
        <v>908</v>
      </c>
      <c r="C652" s="251">
        <v>28856743000187</v>
      </c>
      <c r="D652" s="252" t="s">
        <v>13</v>
      </c>
      <c r="E652" s="252" t="s">
        <v>615</v>
      </c>
      <c r="F652" s="252" t="s">
        <v>619</v>
      </c>
      <c r="G652" s="253" t="s">
        <v>34</v>
      </c>
      <c r="H652" s="253" t="s">
        <v>865</v>
      </c>
      <c r="I652" s="253" t="s">
        <v>34</v>
      </c>
      <c r="J652" s="253"/>
      <c r="K652" s="254" t="s">
        <v>48</v>
      </c>
      <c r="L652" s="255"/>
      <c r="M652" s="255" t="s">
        <v>34</v>
      </c>
      <c r="N652" s="254">
        <v>462802</v>
      </c>
      <c r="O652" s="254" t="s">
        <v>1321</v>
      </c>
      <c r="P652" s="258">
        <v>43203</v>
      </c>
      <c r="Q652" s="259">
        <v>224054523.11000001</v>
      </c>
      <c r="R652" s="259">
        <v>139361552.70218253</v>
      </c>
      <c r="S652" s="254">
        <v>15</v>
      </c>
      <c r="T652" s="256">
        <v>0.11963910623438312</v>
      </c>
      <c r="U652" s="256">
        <v>1.546598077616294</v>
      </c>
      <c r="V652" s="256">
        <v>0.1782557548053636</v>
      </c>
      <c r="W652" s="256">
        <v>1.7475024371510937</v>
      </c>
      <c r="X652" s="256">
        <v>0.33069042173631025</v>
      </c>
      <c r="Y652" s="256">
        <v>2.5076855414302996</v>
      </c>
      <c r="Z652" s="256">
        <v>0.48883254051287706</v>
      </c>
      <c r="AA652" s="256">
        <v>2.7786826340471187</v>
      </c>
      <c r="AB652" s="256">
        <v>5.5986677944117921E-2</v>
      </c>
      <c r="AC652" s="260">
        <v>1.223462112774125</v>
      </c>
      <c r="AD652" s="405">
        <v>0</v>
      </c>
      <c r="AE652" s="257" t="s">
        <v>2213</v>
      </c>
      <c r="AF652" s="257" t="s">
        <v>2115</v>
      </c>
      <c r="AG652" s="261" t="s">
        <v>719</v>
      </c>
      <c r="AH652" s="261" t="s">
        <v>2113</v>
      </c>
      <c r="AI652" s="261">
        <v>1000</v>
      </c>
      <c r="AJ652" s="261">
        <v>1000</v>
      </c>
      <c r="AK652" s="261">
        <v>1000</v>
      </c>
      <c r="AL652" s="256">
        <v>0.02</v>
      </c>
      <c r="AM652" s="256">
        <v>0.2</v>
      </c>
      <c r="AN652" s="256" t="s">
        <v>64</v>
      </c>
      <c r="AO652" s="254" t="s">
        <v>1324</v>
      </c>
      <c r="AP652" s="257" t="s">
        <v>13</v>
      </c>
      <c r="AQ652" s="263" t="s">
        <v>668</v>
      </c>
      <c r="AR652" s="256">
        <v>4.0000000000000001E-3</v>
      </c>
      <c r="AS652" s="256">
        <v>4.0000000000000001E-3</v>
      </c>
      <c r="AT652" s="256"/>
      <c r="AX652" s="508"/>
      <c r="AY652" s="509"/>
      <c r="AZ652" s="509"/>
      <c r="BA652" s="509"/>
      <c r="BB652" s="510"/>
      <c r="BC652" s="509"/>
      <c r="BD652" s="509"/>
      <c r="BE652" s="509"/>
      <c r="BF652" s="509"/>
      <c r="BG652" s="510"/>
      <c r="BH652" s="510"/>
      <c r="BI652" s="511"/>
      <c r="BJ652" s="511"/>
      <c r="BK652" s="511"/>
      <c r="BL652" s="510"/>
      <c r="BM652" s="510"/>
      <c r="BN652" s="510"/>
      <c r="BO652" s="510"/>
      <c r="BP652" s="510"/>
      <c r="BQ652" s="510"/>
      <c r="BR652" s="510"/>
      <c r="BS652" s="510"/>
      <c r="BT652" s="513"/>
      <c r="BU652" s="514"/>
      <c r="BV652" s="512"/>
      <c r="BW652" s="515"/>
    </row>
    <row r="653" spans="2:75" ht="15.75" customHeight="1">
      <c r="B653" s="250" t="s">
        <v>919</v>
      </c>
      <c r="C653" s="251">
        <v>6092123000186</v>
      </c>
      <c r="D653" s="252" t="s">
        <v>13</v>
      </c>
      <c r="E653" s="252" t="s">
        <v>615</v>
      </c>
      <c r="F653" s="252" t="s">
        <v>619</v>
      </c>
      <c r="G653" s="253" t="s">
        <v>34</v>
      </c>
      <c r="H653" s="253" t="s">
        <v>1337</v>
      </c>
      <c r="I653" s="253" t="s">
        <v>34</v>
      </c>
      <c r="J653" s="253"/>
      <c r="K653" s="254" t="s">
        <v>48</v>
      </c>
      <c r="L653" s="255"/>
      <c r="M653" s="255" t="s">
        <v>1414</v>
      </c>
      <c r="N653" s="254">
        <v>126251</v>
      </c>
      <c r="O653" s="254" t="s">
        <v>1321</v>
      </c>
      <c r="P653" s="258">
        <v>38034</v>
      </c>
      <c r="Q653" s="259">
        <v>57881963.439999998</v>
      </c>
      <c r="R653" s="259">
        <v>59072140.367817447</v>
      </c>
      <c r="S653" s="254">
        <v>15</v>
      </c>
      <c r="T653" s="256">
        <v>9.5730712864274814E-2</v>
      </c>
      <c r="U653" s="256">
        <v>1.2375296100479787</v>
      </c>
      <c r="V653" s="256">
        <v>0.1142787149770168</v>
      </c>
      <c r="W653" s="256">
        <v>1.1203135245472768</v>
      </c>
      <c r="X653" s="256">
        <v>0.16317761981391987</v>
      </c>
      <c r="Y653" s="256">
        <v>1.2374055339851011</v>
      </c>
      <c r="Z653" s="256">
        <v>0.22928095208897203</v>
      </c>
      <c r="AA653" s="256">
        <v>1.3033072618671819</v>
      </c>
      <c r="AB653" s="256">
        <v>2.5568345198194713E-2</v>
      </c>
      <c r="AC653" s="260">
        <v>0.4460222600651933</v>
      </c>
      <c r="AD653" s="405">
        <v>0</v>
      </c>
      <c r="AE653" s="257" t="s">
        <v>2224</v>
      </c>
      <c r="AF653" s="257" t="s">
        <v>741</v>
      </c>
      <c r="AG653" s="261" t="s">
        <v>741</v>
      </c>
      <c r="AH653" s="261" t="s">
        <v>2113</v>
      </c>
      <c r="AI653" s="261">
        <v>500</v>
      </c>
      <c r="AJ653" s="261">
        <v>500</v>
      </c>
      <c r="AK653" s="261">
        <v>500</v>
      </c>
      <c r="AL653" s="256">
        <v>6.0000000000000001E-3</v>
      </c>
      <c r="AM653" s="256">
        <v>0.1</v>
      </c>
      <c r="AN653" s="256" t="s">
        <v>64</v>
      </c>
      <c r="AO653" s="254" t="s">
        <v>1324</v>
      </c>
      <c r="AP653" s="257" t="s">
        <v>13</v>
      </c>
      <c r="AQ653" s="263" t="s">
        <v>686</v>
      </c>
      <c r="AR653" s="256">
        <v>8.0000000000000004E-4</v>
      </c>
      <c r="AS653" s="256">
        <v>8.0000000000000004E-4</v>
      </c>
      <c r="AT653" s="256"/>
      <c r="AX653" s="508"/>
      <c r="AY653" s="509"/>
      <c r="AZ653" s="509"/>
      <c r="BA653" s="509"/>
      <c r="BB653" s="510"/>
      <c r="BC653" s="509"/>
      <c r="BD653" s="509"/>
      <c r="BE653" s="509"/>
      <c r="BF653" s="509"/>
      <c r="BG653" s="510"/>
      <c r="BH653" s="510"/>
      <c r="BI653" s="511"/>
      <c r="BJ653" s="511"/>
      <c r="BK653" s="511"/>
      <c r="BL653" s="510"/>
      <c r="BM653" s="510"/>
      <c r="BN653" s="510"/>
      <c r="BO653" s="510"/>
      <c r="BP653" s="510"/>
      <c r="BQ653" s="510"/>
      <c r="BR653" s="510"/>
      <c r="BS653" s="510"/>
      <c r="BT653" s="513"/>
      <c r="BU653" s="514"/>
      <c r="BV653" s="512"/>
      <c r="BW653" s="515"/>
    </row>
    <row r="654" spans="2:75" ht="15.75" customHeight="1">
      <c r="B654" s="250" t="s">
        <v>894</v>
      </c>
      <c r="C654" s="251">
        <v>44479860000125</v>
      </c>
      <c r="D654" s="252" t="s">
        <v>14</v>
      </c>
      <c r="E654" s="252" t="s">
        <v>607</v>
      </c>
      <c r="F654" s="252"/>
      <c r="G654" s="253"/>
      <c r="H654" s="253" t="s">
        <v>34</v>
      </c>
      <c r="I654" s="253" t="s">
        <v>34</v>
      </c>
      <c r="J654" s="253" t="s">
        <v>611</v>
      </c>
      <c r="K654" s="254" t="s">
        <v>49</v>
      </c>
      <c r="L654" s="255"/>
      <c r="M654" s="255" t="s">
        <v>34</v>
      </c>
      <c r="N654" s="254">
        <v>631256</v>
      </c>
      <c r="O654" s="254" t="s">
        <v>1321</v>
      </c>
      <c r="P654" s="258">
        <v>44558</v>
      </c>
      <c r="Q654" s="259">
        <v>21716844.59</v>
      </c>
      <c r="R654" s="259" t="s">
        <v>1417</v>
      </c>
      <c r="S654" s="254">
        <v>15</v>
      </c>
      <c r="T654" s="256">
        <v>-0.19299215964243854</v>
      </c>
      <c r="U654" s="256">
        <v>-2.4948473161715388</v>
      </c>
      <c r="V654" s="256" t="s">
        <v>1417</v>
      </c>
      <c r="W654" s="256" t="s">
        <v>1417</v>
      </c>
      <c r="X654" s="256" t="s">
        <v>1417</v>
      </c>
      <c r="Y654" s="256" t="s">
        <v>1417</v>
      </c>
      <c r="Z654" s="256" t="s">
        <v>1417</v>
      </c>
      <c r="AA654" s="256" t="s">
        <v>1417</v>
      </c>
      <c r="AB654" s="256" t="s">
        <v>1417</v>
      </c>
      <c r="AC654" s="260" t="s">
        <v>1417</v>
      </c>
      <c r="AD654" s="405">
        <v>44417189000198</v>
      </c>
      <c r="AE654" s="257" t="s">
        <v>2196</v>
      </c>
      <c r="AF654" s="257" t="s">
        <v>2109</v>
      </c>
      <c r="AG654" s="261" t="s">
        <v>1432</v>
      </c>
      <c r="AH654" s="261" t="s">
        <v>2113</v>
      </c>
      <c r="AI654" s="261">
        <v>5000</v>
      </c>
      <c r="AJ654" s="261">
        <v>1000</v>
      </c>
      <c r="AK654" s="261">
        <v>5000</v>
      </c>
      <c r="AL654" s="256">
        <v>1.9E-2</v>
      </c>
      <c r="AM654" s="256">
        <v>0.2</v>
      </c>
      <c r="AN654" s="256" t="s">
        <v>2127</v>
      </c>
      <c r="AO654" s="254" t="s">
        <v>1324</v>
      </c>
      <c r="AP654" s="257" t="s">
        <v>716</v>
      </c>
      <c r="AQ654" s="263" t="s">
        <v>659</v>
      </c>
      <c r="AR654" s="256">
        <v>4.4327000000000004E-3</v>
      </c>
      <c r="AS654" s="256">
        <v>4.4327000000000004E-3</v>
      </c>
      <c r="AT654" s="256"/>
      <c r="AX654" s="508"/>
      <c r="AY654" s="509"/>
      <c r="AZ654" s="509"/>
      <c r="BA654" s="509"/>
      <c r="BB654" s="510"/>
      <c r="BC654" s="509"/>
      <c r="BD654" s="509"/>
      <c r="BE654" s="509"/>
      <c r="BF654" s="509"/>
      <c r="BG654" s="510"/>
      <c r="BH654" s="510"/>
      <c r="BI654" s="511"/>
      <c r="BJ654" s="511"/>
      <c r="BK654" s="511"/>
      <c r="BL654" s="510"/>
      <c r="BM654" s="510"/>
      <c r="BN654" s="510"/>
      <c r="BO654" s="510"/>
      <c r="BP654" s="510"/>
      <c r="BQ654" s="510"/>
      <c r="BR654" s="510"/>
      <c r="BS654" s="510"/>
      <c r="BT654" s="513"/>
      <c r="BU654" s="514"/>
      <c r="BV654" s="512"/>
      <c r="BW654" s="515"/>
    </row>
    <row r="655" spans="2:75" ht="15.75" customHeight="1">
      <c r="B655" s="250" t="s">
        <v>895</v>
      </c>
      <c r="C655" s="251">
        <v>44515610000101</v>
      </c>
      <c r="D655" s="252" t="s">
        <v>14</v>
      </c>
      <c r="E655" s="252" t="s">
        <v>607</v>
      </c>
      <c r="F655" s="252"/>
      <c r="G655" s="253"/>
      <c r="H655" s="253" t="s">
        <v>34</v>
      </c>
      <c r="I655" s="253" t="s">
        <v>34</v>
      </c>
      <c r="J655" s="253" t="s">
        <v>611</v>
      </c>
      <c r="K655" s="254" t="s">
        <v>48</v>
      </c>
      <c r="L655" s="255"/>
      <c r="M655" s="255" t="s">
        <v>34</v>
      </c>
      <c r="N655" s="254">
        <v>631507</v>
      </c>
      <c r="O655" s="254" t="s">
        <v>1321</v>
      </c>
      <c r="P655" s="258">
        <v>44568</v>
      </c>
      <c r="Q655" s="259">
        <v>23287705.890000001</v>
      </c>
      <c r="R655" s="259" t="s">
        <v>1417</v>
      </c>
      <c r="S655" s="254">
        <v>15</v>
      </c>
      <c r="T655" s="256" t="s">
        <v>1417</v>
      </c>
      <c r="U655" s="256" t="s">
        <v>1417</v>
      </c>
      <c r="V655" s="256" t="s">
        <v>1417</v>
      </c>
      <c r="W655" s="256" t="s">
        <v>1417</v>
      </c>
      <c r="X655" s="256" t="s">
        <v>1417</v>
      </c>
      <c r="Y655" s="256" t="s">
        <v>1417</v>
      </c>
      <c r="Z655" s="256" t="s">
        <v>1417</v>
      </c>
      <c r="AA655" s="256" t="s">
        <v>1417</v>
      </c>
      <c r="AB655" s="256" t="s">
        <v>1417</v>
      </c>
      <c r="AC655" s="260" t="s">
        <v>1417</v>
      </c>
      <c r="AD655" s="405">
        <v>44417189000198</v>
      </c>
      <c r="AE655" s="257" t="s">
        <v>2196</v>
      </c>
      <c r="AF655" s="257" t="s">
        <v>2109</v>
      </c>
      <c r="AG655" s="261" t="s">
        <v>1432</v>
      </c>
      <c r="AH655" s="261" t="s">
        <v>2113</v>
      </c>
      <c r="AI655" s="261">
        <v>5000</v>
      </c>
      <c r="AJ655" s="261">
        <v>1000</v>
      </c>
      <c r="AK655" s="261">
        <v>5000</v>
      </c>
      <c r="AL655" s="256">
        <v>1.9E-2</v>
      </c>
      <c r="AM655" s="256">
        <v>0.2</v>
      </c>
      <c r="AN655" s="256" t="s">
        <v>2127</v>
      </c>
      <c r="AO655" s="254" t="s">
        <v>1324</v>
      </c>
      <c r="AP655" s="257" t="s">
        <v>716</v>
      </c>
      <c r="AQ655" s="263" t="s">
        <v>659</v>
      </c>
      <c r="AR655" s="256">
        <v>4.4327000000000004E-3</v>
      </c>
      <c r="AS655" s="256">
        <v>4.4327000000000004E-3</v>
      </c>
      <c r="AT655" s="256"/>
      <c r="AX655" s="508"/>
      <c r="AY655" s="509"/>
      <c r="AZ655" s="509"/>
      <c r="BA655" s="509"/>
      <c r="BB655" s="510"/>
      <c r="BC655" s="509"/>
      <c r="BD655" s="509"/>
      <c r="BE655" s="509"/>
      <c r="BF655" s="509"/>
      <c r="BG655" s="510"/>
      <c r="BH655" s="510"/>
      <c r="BI655" s="511"/>
      <c r="BJ655" s="511"/>
      <c r="BK655" s="511"/>
      <c r="BL655" s="510"/>
      <c r="BM655" s="510"/>
      <c r="BN655" s="510"/>
      <c r="BO655" s="510"/>
      <c r="BP655" s="510"/>
      <c r="BQ655" s="510"/>
      <c r="BR655" s="510"/>
      <c r="BS655" s="510"/>
      <c r="BT655" s="513"/>
      <c r="BU655" s="514"/>
      <c r="BV655" s="512"/>
      <c r="BW655" s="515"/>
    </row>
    <row r="656" spans="2:75" ht="15.75" customHeight="1">
      <c r="B656" s="250" t="s">
        <v>902</v>
      </c>
      <c r="C656" s="251">
        <v>11701977000152</v>
      </c>
      <c r="D656" s="252" t="s">
        <v>11</v>
      </c>
      <c r="E656" s="252" t="s">
        <v>620</v>
      </c>
      <c r="F656" s="252"/>
      <c r="G656" s="253" t="s">
        <v>738</v>
      </c>
      <c r="H656" s="253" t="s">
        <v>34</v>
      </c>
      <c r="I656" s="253" t="s">
        <v>34</v>
      </c>
      <c r="J656" s="253"/>
      <c r="K656" s="254" t="s">
        <v>48</v>
      </c>
      <c r="L656" s="255"/>
      <c r="M656" s="255" t="s">
        <v>34</v>
      </c>
      <c r="N656" s="254">
        <v>259047</v>
      </c>
      <c r="O656" s="254" t="s">
        <v>1321</v>
      </c>
      <c r="P656" s="258">
        <v>40470</v>
      </c>
      <c r="Q656" s="259">
        <v>20078928.27</v>
      </c>
      <c r="R656" s="259">
        <v>21155316.152777772</v>
      </c>
      <c r="S656" s="254">
        <v>15</v>
      </c>
      <c r="T656" s="256">
        <v>5.9929064066354121E-2</v>
      </c>
      <c r="U656" s="256">
        <v>0.77471470822246824</v>
      </c>
      <c r="V656" s="256">
        <v>6.6075987806430536E-2</v>
      </c>
      <c r="W656" s="256">
        <v>0.6477656211154702</v>
      </c>
      <c r="X656" s="256">
        <v>0.11522674018483969</v>
      </c>
      <c r="Y656" s="256">
        <v>0.87378530297462442</v>
      </c>
      <c r="Z656" s="256">
        <v>0.19504958051842691</v>
      </c>
      <c r="AA656" s="256">
        <v>1.1087250484513336</v>
      </c>
      <c r="AB656" s="256">
        <v>4.0920241494558113E-2</v>
      </c>
      <c r="AC656" s="260">
        <v>-0.78996487607701937</v>
      </c>
      <c r="AD656" s="405">
        <v>0</v>
      </c>
      <c r="AE656" s="257" t="s">
        <v>2209</v>
      </c>
      <c r="AF656" s="257" t="s">
        <v>2118</v>
      </c>
      <c r="AG656" s="261" t="s">
        <v>1433</v>
      </c>
      <c r="AH656" s="261" t="s">
        <v>2113</v>
      </c>
      <c r="AI656" s="261">
        <v>1000</v>
      </c>
      <c r="AJ656" s="261">
        <v>1000</v>
      </c>
      <c r="AK656" s="261">
        <v>1000</v>
      </c>
      <c r="AL656" s="256">
        <v>5.0000000000000001E-3</v>
      </c>
      <c r="AM656" s="256">
        <v>0.1</v>
      </c>
      <c r="AN656" s="256" t="s">
        <v>64</v>
      </c>
      <c r="AO656" s="254" t="s">
        <v>1324</v>
      </c>
      <c r="AP656" s="257" t="s">
        <v>13</v>
      </c>
      <c r="AQ656" s="263" t="s">
        <v>686</v>
      </c>
      <c r="AR656" s="256">
        <v>1.6666666666666666E-3</v>
      </c>
      <c r="AS656" s="256">
        <v>1.6666666666666666E-3</v>
      </c>
      <c r="AT656" s="256"/>
      <c r="AX656" s="508"/>
      <c r="AY656" s="509"/>
      <c r="AZ656" s="509"/>
      <c r="BA656" s="509"/>
      <c r="BB656" s="510"/>
      <c r="BC656" s="509"/>
      <c r="BD656" s="509"/>
      <c r="BE656" s="509"/>
      <c r="BF656" s="509"/>
      <c r="BG656" s="510"/>
      <c r="BH656" s="510"/>
      <c r="BI656" s="511"/>
      <c r="BJ656" s="511"/>
      <c r="BK656" s="511"/>
      <c r="BL656" s="510"/>
      <c r="BM656" s="510"/>
      <c r="BN656" s="510"/>
      <c r="BO656" s="510"/>
      <c r="BP656" s="510"/>
      <c r="BQ656" s="510"/>
      <c r="BR656" s="510"/>
      <c r="BS656" s="510"/>
      <c r="BT656" s="513"/>
      <c r="BU656" s="514"/>
      <c r="BV656" s="512"/>
      <c r="BW656" s="515"/>
    </row>
    <row r="657" spans="2:75" ht="15.75" customHeight="1">
      <c r="B657" s="250" t="s">
        <v>909</v>
      </c>
      <c r="C657" s="251">
        <v>11182064000177</v>
      </c>
      <c r="D657" s="252" t="s">
        <v>14</v>
      </c>
      <c r="E657" s="252" t="s">
        <v>607</v>
      </c>
      <c r="F657" s="252"/>
      <c r="G657" s="253"/>
      <c r="H657" s="253" t="s">
        <v>34</v>
      </c>
      <c r="I657" s="253" t="s">
        <v>34</v>
      </c>
      <c r="J657" s="253" t="s">
        <v>608</v>
      </c>
      <c r="K657" s="254" t="s">
        <v>48</v>
      </c>
      <c r="L657" s="255"/>
      <c r="M657" s="255" t="s">
        <v>34</v>
      </c>
      <c r="N657" s="254">
        <v>236942</v>
      </c>
      <c r="O657" s="254" t="s">
        <v>1321</v>
      </c>
      <c r="P657" s="258">
        <v>40102</v>
      </c>
      <c r="Q657" s="259">
        <v>1273120661.8199999</v>
      </c>
      <c r="R657" s="259">
        <v>1156461708.4023015</v>
      </c>
      <c r="S657" s="254">
        <v>15</v>
      </c>
      <c r="T657" s="256">
        <v>9.1403052905245197E-2</v>
      </c>
      <c r="U657" s="256">
        <v>1.1815851050790118</v>
      </c>
      <c r="V657" s="256">
        <v>-6.4682637152961853E-3</v>
      </c>
      <c r="W657" s="256">
        <v>-6.3410612571572156E-2</v>
      </c>
      <c r="X657" s="256">
        <v>0.14417840923152148</v>
      </c>
      <c r="Y657" s="256">
        <v>1.0933310687317319</v>
      </c>
      <c r="Z657" s="256">
        <v>0.18177236935430607</v>
      </c>
      <c r="AA657" s="256">
        <v>1.0332530758784535</v>
      </c>
      <c r="AB657" s="256">
        <v>0.18024416403245375</v>
      </c>
      <c r="AC657" s="260">
        <v>-0.48507523315643075</v>
      </c>
      <c r="AD657" s="405">
        <v>0</v>
      </c>
      <c r="AE657" s="257" t="s">
        <v>2213</v>
      </c>
      <c r="AF657" s="257" t="s">
        <v>2115</v>
      </c>
      <c r="AG657" s="261" t="s">
        <v>719</v>
      </c>
      <c r="AH657" s="261" t="s">
        <v>2113</v>
      </c>
      <c r="AI657" s="261">
        <v>1000</v>
      </c>
      <c r="AJ657" s="261">
        <v>1000</v>
      </c>
      <c r="AK657" s="261">
        <v>1000</v>
      </c>
      <c r="AL657" s="256">
        <v>0.02</v>
      </c>
      <c r="AM657" s="256">
        <v>0.2</v>
      </c>
      <c r="AN657" s="256" t="s">
        <v>666</v>
      </c>
      <c r="AO657" s="254" t="s">
        <v>1324</v>
      </c>
      <c r="AP657" s="257" t="s">
        <v>716</v>
      </c>
      <c r="AQ657" s="263" t="s">
        <v>659</v>
      </c>
      <c r="AR657" s="256">
        <v>4.0000000000000001E-3</v>
      </c>
      <c r="AS657" s="256">
        <v>4.0000000000000001E-3</v>
      </c>
      <c r="AT657" s="256"/>
      <c r="AX657" s="508"/>
      <c r="AY657" s="509"/>
      <c r="AZ657" s="509"/>
      <c r="BA657" s="509"/>
      <c r="BB657" s="510"/>
      <c r="BC657" s="509"/>
      <c r="BD657" s="509"/>
      <c r="BE657" s="509"/>
      <c r="BF657" s="509"/>
      <c r="BG657" s="510"/>
      <c r="BH657" s="510"/>
      <c r="BI657" s="511"/>
      <c r="BJ657" s="511"/>
      <c r="BK657" s="511"/>
      <c r="BL657" s="510"/>
      <c r="BM657" s="510"/>
      <c r="BN657" s="510"/>
      <c r="BO657" s="510"/>
      <c r="BP657" s="510"/>
      <c r="BQ657" s="510"/>
      <c r="BR657" s="510"/>
      <c r="BS657" s="510"/>
      <c r="BT657" s="513"/>
      <c r="BU657" s="514"/>
      <c r="BV657" s="512"/>
      <c r="BW657" s="515"/>
    </row>
    <row r="658" spans="2:75" ht="15.75" customHeight="1">
      <c r="B658" s="250" t="s">
        <v>1143</v>
      </c>
      <c r="C658" s="251">
        <v>11451917000129</v>
      </c>
      <c r="D658" s="252" t="s">
        <v>14</v>
      </c>
      <c r="E658" s="252" t="s">
        <v>607</v>
      </c>
      <c r="F658" s="252"/>
      <c r="G658" s="253"/>
      <c r="H658" s="253" t="s">
        <v>34</v>
      </c>
      <c r="I658" s="253" t="s">
        <v>34</v>
      </c>
      <c r="J658" s="253" t="s">
        <v>608</v>
      </c>
      <c r="K658" s="254" t="s">
        <v>48</v>
      </c>
      <c r="L658" s="255"/>
      <c r="M658" s="255" t="s">
        <v>34</v>
      </c>
      <c r="N658" s="254">
        <v>268755</v>
      </c>
      <c r="O658" s="254" t="s">
        <v>1321</v>
      </c>
      <c r="P658" s="258">
        <v>40599</v>
      </c>
      <c r="Q658" s="259">
        <v>159254689.86000001</v>
      </c>
      <c r="R658" s="259">
        <v>162840186.57714298</v>
      </c>
      <c r="S658" s="254">
        <v>15</v>
      </c>
      <c r="T658" s="256">
        <v>3.4800043442946516E-2</v>
      </c>
      <c r="U658" s="256">
        <v>0.44986695390705589</v>
      </c>
      <c r="V658" s="256">
        <v>-0.19172785529925274</v>
      </c>
      <c r="W658" s="256">
        <v>-1.8795740691291001</v>
      </c>
      <c r="X658" s="256">
        <v>0.11696496375626442</v>
      </c>
      <c r="Y658" s="256">
        <v>0.88696656808338803</v>
      </c>
      <c r="Z658" s="256">
        <v>0.25928509998529936</v>
      </c>
      <c r="AA658" s="256">
        <v>1.4738605655024786</v>
      </c>
      <c r="AB658" s="256">
        <v>0.31006870931324276</v>
      </c>
      <c r="AC658" s="260">
        <v>-0.84505555501879903</v>
      </c>
      <c r="AD658" s="405">
        <v>0</v>
      </c>
      <c r="AE658" s="257" t="s">
        <v>2369</v>
      </c>
      <c r="AF658" s="257" t="s">
        <v>2112</v>
      </c>
      <c r="AG658" s="261" t="s">
        <v>59</v>
      </c>
      <c r="AH658" s="261" t="s">
        <v>2113</v>
      </c>
      <c r="AI658" s="261">
        <v>1000</v>
      </c>
      <c r="AJ658" s="261">
        <v>1000</v>
      </c>
      <c r="AK658" s="261">
        <v>1000</v>
      </c>
      <c r="AL658" s="256">
        <v>0.02</v>
      </c>
      <c r="AM658" s="256">
        <v>0.2</v>
      </c>
      <c r="AN658" s="256" t="s">
        <v>666</v>
      </c>
      <c r="AO658" s="254" t="s">
        <v>1324</v>
      </c>
      <c r="AP658" s="257" t="s">
        <v>716</v>
      </c>
      <c r="AQ658" s="263" t="s">
        <v>665</v>
      </c>
      <c r="AR658" s="256">
        <v>5.5560000000000002E-3</v>
      </c>
      <c r="AS658" s="256">
        <v>5.5560000000000002E-3</v>
      </c>
      <c r="AT658" s="256"/>
      <c r="AX658" s="508"/>
      <c r="AY658" s="509"/>
      <c r="AZ658" s="509"/>
      <c r="BA658" s="509"/>
      <c r="BB658" s="510"/>
      <c r="BC658" s="509"/>
      <c r="BD658" s="509"/>
      <c r="BE658" s="509"/>
      <c r="BF658" s="509"/>
      <c r="BG658" s="510"/>
      <c r="BH658" s="510"/>
      <c r="BI658" s="511"/>
      <c r="BJ658" s="511"/>
      <c r="BK658" s="511"/>
      <c r="BL658" s="510"/>
      <c r="BM658" s="510"/>
      <c r="BN658" s="510"/>
      <c r="BO658" s="510"/>
      <c r="BP658" s="510"/>
      <c r="BQ658" s="510"/>
      <c r="BR658" s="510"/>
      <c r="BS658" s="510"/>
      <c r="BT658" s="513"/>
      <c r="BU658" s="514"/>
      <c r="BV658" s="512"/>
      <c r="BW658" s="515"/>
    </row>
    <row r="659" spans="2:75" ht="15.75" customHeight="1">
      <c r="B659" s="250" t="s">
        <v>601</v>
      </c>
      <c r="C659" s="251">
        <v>37829310000123</v>
      </c>
      <c r="D659" s="252" t="s">
        <v>14</v>
      </c>
      <c r="E659" s="252" t="s">
        <v>607</v>
      </c>
      <c r="F659" s="252"/>
      <c r="G659" s="253"/>
      <c r="H659" s="253" t="s">
        <v>34</v>
      </c>
      <c r="I659" s="253" t="s">
        <v>34</v>
      </c>
      <c r="J659" s="253" t="s">
        <v>608</v>
      </c>
      <c r="K659" s="254" t="s">
        <v>48</v>
      </c>
      <c r="L659" s="255"/>
      <c r="M659" s="255" t="s">
        <v>34</v>
      </c>
      <c r="N659" s="254">
        <v>552348</v>
      </c>
      <c r="O659" s="254" t="s">
        <v>1321</v>
      </c>
      <c r="P659" s="258">
        <v>44089</v>
      </c>
      <c r="Q659" s="259">
        <v>10515616.449999999</v>
      </c>
      <c r="R659" s="259">
        <v>11027645.729365075</v>
      </c>
      <c r="S659" s="254">
        <v>15</v>
      </c>
      <c r="T659" s="256">
        <v>-5.5793215170438781E-3</v>
      </c>
      <c r="U659" s="256">
        <v>-7.2124978230432527E-2</v>
      </c>
      <c r="V659" s="256">
        <v>-9.6195410978602736E-2</v>
      </c>
      <c r="W659" s="256">
        <v>-0.94303667958102455</v>
      </c>
      <c r="X659" s="256" t="s">
        <v>1417</v>
      </c>
      <c r="Y659" s="256" t="s">
        <v>1417</v>
      </c>
      <c r="Z659" s="256" t="s">
        <v>1417</v>
      </c>
      <c r="AA659" s="256" t="s">
        <v>1417</v>
      </c>
      <c r="AB659" s="256">
        <v>0.40579694914822795</v>
      </c>
      <c r="AC659" s="260">
        <v>-0.28679603553072114</v>
      </c>
      <c r="AD659" s="405">
        <v>0</v>
      </c>
      <c r="AE659" s="257" t="s">
        <v>2428</v>
      </c>
      <c r="AF659" s="257" t="s">
        <v>2118</v>
      </c>
      <c r="AG659" s="261" t="s">
        <v>1433</v>
      </c>
      <c r="AH659" s="261" t="s">
        <v>2110</v>
      </c>
      <c r="AI659" s="261">
        <v>500</v>
      </c>
      <c r="AJ659" s="261" t="s">
        <v>1427</v>
      </c>
      <c r="AK659" s="261">
        <v>500</v>
      </c>
      <c r="AL659" s="256">
        <v>0.02</v>
      </c>
      <c r="AM659" s="256">
        <v>0.2</v>
      </c>
      <c r="AN659" s="256" t="s">
        <v>34</v>
      </c>
      <c r="AO659" s="254" t="s">
        <v>1324</v>
      </c>
      <c r="AP659" s="257" t="s">
        <v>716</v>
      </c>
      <c r="AQ659" s="263" t="s">
        <v>659</v>
      </c>
      <c r="AR659" s="256">
        <v>4.0000000000000001E-3</v>
      </c>
      <c r="AS659" s="256">
        <v>4.0000000000000001E-3</v>
      </c>
      <c r="AT659" s="256"/>
      <c r="AX659" s="508"/>
      <c r="AY659" s="509"/>
      <c r="AZ659" s="509"/>
      <c r="BA659" s="509"/>
      <c r="BB659" s="510"/>
      <c r="BC659" s="509"/>
      <c r="BD659" s="509"/>
      <c r="BE659" s="509"/>
      <c r="BF659" s="509"/>
      <c r="BG659" s="510"/>
      <c r="BH659" s="510"/>
      <c r="BI659" s="511"/>
      <c r="BJ659" s="511"/>
      <c r="BK659" s="511"/>
      <c r="BL659" s="510"/>
      <c r="BM659" s="510"/>
      <c r="BN659" s="510"/>
      <c r="BO659" s="510"/>
      <c r="BP659" s="510"/>
      <c r="BQ659" s="510"/>
      <c r="BR659" s="510"/>
      <c r="BS659" s="510"/>
      <c r="BT659" s="513"/>
      <c r="BU659" s="514"/>
      <c r="BV659" s="512"/>
      <c r="BW659" s="515"/>
    </row>
    <row r="660" spans="2:75" ht="15.75" customHeight="1">
      <c r="B660" s="250" t="s">
        <v>436</v>
      </c>
      <c r="C660" s="251">
        <v>13962947000125</v>
      </c>
      <c r="D660" s="252" t="s">
        <v>14</v>
      </c>
      <c r="E660" s="252" t="s">
        <v>607</v>
      </c>
      <c r="F660" s="252"/>
      <c r="G660" s="253"/>
      <c r="H660" s="253" t="s">
        <v>34</v>
      </c>
      <c r="I660" s="253" t="s">
        <v>34</v>
      </c>
      <c r="J660" s="253" t="s">
        <v>608</v>
      </c>
      <c r="K660" s="254" t="s">
        <v>48</v>
      </c>
      <c r="L660" s="255"/>
      <c r="M660" s="255" t="s">
        <v>34</v>
      </c>
      <c r="N660" s="254">
        <v>302139</v>
      </c>
      <c r="O660" s="254" t="s">
        <v>1321</v>
      </c>
      <c r="P660" s="258">
        <v>41023</v>
      </c>
      <c r="Q660" s="259">
        <v>664292482.12</v>
      </c>
      <c r="R660" s="259">
        <v>629546229.82694435</v>
      </c>
      <c r="S660" s="254">
        <v>15</v>
      </c>
      <c r="T660" s="256">
        <v>2.7456038917626158E-2</v>
      </c>
      <c r="U660" s="256">
        <v>0.35492957399538966</v>
      </c>
      <c r="V660" s="256">
        <v>-3.9869310366936306E-2</v>
      </c>
      <c r="W660" s="256">
        <v>-0.39085255401615893</v>
      </c>
      <c r="X660" s="256">
        <v>0.2295256695165715</v>
      </c>
      <c r="Y660" s="256">
        <v>1.7405348477035021</v>
      </c>
      <c r="Z660" s="256">
        <v>0.54571266456163281</v>
      </c>
      <c r="AA660" s="256">
        <v>3.1020076990088286</v>
      </c>
      <c r="AB660" s="256">
        <v>0.2068746668554666</v>
      </c>
      <c r="AC660" s="260">
        <v>-0.56301439556917088</v>
      </c>
      <c r="AD660" s="405">
        <v>22041216000138</v>
      </c>
      <c r="AE660" s="257" t="s">
        <v>2437</v>
      </c>
      <c r="AF660" s="257" t="s">
        <v>736</v>
      </c>
      <c r="AG660" s="261" t="s">
        <v>736</v>
      </c>
      <c r="AH660" s="261" t="s">
        <v>2113</v>
      </c>
      <c r="AI660" s="261">
        <v>1000</v>
      </c>
      <c r="AJ660" s="261">
        <v>1000</v>
      </c>
      <c r="AK660" s="261">
        <v>1000</v>
      </c>
      <c r="AL660" s="256">
        <v>1.8000000000000002E-2</v>
      </c>
      <c r="AM660" s="256">
        <v>0.2</v>
      </c>
      <c r="AN660" s="256" t="s">
        <v>666</v>
      </c>
      <c r="AO660" s="254" t="s">
        <v>1324</v>
      </c>
      <c r="AP660" s="257" t="s">
        <v>716</v>
      </c>
      <c r="AQ660" s="263" t="s">
        <v>659</v>
      </c>
      <c r="AR660" s="256">
        <v>5.9999999999999993E-3</v>
      </c>
      <c r="AS660" s="256">
        <v>5.9999999999999993E-3</v>
      </c>
      <c r="AT660" s="256"/>
      <c r="AW660" s="508"/>
      <c r="AX660" s="508"/>
      <c r="AY660" s="509"/>
      <c r="AZ660" s="509"/>
      <c r="BA660" s="509"/>
      <c r="BB660" s="510"/>
      <c r="BC660" s="509"/>
      <c r="BD660" s="509"/>
      <c r="BE660" s="509"/>
      <c r="BF660" s="509"/>
      <c r="BG660" s="510"/>
      <c r="BH660" s="510"/>
      <c r="BI660" s="511"/>
      <c r="BJ660" s="511"/>
      <c r="BK660" s="511"/>
      <c r="BL660" s="195"/>
      <c r="BM660" s="510"/>
      <c r="BN660" s="510"/>
      <c r="BO660" s="510"/>
      <c r="BP660" s="510"/>
      <c r="BQ660" s="510"/>
      <c r="BR660" s="510"/>
      <c r="BS660" s="510"/>
      <c r="BT660" s="513"/>
      <c r="BU660" s="514"/>
      <c r="BV660" s="512"/>
      <c r="BW660" s="515"/>
    </row>
    <row r="661" spans="2:75" ht="15.75" customHeight="1">
      <c r="B661" s="250" t="s">
        <v>437</v>
      </c>
      <c r="C661" s="251">
        <v>13962941000158</v>
      </c>
      <c r="D661" s="252" t="s">
        <v>14</v>
      </c>
      <c r="E661" s="252" t="s">
        <v>614</v>
      </c>
      <c r="F661" s="252"/>
      <c r="G661" s="253"/>
      <c r="H661" s="253" t="s">
        <v>1338</v>
      </c>
      <c r="I661" s="253" t="s">
        <v>34</v>
      </c>
      <c r="J661" s="253" t="s">
        <v>608</v>
      </c>
      <c r="K661" s="254" t="s">
        <v>48</v>
      </c>
      <c r="L661" s="255"/>
      <c r="M661" s="255" t="s">
        <v>34</v>
      </c>
      <c r="N661" s="254">
        <v>302147</v>
      </c>
      <c r="O661" s="254" t="s">
        <v>1321</v>
      </c>
      <c r="P661" s="258">
        <v>41023</v>
      </c>
      <c r="Q661" s="259">
        <v>103779650.75</v>
      </c>
      <c r="R661" s="259">
        <v>91673203.758174628</v>
      </c>
      <c r="S661" s="254">
        <v>15</v>
      </c>
      <c r="T661" s="256">
        <v>7.8639692614485668E-2</v>
      </c>
      <c r="U661" s="256">
        <v>1.0165906554302413</v>
      </c>
      <c r="V661" s="256">
        <v>-8.4250176271244426E-3</v>
      </c>
      <c r="W661" s="256">
        <v>-8.2593343774603853E-2</v>
      </c>
      <c r="X661" s="256">
        <v>0.27992818642750916</v>
      </c>
      <c r="Y661" s="256">
        <v>2.1227462895880809</v>
      </c>
      <c r="Z661" s="256">
        <v>0.52317550570019478</v>
      </c>
      <c r="AA661" s="256">
        <v>2.9738991817580436</v>
      </c>
      <c r="AB661" s="256">
        <v>0.25362319277931733</v>
      </c>
      <c r="AC661" s="260">
        <v>-0.2897537412508176</v>
      </c>
      <c r="AD661" s="405">
        <v>0</v>
      </c>
      <c r="AE661" s="257" t="s">
        <v>2437</v>
      </c>
      <c r="AF661" s="257" t="s">
        <v>736</v>
      </c>
      <c r="AG661" s="261" t="s">
        <v>736</v>
      </c>
      <c r="AH661" s="261" t="s">
        <v>2113</v>
      </c>
      <c r="AI661" s="261">
        <v>1000</v>
      </c>
      <c r="AJ661" s="261">
        <v>1000</v>
      </c>
      <c r="AK661" s="261">
        <v>1000</v>
      </c>
      <c r="AL661" s="256">
        <v>1.8000000000000002E-2</v>
      </c>
      <c r="AM661" s="256">
        <v>0.2</v>
      </c>
      <c r="AN661" s="256" t="s">
        <v>666</v>
      </c>
      <c r="AO661" s="254" t="s">
        <v>1324</v>
      </c>
      <c r="AP661" s="257" t="s">
        <v>716</v>
      </c>
      <c r="AQ661" s="263" t="s">
        <v>659</v>
      </c>
      <c r="AR661" s="256">
        <v>5.9999999999999993E-3</v>
      </c>
      <c r="AS661" s="256">
        <v>5.9999999999999993E-3</v>
      </c>
      <c r="AT661" s="256"/>
      <c r="AW661" s="508"/>
      <c r="AX661" s="508"/>
      <c r="AY661" s="509"/>
      <c r="AZ661" s="509"/>
      <c r="BA661" s="509"/>
      <c r="BB661" s="510"/>
      <c r="BC661" s="509"/>
      <c r="BD661" s="509"/>
      <c r="BE661" s="509"/>
      <c r="BF661" s="509"/>
      <c r="BG661" s="510"/>
      <c r="BH661" s="510"/>
      <c r="BI661" s="511"/>
      <c r="BJ661" s="511"/>
      <c r="BK661" s="511"/>
      <c r="BL661" s="195"/>
      <c r="BM661" s="510"/>
      <c r="BN661" s="510"/>
      <c r="BO661" s="510"/>
      <c r="BP661" s="510"/>
      <c r="BQ661" s="510"/>
      <c r="BR661" s="510"/>
      <c r="BS661" s="510"/>
      <c r="BT661" s="513"/>
      <c r="BU661" s="514"/>
      <c r="BV661" s="512"/>
      <c r="BW661" s="515"/>
    </row>
    <row r="662" spans="2:75" ht="15.75" customHeight="1">
      <c r="B662" s="250" t="s">
        <v>735</v>
      </c>
      <c r="C662" s="251">
        <v>35828705000186</v>
      </c>
      <c r="D662" s="252" t="s">
        <v>11</v>
      </c>
      <c r="E662" s="252" t="s">
        <v>661</v>
      </c>
      <c r="F662" s="252" t="s">
        <v>663</v>
      </c>
      <c r="G662" s="253"/>
      <c r="H662" s="253" t="s">
        <v>34</v>
      </c>
      <c r="I662" s="253"/>
      <c r="J662" s="253" t="s">
        <v>611</v>
      </c>
      <c r="K662" s="254" t="s">
        <v>48</v>
      </c>
      <c r="L662" s="255"/>
      <c r="M662" s="255" t="s">
        <v>34</v>
      </c>
      <c r="N662" s="254">
        <v>547166</v>
      </c>
      <c r="O662" s="254" t="s">
        <v>1321</v>
      </c>
      <c r="P662" s="258">
        <v>44048</v>
      </c>
      <c r="Q662" s="259">
        <v>70710848.480000004</v>
      </c>
      <c r="R662" s="259">
        <v>69982735.309007928</v>
      </c>
      <c r="S662" s="254">
        <v>16</v>
      </c>
      <c r="T662" s="256">
        <v>7.3053486747213014E-2</v>
      </c>
      <c r="U662" s="256">
        <v>0.94437668186070445</v>
      </c>
      <c r="V662" s="256">
        <v>7.8925449186723728E-2</v>
      </c>
      <c r="W662" s="256">
        <v>0.77373330783985728</v>
      </c>
      <c r="X662" s="256">
        <v>0.1348724312170908</v>
      </c>
      <c r="Y662" s="256">
        <v>1.0227621469192207</v>
      </c>
      <c r="Z662" s="256" t="s">
        <v>1417</v>
      </c>
      <c r="AA662" s="256" t="s">
        <v>1417</v>
      </c>
      <c r="AB662" s="256">
        <v>3.2167736288914069E-2</v>
      </c>
      <c r="AC662" s="260">
        <v>-0.64226205053548369</v>
      </c>
      <c r="AD662" s="405">
        <v>0</v>
      </c>
      <c r="AE662" s="257" t="s">
        <v>2132</v>
      </c>
      <c r="AF662" s="257" t="s">
        <v>736</v>
      </c>
      <c r="AG662" s="261" t="s">
        <v>736</v>
      </c>
      <c r="AH662" s="261" t="s">
        <v>2110</v>
      </c>
      <c r="AI662" s="261">
        <v>5000</v>
      </c>
      <c r="AJ662" s="261">
        <v>1000</v>
      </c>
      <c r="AK662" s="261">
        <v>500</v>
      </c>
      <c r="AL662" s="519">
        <v>5.0000000000000001E-3</v>
      </c>
      <c r="AM662" s="519">
        <v>0.2</v>
      </c>
      <c r="AN662" s="256" t="s">
        <v>64</v>
      </c>
      <c r="AO662" s="254" t="s">
        <v>1324</v>
      </c>
      <c r="AP662" s="257" t="s">
        <v>11</v>
      </c>
      <c r="AQ662" s="263" t="s">
        <v>2133</v>
      </c>
      <c r="AR662" s="256">
        <v>1.3333333333333333E-3</v>
      </c>
      <c r="AS662" s="256">
        <v>1.3333333333333333E-3</v>
      </c>
      <c r="AT662" s="256"/>
      <c r="AW662" s="508"/>
      <c r="AX662" s="508"/>
      <c r="AY662" s="509"/>
      <c r="AZ662" s="509"/>
      <c r="BA662" s="509"/>
      <c r="BB662" s="510"/>
      <c r="BC662" s="509"/>
      <c r="BD662" s="509"/>
      <c r="BE662" s="509"/>
      <c r="BF662" s="509"/>
      <c r="BG662" s="510"/>
      <c r="BH662" s="510"/>
      <c r="BI662" s="511"/>
      <c r="BJ662" s="511"/>
      <c r="BK662" s="511"/>
      <c r="BL662" s="195"/>
      <c r="BM662" s="510"/>
      <c r="BN662" s="510"/>
      <c r="BO662" s="510"/>
      <c r="BP662" s="510"/>
      <c r="BQ662" s="510"/>
      <c r="BR662" s="510"/>
      <c r="BS662" s="510"/>
      <c r="BT662" s="513"/>
      <c r="BU662" s="514"/>
      <c r="BV662" s="512"/>
      <c r="BW662" s="515"/>
    </row>
    <row r="663" spans="2:75" ht="15.75" customHeight="1">
      <c r="B663" s="250" t="s">
        <v>882</v>
      </c>
      <c r="C663" s="251">
        <v>4240128000183</v>
      </c>
      <c r="D663" s="252" t="s">
        <v>11</v>
      </c>
      <c r="E663" s="252" t="s">
        <v>620</v>
      </c>
      <c r="F663" s="252" t="s">
        <v>663</v>
      </c>
      <c r="G663" s="253" t="s">
        <v>738</v>
      </c>
      <c r="H663" s="253" t="s">
        <v>34</v>
      </c>
      <c r="I663" s="253"/>
      <c r="J663" s="253" t="s">
        <v>608</v>
      </c>
      <c r="K663" s="254" t="s">
        <v>48</v>
      </c>
      <c r="L663" s="255"/>
      <c r="M663" s="255" t="s">
        <v>34</v>
      </c>
      <c r="N663" s="254">
        <v>143359</v>
      </c>
      <c r="O663" s="254" t="s">
        <v>1321</v>
      </c>
      <c r="P663" s="258">
        <v>36955</v>
      </c>
      <c r="Q663" s="259">
        <v>88385806.769999996</v>
      </c>
      <c r="R663" s="259">
        <v>79452196.362976149</v>
      </c>
      <c r="S663" s="254">
        <v>16</v>
      </c>
      <c r="T663" s="256">
        <v>8.8376827681456271E-2</v>
      </c>
      <c r="U663" s="256">
        <v>1.1424645009483132</v>
      </c>
      <c r="V663" s="256">
        <v>0.11830844563317289</v>
      </c>
      <c r="W663" s="256">
        <v>1.1598183593302227</v>
      </c>
      <c r="X663" s="256">
        <v>0.17288334619572421</v>
      </c>
      <c r="Y663" s="256">
        <v>1.3110058202859149</v>
      </c>
      <c r="Z663" s="256">
        <v>0.36004004640104093</v>
      </c>
      <c r="AA663" s="256">
        <v>2.0465843445005629</v>
      </c>
      <c r="AB663" s="256">
        <v>2.1497835767209507E-3</v>
      </c>
      <c r="AC663" s="260">
        <v>6.8343006179639145</v>
      </c>
      <c r="AD663" s="405">
        <v>0</v>
      </c>
      <c r="AE663" s="257" t="s">
        <v>469</v>
      </c>
      <c r="AF663" s="257" t="s">
        <v>469</v>
      </c>
      <c r="AG663" s="261" t="s">
        <v>469</v>
      </c>
      <c r="AH663" s="261" t="s">
        <v>2113</v>
      </c>
      <c r="AI663" s="261">
        <v>1000</v>
      </c>
      <c r="AJ663" s="261">
        <v>1000</v>
      </c>
      <c r="AK663" s="261">
        <v>1000</v>
      </c>
      <c r="AL663" s="256">
        <v>5.0000000000000001E-3</v>
      </c>
      <c r="AM663" s="256">
        <v>0.2</v>
      </c>
      <c r="AN663" s="256" t="s">
        <v>64</v>
      </c>
      <c r="AO663" s="254" t="s">
        <v>1324</v>
      </c>
      <c r="AP663" s="257" t="s">
        <v>11</v>
      </c>
      <c r="AQ663" s="263" t="s">
        <v>675</v>
      </c>
      <c r="AR663" s="256">
        <v>1.4000000000000002E-3</v>
      </c>
      <c r="AS663" s="256">
        <v>1.4000000000000002E-3</v>
      </c>
      <c r="AT663" s="256"/>
      <c r="AW663" s="508"/>
      <c r="AX663" s="508"/>
      <c r="AY663" s="509"/>
      <c r="AZ663" s="509"/>
      <c r="BA663" s="509"/>
      <c r="BB663" s="510"/>
      <c r="BC663" s="509"/>
      <c r="BD663" s="509"/>
      <c r="BE663" s="509"/>
      <c r="BF663" s="509"/>
      <c r="BG663" s="510"/>
      <c r="BH663" s="510"/>
      <c r="BI663" s="511"/>
      <c r="BJ663" s="511"/>
      <c r="BK663" s="511"/>
      <c r="BL663" s="195"/>
      <c r="BM663" s="510"/>
      <c r="BN663" s="510"/>
      <c r="BO663" s="510"/>
      <c r="BP663" s="510"/>
      <c r="BQ663" s="510"/>
      <c r="BR663" s="510"/>
      <c r="BS663" s="510"/>
      <c r="BT663" s="513"/>
      <c r="BU663" s="514"/>
      <c r="BV663" s="512"/>
      <c r="BW663" s="515"/>
    </row>
    <row r="664" spans="2:75" ht="15.75" customHeight="1">
      <c r="B664" s="250" t="s">
        <v>1062</v>
      </c>
      <c r="C664" s="251">
        <v>29283824000106</v>
      </c>
      <c r="D664" s="252" t="s">
        <v>11</v>
      </c>
      <c r="E664" s="252" t="s">
        <v>620</v>
      </c>
      <c r="F664" s="252" t="s">
        <v>663</v>
      </c>
      <c r="G664" s="253" t="s">
        <v>738</v>
      </c>
      <c r="H664" s="253" t="s">
        <v>34</v>
      </c>
      <c r="I664" s="253"/>
      <c r="J664" s="253" t="s">
        <v>608</v>
      </c>
      <c r="K664" s="254" t="s">
        <v>48</v>
      </c>
      <c r="L664" s="255"/>
      <c r="M664" s="255" t="s">
        <v>34</v>
      </c>
      <c r="N664" s="254">
        <v>471704</v>
      </c>
      <c r="O664" s="254" t="s">
        <v>1321</v>
      </c>
      <c r="P664" s="258">
        <v>43222</v>
      </c>
      <c r="Q664" s="259">
        <v>228938854.43000001</v>
      </c>
      <c r="R664" s="259">
        <v>159526870.80619049</v>
      </c>
      <c r="S664" s="254">
        <v>16</v>
      </c>
      <c r="T664" s="256">
        <v>8.7836165641512531E-2</v>
      </c>
      <c r="U664" s="256">
        <v>1.135475257230804</v>
      </c>
      <c r="V664" s="256">
        <v>0.12355649005699498</v>
      </c>
      <c r="W664" s="256">
        <v>1.2112667427550388</v>
      </c>
      <c r="X664" s="256">
        <v>0.19637495059794774</v>
      </c>
      <c r="Y664" s="256">
        <v>1.4891469239657498</v>
      </c>
      <c r="Z664" s="256">
        <v>0.19203440995819876</v>
      </c>
      <c r="AA664" s="256">
        <v>1.091585841504092</v>
      </c>
      <c r="AB664" s="256">
        <v>4.4666507435057717E-3</v>
      </c>
      <c r="AC664" s="260">
        <v>4.3396899234865334</v>
      </c>
      <c r="AD664" s="405">
        <v>29283779000181</v>
      </c>
      <c r="AE664" s="257" t="s">
        <v>2317</v>
      </c>
      <c r="AF664" s="257" t="s">
        <v>2118</v>
      </c>
      <c r="AG664" s="261" t="s">
        <v>1433</v>
      </c>
      <c r="AH664" s="261" t="s">
        <v>2113</v>
      </c>
      <c r="AI664" s="261">
        <v>3000</v>
      </c>
      <c r="AJ664" s="261">
        <v>1000</v>
      </c>
      <c r="AK664" s="261">
        <v>1000</v>
      </c>
      <c r="AL664" s="256">
        <v>6.5000000000000006E-3</v>
      </c>
      <c r="AM664" s="256" t="s">
        <v>34</v>
      </c>
      <c r="AN664" s="256" t="s">
        <v>64</v>
      </c>
      <c r="AO664" s="254" t="s">
        <v>1324</v>
      </c>
      <c r="AP664" s="257" t="s">
        <v>11</v>
      </c>
      <c r="AQ664" s="263" t="s">
        <v>675</v>
      </c>
      <c r="AR664" s="256">
        <v>2.1666666666666666E-3</v>
      </c>
      <c r="AS664" s="256">
        <v>2.1666666666666666E-3</v>
      </c>
      <c r="AT664" s="256"/>
      <c r="AX664" s="508"/>
      <c r="AY664" s="509"/>
      <c r="AZ664" s="509"/>
      <c r="BA664" s="509"/>
      <c r="BB664" s="510"/>
      <c r="BC664" s="509"/>
      <c r="BD664" s="509"/>
      <c r="BE664" s="509"/>
      <c r="BF664" s="509"/>
      <c r="BG664" s="510"/>
      <c r="BH664" s="510"/>
      <c r="BI664" s="511"/>
      <c r="BJ664" s="511"/>
      <c r="BK664" s="511"/>
      <c r="BL664" s="510"/>
      <c r="BM664" s="510"/>
      <c r="BN664" s="510"/>
      <c r="BO664" s="510"/>
      <c r="BP664" s="510"/>
      <c r="BQ664" s="510"/>
      <c r="BR664" s="510"/>
      <c r="BS664" s="510"/>
      <c r="BT664" s="513"/>
      <c r="BU664" s="514"/>
      <c r="BV664" s="512"/>
      <c r="BW664" s="515"/>
    </row>
    <row r="665" spans="2:75" ht="15.75" customHeight="1">
      <c r="B665" s="250" t="s">
        <v>843</v>
      </c>
      <c r="C665" s="251">
        <v>42730755000191</v>
      </c>
      <c r="D665" s="252" t="s">
        <v>11</v>
      </c>
      <c r="E665" s="252" t="s">
        <v>620</v>
      </c>
      <c r="F665" s="252" t="s">
        <v>685</v>
      </c>
      <c r="G665" s="253" t="s">
        <v>738</v>
      </c>
      <c r="H665" s="253" t="s">
        <v>34</v>
      </c>
      <c r="I665" s="253" t="s">
        <v>1319</v>
      </c>
      <c r="J665" s="253" t="s">
        <v>608</v>
      </c>
      <c r="K665" s="254" t="s">
        <v>48</v>
      </c>
      <c r="L665" s="255"/>
      <c r="M665" s="255" t="s">
        <v>34</v>
      </c>
      <c r="N665" s="254">
        <v>613398</v>
      </c>
      <c r="O665" s="254" t="s">
        <v>1321</v>
      </c>
      <c r="P665" s="258">
        <v>44454</v>
      </c>
      <c r="Q665" s="259">
        <v>286000.53999999998</v>
      </c>
      <c r="R665" s="259" t="s">
        <v>1417</v>
      </c>
      <c r="S665" s="254">
        <v>16</v>
      </c>
      <c r="T665" s="256">
        <v>-0.20894721057472943</v>
      </c>
      <c r="U665" s="256">
        <v>-2.7011013737019307</v>
      </c>
      <c r="V665" s="256" t="s">
        <v>1417</v>
      </c>
      <c r="W665" s="256" t="s">
        <v>1417</v>
      </c>
      <c r="X665" s="256" t="s">
        <v>1417</v>
      </c>
      <c r="Y665" s="256" t="s">
        <v>1417</v>
      </c>
      <c r="Z665" s="256" t="s">
        <v>1417</v>
      </c>
      <c r="AA665" s="256" t="s">
        <v>1417</v>
      </c>
      <c r="AB665" s="256" t="s">
        <v>1417</v>
      </c>
      <c r="AC665" s="260" t="s">
        <v>1417</v>
      </c>
      <c r="AD665" s="405">
        <v>0</v>
      </c>
      <c r="AE665" s="257" t="s">
        <v>2144</v>
      </c>
      <c r="AF665" s="257" t="s">
        <v>2109</v>
      </c>
      <c r="AG665" s="261" t="s">
        <v>1432</v>
      </c>
      <c r="AH665" s="261" t="s">
        <v>726</v>
      </c>
      <c r="AI665" s="261">
        <v>50000</v>
      </c>
      <c r="AJ665" s="261">
        <v>5000</v>
      </c>
      <c r="AK665" s="261">
        <v>5000</v>
      </c>
      <c r="AL665" s="256">
        <v>1.7500000000000002E-2</v>
      </c>
      <c r="AM665" s="256" t="s">
        <v>34</v>
      </c>
      <c r="AN665" s="256" t="s">
        <v>2127</v>
      </c>
      <c r="AO665" s="254" t="s">
        <v>1324</v>
      </c>
      <c r="AP665" s="257" t="s">
        <v>13</v>
      </c>
      <c r="AQ665" s="263" t="s">
        <v>679</v>
      </c>
      <c r="AR665" s="256">
        <v>6.1250000000000002E-3</v>
      </c>
      <c r="AS665" s="256">
        <v>6.1250000000000002E-3</v>
      </c>
      <c r="AT665" s="256"/>
      <c r="AX665" s="508"/>
      <c r="AY665" s="509"/>
      <c r="AZ665" s="509"/>
      <c r="BA665" s="509"/>
      <c r="BB665" s="510"/>
      <c r="BC665" s="509"/>
      <c r="BD665" s="509"/>
      <c r="BE665" s="509"/>
      <c r="BF665" s="509"/>
      <c r="BG665" s="510"/>
      <c r="BH665" s="510"/>
      <c r="BI665" s="511"/>
      <c r="BJ665" s="511"/>
      <c r="BK665" s="511"/>
      <c r="BL665" s="510"/>
      <c r="BM665" s="510"/>
      <c r="BN665" s="510"/>
      <c r="BO665" s="510"/>
      <c r="BP665" s="510"/>
      <c r="BQ665" s="510"/>
      <c r="BR665" s="510"/>
      <c r="BS665" s="510"/>
      <c r="BT665" s="513"/>
      <c r="BU665" s="514"/>
      <c r="BV665" s="512"/>
      <c r="BW665" s="515"/>
    </row>
    <row r="666" spans="2:75" ht="15.75" customHeight="1">
      <c r="B666" s="250" t="s">
        <v>823</v>
      </c>
      <c r="C666" s="251">
        <v>38376759000146</v>
      </c>
      <c r="D666" s="252" t="s">
        <v>13</v>
      </c>
      <c r="E666" s="252" t="s">
        <v>616</v>
      </c>
      <c r="F666" s="252" t="s">
        <v>617</v>
      </c>
      <c r="G666" s="253" t="s">
        <v>34</v>
      </c>
      <c r="H666" s="253" t="s">
        <v>1337</v>
      </c>
      <c r="I666" s="253" t="s">
        <v>34</v>
      </c>
      <c r="J666" s="253" t="s">
        <v>608</v>
      </c>
      <c r="K666" s="254" t="s">
        <v>48</v>
      </c>
      <c r="L666" s="255"/>
      <c r="M666" s="255" t="s">
        <v>1414</v>
      </c>
      <c r="N666" s="254">
        <v>556432</v>
      </c>
      <c r="O666" s="254" t="s">
        <v>1321</v>
      </c>
      <c r="P666" s="258">
        <v>44105</v>
      </c>
      <c r="Q666" s="259">
        <v>49580771.789999999</v>
      </c>
      <c r="R666" s="259">
        <v>23856994.5190873</v>
      </c>
      <c r="S666" s="254">
        <v>16</v>
      </c>
      <c r="T666" s="256">
        <v>0.14414972454956776</v>
      </c>
      <c r="U666" s="256">
        <v>1.8634516245926995</v>
      </c>
      <c r="V666" s="256">
        <v>0.14765686713872594</v>
      </c>
      <c r="W666" s="256">
        <v>1.4475310234374259</v>
      </c>
      <c r="X666" s="256" t="s">
        <v>1417</v>
      </c>
      <c r="Y666" s="256" t="s">
        <v>1417</v>
      </c>
      <c r="Z666" s="256" t="s">
        <v>1417</v>
      </c>
      <c r="AA666" s="256" t="s">
        <v>1417</v>
      </c>
      <c r="AB666" s="256">
        <v>4.3690197691444749E-2</v>
      </c>
      <c r="AC666" s="260">
        <v>0.9511768374355416</v>
      </c>
      <c r="AD666" s="405">
        <v>38388984000100</v>
      </c>
      <c r="AE666" s="257" t="s">
        <v>2179</v>
      </c>
      <c r="AF666" s="257" t="s">
        <v>719</v>
      </c>
      <c r="AG666" s="261" t="s">
        <v>719</v>
      </c>
      <c r="AH666" s="261" t="s">
        <v>2113</v>
      </c>
      <c r="AI666" s="261">
        <v>100</v>
      </c>
      <c r="AJ666" s="261">
        <v>100</v>
      </c>
      <c r="AK666" s="261">
        <v>100</v>
      </c>
      <c r="AL666" s="256">
        <v>0.01</v>
      </c>
      <c r="AM666" s="256">
        <v>0.3</v>
      </c>
      <c r="AN666" s="256" t="s">
        <v>64</v>
      </c>
      <c r="AO666" s="254" t="s">
        <v>1324</v>
      </c>
      <c r="AP666" s="257" t="s">
        <v>13</v>
      </c>
      <c r="AQ666" s="263" t="s">
        <v>668</v>
      </c>
      <c r="AR666" s="256">
        <v>2.6666666666666666E-3</v>
      </c>
      <c r="AS666" s="256">
        <v>2.6666666666666666E-3</v>
      </c>
      <c r="AT666" s="256"/>
      <c r="AX666" s="508"/>
      <c r="AY666" s="509"/>
      <c r="AZ666" s="509"/>
      <c r="BA666" s="509"/>
      <c r="BB666" s="510"/>
      <c r="BC666" s="509"/>
      <c r="BD666" s="509"/>
      <c r="BE666" s="509"/>
      <c r="BF666" s="509"/>
      <c r="BG666" s="510"/>
      <c r="BH666" s="510"/>
      <c r="BI666" s="511"/>
      <c r="BJ666" s="511"/>
      <c r="BK666" s="511"/>
      <c r="BL666" s="510"/>
      <c r="BM666" s="510"/>
      <c r="BN666" s="510"/>
      <c r="BO666" s="510"/>
      <c r="BP666" s="510"/>
      <c r="BQ666" s="510"/>
      <c r="BR666" s="510"/>
      <c r="BS666" s="510"/>
      <c r="BT666" s="513"/>
      <c r="BU666" s="514"/>
      <c r="BV666" s="512"/>
      <c r="BW666" s="515"/>
    </row>
    <row r="667" spans="2:75" ht="15.75" customHeight="1">
      <c r="B667" s="250" t="s">
        <v>1663</v>
      </c>
      <c r="C667" s="251">
        <v>11702491000139</v>
      </c>
      <c r="D667" s="252" t="s">
        <v>13</v>
      </c>
      <c r="E667" s="252" t="s">
        <v>616</v>
      </c>
      <c r="F667" s="252" t="s">
        <v>617</v>
      </c>
      <c r="G667" s="253" t="s">
        <v>34</v>
      </c>
      <c r="H667" s="253" t="s">
        <v>1337</v>
      </c>
      <c r="I667" s="253" t="s">
        <v>34</v>
      </c>
      <c r="J667" s="253" t="s">
        <v>608</v>
      </c>
      <c r="K667" s="254" t="s">
        <v>48</v>
      </c>
      <c r="L667" s="255"/>
      <c r="M667" s="255"/>
      <c r="N667" s="254">
        <v>264105</v>
      </c>
      <c r="O667" s="254" t="s">
        <v>1321</v>
      </c>
      <c r="P667" s="258">
        <v>40529</v>
      </c>
      <c r="Q667" s="259">
        <v>15786159.869999999</v>
      </c>
      <c r="R667" s="259">
        <v>14776793.732460331</v>
      </c>
      <c r="S667" s="254">
        <v>16</v>
      </c>
      <c r="T667" s="256">
        <v>9.7035022738173327E-2</v>
      </c>
      <c r="U667" s="256">
        <v>1.0914415443718342</v>
      </c>
      <c r="V667" s="256">
        <v>0.10861923495259718</v>
      </c>
      <c r="W667" s="256">
        <v>0.99687566634302549</v>
      </c>
      <c r="X667" s="256">
        <v>0.15407551800245312</v>
      </c>
      <c r="Y667" s="256">
        <v>1.083426755884914</v>
      </c>
      <c r="Z667" s="256">
        <v>0.26837177244283805</v>
      </c>
      <c r="AA667" s="256">
        <v>1.4665346428175732</v>
      </c>
      <c r="AB667" s="256">
        <v>1.6838401792498854E-2</v>
      </c>
      <c r="AC667" s="260">
        <v>-9.9143930519768973E-3</v>
      </c>
      <c r="AD667" s="405">
        <v>7279819000189</v>
      </c>
      <c r="AE667" s="257" t="s">
        <v>2318</v>
      </c>
      <c r="AF667" s="257" t="s">
        <v>2318</v>
      </c>
      <c r="AG667" s="261" t="s">
        <v>1436</v>
      </c>
      <c r="AH667" s="261" t="s">
        <v>2319</v>
      </c>
      <c r="AI667" s="261">
        <v>50000</v>
      </c>
      <c r="AJ667" s="261">
        <v>5000</v>
      </c>
      <c r="AK667" s="261">
        <v>5000</v>
      </c>
      <c r="AL667" s="256">
        <v>0</v>
      </c>
      <c r="AM667" s="256" t="s">
        <v>34</v>
      </c>
      <c r="AN667" s="256" t="s">
        <v>64</v>
      </c>
      <c r="AO667" s="254" t="s">
        <v>1324</v>
      </c>
      <c r="AP667" s="257" t="s">
        <v>13</v>
      </c>
      <c r="AQ667" s="263" t="s">
        <v>691</v>
      </c>
      <c r="AR667" s="256" t="s">
        <v>34</v>
      </c>
      <c r="AS667" s="256" t="s">
        <v>34</v>
      </c>
      <c r="AT667" s="256"/>
      <c r="AX667" s="508"/>
      <c r="AY667" s="509"/>
      <c r="AZ667" s="509"/>
      <c r="BA667" s="509"/>
      <c r="BB667" s="510"/>
      <c r="BC667" s="509"/>
      <c r="BD667" s="509"/>
      <c r="BE667" s="509"/>
      <c r="BF667" s="509"/>
      <c r="BG667" s="510"/>
      <c r="BH667" s="510"/>
      <c r="BI667" s="511"/>
      <c r="BJ667" s="511"/>
      <c r="BK667" s="511"/>
      <c r="BL667" s="510"/>
      <c r="BM667" s="510"/>
      <c r="BN667" s="510"/>
      <c r="BO667" s="510"/>
      <c r="BP667" s="510"/>
      <c r="BQ667" s="510"/>
      <c r="BR667" s="510"/>
      <c r="BS667" s="510"/>
      <c r="BT667" s="513"/>
      <c r="BU667" s="514"/>
      <c r="BV667" s="512"/>
      <c r="BW667" s="515"/>
    </row>
    <row r="668" spans="2:75" ht="15.75" customHeight="1">
      <c r="B668" s="250" t="s">
        <v>333</v>
      </c>
      <c r="C668" s="251">
        <v>9068336000160</v>
      </c>
      <c r="D668" s="252" t="s">
        <v>13</v>
      </c>
      <c r="E668" s="252" t="s">
        <v>616</v>
      </c>
      <c r="F668" s="252" t="s">
        <v>617</v>
      </c>
      <c r="G668" s="253" t="s">
        <v>34</v>
      </c>
      <c r="H668" s="253" t="s">
        <v>1338</v>
      </c>
      <c r="I668" s="253" t="s">
        <v>34</v>
      </c>
      <c r="J668" s="253" t="s">
        <v>608</v>
      </c>
      <c r="K668" s="254" t="s">
        <v>48</v>
      </c>
      <c r="L668" s="255"/>
      <c r="M668" s="255" t="s">
        <v>34</v>
      </c>
      <c r="N668" s="254">
        <v>196517</v>
      </c>
      <c r="O668" s="254" t="s">
        <v>1321</v>
      </c>
      <c r="P668" s="258">
        <v>39370</v>
      </c>
      <c r="Q668" s="259">
        <v>25288932.149999999</v>
      </c>
      <c r="R668" s="259">
        <v>39642983.304523818</v>
      </c>
      <c r="S668" s="254">
        <v>16</v>
      </c>
      <c r="T668" s="256">
        <v>6.9022658901539025E-2</v>
      </c>
      <c r="U668" s="256">
        <v>0.89226938355718366</v>
      </c>
      <c r="V668" s="256">
        <v>-7.4783634109643726E-2</v>
      </c>
      <c r="W668" s="256">
        <v>-0.73312967095122283</v>
      </c>
      <c r="X668" s="256">
        <v>-0.13854711414295451</v>
      </c>
      <c r="Y668" s="256">
        <v>-1.0506279350909662</v>
      </c>
      <c r="Z668" s="256">
        <v>-0.14061895150620463</v>
      </c>
      <c r="AA668" s="256">
        <v>-0.79932370737481995</v>
      </c>
      <c r="AB668" s="256">
        <v>0.12517750016074666</v>
      </c>
      <c r="AC668" s="260">
        <v>-1.3344659011917697</v>
      </c>
      <c r="AD668" s="405">
        <v>11695287000138</v>
      </c>
      <c r="AE668" s="257" t="s">
        <v>2361</v>
      </c>
      <c r="AF668" s="257" t="s">
        <v>2115</v>
      </c>
      <c r="AG668" s="261" t="s">
        <v>719</v>
      </c>
      <c r="AH668" s="261" t="s">
        <v>2113</v>
      </c>
      <c r="AI668" s="261">
        <v>1000</v>
      </c>
      <c r="AJ668" s="261">
        <v>1000</v>
      </c>
      <c r="AK668" s="261">
        <v>1000</v>
      </c>
      <c r="AL668" s="256">
        <v>1.3500000000000002E-2</v>
      </c>
      <c r="AM668" s="256">
        <v>0.2</v>
      </c>
      <c r="AN668" s="256" t="s">
        <v>64</v>
      </c>
      <c r="AO668" s="254" t="s">
        <v>1324</v>
      </c>
      <c r="AP668" s="257" t="s">
        <v>13</v>
      </c>
      <c r="AQ668" s="263" t="s">
        <v>668</v>
      </c>
      <c r="AR668" s="256">
        <v>4.0499999999999998E-3</v>
      </c>
      <c r="AS668" s="256">
        <v>4.0499999999999998E-3</v>
      </c>
      <c r="AT668" s="256"/>
      <c r="AW668" s="508"/>
      <c r="AX668" s="508"/>
      <c r="AY668" s="509"/>
      <c r="AZ668" s="509"/>
      <c r="BA668" s="509"/>
      <c r="BB668" s="509"/>
      <c r="BC668" s="509"/>
      <c r="BD668" s="509"/>
      <c r="BE668" s="509"/>
      <c r="BF668" s="509"/>
      <c r="BG668" s="510"/>
      <c r="BH668" s="510"/>
      <c r="BI668" s="511"/>
      <c r="BJ668" s="511"/>
      <c r="BK668" s="511"/>
      <c r="BL668" s="195"/>
      <c r="BM668" s="510"/>
      <c r="BN668" s="510"/>
      <c r="BO668" s="510"/>
      <c r="BP668" s="510"/>
      <c r="BQ668" s="510"/>
      <c r="BR668" s="510"/>
      <c r="BS668" s="510"/>
      <c r="BT668" s="510"/>
      <c r="BU668" s="510"/>
      <c r="BV668" s="512"/>
      <c r="BW668" s="509"/>
    </row>
    <row r="669" spans="2:75" ht="15.75" customHeight="1">
      <c r="B669" s="250" t="s">
        <v>1123</v>
      </c>
      <c r="C669" s="251">
        <v>13863646000144</v>
      </c>
      <c r="D669" s="252" t="s">
        <v>13</v>
      </c>
      <c r="E669" s="252" t="s">
        <v>616</v>
      </c>
      <c r="F669" s="252" t="s">
        <v>617</v>
      </c>
      <c r="G669" s="253" t="s">
        <v>34</v>
      </c>
      <c r="H669" s="253" t="s">
        <v>1338</v>
      </c>
      <c r="I669" s="253" t="s">
        <v>34</v>
      </c>
      <c r="J669" s="253" t="s">
        <v>608</v>
      </c>
      <c r="K669" s="254" t="s">
        <v>48</v>
      </c>
      <c r="L669" s="255"/>
      <c r="M669" s="255" t="s">
        <v>34</v>
      </c>
      <c r="N669" s="254">
        <v>282553</v>
      </c>
      <c r="O669" s="254" t="s">
        <v>1321</v>
      </c>
      <c r="P669" s="258">
        <v>40749</v>
      </c>
      <c r="Q669" s="259">
        <v>20957963.73</v>
      </c>
      <c r="R669" s="259">
        <v>20540338.293769836</v>
      </c>
      <c r="S669" s="254">
        <v>16</v>
      </c>
      <c r="T669" s="256">
        <v>6.730676666004598E-2</v>
      </c>
      <c r="U669" s="256">
        <v>0.87008770964120796</v>
      </c>
      <c r="V669" s="256">
        <v>-7.8681466431117619E-2</v>
      </c>
      <c r="W669" s="256">
        <v>-0.77134146102116663</v>
      </c>
      <c r="X669" s="256">
        <v>-0.13686686115339097</v>
      </c>
      <c r="Y669" s="256">
        <v>-1.0378862714354238</v>
      </c>
      <c r="Z669" s="256">
        <v>-0.13540713170213248</v>
      </c>
      <c r="AA669" s="256">
        <v>-0.76969803399766745</v>
      </c>
      <c r="AB669" s="256">
        <v>0.11984278339923982</v>
      </c>
      <c r="AC669" s="260">
        <v>-1.4345387974916346</v>
      </c>
      <c r="AD669" s="405">
        <v>13855024000174</v>
      </c>
      <c r="AE669" s="257" t="s">
        <v>2361</v>
      </c>
      <c r="AF669" s="257" t="s">
        <v>2115</v>
      </c>
      <c r="AG669" s="261" t="s">
        <v>719</v>
      </c>
      <c r="AH669" s="261" t="s">
        <v>2110</v>
      </c>
      <c r="AI669" s="261">
        <v>5000</v>
      </c>
      <c r="AJ669" s="261">
        <v>5000</v>
      </c>
      <c r="AK669" s="261">
        <v>5000</v>
      </c>
      <c r="AL669" s="256">
        <v>1.3999999999999999E-2</v>
      </c>
      <c r="AM669" s="256">
        <v>0.2</v>
      </c>
      <c r="AN669" s="256" t="s">
        <v>2122</v>
      </c>
      <c r="AO669" s="254" t="s">
        <v>1324</v>
      </c>
      <c r="AP669" s="257" t="s">
        <v>716</v>
      </c>
      <c r="AQ669" s="263" t="s">
        <v>659</v>
      </c>
      <c r="AR669" s="256">
        <v>4.1999999999999997E-3</v>
      </c>
      <c r="AS669" s="256">
        <v>4.1999999999999997E-3</v>
      </c>
      <c r="AT669" s="256"/>
      <c r="AW669" s="508"/>
      <c r="AX669" s="508"/>
      <c r="AY669" s="509"/>
      <c r="AZ669" s="509"/>
      <c r="BA669" s="509"/>
      <c r="BB669" s="509"/>
      <c r="BC669" s="509"/>
      <c r="BD669" s="509"/>
      <c r="BE669" s="509"/>
      <c r="BF669" s="509"/>
      <c r="BG669" s="510"/>
      <c r="BH669" s="510"/>
      <c r="BI669" s="511"/>
      <c r="BJ669" s="511"/>
      <c r="BK669" s="511"/>
      <c r="BL669" s="195"/>
      <c r="BM669" s="510"/>
      <c r="BN669" s="510"/>
      <c r="BO669" s="510"/>
      <c r="BP669" s="510"/>
      <c r="BQ669" s="510"/>
      <c r="BR669" s="510"/>
      <c r="BS669" s="510"/>
      <c r="BT669" s="510"/>
      <c r="BU669" s="510"/>
      <c r="BV669" s="512"/>
      <c r="BW669" s="509"/>
    </row>
    <row r="670" spans="2:75" ht="15.75" customHeight="1">
      <c r="B670" s="250" t="s">
        <v>348</v>
      </c>
      <c r="C670" s="251">
        <v>10237439000196</v>
      </c>
      <c r="D670" s="252" t="s">
        <v>13</v>
      </c>
      <c r="E670" s="252" t="s">
        <v>616</v>
      </c>
      <c r="F670" s="252" t="s">
        <v>617</v>
      </c>
      <c r="G670" s="253" t="s">
        <v>34</v>
      </c>
      <c r="H670" s="253" t="s">
        <v>1338</v>
      </c>
      <c r="I670" s="253" t="s">
        <v>34</v>
      </c>
      <c r="J670" s="253" t="s">
        <v>608</v>
      </c>
      <c r="K670" s="254" t="s">
        <v>48</v>
      </c>
      <c r="L670" s="255"/>
      <c r="M670" s="255" t="s">
        <v>34</v>
      </c>
      <c r="N670" s="254">
        <v>216569</v>
      </c>
      <c r="O670" s="254" t="s">
        <v>1321</v>
      </c>
      <c r="P670" s="258">
        <v>39696</v>
      </c>
      <c r="Q670" s="259">
        <v>26603296.5</v>
      </c>
      <c r="R670" s="259">
        <v>24492457.173492067</v>
      </c>
      <c r="S670" s="254">
        <v>16</v>
      </c>
      <c r="T670" s="256">
        <v>0.10789077938786584</v>
      </c>
      <c r="U670" s="256">
        <v>1.3947251634168591</v>
      </c>
      <c r="V670" s="256">
        <v>0.23945306672610478</v>
      </c>
      <c r="W670" s="256">
        <v>2.3474407215860658</v>
      </c>
      <c r="X670" s="256">
        <v>0.22708253997969718</v>
      </c>
      <c r="Y670" s="256">
        <v>1.722008152605129</v>
      </c>
      <c r="Z670" s="256">
        <v>0.27604633310280291</v>
      </c>
      <c r="AA670" s="256">
        <v>1.5691368483374091</v>
      </c>
      <c r="AB670" s="256">
        <v>0.1202410797007156</v>
      </c>
      <c r="AC670" s="260">
        <v>1.0380188102112167</v>
      </c>
      <c r="AD670" s="405">
        <v>0</v>
      </c>
      <c r="AE670" s="257" t="s">
        <v>2371</v>
      </c>
      <c r="AF670" s="257" t="s">
        <v>2118</v>
      </c>
      <c r="AG670" s="261" t="s">
        <v>1433</v>
      </c>
      <c r="AH670" s="261" t="s">
        <v>2113</v>
      </c>
      <c r="AI670" s="261">
        <v>10000</v>
      </c>
      <c r="AJ670" s="261">
        <v>1000</v>
      </c>
      <c r="AK670" s="261">
        <v>5000</v>
      </c>
      <c r="AL670" s="256">
        <v>0.02</v>
      </c>
      <c r="AM670" s="256">
        <v>0.2</v>
      </c>
      <c r="AN670" s="256" t="s">
        <v>64</v>
      </c>
      <c r="AO670" s="254" t="s">
        <v>1324</v>
      </c>
      <c r="AP670" s="257" t="s">
        <v>13</v>
      </c>
      <c r="AQ670" s="263" t="s">
        <v>664</v>
      </c>
      <c r="AR670" s="256">
        <v>4.0000000000000001E-3</v>
      </c>
      <c r="AS670" s="256">
        <v>4.0000000000000001E-3</v>
      </c>
      <c r="AT670" s="256"/>
      <c r="AW670" s="508"/>
      <c r="AX670" s="508"/>
      <c r="AY670" s="509"/>
      <c r="AZ670" s="509"/>
      <c r="BA670" s="509"/>
      <c r="BB670" s="509"/>
      <c r="BC670" s="509"/>
      <c r="BD670" s="509"/>
      <c r="BE670" s="509"/>
      <c r="BF670" s="509"/>
      <c r="BG670" s="510"/>
      <c r="BH670" s="510"/>
      <c r="BI670" s="511"/>
      <c r="BJ670" s="511"/>
      <c r="BK670" s="511"/>
      <c r="BL670" s="195"/>
      <c r="BM670" s="510"/>
      <c r="BN670" s="510"/>
      <c r="BO670" s="510"/>
      <c r="BP670" s="510"/>
      <c r="BQ670" s="510"/>
      <c r="BR670" s="510"/>
      <c r="BS670" s="510"/>
      <c r="BT670" s="510"/>
      <c r="BU670" s="510"/>
      <c r="BV670" s="512"/>
      <c r="BW670" s="509"/>
    </row>
    <row r="671" spans="2:75" ht="15.75" customHeight="1">
      <c r="B671" s="250" t="s">
        <v>1185</v>
      </c>
      <c r="C671" s="251">
        <v>20501983000157</v>
      </c>
      <c r="D671" s="252" t="s">
        <v>13</v>
      </c>
      <c r="E671" s="252" t="s">
        <v>616</v>
      </c>
      <c r="F671" s="252" t="s">
        <v>617</v>
      </c>
      <c r="G671" s="253" t="s">
        <v>34</v>
      </c>
      <c r="H671" s="253" t="s">
        <v>1337</v>
      </c>
      <c r="I671" s="253" t="s">
        <v>34</v>
      </c>
      <c r="J671" s="253" t="s">
        <v>608</v>
      </c>
      <c r="K671" s="254" t="s">
        <v>48</v>
      </c>
      <c r="L671" s="255"/>
      <c r="M671" s="255" t="s">
        <v>34</v>
      </c>
      <c r="N671" s="254">
        <v>378860</v>
      </c>
      <c r="O671" s="254" t="s">
        <v>1324</v>
      </c>
      <c r="P671" s="258">
        <v>41914</v>
      </c>
      <c r="Q671" s="259">
        <v>24910115.199999999</v>
      </c>
      <c r="R671" s="259">
        <v>23771667.95071429</v>
      </c>
      <c r="S671" s="254">
        <v>16</v>
      </c>
      <c r="T671" s="256">
        <v>8.5032995922662113E-2</v>
      </c>
      <c r="U671" s="256">
        <v>1.0992381351487239</v>
      </c>
      <c r="V671" s="256">
        <v>0.10545490481316144</v>
      </c>
      <c r="W671" s="256">
        <v>1.0338106804560303</v>
      </c>
      <c r="X671" s="256">
        <v>0.14233654606372381</v>
      </c>
      <c r="Y671" s="256">
        <v>1.0793638857364465</v>
      </c>
      <c r="Z671" s="256">
        <v>0.26158200985120184</v>
      </c>
      <c r="AA671" s="256">
        <v>1.4869169458114866</v>
      </c>
      <c r="AB671" s="256">
        <v>1.7060793180290416E-2</v>
      </c>
      <c r="AC671" s="260">
        <v>0.19164957358093368</v>
      </c>
      <c r="AD671" s="405">
        <v>7279819000189</v>
      </c>
      <c r="AE671" s="257" t="s">
        <v>2123</v>
      </c>
      <c r="AF671" s="257" t="s">
        <v>2109</v>
      </c>
      <c r="AG671" s="261" t="s">
        <v>1432</v>
      </c>
      <c r="AH671" s="261" t="s">
        <v>2110</v>
      </c>
      <c r="AI671" s="261">
        <v>50000</v>
      </c>
      <c r="AJ671" s="261">
        <v>5000</v>
      </c>
      <c r="AK671" s="261">
        <v>5000</v>
      </c>
      <c r="AL671" s="256">
        <v>0</v>
      </c>
      <c r="AM671" s="256" t="s">
        <v>34</v>
      </c>
      <c r="AN671" s="256" t="s">
        <v>34</v>
      </c>
      <c r="AO671" s="254" t="s">
        <v>1324</v>
      </c>
      <c r="AP671" s="257" t="s">
        <v>13</v>
      </c>
      <c r="AQ671" s="263" t="s">
        <v>668</v>
      </c>
      <c r="AR671" s="256">
        <v>4.0000000000000001E-3</v>
      </c>
      <c r="AS671" s="256">
        <v>4.0000000000000001E-3</v>
      </c>
      <c r="AT671" s="256"/>
      <c r="AW671" s="508"/>
      <c r="AX671" s="508"/>
      <c r="AY671" s="509"/>
      <c r="AZ671" s="509"/>
      <c r="BA671" s="509"/>
      <c r="BB671" s="509"/>
      <c r="BC671" s="509"/>
      <c r="BD671" s="509"/>
      <c r="BE671" s="509"/>
      <c r="BF671" s="509"/>
      <c r="BG671" s="510"/>
      <c r="BH671" s="510"/>
      <c r="BI671" s="511"/>
      <c r="BJ671" s="511"/>
      <c r="BK671" s="511"/>
      <c r="BL671" s="195"/>
      <c r="BM671" s="510"/>
      <c r="BN671" s="510"/>
      <c r="BO671" s="510"/>
      <c r="BP671" s="510"/>
      <c r="BQ671" s="510"/>
      <c r="BR671" s="510"/>
      <c r="BS671" s="510"/>
      <c r="BT671" s="510"/>
      <c r="BU671" s="510"/>
      <c r="BV671" s="512"/>
      <c r="BW671" s="509"/>
    </row>
    <row r="672" spans="2:75" ht="15.75" customHeight="1">
      <c r="B672" s="250" t="s">
        <v>414</v>
      </c>
      <c r="C672" s="251">
        <v>13418910000130</v>
      </c>
      <c r="D672" s="252" t="s">
        <v>13</v>
      </c>
      <c r="E672" s="252" t="s">
        <v>616</v>
      </c>
      <c r="F672" s="252" t="s">
        <v>617</v>
      </c>
      <c r="G672" s="253" t="s">
        <v>34</v>
      </c>
      <c r="H672" s="253" t="s">
        <v>1338</v>
      </c>
      <c r="I672" s="253" t="s">
        <v>34</v>
      </c>
      <c r="J672" s="253" t="s">
        <v>608</v>
      </c>
      <c r="K672" s="254" t="s">
        <v>48</v>
      </c>
      <c r="L672" s="255"/>
      <c r="M672" s="255" t="s">
        <v>1414</v>
      </c>
      <c r="N672" s="254">
        <v>282944</v>
      </c>
      <c r="O672" s="254" t="s">
        <v>1321</v>
      </c>
      <c r="P672" s="258">
        <v>40757</v>
      </c>
      <c r="Q672" s="259">
        <v>54426859</v>
      </c>
      <c r="R672" s="259">
        <v>49872834.989206344</v>
      </c>
      <c r="S672" s="254">
        <v>16</v>
      </c>
      <c r="T672" s="256">
        <v>0.15514019019470693</v>
      </c>
      <c r="U672" s="256">
        <v>2.0055275191215332</v>
      </c>
      <c r="V672" s="256">
        <v>0.15351669898233866</v>
      </c>
      <c r="W672" s="256">
        <v>1.5049769692313772</v>
      </c>
      <c r="X672" s="256">
        <v>0.18671562820626808</v>
      </c>
      <c r="Y672" s="256">
        <v>1.4158985275518257</v>
      </c>
      <c r="Z672" s="256">
        <v>0.27402871461303668</v>
      </c>
      <c r="AA672" s="256">
        <v>1.5576680507533456</v>
      </c>
      <c r="AB672" s="256">
        <v>0.13703739518894764</v>
      </c>
      <c r="AC672" s="260">
        <v>0.40186405478271492</v>
      </c>
      <c r="AD672" s="405">
        <v>0</v>
      </c>
      <c r="AE672" s="257" t="s">
        <v>2419</v>
      </c>
      <c r="AF672" s="257" t="s">
        <v>2109</v>
      </c>
      <c r="AG672" s="261" t="s">
        <v>1432</v>
      </c>
      <c r="AH672" s="261" t="s">
        <v>2113</v>
      </c>
      <c r="AI672" s="261">
        <v>1000</v>
      </c>
      <c r="AJ672" s="261">
        <v>500</v>
      </c>
      <c r="AK672" s="261">
        <v>500</v>
      </c>
      <c r="AL672" s="256">
        <v>1.3000000000000001E-2</v>
      </c>
      <c r="AM672" s="256">
        <v>0.2</v>
      </c>
      <c r="AN672" s="256" t="s">
        <v>34</v>
      </c>
      <c r="AO672" s="254" t="s">
        <v>1324</v>
      </c>
      <c r="AP672" s="257" t="s">
        <v>13</v>
      </c>
      <c r="AQ672" s="263" t="s">
        <v>668</v>
      </c>
      <c r="AR672" s="256">
        <v>3.0333333333333328E-3</v>
      </c>
      <c r="AS672" s="256">
        <v>3.0333333333333328E-3</v>
      </c>
      <c r="AT672" s="256"/>
      <c r="AW672" s="508"/>
      <c r="AX672" s="508"/>
      <c r="AY672" s="509"/>
      <c r="AZ672" s="509"/>
      <c r="BA672" s="509"/>
      <c r="BB672" s="509"/>
      <c r="BC672" s="509"/>
      <c r="BD672" s="509"/>
      <c r="BE672" s="509"/>
      <c r="BF672" s="509"/>
      <c r="BG672" s="510"/>
      <c r="BH672" s="510"/>
      <c r="BI672" s="511"/>
      <c r="BJ672" s="511"/>
      <c r="BK672" s="511"/>
      <c r="BL672" s="195"/>
      <c r="BM672" s="510"/>
      <c r="BN672" s="510"/>
      <c r="BO672" s="510"/>
      <c r="BP672" s="510"/>
      <c r="BQ672" s="510"/>
      <c r="BR672" s="510"/>
      <c r="BS672" s="510"/>
      <c r="BT672" s="510"/>
      <c r="BU672" s="510"/>
      <c r="BV672" s="512"/>
      <c r="BW672" s="509"/>
    </row>
    <row r="673" spans="2:75" ht="15.75" customHeight="1">
      <c r="B673" s="250" t="s">
        <v>52</v>
      </c>
      <c r="C673" s="251">
        <v>30057258000195</v>
      </c>
      <c r="D673" s="252" t="s">
        <v>13</v>
      </c>
      <c r="E673" s="252" t="s">
        <v>615</v>
      </c>
      <c r="F673" s="252" t="s">
        <v>617</v>
      </c>
      <c r="G673" s="253" t="s">
        <v>34</v>
      </c>
      <c r="H673" s="253" t="s">
        <v>1338</v>
      </c>
      <c r="I673" s="253" t="s">
        <v>34</v>
      </c>
      <c r="J673" s="253" t="s">
        <v>611</v>
      </c>
      <c r="K673" s="254" t="s">
        <v>48</v>
      </c>
      <c r="L673" s="255"/>
      <c r="M673" s="255" t="s">
        <v>1414</v>
      </c>
      <c r="N673" s="254">
        <v>465119</v>
      </c>
      <c r="O673" s="254" t="s">
        <v>1324</v>
      </c>
      <c r="P673" s="258">
        <v>43228</v>
      </c>
      <c r="Q673" s="259">
        <v>1077874090.6700001</v>
      </c>
      <c r="R673" s="259">
        <v>998066641.25892866</v>
      </c>
      <c r="S673" s="254">
        <v>16</v>
      </c>
      <c r="T673" s="256">
        <v>0.20820980853471083</v>
      </c>
      <c r="U673" s="256">
        <v>2.6915688336034713</v>
      </c>
      <c r="V673" s="256">
        <v>0.2512757018842624</v>
      </c>
      <c r="W673" s="256">
        <v>2.4633420778984458</v>
      </c>
      <c r="X673" s="256">
        <v>0.35951405676046178</v>
      </c>
      <c r="Y673" s="256">
        <v>2.7262604019358294</v>
      </c>
      <c r="Z673" s="256">
        <v>0.58666814514091437</v>
      </c>
      <c r="AA673" s="256">
        <v>3.3348119279075505</v>
      </c>
      <c r="AB673" s="256">
        <v>8.7303402110676206E-2</v>
      </c>
      <c r="AC673" s="260">
        <v>1.4994582382786514</v>
      </c>
      <c r="AD673" s="405">
        <v>41373649000135</v>
      </c>
      <c r="AE673" s="257" t="s">
        <v>2435</v>
      </c>
      <c r="AF673" s="257" t="s">
        <v>2109</v>
      </c>
      <c r="AG673" s="261" t="s">
        <v>1432</v>
      </c>
      <c r="AH673" s="261" t="s">
        <v>2113</v>
      </c>
      <c r="AI673" s="261">
        <v>5000</v>
      </c>
      <c r="AJ673" s="261">
        <v>2000</v>
      </c>
      <c r="AK673" s="261">
        <v>3000</v>
      </c>
      <c r="AL673" s="256">
        <v>0.02</v>
      </c>
      <c r="AM673" s="256">
        <v>0.2</v>
      </c>
      <c r="AN673" s="256" t="s">
        <v>64</v>
      </c>
      <c r="AO673" s="254" t="s">
        <v>1324</v>
      </c>
      <c r="AP673" s="257" t="s">
        <v>13</v>
      </c>
      <c r="AQ673" s="263" t="s">
        <v>668</v>
      </c>
      <c r="AR673" s="256">
        <v>3.3333333333333331E-3</v>
      </c>
      <c r="AS673" s="256">
        <v>3.3333333333333331E-3</v>
      </c>
      <c r="AT673" s="256"/>
      <c r="AW673" s="508"/>
      <c r="AX673" s="508"/>
      <c r="AY673" s="509"/>
      <c r="AZ673" s="509"/>
      <c r="BA673" s="509"/>
      <c r="BB673" s="509"/>
      <c r="BC673" s="509"/>
      <c r="BD673" s="509"/>
      <c r="BE673" s="509"/>
      <c r="BF673" s="509"/>
      <c r="BG673" s="510"/>
      <c r="BH673" s="510"/>
      <c r="BI673" s="511"/>
      <c r="BJ673" s="511"/>
      <c r="BK673" s="511"/>
      <c r="BL673" s="195"/>
      <c r="BM673" s="510"/>
      <c r="BN673" s="510"/>
      <c r="BO673" s="510"/>
      <c r="BP673" s="510"/>
      <c r="BQ673" s="510"/>
      <c r="BR673" s="510"/>
      <c r="BS673" s="510"/>
      <c r="BT673" s="510"/>
      <c r="BU673" s="510"/>
      <c r="BV673" s="512"/>
      <c r="BW673" s="509"/>
    </row>
    <row r="674" spans="2:75" ht="15.75" customHeight="1">
      <c r="B674" s="250" t="s">
        <v>532</v>
      </c>
      <c r="C674" s="251">
        <v>41888275000190</v>
      </c>
      <c r="D674" s="252" t="s">
        <v>13</v>
      </c>
      <c r="E674" s="252" t="s">
        <v>615</v>
      </c>
      <c r="F674" s="252" t="s">
        <v>619</v>
      </c>
      <c r="G674" s="253" t="s">
        <v>34</v>
      </c>
      <c r="H674" s="253" t="s">
        <v>1338</v>
      </c>
      <c r="I674" s="253" t="s">
        <v>34</v>
      </c>
      <c r="J674" s="253" t="s">
        <v>611</v>
      </c>
      <c r="K674" s="254" t="s">
        <v>48</v>
      </c>
      <c r="L674" s="255"/>
      <c r="M674" s="255" t="s">
        <v>34</v>
      </c>
      <c r="N674" s="254">
        <v>603996</v>
      </c>
      <c r="O674" s="254" t="s">
        <v>1321</v>
      </c>
      <c r="P674" s="258">
        <v>44406</v>
      </c>
      <c r="Q674" s="259">
        <v>23587842.640000001</v>
      </c>
      <c r="R674" s="259">
        <v>25329165.276746042</v>
      </c>
      <c r="S674" s="254">
        <v>16</v>
      </c>
      <c r="T674" s="256">
        <v>3.5109361501376002E-2</v>
      </c>
      <c r="U674" s="256">
        <v>0.45386556882149565</v>
      </c>
      <c r="V674" s="256">
        <v>6.9944286963465441E-2</v>
      </c>
      <c r="W674" s="256">
        <v>0.68568788742282771</v>
      </c>
      <c r="X674" s="256" t="s">
        <v>1417</v>
      </c>
      <c r="Y674" s="256" t="s">
        <v>1417</v>
      </c>
      <c r="Z674" s="256" t="s">
        <v>1417</v>
      </c>
      <c r="AA674" s="256" t="s">
        <v>1417</v>
      </c>
      <c r="AB674" s="256">
        <v>8.1744943084957361E-2</v>
      </c>
      <c r="AC674" s="260">
        <v>-0.32061301341052678</v>
      </c>
      <c r="AD674" s="405">
        <v>19736757000176</v>
      </c>
      <c r="AE674" s="257" t="s">
        <v>2152</v>
      </c>
      <c r="AF674" s="257" t="s">
        <v>2118</v>
      </c>
      <c r="AG674" s="261" t="s">
        <v>1433</v>
      </c>
      <c r="AH674" s="261" t="s">
        <v>2113</v>
      </c>
      <c r="AI674" s="261">
        <v>1000</v>
      </c>
      <c r="AJ674" s="261">
        <v>1000</v>
      </c>
      <c r="AK674" s="261">
        <v>1000</v>
      </c>
      <c r="AL674" s="519">
        <v>0.02</v>
      </c>
      <c r="AM674" s="519">
        <v>0.2</v>
      </c>
      <c r="AN674" s="256" t="s">
        <v>64</v>
      </c>
      <c r="AO674" s="254" t="s">
        <v>1324</v>
      </c>
      <c r="AP674" s="257" t="s">
        <v>13</v>
      </c>
      <c r="AQ674" s="263" t="s">
        <v>664</v>
      </c>
      <c r="AR674" s="256">
        <v>4.0000000000000001E-3</v>
      </c>
      <c r="AS674" s="256">
        <v>4.0000000000000001E-3</v>
      </c>
      <c r="AT674" s="256"/>
      <c r="AX674" s="508"/>
      <c r="AY674" s="509"/>
      <c r="AZ674" s="509"/>
      <c r="BA674" s="509"/>
      <c r="BB674" s="510"/>
      <c r="BC674" s="509"/>
      <c r="BD674" s="509"/>
      <c r="BE674" s="509"/>
      <c r="BF674" s="509"/>
      <c r="BG674" s="510"/>
      <c r="BH674" s="510"/>
      <c r="BI674" s="511"/>
      <c r="BJ674" s="511"/>
      <c r="BK674" s="511"/>
      <c r="BL674" s="510"/>
      <c r="BM674" s="510"/>
      <c r="BN674" s="510"/>
      <c r="BO674" s="510"/>
      <c r="BP674" s="510"/>
      <c r="BQ674" s="510"/>
      <c r="BR674" s="510"/>
      <c r="BS674" s="510"/>
      <c r="BT674" s="513"/>
      <c r="BU674" s="514"/>
      <c r="BV674" s="512"/>
      <c r="BW674" s="515"/>
    </row>
    <row r="675" spans="2:75" ht="15.75" customHeight="1">
      <c r="B675" s="250" t="s">
        <v>524</v>
      </c>
      <c r="C675" s="251">
        <v>40677875000147</v>
      </c>
      <c r="D675" s="252" t="s">
        <v>13</v>
      </c>
      <c r="E675" s="252" t="s">
        <v>615</v>
      </c>
      <c r="F675" s="252" t="s">
        <v>619</v>
      </c>
      <c r="G675" s="253" t="s">
        <v>34</v>
      </c>
      <c r="H675" s="253" t="s">
        <v>865</v>
      </c>
      <c r="I675" s="253" t="s">
        <v>34</v>
      </c>
      <c r="J675" s="253" t="s">
        <v>611</v>
      </c>
      <c r="K675" s="254" t="s">
        <v>48</v>
      </c>
      <c r="L675" s="255"/>
      <c r="M675" s="255" t="s">
        <v>34</v>
      </c>
      <c r="N675" s="254">
        <v>592455</v>
      </c>
      <c r="O675" s="254" t="s">
        <v>1321</v>
      </c>
      <c r="P675" s="258">
        <v>44341</v>
      </c>
      <c r="Q675" s="259">
        <v>10576576.17</v>
      </c>
      <c r="R675" s="259">
        <v>13854766.164007934</v>
      </c>
      <c r="S675" s="254">
        <v>16</v>
      </c>
      <c r="T675" s="256">
        <v>-4.6772472669570631E-3</v>
      </c>
      <c r="U675" s="256">
        <v>-6.0463688331474079E-2</v>
      </c>
      <c r="V675" s="256">
        <v>-5.1181127732824461E-3</v>
      </c>
      <c r="W675" s="256">
        <v>-5.0174618792481758E-2</v>
      </c>
      <c r="X675" s="256" t="s">
        <v>1417</v>
      </c>
      <c r="Y675" s="256" t="s">
        <v>1417</v>
      </c>
      <c r="Z675" s="256" t="s">
        <v>1417</v>
      </c>
      <c r="AA675" s="256" t="s">
        <v>1417</v>
      </c>
      <c r="AB675" s="256">
        <v>5.6169280810631196E-2</v>
      </c>
      <c r="AC675" s="260">
        <v>-1.7930145868896579</v>
      </c>
      <c r="AD675" s="405">
        <v>41075494000150</v>
      </c>
      <c r="AE675" s="257" t="s">
        <v>2153</v>
      </c>
      <c r="AF675" s="257" t="s">
        <v>2118</v>
      </c>
      <c r="AG675" s="261" t="s">
        <v>1433</v>
      </c>
      <c r="AH675" s="261" t="s">
        <v>2113</v>
      </c>
      <c r="AI675" s="261">
        <v>10000</v>
      </c>
      <c r="AJ675" s="261">
        <v>5000</v>
      </c>
      <c r="AK675" s="261">
        <v>5000</v>
      </c>
      <c r="AL675" s="519">
        <v>1.9E-2</v>
      </c>
      <c r="AM675" s="519">
        <v>0.2</v>
      </c>
      <c r="AN675" s="256" t="s">
        <v>34</v>
      </c>
      <c r="AO675" s="254" t="s">
        <v>1324</v>
      </c>
      <c r="AP675" s="257" t="s">
        <v>13</v>
      </c>
      <c r="AQ675" s="263" t="s">
        <v>668</v>
      </c>
      <c r="AR675" s="256">
        <v>3.7999999999999996E-3</v>
      </c>
      <c r="AS675" s="256">
        <v>3.7999999999999996E-3</v>
      </c>
      <c r="AT675" s="256"/>
      <c r="AW675" s="508"/>
      <c r="AX675" s="508"/>
      <c r="AY675" s="509"/>
      <c r="AZ675" s="509"/>
      <c r="BA675" s="509"/>
      <c r="BB675" s="510"/>
      <c r="BC675" s="509"/>
      <c r="BD675" s="509"/>
      <c r="BE675" s="509"/>
      <c r="BF675" s="509"/>
      <c r="BG675" s="510"/>
      <c r="BH675" s="510"/>
      <c r="BI675" s="511"/>
      <c r="BJ675" s="511"/>
      <c r="BK675" s="511"/>
      <c r="BL675" s="195"/>
      <c r="BM675" s="510"/>
      <c r="BN675" s="510"/>
      <c r="BO675" s="510"/>
      <c r="BP675" s="510"/>
      <c r="BQ675" s="510"/>
      <c r="BR675" s="510"/>
      <c r="BS675" s="510"/>
      <c r="BT675" s="513"/>
      <c r="BU675" s="514"/>
      <c r="BV675" s="512"/>
      <c r="BW675" s="515"/>
    </row>
    <row r="676" spans="2:75" ht="15.75" customHeight="1">
      <c r="B676" s="250" t="s">
        <v>1571</v>
      </c>
      <c r="C676" s="251">
        <v>36656777000156</v>
      </c>
      <c r="D676" s="252" t="s">
        <v>13</v>
      </c>
      <c r="E676" s="252" t="s">
        <v>615</v>
      </c>
      <c r="F676" s="252" t="s">
        <v>619</v>
      </c>
      <c r="G676" s="253" t="s">
        <v>34</v>
      </c>
      <c r="H676" s="253" t="s">
        <v>1338</v>
      </c>
      <c r="I676" s="253" t="s">
        <v>34</v>
      </c>
      <c r="J676" s="253" t="s">
        <v>611</v>
      </c>
      <c r="K676" s="254" t="s">
        <v>48</v>
      </c>
      <c r="L676" s="255"/>
      <c r="M676" s="255"/>
      <c r="N676" s="254">
        <v>548774</v>
      </c>
      <c r="O676" s="254" t="s">
        <v>1321</v>
      </c>
      <c r="P676" s="258">
        <v>44060</v>
      </c>
      <c r="Q676" s="259">
        <v>370829956.25</v>
      </c>
      <c r="R676" s="259">
        <v>355488437.85583341</v>
      </c>
      <c r="S676" s="254">
        <v>16</v>
      </c>
      <c r="T676" s="256">
        <v>0.30445283655953359</v>
      </c>
      <c r="U676" s="256">
        <v>3.424459177172944</v>
      </c>
      <c r="V676" s="256">
        <v>0.19245661675719439</v>
      </c>
      <c r="W676" s="256">
        <v>1.7663107105816069</v>
      </c>
      <c r="X676" s="256">
        <v>0.89334777358078288</v>
      </c>
      <c r="Y676" s="256">
        <v>6.2818343417299314</v>
      </c>
      <c r="Z676" s="256" t="s">
        <v>1417</v>
      </c>
      <c r="AA676" s="256" t="s">
        <v>1417</v>
      </c>
      <c r="AB676" s="256">
        <v>0.27117604305114057</v>
      </c>
      <c r="AC676" s="260">
        <v>0.40329875039657492</v>
      </c>
      <c r="AD676" s="405">
        <v>37540038000167</v>
      </c>
      <c r="AE676" s="257" t="s">
        <v>1547</v>
      </c>
      <c r="AF676" s="257" t="s">
        <v>2121</v>
      </c>
      <c r="AG676" s="261" t="s">
        <v>1547</v>
      </c>
      <c r="AH676" s="261" t="s">
        <v>2110</v>
      </c>
      <c r="AI676" s="261">
        <v>200000</v>
      </c>
      <c r="AJ676" s="261">
        <v>50000</v>
      </c>
      <c r="AK676" s="261">
        <v>200000</v>
      </c>
      <c r="AL676" s="256">
        <v>0</v>
      </c>
      <c r="AM676" s="256" t="s">
        <v>34</v>
      </c>
      <c r="AN676" s="256" t="s">
        <v>64</v>
      </c>
      <c r="AO676" s="254" t="s">
        <v>1324</v>
      </c>
      <c r="AP676" s="257" t="s">
        <v>13</v>
      </c>
      <c r="AQ676" s="263" t="s">
        <v>668</v>
      </c>
      <c r="AR676" s="256" t="s">
        <v>34</v>
      </c>
      <c r="AS676" s="256" t="s">
        <v>34</v>
      </c>
      <c r="AT676" s="256"/>
      <c r="AX676" s="508"/>
      <c r="AY676" s="509"/>
      <c r="AZ676" s="509"/>
      <c r="BA676" s="509"/>
      <c r="BB676" s="510"/>
      <c r="BC676" s="509"/>
      <c r="BD676" s="509"/>
      <c r="BE676" s="509"/>
      <c r="BF676" s="509"/>
      <c r="BG676" s="510"/>
      <c r="BH676" s="510"/>
      <c r="BI676" s="511"/>
      <c r="BJ676" s="511"/>
      <c r="BK676" s="511"/>
      <c r="BL676" s="510"/>
      <c r="BM676" s="510"/>
      <c r="BN676" s="510"/>
      <c r="BO676" s="510"/>
      <c r="BP676" s="510"/>
      <c r="BQ676" s="510"/>
      <c r="BR676" s="510"/>
      <c r="BS676" s="510"/>
      <c r="BT676" s="513"/>
      <c r="BU676" s="514"/>
      <c r="BV676" s="512"/>
      <c r="BW676" s="515"/>
    </row>
    <row r="677" spans="2:75" ht="15.75" customHeight="1">
      <c r="B677" s="250" t="s">
        <v>939</v>
      </c>
      <c r="C677" s="251">
        <v>37887638000104</v>
      </c>
      <c r="D677" s="252" t="s">
        <v>13</v>
      </c>
      <c r="E677" s="252" t="s">
        <v>615</v>
      </c>
      <c r="F677" s="252" t="s">
        <v>619</v>
      </c>
      <c r="G677" s="253" t="s">
        <v>34</v>
      </c>
      <c r="H677" s="253" t="s">
        <v>1338</v>
      </c>
      <c r="I677" s="253" t="s">
        <v>34</v>
      </c>
      <c r="J677" s="253"/>
      <c r="K677" s="254" t="s">
        <v>48</v>
      </c>
      <c r="L677" s="255"/>
      <c r="M677" s="255" t="s">
        <v>1414</v>
      </c>
      <c r="N677" s="254">
        <v>551007</v>
      </c>
      <c r="O677" s="254" t="s">
        <v>1321</v>
      </c>
      <c r="P677" s="258">
        <v>44077</v>
      </c>
      <c r="Q677" s="259">
        <v>177165499.00999999</v>
      </c>
      <c r="R677" s="259">
        <v>168817044.39674607</v>
      </c>
      <c r="S677" s="254">
        <v>16</v>
      </c>
      <c r="T677" s="256">
        <v>0.17935371119628507</v>
      </c>
      <c r="U677" s="256">
        <v>2.3185404311370874</v>
      </c>
      <c r="V677" s="256">
        <v>0.16595059551223423</v>
      </c>
      <c r="W677" s="256">
        <v>1.626870730883011</v>
      </c>
      <c r="X677" s="256" t="s">
        <v>1417</v>
      </c>
      <c r="Y677" s="256" t="s">
        <v>1417</v>
      </c>
      <c r="Z677" s="256" t="s">
        <v>1417</v>
      </c>
      <c r="AA677" s="256" t="s">
        <v>1417</v>
      </c>
      <c r="AB677" s="256">
        <v>9.9738847057842805E-2</v>
      </c>
      <c r="AC677" s="260">
        <v>0.61543615416815656</v>
      </c>
      <c r="AD677" s="405">
        <v>0</v>
      </c>
      <c r="AE677" s="257" t="s">
        <v>2246</v>
      </c>
      <c r="AF677" s="257" t="s">
        <v>2118</v>
      </c>
      <c r="AG677" s="261" t="s">
        <v>1433</v>
      </c>
      <c r="AH677" s="261" t="s">
        <v>2113</v>
      </c>
      <c r="AI677" s="261">
        <v>1000</v>
      </c>
      <c r="AJ677" s="261">
        <v>100</v>
      </c>
      <c r="AK677" s="261">
        <v>1000</v>
      </c>
      <c r="AL677" s="256">
        <v>1.7500000000000002E-2</v>
      </c>
      <c r="AM677" s="256">
        <v>0.2</v>
      </c>
      <c r="AN677" s="256" t="s">
        <v>34</v>
      </c>
      <c r="AO677" s="254" t="s">
        <v>1324</v>
      </c>
      <c r="AP677" s="257" t="s">
        <v>13</v>
      </c>
      <c r="AQ677" s="263" t="s">
        <v>664</v>
      </c>
      <c r="AR677" s="256">
        <v>3.5000000000000001E-3</v>
      </c>
      <c r="AS677" s="256">
        <v>3.5000000000000001E-3</v>
      </c>
      <c r="AT677" s="256"/>
      <c r="AX677" s="508"/>
      <c r="AY677" s="509"/>
      <c r="AZ677" s="509"/>
      <c r="BA677" s="509"/>
      <c r="BB677" s="510"/>
      <c r="BC677" s="509"/>
      <c r="BD677" s="509"/>
      <c r="BE677" s="509"/>
      <c r="BF677" s="509"/>
      <c r="BG677" s="510"/>
      <c r="BH677" s="510"/>
      <c r="BI677" s="511"/>
      <c r="BJ677" s="511"/>
      <c r="BK677" s="511"/>
      <c r="BL677" s="510"/>
      <c r="BM677" s="510"/>
      <c r="BN677" s="510"/>
      <c r="BO677" s="510"/>
      <c r="BP677" s="510"/>
      <c r="BQ677" s="510"/>
      <c r="BR677" s="510"/>
      <c r="BS677" s="510"/>
      <c r="BT677" s="513"/>
      <c r="BU677" s="514"/>
      <c r="BV677" s="512"/>
      <c r="BW677" s="515"/>
    </row>
    <row r="678" spans="2:75" ht="15.75" customHeight="1">
      <c r="B678" s="250" t="s">
        <v>1015</v>
      </c>
      <c r="C678" s="251">
        <v>8912591000185</v>
      </c>
      <c r="D678" s="252" t="s">
        <v>13</v>
      </c>
      <c r="E678" s="252" t="s">
        <v>615</v>
      </c>
      <c r="F678" s="252" t="s">
        <v>619</v>
      </c>
      <c r="G678" s="253" t="s">
        <v>34</v>
      </c>
      <c r="H678" s="253" t="s">
        <v>1337</v>
      </c>
      <c r="I678" s="253" t="s">
        <v>34</v>
      </c>
      <c r="J678" s="253" t="s">
        <v>611</v>
      </c>
      <c r="K678" s="254" t="s">
        <v>48</v>
      </c>
      <c r="L678" s="255"/>
      <c r="M678" s="255" t="s">
        <v>1414</v>
      </c>
      <c r="N678" s="254">
        <v>191663</v>
      </c>
      <c r="O678" s="254" t="s">
        <v>1321</v>
      </c>
      <c r="P678" s="258">
        <v>39295</v>
      </c>
      <c r="Q678" s="259">
        <v>131757957.26000001</v>
      </c>
      <c r="R678" s="259">
        <v>154511866.11880958</v>
      </c>
      <c r="S678" s="254">
        <v>16</v>
      </c>
      <c r="T678" s="256">
        <v>9.1252080966770954E-2</v>
      </c>
      <c r="U678" s="256">
        <v>1.1796334613634458</v>
      </c>
      <c r="V678" s="256">
        <v>0.11329642169628196</v>
      </c>
      <c r="W678" s="256">
        <v>1.1106837658673643</v>
      </c>
      <c r="X678" s="256">
        <v>0.12046859122314624</v>
      </c>
      <c r="Y678" s="256">
        <v>0.91353521163564511</v>
      </c>
      <c r="Z678" s="256">
        <v>0.21138509092811453</v>
      </c>
      <c r="AA678" s="256">
        <v>1.2015813854007336</v>
      </c>
      <c r="AB678" s="256">
        <v>1.3411062146122445E-2</v>
      </c>
      <c r="AC678" s="260">
        <v>0.7669554758301601</v>
      </c>
      <c r="AD678" s="405">
        <v>10756521000127</v>
      </c>
      <c r="AE678" s="257" t="s">
        <v>2288</v>
      </c>
      <c r="AF678" s="257" t="s">
        <v>2118</v>
      </c>
      <c r="AG678" s="261" t="s">
        <v>1433</v>
      </c>
      <c r="AH678" s="261" t="s">
        <v>2113</v>
      </c>
      <c r="AI678" s="261">
        <v>100000</v>
      </c>
      <c r="AJ678" s="261">
        <v>50000</v>
      </c>
      <c r="AK678" s="261">
        <v>100000</v>
      </c>
      <c r="AL678" s="256">
        <v>1.8500000000000003E-2</v>
      </c>
      <c r="AM678" s="256">
        <v>0.2</v>
      </c>
      <c r="AN678" s="256" t="s">
        <v>64</v>
      </c>
      <c r="AO678" s="254" t="s">
        <v>1324</v>
      </c>
      <c r="AP678" s="257" t="s">
        <v>13</v>
      </c>
      <c r="AQ678" s="263" t="s">
        <v>668</v>
      </c>
      <c r="AR678" s="256">
        <v>2.4666666666666665E-3</v>
      </c>
      <c r="AS678" s="256">
        <v>2.4666666666666665E-3</v>
      </c>
      <c r="AT678" s="256"/>
      <c r="AX678" s="508"/>
      <c r="AY678" s="509"/>
      <c r="AZ678" s="509"/>
      <c r="BA678" s="509"/>
      <c r="BB678" s="510"/>
      <c r="BC678" s="509"/>
      <c r="BD678" s="509"/>
      <c r="BE678" s="509"/>
      <c r="BF678" s="509"/>
      <c r="BG678" s="510"/>
      <c r="BH678" s="510"/>
      <c r="BI678" s="511"/>
      <c r="BJ678" s="511"/>
      <c r="BK678" s="511"/>
      <c r="BL678" s="510"/>
      <c r="BM678" s="510"/>
      <c r="BN678" s="510"/>
      <c r="BO678" s="510"/>
      <c r="BP678" s="510"/>
      <c r="BQ678" s="510"/>
      <c r="BR678" s="510"/>
      <c r="BS678" s="510"/>
      <c r="BT678" s="513"/>
      <c r="BU678" s="514"/>
      <c r="BV678" s="512"/>
      <c r="BW678" s="515"/>
    </row>
    <row r="679" spans="2:75" ht="15.75" customHeight="1">
      <c r="B679" s="250" t="s">
        <v>248</v>
      </c>
      <c r="C679" s="251">
        <v>30005655000113</v>
      </c>
      <c r="D679" s="252" t="s">
        <v>13</v>
      </c>
      <c r="E679" s="252" t="s">
        <v>615</v>
      </c>
      <c r="F679" s="252" t="s">
        <v>619</v>
      </c>
      <c r="G679" s="253" t="s">
        <v>34</v>
      </c>
      <c r="H679" s="253" t="s">
        <v>1337</v>
      </c>
      <c r="I679" s="253" t="s">
        <v>34</v>
      </c>
      <c r="J679" s="253" t="s">
        <v>611</v>
      </c>
      <c r="K679" s="254" t="s">
        <v>48</v>
      </c>
      <c r="L679" s="255"/>
      <c r="M679" s="255" t="s">
        <v>1414</v>
      </c>
      <c r="N679" s="254">
        <v>471941</v>
      </c>
      <c r="O679" s="254" t="s">
        <v>1321</v>
      </c>
      <c r="P679" s="258">
        <v>43318</v>
      </c>
      <c r="Q679" s="259">
        <v>41711271.340000004</v>
      </c>
      <c r="R679" s="259">
        <v>55641808.347023815</v>
      </c>
      <c r="S679" s="254">
        <v>16</v>
      </c>
      <c r="T679" s="256">
        <v>9.0994066105640536E-2</v>
      </c>
      <c r="U679" s="256">
        <v>1.1762980528939193</v>
      </c>
      <c r="V679" s="256">
        <v>0.11303419423821826</v>
      </c>
      <c r="W679" s="256">
        <v>1.1081130599591338</v>
      </c>
      <c r="X679" s="256">
        <v>0.12019297272363327</v>
      </c>
      <c r="Y679" s="256">
        <v>0.9114451464848301</v>
      </c>
      <c r="Z679" s="256">
        <v>0.21021852238906802</v>
      </c>
      <c r="AA679" s="256">
        <v>1.1949502316369656</v>
      </c>
      <c r="AB679" s="256">
        <v>1.3275293001467977E-2</v>
      </c>
      <c r="AC679" s="260">
        <v>0.75691096729291907</v>
      </c>
      <c r="AD679" s="405">
        <v>10756521000127</v>
      </c>
      <c r="AE679" s="257" t="s">
        <v>2288</v>
      </c>
      <c r="AF679" s="257" t="s">
        <v>2118</v>
      </c>
      <c r="AG679" s="261" t="s">
        <v>1433</v>
      </c>
      <c r="AH679" s="261" t="s">
        <v>2113</v>
      </c>
      <c r="AI679" s="261">
        <v>20000</v>
      </c>
      <c r="AJ679" s="261">
        <v>1000</v>
      </c>
      <c r="AK679" s="261">
        <v>5000</v>
      </c>
      <c r="AL679" s="256">
        <v>1.8500000000000003E-2</v>
      </c>
      <c r="AM679" s="256">
        <v>0.2</v>
      </c>
      <c r="AN679" s="256" t="s">
        <v>64</v>
      </c>
      <c r="AO679" s="254" t="s">
        <v>1324</v>
      </c>
      <c r="AP679" s="257" t="s">
        <v>13</v>
      </c>
      <c r="AQ679" s="263" t="s">
        <v>668</v>
      </c>
      <c r="AR679" s="256">
        <v>2.4666666666666665E-3</v>
      </c>
      <c r="AS679" s="256">
        <v>2.4666666666666665E-3</v>
      </c>
      <c r="AT679" s="256"/>
      <c r="AX679" s="508"/>
      <c r="AY679" s="509"/>
      <c r="AZ679" s="509"/>
      <c r="BA679" s="509"/>
      <c r="BB679" s="510"/>
      <c r="BC679" s="509"/>
      <c r="BD679" s="509"/>
      <c r="BE679" s="509"/>
      <c r="BF679" s="509"/>
      <c r="BG679" s="510"/>
      <c r="BH679" s="510"/>
      <c r="BI679" s="511"/>
      <c r="BJ679" s="511"/>
      <c r="BK679" s="511"/>
      <c r="BL679" s="510"/>
      <c r="BM679" s="510"/>
      <c r="BN679" s="510"/>
      <c r="BO679" s="510"/>
      <c r="BP679" s="510"/>
      <c r="BQ679" s="510"/>
      <c r="BR679" s="510"/>
      <c r="BS679" s="510"/>
      <c r="BT679" s="513"/>
      <c r="BU679" s="514"/>
      <c r="BV679" s="512"/>
      <c r="BW679" s="515"/>
    </row>
    <row r="680" spans="2:75" ht="15.75" customHeight="1">
      <c r="B680" s="250" t="s">
        <v>298</v>
      </c>
      <c r="C680" s="251">
        <v>33159760000103</v>
      </c>
      <c r="D680" s="252" t="s">
        <v>13</v>
      </c>
      <c r="E680" s="252" t="s">
        <v>615</v>
      </c>
      <c r="F680" s="252" t="s">
        <v>619</v>
      </c>
      <c r="G680" s="253" t="s">
        <v>34</v>
      </c>
      <c r="H680" s="253" t="s">
        <v>1337</v>
      </c>
      <c r="I680" s="253" t="s">
        <v>34</v>
      </c>
      <c r="J680" s="253"/>
      <c r="K680" s="254" t="s">
        <v>48</v>
      </c>
      <c r="L680" s="255"/>
      <c r="M680" s="255" t="s">
        <v>1414</v>
      </c>
      <c r="N680" s="254">
        <v>503835</v>
      </c>
      <c r="O680" s="254" t="s">
        <v>1324</v>
      </c>
      <c r="P680" s="258">
        <v>43683</v>
      </c>
      <c r="Q680" s="259">
        <v>49417899.130000003</v>
      </c>
      <c r="R680" s="259">
        <v>74223742.736745939</v>
      </c>
      <c r="S680" s="254">
        <v>16</v>
      </c>
      <c r="T680" s="256">
        <v>6.8780899493667613E-2</v>
      </c>
      <c r="U680" s="256">
        <v>0.88914411250469794</v>
      </c>
      <c r="V680" s="256">
        <v>6.766823657680554E-2</v>
      </c>
      <c r="W680" s="256">
        <v>0.66337498312355403</v>
      </c>
      <c r="X680" s="256">
        <v>0.10567384209425423</v>
      </c>
      <c r="Y680" s="256">
        <v>0.80134394136899467</v>
      </c>
      <c r="Z680" s="256">
        <v>0.19963970599561165</v>
      </c>
      <c r="AA680" s="256">
        <v>1.1348168097284543</v>
      </c>
      <c r="AB680" s="256">
        <v>3.3719503397239121E-2</v>
      </c>
      <c r="AC680" s="260">
        <v>-0.92231924310875435</v>
      </c>
      <c r="AD680" s="405">
        <v>0</v>
      </c>
      <c r="AE680" s="257" t="s">
        <v>2312</v>
      </c>
      <c r="AF680" s="257" t="s">
        <v>2109</v>
      </c>
      <c r="AG680" s="261" t="s">
        <v>1432</v>
      </c>
      <c r="AH680" s="261" t="s">
        <v>2110</v>
      </c>
      <c r="AI680" s="261">
        <v>25000</v>
      </c>
      <c r="AJ680" s="261">
        <v>0</v>
      </c>
      <c r="AK680" s="261">
        <v>0</v>
      </c>
      <c r="AL680" s="256">
        <v>7.4999999999999997E-3</v>
      </c>
      <c r="AM680" s="256" t="s">
        <v>34</v>
      </c>
      <c r="AN680" s="256" t="s">
        <v>34</v>
      </c>
      <c r="AO680" s="254" t="s">
        <v>1324</v>
      </c>
      <c r="AP680" s="257" t="s">
        <v>13</v>
      </c>
      <c r="AQ680" s="263" t="s">
        <v>668</v>
      </c>
      <c r="AR680" s="256">
        <v>2.0000000000000001E-4</v>
      </c>
      <c r="AS680" s="256">
        <v>2.0000000000000001E-4</v>
      </c>
      <c r="AT680" s="256"/>
      <c r="AX680" s="508"/>
      <c r="AY680" s="509"/>
      <c r="AZ680" s="509"/>
      <c r="BA680" s="509"/>
      <c r="BB680" s="510"/>
      <c r="BC680" s="509"/>
      <c r="BD680" s="509"/>
      <c r="BE680" s="509"/>
      <c r="BF680" s="509"/>
      <c r="BG680" s="510"/>
      <c r="BH680" s="510"/>
      <c r="BI680" s="511"/>
      <c r="BJ680" s="511"/>
      <c r="BK680" s="511"/>
      <c r="BL680" s="510"/>
      <c r="BM680" s="510"/>
      <c r="BN680" s="510"/>
      <c r="BO680" s="510"/>
      <c r="BP680" s="510"/>
      <c r="BQ680" s="510"/>
      <c r="BR680" s="510"/>
      <c r="BS680" s="510"/>
      <c r="BT680" s="513"/>
      <c r="BU680" s="514"/>
      <c r="BV680" s="512"/>
      <c r="BW680" s="515"/>
    </row>
    <row r="681" spans="2:75" ht="15.75" customHeight="1">
      <c r="B681" s="250" t="s">
        <v>53</v>
      </c>
      <c r="C681" s="251">
        <v>21646715000196</v>
      </c>
      <c r="D681" s="252" t="s">
        <v>13</v>
      </c>
      <c r="E681" s="252" t="s">
        <v>615</v>
      </c>
      <c r="F681" s="252" t="s">
        <v>619</v>
      </c>
      <c r="G681" s="253" t="s">
        <v>34</v>
      </c>
      <c r="H681" s="253" t="s">
        <v>1338</v>
      </c>
      <c r="I681" s="253" t="s">
        <v>34</v>
      </c>
      <c r="J681" s="253" t="s">
        <v>611</v>
      </c>
      <c r="K681" s="254" t="s">
        <v>48</v>
      </c>
      <c r="L681" s="255"/>
      <c r="M681" s="255" t="s">
        <v>34</v>
      </c>
      <c r="N681" s="254">
        <v>397806</v>
      </c>
      <c r="O681" s="254" t="s">
        <v>1321</v>
      </c>
      <c r="P681" s="258">
        <v>42034</v>
      </c>
      <c r="Q681" s="259">
        <v>1074648282.73</v>
      </c>
      <c r="R681" s="259">
        <v>920976490.49785745</v>
      </c>
      <c r="S681" s="254">
        <v>16</v>
      </c>
      <c r="T681" s="256">
        <v>0.5027377772770627</v>
      </c>
      <c r="U681" s="256">
        <v>6.4989893719077134</v>
      </c>
      <c r="V681" s="256">
        <v>0.60090064543618693</v>
      </c>
      <c r="W681" s="256">
        <v>5.890835577970388</v>
      </c>
      <c r="X681" s="256">
        <v>0.98950107037215207</v>
      </c>
      <c r="Y681" s="256">
        <v>7.5035663699405992</v>
      </c>
      <c r="Z681" s="256">
        <v>1.9587121699543348</v>
      </c>
      <c r="AA681" s="256">
        <v>11.133954965515407</v>
      </c>
      <c r="AB681" s="256">
        <v>0.25726809318914756</v>
      </c>
      <c r="AC681" s="260">
        <v>1.5815141264980448</v>
      </c>
      <c r="AD681" s="405">
        <v>31301673000105</v>
      </c>
      <c r="AE681" s="257" t="s">
        <v>2435</v>
      </c>
      <c r="AF681" s="257" t="s">
        <v>2109</v>
      </c>
      <c r="AG681" s="261" t="s">
        <v>1432</v>
      </c>
      <c r="AH681" s="261" t="s">
        <v>2110</v>
      </c>
      <c r="AI681" s="261">
        <v>5000</v>
      </c>
      <c r="AJ681" s="261">
        <v>2000</v>
      </c>
      <c r="AK681" s="261">
        <v>2000</v>
      </c>
      <c r="AL681" s="256">
        <v>0.02</v>
      </c>
      <c r="AM681" s="256">
        <v>0.2</v>
      </c>
      <c r="AN681" s="256" t="s">
        <v>64</v>
      </c>
      <c r="AO681" s="254" t="s">
        <v>1324</v>
      </c>
      <c r="AP681" s="257" t="s">
        <v>13</v>
      </c>
      <c r="AQ681" s="263" t="s">
        <v>668</v>
      </c>
      <c r="AR681" s="256">
        <v>5.3333333333333332E-3</v>
      </c>
      <c r="AS681" s="256">
        <v>5.3333333333333332E-3</v>
      </c>
      <c r="AT681" s="256"/>
      <c r="AX681" s="508"/>
      <c r="AY681" s="509"/>
      <c r="AZ681" s="509"/>
      <c r="BA681" s="509"/>
      <c r="BB681" s="510"/>
      <c r="BC681" s="509"/>
      <c r="BD681" s="509"/>
      <c r="BE681" s="509"/>
      <c r="BF681" s="509"/>
      <c r="BG681" s="510"/>
      <c r="BH681" s="510"/>
      <c r="BI681" s="511"/>
      <c r="BJ681" s="511"/>
      <c r="BK681" s="511"/>
      <c r="BL681" s="510"/>
      <c r="BM681" s="510"/>
      <c r="BN681" s="510"/>
      <c r="BO681" s="510"/>
      <c r="BP681" s="510"/>
      <c r="BQ681" s="510"/>
      <c r="BR681" s="510"/>
      <c r="BS681" s="510"/>
      <c r="BT681" s="513"/>
      <c r="BU681" s="514"/>
      <c r="BV681" s="512"/>
      <c r="BW681" s="515"/>
    </row>
    <row r="682" spans="2:75" ht="15.75" customHeight="1">
      <c r="B682" s="250" t="s">
        <v>190</v>
      </c>
      <c r="C682" s="251">
        <v>34626199000180</v>
      </c>
      <c r="D682" s="252" t="s">
        <v>13</v>
      </c>
      <c r="E682" s="252" t="s">
        <v>616</v>
      </c>
      <c r="F682" s="252" t="s">
        <v>610</v>
      </c>
      <c r="G682" s="253" t="s">
        <v>34</v>
      </c>
      <c r="H682" s="253" t="s">
        <v>1337</v>
      </c>
      <c r="I682" s="253" t="s">
        <v>34</v>
      </c>
      <c r="J682" s="253"/>
      <c r="K682" s="254" t="s">
        <v>48</v>
      </c>
      <c r="L682" s="255"/>
      <c r="M682" s="255" t="s">
        <v>34</v>
      </c>
      <c r="N682" s="254">
        <v>511943</v>
      </c>
      <c r="O682" s="254" t="s">
        <v>1321</v>
      </c>
      <c r="P682" s="258">
        <v>43760</v>
      </c>
      <c r="Q682" s="259">
        <v>115146782.47</v>
      </c>
      <c r="R682" s="259">
        <v>117897331.65579373</v>
      </c>
      <c r="S682" s="254">
        <v>16</v>
      </c>
      <c r="T682" s="256">
        <v>4.5518564243515192E-2</v>
      </c>
      <c r="U682" s="256">
        <v>0.58842736435156018</v>
      </c>
      <c r="V682" s="256">
        <v>7.2555001898055638E-2</v>
      </c>
      <c r="W682" s="256">
        <v>0.71128162332147848</v>
      </c>
      <c r="X682" s="256">
        <v>0.1728064296884444</v>
      </c>
      <c r="Y682" s="256">
        <v>1.3104225484385172</v>
      </c>
      <c r="Z682" s="256" t="s">
        <v>1417</v>
      </c>
      <c r="AA682" s="256" t="s">
        <v>1417</v>
      </c>
      <c r="AB682" s="256">
        <v>4.7208008283834493E-2</v>
      </c>
      <c r="AC682" s="260">
        <v>-0.55053448251539705</v>
      </c>
      <c r="AD682" s="405">
        <v>34626178000164</v>
      </c>
      <c r="AE682" s="257" t="s">
        <v>2231</v>
      </c>
      <c r="AF682" s="257" t="s">
        <v>2115</v>
      </c>
      <c r="AG682" s="261" t="s">
        <v>719</v>
      </c>
      <c r="AH682" s="261" t="s">
        <v>2113</v>
      </c>
      <c r="AI682" s="261">
        <v>20000</v>
      </c>
      <c r="AJ682" s="261">
        <v>5000</v>
      </c>
      <c r="AK682" s="261">
        <v>5000</v>
      </c>
      <c r="AL682" s="256">
        <v>1.985E-2</v>
      </c>
      <c r="AM682" s="256">
        <v>0.2</v>
      </c>
      <c r="AN682" s="256" t="s">
        <v>64</v>
      </c>
      <c r="AO682" s="254" t="s">
        <v>1324</v>
      </c>
      <c r="AP682" s="257" t="s">
        <v>13</v>
      </c>
      <c r="AQ682" s="263" t="s">
        <v>668</v>
      </c>
      <c r="AR682" s="256">
        <v>5.306666666666667E-3</v>
      </c>
      <c r="AS682" s="256">
        <v>5.306666666666667E-3</v>
      </c>
      <c r="AT682" s="256"/>
      <c r="AX682" s="508"/>
      <c r="AY682" s="509"/>
      <c r="AZ682" s="509"/>
      <c r="BA682" s="509"/>
      <c r="BB682" s="510"/>
      <c r="BC682" s="509"/>
      <c r="BD682" s="509"/>
      <c r="BE682" s="509"/>
      <c r="BF682" s="509"/>
      <c r="BG682" s="510"/>
      <c r="BH682" s="510"/>
      <c r="BI682" s="511"/>
      <c r="BJ682" s="511"/>
      <c r="BK682" s="511"/>
      <c r="BL682" s="510"/>
      <c r="BM682" s="510"/>
      <c r="BN682" s="510"/>
      <c r="BO682" s="510"/>
      <c r="BP682" s="510"/>
      <c r="BQ682" s="510"/>
      <c r="BR682" s="510"/>
      <c r="BS682" s="510"/>
      <c r="BT682" s="513"/>
      <c r="BU682" s="514"/>
      <c r="BV682" s="512"/>
      <c r="BW682" s="515"/>
    </row>
    <row r="683" spans="2:75" ht="15.75" customHeight="1">
      <c r="B683" s="250" t="s">
        <v>227</v>
      </c>
      <c r="C683" s="251">
        <v>29319740000177</v>
      </c>
      <c r="D683" s="252" t="s">
        <v>13</v>
      </c>
      <c r="E683" s="252" t="s">
        <v>616</v>
      </c>
      <c r="F683" s="252" t="s">
        <v>610</v>
      </c>
      <c r="G683" s="253" t="s">
        <v>34</v>
      </c>
      <c r="H683" s="253" t="s">
        <v>1337</v>
      </c>
      <c r="I683" s="253" t="s">
        <v>34</v>
      </c>
      <c r="J683" s="253"/>
      <c r="K683" s="254" t="s">
        <v>48</v>
      </c>
      <c r="L683" s="255"/>
      <c r="M683" s="255" t="s">
        <v>34</v>
      </c>
      <c r="N683" s="254">
        <v>475467</v>
      </c>
      <c r="O683" s="254" t="s">
        <v>1324</v>
      </c>
      <c r="P683" s="258">
        <v>43348</v>
      </c>
      <c r="Q683" s="259">
        <v>4336395.29</v>
      </c>
      <c r="R683" s="259">
        <v>5715584.0055555543</v>
      </c>
      <c r="S683" s="254">
        <v>16</v>
      </c>
      <c r="T683" s="256">
        <v>3.5159892455188135E-2</v>
      </c>
      <c r="U683" s="256">
        <v>0.45451879232412579</v>
      </c>
      <c r="V683" s="256">
        <v>7.4344842966207914E-2</v>
      </c>
      <c r="W683" s="256">
        <v>0.72882805054411925</v>
      </c>
      <c r="X683" s="256">
        <v>3.2217895901203164E-2</v>
      </c>
      <c r="Y683" s="256">
        <v>0.24431415733950959</v>
      </c>
      <c r="Z683" s="256">
        <v>0.10997860328975007</v>
      </c>
      <c r="AA683" s="256">
        <v>0.62515403487124377</v>
      </c>
      <c r="AB683" s="256">
        <v>3.4611901482732049E-2</v>
      </c>
      <c r="AC683" s="260">
        <v>-0.71751983878921655</v>
      </c>
      <c r="AD683" s="405">
        <v>0</v>
      </c>
      <c r="AE683" s="257" t="s">
        <v>2286</v>
      </c>
      <c r="AF683" s="257" t="s">
        <v>2227</v>
      </c>
      <c r="AG683" s="261" t="s">
        <v>1434</v>
      </c>
      <c r="AH683" s="261" t="s">
        <v>2113</v>
      </c>
      <c r="AI683" s="261">
        <v>1000</v>
      </c>
      <c r="AJ683" s="261">
        <v>1000</v>
      </c>
      <c r="AK683" s="261">
        <v>1000</v>
      </c>
      <c r="AL683" s="256">
        <v>0.02</v>
      </c>
      <c r="AM683" s="256">
        <v>0.2</v>
      </c>
      <c r="AN683" s="256" t="s">
        <v>64</v>
      </c>
      <c r="AO683" s="254" t="s">
        <v>1324</v>
      </c>
      <c r="AP683" s="257" t="s">
        <v>13</v>
      </c>
      <c r="AQ683" s="263" t="s">
        <v>668</v>
      </c>
      <c r="AR683" s="256">
        <v>4.0000000000000001E-3</v>
      </c>
      <c r="AS683" s="256">
        <v>4.0000000000000001E-3</v>
      </c>
      <c r="AT683" s="256"/>
      <c r="AX683" s="508"/>
      <c r="AY683" s="509"/>
      <c r="AZ683" s="509"/>
      <c r="BA683" s="509"/>
      <c r="BB683" s="510"/>
      <c r="BC683" s="509"/>
      <c r="BD683" s="509"/>
      <c r="BE683" s="509"/>
      <c r="BF683" s="509"/>
      <c r="BG683" s="510"/>
      <c r="BH683" s="510"/>
      <c r="BI683" s="511"/>
      <c r="BJ683" s="511"/>
      <c r="BK683" s="511"/>
      <c r="BL683" s="510"/>
      <c r="BM683" s="510"/>
      <c r="BN683" s="510"/>
      <c r="BO683" s="510"/>
      <c r="BP683" s="510"/>
      <c r="BQ683" s="510"/>
      <c r="BR683" s="510"/>
      <c r="BS683" s="510"/>
      <c r="BT683" s="513"/>
      <c r="BU683" s="514"/>
      <c r="BV683" s="512"/>
      <c r="BW683" s="515"/>
    </row>
    <row r="684" spans="2:75" ht="15.75" customHeight="1">
      <c r="B684" s="250" t="s">
        <v>1158</v>
      </c>
      <c r="C684" s="251">
        <v>22407091000117</v>
      </c>
      <c r="D684" s="252" t="s">
        <v>13</v>
      </c>
      <c r="E684" s="252" t="s">
        <v>616</v>
      </c>
      <c r="F684" s="252" t="s">
        <v>610</v>
      </c>
      <c r="G684" s="253" t="s">
        <v>34</v>
      </c>
      <c r="H684" s="253" t="s">
        <v>1338</v>
      </c>
      <c r="I684" s="253" t="s">
        <v>34</v>
      </c>
      <c r="J684" s="253"/>
      <c r="K684" s="254" t="s">
        <v>48</v>
      </c>
      <c r="L684" s="255"/>
      <c r="M684" s="255" t="s">
        <v>34</v>
      </c>
      <c r="N684" s="254">
        <v>402362</v>
      </c>
      <c r="O684" s="254" t="s">
        <v>1321</v>
      </c>
      <c r="P684" s="258">
        <v>42233</v>
      </c>
      <c r="Q684" s="259">
        <v>11638229.119999999</v>
      </c>
      <c r="R684" s="259">
        <v>10882825.929047614</v>
      </c>
      <c r="S684" s="254">
        <v>16</v>
      </c>
      <c r="T684" s="256">
        <v>8.7060062561785667E-3</v>
      </c>
      <c r="U684" s="256">
        <v>0.11254424212383139</v>
      </c>
      <c r="V684" s="256">
        <v>6.8700722106208811E-2</v>
      </c>
      <c r="W684" s="256">
        <v>0.67349679367001025</v>
      </c>
      <c r="X684" s="256">
        <v>7.4587135860027409E-2</v>
      </c>
      <c r="Y684" s="256">
        <v>0.56560780076670358</v>
      </c>
      <c r="Z684" s="256">
        <v>0.11684012670218502</v>
      </c>
      <c r="AA684" s="256">
        <v>0.66415715837287681</v>
      </c>
      <c r="AB684" s="256">
        <v>7.365135233533289E-2</v>
      </c>
      <c r="AC684" s="260">
        <v>-0.38021369199275351</v>
      </c>
      <c r="AD684" s="405">
        <v>22407108000136</v>
      </c>
      <c r="AE684" s="257" t="s">
        <v>2378</v>
      </c>
      <c r="AF684" s="257" t="s">
        <v>2115</v>
      </c>
      <c r="AG684" s="261" t="s">
        <v>719</v>
      </c>
      <c r="AH684" s="261" t="s">
        <v>2113</v>
      </c>
      <c r="AI684" s="261">
        <v>100</v>
      </c>
      <c r="AJ684" s="261">
        <v>100</v>
      </c>
      <c r="AK684" s="261">
        <v>100</v>
      </c>
      <c r="AL684" s="256">
        <v>1.4999999999999999E-2</v>
      </c>
      <c r="AM684" s="256">
        <v>0.2</v>
      </c>
      <c r="AN684" s="256" t="s">
        <v>64</v>
      </c>
      <c r="AO684" s="254" t="s">
        <v>1324</v>
      </c>
      <c r="AP684" s="257" t="s">
        <v>13</v>
      </c>
      <c r="AQ684" s="263" t="s">
        <v>668</v>
      </c>
      <c r="AR684" s="256">
        <v>4.0000000000000001E-3</v>
      </c>
      <c r="AS684" s="256">
        <v>4.0000000000000001E-3</v>
      </c>
      <c r="AT684" s="256"/>
      <c r="AX684" s="508"/>
      <c r="AY684" s="509"/>
      <c r="AZ684" s="509"/>
      <c r="BA684" s="509"/>
      <c r="BB684" s="510"/>
      <c r="BC684" s="509"/>
      <c r="BD684" s="509"/>
      <c r="BE684" s="509"/>
      <c r="BF684" s="509"/>
      <c r="BG684" s="510"/>
      <c r="BH684" s="510"/>
      <c r="BI684" s="511"/>
      <c r="BJ684" s="511"/>
      <c r="BK684" s="511"/>
      <c r="BL684" s="510"/>
      <c r="BM684" s="510"/>
      <c r="BN684" s="510"/>
      <c r="BO684" s="510"/>
      <c r="BP684" s="510"/>
      <c r="BQ684" s="510"/>
      <c r="BR684" s="510"/>
      <c r="BS684" s="510"/>
      <c r="BT684" s="513"/>
      <c r="BU684" s="514"/>
      <c r="BV684" s="512"/>
      <c r="BW684" s="515"/>
    </row>
    <row r="685" spans="2:75" ht="15.75" customHeight="1">
      <c r="B685" s="250" t="s">
        <v>121</v>
      </c>
      <c r="C685" s="251">
        <v>36499625000197</v>
      </c>
      <c r="D685" s="252" t="s">
        <v>14</v>
      </c>
      <c r="E685" s="252" t="s">
        <v>614</v>
      </c>
      <c r="F685" s="252"/>
      <c r="G685" s="253"/>
      <c r="H685" s="253" t="s">
        <v>865</v>
      </c>
      <c r="I685" s="253" t="s">
        <v>34</v>
      </c>
      <c r="J685" s="253" t="s">
        <v>608</v>
      </c>
      <c r="K685" s="254" t="s">
        <v>48</v>
      </c>
      <c r="L685" s="255"/>
      <c r="M685" s="255" t="s">
        <v>34</v>
      </c>
      <c r="N685" s="254">
        <v>542520</v>
      </c>
      <c r="O685" s="254" t="s">
        <v>1321</v>
      </c>
      <c r="P685" s="258">
        <v>43980</v>
      </c>
      <c r="Q685" s="259">
        <v>50710557.100000001</v>
      </c>
      <c r="R685" s="259">
        <v>22019486.563769832</v>
      </c>
      <c r="S685" s="254">
        <v>16</v>
      </c>
      <c r="T685" s="256">
        <v>3.1431115153792266E-2</v>
      </c>
      <c r="U685" s="256">
        <v>0.40631616036112667</v>
      </c>
      <c r="V685" s="256">
        <v>2.0729417403154038E-2</v>
      </c>
      <c r="W685" s="256">
        <v>0.20321760423548468</v>
      </c>
      <c r="X685" s="256">
        <v>0.30621714190303972</v>
      </c>
      <c r="Y685" s="256">
        <v>2.322100214625137</v>
      </c>
      <c r="Z685" s="256" t="s">
        <v>1417</v>
      </c>
      <c r="AA685" s="256" t="s">
        <v>1417</v>
      </c>
      <c r="AB685" s="256">
        <v>0.11350497269391063</v>
      </c>
      <c r="AC685" s="260">
        <v>-0.61852350017640301</v>
      </c>
      <c r="AD685" s="405">
        <v>0</v>
      </c>
      <c r="AE685" s="257" t="s">
        <v>2168</v>
      </c>
      <c r="AF685" s="257" t="s">
        <v>2109</v>
      </c>
      <c r="AG685" s="261" t="s">
        <v>1432</v>
      </c>
      <c r="AH685" s="261" t="s">
        <v>2113</v>
      </c>
      <c r="AI685" s="261">
        <v>500</v>
      </c>
      <c r="AJ685" s="261">
        <v>100</v>
      </c>
      <c r="AK685" s="261">
        <v>500</v>
      </c>
      <c r="AL685" s="256">
        <v>0.02</v>
      </c>
      <c r="AM685" s="256">
        <v>0.2</v>
      </c>
      <c r="AN685" s="256" t="s">
        <v>34</v>
      </c>
      <c r="AO685" s="254" t="s">
        <v>1324</v>
      </c>
      <c r="AP685" s="257" t="s">
        <v>13</v>
      </c>
      <c r="AQ685" s="263" t="s">
        <v>668</v>
      </c>
      <c r="AR685" s="256">
        <v>4.0000000000000001E-3</v>
      </c>
      <c r="AS685" s="256">
        <v>4.0000000000000001E-3</v>
      </c>
      <c r="AT685" s="256"/>
      <c r="AW685" s="508"/>
      <c r="AX685" s="508"/>
      <c r="AY685" s="509"/>
      <c r="AZ685" s="509"/>
      <c r="BA685" s="509"/>
      <c r="BB685" s="509"/>
      <c r="BC685" s="509"/>
      <c r="BD685" s="509"/>
      <c r="BE685" s="509"/>
      <c r="BF685" s="509"/>
      <c r="BG685" s="510"/>
      <c r="BH685" s="510"/>
      <c r="BI685" s="511"/>
      <c r="BJ685" s="511"/>
      <c r="BK685" s="511"/>
      <c r="BL685" s="195"/>
      <c r="BM685" s="510"/>
      <c r="BN685" s="510"/>
      <c r="BO685" s="510"/>
      <c r="BP685" s="510"/>
      <c r="BQ685" s="510"/>
      <c r="BR685" s="510"/>
      <c r="BS685" s="510"/>
      <c r="BT685" s="510"/>
      <c r="BU685" s="510"/>
      <c r="BV685" s="512"/>
      <c r="BW685" s="509"/>
    </row>
    <row r="686" spans="2:75" ht="15.75" customHeight="1">
      <c r="B686" s="250" t="s">
        <v>792</v>
      </c>
      <c r="C686" s="251">
        <v>37569846000157</v>
      </c>
      <c r="D686" s="252" t="s">
        <v>14</v>
      </c>
      <c r="E686" s="252" t="s">
        <v>607</v>
      </c>
      <c r="F686" s="252"/>
      <c r="G686" s="253"/>
      <c r="H686" s="253" t="s">
        <v>34</v>
      </c>
      <c r="I686" s="253" t="s">
        <v>34</v>
      </c>
      <c r="J686" s="253" t="s">
        <v>608</v>
      </c>
      <c r="K686" s="254" t="s">
        <v>48</v>
      </c>
      <c r="L686" s="255"/>
      <c r="M686" s="255" t="s">
        <v>34</v>
      </c>
      <c r="N686" s="254">
        <v>546534</v>
      </c>
      <c r="O686" s="254" t="s">
        <v>1321</v>
      </c>
      <c r="P686" s="258">
        <v>44041</v>
      </c>
      <c r="Q686" s="259">
        <v>28195190.32</v>
      </c>
      <c r="R686" s="259">
        <v>26850515.968214277</v>
      </c>
      <c r="S686" s="254">
        <v>16</v>
      </c>
      <c r="T686" s="256">
        <v>-1.1751756763609733E-2</v>
      </c>
      <c r="U686" s="256">
        <v>-0.15191725340714476</v>
      </c>
      <c r="V686" s="256">
        <v>-9.0262205558190645E-2</v>
      </c>
      <c r="W686" s="256">
        <v>-0.88487142739262103</v>
      </c>
      <c r="X686" s="256">
        <v>0.17502668778363506</v>
      </c>
      <c r="Y686" s="256">
        <v>1.3272591689076545</v>
      </c>
      <c r="Z686" s="256" t="s">
        <v>1417</v>
      </c>
      <c r="AA686" s="256" t="s">
        <v>1417</v>
      </c>
      <c r="AB686" s="256">
        <v>0.19273874032907645</v>
      </c>
      <c r="AC686" s="260">
        <v>-0.89841620167134506</v>
      </c>
      <c r="AD686" s="405">
        <v>0</v>
      </c>
      <c r="AE686" s="257" t="s">
        <v>2168</v>
      </c>
      <c r="AF686" s="257" t="s">
        <v>2115</v>
      </c>
      <c r="AG686" s="261" t="s">
        <v>719</v>
      </c>
      <c r="AH686" s="261" t="s">
        <v>2113</v>
      </c>
      <c r="AI686" s="261">
        <v>500</v>
      </c>
      <c r="AJ686" s="261">
        <v>100</v>
      </c>
      <c r="AK686" s="261">
        <v>500</v>
      </c>
      <c r="AL686" s="256">
        <v>0.02</v>
      </c>
      <c r="AM686" s="256">
        <v>0.2</v>
      </c>
      <c r="AN686" s="256" t="s">
        <v>666</v>
      </c>
      <c r="AO686" s="254" t="s">
        <v>1324</v>
      </c>
      <c r="AP686" s="257" t="s">
        <v>716</v>
      </c>
      <c r="AQ686" s="263" t="s">
        <v>659</v>
      </c>
      <c r="AR686" s="256">
        <v>4.0000000000000001E-3</v>
      </c>
      <c r="AS686" s="256">
        <v>4.0000000000000001E-3</v>
      </c>
      <c r="AT686" s="256"/>
      <c r="AW686" s="508"/>
      <c r="AX686" s="508"/>
      <c r="AY686" s="509"/>
      <c r="AZ686" s="509"/>
      <c r="BA686" s="509"/>
      <c r="BB686" s="509"/>
      <c r="BC686" s="509"/>
      <c r="BD686" s="509"/>
      <c r="BE686" s="509"/>
      <c r="BF686" s="509"/>
      <c r="BG686" s="510"/>
      <c r="BH686" s="510"/>
      <c r="BI686" s="511"/>
      <c r="BJ686" s="511"/>
      <c r="BK686" s="511"/>
      <c r="BL686" s="195"/>
      <c r="BM686" s="510"/>
      <c r="BN686" s="510"/>
      <c r="BO686" s="510"/>
      <c r="BP686" s="510"/>
      <c r="BQ686" s="510"/>
      <c r="BR686" s="510"/>
      <c r="BS686" s="510"/>
      <c r="BT686" s="510"/>
      <c r="BU686" s="510"/>
      <c r="BV686" s="512"/>
      <c r="BW686" s="509"/>
    </row>
    <row r="687" spans="2:75" ht="15.75" customHeight="1">
      <c r="B687" s="250" t="s">
        <v>816</v>
      </c>
      <c r="C687" s="251">
        <v>34054884000189</v>
      </c>
      <c r="D687" s="252" t="s">
        <v>14</v>
      </c>
      <c r="E687" s="252" t="s">
        <v>607</v>
      </c>
      <c r="F687" s="252"/>
      <c r="G687" s="253"/>
      <c r="H687" s="253" t="s">
        <v>34</v>
      </c>
      <c r="I687" s="253" t="s">
        <v>34</v>
      </c>
      <c r="J687" s="253" t="s">
        <v>608</v>
      </c>
      <c r="K687" s="254" t="s">
        <v>48</v>
      </c>
      <c r="L687" s="255"/>
      <c r="M687" s="255" t="s">
        <v>34</v>
      </c>
      <c r="N687" s="254">
        <v>509541</v>
      </c>
      <c r="O687" s="254" t="s">
        <v>1324</v>
      </c>
      <c r="P687" s="258">
        <v>43738</v>
      </c>
      <c r="Q687" s="259">
        <v>10818942.859999999</v>
      </c>
      <c r="R687" s="259">
        <v>11580021.736230163</v>
      </c>
      <c r="S687" s="254">
        <v>16</v>
      </c>
      <c r="T687" s="256">
        <v>-2.4143095420387173E-2</v>
      </c>
      <c r="U687" s="256">
        <v>-0.31210250678173734</v>
      </c>
      <c r="V687" s="256">
        <v>-0.1690852838604584</v>
      </c>
      <c r="W687" s="256">
        <v>-1.6576011582636705</v>
      </c>
      <c r="X687" s="256">
        <v>-4.6680865244917658E-2</v>
      </c>
      <c r="Y687" s="256">
        <v>-0.35398948122386076</v>
      </c>
      <c r="Z687" s="256" t="s">
        <v>1417</v>
      </c>
      <c r="AA687" s="256" t="s">
        <v>1417</v>
      </c>
      <c r="AB687" s="256">
        <v>0.24839249447659523</v>
      </c>
      <c r="AC687" s="260">
        <v>-1.0125172074723769</v>
      </c>
      <c r="AD687" s="405">
        <v>34791820000160</v>
      </c>
      <c r="AE687" s="257" t="s">
        <v>2179</v>
      </c>
      <c r="AF687" s="257" t="s">
        <v>2115</v>
      </c>
      <c r="AG687" s="261" t="s">
        <v>719</v>
      </c>
      <c r="AH687" s="261" t="s">
        <v>2113</v>
      </c>
      <c r="AI687" s="261">
        <v>1000</v>
      </c>
      <c r="AJ687" s="261">
        <v>500</v>
      </c>
      <c r="AK687" s="261">
        <v>500</v>
      </c>
      <c r="AL687" s="256">
        <v>1.4999999999999999E-2</v>
      </c>
      <c r="AM687" s="256">
        <v>0.2</v>
      </c>
      <c r="AN687" s="256" t="s">
        <v>666</v>
      </c>
      <c r="AO687" s="254" t="s">
        <v>1324</v>
      </c>
      <c r="AP687" s="257" t="s">
        <v>716</v>
      </c>
      <c r="AQ687" s="263" t="s">
        <v>670</v>
      </c>
      <c r="AR687" s="256">
        <v>4.0000000000000001E-3</v>
      </c>
      <c r="AS687" s="256">
        <v>4.0000000000000001E-3</v>
      </c>
      <c r="AT687" s="256"/>
      <c r="AW687" s="508"/>
      <c r="AX687" s="508"/>
      <c r="AY687" s="509"/>
      <c r="AZ687" s="509"/>
      <c r="BA687" s="509"/>
      <c r="BB687" s="509"/>
      <c r="BC687" s="509"/>
      <c r="BD687" s="509"/>
      <c r="BE687" s="509"/>
      <c r="BF687" s="509"/>
      <c r="BG687" s="510"/>
      <c r="BH687" s="510"/>
      <c r="BI687" s="511"/>
      <c r="BJ687" s="511"/>
      <c r="BK687" s="511"/>
      <c r="BL687" s="195"/>
      <c r="BM687" s="510"/>
      <c r="BN687" s="510"/>
      <c r="BO687" s="510"/>
      <c r="BP687" s="510"/>
      <c r="BQ687" s="510"/>
      <c r="BR687" s="510"/>
      <c r="BS687" s="510"/>
      <c r="BT687" s="510"/>
      <c r="BU687" s="510"/>
      <c r="BV687" s="512"/>
      <c r="BW687" s="509"/>
    </row>
    <row r="688" spans="2:75" ht="15.75" customHeight="1">
      <c r="B688" s="250" t="s">
        <v>820</v>
      </c>
      <c r="C688" s="251">
        <v>32158430000122</v>
      </c>
      <c r="D688" s="252" t="s">
        <v>14</v>
      </c>
      <c r="E688" s="252" t="s">
        <v>607</v>
      </c>
      <c r="F688" s="252"/>
      <c r="G688" s="253"/>
      <c r="H688" s="253" t="s">
        <v>34</v>
      </c>
      <c r="I688" s="253" t="s">
        <v>34</v>
      </c>
      <c r="J688" s="253" t="s">
        <v>608</v>
      </c>
      <c r="K688" s="254" t="s">
        <v>48</v>
      </c>
      <c r="L688" s="255"/>
      <c r="M688" s="255" t="s">
        <v>34</v>
      </c>
      <c r="N688" s="254">
        <v>483222</v>
      </c>
      <c r="O688" s="254" t="s">
        <v>1321</v>
      </c>
      <c r="P688" s="258">
        <v>43462</v>
      </c>
      <c r="Q688" s="259">
        <v>12919714.289999999</v>
      </c>
      <c r="R688" s="259">
        <v>12494886.504087303</v>
      </c>
      <c r="S688" s="254">
        <v>16</v>
      </c>
      <c r="T688" s="256">
        <v>0.10329192408785892</v>
      </c>
      <c r="U688" s="256">
        <v>1.3352748633428011</v>
      </c>
      <c r="V688" s="256">
        <v>1.2756468958646794E-2</v>
      </c>
      <c r="W688" s="256">
        <v>0.1250560500502102</v>
      </c>
      <c r="X688" s="256">
        <v>0.16024042010410811</v>
      </c>
      <c r="Y688" s="256">
        <v>1.2151322150122841</v>
      </c>
      <c r="Z688" s="256">
        <v>0.11246285934264977</v>
      </c>
      <c r="AA688" s="256">
        <v>0.63927535164257887</v>
      </c>
      <c r="AB688" s="256">
        <v>0.18057213036714631</v>
      </c>
      <c r="AC688" s="260">
        <v>-0.37770703571076042</v>
      </c>
      <c r="AD688" s="405">
        <v>17284948000119</v>
      </c>
      <c r="AE688" s="257" t="s">
        <v>2179</v>
      </c>
      <c r="AF688" s="257" t="s">
        <v>2115</v>
      </c>
      <c r="AG688" s="261" t="s">
        <v>719</v>
      </c>
      <c r="AH688" s="261" t="s">
        <v>2113</v>
      </c>
      <c r="AI688" s="261">
        <v>100</v>
      </c>
      <c r="AJ688" s="261">
        <v>100</v>
      </c>
      <c r="AK688" s="261">
        <v>100</v>
      </c>
      <c r="AL688" s="256">
        <v>1.4999999999999999E-2</v>
      </c>
      <c r="AM688" s="256">
        <v>0.2</v>
      </c>
      <c r="AN688" s="256" t="s">
        <v>2122</v>
      </c>
      <c r="AO688" s="254" t="s">
        <v>1324</v>
      </c>
      <c r="AP688" s="257" t="s">
        <v>716</v>
      </c>
      <c r="AQ688" s="263" t="s">
        <v>667</v>
      </c>
      <c r="AR688" s="256">
        <v>4.0000000000000001E-3</v>
      </c>
      <c r="AS688" s="256">
        <v>4.0000000000000001E-3</v>
      </c>
      <c r="AT688" s="256"/>
      <c r="AW688" s="508"/>
      <c r="AX688" s="508"/>
      <c r="AY688" s="509"/>
      <c r="AZ688" s="509"/>
      <c r="BA688" s="509"/>
      <c r="BB688" s="509"/>
      <c r="BC688" s="509"/>
      <c r="BD688" s="509"/>
      <c r="BE688" s="509"/>
      <c r="BF688" s="509"/>
      <c r="BG688" s="510"/>
      <c r="BH688" s="510"/>
      <c r="BI688" s="511"/>
      <c r="BJ688" s="511"/>
      <c r="BK688" s="511"/>
      <c r="BL688" s="195"/>
      <c r="BM688" s="510"/>
      <c r="BN688" s="510"/>
      <c r="BO688" s="510"/>
      <c r="BP688" s="510"/>
      <c r="BQ688" s="510"/>
      <c r="BR688" s="510"/>
      <c r="BS688" s="510"/>
      <c r="BT688" s="510"/>
      <c r="BU688" s="510"/>
      <c r="BV688" s="512"/>
      <c r="BW688" s="509"/>
    </row>
    <row r="689" spans="2:75" ht="15.75" customHeight="1">
      <c r="B689" s="250" t="s">
        <v>821</v>
      </c>
      <c r="C689" s="251">
        <v>36521791000142</v>
      </c>
      <c r="D689" s="252" t="s">
        <v>14</v>
      </c>
      <c r="E689" s="252" t="s">
        <v>614</v>
      </c>
      <c r="F689" s="252"/>
      <c r="G689" s="253"/>
      <c r="H689" s="253" t="s">
        <v>865</v>
      </c>
      <c r="I689" s="253" t="s">
        <v>34</v>
      </c>
      <c r="J689" s="253" t="s">
        <v>608</v>
      </c>
      <c r="K689" s="254" t="s">
        <v>48</v>
      </c>
      <c r="L689" s="255"/>
      <c r="M689" s="255" t="s">
        <v>34</v>
      </c>
      <c r="N689" s="254">
        <v>537373</v>
      </c>
      <c r="O689" s="254" t="s">
        <v>1321</v>
      </c>
      <c r="P689" s="258">
        <v>43951</v>
      </c>
      <c r="Q689" s="259">
        <v>12777992.23</v>
      </c>
      <c r="R689" s="259">
        <v>12211261.402063495</v>
      </c>
      <c r="S689" s="254">
        <v>16</v>
      </c>
      <c r="T689" s="256">
        <v>8.4419146479395746E-2</v>
      </c>
      <c r="U689" s="256">
        <v>1.0913027835836455</v>
      </c>
      <c r="V689" s="256">
        <v>-3.8203692186928984E-2</v>
      </c>
      <c r="W689" s="256">
        <v>-0.37452392646579397</v>
      </c>
      <c r="X689" s="256">
        <v>8.754706593084971E-2</v>
      </c>
      <c r="Y689" s="256">
        <v>0.66388530480177244</v>
      </c>
      <c r="Z689" s="256" t="s">
        <v>1417</v>
      </c>
      <c r="AA689" s="256" t="s">
        <v>1417</v>
      </c>
      <c r="AB689" s="256">
        <v>0.16290011659123987</v>
      </c>
      <c r="AC689" s="260">
        <v>-0.75417978778684924</v>
      </c>
      <c r="AD689" s="405">
        <v>20216279000152</v>
      </c>
      <c r="AE689" s="257" t="s">
        <v>2179</v>
      </c>
      <c r="AF689" s="257" t="s">
        <v>2115</v>
      </c>
      <c r="AG689" s="261" t="s">
        <v>719</v>
      </c>
      <c r="AH689" s="261" t="s">
        <v>2110</v>
      </c>
      <c r="AI689" s="261">
        <v>100</v>
      </c>
      <c r="AJ689" s="261">
        <v>100</v>
      </c>
      <c r="AK689" s="261">
        <v>100</v>
      </c>
      <c r="AL689" s="256">
        <v>1.4999999999999999E-2</v>
      </c>
      <c r="AM689" s="256">
        <v>0.2</v>
      </c>
      <c r="AN689" s="256" t="s">
        <v>2141</v>
      </c>
      <c r="AO689" s="254" t="s">
        <v>1324</v>
      </c>
      <c r="AP689" s="257" t="s">
        <v>13</v>
      </c>
      <c r="AQ689" s="263" t="s">
        <v>668</v>
      </c>
      <c r="AR689" s="256">
        <v>4.0000000000000001E-3</v>
      </c>
      <c r="AS689" s="256">
        <v>4.0000000000000001E-3</v>
      </c>
      <c r="AT689" s="256"/>
      <c r="AX689" s="508"/>
      <c r="AY689" s="509"/>
      <c r="AZ689" s="509"/>
      <c r="BA689" s="509"/>
      <c r="BB689" s="510"/>
      <c r="BC689" s="509"/>
      <c r="BD689" s="509"/>
      <c r="BE689" s="509"/>
      <c r="BF689" s="509"/>
      <c r="BG689" s="510"/>
      <c r="BH689" s="510"/>
      <c r="BI689" s="511"/>
      <c r="BJ689" s="511"/>
      <c r="BK689" s="511"/>
      <c r="BL689" s="510"/>
      <c r="BM689" s="510"/>
      <c r="BN689" s="510"/>
      <c r="BO689" s="510"/>
      <c r="BP689" s="510"/>
      <c r="BQ689" s="510"/>
      <c r="BR689" s="510"/>
      <c r="BS689" s="510"/>
      <c r="BT689" s="513"/>
      <c r="BU689" s="514"/>
      <c r="BV689" s="512"/>
      <c r="BW689" s="515"/>
    </row>
    <row r="690" spans="2:75" ht="15.75" customHeight="1">
      <c r="B690" s="250" t="s">
        <v>137</v>
      </c>
      <c r="C690" s="251">
        <v>9577036000107</v>
      </c>
      <c r="D690" s="252" t="s">
        <v>14</v>
      </c>
      <c r="E690" s="252" t="s">
        <v>607</v>
      </c>
      <c r="F690" s="252"/>
      <c r="G690" s="253"/>
      <c r="H690" s="253" t="s">
        <v>34</v>
      </c>
      <c r="I690" s="253" t="s">
        <v>34</v>
      </c>
      <c r="J690" s="253" t="s">
        <v>608</v>
      </c>
      <c r="K690" s="254" t="s">
        <v>48</v>
      </c>
      <c r="L690" s="255"/>
      <c r="M690" s="255" t="s">
        <v>34</v>
      </c>
      <c r="N690" s="254">
        <v>219436</v>
      </c>
      <c r="O690" s="254" t="s">
        <v>1324</v>
      </c>
      <c r="P690" s="258">
        <v>39734</v>
      </c>
      <c r="Q690" s="259">
        <v>318803857.44</v>
      </c>
      <c r="R690" s="259">
        <v>370553783.30297625</v>
      </c>
      <c r="S690" s="254">
        <v>16</v>
      </c>
      <c r="T690" s="256">
        <v>-4.8624711026806988E-2</v>
      </c>
      <c r="U690" s="256">
        <v>-0.62858113008115168</v>
      </c>
      <c r="V690" s="256">
        <v>-0.23452181755450352</v>
      </c>
      <c r="W690" s="256">
        <v>-2.2990979909124798</v>
      </c>
      <c r="X690" s="256">
        <v>-0.13978932617033835</v>
      </c>
      <c r="Y690" s="256">
        <v>-1.0600478545555378</v>
      </c>
      <c r="Z690" s="256">
        <v>-5.7964087937009023E-2</v>
      </c>
      <c r="AA690" s="256">
        <v>-0.32948666711091062</v>
      </c>
      <c r="AB690" s="256">
        <v>0.22975942153915246</v>
      </c>
      <c r="AC690" s="260">
        <v>-1.4707403654173261</v>
      </c>
      <c r="AD690" s="405">
        <v>11176045000138</v>
      </c>
      <c r="AE690" s="257" t="s">
        <v>2180</v>
      </c>
      <c r="AF690" s="257" t="s">
        <v>2118</v>
      </c>
      <c r="AG690" s="261" t="s">
        <v>1433</v>
      </c>
      <c r="AH690" s="261" t="s">
        <v>2110</v>
      </c>
      <c r="AI690" s="261">
        <v>15000</v>
      </c>
      <c r="AJ690" s="261">
        <v>5000</v>
      </c>
      <c r="AK690" s="261">
        <v>15000</v>
      </c>
      <c r="AL690" s="256">
        <v>1.38E-2</v>
      </c>
      <c r="AM690" s="256">
        <v>0.2</v>
      </c>
      <c r="AN690" s="256" t="s">
        <v>2182</v>
      </c>
      <c r="AO690" s="254" t="s">
        <v>1324</v>
      </c>
      <c r="AP690" s="257" t="s">
        <v>716</v>
      </c>
      <c r="AQ690" s="263" t="s">
        <v>659</v>
      </c>
      <c r="AR690" s="256">
        <v>4.1399999999999996E-3</v>
      </c>
      <c r="AS690" s="256">
        <v>4.1399999999999996E-3</v>
      </c>
      <c r="AT690" s="256"/>
      <c r="AX690" s="508"/>
      <c r="AY690" s="509"/>
      <c r="AZ690" s="509"/>
      <c r="BA690" s="509"/>
      <c r="BB690" s="510"/>
      <c r="BC690" s="509"/>
      <c r="BD690" s="509"/>
      <c r="BE690" s="509"/>
      <c r="BF690" s="509"/>
      <c r="BG690" s="510"/>
      <c r="BH690" s="510"/>
      <c r="BI690" s="511"/>
      <c r="BJ690" s="511"/>
      <c r="BK690" s="511"/>
      <c r="BL690" s="510"/>
      <c r="BM690" s="510"/>
      <c r="BN690" s="510"/>
      <c r="BO690" s="510"/>
      <c r="BP690" s="510"/>
      <c r="BQ690" s="510"/>
      <c r="BR690" s="510"/>
      <c r="BS690" s="510"/>
      <c r="BT690" s="513"/>
      <c r="BU690" s="514"/>
      <c r="BV690" s="512"/>
      <c r="BW690" s="515"/>
    </row>
    <row r="691" spans="2:75" ht="15.75" customHeight="1">
      <c r="B691" s="250" t="s">
        <v>390</v>
      </c>
      <c r="C691" s="251">
        <v>11225767000135</v>
      </c>
      <c r="D691" s="252" t="s">
        <v>14</v>
      </c>
      <c r="E691" s="252" t="s">
        <v>607</v>
      </c>
      <c r="F691" s="252"/>
      <c r="G691" s="253"/>
      <c r="H691" s="253" t="s">
        <v>34</v>
      </c>
      <c r="I691" s="253" t="s">
        <v>34</v>
      </c>
      <c r="J691" s="253" t="s">
        <v>608</v>
      </c>
      <c r="K691" s="254" t="s">
        <v>48</v>
      </c>
      <c r="L691" s="255"/>
      <c r="M691" s="255" t="s">
        <v>1414</v>
      </c>
      <c r="N691" s="254">
        <v>238341</v>
      </c>
      <c r="O691" s="254" t="s">
        <v>1321</v>
      </c>
      <c r="P691" s="258">
        <v>40142</v>
      </c>
      <c r="Q691" s="259">
        <v>84823985.459999993</v>
      </c>
      <c r="R691" s="259">
        <v>88423104.155674636</v>
      </c>
      <c r="S691" s="254">
        <v>16</v>
      </c>
      <c r="T691" s="256">
        <v>2.905308648047833E-2</v>
      </c>
      <c r="U691" s="256">
        <v>0.37557491955430777</v>
      </c>
      <c r="V691" s="256">
        <v>-0.19055591928789517</v>
      </c>
      <c r="W691" s="256">
        <v>-1.8680851775739935</v>
      </c>
      <c r="X691" s="256">
        <v>-6.5523243298776457E-2</v>
      </c>
      <c r="Y691" s="256">
        <v>-0.49687465692303073</v>
      </c>
      <c r="Z691" s="256">
        <v>-3.6477880987212496E-2</v>
      </c>
      <c r="AA691" s="256">
        <v>-0.20735210123217002</v>
      </c>
      <c r="AB691" s="256">
        <v>0.27599630058933516</v>
      </c>
      <c r="AC691" s="260">
        <v>-0.98009285335380547</v>
      </c>
      <c r="AD691" s="405">
        <v>11286540000108</v>
      </c>
      <c r="AE691" s="257" t="s">
        <v>2403</v>
      </c>
      <c r="AF691" s="257" t="s">
        <v>2115</v>
      </c>
      <c r="AG691" s="261" t="s">
        <v>719</v>
      </c>
      <c r="AH691" s="261" t="s">
        <v>2113</v>
      </c>
      <c r="AI691" s="261">
        <v>30000</v>
      </c>
      <c r="AJ691" s="261">
        <v>5000</v>
      </c>
      <c r="AK691" s="261">
        <v>30000</v>
      </c>
      <c r="AL691" s="256">
        <v>1.8500000000000003E-2</v>
      </c>
      <c r="AM691" s="256">
        <v>0.2</v>
      </c>
      <c r="AN691" s="256" t="s">
        <v>666</v>
      </c>
      <c r="AO691" s="254" t="s">
        <v>1324</v>
      </c>
      <c r="AP691" s="257" t="s">
        <v>716</v>
      </c>
      <c r="AQ691" s="263" t="s">
        <v>659</v>
      </c>
      <c r="AR691" s="256">
        <v>3.6999999999999993E-3</v>
      </c>
      <c r="AS691" s="256">
        <v>3.6999999999999993E-3</v>
      </c>
      <c r="AT691" s="256"/>
      <c r="AX691" s="508"/>
      <c r="AY691" s="509"/>
      <c r="AZ691" s="509"/>
      <c r="BA691" s="509"/>
      <c r="BB691" s="510"/>
      <c r="BC691" s="509"/>
      <c r="BD691" s="509"/>
      <c r="BE691" s="509"/>
      <c r="BF691" s="509"/>
      <c r="BG691" s="510"/>
      <c r="BH691" s="510"/>
      <c r="BI691" s="511"/>
      <c r="BJ691" s="511"/>
      <c r="BK691" s="511"/>
      <c r="BL691" s="510"/>
      <c r="BM691" s="510"/>
      <c r="BN691" s="510"/>
      <c r="BO691" s="510"/>
      <c r="BP691" s="510"/>
      <c r="BQ691" s="510"/>
      <c r="BR691" s="510"/>
      <c r="BS691" s="510"/>
      <c r="BT691" s="513"/>
      <c r="BU691" s="514"/>
      <c r="BV691" s="512"/>
      <c r="BW691" s="515"/>
    </row>
    <row r="692" spans="2:75" ht="15.75" customHeight="1">
      <c r="B692" s="250" t="s">
        <v>1207</v>
      </c>
      <c r="C692" s="251">
        <v>41744647000105</v>
      </c>
      <c r="D692" s="252" t="s">
        <v>14</v>
      </c>
      <c r="E692" s="252" t="s">
        <v>607</v>
      </c>
      <c r="F692" s="252"/>
      <c r="G692" s="253"/>
      <c r="H692" s="253" t="s">
        <v>34</v>
      </c>
      <c r="I692" s="253" t="s">
        <v>34</v>
      </c>
      <c r="J692" s="253" t="s">
        <v>608</v>
      </c>
      <c r="K692" s="254" t="s">
        <v>48</v>
      </c>
      <c r="L692" s="255"/>
      <c r="M692" s="255" t="s">
        <v>1414</v>
      </c>
      <c r="N692" s="254">
        <v>600504</v>
      </c>
      <c r="O692" s="254" t="s">
        <v>1324</v>
      </c>
      <c r="P692" s="258">
        <v>44385</v>
      </c>
      <c r="Q692" s="259">
        <v>5885597.3399999999</v>
      </c>
      <c r="R692" s="259">
        <v>6341058.8201984111</v>
      </c>
      <c r="S692" s="254">
        <v>16</v>
      </c>
      <c r="T692" s="256">
        <v>2.0889628795797366E-2</v>
      </c>
      <c r="U692" s="256">
        <v>0.27004430870959834</v>
      </c>
      <c r="V692" s="256">
        <v>-1.3979794018037506E-4</v>
      </c>
      <c r="W692" s="256">
        <v>-1.3704872610741511E-3</v>
      </c>
      <c r="X692" s="256" t="s">
        <v>1417</v>
      </c>
      <c r="Y692" s="256" t="s">
        <v>1417</v>
      </c>
      <c r="Z692" s="256" t="s">
        <v>1417</v>
      </c>
      <c r="AA692" s="256" t="s">
        <v>1417</v>
      </c>
      <c r="AB692" s="256">
        <v>0.20205145263395358</v>
      </c>
      <c r="AC692" s="260">
        <v>-0.38081413290044419</v>
      </c>
      <c r="AD692" s="405">
        <v>41673080000123</v>
      </c>
      <c r="AE692" s="257" t="s">
        <v>2405</v>
      </c>
      <c r="AF692" s="257" t="s">
        <v>2109</v>
      </c>
      <c r="AG692" s="261" t="s">
        <v>1432</v>
      </c>
      <c r="AH692" s="261" t="s">
        <v>2113</v>
      </c>
      <c r="AI692" s="261">
        <v>1000</v>
      </c>
      <c r="AJ692" s="261">
        <v>500</v>
      </c>
      <c r="AK692" s="261">
        <v>300</v>
      </c>
      <c r="AL692" s="256">
        <v>9.0000000000000011E-3</v>
      </c>
      <c r="AM692" s="256">
        <v>0.1</v>
      </c>
      <c r="AN692" s="256" t="s">
        <v>34</v>
      </c>
      <c r="AO692" s="254" t="s">
        <v>1324</v>
      </c>
      <c r="AP692" s="257" t="s">
        <v>716</v>
      </c>
      <c r="AQ692" s="263" t="s">
        <v>659</v>
      </c>
      <c r="AR692" s="256">
        <v>1.8E-3</v>
      </c>
      <c r="AS692" s="256">
        <v>1.8E-3</v>
      </c>
      <c r="AT692" s="256"/>
      <c r="AX692" s="508"/>
      <c r="AY692" s="509"/>
      <c r="AZ692" s="509"/>
      <c r="BA692" s="509"/>
      <c r="BB692" s="510"/>
      <c r="BC692" s="509"/>
      <c r="BD692" s="509"/>
      <c r="BE692" s="509"/>
      <c r="BF692" s="509"/>
      <c r="BG692" s="510"/>
      <c r="BH692" s="510"/>
      <c r="BI692" s="511"/>
      <c r="BJ692" s="511"/>
      <c r="BK692" s="511"/>
      <c r="BL692" s="510"/>
      <c r="BM692" s="510"/>
      <c r="BN692" s="510"/>
      <c r="BO692" s="510"/>
      <c r="BP692" s="510"/>
      <c r="BQ692" s="510"/>
      <c r="BR692" s="510"/>
      <c r="BS692" s="510"/>
      <c r="BT692" s="513"/>
      <c r="BU692" s="514"/>
      <c r="BV692" s="512"/>
      <c r="BW692" s="515"/>
    </row>
    <row r="693" spans="2:75" ht="15.75" customHeight="1">
      <c r="B693" s="250" t="s">
        <v>1660</v>
      </c>
      <c r="C693" s="251">
        <v>28651567000147</v>
      </c>
      <c r="D693" s="252" t="s">
        <v>13</v>
      </c>
      <c r="E693" s="252" t="s">
        <v>616</v>
      </c>
      <c r="F693" s="252" t="s">
        <v>617</v>
      </c>
      <c r="G693" s="253" t="s">
        <v>34</v>
      </c>
      <c r="H693" s="253" t="s">
        <v>865</v>
      </c>
      <c r="I693" s="253" t="s">
        <v>34</v>
      </c>
      <c r="J693" s="253" t="s">
        <v>608</v>
      </c>
      <c r="K693" s="254" t="s">
        <v>48</v>
      </c>
      <c r="L693" s="255"/>
      <c r="M693" s="255"/>
      <c r="N693" s="254">
        <v>486574</v>
      </c>
      <c r="O693" s="254" t="s">
        <v>1321</v>
      </c>
      <c r="P693" s="258">
        <v>43479</v>
      </c>
      <c r="Q693" s="259">
        <v>1006661.44</v>
      </c>
      <c r="R693" s="259">
        <v>2583091.3859920627</v>
      </c>
      <c r="S693" s="254">
        <v>17</v>
      </c>
      <c r="T693" s="256">
        <v>0.13005373335977244</v>
      </c>
      <c r="U693" s="256">
        <v>1.4628331460540951</v>
      </c>
      <c r="V693" s="256">
        <v>0.10682446081719665</v>
      </c>
      <c r="W693" s="256">
        <v>0.98040375266269586</v>
      </c>
      <c r="X693" s="256">
        <v>0.20919688725000829</v>
      </c>
      <c r="Y693" s="256">
        <v>1.4710286736851341</v>
      </c>
      <c r="Z693" s="256">
        <v>0.24963324002868492</v>
      </c>
      <c r="AA693" s="256">
        <v>1.364136739003867</v>
      </c>
      <c r="AB693" s="256">
        <v>7.0833192373415385E-2</v>
      </c>
      <c r="AC693" s="260">
        <v>7.7240296547841899E-3</v>
      </c>
      <c r="AD693" s="405">
        <v>25530044000154</v>
      </c>
      <c r="AE693" s="257" t="s">
        <v>2318</v>
      </c>
      <c r="AF693" s="257" t="s">
        <v>2318</v>
      </c>
      <c r="AG693" s="261" t="s">
        <v>1436</v>
      </c>
      <c r="AH693" s="261" t="s">
        <v>2113</v>
      </c>
      <c r="AI693" s="261">
        <v>500</v>
      </c>
      <c r="AJ693" s="261">
        <v>100</v>
      </c>
      <c r="AK693" s="261">
        <v>100</v>
      </c>
      <c r="AL693" s="256">
        <v>0</v>
      </c>
      <c r="AM693" s="256" t="s">
        <v>34</v>
      </c>
      <c r="AN693" s="256" t="s">
        <v>64</v>
      </c>
      <c r="AO693" s="254" t="s">
        <v>1324</v>
      </c>
      <c r="AP693" s="257" t="s">
        <v>13</v>
      </c>
      <c r="AQ693" s="263" t="s">
        <v>668</v>
      </c>
      <c r="AR693" s="256" t="s">
        <v>34</v>
      </c>
      <c r="AS693" s="256" t="s">
        <v>34</v>
      </c>
      <c r="AT693" s="256"/>
      <c r="AW693" s="508"/>
      <c r="AX693" s="508"/>
      <c r="AY693" s="509"/>
      <c r="AZ693" s="509"/>
      <c r="BA693" s="509"/>
      <c r="BB693" s="510"/>
      <c r="BC693" s="509"/>
      <c r="BD693" s="509"/>
      <c r="BE693" s="509"/>
      <c r="BF693" s="509"/>
      <c r="BG693" s="510"/>
      <c r="BH693" s="510"/>
      <c r="BI693" s="511"/>
      <c r="BJ693" s="511"/>
      <c r="BK693" s="511"/>
      <c r="BL693" s="195"/>
      <c r="BM693" s="510"/>
      <c r="BN693" s="510"/>
      <c r="BO693" s="510"/>
      <c r="BP693" s="510"/>
      <c r="BQ693" s="510"/>
      <c r="BR693" s="510"/>
      <c r="BS693" s="510"/>
      <c r="BT693" s="513"/>
      <c r="BU693" s="514"/>
      <c r="BV693" s="512"/>
      <c r="BW693" s="515"/>
    </row>
    <row r="694" spans="2:75" ht="15.75" customHeight="1">
      <c r="B694" s="250" t="s">
        <v>1068</v>
      </c>
      <c r="C694" s="251">
        <v>38049108000141</v>
      </c>
      <c r="D694" s="252" t="s">
        <v>13</v>
      </c>
      <c r="E694" s="252" t="s">
        <v>616</v>
      </c>
      <c r="F694" s="252" t="s">
        <v>617</v>
      </c>
      <c r="G694" s="253" t="s">
        <v>34</v>
      </c>
      <c r="H694" s="253" t="s">
        <v>1337</v>
      </c>
      <c r="I694" s="253" t="s">
        <v>34</v>
      </c>
      <c r="J694" s="253" t="s">
        <v>608</v>
      </c>
      <c r="K694" s="254" t="s">
        <v>48</v>
      </c>
      <c r="L694" s="255"/>
      <c r="M694" s="255" t="s">
        <v>34</v>
      </c>
      <c r="N694" s="254">
        <v>550124</v>
      </c>
      <c r="O694" s="254" t="s">
        <v>1321</v>
      </c>
      <c r="P694" s="258">
        <v>44067</v>
      </c>
      <c r="Q694" s="259">
        <v>466358483.31</v>
      </c>
      <c r="R694" s="259">
        <v>472336938.82281727</v>
      </c>
      <c r="S694" s="254">
        <v>17</v>
      </c>
      <c r="T694" s="256">
        <v>7.3751189367249559E-2</v>
      </c>
      <c r="U694" s="256">
        <v>0.95339601980846878</v>
      </c>
      <c r="V694" s="256">
        <v>5.1722220767163263E-2</v>
      </c>
      <c r="W694" s="256">
        <v>0.50705070893321358</v>
      </c>
      <c r="X694" s="256">
        <v>0.12177567451063975</v>
      </c>
      <c r="Y694" s="256">
        <v>0.9234470616501772</v>
      </c>
      <c r="Z694" s="256" t="s">
        <v>1417</v>
      </c>
      <c r="AA694" s="256" t="s">
        <v>1417</v>
      </c>
      <c r="AB694" s="256">
        <v>2.2079252128991714E-2</v>
      </c>
      <c r="AC694" s="260">
        <v>-2.1049238299249087</v>
      </c>
      <c r="AD694" s="405">
        <v>22222949000179</v>
      </c>
      <c r="AE694" s="257" t="s">
        <v>2322</v>
      </c>
      <c r="AF694" s="257" t="s">
        <v>2109</v>
      </c>
      <c r="AG694" s="261" t="s">
        <v>1432</v>
      </c>
      <c r="AH694" s="261" t="s">
        <v>2113</v>
      </c>
      <c r="AI694" s="261">
        <v>1000</v>
      </c>
      <c r="AJ694" s="261">
        <v>1000</v>
      </c>
      <c r="AK694" s="261">
        <v>1000</v>
      </c>
      <c r="AL694" s="256">
        <v>1.8500000000000003E-2</v>
      </c>
      <c r="AM694" s="256">
        <v>0.2</v>
      </c>
      <c r="AN694" s="256" t="s">
        <v>34</v>
      </c>
      <c r="AO694" s="254" t="s">
        <v>1324</v>
      </c>
      <c r="AP694" s="257" t="s">
        <v>13</v>
      </c>
      <c r="AQ694" s="263" t="s">
        <v>668</v>
      </c>
      <c r="AR694" s="256">
        <v>4.933333333333333E-3</v>
      </c>
      <c r="AS694" s="256">
        <v>4.933333333333333E-3</v>
      </c>
      <c r="AT694" s="256"/>
      <c r="AW694" s="508"/>
      <c r="AX694" s="508"/>
      <c r="AY694" s="509"/>
      <c r="AZ694" s="509"/>
      <c r="BA694" s="509"/>
      <c r="BB694" s="510"/>
      <c r="BC694" s="509"/>
      <c r="BD694" s="509"/>
      <c r="BE694" s="509"/>
      <c r="BF694" s="509"/>
      <c r="BG694" s="510"/>
      <c r="BH694" s="510"/>
      <c r="BI694" s="511"/>
      <c r="BJ694" s="511"/>
      <c r="BK694" s="511"/>
      <c r="BL694" s="195"/>
      <c r="BM694" s="510"/>
      <c r="BN694" s="510"/>
      <c r="BO694" s="510"/>
      <c r="BP694" s="510"/>
      <c r="BQ694" s="510"/>
      <c r="BR694" s="510"/>
      <c r="BS694" s="510"/>
      <c r="BT694" s="513"/>
      <c r="BU694" s="514"/>
      <c r="BV694" s="512"/>
      <c r="BW694" s="515"/>
    </row>
    <row r="695" spans="2:75" ht="15.75" customHeight="1">
      <c r="B695" s="250" t="s">
        <v>525</v>
      </c>
      <c r="C695" s="251">
        <v>41287460000120</v>
      </c>
      <c r="D695" s="252" t="s">
        <v>13</v>
      </c>
      <c r="E695" s="252" t="s">
        <v>616</v>
      </c>
      <c r="F695" s="252" t="s">
        <v>617</v>
      </c>
      <c r="G695" s="253" t="s">
        <v>34</v>
      </c>
      <c r="H695" s="253" t="s">
        <v>1338</v>
      </c>
      <c r="I695" s="253" t="s">
        <v>34</v>
      </c>
      <c r="J695" s="253" t="s">
        <v>608</v>
      </c>
      <c r="K695" s="254" t="s">
        <v>48</v>
      </c>
      <c r="L695" s="255"/>
      <c r="M695" s="255" t="s">
        <v>34</v>
      </c>
      <c r="N695" s="254">
        <v>586099</v>
      </c>
      <c r="O695" s="254" t="s">
        <v>1321</v>
      </c>
      <c r="P695" s="258">
        <v>44301</v>
      </c>
      <c r="Q695" s="259">
        <v>18927427.300000001</v>
      </c>
      <c r="R695" s="259">
        <v>18734349.450476188</v>
      </c>
      <c r="S695" s="254">
        <v>17</v>
      </c>
      <c r="T695" s="256">
        <v>-6.9682213430868445E-2</v>
      </c>
      <c r="U695" s="256">
        <v>-0.90079557369058039</v>
      </c>
      <c r="V695" s="256">
        <v>-0.10957545126998502</v>
      </c>
      <c r="W695" s="256">
        <v>-1.0742058137495156</v>
      </c>
      <c r="X695" s="256" t="s">
        <v>1417</v>
      </c>
      <c r="Y695" s="256" t="s">
        <v>1417</v>
      </c>
      <c r="Z695" s="256" t="s">
        <v>1417</v>
      </c>
      <c r="AA695" s="256" t="s">
        <v>1417</v>
      </c>
      <c r="AB695" s="256">
        <v>7.1854402916879362E-2</v>
      </c>
      <c r="AC695" s="260">
        <v>-2.931040531823673</v>
      </c>
      <c r="AD695" s="405">
        <v>0</v>
      </c>
      <c r="AE695" s="257" t="s">
        <v>2332</v>
      </c>
      <c r="AF695" s="257" t="s">
        <v>2109</v>
      </c>
      <c r="AG695" s="261" t="s">
        <v>1432</v>
      </c>
      <c r="AH695" s="261" t="s">
        <v>2113</v>
      </c>
      <c r="AI695" s="261">
        <v>100</v>
      </c>
      <c r="AJ695" s="261">
        <v>100</v>
      </c>
      <c r="AK695" s="261">
        <v>0</v>
      </c>
      <c r="AL695" s="256">
        <v>0.02</v>
      </c>
      <c r="AM695" s="256">
        <v>0.2</v>
      </c>
      <c r="AN695" s="256" t="s">
        <v>34</v>
      </c>
      <c r="AO695" s="254" t="s">
        <v>1324</v>
      </c>
      <c r="AP695" s="257" t="s">
        <v>716</v>
      </c>
      <c r="AQ695" s="263" t="s">
        <v>659</v>
      </c>
      <c r="AR695" s="256">
        <v>5.3333333333333332E-3</v>
      </c>
      <c r="AS695" s="256">
        <v>5.3333333333333332E-3</v>
      </c>
      <c r="AT695" s="256"/>
      <c r="AW695" s="508"/>
      <c r="AX695" s="508"/>
      <c r="AY695" s="509"/>
      <c r="AZ695" s="509"/>
      <c r="BA695" s="509"/>
      <c r="BB695" s="510"/>
      <c r="BC695" s="509"/>
      <c r="BD695" s="509"/>
      <c r="BE695" s="509"/>
      <c r="BF695" s="509"/>
      <c r="BG695" s="510"/>
      <c r="BH695" s="510"/>
      <c r="BI695" s="511"/>
      <c r="BJ695" s="511"/>
      <c r="BK695" s="511"/>
      <c r="BL695" s="195"/>
      <c r="BM695" s="510"/>
      <c r="BN695" s="510"/>
      <c r="BO695" s="510"/>
      <c r="BP695" s="510"/>
      <c r="BQ695" s="510"/>
      <c r="BR695" s="510"/>
      <c r="BS695" s="510"/>
      <c r="BT695" s="513"/>
      <c r="BU695" s="514"/>
      <c r="BV695" s="512"/>
      <c r="BW695" s="515"/>
    </row>
    <row r="696" spans="2:75" ht="15.75" customHeight="1">
      <c r="B696" s="250" t="s">
        <v>345</v>
      </c>
      <c r="C696" s="251">
        <v>35343836000173</v>
      </c>
      <c r="D696" s="252" t="s">
        <v>13</v>
      </c>
      <c r="E696" s="252" t="s">
        <v>616</v>
      </c>
      <c r="F696" s="252" t="s">
        <v>617</v>
      </c>
      <c r="G696" s="253" t="s">
        <v>34</v>
      </c>
      <c r="H696" s="253" t="s">
        <v>865</v>
      </c>
      <c r="I696" s="253" t="s">
        <v>34</v>
      </c>
      <c r="J696" s="253" t="s">
        <v>608</v>
      </c>
      <c r="K696" s="254" t="s">
        <v>48</v>
      </c>
      <c r="L696" s="255"/>
      <c r="M696" s="255" t="s">
        <v>1414</v>
      </c>
      <c r="N696" s="254">
        <v>551724</v>
      </c>
      <c r="O696" s="254" t="s">
        <v>1321</v>
      </c>
      <c r="P696" s="258">
        <v>43829</v>
      </c>
      <c r="Q696" s="259">
        <v>17277160.41</v>
      </c>
      <c r="R696" s="259">
        <v>23024077.610873029</v>
      </c>
      <c r="S696" s="254">
        <v>17</v>
      </c>
      <c r="T696" s="256">
        <v>3.7920368609240418E-2</v>
      </c>
      <c r="U696" s="256">
        <v>0.49020400636107181</v>
      </c>
      <c r="V696" s="256">
        <v>2.9071764026625369E-2</v>
      </c>
      <c r="W696" s="256">
        <v>0.28500049574433539</v>
      </c>
      <c r="X696" s="256">
        <v>8.6324710480250699E-2</v>
      </c>
      <c r="Y696" s="256">
        <v>0.65461596136611677</v>
      </c>
      <c r="Z696" s="256" t="s">
        <v>1417</v>
      </c>
      <c r="AA696" s="256" t="s">
        <v>1417</v>
      </c>
      <c r="AB696" s="256">
        <v>5.1095017818825299E-2</v>
      </c>
      <c r="AC696" s="260">
        <v>-1.3150687818916109</v>
      </c>
      <c r="AD696" s="405">
        <v>35726638000199</v>
      </c>
      <c r="AE696" s="257" t="s">
        <v>59</v>
      </c>
      <c r="AF696" s="257" t="s">
        <v>2112</v>
      </c>
      <c r="AG696" s="261" t="s">
        <v>59</v>
      </c>
      <c r="AH696" s="261" t="s">
        <v>2113</v>
      </c>
      <c r="AI696" s="261">
        <v>100</v>
      </c>
      <c r="AJ696" s="261">
        <v>100</v>
      </c>
      <c r="AK696" s="261">
        <v>100</v>
      </c>
      <c r="AL696" s="256">
        <v>1.3000000000000001E-2</v>
      </c>
      <c r="AM696" s="256">
        <v>0.2</v>
      </c>
      <c r="AN696" s="256" t="s">
        <v>64</v>
      </c>
      <c r="AO696" s="254" t="s">
        <v>1324</v>
      </c>
      <c r="AP696" s="257" t="s">
        <v>13</v>
      </c>
      <c r="AQ696" s="263" t="s">
        <v>674</v>
      </c>
      <c r="AR696" s="256">
        <v>2.1666666666666666E-3</v>
      </c>
      <c r="AS696" s="256">
        <v>2.1666666666666666E-3</v>
      </c>
      <c r="AT696" s="256"/>
      <c r="AW696" s="508"/>
      <c r="AX696" s="508"/>
      <c r="AY696" s="509"/>
      <c r="AZ696" s="509"/>
      <c r="BA696" s="509"/>
      <c r="BB696" s="510"/>
      <c r="BC696" s="509"/>
      <c r="BD696" s="509"/>
      <c r="BE696" s="509"/>
      <c r="BF696" s="509"/>
      <c r="BG696" s="510"/>
      <c r="BH696" s="510"/>
      <c r="BI696" s="511"/>
      <c r="BJ696" s="511"/>
      <c r="BK696" s="511"/>
      <c r="BL696" s="195"/>
      <c r="BM696" s="510"/>
      <c r="BN696" s="510"/>
      <c r="BO696" s="510"/>
      <c r="BP696" s="510"/>
      <c r="BQ696" s="510"/>
      <c r="BR696" s="510"/>
      <c r="BS696" s="510"/>
      <c r="BT696" s="513"/>
      <c r="BU696" s="514"/>
      <c r="BV696" s="512"/>
      <c r="BW696" s="515"/>
    </row>
    <row r="697" spans="2:75" ht="15.75" customHeight="1">
      <c r="B697" s="250" t="s">
        <v>358</v>
      </c>
      <c r="C697" s="251">
        <v>37287622000152</v>
      </c>
      <c r="D697" s="252" t="s">
        <v>13</v>
      </c>
      <c r="E697" s="252" t="s">
        <v>616</v>
      </c>
      <c r="F697" s="252" t="s">
        <v>617</v>
      </c>
      <c r="G697" s="253" t="s">
        <v>34</v>
      </c>
      <c r="H697" s="253" t="s">
        <v>865</v>
      </c>
      <c r="I697" s="253" t="s">
        <v>34</v>
      </c>
      <c r="J697" s="253" t="s">
        <v>608</v>
      </c>
      <c r="K697" s="254" t="s">
        <v>48</v>
      </c>
      <c r="L697" s="255"/>
      <c r="M697" s="255" t="s">
        <v>34</v>
      </c>
      <c r="N697" s="254">
        <v>550183</v>
      </c>
      <c r="O697" s="254" t="s">
        <v>1321</v>
      </c>
      <c r="P697" s="258">
        <v>44067</v>
      </c>
      <c r="Q697" s="259">
        <v>9275026.2699999996</v>
      </c>
      <c r="R697" s="259">
        <v>15361518.438928561</v>
      </c>
      <c r="S697" s="254">
        <v>17</v>
      </c>
      <c r="T697" s="256">
        <v>9.0063637113098949E-2</v>
      </c>
      <c r="U697" s="256">
        <v>1.1642702157049305</v>
      </c>
      <c r="V697" s="256">
        <v>5.7645224131100736E-2</v>
      </c>
      <c r="W697" s="256">
        <v>0.56511594685518962</v>
      </c>
      <c r="X697" s="256">
        <v>0.13785638255256316</v>
      </c>
      <c r="Y697" s="256">
        <v>1.0453899919623482</v>
      </c>
      <c r="Z697" s="256" t="s">
        <v>1417</v>
      </c>
      <c r="AA697" s="256" t="s">
        <v>1417</v>
      </c>
      <c r="AB697" s="256">
        <v>5.8455020379481699E-2</v>
      </c>
      <c r="AC697" s="260">
        <v>-0.67400374555025966</v>
      </c>
      <c r="AD697" s="405">
        <v>25328809000178</v>
      </c>
      <c r="AE697" s="257" t="s">
        <v>2381</v>
      </c>
      <c r="AF697" s="257" t="s">
        <v>2109</v>
      </c>
      <c r="AG697" s="261" t="s">
        <v>1432</v>
      </c>
      <c r="AH697" s="261" t="s">
        <v>2113</v>
      </c>
      <c r="AI697" s="261">
        <v>500</v>
      </c>
      <c r="AJ697" s="261">
        <v>100</v>
      </c>
      <c r="AK697" s="261">
        <v>100</v>
      </c>
      <c r="AL697" s="256">
        <v>1.7000000000000001E-2</v>
      </c>
      <c r="AM697" s="256">
        <v>0.2</v>
      </c>
      <c r="AN697" s="256" t="s">
        <v>34</v>
      </c>
      <c r="AO697" s="254" t="s">
        <v>1324</v>
      </c>
      <c r="AP697" s="257" t="s">
        <v>13</v>
      </c>
      <c r="AQ697" s="263" t="s">
        <v>668</v>
      </c>
      <c r="AR697" s="256">
        <v>4.5333333333333337E-3</v>
      </c>
      <c r="AS697" s="256">
        <v>4.5333333333333337E-3</v>
      </c>
      <c r="AT697" s="256"/>
      <c r="AW697" s="508"/>
      <c r="AX697" s="508"/>
      <c r="AY697" s="509"/>
      <c r="AZ697" s="509"/>
      <c r="BA697" s="509"/>
      <c r="BB697" s="510"/>
      <c r="BC697" s="509"/>
      <c r="BD697" s="509"/>
      <c r="BE697" s="509"/>
      <c r="BF697" s="509"/>
      <c r="BG697" s="510"/>
      <c r="BH697" s="510"/>
      <c r="BI697" s="511"/>
      <c r="BJ697" s="511"/>
      <c r="BK697" s="511"/>
      <c r="BL697" s="195"/>
      <c r="BM697" s="510"/>
      <c r="BN697" s="510"/>
      <c r="BO697" s="510"/>
      <c r="BP697" s="510"/>
      <c r="BQ697" s="510"/>
      <c r="BR697" s="510"/>
      <c r="BS697" s="510"/>
      <c r="BT697" s="513"/>
      <c r="BU697" s="514"/>
      <c r="BV697" s="512"/>
      <c r="BW697" s="515"/>
    </row>
    <row r="698" spans="2:75" ht="15.75" customHeight="1">
      <c r="B698" s="250" t="s">
        <v>782</v>
      </c>
      <c r="C698" s="251">
        <v>41544414000169</v>
      </c>
      <c r="D698" s="252" t="s">
        <v>14</v>
      </c>
      <c r="E698" s="252" t="s">
        <v>614</v>
      </c>
      <c r="F698" s="252"/>
      <c r="G698" s="253"/>
      <c r="H698" s="253" t="s">
        <v>1337</v>
      </c>
      <c r="I698" s="253" t="s">
        <v>34</v>
      </c>
      <c r="J698" s="253" t="s">
        <v>611</v>
      </c>
      <c r="K698" s="254" t="s">
        <v>48</v>
      </c>
      <c r="L698" s="255"/>
      <c r="M698" s="255" t="s">
        <v>34</v>
      </c>
      <c r="N698" s="254">
        <v>599190</v>
      </c>
      <c r="O698" s="254" t="s">
        <v>1321</v>
      </c>
      <c r="P698" s="258">
        <v>44334</v>
      </c>
      <c r="Q698" s="259">
        <v>24365973.359999999</v>
      </c>
      <c r="R698" s="259">
        <v>21757155.579999991</v>
      </c>
      <c r="S698" s="254">
        <v>17</v>
      </c>
      <c r="T698" s="256">
        <v>5.5500204319886448E-2</v>
      </c>
      <c r="U698" s="256">
        <v>0.71746197384897659</v>
      </c>
      <c r="V698" s="256">
        <v>9.1661547591620929E-2</v>
      </c>
      <c r="W698" s="256">
        <v>0.89858965834958193</v>
      </c>
      <c r="X698" s="256" t="s">
        <v>1417</v>
      </c>
      <c r="Y698" s="256" t="s">
        <v>1417</v>
      </c>
      <c r="Z698" s="256" t="s">
        <v>1417</v>
      </c>
      <c r="AA698" s="256" t="s">
        <v>1417</v>
      </c>
      <c r="AB698" s="256">
        <v>9.9037758120250494E-2</v>
      </c>
      <c r="AC698" s="260">
        <v>-4.5846514607755573E-2</v>
      </c>
      <c r="AD698" s="405">
        <v>41544386000180</v>
      </c>
      <c r="AE698" s="257" t="s">
        <v>2161</v>
      </c>
      <c r="AF698" s="257" t="s">
        <v>2109</v>
      </c>
      <c r="AG698" s="261" t="s">
        <v>1432</v>
      </c>
      <c r="AH698" s="261" t="s">
        <v>2110</v>
      </c>
      <c r="AI698" s="261">
        <v>5000</v>
      </c>
      <c r="AJ698" s="261">
        <v>1000</v>
      </c>
      <c r="AK698" s="261">
        <v>5000</v>
      </c>
      <c r="AL698" s="519">
        <v>1.8700000000000001E-2</v>
      </c>
      <c r="AM698" s="519">
        <v>0.2</v>
      </c>
      <c r="AN698" s="256" t="s">
        <v>2122</v>
      </c>
      <c r="AO698" s="254" t="s">
        <v>1324</v>
      </c>
      <c r="AP698" s="257" t="s">
        <v>13</v>
      </c>
      <c r="AQ698" s="263" t="s">
        <v>668</v>
      </c>
      <c r="AR698" s="256">
        <v>4.9872900000000001E-3</v>
      </c>
      <c r="AS698" s="256">
        <v>4.9872900000000001E-3</v>
      </c>
      <c r="AT698" s="256"/>
      <c r="AW698" s="508"/>
      <c r="AX698" s="508"/>
      <c r="AY698" s="509"/>
      <c r="AZ698" s="509"/>
      <c r="BA698" s="509"/>
      <c r="BB698" s="510"/>
      <c r="BC698" s="509"/>
      <c r="BD698" s="509"/>
      <c r="BE698" s="509"/>
      <c r="BF698" s="509"/>
      <c r="BG698" s="510"/>
      <c r="BH698" s="510"/>
      <c r="BI698" s="511"/>
      <c r="BJ698" s="511"/>
      <c r="BK698" s="511"/>
      <c r="BL698" s="195"/>
      <c r="BM698" s="510"/>
      <c r="BN698" s="510"/>
      <c r="BO698" s="510"/>
      <c r="BP698" s="510"/>
      <c r="BQ698" s="510"/>
      <c r="BR698" s="510"/>
      <c r="BS698" s="510"/>
      <c r="BT698" s="513"/>
      <c r="BU698" s="514"/>
      <c r="BV698" s="512"/>
      <c r="BW698" s="515"/>
    </row>
    <row r="699" spans="2:75" ht="15.75" customHeight="1">
      <c r="B699" s="250" t="s">
        <v>1503</v>
      </c>
      <c r="C699" s="251">
        <v>37327331000140</v>
      </c>
      <c r="D699" s="252" t="s">
        <v>14</v>
      </c>
      <c r="E699" s="252" t="s">
        <v>607</v>
      </c>
      <c r="F699" s="252"/>
      <c r="G699" s="253"/>
      <c r="H699" s="253" t="s">
        <v>34</v>
      </c>
      <c r="I699" s="253" t="s">
        <v>34</v>
      </c>
      <c r="J699" s="253" t="s">
        <v>608</v>
      </c>
      <c r="K699" s="254" t="s">
        <v>48</v>
      </c>
      <c r="L699" s="255"/>
      <c r="M699" s="255"/>
      <c r="N699" s="254">
        <v>548294</v>
      </c>
      <c r="O699" s="254" t="s">
        <v>1321</v>
      </c>
      <c r="P699" s="258">
        <v>44043</v>
      </c>
      <c r="Q699" s="259">
        <v>4694700.76</v>
      </c>
      <c r="R699" s="259">
        <v>19900439.164960314</v>
      </c>
      <c r="S699" s="254">
        <v>17</v>
      </c>
      <c r="T699" s="256">
        <v>-5.872811637738562E-3</v>
      </c>
      <c r="U699" s="256">
        <v>-6.6056877432735903E-2</v>
      </c>
      <c r="V699" s="256">
        <v>-9.2798667571979854E-2</v>
      </c>
      <c r="W699" s="256">
        <v>-0.85167911200934454</v>
      </c>
      <c r="X699" s="256">
        <v>1.9662966151670291E-2</v>
      </c>
      <c r="Y699" s="256">
        <v>0.13826585758056537</v>
      </c>
      <c r="Z699" s="256" t="s">
        <v>1417</v>
      </c>
      <c r="AA699" s="256" t="s">
        <v>1417</v>
      </c>
      <c r="AB699" s="256">
        <v>7.2810542127068945E-2</v>
      </c>
      <c r="AC699" s="260">
        <v>-2.7217876730569137</v>
      </c>
      <c r="AD699" s="405">
        <v>0</v>
      </c>
      <c r="AE699" s="257" t="s">
        <v>2128</v>
      </c>
      <c r="AF699" s="257" t="s">
        <v>728</v>
      </c>
      <c r="AG699" s="261" t="s">
        <v>728</v>
      </c>
      <c r="AH699" s="261" t="s">
        <v>2113</v>
      </c>
      <c r="AI699" s="261">
        <v>5000</v>
      </c>
      <c r="AJ699" s="261">
        <v>5000</v>
      </c>
      <c r="AK699" s="261">
        <v>1000</v>
      </c>
      <c r="AL699" s="256">
        <v>0.02</v>
      </c>
      <c r="AM699" s="256">
        <v>0.2</v>
      </c>
      <c r="AN699" s="256" t="s">
        <v>34</v>
      </c>
      <c r="AO699" s="254" t="s">
        <v>1324</v>
      </c>
      <c r="AP699" s="257" t="s">
        <v>13</v>
      </c>
      <c r="AQ699" s="263" t="s">
        <v>668</v>
      </c>
      <c r="AR699" s="256" t="s">
        <v>34</v>
      </c>
      <c r="AS699" s="256" t="s">
        <v>34</v>
      </c>
      <c r="AT699" s="256"/>
      <c r="AX699" s="508"/>
      <c r="AY699" s="509"/>
      <c r="AZ699" s="509"/>
      <c r="BA699" s="509"/>
      <c r="BB699" s="510"/>
      <c r="BC699" s="509"/>
      <c r="BD699" s="509"/>
      <c r="BE699" s="509"/>
      <c r="BF699" s="509"/>
      <c r="BG699" s="510"/>
      <c r="BH699" s="510"/>
      <c r="BI699" s="511"/>
      <c r="BJ699" s="511"/>
      <c r="BK699" s="511"/>
      <c r="BL699" s="510"/>
      <c r="BM699" s="510"/>
      <c r="BN699" s="510"/>
      <c r="BO699" s="510"/>
      <c r="BP699" s="510"/>
      <c r="BQ699" s="510"/>
      <c r="BR699" s="510"/>
      <c r="BS699" s="510"/>
      <c r="BT699" s="513"/>
      <c r="BU699" s="514"/>
      <c r="BV699" s="512"/>
      <c r="BW699" s="515"/>
    </row>
    <row r="700" spans="2:75" ht="15.75" customHeight="1">
      <c r="B700" s="250" t="s">
        <v>182</v>
      </c>
      <c r="C700" s="251">
        <v>30858733000122</v>
      </c>
      <c r="D700" s="252" t="s">
        <v>14</v>
      </c>
      <c r="E700" s="252" t="s">
        <v>607</v>
      </c>
      <c r="F700" s="252"/>
      <c r="G700" s="253"/>
      <c r="H700" s="253" t="s">
        <v>34</v>
      </c>
      <c r="I700" s="253" t="s">
        <v>34</v>
      </c>
      <c r="J700" s="253" t="s">
        <v>608</v>
      </c>
      <c r="K700" s="254" t="s">
        <v>48</v>
      </c>
      <c r="L700" s="255"/>
      <c r="M700" s="255" t="s">
        <v>34</v>
      </c>
      <c r="N700" s="254">
        <v>497673</v>
      </c>
      <c r="O700" s="254" t="s">
        <v>1321</v>
      </c>
      <c r="P700" s="258">
        <v>43621</v>
      </c>
      <c r="Q700" s="259">
        <v>176442924.84</v>
      </c>
      <c r="R700" s="259">
        <v>231484493.1188888</v>
      </c>
      <c r="S700" s="254">
        <v>17</v>
      </c>
      <c r="T700" s="256">
        <v>6.3752240000668481E-2</v>
      </c>
      <c r="U700" s="256">
        <v>0.82413764973805903</v>
      </c>
      <c r="V700" s="256">
        <v>-0.15078374145231777</v>
      </c>
      <c r="W700" s="256">
        <v>-1.4781848471506249</v>
      </c>
      <c r="X700" s="256">
        <v>-5.2331590186521004E-2</v>
      </c>
      <c r="Y700" s="256">
        <v>-0.39683995496983915</v>
      </c>
      <c r="Z700" s="256">
        <v>8.7159153576918946E-2</v>
      </c>
      <c r="AA700" s="256">
        <v>0.49544088490575983</v>
      </c>
      <c r="AB700" s="256">
        <v>0.21872591687248263</v>
      </c>
      <c r="AC700" s="260">
        <v>-1.0818352140337038</v>
      </c>
      <c r="AD700" s="405">
        <v>31635364000171</v>
      </c>
      <c r="AE700" s="257" t="s">
        <v>2222</v>
      </c>
      <c r="AF700" s="257" t="s">
        <v>2118</v>
      </c>
      <c r="AG700" s="261" t="s">
        <v>1433</v>
      </c>
      <c r="AH700" s="261" t="s">
        <v>2113</v>
      </c>
      <c r="AI700" s="261">
        <v>500</v>
      </c>
      <c r="AJ700" s="261">
        <v>100</v>
      </c>
      <c r="AK700" s="261">
        <v>100</v>
      </c>
      <c r="AL700" s="256">
        <v>1.8500000000000003E-2</v>
      </c>
      <c r="AM700" s="256">
        <v>0.2</v>
      </c>
      <c r="AN700" s="256" t="s">
        <v>2160</v>
      </c>
      <c r="AO700" s="254" t="s">
        <v>1324</v>
      </c>
      <c r="AP700" s="257" t="s">
        <v>716</v>
      </c>
      <c r="AQ700" s="263" t="s">
        <v>670</v>
      </c>
      <c r="AR700" s="256">
        <v>4.3166666666666657E-3</v>
      </c>
      <c r="AS700" s="256">
        <v>4.3166666666666657E-3</v>
      </c>
      <c r="AT700" s="256"/>
      <c r="AW700" s="508"/>
      <c r="AX700" s="508"/>
      <c r="AY700" s="509"/>
      <c r="AZ700" s="509"/>
      <c r="BA700" s="509"/>
      <c r="BB700" s="510"/>
      <c r="BC700" s="509"/>
      <c r="BD700" s="509"/>
      <c r="BE700" s="509"/>
      <c r="BF700" s="509"/>
      <c r="BG700" s="510"/>
      <c r="BH700" s="510"/>
      <c r="BI700" s="511"/>
      <c r="BJ700" s="511"/>
      <c r="BK700" s="511"/>
      <c r="BL700" s="195"/>
      <c r="BM700" s="510"/>
      <c r="BN700" s="510"/>
      <c r="BO700" s="510"/>
      <c r="BP700" s="510"/>
      <c r="BQ700" s="510"/>
      <c r="BR700" s="510"/>
      <c r="BS700" s="510"/>
      <c r="BT700" s="513"/>
      <c r="BU700" s="514"/>
      <c r="BV700" s="512"/>
      <c r="BW700" s="515"/>
    </row>
    <row r="701" spans="2:75" ht="15.75" customHeight="1">
      <c r="B701" s="250" t="s">
        <v>216</v>
      </c>
      <c r="C701" s="251">
        <v>9143435000160</v>
      </c>
      <c r="D701" s="252" t="s">
        <v>14</v>
      </c>
      <c r="E701" s="252" t="s">
        <v>607</v>
      </c>
      <c r="F701" s="252"/>
      <c r="G701" s="253"/>
      <c r="H701" s="253" t="s">
        <v>34</v>
      </c>
      <c r="I701" s="253" t="s">
        <v>34</v>
      </c>
      <c r="J701" s="253" t="s">
        <v>608</v>
      </c>
      <c r="K701" s="254" t="s">
        <v>48</v>
      </c>
      <c r="L701" s="255"/>
      <c r="M701" s="255" t="s">
        <v>1414</v>
      </c>
      <c r="N701" s="254">
        <v>199567</v>
      </c>
      <c r="O701" s="254" t="s">
        <v>1324</v>
      </c>
      <c r="P701" s="258">
        <v>39416</v>
      </c>
      <c r="Q701" s="259">
        <v>338981201.77999997</v>
      </c>
      <c r="R701" s="259">
        <v>352892426.01115072</v>
      </c>
      <c r="S701" s="254">
        <v>17</v>
      </c>
      <c r="T701" s="256">
        <v>3.6505523499018366E-2</v>
      </c>
      <c r="U701" s="256">
        <v>0.47191402746982719</v>
      </c>
      <c r="V701" s="256">
        <v>3.1433873580959393E-3</v>
      </c>
      <c r="W701" s="256">
        <v>3.0815706764589171E-2</v>
      </c>
      <c r="X701" s="256">
        <v>0.39815167004833318</v>
      </c>
      <c r="Y701" s="256">
        <v>3.0192564424278348</v>
      </c>
      <c r="Z701" s="256">
        <v>0.52950178546576709</v>
      </c>
      <c r="AA701" s="256">
        <v>3.0098598068512015</v>
      </c>
      <c r="AB701" s="256">
        <v>0.22706822124666423</v>
      </c>
      <c r="AC701" s="260">
        <v>-0.30058009940857044</v>
      </c>
      <c r="AD701" s="405">
        <v>0</v>
      </c>
      <c r="AE701" s="257" t="s">
        <v>2263</v>
      </c>
      <c r="AF701" s="257" t="s">
        <v>2118</v>
      </c>
      <c r="AG701" s="261" t="s">
        <v>1433</v>
      </c>
      <c r="AH701" s="261" t="s">
        <v>2113</v>
      </c>
      <c r="AI701" s="261">
        <v>5000</v>
      </c>
      <c r="AJ701" s="261">
        <v>1000</v>
      </c>
      <c r="AK701" s="261">
        <v>5000</v>
      </c>
      <c r="AL701" s="256">
        <v>0.02</v>
      </c>
      <c r="AM701" s="256">
        <v>0.15</v>
      </c>
      <c r="AN701" s="256" t="s">
        <v>666</v>
      </c>
      <c r="AO701" s="254" t="s">
        <v>1324</v>
      </c>
      <c r="AP701" s="257" t="s">
        <v>716</v>
      </c>
      <c r="AQ701" s="263" t="s">
        <v>665</v>
      </c>
      <c r="AR701" s="256">
        <v>3.3333333333333331E-3</v>
      </c>
      <c r="AS701" s="256">
        <v>3.3333333333333331E-3</v>
      </c>
      <c r="AT701" s="256"/>
      <c r="AX701" s="508"/>
      <c r="AY701" s="509"/>
      <c r="AZ701" s="509"/>
      <c r="BA701" s="509"/>
      <c r="BB701" s="510"/>
      <c r="BC701" s="509"/>
      <c r="BD701" s="509"/>
      <c r="BE701" s="509"/>
      <c r="BF701" s="509"/>
      <c r="BG701" s="510"/>
      <c r="BH701" s="510"/>
      <c r="BI701" s="511"/>
      <c r="BJ701" s="511"/>
      <c r="BK701" s="511"/>
      <c r="BL701" s="510"/>
      <c r="BM701" s="510"/>
      <c r="BN701" s="510"/>
      <c r="BO701" s="510"/>
      <c r="BP701" s="510"/>
      <c r="BQ701" s="510"/>
      <c r="BR701" s="510"/>
      <c r="BS701" s="510"/>
      <c r="BT701" s="513"/>
      <c r="BU701" s="514"/>
      <c r="BV701" s="512"/>
      <c r="BW701" s="515"/>
    </row>
    <row r="702" spans="2:75" ht="15.75" customHeight="1">
      <c r="B702" s="250" t="s">
        <v>217</v>
      </c>
      <c r="C702" s="251">
        <v>35717650000137</v>
      </c>
      <c r="D702" s="252" t="s">
        <v>14</v>
      </c>
      <c r="E702" s="252" t="s">
        <v>607</v>
      </c>
      <c r="F702" s="252"/>
      <c r="G702" s="253"/>
      <c r="H702" s="253" t="s">
        <v>34</v>
      </c>
      <c r="I702" s="253" t="s">
        <v>34</v>
      </c>
      <c r="J702" s="253" t="s">
        <v>608</v>
      </c>
      <c r="K702" s="254" t="s">
        <v>48</v>
      </c>
      <c r="L702" s="255"/>
      <c r="M702" s="255" t="s">
        <v>1414</v>
      </c>
      <c r="N702" s="254">
        <v>535151</v>
      </c>
      <c r="O702" s="254" t="s">
        <v>1321</v>
      </c>
      <c r="P702" s="258">
        <v>43901</v>
      </c>
      <c r="Q702" s="259">
        <v>50206819.460000001</v>
      </c>
      <c r="R702" s="259">
        <v>28485985.557420649</v>
      </c>
      <c r="S702" s="254">
        <v>17</v>
      </c>
      <c r="T702" s="256">
        <v>4.0967177224966012E-2</v>
      </c>
      <c r="U702" s="256">
        <v>0.52959069601683029</v>
      </c>
      <c r="V702" s="256">
        <v>4.9393214599717794E-3</v>
      </c>
      <c r="W702" s="256">
        <v>4.8421866091212823E-2</v>
      </c>
      <c r="X702" s="256">
        <v>0.33448903412617903</v>
      </c>
      <c r="Y702" s="256">
        <v>2.5364911092406901</v>
      </c>
      <c r="Z702" s="256" t="s">
        <v>1417</v>
      </c>
      <c r="AA702" s="256" t="s">
        <v>1417</v>
      </c>
      <c r="AB702" s="256">
        <v>0.22216704532646278</v>
      </c>
      <c r="AC702" s="260">
        <v>-0.30412936392948547</v>
      </c>
      <c r="AD702" s="405">
        <v>0</v>
      </c>
      <c r="AE702" s="257" t="s">
        <v>2263</v>
      </c>
      <c r="AF702" s="257" t="s">
        <v>2118</v>
      </c>
      <c r="AG702" s="261" t="s">
        <v>1433</v>
      </c>
      <c r="AH702" s="261" t="s">
        <v>2113</v>
      </c>
      <c r="AI702" s="261">
        <v>500</v>
      </c>
      <c r="AJ702" s="261">
        <v>500</v>
      </c>
      <c r="AK702" s="261">
        <v>500</v>
      </c>
      <c r="AL702" s="256">
        <v>0.02</v>
      </c>
      <c r="AM702" s="256">
        <v>0.2</v>
      </c>
      <c r="AN702" s="256" t="s">
        <v>666</v>
      </c>
      <c r="AO702" s="254" t="s">
        <v>1324</v>
      </c>
      <c r="AP702" s="257" t="s">
        <v>716</v>
      </c>
      <c r="AQ702" s="263" t="s">
        <v>670</v>
      </c>
      <c r="AR702" s="256">
        <v>3.3333333333333331E-3</v>
      </c>
      <c r="AS702" s="256">
        <v>3.3333333333333331E-3</v>
      </c>
      <c r="AT702" s="256"/>
      <c r="AX702" s="508"/>
      <c r="AY702" s="509"/>
      <c r="AZ702" s="509"/>
      <c r="BA702" s="509"/>
      <c r="BB702" s="510"/>
      <c r="BC702" s="509"/>
      <c r="BD702" s="509"/>
      <c r="BE702" s="509"/>
      <c r="BF702" s="509"/>
      <c r="BG702" s="510"/>
      <c r="BH702" s="510"/>
      <c r="BI702" s="511"/>
      <c r="BJ702" s="511"/>
      <c r="BK702" s="511"/>
      <c r="BL702" s="510"/>
      <c r="BM702" s="510"/>
      <c r="BN702" s="510"/>
      <c r="BO702" s="510"/>
      <c r="BP702" s="510"/>
      <c r="BQ702" s="510"/>
      <c r="BR702" s="510"/>
      <c r="BS702" s="510"/>
      <c r="BT702" s="513"/>
      <c r="BU702" s="514"/>
      <c r="BV702" s="512"/>
      <c r="BW702" s="515"/>
    </row>
    <row r="703" spans="2:75" ht="15.75" customHeight="1">
      <c r="B703" s="250" t="s">
        <v>1649</v>
      </c>
      <c r="C703" s="251">
        <v>35535474000112</v>
      </c>
      <c r="D703" s="252" t="s">
        <v>14</v>
      </c>
      <c r="E703" s="252"/>
      <c r="F703" s="252"/>
      <c r="G703" s="253"/>
      <c r="H703" s="253" t="s">
        <v>34</v>
      </c>
      <c r="I703" s="253"/>
      <c r="J703" s="253"/>
      <c r="K703" s="254"/>
      <c r="L703" s="255"/>
      <c r="M703" s="255"/>
      <c r="N703" s="254">
        <v>525847</v>
      </c>
      <c r="O703" s="254" t="s">
        <v>1321</v>
      </c>
      <c r="P703" s="258">
        <v>43868</v>
      </c>
      <c r="Q703" s="259">
        <v>10123300.43</v>
      </c>
      <c r="R703" s="259">
        <v>16739680.993452383</v>
      </c>
      <c r="S703" s="254">
        <v>17</v>
      </c>
      <c r="T703" s="256">
        <v>1.7141941257610371E-2</v>
      </c>
      <c r="U703" s="256">
        <v>0.19281107286614035</v>
      </c>
      <c r="V703" s="256">
        <v>-3.643710258874E-2</v>
      </c>
      <c r="W703" s="256">
        <v>-0.33440910294213821</v>
      </c>
      <c r="X703" s="256">
        <v>6.0285670348645404E-3</v>
      </c>
      <c r="Y703" s="256">
        <v>4.2391620095763902E-2</v>
      </c>
      <c r="Z703" s="256" t="s">
        <v>1417</v>
      </c>
      <c r="AA703" s="256" t="s">
        <v>1417</v>
      </c>
      <c r="AB703" s="256">
        <v>0.26258309405673114</v>
      </c>
      <c r="AC703" s="260">
        <v>-0.40415077497404467</v>
      </c>
      <c r="AD703" s="405">
        <v>20658576000158</v>
      </c>
      <c r="AE703" s="257" t="s">
        <v>2318</v>
      </c>
      <c r="AF703" s="257" t="s">
        <v>2318</v>
      </c>
      <c r="AG703" s="261" t="s">
        <v>1436</v>
      </c>
      <c r="AH703" s="261" t="s">
        <v>2113</v>
      </c>
      <c r="AI703" s="261">
        <v>20000</v>
      </c>
      <c r="AJ703" s="261">
        <v>10000</v>
      </c>
      <c r="AK703" s="261">
        <v>20000</v>
      </c>
      <c r="AL703" s="256">
        <v>0</v>
      </c>
      <c r="AM703" s="256" t="s">
        <v>34</v>
      </c>
      <c r="AN703" s="256" t="s">
        <v>666</v>
      </c>
      <c r="AO703" s="254" t="s">
        <v>1324</v>
      </c>
      <c r="AP703" s="257" t="s">
        <v>716</v>
      </c>
      <c r="AQ703" s="263" t="s">
        <v>659</v>
      </c>
      <c r="AR703" s="256" t="s">
        <v>34</v>
      </c>
      <c r="AS703" s="256" t="s">
        <v>34</v>
      </c>
      <c r="AT703" s="256"/>
      <c r="AX703" s="508"/>
      <c r="AY703" s="509"/>
      <c r="AZ703" s="509"/>
      <c r="BA703" s="509"/>
      <c r="BB703" s="510"/>
      <c r="BC703" s="509"/>
      <c r="BD703" s="509"/>
      <c r="BE703" s="509"/>
      <c r="BF703" s="509"/>
      <c r="BG703" s="510"/>
      <c r="BH703" s="510"/>
      <c r="BI703" s="511"/>
      <c r="BJ703" s="511"/>
      <c r="BK703" s="511"/>
      <c r="BL703" s="510"/>
      <c r="BM703" s="510"/>
      <c r="BN703" s="510"/>
      <c r="BO703" s="510"/>
      <c r="BP703" s="510"/>
      <c r="BQ703" s="510"/>
      <c r="BR703" s="510"/>
      <c r="BS703" s="510"/>
      <c r="BT703" s="513"/>
      <c r="BU703" s="514"/>
      <c r="BV703" s="512"/>
      <c r="BW703" s="515"/>
    </row>
    <row r="704" spans="2:75" ht="15.75" customHeight="1">
      <c r="B704" s="250" t="s">
        <v>295</v>
      </c>
      <c r="C704" s="251">
        <v>35471548000102</v>
      </c>
      <c r="D704" s="252" t="s">
        <v>14</v>
      </c>
      <c r="E704" s="252" t="s">
        <v>607</v>
      </c>
      <c r="F704" s="252"/>
      <c r="G704" s="253"/>
      <c r="H704" s="253" t="s">
        <v>34</v>
      </c>
      <c r="I704" s="253" t="s">
        <v>34</v>
      </c>
      <c r="J704" s="253" t="s">
        <v>608</v>
      </c>
      <c r="K704" s="254" t="s">
        <v>48</v>
      </c>
      <c r="L704" s="255"/>
      <c r="M704" s="255" t="s">
        <v>34</v>
      </c>
      <c r="N704" s="254">
        <v>524174</v>
      </c>
      <c r="O704" s="254" t="s">
        <v>1321</v>
      </c>
      <c r="P704" s="258">
        <v>43852</v>
      </c>
      <c r="Q704" s="259">
        <v>14970787.800000001</v>
      </c>
      <c r="R704" s="259">
        <v>6181129.5892460365</v>
      </c>
      <c r="S704" s="254">
        <v>17</v>
      </c>
      <c r="T704" s="256">
        <v>-4.9402549956938824E-2</v>
      </c>
      <c r="U704" s="256">
        <v>-0.63863640575063241</v>
      </c>
      <c r="V704" s="256">
        <v>-0.22378021194631426</v>
      </c>
      <c r="W704" s="256">
        <v>-2.1937943388664487</v>
      </c>
      <c r="X704" s="256">
        <v>-0.13071526634095687</v>
      </c>
      <c r="Y704" s="256">
        <v>-0.99123761047063963</v>
      </c>
      <c r="Z704" s="256" t="s">
        <v>1417</v>
      </c>
      <c r="AA704" s="256" t="s">
        <v>1417</v>
      </c>
      <c r="AB704" s="256">
        <v>0.26819943409685071</v>
      </c>
      <c r="AC704" s="260">
        <v>-1.1724118796340377</v>
      </c>
      <c r="AD704" s="405">
        <v>9352724000179</v>
      </c>
      <c r="AE704" s="257" t="s">
        <v>2147</v>
      </c>
      <c r="AF704" s="257" t="s">
        <v>2109</v>
      </c>
      <c r="AG704" s="261" t="s">
        <v>1432</v>
      </c>
      <c r="AH704" s="261" t="s">
        <v>2113</v>
      </c>
      <c r="AI704" s="261">
        <v>1000</v>
      </c>
      <c r="AJ704" s="261">
        <v>100</v>
      </c>
      <c r="AK704" s="261">
        <v>1000</v>
      </c>
      <c r="AL704" s="256">
        <v>1.2500000000000001E-2</v>
      </c>
      <c r="AM704" s="256">
        <v>0.15</v>
      </c>
      <c r="AN704" s="256" t="s">
        <v>34</v>
      </c>
      <c r="AO704" s="254" t="s">
        <v>1324</v>
      </c>
      <c r="AP704" s="257" t="s">
        <v>716</v>
      </c>
      <c r="AQ704" s="263" t="s">
        <v>659</v>
      </c>
      <c r="AR704" s="256">
        <v>8.0000000000000002E-3</v>
      </c>
      <c r="AS704" s="256">
        <v>8.0000000000000002E-3</v>
      </c>
      <c r="AT704" s="256"/>
      <c r="AX704" s="508"/>
      <c r="AY704" s="509"/>
      <c r="AZ704" s="509"/>
      <c r="BA704" s="509"/>
      <c r="BB704" s="510"/>
      <c r="BC704" s="509"/>
      <c r="BD704" s="509"/>
      <c r="BE704" s="509"/>
      <c r="BF704" s="509"/>
      <c r="BG704" s="510"/>
      <c r="BH704" s="510"/>
      <c r="BI704" s="511"/>
      <c r="BJ704" s="511"/>
      <c r="BK704" s="511"/>
      <c r="BL704" s="510"/>
      <c r="BM704" s="510"/>
      <c r="BN704" s="510"/>
      <c r="BO704" s="510"/>
      <c r="BP704" s="510"/>
      <c r="BQ704" s="510"/>
      <c r="BR704" s="510"/>
      <c r="BS704" s="510"/>
      <c r="BT704" s="513"/>
      <c r="BU704" s="514"/>
      <c r="BV704" s="512"/>
      <c r="BW704" s="515"/>
    </row>
    <row r="705" spans="2:75" ht="15.75" customHeight="1">
      <c r="B705" s="250" t="s">
        <v>317</v>
      </c>
      <c r="C705" s="251">
        <v>11628883000103</v>
      </c>
      <c r="D705" s="252" t="s">
        <v>14</v>
      </c>
      <c r="E705" s="252" t="s">
        <v>607</v>
      </c>
      <c r="F705" s="252"/>
      <c r="G705" s="253"/>
      <c r="H705" s="253" t="s">
        <v>34</v>
      </c>
      <c r="I705" s="253" t="s">
        <v>34</v>
      </c>
      <c r="J705" s="253" t="s">
        <v>608</v>
      </c>
      <c r="K705" s="254" t="s">
        <v>48</v>
      </c>
      <c r="L705" s="255"/>
      <c r="M705" s="255" t="s">
        <v>34</v>
      </c>
      <c r="N705" s="254">
        <v>378100</v>
      </c>
      <c r="O705" s="254" t="s">
        <v>1321</v>
      </c>
      <c r="P705" s="258">
        <v>40269</v>
      </c>
      <c r="Q705" s="259">
        <v>994643888.30999994</v>
      </c>
      <c r="R705" s="259">
        <v>1020067737.3512301</v>
      </c>
      <c r="S705" s="254">
        <v>17</v>
      </c>
      <c r="T705" s="256">
        <v>6.3054644012524808E-2</v>
      </c>
      <c r="U705" s="256">
        <v>0.81511969024158648</v>
      </c>
      <c r="V705" s="256">
        <v>-5.2189966977977509E-2</v>
      </c>
      <c r="W705" s="256">
        <v>-0.51163618581870651</v>
      </c>
      <c r="X705" s="256">
        <v>4.8166027023124114E-2</v>
      </c>
      <c r="Y705" s="256">
        <v>0.36525173278330564</v>
      </c>
      <c r="Z705" s="256">
        <v>9.2641301755170602E-2</v>
      </c>
      <c r="AA705" s="256">
        <v>0.52660319239903453</v>
      </c>
      <c r="AB705" s="256">
        <v>0.18805621016611254</v>
      </c>
      <c r="AC705" s="260">
        <v>-0.70772908719517424</v>
      </c>
      <c r="AD705" s="405">
        <v>11616482000125</v>
      </c>
      <c r="AE705" s="257" t="s">
        <v>2344</v>
      </c>
      <c r="AF705" s="257" t="s">
        <v>2115</v>
      </c>
      <c r="AG705" s="261" t="s">
        <v>719</v>
      </c>
      <c r="AH705" s="261" t="s">
        <v>2113</v>
      </c>
      <c r="AI705" s="261">
        <v>5000</v>
      </c>
      <c r="AJ705" s="261">
        <v>0</v>
      </c>
      <c r="AK705" s="261">
        <v>0</v>
      </c>
      <c r="AL705" s="256">
        <v>0.02</v>
      </c>
      <c r="AM705" s="256">
        <v>0.2</v>
      </c>
      <c r="AN705" s="256" t="s">
        <v>666</v>
      </c>
      <c r="AO705" s="254" t="s">
        <v>1324</v>
      </c>
      <c r="AP705" s="257" t="s">
        <v>716</v>
      </c>
      <c r="AQ705" s="263" t="s">
        <v>665</v>
      </c>
      <c r="AR705" s="256">
        <v>5.3333333333333332E-3</v>
      </c>
      <c r="AS705" s="256">
        <v>5.3333333333333332E-3</v>
      </c>
      <c r="AT705" s="256"/>
      <c r="AX705" s="508"/>
      <c r="AY705" s="509"/>
      <c r="AZ705" s="509"/>
      <c r="BA705" s="509"/>
      <c r="BB705" s="510"/>
      <c r="BC705" s="509"/>
      <c r="BD705" s="509"/>
      <c r="BE705" s="509"/>
      <c r="BF705" s="509"/>
      <c r="BG705" s="510"/>
      <c r="BH705" s="510"/>
      <c r="BI705" s="511"/>
      <c r="BJ705" s="511"/>
      <c r="BK705" s="511"/>
      <c r="BL705" s="510"/>
      <c r="BM705" s="510"/>
      <c r="BN705" s="510"/>
      <c r="BO705" s="510"/>
      <c r="BP705" s="510"/>
      <c r="BQ705" s="510"/>
      <c r="BR705" s="510"/>
      <c r="BS705" s="510"/>
      <c r="BT705" s="513"/>
      <c r="BU705" s="514"/>
      <c r="BV705" s="512"/>
      <c r="BW705" s="515"/>
    </row>
    <row r="706" spans="2:75" ht="15.75" customHeight="1">
      <c r="B706" s="250" t="s">
        <v>27</v>
      </c>
      <c r="C706" s="251">
        <v>18471807000178</v>
      </c>
      <c r="D706" s="252" t="s">
        <v>14</v>
      </c>
      <c r="E706" s="252" t="s">
        <v>614</v>
      </c>
      <c r="F706" s="252"/>
      <c r="G706" s="253"/>
      <c r="H706" s="253" t="s">
        <v>1338</v>
      </c>
      <c r="I706" s="253" t="s">
        <v>34</v>
      </c>
      <c r="J706" s="253" t="s">
        <v>608</v>
      </c>
      <c r="K706" s="254" t="s">
        <v>48</v>
      </c>
      <c r="L706" s="255"/>
      <c r="M706" s="255" t="s">
        <v>34</v>
      </c>
      <c r="N706" s="254">
        <v>351830</v>
      </c>
      <c r="O706" s="254" t="s">
        <v>1321</v>
      </c>
      <c r="P706" s="258">
        <v>41578</v>
      </c>
      <c r="Q706" s="259">
        <v>173399527.11000001</v>
      </c>
      <c r="R706" s="259">
        <v>246038236.94456354</v>
      </c>
      <c r="S706" s="254">
        <v>17</v>
      </c>
      <c r="T706" s="256">
        <v>-0.11320163465984412</v>
      </c>
      <c r="U706" s="256">
        <v>-1.4633796260977199</v>
      </c>
      <c r="V706" s="256">
        <v>-0.20174770835021838</v>
      </c>
      <c r="W706" s="256">
        <v>-1.977802132764841</v>
      </c>
      <c r="X706" s="256">
        <v>-0.13393697048491748</v>
      </c>
      <c r="Y706" s="256">
        <v>-1.0156683782508393</v>
      </c>
      <c r="Z706" s="256">
        <v>1.255567958024395E-3</v>
      </c>
      <c r="AA706" s="256">
        <v>7.1370553138053296E-3</v>
      </c>
      <c r="AB706" s="256">
        <v>0.19210986120130455</v>
      </c>
      <c r="AC706" s="260">
        <v>-1.5822347959945204</v>
      </c>
      <c r="AD706" s="405">
        <v>18543673000153</v>
      </c>
      <c r="AE706" s="257" t="s">
        <v>2348</v>
      </c>
      <c r="AF706" s="257" t="s">
        <v>2118</v>
      </c>
      <c r="AG706" s="261" t="s">
        <v>1433</v>
      </c>
      <c r="AH706" s="261" t="s">
        <v>2113</v>
      </c>
      <c r="AI706" s="261">
        <v>50000</v>
      </c>
      <c r="AJ706" s="261">
        <v>5000</v>
      </c>
      <c r="AK706" s="261">
        <v>25000</v>
      </c>
      <c r="AL706" s="256">
        <v>0.02</v>
      </c>
      <c r="AM706" s="256">
        <v>0.2</v>
      </c>
      <c r="AN706" s="256" t="s">
        <v>34</v>
      </c>
      <c r="AO706" s="254" t="s">
        <v>1324</v>
      </c>
      <c r="AP706" s="257" t="s">
        <v>13</v>
      </c>
      <c r="AQ706" s="263" t="s">
        <v>668</v>
      </c>
      <c r="AR706" s="256">
        <v>5.3333333333333332E-3</v>
      </c>
      <c r="AS706" s="256">
        <v>5.3333333333333332E-3</v>
      </c>
      <c r="AT706" s="256"/>
      <c r="AX706" s="508"/>
      <c r="AY706" s="509"/>
      <c r="AZ706" s="509"/>
      <c r="BA706" s="509"/>
      <c r="BB706" s="510"/>
      <c r="BC706" s="509"/>
      <c r="BD706" s="509"/>
      <c r="BE706" s="509"/>
      <c r="BF706" s="509"/>
      <c r="BG706" s="510"/>
      <c r="BH706" s="510"/>
      <c r="BI706" s="511"/>
      <c r="BJ706" s="511"/>
      <c r="BK706" s="511"/>
      <c r="BL706" s="510"/>
      <c r="BM706" s="510"/>
      <c r="BN706" s="510"/>
      <c r="BO706" s="510"/>
      <c r="BP706" s="510"/>
      <c r="BQ706" s="510"/>
      <c r="BR706" s="510"/>
      <c r="BS706" s="510"/>
      <c r="BT706" s="513"/>
      <c r="BU706" s="514"/>
      <c r="BV706" s="512"/>
      <c r="BW706" s="515"/>
    </row>
    <row r="707" spans="2:75" ht="15.75" customHeight="1">
      <c r="B707" s="250" t="s">
        <v>1116</v>
      </c>
      <c r="C707" s="251">
        <v>14083797000142</v>
      </c>
      <c r="D707" s="252" t="s">
        <v>14</v>
      </c>
      <c r="E707" s="252" t="s">
        <v>607</v>
      </c>
      <c r="F707" s="252"/>
      <c r="G707" s="253"/>
      <c r="H707" s="253" t="s">
        <v>34</v>
      </c>
      <c r="I707" s="253" t="s">
        <v>34</v>
      </c>
      <c r="J707" s="253" t="s">
        <v>608</v>
      </c>
      <c r="K707" s="254" t="s">
        <v>48</v>
      </c>
      <c r="L707" s="255"/>
      <c r="M707" s="255" t="s">
        <v>34</v>
      </c>
      <c r="N707" s="254">
        <v>287962</v>
      </c>
      <c r="O707" s="254" t="s">
        <v>1321</v>
      </c>
      <c r="P707" s="258">
        <v>40816</v>
      </c>
      <c r="Q707" s="259">
        <v>144779857.47</v>
      </c>
      <c r="R707" s="259">
        <v>204980337.63019836</v>
      </c>
      <c r="S707" s="254">
        <v>17</v>
      </c>
      <c r="T707" s="256">
        <v>3.9061306122838424E-2</v>
      </c>
      <c r="U707" s="256">
        <v>0.504953128289098</v>
      </c>
      <c r="V707" s="256">
        <v>-0.17465687182789491</v>
      </c>
      <c r="W707" s="256">
        <v>-1.7122213502598733</v>
      </c>
      <c r="X707" s="256">
        <v>-9.6218047229766679E-2</v>
      </c>
      <c r="Y707" s="256">
        <v>-0.72963893116669076</v>
      </c>
      <c r="Z707" s="256">
        <v>4.0795513379084269E-2</v>
      </c>
      <c r="AA707" s="256">
        <v>0.23189492347331209</v>
      </c>
      <c r="AB707" s="256">
        <v>0.22619987622601978</v>
      </c>
      <c r="AC707" s="260">
        <v>-1.1648904412928103</v>
      </c>
      <c r="AD707" s="405">
        <v>14126355000136</v>
      </c>
      <c r="AE707" s="257" t="s">
        <v>2354</v>
      </c>
      <c r="AF707" s="257" t="s">
        <v>2118</v>
      </c>
      <c r="AG707" s="261" t="s">
        <v>1433</v>
      </c>
      <c r="AH707" s="261" t="s">
        <v>2113</v>
      </c>
      <c r="AI707" s="261">
        <v>25000</v>
      </c>
      <c r="AJ707" s="261">
        <v>5000</v>
      </c>
      <c r="AK707" s="261">
        <v>5000</v>
      </c>
      <c r="AL707" s="256">
        <v>2.9300000000000003E-2</v>
      </c>
      <c r="AM707" s="256" t="s">
        <v>34</v>
      </c>
      <c r="AN707" s="256" t="s">
        <v>2127</v>
      </c>
      <c r="AO707" s="254" t="s">
        <v>1324</v>
      </c>
      <c r="AP707" s="257" t="s">
        <v>716</v>
      </c>
      <c r="AQ707" s="263" t="s">
        <v>659</v>
      </c>
      <c r="AR707" s="256">
        <v>4.8833333333333333E-3</v>
      </c>
      <c r="AS707" s="256">
        <v>4.8833333333333333E-3</v>
      </c>
      <c r="AT707" s="256"/>
      <c r="AX707" s="508"/>
      <c r="AY707" s="509"/>
      <c r="AZ707" s="509"/>
      <c r="BA707" s="509"/>
      <c r="BB707" s="510"/>
      <c r="BC707" s="509"/>
      <c r="BD707" s="509"/>
      <c r="BE707" s="509"/>
      <c r="BF707" s="509"/>
      <c r="BG707" s="510"/>
      <c r="BH707" s="510"/>
      <c r="BI707" s="511"/>
      <c r="BJ707" s="511"/>
      <c r="BK707" s="511"/>
      <c r="BL707" s="510"/>
      <c r="BM707" s="510"/>
      <c r="BN707" s="510"/>
      <c r="BO707" s="510"/>
      <c r="BP707" s="510"/>
      <c r="BQ707" s="510"/>
      <c r="BR707" s="510"/>
      <c r="BS707" s="510"/>
      <c r="BT707" s="513"/>
      <c r="BU707" s="514"/>
      <c r="BV707" s="512"/>
      <c r="BW707" s="515"/>
    </row>
    <row r="708" spans="2:75" ht="15.75" customHeight="1">
      <c r="B708" s="250" t="s">
        <v>343</v>
      </c>
      <c r="C708" s="251">
        <v>17787909000134</v>
      </c>
      <c r="D708" s="252" t="s">
        <v>14</v>
      </c>
      <c r="E708" s="252" t="s">
        <v>607</v>
      </c>
      <c r="F708" s="252"/>
      <c r="G708" s="253"/>
      <c r="H708" s="253" t="s">
        <v>34</v>
      </c>
      <c r="I708" s="253" t="s">
        <v>34</v>
      </c>
      <c r="J708" s="253" t="s">
        <v>608</v>
      </c>
      <c r="K708" s="254" t="s">
        <v>48</v>
      </c>
      <c r="L708" s="255"/>
      <c r="M708" s="255" t="s">
        <v>34</v>
      </c>
      <c r="N708" s="254">
        <v>342106</v>
      </c>
      <c r="O708" s="254" t="s">
        <v>1321</v>
      </c>
      <c r="P708" s="258">
        <v>41486</v>
      </c>
      <c r="Q708" s="259">
        <v>101596319.61</v>
      </c>
      <c r="R708" s="259">
        <v>108886809.52948414</v>
      </c>
      <c r="S708" s="254">
        <v>17</v>
      </c>
      <c r="T708" s="256">
        <v>-2.1182488661821708E-3</v>
      </c>
      <c r="U708" s="256">
        <v>-2.7383016535848428E-2</v>
      </c>
      <c r="V708" s="256">
        <v>-0.18031703004530686</v>
      </c>
      <c r="W708" s="256">
        <v>-1.7677098268613061</v>
      </c>
      <c r="X708" s="256">
        <v>-0.10326190600380136</v>
      </c>
      <c r="Y708" s="256">
        <v>-0.78305379184145407</v>
      </c>
      <c r="Z708" s="256">
        <v>-4.5180216329627654E-2</v>
      </c>
      <c r="AA708" s="256">
        <v>-0.25681899651343149</v>
      </c>
      <c r="AB708" s="256">
        <v>0.24399567167911287</v>
      </c>
      <c r="AC708" s="260">
        <v>-1.091146514672636</v>
      </c>
      <c r="AD708" s="405">
        <v>26470606000184</v>
      </c>
      <c r="AE708" s="257" t="s">
        <v>2366</v>
      </c>
      <c r="AF708" s="257" t="s">
        <v>2112</v>
      </c>
      <c r="AG708" s="261" t="s">
        <v>59</v>
      </c>
      <c r="AH708" s="261" t="s">
        <v>2113</v>
      </c>
      <c r="AI708" s="261">
        <v>20000</v>
      </c>
      <c r="AJ708" s="261">
        <v>0</v>
      </c>
      <c r="AK708" s="261">
        <v>0</v>
      </c>
      <c r="AL708" s="256">
        <v>0.02</v>
      </c>
      <c r="AM708" s="256">
        <v>0.2</v>
      </c>
      <c r="AN708" s="256" t="s">
        <v>666</v>
      </c>
      <c r="AO708" s="254" t="s">
        <v>1324</v>
      </c>
      <c r="AP708" s="257" t="s">
        <v>716</v>
      </c>
      <c r="AQ708" s="263" t="s">
        <v>659</v>
      </c>
      <c r="AR708" s="256">
        <v>5.3333333333333332E-3</v>
      </c>
      <c r="AS708" s="256">
        <v>5.3333333333333332E-3</v>
      </c>
      <c r="AT708" s="256"/>
      <c r="AX708" s="508"/>
      <c r="AY708" s="509"/>
      <c r="AZ708" s="509"/>
      <c r="BA708" s="509"/>
      <c r="BB708" s="510"/>
      <c r="BC708" s="509"/>
      <c r="BD708" s="509"/>
      <c r="BE708" s="509"/>
      <c r="BF708" s="509"/>
      <c r="BG708" s="510"/>
      <c r="BH708" s="510"/>
      <c r="BI708" s="511"/>
      <c r="BJ708" s="511"/>
      <c r="BK708" s="511"/>
      <c r="BL708" s="510"/>
      <c r="BM708" s="510"/>
      <c r="BN708" s="510"/>
      <c r="BO708" s="510"/>
      <c r="BP708" s="510"/>
      <c r="BQ708" s="510"/>
      <c r="BR708" s="510"/>
      <c r="BS708" s="510"/>
      <c r="BT708" s="513"/>
      <c r="BU708" s="514"/>
      <c r="BV708" s="512"/>
      <c r="BW708" s="515"/>
    </row>
    <row r="709" spans="2:75" ht="15.75" customHeight="1">
      <c r="B709" s="250" t="s">
        <v>369</v>
      </c>
      <c r="C709" s="251">
        <v>2444266000159</v>
      </c>
      <c r="D709" s="252" t="s">
        <v>14</v>
      </c>
      <c r="E709" s="252" t="s">
        <v>607</v>
      </c>
      <c r="F709" s="252"/>
      <c r="G709" s="253"/>
      <c r="H709" s="253" t="s">
        <v>34</v>
      </c>
      <c r="I709" s="253" t="s">
        <v>34</v>
      </c>
      <c r="J709" s="253" t="s">
        <v>608</v>
      </c>
      <c r="K709" s="254" t="s">
        <v>48</v>
      </c>
      <c r="L709" s="255"/>
      <c r="M709" s="255" t="s">
        <v>1414</v>
      </c>
      <c r="N709" s="254">
        <v>202770</v>
      </c>
      <c r="O709" s="254" t="s">
        <v>1321</v>
      </c>
      <c r="P709" s="258">
        <v>39464</v>
      </c>
      <c r="Q709" s="259">
        <v>300500492.69999999</v>
      </c>
      <c r="R709" s="259">
        <v>282911409.58916652</v>
      </c>
      <c r="S709" s="254">
        <v>17</v>
      </c>
      <c r="T709" s="256">
        <v>0.11437918390774882</v>
      </c>
      <c r="U709" s="256">
        <v>1.4786020350610569</v>
      </c>
      <c r="V709" s="256">
        <v>1.4963646414855036E-2</v>
      </c>
      <c r="W709" s="256">
        <v>0.1466937693382093</v>
      </c>
      <c r="X709" s="256">
        <v>0.22401630526898053</v>
      </c>
      <c r="Y709" s="256">
        <v>1.6987563377798809</v>
      </c>
      <c r="Z709" s="256">
        <v>0.3411968420962106</v>
      </c>
      <c r="AA709" s="256">
        <v>1.9394734624862451</v>
      </c>
      <c r="AB709" s="256">
        <v>0.23468840245613334</v>
      </c>
      <c r="AC709" s="260">
        <v>-0.23353542634273275</v>
      </c>
      <c r="AD709" s="405">
        <v>0</v>
      </c>
      <c r="AE709" s="257" t="s">
        <v>2389</v>
      </c>
      <c r="AF709" s="257" t="s">
        <v>2112</v>
      </c>
      <c r="AG709" s="261" t="s">
        <v>59</v>
      </c>
      <c r="AH709" s="261" t="s">
        <v>2113</v>
      </c>
      <c r="AI709" s="261">
        <v>5000</v>
      </c>
      <c r="AJ709" s="261">
        <v>1000</v>
      </c>
      <c r="AK709" s="261">
        <v>5000</v>
      </c>
      <c r="AL709" s="256">
        <v>1.8000000000000002E-2</v>
      </c>
      <c r="AM709" s="256">
        <v>0.2</v>
      </c>
      <c r="AN709" s="256" t="s">
        <v>666</v>
      </c>
      <c r="AO709" s="254" t="s">
        <v>1324</v>
      </c>
      <c r="AP709" s="257" t="s">
        <v>716</v>
      </c>
      <c r="AQ709" s="263" t="s">
        <v>659</v>
      </c>
      <c r="AR709" s="256">
        <v>3.5999999999999995E-3</v>
      </c>
      <c r="AS709" s="256">
        <v>3.5999999999999995E-3</v>
      </c>
      <c r="AT709" s="256"/>
      <c r="AX709" s="508"/>
      <c r="AY709" s="509"/>
      <c r="AZ709" s="509"/>
      <c r="BA709" s="509"/>
      <c r="BB709" s="510"/>
      <c r="BC709" s="509"/>
      <c r="BD709" s="509"/>
      <c r="BE709" s="509"/>
      <c r="BF709" s="509"/>
      <c r="BG709" s="510"/>
      <c r="BH709" s="510"/>
      <c r="BI709" s="511"/>
      <c r="BJ709" s="511"/>
      <c r="BK709" s="511"/>
      <c r="BL709" s="510"/>
      <c r="BM709" s="510"/>
      <c r="BN709" s="510"/>
      <c r="BO709" s="510"/>
      <c r="BP709" s="510"/>
      <c r="BQ709" s="510"/>
      <c r="BR709" s="510"/>
      <c r="BS709" s="510"/>
      <c r="BT709" s="513"/>
      <c r="BU709" s="514"/>
      <c r="BV709" s="512"/>
      <c r="BW709" s="515"/>
    </row>
    <row r="710" spans="2:75" ht="15.75" customHeight="1">
      <c r="B710" s="250" t="s">
        <v>388</v>
      </c>
      <c r="C710" s="251">
        <v>17033928000175</v>
      </c>
      <c r="D710" s="252" t="s">
        <v>14</v>
      </c>
      <c r="E710" s="252" t="s">
        <v>607</v>
      </c>
      <c r="F710" s="252"/>
      <c r="G710" s="253"/>
      <c r="H710" s="253" t="s">
        <v>34</v>
      </c>
      <c r="I710" s="253" t="s">
        <v>34</v>
      </c>
      <c r="J710" s="253" t="s">
        <v>608</v>
      </c>
      <c r="K710" s="254" t="s">
        <v>48</v>
      </c>
      <c r="L710" s="255"/>
      <c r="M710" s="255" t="s">
        <v>34</v>
      </c>
      <c r="N710" s="254">
        <v>336106</v>
      </c>
      <c r="O710" s="254" t="s">
        <v>1321</v>
      </c>
      <c r="P710" s="258">
        <v>41415</v>
      </c>
      <c r="Q710" s="259">
        <v>27528686.390000001</v>
      </c>
      <c r="R710" s="259">
        <v>34355105.413095251</v>
      </c>
      <c r="S710" s="254">
        <v>17</v>
      </c>
      <c r="T710" s="256">
        <v>4.1258604423624723E-2</v>
      </c>
      <c r="U710" s="256">
        <v>0.53335803229505074</v>
      </c>
      <c r="V710" s="256">
        <v>-0.18110355791317023</v>
      </c>
      <c r="W710" s="256">
        <v>-1.7754204299073579</v>
      </c>
      <c r="X710" s="256">
        <v>-4.2188092156474566E-2</v>
      </c>
      <c r="Y710" s="256">
        <v>-0.31991996673456696</v>
      </c>
      <c r="Z710" s="256">
        <v>9.2111810761921209E-3</v>
      </c>
      <c r="AA710" s="256">
        <v>5.2359339393863988E-2</v>
      </c>
      <c r="AB710" s="256">
        <v>0.27648718821706997</v>
      </c>
      <c r="AC710" s="260">
        <v>-0.93590274020241415</v>
      </c>
      <c r="AD710" s="405">
        <v>17034032000100</v>
      </c>
      <c r="AE710" s="257" t="s">
        <v>2403</v>
      </c>
      <c r="AF710" s="257" t="s">
        <v>2118</v>
      </c>
      <c r="AG710" s="261" t="s">
        <v>1433</v>
      </c>
      <c r="AH710" s="261" t="s">
        <v>2113</v>
      </c>
      <c r="AI710" s="261">
        <v>500</v>
      </c>
      <c r="AJ710" s="261">
        <v>500</v>
      </c>
      <c r="AK710" s="261">
        <v>500</v>
      </c>
      <c r="AL710" s="256">
        <v>1.8500000000000003E-2</v>
      </c>
      <c r="AM710" s="256">
        <v>0.2</v>
      </c>
      <c r="AN710" s="256" t="s">
        <v>666</v>
      </c>
      <c r="AO710" s="254" t="s">
        <v>1324</v>
      </c>
      <c r="AP710" s="257" t="s">
        <v>716</v>
      </c>
      <c r="AQ710" s="263" t="s">
        <v>659</v>
      </c>
      <c r="AR710" s="256">
        <v>4.933333333333333E-3</v>
      </c>
      <c r="AS710" s="256">
        <v>4.933333333333333E-3</v>
      </c>
      <c r="AT710" s="256"/>
      <c r="AW710" s="508"/>
      <c r="AX710" s="508"/>
      <c r="AY710" s="509"/>
      <c r="AZ710" s="509"/>
      <c r="BA710" s="509"/>
      <c r="BB710" s="510"/>
      <c r="BC710" s="509"/>
      <c r="BD710" s="509"/>
      <c r="BE710" s="509"/>
      <c r="BF710" s="509"/>
      <c r="BG710" s="510"/>
      <c r="BH710" s="510"/>
      <c r="BI710" s="511"/>
      <c r="BJ710" s="511"/>
      <c r="BK710" s="511"/>
      <c r="BL710" s="195"/>
      <c r="BM710" s="510"/>
      <c r="BN710" s="510"/>
      <c r="BO710" s="510"/>
      <c r="BP710" s="510"/>
      <c r="BQ710" s="510"/>
      <c r="BR710" s="510"/>
      <c r="BS710" s="510"/>
      <c r="BT710" s="513"/>
      <c r="BU710" s="514"/>
      <c r="BV710" s="512"/>
      <c r="BW710" s="515"/>
    </row>
    <row r="711" spans="2:75" ht="15.75" customHeight="1">
      <c r="B711" s="250" t="s">
        <v>395</v>
      </c>
      <c r="C711" s="251">
        <v>3618010000183</v>
      </c>
      <c r="D711" s="252" t="s">
        <v>14</v>
      </c>
      <c r="E711" s="252" t="s">
        <v>607</v>
      </c>
      <c r="F711" s="252"/>
      <c r="G711" s="253"/>
      <c r="H711" s="253" t="s">
        <v>34</v>
      </c>
      <c r="I711" s="253" t="s">
        <v>34</v>
      </c>
      <c r="J711" s="253" t="s">
        <v>608</v>
      </c>
      <c r="K711" s="254" t="s">
        <v>48</v>
      </c>
      <c r="L711" s="255"/>
      <c r="M711" s="255" t="s">
        <v>34</v>
      </c>
      <c r="N711" s="254">
        <v>354491</v>
      </c>
      <c r="O711" s="254" t="s">
        <v>1321</v>
      </c>
      <c r="P711" s="258">
        <v>40584</v>
      </c>
      <c r="Q711" s="259">
        <v>22529142.25</v>
      </c>
      <c r="R711" s="259">
        <v>31603857.679523814</v>
      </c>
      <c r="S711" s="254">
        <v>17</v>
      </c>
      <c r="T711" s="256">
        <v>-9.2234920912558138E-2</v>
      </c>
      <c r="U711" s="256">
        <v>-1.1923388251746818</v>
      </c>
      <c r="V711" s="256">
        <v>-0.25149955084134512</v>
      </c>
      <c r="W711" s="256">
        <v>-2.4655365461695142</v>
      </c>
      <c r="X711" s="256">
        <v>-0.27605778436736372</v>
      </c>
      <c r="Y711" s="256">
        <v>-2.0933963276666314</v>
      </c>
      <c r="Z711" s="256">
        <v>-0.1729140664731379</v>
      </c>
      <c r="AA711" s="256">
        <v>-0.9828996105440746</v>
      </c>
      <c r="AB711" s="256">
        <v>0.39278159839446902</v>
      </c>
      <c r="AC711" s="260">
        <v>-0.78822915441285557</v>
      </c>
      <c r="AD711" s="405">
        <v>0</v>
      </c>
      <c r="AE711" s="257" t="s">
        <v>2407</v>
      </c>
      <c r="AF711" s="257" t="s">
        <v>2109</v>
      </c>
      <c r="AG711" s="261" t="s">
        <v>1432</v>
      </c>
      <c r="AH711" s="261" t="s">
        <v>2113</v>
      </c>
      <c r="AI711" s="261">
        <v>1000</v>
      </c>
      <c r="AJ711" s="261">
        <v>1000</v>
      </c>
      <c r="AK711" s="261">
        <v>1000</v>
      </c>
      <c r="AL711" s="256">
        <v>0.02</v>
      </c>
      <c r="AM711" s="256">
        <v>0.2</v>
      </c>
      <c r="AN711" s="256" t="s">
        <v>666</v>
      </c>
      <c r="AO711" s="254" t="s">
        <v>1324</v>
      </c>
      <c r="AP711" s="257" t="s">
        <v>716</v>
      </c>
      <c r="AQ711" s="263" t="s">
        <v>659</v>
      </c>
      <c r="AR711" s="256">
        <v>4.0000000000000001E-3</v>
      </c>
      <c r="AS711" s="256">
        <v>4.0000000000000001E-3</v>
      </c>
      <c r="AT711" s="256"/>
      <c r="AW711" s="508"/>
      <c r="AX711" s="508"/>
      <c r="AY711" s="509"/>
      <c r="AZ711" s="509"/>
      <c r="BA711" s="509"/>
      <c r="BB711" s="510"/>
      <c r="BC711" s="509"/>
      <c r="BD711" s="509"/>
      <c r="BE711" s="509"/>
      <c r="BF711" s="509"/>
      <c r="BG711" s="510"/>
      <c r="BH711" s="510"/>
      <c r="BI711" s="511"/>
      <c r="BJ711" s="511"/>
      <c r="BK711" s="511"/>
      <c r="BL711" s="195"/>
      <c r="BM711" s="510"/>
      <c r="BN711" s="510"/>
      <c r="BO711" s="510"/>
      <c r="BP711" s="510"/>
      <c r="BQ711" s="510"/>
      <c r="BR711" s="510"/>
      <c r="BS711" s="510"/>
      <c r="BT711" s="513"/>
      <c r="BU711" s="514"/>
      <c r="BV711" s="512"/>
      <c r="BW711" s="515"/>
    </row>
    <row r="712" spans="2:75" ht="15.75" customHeight="1">
      <c r="B712" s="250" t="s">
        <v>1240</v>
      </c>
      <c r="C712" s="251">
        <v>35948858000167</v>
      </c>
      <c r="D712" s="252" t="s">
        <v>14</v>
      </c>
      <c r="E712" s="252" t="s">
        <v>607</v>
      </c>
      <c r="F712" s="252"/>
      <c r="G712" s="253"/>
      <c r="H712" s="253" t="s">
        <v>34</v>
      </c>
      <c r="I712" s="253" t="s">
        <v>34</v>
      </c>
      <c r="J712" s="253" t="s">
        <v>608</v>
      </c>
      <c r="K712" s="254" t="s">
        <v>48</v>
      </c>
      <c r="L712" s="255"/>
      <c r="M712" s="255" t="s">
        <v>34</v>
      </c>
      <c r="N712" s="254">
        <v>528404</v>
      </c>
      <c r="O712" s="254" t="s">
        <v>1321</v>
      </c>
      <c r="P712" s="258">
        <v>43861</v>
      </c>
      <c r="Q712" s="259">
        <v>24780487.719999999</v>
      </c>
      <c r="R712" s="259">
        <v>25644113.766865075</v>
      </c>
      <c r="S712" s="254">
        <v>17</v>
      </c>
      <c r="T712" s="256">
        <v>-5.3134124292583573E-2</v>
      </c>
      <c r="U712" s="256">
        <v>-0.68687519552129572</v>
      </c>
      <c r="V712" s="256">
        <v>-0.14808713925280437</v>
      </c>
      <c r="W712" s="256">
        <v>-1.4517491288714479</v>
      </c>
      <c r="X712" s="256">
        <v>2.8423243703559642E-2</v>
      </c>
      <c r="Y712" s="256">
        <v>0.21553862038617388</v>
      </c>
      <c r="Z712" s="256" t="s">
        <v>1417</v>
      </c>
      <c r="AA712" s="256" t="s">
        <v>1417</v>
      </c>
      <c r="AB712" s="256">
        <v>0.21956598519636894</v>
      </c>
      <c r="AC712" s="260">
        <v>-1.0622173506648254</v>
      </c>
      <c r="AD712" s="405">
        <v>0</v>
      </c>
      <c r="AE712" s="257" t="s">
        <v>2421</v>
      </c>
      <c r="AF712" s="257" t="s">
        <v>2109</v>
      </c>
      <c r="AG712" s="261" t="s">
        <v>1432</v>
      </c>
      <c r="AH712" s="261" t="s">
        <v>2113</v>
      </c>
      <c r="AI712" s="261">
        <v>100</v>
      </c>
      <c r="AJ712" s="261">
        <v>100</v>
      </c>
      <c r="AK712" s="261">
        <v>100</v>
      </c>
      <c r="AL712" s="256">
        <v>1.8000000000000002E-2</v>
      </c>
      <c r="AM712" s="256">
        <v>0.2</v>
      </c>
      <c r="AN712" s="256" t="s">
        <v>2127</v>
      </c>
      <c r="AO712" s="254" t="s">
        <v>1324</v>
      </c>
      <c r="AP712" s="257" t="s">
        <v>716</v>
      </c>
      <c r="AQ712" s="263" t="s">
        <v>659</v>
      </c>
      <c r="AR712" s="256">
        <v>5.9999999999999993E-3</v>
      </c>
      <c r="AS712" s="256">
        <v>5.9999999999999993E-3</v>
      </c>
      <c r="AT712" s="256"/>
      <c r="AW712" s="508"/>
      <c r="AX712" s="508"/>
      <c r="AY712" s="509"/>
      <c r="AZ712" s="509"/>
      <c r="BA712" s="509"/>
      <c r="BB712" s="510"/>
      <c r="BC712" s="509"/>
      <c r="BD712" s="509"/>
      <c r="BE712" s="509"/>
      <c r="BF712" s="509"/>
      <c r="BG712" s="510"/>
      <c r="BH712" s="510"/>
      <c r="BI712" s="511"/>
      <c r="BJ712" s="511"/>
      <c r="BK712" s="511"/>
      <c r="BL712" s="195"/>
      <c r="BM712" s="510"/>
      <c r="BN712" s="510"/>
      <c r="BO712" s="510"/>
      <c r="BP712" s="510"/>
      <c r="BQ712" s="510"/>
      <c r="BR712" s="510"/>
      <c r="BS712" s="510"/>
      <c r="BT712" s="513"/>
      <c r="BU712" s="514"/>
      <c r="BV712" s="512"/>
      <c r="BW712" s="515"/>
    </row>
    <row r="713" spans="2:75" ht="15.75" customHeight="1">
      <c r="B713" s="250" t="s">
        <v>56</v>
      </c>
      <c r="C713" s="251">
        <v>21329166000126</v>
      </c>
      <c r="D713" s="252" t="s">
        <v>14</v>
      </c>
      <c r="E713" s="252" t="s">
        <v>607</v>
      </c>
      <c r="F713" s="252"/>
      <c r="G713" s="253"/>
      <c r="H713" s="253" t="s">
        <v>34</v>
      </c>
      <c r="I713" s="253" t="s">
        <v>34</v>
      </c>
      <c r="J713" s="253" t="s">
        <v>611</v>
      </c>
      <c r="K713" s="254" t="s">
        <v>48</v>
      </c>
      <c r="L713" s="255"/>
      <c r="M713" s="255" t="s">
        <v>34</v>
      </c>
      <c r="N713" s="254">
        <v>388467</v>
      </c>
      <c r="O713" s="254" t="s">
        <v>1321</v>
      </c>
      <c r="P713" s="258">
        <v>42003</v>
      </c>
      <c r="Q713" s="259">
        <v>454427107.88</v>
      </c>
      <c r="R713" s="259">
        <v>510114892.4330557</v>
      </c>
      <c r="S713" s="254">
        <v>17</v>
      </c>
      <c r="T713" s="256">
        <v>-2.1490990550757205E-2</v>
      </c>
      <c r="U713" s="256">
        <v>-0.27781822949057416</v>
      </c>
      <c r="V713" s="256">
        <v>-0.22349074911041311</v>
      </c>
      <c r="W713" s="256">
        <v>-2.1909566351875172</v>
      </c>
      <c r="X713" s="256">
        <v>-0.12899651955098035</v>
      </c>
      <c r="Y713" s="256">
        <v>-0.97820404133376071</v>
      </c>
      <c r="Z713" s="256">
        <v>-8.6826439542410094E-3</v>
      </c>
      <c r="AA713" s="256">
        <v>-4.9354963047162678E-2</v>
      </c>
      <c r="AB713" s="256">
        <v>0.30010401728451142</v>
      </c>
      <c r="AC713" s="260">
        <v>-1.0166381875775437</v>
      </c>
      <c r="AD713" s="405">
        <v>34507968000120</v>
      </c>
      <c r="AE713" s="257" t="s">
        <v>2435</v>
      </c>
      <c r="AF713" s="257" t="s">
        <v>2109</v>
      </c>
      <c r="AG713" s="261" t="s">
        <v>1432</v>
      </c>
      <c r="AH713" s="261" t="s">
        <v>2113</v>
      </c>
      <c r="AI713" s="261">
        <v>5000</v>
      </c>
      <c r="AJ713" s="261">
        <v>2000</v>
      </c>
      <c r="AK713" s="261">
        <v>2000</v>
      </c>
      <c r="AL713" s="256">
        <v>0.02</v>
      </c>
      <c r="AM713" s="256">
        <v>0.2</v>
      </c>
      <c r="AN713" s="256" t="s">
        <v>2160</v>
      </c>
      <c r="AO713" s="254" t="s">
        <v>1324</v>
      </c>
      <c r="AP713" s="257" t="s">
        <v>716</v>
      </c>
      <c r="AQ713" s="263" t="s">
        <v>659</v>
      </c>
      <c r="AR713" s="256">
        <v>5.3340000000000002E-3</v>
      </c>
      <c r="AS713" s="256">
        <v>5.3340000000000002E-3</v>
      </c>
      <c r="AT713" s="256"/>
      <c r="AW713" s="508"/>
      <c r="AX713" s="508"/>
      <c r="AY713" s="509"/>
      <c r="AZ713" s="509"/>
      <c r="BA713" s="509"/>
      <c r="BB713" s="510"/>
      <c r="BC713" s="509"/>
      <c r="BD713" s="509"/>
      <c r="BE713" s="509"/>
      <c r="BF713" s="509"/>
      <c r="BG713" s="510"/>
      <c r="BH713" s="510"/>
      <c r="BI713" s="511"/>
      <c r="BJ713" s="511"/>
      <c r="BK713" s="511"/>
      <c r="BL713" s="195"/>
      <c r="BM713" s="510"/>
      <c r="BN713" s="510"/>
      <c r="BO713" s="510"/>
      <c r="BP713" s="510"/>
      <c r="BQ713" s="510"/>
      <c r="BR713" s="510"/>
      <c r="BS713" s="510"/>
      <c r="BT713" s="513"/>
      <c r="BU713" s="514"/>
      <c r="BV713" s="512"/>
      <c r="BW713" s="515"/>
    </row>
    <row r="714" spans="2:75" ht="15.75" customHeight="1">
      <c r="B714" s="250" t="s">
        <v>1090</v>
      </c>
      <c r="C714" s="251">
        <v>28911598000190</v>
      </c>
      <c r="D714" s="252" t="s">
        <v>13</v>
      </c>
      <c r="E714" s="252" t="s">
        <v>616</v>
      </c>
      <c r="F714" s="252" t="s">
        <v>617</v>
      </c>
      <c r="G714" s="253" t="s">
        <v>34</v>
      </c>
      <c r="H714" s="253" t="s">
        <v>1337</v>
      </c>
      <c r="I714" s="253" t="s">
        <v>34</v>
      </c>
      <c r="J714" s="253" t="s">
        <v>608</v>
      </c>
      <c r="K714" s="254" t="s">
        <v>48</v>
      </c>
      <c r="L714" s="255"/>
      <c r="M714" s="255" t="s">
        <v>34</v>
      </c>
      <c r="N714" s="254">
        <v>456561</v>
      </c>
      <c r="O714" s="254" t="s">
        <v>1321</v>
      </c>
      <c r="P714" s="258">
        <v>43067</v>
      </c>
      <c r="Q714" s="259">
        <v>31175386.329999998</v>
      </c>
      <c r="R714" s="259">
        <v>54906909.112063497</v>
      </c>
      <c r="S714" s="254">
        <v>18</v>
      </c>
      <c r="T714" s="256">
        <v>6.1845813270589911E-2</v>
      </c>
      <c r="U714" s="256">
        <v>0.79949289929935619</v>
      </c>
      <c r="V714" s="256">
        <v>5.3487239784769436E-2</v>
      </c>
      <c r="W714" s="256">
        <v>0.52435379706213614</v>
      </c>
      <c r="X714" s="256">
        <v>9.6777738133495994E-2</v>
      </c>
      <c r="Y714" s="256">
        <v>0.73388316896342742</v>
      </c>
      <c r="Z714" s="256">
        <v>0.14622113391938418</v>
      </c>
      <c r="AA714" s="256">
        <v>0.83116832837311483</v>
      </c>
      <c r="AB714" s="256">
        <v>4.7957360763387857E-2</v>
      </c>
      <c r="AC714" s="260">
        <v>-0.91533694080022543</v>
      </c>
      <c r="AD714" s="405">
        <v>0</v>
      </c>
      <c r="AE714" s="257" t="s">
        <v>2336</v>
      </c>
      <c r="AF714" s="257" t="s">
        <v>2118</v>
      </c>
      <c r="AG714" s="261" t="s">
        <v>1433</v>
      </c>
      <c r="AH714" s="261" t="s">
        <v>2113</v>
      </c>
      <c r="AI714" s="261">
        <v>1000</v>
      </c>
      <c r="AJ714" s="261">
        <v>500</v>
      </c>
      <c r="AK714" s="261">
        <v>1000</v>
      </c>
      <c r="AL714" s="256">
        <v>0.02</v>
      </c>
      <c r="AM714" s="256">
        <v>0.2</v>
      </c>
      <c r="AN714" s="256" t="s">
        <v>64</v>
      </c>
      <c r="AO714" s="254" t="s">
        <v>1324</v>
      </c>
      <c r="AP714" s="257" t="s">
        <v>13</v>
      </c>
      <c r="AQ714" s="263" t="s">
        <v>674</v>
      </c>
      <c r="AR714" s="256">
        <v>5.4000000000000003E-3</v>
      </c>
      <c r="AS714" s="256">
        <v>5.4000000000000003E-3</v>
      </c>
      <c r="AT714" s="256"/>
      <c r="AX714" s="508"/>
      <c r="AY714" s="509"/>
      <c r="AZ714" s="509"/>
      <c r="BA714" s="509"/>
      <c r="BB714" s="510"/>
      <c r="BC714" s="509"/>
      <c r="BD714" s="509"/>
      <c r="BE714" s="509"/>
      <c r="BF714" s="509"/>
      <c r="BG714" s="510"/>
      <c r="BH714" s="510"/>
      <c r="BI714" s="511"/>
      <c r="BJ714" s="511"/>
      <c r="BK714" s="511"/>
      <c r="BL714" s="510"/>
      <c r="BM714" s="510"/>
      <c r="BN714" s="510"/>
      <c r="BO714" s="510"/>
      <c r="BP714" s="510"/>
      <c r="BQ714" s="510"/>
      <c r="BR714" s="510"/>
      <c r="BS714" s="510"/>
      <c r="BT714" s="513"/>
      <c r="BU714" s="514"/>
      <c r="BV714" s="512"/>
      <c r="BW714" s="515"/>
    </row>
    <row r="715" spans="2:75" ht="15.75" customHeight="1">
      <c r="B715" s="250" t="s">
        <v>927</v>
      </c>
      <c r="C715" s="251">
        <v>23799268000130</v>
      </c>
      <c r="D715" s="252" t="s">
        <v>13</v>
      </c>
      <c r="E715" s="252" t="s">
        <v>616</v>
      </c>
      <c r="F715" s="252" t="s">
        <v>619</v>
      </c>
      <c r="G715" s="253" t="s">
        <v>34</v>
      </c>
      <c r="H715" s="253" t="s">
        <v>1338</v>
      </c>
      <c r="I715" s="253" t="s">
        <v>34</v>
      </c>
      <c r="J715" s="253" t="s">
        <v>611</v>
      </c>
      <c r="K715" s="254" t="s">
        <v>48</v>
      </c>
      <c r="L715" s="255"/>
      <c r="M715" s="255" t="s">
        <v>34</v>
      </c>
      <c r="N715" s="254">
        <v>429661</v>
      </c>
      <c r="O715" s="254" t="s">
        <v>1321</v>
      </c>
      <c r="P715" s="258">
        <v>42607</v>
      </c>
      <c r="Q715" s="259">
        <v>135896753.91</v>
      </c>
      <c r="R715" s="259">
        <v>98922948.280634865</v>
      </c>
      <c r="S715" s="254">
        <v>18</v>
      </c>
      <c r="T715" s="256">
        <v>0.18858312215358608</v>
      </c>
      <c r="U715" s="256">
        <v>2.4378508279911744</v>
      </c>
      <c r="V715" s="256">
        <v>0.24431310627138103</v>
      </c>
      <c r="W715" s="256">
        <v>2.3950853598155262</v>
      </c>
      <c r="X715" s="256">
        <v>1.5505812770626481</v>
      </c>
      <c r="Y715" s="256">
        <v>11.758339503413517</v>
      </c>
      <c r="Z715" s="256">
        <v>1.8661332228550194</v>
      </c>
      <c r="AA715" s="256">
        <v>10.607706217194901</v>
      </c>
      <c r="AB715" s="256">
        <v>0.28338554307643565</v>
      </c>
      <c r="AC715" s="260">
        <v>0.56944063743838524</v>
      </c>
      <c r="AD715" s="405">
        <v>0</v>
      </c>
      <c r="AE715" s="257" t="s">
        <v>2234</v>
      </c>
      <c r="AF715" s="257" t="s">
        <v>2112</v>
      </c>
      <c r="AG715" s="261" t="s">
        <v>59</v>
      </c>
      <c r="AH715" s="261" t="s">
        <v>2113</v>
      </c>
      <c r="AI715" s="261">
        <v>5000</v>
      </c>
      <c r="AJ715" s="261">
        <v>0</v>
      </c>
      <c r="AK715" s="261">
        <v>5000</v>
      </c>
      <c r="AL715" s="256">
        <v>0.02</v>
      </c>
      <c r="AM715" s="256">
        <v>0.2</v>
      </c>
      <c r="AN715" s="256" t="s">
        <v>64</v>
      </c>
      <c r="AO715" s="254" t="s">
        <v>1324</v>
      </c>
      <c r="AP715" s="257" t="s">
        <v>13</v>
      </c>
      <c r="AQ715" s="263" t="s">
        <v>668</v>
      </c>
      <c r="AR715" s="256">
        <v>4.0000000000000001E-3</v>
      </c>
      <c r="AS715" s="256">
        <v>4.0000000000000001E-3</v>
      </c>
      <c r="AT715" s="256"/>
      <c r="AX715" s="508"/>
      <c r="AY715" s="509"/>
      <c r="AZ715" s="509"/>
      <c r="BA715" s="509"/>
      <c r="BB715" s="510"/>
      <c r="BC715" s="509"/>
      <c r="BD715" s="509"/>
      <c r="BE715" s="509"/>
      <c r="BF715" s="509"/>
      <c r="BG715" s="510"/>
      <c r="BH715" s="510"/>
      <c r="BI715" s="511"/>
      <c r="BJ715" s="511"/>
      <c r="BK715" s="511"/>
      <c r="BL715" s="510"/>
      <c r="BM715" s="510"/>
      <c r="BN715" s="510"/>
      <c r="BO715" s="510"/>
      <c r="BP715" s="510"/>
      <c r="BQ715" s="510"/>
      <c r="BR715" s="510"/>
      <c r="BS715" s="510"/>
      <c r="BT715" s="513"/>
      <c r="BU715" s="514"/>
      <c r="BV715" s="512"/>
      <c r="BW715" s="515"/>
    </row>
    <row r="716" spans="2:75" ht="15.75" customHeight="1">
      <c r="B716" s="250" t="s">
        <v>964</v>
      </c>
      <c r="C716" s="251">
        <v>36352424000162</v>
      </c>
      <c r="D716" s="252" t="s">
        <v>14</v>
      </c>
      <c r="E716" s="252" t="s">
        <v>607</v>
      </c>
      <c r="F716" s="252"/>
      <c r="G716" s="253"/>
      <c r="H716" s="253" t="s">
        <v>34</v>
      </c>
      <c r="I716" s="253" t="s">
        <v>34</v>
      </c>
      <c r="J716" s="253" t="s">
        <v>611</v>
      </c>
      <c r="K716" s="254" t="s">
        <v>49</v>
      </c>
      <c r="L716" s="255"/>
      <c r="M716" s="255" t="s">
        <v>1414</v>
      </c>
      <c r="N716" s="254">
        <v>557021</v>
      </c>
      <c r="O716" s="254" t="s">
        <v>1321</v>
      </c>
      <c r="P716" s="258">
        <v>44132</v>
      </c>
      <c r="Q716" s="259">
        <v>18551952.260000002</v>
      </c>
      <c r="R716" s="259">
        <v>25741449.411904752</v>
      </c>
      <c r="S716" s="254">
        <v>19</v>
      </c>
      <c r="T716" s="256">
        <v>-0.28399075586252631</v>
      </c>
      <c r="U716" s="256">
        <v>-3.6712039307391113</v>
      </c>
      <c r="V716" s="256">
        <v>-0.204763034307195</v>
      </c>
      <c r="W716" s="256">
        <v>-2.0073624095950344</v>
      </c>
      <c r="X716" s="256" t="s">
        <v>1417</v>
      </c>
      <c r="Y716" s="256" t="s">
        <v>1417</v>
      </c>
      <c r="Z716" s="256" t="s">
        <v>1417</v>
      </c>
      <c r="AA716" s="256" t="s">
        <v>1417</v>
      </c>
      <c r="AB716" s="256">
        <v>0.21166265914645094</v>
      </c>
      <c r="AC716" s="260">
        <v>-1.4354780499797222</v>
      </c>
      <c r="AD716" s="405">
        <v>36327593000142</v>
      </c>
      <c r="AE716" s="257" t="s">
        <v>2258</v>
      </c>
      <c r="AF716" s="257" t="s">
        <v>2118</v>
      </c>
      <c r="AG716" s="261" t="s">
        <v>1433</v>
      </c>
      <c r="AH716" s="261" t="s">
        <v>2110</v>
      </c>
      <c r="AI716" s="261">
        <v>1000</v>
      </c>
      <c r="AJ716" s="261">
        <v>1000</v>
      </c>
      <c r="AK716" s="261">
        <v>1000</v>
      </c>
      <c r="AL716" s="256">
        <v>1.2E-2</v>
      </c>
      <c r="AM716" s="256" t="s">
        <v>34</v>
      </c>
      <c r="AN716" s="256" t="s">
        <v>34</v>
      </c>
      <c r="AO716" s="254" t="s">
        <v>1324</v>
      </c>
      <c r="AP716" s="257" t="s">
        <v>716</v>
      </c>
      <c r="AQ716" s="263" t="s">
        <v>687</v>
      </c>
      <c r="AR716" s="256">
        <v>3.2000000000000002E-3</v>
      </c>
      <c r="AS716" s="256">
        <v>3.2000000000000002E-3</v>
      </c>
      <c r="AT716" s="256"/>
      <c r="AW716" s="508"/>
      <c r="AX716" s="508"/>
      <c r="AY716" s="509"/>
      <c r="AZ716" s="509"/>
      <c r="BA716" s="509"/>
      <c r="BB716" s="510"/>
      <c r="BC716" s="509"/>
      <c r="BD716" s="509"/>
      <c r="BE716" s="509"/>
      <c r="BF716" s="509"/>
      <c r="BG716" s="510"/>
      <c r="BH716" s="510"/>
      <c r="BI716" s="511"/>
      <c r="BJ716" s="511"/>
      <c r="BK716" s="511"/>
      <c r="BL716" s="195"/>
      <c r="BM716" s="510"/>
      <c r="BN716" s="510"/>
      <c r="BO716" s="510"/>
      <c r="BP716" s="510"/>
      <c r="BQ716" s="510"/>
      <c r="BR716" s="510"/>
      <c r="BS716" s="510"/>
      <c r="BT716" s="513"/>
      <c r="BU716" s="514"/>
      <c r="BV716" s="512"/>
      <c r="BW716" s="515"/>
    </row>
    <row r="717" spans="2:75" ht="15.75" customHeight="1">
      <c r="B717" s="250" t="s">
        <v>1236</v>
      </c>
      <c r="C717" s="251">
        <v>17439235000187</v>
      </c>
      <c r="D717" s="252" t="s">
        <v>14</v>
      </c>
      <c r="E717" s="252" t="s">
        <v>614</v>
      </c>
      <c r="F717" s="252"/>
      <c r="G717" s="253"/>
      <c r="H717" s="253" t="s">
        <v>1338</v>
      </c>
      <c r="I717" s="253" t="s">
        <v>34</v>
      </c>
      <c r="J717" s="253" t="s">
        <v>608</v>
      </c>
      <c r="K717" s="254" t="s">
        <v>48</v>
      </c>
      <c r="L717" s="255"/>
      <c r="M717" s="255" t="s">
        <v>34</v>
      </c>
      <c r="N717" s="254">
        <v>331945</v>
      </c>
      <c r="O717" s="254" t="s">
        <v>1321</v>
      </c>
      <c r="P717" s="258">
        <v>41359</v>
      </c>
      <c r="Q717" s="259">
        <v>55375275.299999997</v>
      </c>
      <c r="R717" s="259">
        <v>45904576.417222224</v>
      </c>
      <c r="S717" s="254">
        <v>19</v>
      </c>
      <c r="T717" s="256">
        <v>9.1850768012400108E-2</v>
      </c>
      <c r="U717" s="256">
        <v>1.1873728056548505</v>
      </c>
      <c r="V717" s="256">
        <v>-5.4375174358286316E-2</v>
      </c>
      <c r="W717" s="256">
        <v>-0.53305852490077299</v>
      </c>
      <c r="X717" s="256">
        <v>8.2754091106896244E-2</v>
      </c>
      <c r="Y717" s="256">
        <v>0.62753930601729113</v>
      </c>
      <c r="Z717" s="256">
        <v>0.27893709835663372</v>
      </c>
      <c r="AA717" s="256">
        <v>1.5855688951923481</v>
      </c>
      <c r="AB717" s="256">
        <v>0.23828110523979057</v>
      </c>
      <c r="AC717" s="260">
        <v>-0.523615934734456</v>
      </c>
      <c r="AD717" s="405">
        <v>0</v>
      </c>
      <c r="AE717" s="257" t="s">
        <v>2419</v>
      </c>
      <c r="AF717" s="257" t="s">
        <v>2109</v>
      </c>
      <c r="AG717" s="261" t="s">
        <v>1432</v>
      </c>
      <c r="AH717" s="261" t="s">
        <v>2113</v>
      </c>
      <c r="AI717" s="261">
        <v>1000</v>
      </c>
      <c r="AJ717" s="261">
        <v>500</v>
      </c>
      <c r="AK717" s="261">
        <v>500</v>
      </c>
      <c r="AL717" s="256">
        <v>0.02</v>
      </c>
      <c r="AM717" s="256">
        <v>0.2</v>
      </c>
      <c r="AN717" s="256" t="s">
        <v>666</v>
      </c>
      <c r="AO717" s="254" t="s">
        <v>1324</v>
      </c>
      <c r="AP717" s="257" t="s">
        <v>716</v>
      </c>
      <c r="AQ717" s="263" t="s">
        <v>670</v>
      </c>
      <c r="AR717" s="256">
        <v>4.6666666666666662E-3</v>
      </c>
      <c r="AS717" s="256">
        <v>4.6666666666666662E-3</v>
      </c>
      <c r="AT717" s="256"/>
      <c r="AX717" s="508"/>
      <c r="AY717" s="509"/>
      <c r="AZ717" s="509"/>
      <c r="BA717" s="509"/>
      <c r="BB717" s="510"/>
      <c r="BC717" s="509"/>
      <c r="BD717" s="509"/>
      <c r="BE717" s="509"/>
      <c r="BF717" s="509"/>
      <c r="BG717" s="510"/>
      <c r="BH717" s="510"/>
      <c r="BI717" s="511"/>
      <c r="BJ717" s="511"/>
      <c r="BK717" s="511"/>
      <c r="BL717" s="510"/>
      <c r="BM717" s="510"/>
      <c r="BN717" s="510"/>
      <c r="BO717" s="510"/>
      <c r="BP717" s="510"/>
      <c r="BQ717" s="510"/>
      <c r="BR717" s="510"/>
      <c r="BS717" s="510"/>
      <c r="BT717" s="513"/>
      <c r="BU717" s="514"/>
      <c r="BV717" s="512"/>
      <c r="BW717" s="515"/>
    </row>
    <row r="718" spans="2:75" ht="15.75" customHeight="1">
      <c r="B718" s="250" t="s">
        <v>62</v>
      </c>
      <c r="C718" s="251">
        <v>9550197000107</v>
      </c>
      <c r="D718" s="252" t="s">
        <v>14</v>
      </c>
      <c r="E718" s="252" t="s">
        <v>607</v>
      </c>
      <c r="F718" s="252"/>
      <c r="G718" s="253"/>
      <c r="H718" s="253" t="s">
        <v>34</v>
      </c>
      <c r="I718" s="253" t="s">
        <v>34</v>
      </c>
      <c r="J718" s="253" t="s">
        <v>608</v>
      </c>
      <c r="K718" s="254" t="s">
        <v>48</v>
      </c>
      <c r="L718" s="255"/>
      <c r="M718" s="255" t="s">
        <v>1414</v>
      </c>
      <c r="N718" s="254">
        <v>213691</v>
      </c>
      <c r="O718" s="254" t="s">
        <v>1321</v>
      </c>
      <c r="P718" s="258">
        <v>39629</v>
      </c>
      <c r="Q718" s="259">
        <v>345428700.72000003</v>
      </c>
      <c r="R718" s="259">
        <v>379102380.53019869</v>
      </c>
      <c r="S718" s="254">
        <v>20</v>
      </c>
      <c r="T718" s="256">
        <v>-3.7647870011649154E-2</v>
      </c>
      <c r="U718" s="256">
        <v>-0.48668136380336047</v>
      </c>
      <c r="V718" s="256">
        <v>-7.4805478087655697E-2</v>
      </c>
      <c r="W718" s="256">
        <v>-0.73334381497622037</v>
      </c>
      <c r="X718" s="256">
        <v>5.4805802864507092E-2</v>
      </c>
      <c r="Y718" s="256">
        <v>0.41560235917384331</v>
      </c>
      <c r="Z718" s="256">
        <v>0.18192514579187913</v>
      </c>
      <c r="AA718" s="256">
        <v>1.0341215066779466</v>
      </c>
      <c r="AB718" s="256">
        <v>0.24912221650959668</v>
      </c>
      <c r="AC718" s="260">
        <v>-0.57779851541551552</v>
      </c>
      <c r="AD718" s="405">
        <v>0</v>
      </c>
      <c r="AE718" s="257" t="s">
        <v>2114</v>
      </c>
      <c r="AF718" s="257" t="s">
        <v>2115</v>
      </c>
      <c r="AG718" s="261" t="s">
        <v>719</v>
      </c>
      <c r="AH718" s="261" t="s">
        <v>2113</v>
      </c>
      <c r="AI718" s="261">
        <v>500</v>
      </c>
      <c r="AJ718" s="261">
        <v>100</v>
      </c>
      <c r="AK718" s="261">
        <v>500</v>
      </c>
      <c r="AL718" s="519">
        <v>0.02</v>
      </c>
      <c r="AM718" s="519">
        <v>0.2</v>
      </c>
      <c r="AN718" s="256" t="s">
        <v>666</v>
      </c>
      <c r="AO718" s="254" t="s">
        <v>1324</v>
      </c>
      <c r="AP718" s="257" t="s">
        <v>716</v>
      </c>
      <c r="AQ718" s="263" t="s">
        <v>681</v>
      </c>
      <c r="AR718" s="256">
        <v>3.3333333333333331E-3</v>
      </c>
      <c r="AS718" s="256">
        <v>3.3333333333333331E-3</v>
      </c>
      <c r="AT718" s="256"/>
      <c r="AX718" s="508"/>
      <c r="AY718" s="509"/>
      <c r="AZ718" s="509"/>
      <c r="BA718" s="509"/>
      <c r="BB718" s="510"/>
      <c r="BC718" s="509"/>
      <c r="BD718" s="509"/>
      <c r="BE718" s="509"/>
      <c r="BF718" s="509"/>
      <c r="BG718" s="510"/>
      <c r="BH718" s="510"/>
      <c r="BI718" s="511"/>
      <c r="BJ718" s="511"/>
      <c r="BK718" s="511"/>
      <c r="BL718" s="510"/>
      <c r="BM718" s="510"/>
      <c r="BN718" s="510"/>
      <c r="BO718" s="510"/>
      <c r="BP718" s="510"/>
      <c r="BQ718" s="510"/>
      <c r="BR718" s="510"/>
      <c r="BS718" s="510"/>
      <c r="BT718" s="513"/>
      <c r="BU718" s="514"/>
      <c r="BV718" s="512"/>
      <c r="BW718" s="515"/>
    </row>
    <row r="719" spans="2:75" ht="15.75" customHeight="1">
      <c r="B719" s="250" t="s">
        <v>494</v>
      </c>
      <c r="C719" s="251">
        <v>37608764000174</v>
      </c>
      <c r="D719" s="252" t="s">
        <v>11</v>
      </c>
      <c r="E719" s="252" t="s">
        <v>661</v>
      </c>
      <c r="F719" s="252"/>
      <c r="G719" s="253"/>
      <c r="H719" s="253" t="s">
        <v>34</v>
      </c>
      <c r="I719" s="253" t="s">
        <v>34</v>
      </c>
      <c r="J719" s="253" t="s">
        <v>611</v>
      </c>
      <c r="K719" s="254" t="s">
        <v>48</v>
      </c>
      <c r="L719" s="255"/>
      <c r="M719" s="255" t="s">
        <v>34</v>
      </c>
      <c r="N719" s="254">
        <v>559199</v>
      </c>
      <c r="O719" s="254" t="s">
        <v>1321</v>
      </c>
      <c r="P719" s="258">
        <v>44124</v>
      </c>
      <c r="Q719" s="259">
        <v>11063356.74</v>
      </c>
      <c r="R719" s="259">
        <v>13980419.353055554</v>
      </c>
      <c r="S719" s="254">
        <v>20</v>
      </c>
      <c r="T719" s="256">
        <v>-0.22129780221734086</v>
      </c>
      <c r="U719" s="256">
        <v>-2.8607598824713416</v>
      </c>
      <c r="V719" s="256">
        <v>-0.26432354666680313</v>
      </c>
      <c r="W719" s="256">
        <v>-2.5912545853064421</v>
      </c>
      <c r="X719" s="256" t="s">
        <v>1417</v>
      </c>
      <c r="Y719" s="256" t="s">
        <v>1417</v>
      </c>
      <c r="Z719" s="256" t="s">
        <v>1417</v>
      </c>
      <c r="AA719" s="256" t="s">
        <v>1417</v>
      </c>
      <c r="AB719" s="256">
        <v>0.213715400369141</v>
      </c>
      <c r="AC719" s="260">
        <v>-1.7836390816942076</v>
      </c>
      <c r="AD719" s="405">
        <v>0</v>
      </c>
      <c r="AE719" s="257" t="s">
        <v>2281</v>
      </c>
      <c r="AF719" s="257" t="s">
        <v>976</v>
      </c>
      <c r="AG719" s="261" t="s">
        <v>976</v>
      </c>
      <c r="AH719" s="261" t="s">
        <v>726</v>
      </c>
      <c r="AI719" s="261">
        <v>1000</v>
      </c>
      <c r="AJ719" s="261">
        <v>100</v>
      </c>
      <c r="AK719" s="261">
        <v>1000</v>
      </c>
      <c r="AL719" s="256">
        <v>1.15E-2</v>
      </c>
      <c r="AM719" s="256">
        <v>0.2</v>
      </c>
      <c r="AN719" s="256" t="s">
        <v>64</v>
      </c>
      <c r="AO719" s="254" t="s">
        <v>1324</v>
      </c>
      <c r="AP719" s="257" t="s">
        <v>13</v>
      </c>
      <c r="AQ719" s="263" t="s">
        <v>679</v>
      </c>
      <c r="AR719" s="256">
        <v>2.3E-3</v>
      </c>
      <c r="AS719" s="256">
        <v>2.3E-3</v>
      </c>
      <c r="AT719" s="256"/>
      <c r="AX719" s="508"/>
      <c r="AY719" s="509"/>
      <c r="AZ719" s="509"/>
      <c r="BA719" s="509"/>
      <c r="BB719" s="510"/>
      <c r="BC719" s="509"/>
      <c r="BD719" s="509"/>
      <c r="BE719" s="509"/>
      <c r="BF719" s="509"/>
      <c r="BG719" s="510"/>
      <c r="BH719" s="510"/>
      <c r="BI719" s="511"/>
      <c r="BJ719" s="511"/>
      <c r="BK719" s="511"/>
      <c r="BL719" s="510"/>
      <c r="BM719" s="510"/>
      <c r="BN719" s="510"/>
      <c r="BO719" s="510"/>
      <c r="BP719" s="510"/>
      <c r="BQ719" s="510"/>
      <c r="BR719" s="510"/>
      <c r="BS719" s="510"/>
      <c r="BT719" s="513"/>
      <c r="BU719" s="514"/>
      <c r="BV719" s="512"/>
      <c r="BW719" s="515"/>
    </row>
    <row r="720" spans="2:75" ht="15.75" customHeight="1">
      <c r="B720" s="250" t="s">
        <v>1091</v>
      </c>
      <c r="C720" s="251">
        <v>17703320000100</v>
      </c>
      <c r="D720" s="252" t="s">
        <v>14</v>
      </c>
      <c r="E720" s="252" t="s">
        <v>607</v>
      </c>
      <c r="F720" s="252"/>
      <c r="G720" s="253"/>
      <c r="H720" s="253" t="s">
        <v>34</v>
      </c>
      <c r="I720" s="253" t="s">
        <v>34</v>
      </c>
      <c r="J720" s="253" t="s">
        <v>611</v>
      </c>
      <c r="K720" s="254"/>
      <c r="L720" s="255"/>
      <c r="M720" s="255" t="s">
        <v>34</v>
      </c>
      <c r="N720" s="254">
        <v>336408</v>
      </c>
      <c r="O720" s="254" t="s">
        <v>1321</v>
      </c>
      <c r="P720" s="258">
        <v>41422</v>
      </c>
      <c r="Q720" s="259">
        <v>4665023.1900000004</v>
      </c>
      <c r="R720" s="259">
        <v>3815180.346865078</v>
      </c>
      <c r="S720" s="254">
        <v>20</v>
      </c>
      <c r="T720" s="256">
        <v>-0.21127097354862867</v>
      </c>
      <c r="U720" s="256">
        <v>-2.7311411112207629</v>
      </c>
      <c r="V720" s="256">
        <v>-0.16949009145010896</v>
      </c>
      <c r="W720" s="256">
        <v>-1.6615696262116704</v>
      </c>
      <c r="X720" s="256">
        <v>2.3989900871301817E-2</v>
      </c>
      <c r="Y720" s="256">
        <v>0.181919776325666</v>
      </c>
      <c r="Z720" s="256">
        <v>0.46676770893445485</v>
      </c>
      <c r="AA720" s="256">
        <v>2.6532589781959568</v>
      </c>
      <c r="AB720" s="256">
        <v>0.19206452392949036</v>
      </c>
      <c r="AC720" s="260">
        <v>-1.376705347179868</v>
      </c>
      <c r="AD720" s="405">
        <v>17703461000123</v>
      </c>
      <c r="AE720" s="257" t="s">
        <v>2339</v>
      </c>
      <c r="AF720" s="257" t="s">
        <v>2118</v>
      </c>
      <c r="AG720" s="261" t="s">
        <v>1433</v>
      </c>
      <c r="AH720" s="261" t="s">
        <v>2113</v>
      </c>
      <c r="AI720" s="261">
        <v>20000</v>
      </c>
      <c r="AJ720" s="261">
        <v>5000</v>
      </c>
      <c r="AK720" s="261">
        <v>5000</v>
      </c>
      <c r="AL720" s="256">
        <v>0.02</v>
      </c>
      <c r="AM720" s="256">
        <v>0.2</v>
      </c>
      <c r="AN720" s="256" t="s">
        <v>2127</v>
      </c>
      <c r="AO720" s="254" t="s">
        <v>1324</v>
      </c>
      <c r="AP720" s="257" t="s">
        <v>716</v>
      </c>
      <c r="AQ720" s="263" t="s">
        <v>659</v>
      </c>
      <c r="AR720" s="256">
        <v>5.3340000000000002E-3</v>
      </c>
      <c r="AS720" s="256">
        <v>5.3340000000000002E-3</v>
      </c>
      <c r="AT720" s="256"/>
      <c r="AX720" s="508"/>
      <c r="AY720" s="509"/>
      <c r="AZ720" s="509"/>
      <c r="BA720" s="509"/>
      <c r="BB720" s="510"/>
      <c r="BC720" s="509"/>
      <c r="BD720" s="509"/>
      <c r="BE720" s="509"/>
      <c r="BF720" s="509"/>
      <c r="BG720" s="510"/>
      <c r="BH720" s="510"/>
      <c r="BI720" s="511"/>
      <c r="BJ720" s="511"/>
      <c r="BK720" s="511"/>
      <c r="BL720" s="510"/>
      <c r="BM720" s="510"/>
      <c r="BN720" s="510"/>
      <c r="BO720" s="510"/>
      <c r="BP720" s="510"/>
      <c r="BQ720" s="510"/>
      <c r="BR720" s="510"/>
      <c r="BS720" s="510"/>
      <c r="BT720" s="513"/>
      <c r="BU720" s="514"/>
      <c r="BV720" s="512"/>
      <c r="BW720" s="515"/>
    </row>
    <row r="721" spans="2:75" ht="15.75" customHeight="1">
      <c r="B721" s="250" t="s">
        <v>54</v>
      </c>
      <c r="C721" s="251">
        <v>18832847000106</v>
      </c>
      <c r="D721" s="252" t="s">
        <v>14</v>
      </c>
      <c r="E721" s="252" t="s">
        <v>614</v>
      </c>
      <c r="F721" s="252"/>
      <c r="G721" s="253"/>
      <c r="H721" s="253" t="s">
        <v>1338</v>
      </c>
      <c r="I721" s="253" t="s">
        <v>34</v>
      </c>
      <c r="J721" s="253" t="s">
        <v>608</v>
      </c>
      <c r="K721" s="254" t="s">
        <v>48</v>
      </c>
      <c r="L721" s="255"/>
      <c r="M721" s="255" t="s">
        <v>1414</v>
      </c>
      <c r="N721" s="254">
        <v>350729</v>
      </c>
      <c r="O721" s="254" t="s">
        <v>1324</v>
      </c>
      <c r="P721" s="258">
        <v>41575</v>
      </c>
      <c r="Q721" s="259">
        <v>207692558.41999999</v>
      </c>
      <c r="R721" s="259">
        <v>225616883.67063481</v>
      </c>
      <c r="S721" s="254">
        <v>20</v>
      </c>
      <c r="T721" s="256">
        <v>-3.578473345184463E-3</v>
      </c>
      <c r="U721" s="256">
        <v>-4.6259623384522483E-2</v>
      </c>
      <c r="V721" s="256">
        <v>-0.31489997678305703</v>
      </c>
      <c r="W721" s="256">
        <v>-3.0870727146401062</v>
      </c>
      <c r="X721" s="256">
        <v>-0.30987055412428322</v>
      </c>
      <c r="Y721" s="256">
        <v>-2.3498047031796996</v>
      </c>
      <c r="Z721" s="256">
        <v>0.77442558695012464</v>
      </c>
      <c r="AA721" s="256">
        <v>4.4020860959099197</v>
      </c>
      <c r="AB721" s="256">
        <v>0.65317564666938055</v>
      </c>
      <c r="AC721" s="260">
        <v>-0.40316206378257308</v>
      </c>
      <c r="AD721" s="405">
        <v>0</v>
      </c>
      <c r="AE721" s="257" t="s">
        <v>2428</v>
      </c>
      <c r="AF721" s="257" t="s">
        <v>2118</v>
      </c>
      <c r="AG721" s="261" t="s">
        <v>1433</v>
      </c>
      <c r="AH721" s="261" t="s">
        <v>2113</v>
      </c>
      <c r="AI721" s="261">
        <v>500000</v>
      </c>
      <c r="AJ721" s="261">
        <v>1000</v>
      </c>
      <c r="AK721" s="261">
        <v>5000</v>
      </c>
      <c r="AL721" s="256">
        <v>0.02</v>
      </c>
      <c r="AM721" s="256">
        <v>0.2</v>
      </c>
      <c r="AN721" s="256" t="s">
        <v>34</v>
      </c>
      <c r="AO721" s="254" t="s">
        <v>1324</v>
      </c>
      <c r="AP721" s="257" t="s">
        <v>13</v>
      </c>
      <c r="AQ721" s="263" t="s">
        <v>674</v>
      </c>
      <c r="AR721" s="256">
        <v>3.3333333333333331E-3</v>
      </c>
      <c r="AS721" s="256">
        <v>3.3333333333333331E-3</v>
      </c>
      <c r="AT721" s="256"/>
      <c r="AX721" s="508"/>
      <c r="AY721" s="509"/>
      <c r="AZ721" s="509"/>
      <c r="BA721" s="509"/>
      <c r="BB721" s="510"/>
      <c r="BC721" s="509"/>
      <c r="BD721" s="509"/>
      <c r="BE721" s="509"/>
      <c r="BF721" s="509"/>
      <c r="BG721" s="510"/>
      <c r="BH721" s="510"/>
      <c r="BI721" s="511"/>
      <c r="BJ721" s="511"/>
      <c r="BK721" s="511"/>
      <c r="BL721" s="510"/>
      <c r="BM721" s="510"/>
      <c r="BN721" s="510"/>
      <c r="BO721" s="510"/>
      <c r="BP721" s="510"/>
      <c r="BQ721" s="510"/>
      <c r="BR721" s="510"/>
      <c r="BS721" s="510"/>
      <c r="BT721" s="513"/>
      <c r="BU721" s="514"/>
      <c r="BV721" s="512"/>
      <c r="BW721" s="515"/>
    </row>
    <row r="722" spans="2:75" ht="15.75" customHeight="1">
      <c r="B722" s="250" t="s">
        <v>767</v>
      </c>
      <c r="C722" s="251">
        <v>44613740000179</v>
      </c>
      <c r="D722" s="252" t="s">
        <v>13</v>
      </c>
      <c r="E722" s="252" t="s">
        <v>615</v>
      </c>
      <c r="F722" s="252" t="s">
        <v>619</v>
      </c>
      <c r="G722" s="253" t="s">
        <v>34</v>
      </c>
      <c r="H722" s="253" t="s">
        <v>1338</v>
      </c>
      <c r="I722" s="253" t="s">
        <v>34</v>
      </c>
      <c r="J722" s="253"/>
      <c r="K722" s="254" t="s">
        <v>48</v>
      </c>
      <c r="L722" s="255"/>
      <c r="M722" s="255" t="s">
        <v>34</v>
      </c>
      <c r="N722" s="254">
        <v>637157</v>
      </c>
      <c r="O722" s="254" t="s">
        <v>1321</v>
      </c>
      <c r="P722" s="258">
        <v>44593</v>
      </c>
      <c r="Q722" s="259">
        <v>6482358.4500000002</v>
      </c>
      <c r="R722" s="259" t="s">
        <v>1417</v>
      </c>
      <c r="S722" s="254">
        <v>21</v>
      </c>
      <c r="T722" s="256" t="s">
        <v>1417</v>
      </c>
      <c r="U722" s="256" t="s">
        <v>1417</v>
      </c>
      <c r="V722" s="256" t="s">
        <v>1417</v>
      </c>
      <c r="W722" s="256" t="s">
        <v>1417</v>
      </c>
      <c r="X722" s="256" t="s">
        <v>1417</v>
      </c>
      <c r="Y722" s="256" t="s">
        <v>1417</v>
      </c>
      <c r="Z722" s="256" t="s">
        <v>1417</v>
      </c>
      <c r="AA722" s="256" t="s">
        <v>1417</v>
      </c>
      <c r="AB722" s="256" t="s">
        <v>1417</v>
      </c>
      <c r="AC722" s="260" t="s">
        <v>1417</v>
      </c>
      <c r="AD722" s="405">
        <v>44574244000153</v>
      </c>
      <c r="AE722" s="257" t="s">
        <v>2149</v>
      </c>
      <c r="AF722" s="257" t="s">
        <v>2109</v>
      </c>
      <c r="AG722" s="261" t="s">
        <v>1432</v>
      </c>
      <c r="AH722" s="261" t="s">
        <v>2113</v>
      </c>
      <c r="AI722" s="261">
        <v>1000</v>
      </c>
      <c r="AJ722" s="261">
        <v>500</v>
      </c>
      <c r="AK722" s="261">
        <v>500</v>
      </c>
      <c r="AL722" s="519">
        <v>1.4999999999999999E-2</v>
      </c>
      <c r="AM722" s="519">
        <v>0.2</v>
      </c>
      <c r="AN722" s="256" t="s">
        <v>2127</v>
      </c>
      <c r="AO722" s="254" t="s">
        <v>1324</v>
      </c>
      <c r="AP722" s="257" t="s">
        <v>13</v>
      </c>
      <c r="AQ722" s="263" t="s">
        <v>668</v>
      </c>
      <c r="AR722" s="256">
        <v>4.0000000000000001E-3</v>
      </c>
      <c r="AS722" s="256">
        <v>4.0000000000000001E-3</v>
      </c>
      <c r="AT722" s="256"/>
      <c r="AX722" s="508"/>
      <c r="AY722" s="509"/>
      <c r="AZ722" s="509"/>
      <c r="BA722" s="509"/>
      <c r="BB722" s="510"/>
      <c r="BC722" s="509"/>
      <c r="BD722" s="509"/>
      <c r="BE722" s="509"/>
      <c r="BF722" s="509"/>
      <c r="BG722" s="510"/>
      <c r="BH722" s="510"/>
      <c r="BI722" s="511"/>
      <c r="BJ722" s="511"/>
      <c r="BK722" s="511"/>
      <c r="BL722" s="510"/>
      <c r="BM722" s="510"/>
      <c r="BN722" s="510"/>
      <c r="BO722" s="510"/>
      <c r="BP722" s="510"/>
      <c r="BQ722" s="510"/>
      <c r="BR722" s="510"/>
      <c r="BS722" s="510"/>
      <c r="BT722" s="513"/>
      <c r="BU722" s="514"/>
      <c r="BV722" s="512"/>
      <c r="BW722" s="515"/>
    </row>
    <row r="723" spans="2:75" ht="15.75" customHeight="1">
      <c r="B723" s="250" t="s">
        <v>116</v>
      </c>
      <c r="C723" s="251">
        <v>9528698000197</v>
      </c>
      <c r="D723" s="252" t="s">
        <v>13</v>
      </c>
      <c r="E723" s="252" t="s">
        <v>615</v>
      </c>
      <c r="F723" s="252" t="s">
        <v>619</v>
      </c>
      <c r="G723" s="253"/>
      <c r="H723" s="253" t="s">
        <v>1337</v>
      </c>
      <c r="I723" s="253" t="s">
        <v>34</v>
      </c>
      <c r="J723" s="253" t="s">
        <v>611</v>
      </c>
      <c r="K723" s="254" t="s">
        <v>48</v>
      </c>
      <c r="L723" s="255"/>
      <c r="M723" s="255" t="s">
        <v>1414</v>
      </c>
      <c r="N723" s="254">
        <v>210269</v>
      </c>
      <c r="O723" s="254" t="s">
        <v>1321</v>
      </c>
      <c r="P723" s="258">
        <v>39598</v>
      </c>
      <c r="Q723" s="259">
        <v>59465357.689999998</v>
      </c>
      <c r="R723" s="259">
        <v>77905470.258769751</v>
      </c>
      <c r="S723" s="254">
        <v>21</v>
      </c>
      <c r="T723" s="256">
        <v>0.11284744362569943</v>
      </c>
      <c r="U723" s="256">
        <v>1.4588009294678408</v>
      </c>
      <c r="V723" s="256">
        <v>0.11607136863595868</v>
      </c>
      <c r="W723" s="256">
        <v>1.1378875245642148</v>
      </c>
      <c r="X723" s="256">
        <v>0.15206030119433955</v>
      </c>
      <c r="Y723" s="256">
        <v>1.1531008873146096</v>
      </c>
      <c r="Z723" s="256">
        <v>0.15829418132623263</v>
      </c>
      <c r="AA723" s="256">
        <v>0.89979544377390241</v>
      </c>
      <c r="AB723" s="256">
        <v>2.3592805477186098E-2</v>
      </c>
      <c r="AC723" s="260">
        <v>0.54947583754393958</v>
      </c>
      <c r="AD723" s="405">
        <v>0</v>
      </c>
      <c r="AE723" s="257" t="s">
        <v>2166</v>
      </c>
      <c r="AF723" s="257" t="s">
        <v>2115</v>
      </c>
      <c r="AG723" s="261" t="s">
        <v>719</v>
      </c>
      <c r="AH723" s="261" t="s">
        <v>2113</v>
      </c>
      <c r="AI723" s="261">
        <v>20000</v>
      </c>
      <c r="AJ723" s="261">
        <v>1000</v>
      </c>
      <c r="AK723" s="261">
        <v>20000</v>
      </c>
      <c r="AL723" s="256">
        <v>1.37E-2</v>
      </c>
      <c r="AM723" s="256">
        <v>0.2</v>
      </c>
      <c r="AN723" s="256" t="s">
        <v>64</v>
      </c>
      <c r="AO723" s="254" t="s">
        <v>1324</v>
      </c>
      <c r="AP723" s="257" t="s">
        <v>13</v>
      </c>
      <c r="AQ723" s="263" t="s">
        <v>664</v>
      </c>
      <c r="AR723" s="256">
        <v>3.4845999999999996E-3</v>
      </c>
      <c r="AS723" s="256">
        <v>3.4845999999999996E-3</v>
      </c>
      <c r="AT723" s="256"/>
      <c r="AX723" s="508"/>
      <c r="AY723" s="509"/>
      <c r="AZ723" s="509"/>
      <c r="BA723" s="509"/>
      <c r="BB723" s="510"/>
      <c r="BC723" s="509"/>
      <c r="BD723" s="509"/>
      <c r="BE723" s="509"/>
      <c r="BF723" s="509"/>
      <c r="BG723" s="510"/>
      <c r="BH723" s="510"/>
      <c r="BI723" s="511"/>
      <c r="BJ723" s="511"/>
      <c r="BK723" s="511"/>
      <c r="BL723" s="510"/>
      <c r="BM723" s="510"/>
      <c r="BN723" s="510"/>
      <c r="BO723" s="510"/>
      <c r="BP723" s="510"/>
      <c r="BQ723" s="510"/>
      <c r="BR723" s="510"/>
      <c r="BS723" s="510"/>
      <c r="BT723" s="513"/>
      <c r="BU723" s="514"/>
      <c r="BV723" s="512"/>
      <c r="BW723" s="515"/>
    </row>
    <row r="724" spans="2:75" ht="15.75" customHeight="1">
      <c r="B724" s="250" t="s">
        <v>202</v>
      </c>
      <c r="C724" s="251">
        <v>26846429000198</v>
      </c>
      <c r="D724" s="252" t="s">
        <v>14</v>
      </c>
      <c r="E724" s="252" t="s">
        <v>607</v>
      </c>
      <c r="F724" s="252"/>
      <c r="G724" s="253"/>
      <c r="H724" s="253" t="s">
        <v>34</v>
      </c>
      <c r="I724" s="253" t="s">
        <v>34</v>
      </c>
      <c r="J724" s="253" t="s">
        <v>608</v>
      </c>
      <c r="K724" s="254" t="s">
        <v>48</v>
      </c>
      <c r="L724" s="255"/>
      <c r="M724" s="255" t="s">
        <v>34</v>
      </c>
      <c r="N724" s="254">
        <v>434213</v>
      </c>
      <c r="O724" s="254" t="s">
        <v>1321</v>
      </c>
      <c r="P724" s="258">
        <v>42765</v>
      </c>
      <c r="Q724" s="259">
        <v>28360288.75</v>
      </c>
      <c r="R724" s="259">
        <v>35238652.431111105</v>
      </c>
      <c r="S724" s="254">
        <v>21</v>
      </c>
      <c r="T724" s="256">
        <v>-0.28289754196510153</v>
      </c>
      <c r="U724" s="256">
        <v>-3.6570717413121172</v>
      </c>
      <c r="V724" s="256">
        <v>-0.32510077016293315</v>
      </c>
      <c r="W724" s="256">
        <v>-3.1870745985157334</v>
      </c>
      <c r="X724" s="256">
        <v>-0.16483400453028707</v>
      </c>
      <c r="Y724" s="256">
        <v>-1.2499662001890719</v>
      </c>
      <c r="Z724" s="256">
        <v>0.11924015451458669</v>
      </c>
      <c r="AA724" s="256">
        <v>0.67779969451941413</v>
      </c>
      <c r="AB724" s="256">
        <v>0.25667098285230833</v>
      </c>
      <c r="AC724" s="260">
        <v>-1.7812448441553521</v>
      </c>
      <c r="AD724" s="405">
        <v>0</v>
      </c>
      <c r="AE724" s="257" t="s">
        <v>2242</v>
      </c>
      <c r="AF724" s="257" t="s">
        <v>761</v>
      </c>
      <c r="AG724" s="261" t="s">
        <v>1434</v>
      </c>
      <c r="AH724" s="261" t="s">
        <v>2110</v>
      </c>
      <c r="AI724" s="261">
        <v>10000</v>
      </c>
      <c r="AJ724" s="261">
        <v>5000</v>
      </c>
      <c r="AK724" s="261">
        <v>5000</v>
      </c>
      <c r="AL724" s="256">
        <v>0.02</v>
      </c>
      <c r="AM724" s="256">
        <v>0.2</v>
      </c>
      <c r="AN724" s="256" t="s">
        <v>34</v>
      </c>
      <c r="AO724" s="254" t="s">
        <v>1324</v>
      </c>
      <c r="AP724" s="257" t="s">
        <v>716</v>
      </c>
      <c r="AQ724" s="263" t="s">
        <v>687</v>
      </c>
      <c r="AR724" s="256">
        <v>4.0000000000000001E-3</v>
      </c>
      <c r="AS724" s="256">
        <v>4.0000000000000001E-3</v>
      </c>
      <c r="AT724" s="256"/>
      <c r="AX724" s="508"/>
      <c r="AY724" s="509"/>
      <c r="AZ724" s="509"/>
      <c r="BA724" s="509"/>
      <c r="BB724" s="510"/>
      <c r="BC724" s="509"/>
      <c r="BD724" s="509"/>
      <c r="BE724" s="509"/>
      <c r="BF724" s="509"/>
      <c r="BG724" s="510"/>
      <c r="BH724" s="510"/>
      <c r="BI724" s="511"/>
      <c r="BJ724" s="511"/>
      <c r="BK724" s="511"/>
      <c r="BL724" s="510"/>
      <c r="BM724" s="510"/>
      <c r="BN724" s="510"/>
      <c r="BO724" s="510"/>
      <c r="BP724" s="510"/>
      <c r="BQ724" s="510"/>
      <c r="BR724" s="510"/>
      <c r="BS724" s="510"/>
      <c r="BT724" s="513"/>
      <c r="BU724" s="514"/>
      <c r="BV724" s="512"/>
      <c r="BW724" s="515"/>
    </row>
    <row r="725" spans="2:75" ht="15.75" customHeight="1">
      <c r="B725" s="250" t="s">
        <v>1406</v>
      </c>
      <c r="C725" s="251">
        <v>42449356000157</v>
      </c>
      <c r="D725" s="252" t="s">
        <v>11</v>
      </c>
      <c r="E725" s="252" t="s">
        <v>620</v>
      </c>
      <c r="F725" s="252" t="s">
        <v>663</v>
      </c>
      <c r="G725" s="253"/>
      <c r="H725" s="253" t="s">
        <v>34</v>
      </c>
      <c r="I725" s="253" t="s">
        <v>1304</v>
      </c>
      <c r="J725" s="253" t="s">
        <v>608</v>
      </c>
      <c r="K725" s="254" t="s">
        <v>48</v>
      </c>
      <c r="L725" s="255"/>
      <c r="M725" s="255" t="s">
        <v>1414</v>
      </c>
      <c r="N725" s="254">
        <v>667218</v>
      </c>
      <c r="O725" s="254" t="s">
        <v>1321</v>
      </c>
      <c r="P725" s="258">
        <v>44753</v>
      </c>
      <c r="Q725" s="259">
        <v>9459972.5999999996</v>
      </c>
      <c r="R725" s="259" t="s">
        <v>1417</v>
      </c>
      <c r="S725" s="254">
        <v>22</v>
      </c>
      <c r="T725" s="256" t="s">
        <v>1417</v>
      </c>
      <c r="U725" s="256" t="s">
        <v>1417</v>
      </c>
      <c r="V725" s="256" t="s">
        <v>1417</v>
      </c>
      <c r="W725" s="256" t="s">
        <v>1417</v>
      </c>
      <c r="X725" s="256" t="s">
        <v>1417</v>
      </c>
      <c r="Y725" s="256" t="s">
        <v>1417</v>
      </c>
      <c r="Z725" s="256" t="s">
        <v>1417</v>
      </c>
      <c r="AA725" s="256" t="s">
        <v>1417</v>
      </c>
      <c r="AB725" s="256" t="s">
        <v>1417</v>
      </c>
      <c r="AC725" s="260" t="s">
        <v>1417</v>
      </c>
      <c r="AD725" s="405">
        <v>28840203000105</v>
      </c>
      <c r="AE725" s="257" t="s">
        <v>2284</v>
      </c>
      <c r="AF725" s="257" t="s">
        <v>2112</v>
      </c>
      <c r="AG725" s="261" t="s">
        <v>59</v>
      </c>
      <c r="AH725" s="261" t="s">
        <v>2110</v>
      </c>
      <c r="AI725" s="261">
        <v>0</v>
      </c>
      <c r="AJ725" s="261">
        <v>0</v>
      </c>
      <c r="AK725" s="261">
        <v>0</v>
      </c>
      <c r="AL725" s="256">
        <v>6.0000000000000001E-3</v>
      </c>
      <c r="AM725" s="256">
        <v>0.2</v>
      </c>
      <c r="AN725" s="256" t="s">
        <v>64</v>
      </c>
      <c r="AO725" s="254" t="s">
        <v>1324</v>
      </c>
      <c r="AP725" s="257" t="s">
        <v>13</v>
      </c>
      <c r="AQ725" s="263" t="s">
        <v>668</v>
      </c>
      <c r="AR725" s="256" t="s">
        <v>34</v>
      </c>
      <c r="AS725" s="256" t="s">
        <v>34</v>
      </c>
      <c r="AT725" s="256"/>
      <c r="AX725" s="508"/>
      <c r="AY725" s="509"/>
      <c r="AZ725" s="509"/>
      <c r="BA725" s="509"/>
      <c r="BB725" s="510"/>
      <c r="BC725" s="509"/>
      <c r="BD725" s="509"/>
      <c r="BE725" s="509"/>
      <c r="BF725" s="509"/>
      <c r="BG725" s="510"/>
      <c r="BH725" s="510"/>
      <c r="BI725" s="511"/>
      <c r="BJ725" s="511"/>
      <c r="BK725" s="511"/>
      <c r="BL725" s="510"/>
      <c r="BM725" s="510"/>
      <c r="BN725" s="510"/>
      <c r="BO725" s="510"/>
      <c r="BP725" s="510"/>
      <c r="BQ725" s="510"/>
      <c r="BR725" s="510"/>
      <c r="BS725" s="510"/>
      <c r="BT725" s="513"/>
      <c r="BU725" s="514"/>
      <c r="BV725" s="512"/>
      <c r="BW725" s="515"/>
    </row>
    <row r="726" spans="2:75" ht="15.75" customHeight="1">
      <c r="B726" s="250" t="s">
        <v>998</v>
      </c>
      <c r="C726" s="251">
        <v>42826922000100</v>
      </c>
      <c r="D726" s="252" t="s">
        <v>11</v>
      </c>
      <c r="E726" s="252" t="s">
        <v>621</v>
      </c>
      <c r="F726" s="252" t="s">
        <v>692</v>
      </c>
      <c r="G726" s="253" t="s">
        <v>865</v>
      </c>
      <c r="H726" s="253" t="s">
        <v>34</v>
      </c>
      <c r="I726" s="253"/>
      <c r="J726" s="253" t="s">
        <v>608</v>
      </c>
      <c r="K726" s="254" t="s">
        <v>48</v>
      </c>
      <c r="L726" s="255"/>
      <c r="M726" s="255" t="s">
        <v>34</v>
      </c>
      <c r="N726" s="254">
        <v>645923</v>
      </c>
      <c r="O726" s="254" t="s">
        <v>1321</v>
      </c>
      <c r="P726" s="258">
        <v>44659</v>
      </c>
      <c r="Q726" s="259">
        <v>3094449.64</v>
      </c>
      <c r="R726" s="259" t="s">
        <v>1417</v>
      </c>
      <c r="S726" s="254">
        <v>22</v>
      </c>
      <c r="T726" s="256" t="s">
        <v>1417</v>
      </c>
      <c r="U726" s="256" t="s">
        <v>1417</v>
      </c>
      <c r="V726" s="256" t="s">
        <v>1417</v>
      </c>
      <c r="W726" s="256" t="s">
        <v>1417</v>
      </c>
      <c r="X726" s="256" t="s">
        <v>1417</v>
      </c>
      <c r="Y726" s="256" t="s">
        <v>1417</v>
      </c>
      <c r="Z726" s="256" t="s">
        <v>1417</v>
      </c>
      <c r="AA726" s="256" t="s">
        <v>1417</v>
      </c>
      <c r="AB726" s="256" t="s">
        <v>1417</v>
      </c>
      <c r="AC726" s="260" t="s">
        <v>1417</v>
      </c>
      <c r="AD726" s="405">
        <v>42378579000170</v>
      </c>
      <c r="AE726" s="257" t="s">
        <v>2284</v>
      </c>
      <c r="AF726" s="257" t="s">
        <v>2112</v>
      </c>
      <c r="AG726" s="261" t="s">
        <v>59</v>
      </c>
      <c r="AH726" s="261" t="s">
        <v>2113</v>
      </c>
      <c r="AI726" s="261">
        <v>0</v>
      </c>
      <c r="AJ726" s="261">
        <v>0</v>
      </c>
      <c r="AK726" s="261">
        <v>0</v>
      </c>
      <c r="AL726" s="256">
        <v>8.5000000000000006E-3</v>
      </c>
      <c r="AM726" s="256">
        <v>0.2</v>
      </c>
      <c r="AN726" s="256" t="s">
        <v>635</v>
      </c>
      <c r="AO726" s="254" t="s">
        <v>1324</v>
      </c>
      <c r="AP726" s="257" t="s">
        <v>11</v>
      </c>
      <c r="AQ726" s="263" t="s">
        <v>675</v>
      </c>
      <c r="AR726" s="256">
        <v>1.9833333333333335E-3</v>
      </c>
      <c r="AS726" s="256">
        <v>1.9833333333333335E-3</v>
      </c>
      <c r="AT726" s="256"/>
      <c r="AX726" s="508"/>
      <c r="AY726" s="509"/>
      <c r="AZ726" s="509"/>
      <c r="BA726" s="509"/>
      <c r="BB726" s="510"/>
      <c r="BC726" s="509"/>
      <c r="BD726" s="509"/>
      <c r="BE726" s="509"/>
      <c r="BF726" s="509"/>
      <c r="BG726" s="510"/>
      <c r="BH726" s="510"/>
      <c r="BI726" s="511"/>
      <c r="BJ726" s="511"/>
      <c r="BK726" s="511"/>
      <c r="BL726" s="510"/>
      <c r="BM726" s="510"/>
      <c r="BN726" s="510"/>
      <c r="BO726" s="510"/>
      <c r="BP726" s="510"/>
      <c r="BQ726" s="510"/>
      <c r="BR726" s="510"/>
      <c r="BS726" s="510"/>
      <c r="BT726" s="513"/>
      <c r="BU726" s="514"/>
      <c r="BV726" s="512"/>
      <c r="BW726" s="515"/>
    </row>
    <row r="727" spans="2:75" ht="15.75" customHeight="1">
      <c r="B727" s="250" t="s">
        <v>766</v>
      </c>
      <c r="C727" s="251">
        <v>34172497000147</v>
      </c>
      <c r="D727" s="252" t="s">
        <v>13</v>
      </c>
      <c r="E727" s="252" t="s">
        <v>615</v>
      </c>
      <c r="F727" s="252" t="s">
        <v>619</v>
      </c>
      <c r="G727" s="253" t="s">
        <v>34</v>
      </c>
      <c r="H727" s="253" t="s">
        <v>1338</v>
      </c>
      <c r="I727" s="253" t="s">
        <v>34</v>
      </c>
      <c r="J727" s="253"/>
      <c r="K727" s="254" t="s">
        <v>48</v>
      </c>
      <c r="L727" s="255"/>
      <c r="M727" s="255" t="s">
        <v>34</v>
      </c>
      <c r="N727" s="254">
        <v>511897</v>
      </c>
      <c r="O727" s="254" t="s">
        <v>1321</v>
      </c>
      <c r="P727" s="258">
        <v>43761</v>
      </c>
      <c r="Q727" s="259">
        <v>134863015.97999999</v>
      </c>
      <c r="R727" s="259">
        <v>103804881.52484126</v>
      </c>
      <c r="S727" s="254">
        <v>22</v>
      </c>
      <c r="T727" s="256">
        <v>0.16925203498212538</v>
      </c>
      <c r="U727" s="256">
        <v>2.1879540910576623</v>
      </c>
      <c r="V727" s="256">
        <v>0.21103169841887337</v>
      </c>
      <c r="W727" s="256">
        <v>2.0688162786429127</v>
      </c>
      <c r="X727" s="256">
        <v>0.24211266992865021</v>
      </c>
      <c r="Y727" s="256">
        <v>1.8359843583897113</v>
      </c>
      <c r="Z727" s="256" t="s">
        <v>1417</v>
      </c>
      <c r="AA727" s="256" t="s">
        <v>1417</v>
      </c>
      <c r="AB727" s="256">
        <v>0.10320283322254376</v>
      </c>
      <c r="AC727" s="260">
        <v>0.96606721666971918</v>
      </c>
      <c r="AD727" s="405">
        <v>37953365000140</v>
      </c>
      <c r="AE727" s="257" t="s">
        <v>2149</v>
      </c>
      <c r="AF727" s="257" t="s">
        <v>2109</v>
      </c>
      <c r="AG727" s="261" t="s">
        <v>1432</v>
      </c>
      <c r="AH727" s="261" t="s">
        <v>2110</v>
      </c>
      <c r="AI727" s="261">
        <v>10000</v>
      </c>
      <c r="AJ727" s="261">
        <v>2000</v>
      </c>
      <c r="AK727" s="261">
        <v>2000</v>
      </c>
      <c r="AL727" s="519">
        <v>0.02</v>
      </c>
      <c r="AM727" s="519">
        <v>0.2</v>
      </c>
      <c r="AN727" s="256" t="s">
        <v>34</v>
      </c>
      <c r="AO727" s="254" t="s">
        <v>1324</v>
      </c>
      <c r="AP727" s="257" t="s">
        <v>13</v>
      </c>
      <c r="AQ727" s="263" t="s">
        <v>668</v>
      </c>
      <c r="AR727" s="256">
        <v>5.3333333333333332E-3</v>
      </c>
      <c r="AS727" s="256">
        <v>5.3333333333333332E-3</v>
      </c>
      <c r="AT727" s="256"/>
      <c r="AX727" s="508"/>
      <c r="AY727" s="509"/>
      <c r="AZ727" s="509"/>
      <c r="BA727" s="509"/>
      <c r="BB727" s="510"/>
      <c r="BC727" s="509"/>
      <c r="BD727" s="509"/>
      <c r="BE727" s="509"/>
      <c r="BF727" s="509"/>
      <c r="BG727" s="510"/>
      <c r="BH727" s="510"/>
      <c r="BI727" s="511"/>
      <c r="BJ727" s="511"/>
      <c r="BK727" s="511"/>
      <c r="BL727" s="510"/>
      <c r="BM727" s="510"/>
      <c r="BN727" s="510"/>
      <c r="BO727" s="510"/>
      <c r="BP727" s="510"/>
      <c r="BQ727" s="510"/>
      <c r="BR727" s="510"/>
      <c r="BS727" s="510"/>
      <c r="BT727" s="513"/>
      <c r="BU727" s="514"/>
      <c r="BV727" s="512"/>
      <c r="BW727" s="515"/>
    </row>
    <row r="728" spans="2:75" ht="15.75" customHeight="1">
      <c r="B728" s="250" t="s">
        <v>1494</v>
      </c>
      <c r="C728" s="251">
        <v>33601214000172</v>
      </c>
      <c r="D728" s="252" t="s">
        <v>13</v>
      </c>
      <c r="E728" s="252" t="s">
        <v>615</v>
      </c>
      <c r="F728" s="252" t="s">
        <v>619</v>
      </c>
      <c r="G728" s="253" t="s">
        <v>34</v>
      </c>
      <c r="H728" s="253" t="s">
        <v>1338</v>
      </c>
      <c r="I728" s="253" t="s">
        <v>34</v>
      </c>
      <c r="J728" s="253"/>
      <c r="K728" s="254" t="s">
        <v>48</v>
      </c>
      <c r="L728" s="255"/>
      <c r="M728" s="255"/>
      <c r="N728" s="254">
        <v>501476</v>
      </c>
      <c r="O728" s="254" t="s">
        <v>1321</v>
      </c>
      <c r="P728" s="258">
        <v>43661</v>
      </c>
      <c r="Q728" s="259" t="s">
        <v>1393</v>
      </c>
      <c r="R728" s="259" t="s">
        <v>1417</v>
      </c>
      <c r="S728" s="254">
        <v>22</v>
      </c>
      <c r="T728" s="256" t="s">
        <v>1417</v>
      </c>
      <c r="U728" s="256" t="s">
        <v>1417</v>
      </c>
      <c r="V728" s="256" t="s">
        <v>1417</v>
      </c>
      <c r="W728" s="256" t="s">
        <v>1417</v>
      </c>
      <c r="X728" s="256" t="s">
        <v>1417</v>
      </c>
      <c r="Y728" s="256" t="s">
        <v>1417</v>
      </c>
      <c r="Z728" s="256" t="s">
        <v>1417</v>
      </c>
      <c r="AA728" s="256" t="s">
        <v>1417</v>
      </c>
      <c r="AB728" s="256" t="s">
        <v>1417</v>
      </c>
      <c r="AC728" s="260" t="s">
        <v>1417</v>
      </c>
      <c r="AD728" s="405">
        <v>0</v>
      </c>
      <c r="AE728" s="257" t="s">
        <v>2149</v>
      </c>
      <c r="AF728" s="257" t="s">
        <v>2109</v>
      </c>
      <c r="AG728" s="261" t="s">
        <v>1432</v>
      </c>
      <c r="AH728" s="261" t="s">
        <v>2110</v>
      </c>
      <c r="AI728" s="261">
        <v>5000</v>
      </c>
      <c r="AJ728" s="261">
        <v>1000</v>
      </c>
      <c r="AK728" s="261">
        <v>1000</v>
      </c>
      <c r="AL728" s="519">
        <v>1.4999999999999999E-2</v>
      </c>
      <c r="AM728" s="519">
        <v>0.2</v>
      </c>
      <c r="AN728" s="256" t="s">
        <v>34</v>
      </c>
      <c r="AO728" s="254" t="s">
        <v>1324</v>
      </c>
      <c r="AP728" s="257" t="s">
        <v>13</v>
      </c>
      <c r="AQ728" s="263" t="s">
        <v>668</v>
      </c>
      <c r="AR728" s="256">
        <v>4.0000000000000001E-3</v>
      </c>
      <c r="AS728" s="256">
        <v>4.0000000000000001E-3</v>
      </c>
      <c r="AT728" s="256"/>
      <c r="AX728" s="508"/>
      <c r="AY728" s="509"/>
      <c r="AZ728" s="509"/>
      <c r="BA728" s="509"/>
      <c r="BB728" s="510"/>
      <c r="BC728" s="509"/>
      <c r="BD728" s="509"/>
      <c r="BE728" s="509"/>
      <c r="BF728" s="509"/>
      <c r="BG728" s="510"/>
      <c r="BH728" s="510"/>
      <c r="BI728" s="511"/>
      <c r="BJ728" s="511"/>
      <c r="BK728" s="511"/>
      <c r="BL728" s="510"/>
      <c r="BM728" s="510"/>
      <c r="BN728" s="510"/>
      <c r="BO728" s="510"/>
      <c r="BP728" s="510"/>
      <c r="BQ728" s="510"/>
      <c r="BR728" s="510"/>
      <c r="BS728" s="510"/>
      <c r="BT728" s="513"/>
      <c r="BU728" s="514"/>
      <c r="BV728" s="512"/>
      <c r="BW728" s="515"/>
    </row>
    <row r="729" spans="2:75" ht="15.75" customHeight="1">
      <c r="B729" s="250" t="s">
        <v>240</v>
      </c>
      <c r="C729" s="251">
        <v>35727276000150</v>
      </c>
      <c r="D729" s="252" t="s">
        <v>13</v>
      </c>
      <c r="E729" s="252" t="s">
        <v>615</v>
      </c>
      <c r="F729" s="252" t="s">
        <v>619</v>
      </c>
      <c r="G729" s="253"/>
      <c r="H729" s="253" t="s">
        <v>1337</v>
      </c>
      <c r="I729" s="253" t="s">
        <v>34</v>
      </c>
      <c r="J729" s="253" t="s">
        <v>608</v>
      </c>
      <c r="K729" s="254" t="s">
        <v>48</v>
      </c>
      <c r="L729" s="255"/>
      <c r="M729" s="255" t="s">
        <v>34</v>
      </c>
      <c r="N729" s="254">
        <v>592293</v>
      </c>
      <c r="O729" s="254" t="s">
        <v>1321</v>
      </c>
      <c r="P729" s="258">
        <v>44316</v>
      </c>
      <c r="Q729" s="259">
        <v>151792795.94</v>
      </c>
      <c r="R729" s="259">
        <v>100900091.06603168</v>
      </c>
      <c r="S729" s="254">
        <v>22</v>
      </c>
      <c r="T729" s="256">
        <v>0.14165406768726774</v>
      </c>
      <c r="U729" s="256">
        <v>1.8311897812280267</v>
      </c>
      <c r="V729" s="256">
        <v>0.22729452945541717</v>
      </c>
      <c r="W729" s="256">
        <v>2.2282464014031436</v>
      </c>
      <c r="X729" s="256" t="s">
        <v>1417</v>
      </c>
      <c r="Y729" s="256" t="s">
        <v>1417</v>
      </c>
      <c r="Z729" s="256" t="s">
        <v>1417</v>
      </c>
      <c r="AA729" s="256" t="s">
        <v>1417</v>
      </c>
      <c r="AB729" s="256">
        <v>3.0762877652949314E-2</v>
      </c>
      <c r="AC729" s="260">
        <v>3.5176857581464653</v>
      </c>
      <c r="AD729" s="405">
        <v>40671799000162</v>
      </c>
      <c r="AE729" s="257" t="s">
        <v>59</v>
      </c>
      <c r="AF729" s="257" t="s">
        <v>2112</v>
      </c>
      <c r="AG729" s="261" t="s">
        <v>59</v>
      </c>
      <c r="AH729" s="261" t="s">
        <v>2113</v>
      </c>
      <c r="AI729" s="261">
        <v>100</v>
      </c>
      <c r="AJ729" s="261">
        <v>1</v>
      </c>
      <c r="AK729" s="261">
        <v>100</v>
      </c>
      <c r="AL729" s="256">
        <v>0.02</v>
      </c>
      <c r="AM729" s="256">
        <v>0.2</v>
      </c>
      <c r="AN729" s="256" t="s">
        <v>64</v>
      </c>
      <c r="AO729" s="254" t="s">
        <v>1324</v>
      </c>
      <c r="AP729" s="257" t="s">
        <v>13</v>
      </c>
      <c r="AQ729" s="263" t="s">
        <v>668</v>
      </c>
      <c r="AR729" s="256">
        <v>4.6666666666666662E-3</v>
      </c>
      <c r="AS729" s="256">
        <v>4.6666666666666662E-3</v>
      </c>
      <c r="AT729" s="256"/>
      <c r="AX729" s="508"/>
      <c r="AY729" s="509"/>
      <c r="AZ729" s="509"/>
      <c r="BA729" s="509"/>
      <c r="BB729" s="510"/>
      <c r="BC729" s="509"/>
      <c r="BD729" s="509"/>
      <c r="BE729" s="509"/>
      <c r="BF729" s="509"/>
      <c r="BG729" s="510"/>
      <c r="BH729" s="510"/>
      <c r="BI729" s="511"/>
      <c r="BJ729" s="511"/>
      <c r="BK729" s="511"/>
      <c r="BL729" s="510"/>
      <c r="BM729" s="510"/>
      <c r="BN729" s="510"/>
      <c r="BO729" s="510"/>
      <c r="BP729" s="510"/>
      <c r="BQ729" s="510"/>
      <c r="BR729" s="510"/>
      <c r="BS729" s="510"/>
      <c r="BT729" s="513"/>
      <c r="BU729" s="514"/>
      <c r="BV729" s="512"/>
      <c r="BW729" s="515"/>
    </row>
    <row r="730" spans="2:75" ht="15.75" customHeight="1">
      <c r="B730" s="250" t="s">
        <v>1238</v>
      </c>
      <c r="C730" s="251">
        <v>27477408000105</v>
      </c>
      <c r="D730" s="252" t="s">
        <v>13</v>
      </c>
      <c r="E730" s="252" t="s">
        <v>615</v>
      </c>
      <c r="F730" s="252" t="s">
        <v>619</v>
      </c>
      <c r="G730" s="253" t="s">
        <v>34</v>
      </c>
      <c r="H730" s="253" t="s">
        <v>1338</v>
      </c>
      <c r="I730" s="253" t="s">
        <v>34</v>
      </c>
      <c r="J730" s="253"/>
      <c r="K730" s="254" t="s">
        <v>48</v>
      </c>
      <c r="L730" s="255"/>
      <c r="M730" s="255" t="s">
        <v>1414</v>
      </c>
      <c r="N730" s="254">
        <v>467006</v>
      </c>
      <c r="O730" s="254" t="s">
        <v>1321</v>
      </c>
      <c r="P730" s="258">
        <v>43250</v>
      </c>
      <c r="Q730" s="259">
        <v>7071129.6200000001</v>
      </c>
      <c r="R730" s="259">
        <v>7531742.8688095268</v>
      </c>
      <c r="S730" s="254">
        <v>22</v>
      </c>
      <c r="T730" s="256">
        <v>5.1208992364081052E-2</v>
      </c>
      <c r="U730" s="256">
        <v>0.66198863933166019</v>
      </c>
      <c r="V730" s="256">
        <v>8.3701329998509655E-2</v>
      </c>
      <c r="W730" s="256">
        <v>0.82055290907658518</v>
      </c>
      <c r="X730" s="256">
        <v>8.1516849960175719E-2</v>
      </c>
      <c r="Y730" s="256">
        <v>0.61815708164380234</v>
      </c>
      <c r="Z730" s="256">
        <v>0.10725831593085955</v>
      </c>
      <c r="AA730" s="256">
        <v>0.60969103963807791</v>
      </c>
      <c r="AB730" s="256">
        <v>8.3455515601981528E-2</v>
      </c>
      <c r="AC730" s="260">
        <v>-0.15918708773512624</v>
      </c>
      <c r="AD730" s="405">
        <v>0</v>
      </c>
      <c r="AE730" s="257" t="s">
        <v>2421</v>
      </c>
      <c r="AF730" s="257" t="s">
        <v>736</v>
      </c>
      <c r="AG730" s="261" t="s">
        <v>736</v>
      </c>
      <c r="AH730" s="261" t="s">
        <v>2113</v>
      </c>
      <c r="AI730" s="261">
        <v>100</v>
      </c>
      <c r="AJ730" s="261">
        <v>100</v>
      </c>
      <c r="AK730" s="261">
        <v>0</v>
      </c>
      <c r="AL730" s="256">
        <v>8.5000000000000006E-3</v>
      </c>
      <c r="AM730" s="256">
        <v>0.1</v>
      </c>
      <c r="AN730" s="256" t="s">
        <v>64</v>
      </c>
      <c r="AO730" s="254" t="s">
        <v>1324</v>
      </c>
      <c r="AP730" s="257" t="s">
        <v>13</v>
      </c>
      <c r="AQ730" s="263" t="s">
        <v>668</v>
      </c>
      <c r="AR730" s="256">
        <v>2.2666666666666668E-3</v>
      </c>
      <c r="AS730" s="256">
        <v>2.2666666666666668E-3</v>
      </c>
      <c r="AT730" s="256"/>
      <c r="AX730" s="508"/>
      <c r="AY730" s="509"/>
      <c r="AZ730" s="509"/>
      <c r="BA730" s="509"/>
      <c r="BB730" s="510"/>
      <c r="BC730" s="509"/>
      <c r="BD730" s="509"/>
      <c r="BE730" s="509"/>
      <c r="BF730" s="509"/>
      <c r="BG730" s="510"/>
      <c r="BH730" s="510"/>
      <c r="BI730" s="511"/>
      <c r="BJ730" s="511"/>
      <c r="BK730" s="511"/>
      <c r="BL730" s="510"/>
      <c r="BM730" s="510"/>
      <c r="BN730" s="510"/>
      <c r="BO730" s="510"/>
      <c r="BP730" s="510"/>
      <c r="BQ730" s="510"/>
      <c r="BR730" s="510"/>
      <c r="BS730" s="510"/>
      <c r="BT730" s="513"/>
      <c r="BU730" s="514"/>
      <c r="BV730" s="512"/>
      <c r="BW730" s="515"/>
    </row>
    <row r="731" spans="2:75" ht="15.75" customHeight="1">
      <c r="B731" s="250" t="s">
        <v>422</v>
      </c>
      <c r="C731" s="251">
        <v>10643371000145</v>
      </c>
      <c r="D731" s="252" t="s">
        <v>14</v>
      </c>
      <c r="E731" s="252" t="s">
        <v>607</v>
      </c>
      <c r="F731" s="252"/>
      <c r="G731" s="253"/>
      <c r="H731" s="253" t="s">
        <v>34</v>
      </c>
      <c r="I731" s="253" t="s">
        <v>34</v>
      </c>
      <c r="J731" s="253" t="s">
        <v>608</v>
      </c>
      <c r="K731" s="254" t="s">
        <v>48</v>
      </c>
      <c r="L731" s="255"/>
      <c r="M731" s="255" t="s">
        <v>34</v>
      </c>
      <c r="N731" s="254">
        <v>240631</v>
      </c>
      <c r="O731" s="254" t="s">
        <v>1321</v>
      </c>
      <c r="P731" s="258">
        <v>40177</v>
      </c>
      <c r="Q731" s="259">
        <v>131181360.73</v>
      </c>
      <c r="R731" s="259">
        <v>120305560.18480162</v>
      </c>
      <c r="S731" s="254">
        <v>22</v>
      </c>
      <c r="T731" s="256">
        <v>9.913064472544808E-2</v>
      </c>
      <c r="U731" s="256">
        <v>1.2814811928207175</v>
      </c>
      <c r="V731" s="256">
        <v>5.4576017230051121E-2</v>
      </c>
      <c r="W731" s="256">
        <v>0.53502745660946671</v>
      </c>
      <c r="X731" s="256">
        <v>0.27435821771082547</v>
      </c>
      <c r="Y731" s="256">
        <v>2.0805082049658883</v>
      </c>
      <c r="Z731" s="256">
        <v>0.36179184244729434</v>
      </c>
      <c r="AA731" s="256">
        <v>2.0565421211391834</v>
      </c>
      <c r="AB731" s="256">
        <v>0.1867500112375084</v>
      </c>
      <c r="AC731" s="260">
        <v>-0.14243076740086591</v>
      </c>
      <c r="AD731" s="405">
        <v>0</v>
      </c>
      <c r="AE731" s="257" t="s">
        <v>2425</v>
      </c>
      <c r="AF731" s="257" t="s">
        <v>2112</v>
      </c>
      <c r="AG731" s="261" t="s">
        <v>59</v>
      </c>
      <c r="AH731" s="261" t="s">
        <v>2110</v>
      </c>
      <c r="AI731" s="261">
        <v>20000</v>
      </c>
      <c r="AJ731" s="261">
        <v>10000</v>
      </c>
      <c r="AK731" s="261">
        <v>20000</v>
      </c>
      <c r="AL731" s="256">
        <v>0.02</v>
      </c>
      <c r="AM731" s="256">
        <v>0.2</v>
      </c>
      <c r="AN731" s="256" t="s">
        <v>666</v>
      </c>
      <c r="AO731" s="254" t="s">
        <v>1324</v>
      </c>
      <c r="AP731" s="257" t="s">
        <v>716</v>
      </c>
      <c r="AQ731" s="263" t="s">
        <v>659</v>
      </c>
      <c r="AR731" s="256">
        <v>4.0000000000000001E-3</v>
      </c>
      <c r="AS731" s="256">
        <v>4.0000000000000001E-3</v>
      </c>
      <c r="AT731" s="256"/>
      <c r="AX731" s="508"/>
      <c r="AY731" s="509"/>
      <c r="AZ731" s="509"/>
      <c r="BA731" s="509"/>
      <c r="BB731" s="510"/>
      <c r="BC731" s="509"/>
      <c r="BD731" s="509"/>
      <c r="BE731" s="509"/>
      <c r="BF731" s="509"/>
      <c r="BG731" s="510"/>
      <c r="BH731" s="510"/>
      <c r="BI731" s="511"/>
      <c r="BJ731" s="511"/>
      <c r="BK731" s="511"/>
      <c r="BL731" s="510"/>
      <c r="BM731" s="510"/>
      <c r="BN731" s="510"/>
      <c r="BO731" s="510"/>
      <c r="BP731" s="510"/>
      <c r="BQ731" s="510"/>
      <c r="BR731" s="510"/>
      <c r="BS731" s="510"/>
      <c r="BT731" s="513"/>
      <c r="BU731" s="514"/>
      <c r="BV731" s="512"/>
      <c r="BW731" s="515"/>
    </row>
    <row r="732" spans="2:75" ht="15.75" customHeight="1">
      <c r="B732" s="250" t="s">
        <v>1483</v>
      </c>
      <c r="C732" s="251">
        <v>39773725000158</v>
      </c>
      <c r="D732" s="252" t="s">
        <v>14</v>
      </c>
      <c r="E732" s="252" t="s">
        <v>614</v>
      </c>
      <c r="F732" s="252" t="s">
        <v>689</v>
      </c>
      <c r="G732" s="253" t="s">
        <v>34</v>
      </c>
      <c r="H732" s="253" t="s">
        <v>865</v>
      </c>
      <c r="I732" s="253" t="s">
        <v>34</v>
      </c>
      <c r="J732" s="253" t="s">
        <v>608</v>
      </c>
      <c r="K732" s="254" t="s">
        <v>48</v>
      </c>
      <c r="L732" s="255"/>
      <c r="M732" s="255" t="s">
        <v>1414</v>
      </c>
      <c r="N732" s="254">
        <v>585971</v>
      </c>
      <c r="O732" s="254" t="s">
        <v>1321</v>
      </c>
      <c r="P732" s="258">
        <v>44306</v>
      </c>
      <c r="Q732" s="259">
        <v>19949689.170000002</v>
      </c>
      <c r="R732" s="259">
        <v>15665135.119047625</v>
      </c>
      <c r="S732" s="254">
        <v>23</v>
      </c>
      <c r="T732" s="256">
        <v>7.2211020755875044E-2</v>
      </c>
      <c r="U732" s="256">
        <v>0.81222331680305315</v>
      </c>
      <c r="V732" s="256">
        <v>7.7816957615013393E-2</v>
      </c>
      <c r="W732" s="256">
        <v>0.71418134650927767</v>
      </c>
      <c r="X732" s="256" t="s">
        <v>1417</v>
      </c>
      <c r="Y732" s="256" t="s">
        <v>1417</v>
      </c>
      <c r="Z732" s="256" t="s">
        <v>1417</v>
      </c>
      <c r="AA732" s="256" t="s">
        <v>1417</v>
      </c>
      <c r="AB732" s="256">
        <v>0.1597622821266331</v>
      </c>
      <c r="AC732" s="260">
        <v>-9.8686229501271885E-2</v>
      </c>
      <c r="AD732" s="405">
        <v>39741188000164</v>
      </c>
      <c r="AE732" s="257" t="s">
        <v>2117</v>
      </c>
      <c r="AF732" s="257" t="s">
        <v>2112</v>
      </c>
      <c r="AG732" s="261" t="s">
        <v>59</v>
      </c>
      <c r="AH732" s="261" t="s">
        <v>2119</v>
      </c>
      <c r="AI732" s="261">
        <v>5000</v>
      </c>
      <c r="AJ732" s="261" t="s">
        <v>1427</v>
      </c>
      <c r="AK732" s="261" t="s">
        <v>1427</v>
      </c>
      <c r="AL732" s="519">
        <v>0.02</v>
      </c>
      <c r="AM732" s="519">
        <v>0.2</v>
      </c>
      <c r="AN732" s="256" t="s">
        <v>666</v>
      </c>
      <c r="AO732" s="254" t="s">
        <v>1321</v>
      </c>
      <c r="AP732" s="257" t="s">
        <v>716</v>
      </c>
      <c r="AQ732" s="263" t="s">
        <v>2120</v>
      </c>
      <c r="AR732" s="256" t="s">
        <v>34</v>
      </c>
      <c r="AS732" s="256" t="s">
        <v>34</v>
      </c>
      <c r="AT732" s="256"/>
      <c r="AX732" s="508"/>
      <c r="AY732" s="509"/>
      <c r="AZ732" s="509"/>
      <c r="BA732" s="509"/>
      <c r="BB732" s="510"/>
      <c r="BC732" s="509"/>
      <c r="BD732" s="509"/>
      <c r="BE732" s="509"/>
      <c r="BF732" s="509"/>
      <c r="BG732" s="510"/>
      <c r="BH732" s="510"/>
      <c r="BI732" s="511"/>
      <c r="BJ732" s="511"/>
      <c r="BK732" s="511"/>
      <c r="BL732" s="510"/>
      <c r="BM732" s="510"/>
      <c r="BN732" s="510"/>
      <c r="BO732" s="510"/>
      <c r="BP732" s="510"/>
      <c r="BQ732" s="510"/>
      <c r="BR732" s="510"/>
      <c r="BS732" s="510"/>
      <c r="BT732" s="513"/>
      <c r="BU732" s="514"/>
      <c r="BV732" s="512"/>
      <c r="BW732" s="515"/>
    </row>
    <row r="733" spans="2:75" ht="15.75" customHeight="1">
      <c r="B733" s="250" t="s">
        <v>995</v>
      </c>
      <c r="C733" s="251">
        <v>39990463000183</v>
      </c>
      <c r="D733" s="252" t="s">
        <v>14</v>
      </c>
      <c r="E733" s="252" t="s">
        <v>607</v>
      </c>
      <c r="F733" s="252"/>
      <c r="G733" s="253"/>
      <c r="H733" s="253" t="s">
        <v>34</v>
      </c>
      <c r="I733" s="253" t="s">
        <v>34</v>
      </c>
      <c r="J733" s="253" t="s">
        <v>608</v>
      </c>
      <c r="K733" s="254" t="s">
        <v>48</v>
      </c>
      <c r="L733" s="255"/>
      <c r="M733" s="255" t="s">
        <v>34</v>
      </c>
      <c r="N733" s="254">
        <v>574767</v>
      </c>
      <c r="O733" s="254" t="s">
        <v>1324</v>
      </c>
      <c r="P733" s="258">
        <v>44229</v>
      </c>
      <c r="Q733" s="259">
        <v>15790701.09</v>
      </c>
      <c r="R733" s="259">
        <v>29316833.578333355</v>
      </c>
      <c r="S733" s="254">
        <v>23</v>
      </c>
      <c r="T733" s="256">
        <v>-3.6874363603383364E-2</v>
      </c>
      <c r="U733" s="256">
        <v>-0.47668209548966967</v>
      </c>
      <c r="V733" s="256">
        <v>-0.19010800575931819</v>
      </c>
      <c r="W733" s="256">
        <v>-1.8636941272896654</v>
      </c>
      <c r="X733" s="256" t="s">
        <v>1417</v>
      </c>
      <c r="Y733" s="256" t="s">
        <v>1417</v>
      </c>
      <c r="Z733" s="256" t="s">
        <v>1417</v>
      </c>
      <c r="AA733" s="256" t="s">
        <v>1417</v>
      </c>
      <c r="AB733" s="256">
        <v>0.21913566309323318</v>
      </c>
      <c r="AC733" s="260">
        <v>-1.2954012205130774</v>
      </c>
      <c r="AD733" s="405">
        <v>35492558000116</v>
      </c>
      <c r="AE733" s="257" t="s">
        <v>59</v>
      </c>
      <c r="AF733" s="257" t="s">
        <v>2112</v>
      </c>
      <c r="AG733" s="261" t="s">
        <v>59</v>
      </c>
      <c r="AH733" s="261" t="s">
        <v>2110</v>
      </c>
      <c r="AI733" s="261">
        <v>100</v>
      </c>
      <c r="AJ733" s="261">
        <v>1</v>
      </c>
      <c r="AK733" s="261">
        <v>100</v>
      </c>
      <c r="AL733" s="256">
        <v>0.02</v>
      </c>
      <c r="AM733" s="256">
        <v>0.2</v>
      </c>
      <c r="AN733" s="256" t="s">
        <v>666</v>
      </c>
      <c r="AO733" s="254" t="s">
        <v>1324</v>
      </c>
      <c r="AP733" s="257" t="s">
        <v>716</v>
      </c>
      <c r="AQ733" s="263" t="s">
        <v>659</v>
      </c>
      <c r="AR733" s="256">
        <v>4.6666666666666662E-3</v>
      </c>
      <c r="AS733" s="256">
        <v>4.6666666666666662E-3</v>
      </c>
      <c r="AT733" s="256"/>
      <c r="AX733" s="508"/>
      <c r="AY733" s="509"/>
      <c r="AZ733" s="509"/>
      <c r="BA733" s="509"/>
      <c r="BB733" s="510"/>
      <c r="BC733" s="509"/>
      <c r="BD733" s="509"/>
      <c r="BE733" s="509"/>
      <c r="BF733" s="509"/>
      <c r="BG733" s="510"/>
      <c r="BH733" s="510"/>
      <c r="BI733" s="511"/>
      <c r="BJ733" s="511"/>
      <c r="BK733" s="511"/>
      <c r="BL733" s="510"/>
      <c r="BM733" s="510"/>
      <c r="BN733" s="510"/>
      <c r="BO733" s="510"/>
      <c r="BP733" s="510"/>
      <c r="BQ733" s="510"/>
      <c r="BR733" s="510"/>
      <c r="BS733" s="510"/>
      <c r="BT733" s="513"/>
      <c r="BU733" s="514"/>
      <c r="BV733" s="512"/>
      <c r="BW733" s="515"/>
    </row>
    <row r="734" spans="2:75" ht="15.75" customHeight="1">
      <c r="B734" s="250" t="s">
        <v>1000</v>
      </c>
      <c r="C734" s="251">
        <v>37567415000151</v>
      </c>
      <c r="D734" s="252" t="s">
        <v>14</v>
      </c>
      <c r="E734" s="252" t="s">
        <v>607</v>
      </c>
      <c r="F734" s="252"/>
      <c r="G734" s="253"/>
      <c r="H734" s="253" t="s">
        <v>34</v>
      </c>
      <c r="I734" s="253" t="s">
        <v>34</v>
      </c>
      <c r="J734" s="253" t="s">
        <v>608</v>
      </c>
      <c r="K734" s="254" t="s">
        <v>48</v>
      </c>
      <c r="L734" s="255"/>
      <c r="M734" s="255" t="s">
        <v>34</v>
      </c>
      <c r="N734" s="254">
        <v>555411</v>
      </c>
      <c r="O734" s="254" t="s">
        <v>1321</v>
      </c>
      <c r="P734" s="258">
        <v>44102</v>
      </c>
      <c r="Q734" s="259">
        <v>1712626.9</v>
      </c>
      <c r="R734" s="259">
        <v>2407194.2803968238</v>
      </c>
      <c r="S734" s="254">
        <v>23</v>
      </c>
      <c r="T734" s="256">
        <v>6.9536622516722657E-2</v>
      </c>
      <c r="U734" s="256">
        <v>0.89891349152678401</v>
      </c>
      <c r="V734" s="256">
        <v>-6.2872681418182919E-2</v>
      </c>
      <c r="W734" s="256">
        <v>-0.61636250750201871</v>
      </c>
      <c r="X734" s="256" t="s">
        <v>1417</v>
      </c>
      <c r="Y734" s="256" t="s">
        <v>1417</v>
      </c>
      <c r="Z734" s="256" t="s">
        <v>1417</v>
      </c>
      <c r="AA734" s="256" t="s">
        <v>1417</v>
      </c>
      <c r="AB734" s="256">
        <v>0.17563885298479354</v>
      </c>
      <c r="AC734" s="260">
        <v>-0.83512349601586278</v>
      </c>
      <c r="AD734" s="405">
        <v>35495676000188</v>
      </c>
      <c r="AE734" s="257" t="s">
        <v>59</v>
      </c>
      <c r="AF734" s="257" t="s">
        <v>2112</v>
      </c>
      <c r="AG734" s="261" t="s">
        <v>59</v>
      </c>
      <c r="AH734" s="261" t="s">
        <v>2110</v>
      </c>
      <c r="AI734" s="261">
        <v>100</v>
      </c>
      <c r="AJ734" s="261">
        <v>0</v>
      </c>
      <c r="AK734" s="261">
        <v>1</v>
      </c>
      <c r="AL734" s="256">
        <v>0.02</v>
      </c>
      <c r="AM734" s="256">
        <v>0.2</v>
      </c>
      <c r="AN734" s="256" t="s">
        <v>2122</v>
      </c>
      <c r="AO734" s="254" t="s">
        <v>1324</v>
      </c>
      <c r="AP734" s="257" t="s">
        <v>716</v>
      </c>
      <c r="AQ734" s="263" t="s">
        <v>659</v>
      </c>
      <c r="AR734" s="256">
        <v>4.6666666666666662E-3</v>
      </c>
      <c r="AS734" s="256">
        <v>4.6666666666666662E-3</v>
      </c>
      <c r="AT734" s="256"/>
      <c r="AX734" s="508"/>
      <c r="AY734" s="509"/>
      <c r="AZ734" s="509"/>
      <c r="BA734" s="509"/>
      <c r="BB734" s="510"/>
      <c r="BC734" s="509"/>
      <c r="BD734" s="509"/>
      <c r="BE734" s="509"/>
      <c r="BF734" s="509"/>
      <c r="BG734" s="510"/>
      <c r="BH734" s="510"/>
      <c r="BI734" s="511"/>
      <c r="BJ734" s="511"/>
      <c r="BK734" s="511"/>
      <c r="BL734" s="510"/>
      <c r="BM734" s="510"/>
      <c r="BN734" s="510"/>
      <c r="BO734" s="510"/>
      <c r="BP734" s="510"/>
      <c r="BQ734" s="510"/>
      <c r="BR734" s="510"/>
      <c r="BS734" s="510"/>
      <c r="BT734" s="513"/>
      <c r="BU734" s="514"/>
      <c r="BV734" s="512"/>
      <c r="BW734" s="515"/>
    </row>
    <row r="735" spans="2:75" ht="15.75" customHeight="1">
      <c r="B735" s="250" t="s">
        <v>1003</v>
      </c>
      <c r="C735" s="251">
        <v>30630299000129</v>
      </c>
      <c r="D735" s="252" t="s">
        <v>14</v>
      </c>
      <c r="E735" s="252" t="s">
        <v>614</v>
      </c>
      <c r="F735" s="252"/>
      <c r="G735" s="253"/>
      <c r="H735" s="253" t="s">
        <v>865</v>
      </c>
      <c r="I735" s="253" t="s">
        <v>34</v>
      </c>
      <c r="J735" s="253" t="s">
        <v>608</v>
      </c>
      <c r="K735" s="254" t="s">
        <v>48</v>
      </c>
      <c r="L735" s="255"/>
      <c r="M735" s="255" t="s">
        <v>34</v>
      </c>
      <c r="N735" s="254">
        <v>474282</v>
      </c>
      <c r="O735" s="254" t="s">
        <v>1321</v>
      </c>
      <c r="P735" s="258">
        <v>43334</v>
      </c>
      <c r="Q735" s="259">
        <v>1082844.58</v>
      </c>
      <c r="R735" s="259">
        <v>1368184.8454761901</v>
      </c>
      <c r="S735" s="254">
        <v>23</v>
      </c>
      <c r="T735" s="256">
        <v>-1.5590392101059836E-2</v>
      </c>
      <c r="U735" s="256">
        <v>-0.20154004164445871</v>
      </c>
      <c r="V735" s="256">
        <v>-0.12382623012826177</v>
      </c>
      <c r="W735" s="256">
        <v>-1.2139110973928495</v>
      </c>
      <c r="X735" s="256">
        <v>-3.9687002617196043E-2</v>
      </c>
      <c r="Y735" s="256">
        <v>-0.30095375040891686</v>
      </c>
      <c r="Z735" s="256">
        <v>-0.2265836447215519</v>
      </c>
      <c r="AA735" s="256">
        <v>-1.2879748923553773</v>
      </c>
      <c r="AB735" s="256">
        <v>0.1080497076176602</v>
      </c>
      <c r="AC735" s="260">
        <v>-2.0683388999257963</v>
      </c>
      <c r="AD735" s="405">
        <v>29259435000137</v>
      </c>
      <c r="AE735" s="257" t="s">
        <v>59</v>
      </c>
      <c r="AF735" s="257" t="s">
        <v>2112</v>
      </c>
      <c r="AG735" s="261" t="s">
        <v>59</v>
      </c>
      <c r="AH735" s="261" t="s">
        <v>2110</v>
      </c>
      <c r="AI735" s="261">
        <v>100</v>
      </c>
      <c r="AJ735" s="261">
        <v>1</v>
      </c>
      <c r="AK735" s="261">
        <v>1</v>
      </c>
      <c r="AL735" s="256">
        <v>0.02</v>
      </c>
      <c r="AM735" s="256">
        <v>0.2</v>
      </c>
      <c r="AN735" s="256" t="s">
        <v>666</v>
      </c>
      <c r="AO735" s="254" t="s">
        <v>1324</v>
      </c>
      <c r="AP735" s="257" t="s">
        <v>716</v>
      </c>
      <c r="AQ735" s="263" t="s">
        <v>659</v>
      </c>
      <c r="AR735" s="256">
        <v>4.6666666666666662E-3</v>
      </c>
      <c r="AS735" s="256">
        <v>4.6666666666666662E-3</v>
      </c>
      <c r="AT735" s="256"/>
      <c r="AX735" s="508"/>
      <c r="AY735" s="509"/>
      <c r="AZ735" s="509"/>
      <c r="BA735" s="509"/>
      <c r="BB735" s="510"/>
      <c r="BC735" s="509"/>
      <c r="BD735" s="509"/>
      <c r="BE735" s="509"/>
      <c r="BF735" s="509"/>
      <c r="BG735" s="510"/>
      <c r="BH735" s="510"/>
      <c r="BI735" s="511"/>
      <c r="BJ735" s="511"/>
      <c r="BK735" s="511"/>
      <c r="BL735" s="510"/>
      <c r="BM735" s="510"/>
      <c r="BN735" s="510"/>
      <c r="BO735" s="510"/>
      <c r="BP735" s="510"/>
      <c r="BQ735" s="510"/>
      <c r="BR735" s="510"/>
      <c r="BS735" s="510"/>
      <c r="BT735" s="513"/>
      <c r="BU735" s="514"/>
      <c r="BV735" s="512"/>
      <c r="BW735" s="515"/>
    </row>
    <row r="736" spans="2:75" ht="15.75" customHeight="1">
      <c r="B736" s="250" t="s">
        <v>168</v>
      </c>
      <c r="C736" s="251">
        <v>23591953000177</v>
      </c>
      <c r="D736" s="252" t="s">
        <v>14</v>
      </c>
      <c r="E736" s="252" t="s">
        <v>607</v>
      </c>
      <c r="F736" s="252"/>
      <c r="G736" s="253"/>
      <c r="H736" s="253" t="s">
        <v>34</v>
      </c>
      <c r="I736" s="253" t="s">
        <v>34</v>
      </c>
      <c r="J736" s="253" t="s">
        <v>608</v>
      </c>
      <c r="K736" s="254" t="s">
        <v>48</v>
      </c>
      <c r="L736" s="255"/>
      <c r="M736" s="255" t="s">
        <v>34</v>
      </c>
      <c r="N736" s="254">
        <v>409804</v>
      </c>
      <c r="O736" s="254" t="s">
        <v>1321</v>
      </c>
      <c r="P736" s="258">
        <v>42359</v>
      </c>
      <c r="Q736" s="259">
        <v>107545241.53</v>
      </c>
      <c r="R736" s="259">
        <v>104038845.31380954</v>
      </c>
      <c r="S736" s="254">
        <v>24</v>
      </c>
      <c r="T736" s="256">
        <v>0.18168018837675493</v>
      </c>
      <c r="U736" s="256">
        <v>2.3486152557340203</v>
      </c>
      <c r="V736" s="256">
        <v>6.0216996357710606E-2</v>
      </c>
      <c r="W736" s="256">
        <v>0.59032791400152618</v>
      </c>
      <c r="X736" s="256">
        <v>0.10607246206027132</v>
      </c>
      <c r="Y736" s="256">
        <v>0.80436674898482452</v>
      </c>
      <c r="Z736" s="256">
        <v>0.36279603243794645</v>
      </c>
      <c r="AA736" s="256">
        <v>2.0622502625926584</v>
      </c>
      <c r="AB736" s="256">
        <v>0.1891799489331657</v>
      </c>
      <c r="AC736" s="260">
        <v>-0.10977938218674906</v>
      </c>
      <c r="AD736" s="405">
        <v>0</v>
      </c>
      <c r="AE736" s="257" t="s">
        <v>2208</v>
      </c>
      <c r="AF736" s="257" t="s">
        <v>2109</v>
      </c>
      <c r="AG736" s="261" t="s">
        <v>1432</v>
      </c>
      <c r="AH736" s="261" t="s">
        <v>2110</v>
      </c>
      <c r="AI736" s="261">
        <v>10000</v>
      </c>
      <c r="AJ736" s="261">
        <v>1000</v>
      </c>
      <c r="AK736" s="261">
        <v>10000</v>
      </c>
      <c r="AL736" s="256">
        <v>0.02</v>
      </c>
      <c r="AM736" s="256">
        <v>0.2</v>
      </c>
      <c r="AN736" s="256" t="s">
        <v>34</v>
      </c>
      <c r="AO736" s="254" t="s">
        <v>1324</v>
      </c>
      <c r="AP736" s="257" t="s">
        <v>716</v>
      </c>
      <c r="AQ736" s="263" t="s">
        <v>659</v>
      </c>
      <c r="AR736" s="256">
        <v>4.0000000000000001E-3</v>
      </c>
      <c r="AS736" s="256">
        <v>4.0000000000000001E-3</v>
      </c>
      <c r="AT736" s="256"/>
      <c r="AX736" s="508"/>
      <c r="AY736" s="509"/>
      <c r="AZ736" s="509"/>
      <c r="BA736" s="509"/>
      <c r="BB736" s="510"/>
      <c r="BC736" s="509"/>
      <c r="BD736" s="509"/>
      <c r="BE736" s="509"/>
      <c r="BF736" s="509"/>
      <c r="BG736" s="510"/>
      <c r="BH736" s="510"/>
      <c r="BI736" s="511"/>
      <c r="BJ736" s="511"/>
      <c r="BK736" s="511"/>
      <c r="BL736" s="510"/>
      <c r="BM736" s="510"/>
      <c r="BN736" s="510"/>
      <c r="BO736" s="510"/>
      <c r="BP736" s="510"/>
      <c r="BQ736" s="510"/>
      <c r="BR736" s="510"/>
      <c r="BS736" s="510"/>
      <c r="BT736" s="513"/>
      <c r="BU736" s="514"/>
      <c r="BV736" s="512"/>
      <c r="BW736" s="515"/>
    </row>
    <row r="737" spans="2:75" ht="15.75" customHeight="1">
      <c r="B737" s="250" t="s">
        <v>1482</v>
      </c>
      <c r="C737" s="251">
        <v>22175345000119</v>
      </c>
      <c r="D737" s="252" t="s">
        <v>11</v>
      </c>
      <c r="E737" s="252" t="s">
        <v>620</v>
      </c>
      <c r="F737" s="252" t="s">
        <v>685</v>
      </c>
      <c r="G737" s="253" t="s">
        <v>738</v>
      </c>
      <c r="H737" s="253" t="s">
        <v>34</v>
      </c>
      <c r="I737" s="253" t="s">
        <v>1319</v>
      </c>
      <c r="J737" s="253" t="s">
        <v>608</v>
      </c>
      <c r="K737" s="254" t="s">
        <v>48</v>
      </c>
      <c r="L737" s="255"/>
      <c r="M737" s="255"/>
      <c r="N737" s="254">
        <v>424390</v>
      </c>
      <c r="O737" s="254" t="s">
        <v>1427</v>
      </c>
      <c r="P737" s="258">
        <v>42303</v>
      </c>
      <c r="Q737" s="259">
        <v>18645220.48</v>
      </c>
      <c r="R737" s="259">
        <v>16327353.011230161</v>
      </c>
      <c r="S737" s="254">
        <v>29</v>
      </c>
      <c r="T737" s="256">
        <v>0.11870954127689748</v>
      </c>
      <c r="U737" s="256">
        <v>1.3352346545280771</v>
      </c>
      <c r="V737" s="256">
        <v>0.14915329642355379</v>
      </c>
      <c r="W737" s="256">
        <v>1.3688854632826131</v>
      </c>
      <c r="X737" s="256">
        <v>0.22503351221823631</v>
      </c>
      <c r="Y737" s="256">
        <v>1.5823885018780863</v>
      </c>
      <c r="Z737" s="256">
        <v>0.31145484568054882</v>
      </c>
      <c r="AA737" s="256">
        <v>1.7019648404387004</v>
      </c>
      <c r="AB737" s="256">
        <v>0.11755011510824252</v>
      </c>
      <c r="AC737" s="260">
        <v>0.36135935546517389</v>
      </c>
      <c r="AD737" s="405">
        <v>12167116000107</v>
      </c>
      <c r="AE737" s="257" t="s">
        <v>2243</v>
      </c>
      <c r="AF737" s="257" t="s">
        <v>2109</v>
      </c>
      <c r="AG737" s="261" t="s">
        <v>1432</v>
      </c>
      <c r="AH737" s="261" t="s">
        <v>2110</v>
      </c>
      <c r="AI737" s="261">
        <v>5000</v>
      </c>
      <c r="AJ737" s="261" t="s">
        <v>1427</v>
      </c>
      <c r="AK737" s="261" t="s">
        <v>1427</v>
      </c>
      <c r="AL737" s="256">
        <v>0</v>
      </c>
      <c r="AM737" s="256" t="s">
        <v>34</v>
      </c>
      <c r="AN737" s="256" t="s">
        <v>2429</v>
      </c>
      <c r="AO737" s="254" t="s">
        <v>1324</v>
      </c>
      <c r="AP737" s="257" t="s">
        <v>2430</v>
      </c>
      <c r="AQ737" s="263" t="s">
        <v>2431</v>
      </c>
      <c r="AR737" s="256">
        <v>7.0000000000000001E-3</v>
      </c>
      <c r="AS737" s="256">
        <v>7.0000000000000001E-3</v>
      </c>
      <c r="AT737" s="256"/>
      <c r="AX737" s="508"/>
      <c r="AY737" s="509"/>
      <c r="AZ737" s="509"/>
      <c r="BA737" s="509"/>
      <c r="BB737" s="510"/>
      <c r="BC737" s="509"/>
      <c r="BD737" s="509"/>
      <c r="BE737" s="509"/>
      <c r="BF737" s="509"/>
      <c r="BG737" s="510"/>
      <c r="BH737" s="510"/>
      <c r="BI737" s="511"/>
      <c r="BJ737" s="511"/>
      <c r="BK737" s="511"/>
      <c r="BL737" s="510"/>
      <c r="BM737" s="510"/>
      <c r="BN737" s="510"/>
      <c r="BO737" s="510"/>
      <c r="BP737" s="510"/>
      <c r="BQ737" s="510"/>
      <c r="BR737" s="510"/>
      <c r="BS737" s="510"/>
      <c r="BT737" s="513"/>
      <c r="BU737" s="514"/>
      <c r="BV737" s="512"/>
      <c r="BW737" s="515"/>
    </row>
    <row r="738" spans="2:75" ht="15.75" customHeight="1">
      <c r="B738" s="250" t="s">
        <v>2103</v>
      </c>
      <c r="C738" s="251">
        <v>22175345000119</v>
      </c>
      <c r="D738" s="252" t="s">
        <v>11</v>
      </c>
      <c r="E738" s="252" t="s">
        <v>620</v>
      </c>
      <c r="F738" s="252" t="s">
        <v>685</v>
      </c>
      <c r="G738" s="253" t="s">
        <v>738</v>
      </c>
      <c r="H738" s="253" t="s">
        <v>34</v>
      </c>
      <c r="I738" s="253" t="s">
        <v>1319</v>
      </c>
      <c r="J738" s="253" t="s">
        <v>608</v>
      </c>
      <c r="K738" s="254" t="s">
        <v>48</v>
      </c>
      <c r="L738" s="255"/>
      <c r="M738" s="255"/>
      <c r="N738" s="254">
        <v>424390</v>
      </c>
      <c r="O738" s="254" t="s">
        <v>1427</v>
      </c>
      <c r="P738" s="258">
        <v>42303</v>
      </c>
      <c r="Q738" s="259">
        <v>18645220.48</v>
      </c>
      <c r="R738" s="259">
        <v>16327353.011230161</v>
      </c>
      <c r="S738" s="254">
        <v>29</v>
      </c>
      <c r="T738" s="256">
        <v>0.11870954127689748</v>
      </c>
      <c r="U738" s="256">
        <v>1.3352346545280771</v>
      </c>
      <c r="V738" s="256">
        <v>0.14915329642355379</v>
      </c>
      <c r="W738" s="256">
        <v>1.3688854632826131</v>
      </c>
      <c r="X738" s="256">
        <v>0.22503351221823631</v>
      </c>
      <c r="Y738" s="256">
        <v>1.5823885018780863</v>
      </c>
      <c r="Z738" s="256">
        <v>0.31145484568054882</v>
      </c>
      <c r="AA738" s="256">
        <v>1.7019648404387004</v>
      </c>
      <c r="AB738" s="256">
        <v>0.11755011510824252</v>
      </c>
      <c r="AC738" s="260">
        <v>0.36135935546517389</v>
      </c>
      <c r="AD738" s="405">
        <v>12167116000107</v>
      </c>
      <c r="AE738" s="257" t="s">
        <v>2243</v>
      </c>
      <c r="AF738" s="257" t="s">
        <v>2109</v>
      </c>
      <c r="AG738" s="261" t="s">
        <v>1432</v>
      </c>
      <c r="AH738" s="261" t="s">
        <v>2110</v>
      </c>
      <c r="AI738" s="261">
        <v>5000</v>
      </c>
      <c r="AJ738" s="261" t="s">
        <v>1427</v>
      </c>
      <c r="AK738" s="261" t="s">
        <v>1427</v>
      </c>
      <c r="AL738" s="256">
        <v>0</v>
      </c>
      <c r="AM738" s="256" t="s">
        <v>34</v>
      </c>
      <c r="AN738" s="256" t="s">
        <v>2429</v>
      </c>
      <c r="AO738" s="254" t="s">
        <v>1324</v>
      </c>
      <c r="AP738" s="257" t="s">
        <v>2430</v>
      </c>
      <c r="AQ738" s="263" t="s">
        <v>2431</v>
      </c>
      <c r="AR738" s="256">
        <v>7.0000000000000001E-3</v>
      </c>
      <c r="AS738" s="256">
        <v>7.0000000000000001E-3</v>
      </c>
      <c r="AT738" s="256"/>
      <c r="AX738" s="508"/>
      <c r="AY738" s="509"/>
      <c r="AZ738" s="509"/>
      <c r="BA738" s="509"/>
      <c r="BB738" s="510"/>
      <c r="BC738" s="509"/>
      <c r="BD738" s="509"/>
      <c r="BE738" s="509"/>
      <c r="BF738" s="509"/>
      <c r="BG738" s="510"/>
      <c r="BH738" s="510"/>
      <c r="BI738" s="511"/>
      <c r="BJ738" s="511"/>
      <c r="BK738" s="511"/>
      <c r="BL738" s="510"/>
      <c r="BM738" s="510"/>
      <c r="BN738" s="510"/>
      <c r="BO738" s="510"/>
      <c r="BP738" s="510"/>
      <c r="BQ738" s="510"/>
      <c r="BR738" s="510"/>
      <c r="BS738" s="510"/>
      <c r="BT738" s="513"/>
      <c r="BU738" s="514"/>
      <c r="BV738" s="512"/>
      <c r="BW738" s="515"/>
    </row>
    <row r="739" spans="2:75" ht="15.75" customHeight="1">
      <c r="B739" s="250" t="s">
        <v>113</v>
      </c>
      <c r="C739" s="251">
        <v>14812722000155</v>
      </c>
      <c r="D739" s="252" t="s">
        <v>13</v>
      </c>
      <c r="E739" s="252" t="s">
        <v>615</v>
      </c>
      <c r="F739" s="252" t="s">
        <v>619</v>
      </c>
      <c r="G739" s="253" t="s">
        <v>34</v>
      </c>
      <c r="H739" s="253" t="s">
        <v>865</v>
      </c>
      <c r="I739" s="253" t="s">
        <v>34</v>
      </c>
      <c r="J739" s="253"/>
      <c r="K739" s="254" t="s">
        <v>48</v>
      </c>
      <c r="L739" s="255"/>
      <c r="M739" s="255" t="s">
        <v>34</v>
      </c>
      <c r="N739" s="254">
        <v>296139</v>
      </c>
      <c r="O739" s="254" t="s">
        <v>1321</v>
      </c>
      <c r="P739" s="258">
        <v>40931</v>
      </c>
      <c r="Q739" s="259">
        <v>60902876.840000004</v>
      </c>
      <c r="R739" s="259">
        <v>140988913.97448415</v>
      </c>
      <c r="S739" s="254">
        <v>29</v>
      </c>
      <c r="T739" s="256">
        <v>4.1576294430982985E-2</v>
      </c>
      <c r="U739" s="256">
        <v>0.53746487302734125</v>
      </c>
      <c r="V739" s="256">
        <v>8.359676615125089E-2</v>
      </c>
      <c r="W739" s="256">
        <v>0.81952783373962279</v>
      </c>
      <c r="X739" s="256">
        <v>5.2885028814073642E-2</v>
      </c>
      <c r="Y739" s="256">
        <v>0.40103678062053622</v>
      </c>
      <c r="Z739" s="256">
        <v>6.5613994506574569E-2</v>
      </c>
      <c r="AA739" s="256">
        <v>0.37297121606223971</v>
      </c>
      <c r="AB739" s="256">
        <v>5.656947886175169E-2</v>
      </c>
      <c r="AC739" s="260">
        <v>-0.26972039004930187</v>
      </c>
      <c r="AD739" s="405">
        <v>23686472000145</v>
      </c>
      <c r="AE739" s="257" t="s">
        <v>2164</v>
      </c>
      <c r="AF739" s="257" t="s">
        <v>2118</v>
      </c>
      <c r="AG739" s="261" t="s">
        <v>1433</v>
      </c>
      <c r="AH739" s="261" t="s">
        <v>2113</v>
      </c>
      <c r="AI739" s="261">
        <v>1000</v>
      </c>
      <c r="AJ739" s="261">
        <v>500</v>
      </c>
      <c r="AK739" s="261">
        <v>500</v>
      </c>
      <c r="AL739" s="256">
        <v>0.02</v>
      </c>
      <c r="AM739" s="256">
        <v>0.25</v>
      </c>
      <c r="AN739" s="256" t="s">
        <v>64</v>
      </c>
      <c r="AO739" s="254" t="s">
        <v>1324</v>
      </c>
      <c r="AP739" s="257" t="s">
        <v>13</v>
      </c>
      <c r="AQ739" s="263" t="s">
        <v>674</v>
      </c>
      <c r="AR739" s="256">
        <v>4.0000000000000001E-3</v>
      </c>
      <c r="AS739" s="256">
        <v>4.0000000000000001E-3</v>
      </c>
      <c r="AT739" s="256"/>
      <c r="AX739" s="508"/>
      <c r="AY739" s="509"/>
      <c r="AZ739" s="509"/>
      <c r="BA739" s="509"/>
      <c r="BB739" s="510"/>
      <c r="BC739" s="509"/>
      <c r="BD739" s="509"/>
      <c r="BE739" s="509"/>
      <c r="BF739" s="509"/>
      <c r="BG739" s="510"/>
      <c r="BH739" s="510"/>
      <c r="BI739" s="511"/>
      <c r="BJ739" s="511"/>
      <c r="BK739" s="511"/>
      <c r="BL739" s="510"/>
      <c r="BM739" s="510"/>
      <c r="BN739" s="510"/>
      <c r="BO739" s="510"/>
      <c r="BP739" s="510"/>
      <c r="BQ739" s="510"/>
      <c r="BR739" s="510"/>
      <c r="BS739" s="510"/>
      <c r="BT739" s="513"/>
      <c r="BU739" s="514"/>
      <c r="BV739" s="512"/>
      <c r="BW739" s="515"/>
    </row>
    <row r="740" spans="2:75" ht="15.75" customHeight="1">
      <c r="B740" s="250" t="s">
        <v>110</v>
      </c>
      <c r="C740" s="251">
        <v>11392165000172</v>
      </c>
      <c r="D740" s="252" t="s">
        <v>14</v>
      </c>
      <c r="E740" s="252" t="s">
        <v>607</v>
      </c>
      <c r="F740" s="252"/>
      <c r="G740" s="253"/>
      <c r="H740" s="253" t="s">
        <v>34</v>
      </c>
      <c r="I740" s="253" t="s">
        <v>34</v>
      </c>
      <c r="J740" s="253" t="s">
        <v>608</v>
      </c>
      <c r="K740" s="254" t="s">
        <v>48</v>
      </c>
      <c r="L740" s="255"/>
      <c r="M740" s="255" t="s">
        <v>34</v>
      </c>
      <c r="N740" s="254">
        <v>240737</v>
      </c>
      <c r="O740" s="254" t="s">
        <v>1321</v>
      </c>
      <c r="P740" s="258">
        <v>40177</v>
      </c>
      <c r="Q740" s="259">
        <v>1116195129.8399999</v>
      </c>
      <c r="R740" s="259">
        <v>1339901392.2854764</v>
      </c>
      <c r="S740" s="254">
        <v>29</v>
      </c>
      <c r="T740" s="256">
        <v>-3.1871474291946478E-2</v>
      </c>
      <c r="U740" s="256">
        <v>-0.4120087688899452</v>
      </c>
      <c r="V740" s="256">
        <v>-0.14902550344308074</v>
      </c>
      <c r="W740" s="256">
        <v>-1.4609482355776171</v>
      </c>
      <c r="X740" s="256">
        <v>-5.3668392402505094E-2</v>
      </c>
      <c r="Y740" s="256">
        <v>-0.40697716901787218</v>
      </c>
      <c r="Z740" s="256">
        <v>3.3715991900753473E-2</v>
      </c>
      <c r="AA740" s="256">
        <v>0.19165262829271298</v>
      </c>
      <c r="AB740" s="256">
        <v>0.16882704437527427</v>
      </c>
      <c r="AC740" s="260">
        <v>-1.4467728354198166</v>
      </c>
      <c r="AD740" s="405">
        <v>11403884000141</v>
      </c>
      <c r="AE740" s="257" t="s">
        <v>2164</v>
      </c>
      <c r="AF740" s="257" t="s">
        <v>2115</v>
      </c>
      <c r="AG740" s="261" t="s">
        <v>719</v>
      </c>
      <c r="AH740" s="261" t="s">
        <v>2113</v>
      </c>
      <c r="AI740" s="261">
        <v>1000</v>
      </c>
      <c r="AJ740" s="261">
        <v>500</v>
      </c>
      <c r="AK740" s="261">
        <v>500</v>
      </c>
      <c r="AL740" s="519">
        <v>0.02</v>
      </c>
      <c r="AM740" s="519">
        <v>0.2</v>
      </c>
      <c r="AN740" s="256" t="s">
        <v>2160</v>
      </c>
      <c r="AO740" s="254" t="s">
        <v>1324</v>
      </c>
      <c r="AP740" s="257" t="s">
        <v>716</v>
      </c>
      <c r="AQ740" s="263" t="s">
        <v>659</v>
      </c>
      <c r="AR740" s="256">
        <v>4.0000000000000001E-3</v>
      </c>
      <c r="AS740" s="256">
        <v>4.0000000000000001E-3</v>
      </c>
      <c r="AT740" s="256"/>
      <c r="AX740" s="508"/>
      <c r="AY740" s="509"/>
      <c r="AZ740" s="509"/>
      <c r="BA740" s="509"/>
      <c r="BB740" s="510"/>
      <c r="BC740" s="509"/>
      <c r="BD740" s="509"/>
      <c r="BE740" s="509"/>
      <c r="BF740" s="509"/>
      <c r="BG740" s="510"/>
      <c r="BH740" s="510"/>
      <c r="BI740" s="511"/>
      <c r="BJ740" s="511"/>
      <c r="BK740" s="511"/>
      <c r="BL740" s="510"/>
      <c r="BM740" s="510"/>
      <c r="BN740" s="510"/>
      <c r="BO740" s="510"/>
      <c r="BP740" s="510"/>
      <c r="BQ740" s="510"/>
      <c r="BR740" s="510"/>
      <c r="BS740" s="510"/>
      <c r="BT740" s="513"/>
      <c r="BU740" s="514"/>
      <c r="BV740" s="512"/>
      <c r="BW740" s="515"/>
    </row>
    <row r="741" spans="2:75" ht="15.75" customHeight="1">
      <c r="B741" s="250" t="s">
        <v>126</v>
      </c>
      <c r="C741" s="251">
        <v>12239939000192</v>
      </c>
      <c r="D741" s="252" t="s">
        <v>14</v>
      </c>
      <c r="E741" s="252" t="s">
        <v>607</v>
      </c>
      <c r="F741" s="252"/>
      <c r="G741" s="253"/>
      <c r="H741" s="253" t="s">
        <v>34</v>
      </c>
      <c r="I741" s="253" t="s">
        <v>34</v>
      </c>
      <c r="J741" s="253" t="s">
        <v>608</v>
      </c>
      <c r="K741" s="254" t="s">
        <v>48</v>
      </c>
      <c r="L741" s="255"/>
      <c r="M741" s="255" t="s">
        <v>34</v>
      </c>
      <c r="N741" s="254">
        <v>287393</v>
      </c>
      <c r="O741" s="254" t="s">
        <v>1321</v>
      </c>
      <c r="P741" s="258">
        <v>40808</v>
      </c>
      <c r="Q741" s="259">
        <v>202626812.46000001</v>
      </c>
      <c r="R741" s="259">
        <v>216161014.83876982</v>
      </c>
      <c r="S741" s="254">
        <v>29</v>
      </c>
      <c r="T741" s="256">
        <v>8.4920931945067002E-2</v>
      </c>
      <c r="U741" s="256">
        <v>1.0977894622375515</v>
      </c>
      <c r="V741" s="256">
        <v>-5.6988330490041483E-2</v>
      </c>
      <c r="W741" s="256">
        <v>-0.55867619269435753</v>
      </c>
      <c r="X741" s="256">
        <v>3.9738523978498641E-2</v>
      </c>
      <c r="Y741" s="256">
        <v>0.30134444625107332</v>
      </c>
      <c r="Z741" s="256">
        <v>9.5110963298846052E-2</v>
      </c>
      <c r="AA741" s="256">
        <v>0.54064154924857033</v>
      </c>
      <c r="AB741" s="256">
        <v>0.19726729251221967</v>
      </c>
      <c r="AC741" s="260">
        <v>-0.69136399603495635</v>
      </c>
      <c r="AD741" s="405">
        <v>12241282000106</v>
      </c>
      <c r="AE741" s="257" t="s">
        <v>2128</v>
      </c>
      <c r="AF741" s="257" t="s">
        <v>728</v>
      </c>
      <c r="AG741" s="261" t="s">
        <v>728</v>
      </c>
      <c r="AH741" s="261" t="s">
        <v>2113</v>
      </c>
      <c r="AI741" s="261">
        <v>5000</v>
      </c>
      <c r="AJ741" s="261">
        <v>5000</v>
      </c>
      <c r="AK741" s="261">
        <v>1000</v>
      </c>
      <c r="AL741" s="256">
        <v>0.02</v>
      </c>
      <c r="AM741" s="256">
        <v>0.2</v>
      </c>
      <c r="AN741" s="256" t="s">
        <v>666</v>
      </c>
      <c r="AO741" s="254" t="s">
        <v>1324</v>
      </c>
      <c r="AP741" s="257" t="s">
        <v>716</v>
      </c>
      <c r="AQ741" s="263" t="s">
        <v>659</v>
      </c>
      <c r="AR741" s="256">
        <v>6.6000000000000008E-3</v>
      </c>
      <c r="AS741" s="256">
        <v>6.6000000000000008E-3</v>
      </c>
      <c r="AT741" s="256"/>
      <c r="AX741" s="508"/>
      <c r="AY741" s="509"/>
      <c r="AZ741" s="509"/>
      <c r="BA741" s="509"/>
      <c r="BB741" s="510"/>
      <c r="BC741" s="509"/>
      <c r="BD741" s="509"/>
      <c r="BE741" s="509"/>
      <c r="BF741" s="509"/>
      <c r="BG741" s="510"/>
      <c r="BH741" s="510"/>
      <c r="BI741" s="511"/>
      <c r="BJ741" s="511"/>
      <c r="BK741" s="511"/>
      <c r="BL741" s="510"/>
      <c r="BM741" s="510"/>
      <c r="BN741" s="510"/>
      <c r="BO741" s="510"/>
      <c r="BP741" s="510"/>
      <c r="BQ741" s="510"/>
      <c r="BR741" s="510"/>
      <c r="BS741" s="510"/>
      <c r="BT741" s="513"/>
      <c r="BU741" s="514"/>
      <c r="BV741" s="512"/>
      <c r="BW741" s="515"/>
    </row>
    <row r="742" spans="2:75" ht="15.75" customHeight="1">
      <c r="B742" s="250" t="s">
        <v>1661</v>
      </c>
      <c r="C742" s="251">
        <v>32999290000115</v>
      </c>
      <c r="D742" s="252" t="s">
        <v>14</v>
      </c>
      <c r="E742" s="252" t="s">
        <v>614</v>
      </c>
      <c r="F742" s="252"/>
      <c r="G742" s="253"/>
      <c r="H742" s="253" t="s">
        <v>1338</v>
      </c>
      <c r="I742" s="253" t="s">
        <v>34</v>
      </c>
      <c r="J742" s="253" t="s">
        <v>608</v>
      </c>
      <c r="K742" s="254" t="s">
        <v>48</v>
      </c>
      <c r="L742" s="255"/>
      <c r="M742" s="255"/>
      <c r="N742" s="254">
        <v>504572</v>
      </c>
      <c r="O742" s="254" t="s">
        <v>1324</v>
      </c>
      <c r="P742" s="258">
        <v>43662</v>
      </c>
      <c r="Q742" s="259">
        <v>18602718.329999998</v>
      </c>
      <c r="R742" s="259">
        <v>35313085.66900795</v>
      </c>
      <c r="S742" s="254">
        <v>29</v>
      </c>
      <c r="T742" s="256">
        <v>2.4437928104818818E-2</v>
      </c>
      <c r="U742" s="256">
        <v>0.27487570198175859</v>
      </c>
      <c r="V742" s="256">
        <v>-0.14306655848821193</v>
      </c>
      <c r="W742" s="256">
        <v>-1.313023157331026</v>
      </c>
      <c r="X742" s="256">
        <v>-7.8622574968453929E-2</v>
      </c>
      <c r="Y742" s="256">
        <v>-0.55285747172392607</v>
      </c>
      <c r="Z742" s="256">
        <v>-0.20246674501057205</v>
      </c>
      <c r="AA742" s="256">
        <v>-1.1063924229950806</v>
      </c>
      <c r="AB742" s="256">
        <v>0.27096684826623652</v>
      </c>
      <c r="AC742" s="260">
        <v>-0.81609178709019958</v>
      </c>
      <c r="AD742" s="405">
        <v>23960625000109</v>
      </c>
      <c r="AE742" s="257" t="s">
        <v>2318</v>
      </c>
      <c r="AF742" s="257" t="s">
        <v>2318</v>
      </c>
      <c r="AG742" s="261" t="s">
        <v>1436</v>
      </c>
      <c r="AH742" s="261" t="s">
        <v>2113</v>
      </c>
      <c r="AI742" s="261">
        <v>5000</v>
      </c>
      <c r="AJ742" s="261">
        <v>1000</v>
      </c>
      <c r="AK742" s="261">
        <v>5000</v>
      </c>
      <c r="AL742" s="256">
        <v>0</v>
      </c>
      <c r="AM742" s="256" t="s">
        <v>34</v>
      </c>
      <c r="AN742" s="256" t="s">
        <v>64</v>
      </c>
      <c r="AO742" s="254" t="s">
        <v>1324</v>
      </c>
      <c r="AP742" s="257" t="s">
        <v>13</v>
      </c>
      <c r="AQ742" s="263" t="s">
        <v>668</v>
      </c>
      <c r="AR742" s="256" t="s">
        <v>34</v>
      </c>
      <c r="AS742" s="256" t="s">
        <v>34</v>
      </c>
      <c r="AT742" s="256"/>
      <c r="AX742" s="508"/>
      <c r="AY742" s="509"/>
      <c r="AZ742" s="509"/>
      <c r="BA742" s="509"/>
      <c r="BB742" s="510"/>
      <c r="BC742" s="509"/>
      <c r="BD742" s="509"/>
      <c r="BE742" s="509"/>
      <c r="BF742" s="509"/>
      <c r="BG742" s="510"/>
      <c r="BH742" s="510"/>
      <c r="BI742" s="511"/>
      <c r="BJ742" s="511"/>
      <c r="BK742" s="511"/>
      <c r="BL742" s="510"/>
      <c r="BM742" s="510"/>
      <c r="BN742" s="510"/>
      <c r="BO742" s="510"/>
      <c r="BP742" s="510"/>
      <c r="BQ742" s="510"/>
      <c r="BR742" s="510"/>
      <c r="BS742" s="510"/>
      <c r="BT742" s="513"/>
      <c r="BU742" s="514"/>
      <c r="BV742" s="512"/>
      <c r="BW742" s="515"/>
    </row>
    <row r="743" spans="2:75" ht="15.75" customHeight="1">
      <c r="B743" s="250" t="s">
        <v>1078</v>
      </c>
      <c r="C743" s="251">
        <v>6118222000190</v>
      </c>
      <c r="D743" s="252" t="s">
        <v>14</v>
      </c>
      <c r="E743" s="252" t="s">
        <v>607</v>
      </c>
      <c r="F743" s="252"/>
      <c r="G743" s="253"/>
      <c r="H743" s="253" t="s">
        <v>34</v>
      </c>
      <c r="I743" s="253" t="s">
        <v>34</v>
      </c>
      <c r="J743" s="253" t="s">
        <v>608</v>
      </c>
      <c r="K743" s="254" t="s">
        <v>48</v>
      </c>
      <c r="L743" s="255"/>
      <c r="M743" s="255" t="s">
        <v>34</v>
      </c>
      <c r="N743" s="254">
        <v>223336</v>
      </c>
      <c r="O743" s="254" t="s">
        <v>1321</v>
      </c>
      <c r="P743" s="258">
        <v>39827</v>
      </c>
      <c r="Q743" s="259">
        <v>47810006.960000001</v>
      </c>
      <c r="R743" s="259">
        <v>71323517.911190435</v>
      </c>
      <c r="S743" s="254">
        <v>29</v>
      </c>
      <c r="T743" s="256">
        <v>-6.4205807528987857E-2</v>
      </c>
      <c r="U743" s="256">
        <v>-0.83000100570457425</v>
      </c>
      <c r="V743" s="256">
        <v>-0.21099194454227332</v>
      </c>
      <c r="W743" s="256">
        <v>-2.0684265577257919</v>
      </c>
      <c r="X743" s="256">
        <v>-0.14153130516275925</v>
      </c>
      <c r="Y743" s="256">
        <v>-1.0732575977039271</v>
      </c>
      <c r="Z743" s="256">
        <v>-3.1123830092202542E-2</v>
      </c>
      <c r="AA743" s="256">
        <v>-0.17691794022447685</v>
      </c>
      <c r="AB743" s="256">
        <v>0.22112063166311743</v>
      </c>
      <c r="AC743" s="260">
        <v>-1.4002763262951519</v>
      </c>
      <c r="AD743" s="405">
        <v>29599351000142</v>
      </c>
      <c r="AE743" s="257" t="s">
        <v>2327</v>
      </c>
      <c r="AF743" s="257" t="s">
        <v>2118</v>
      </c>
      <c r="AG743" s="261" t="s">
        <v>1433</v>
      </c>
      <c r="AH743" s="261" t="s">
        <v>2113</v>
      </c>
      <c r="AI743" s="261">
        <v>5000</v>
      </c>
      <c r="AJ743" s="261">
        <v>1000</v>
      </c>
      <c r="AK743" s="261">
        <v>5000</v>
      </c>
      <c r="AL743" s="256">
        <v>0.02</v>
      </c>
      <c r="AM743" s="256">
        <v>0.2</v>
      </c>
      <c r="AN743" s="256" t="s">
        <v>666</v>
      </c>
      <c r="AO743" s="254" t="s">
        <v>1324</v>
      </c>
      <c r="AP743" s="257" t="s">
        <v>716</v>
      </c>
      <c r="AQ743" s="263" t="s">
        <v>665</v>
      </c>
      <c r="AR743" s="256">
        <v>5.3333333333333332E-3</v>
      </c>
      <c r="AS743" s="256">
        <v>5.3333333333333332E-3</v>
      </c>
      <c r="AT743" s="256"/>
      <c r="AX743" s="508"/>
      <c r="AY743" s="509"/>
      <c r="AZ743" s="509"/>
      <c r="BA743" s="509"/>
      <c r="BB743" s="510"/>
      <c r="BC743" s="509"/>
      <c r="BD743" s="509"/>
      <c r="BE743" s="509"/>
      <c r="BF743" s="509"/>
      <c r="BG743" s="510"/>
      <c r="BH743" s="510"/>
      <c r="BI743" s="511"/>
      <c r="BJ743" s="511"/>
      <c r="BK743" s="511"/>
      <c r="BL743" s="510"/>
      <c r="BM743" s="510"/>
      <c r="BN743" s="510"/>
      <c r="BO743" s="510"/>
      <c r="BP743" s="510"/>
      <c r="BQ743" s="510"/>
      <c r="BR743" s="510"/>
      <c r="BS743" s="510"/>
      <c r="BT743" s="513"/>
      <c r="BU743" s="514"/>
      <c r="BV743" s="512"/>
      <c r="BW743" s="515"/>
    </row>
    <row r="744" spans="2:75" ht="15.75" customHeight="1">
      <c r="B744" s="250" t="s">
        <v>339</v>
      </c>
      <c r="C744" s="251">
        <v>37414101000119</v>
      </c>
      <c r="D744" s="252" t="s">
        <v>14</v>
      </c>
      <c r="E744" s="252" t="s">
        <v>607</v>
      </c>
      <c r="F744" s="252"/>
      <c r="G744" s="253"/>
      <c r="H744" s="253" t="s">
        <v>34</v>
      </c>
      <c r="I744" s="253" t="s">
        <v>34</v>
      </c>
      <c r="J744" s="253" t="s">
        <v>608</v>
      </c>
      <c r="K744" s="254" t="s">
        <v>48</v>
      </c>
      <c r="L744" s="255"/>
      <c r="M744" s="255" t="s">
        <v>1414</v>
      </c>
      <c r="N744" s="254">
        <v>544507</v>
      </c>
      <c r="O744" s="254" t="s">
        <v>1321</v>
      </c>
      <c r="P744" s="258">
        <v>44029</v>
      </c>
      <c r="Q744" s="259">
        <v>2021510.92</v>
      </c>
      <c r="R744" s="259">
        <v>4513176.6514682518</v>
      </c>
      <c r="S744" s="254">
        <v>29</v>
      </c>
      <c r="T744" s="256">
        <v>-0.1095137400935603</v>
      </c>
      <c r="U744" s="256">
        <v>-1.4157054932310622</v>
      </c>
      <c r="V744" s="256">
        <v>-0.27814787862247592</v>
      </c>
      <c r="W744" s="256">
        <v>-2.7267792633786985</v>
      </c>
      <c r="X744" s="256">
        <v>1.5762043534089498E-2</v>
      </c>
      <c r="Y744" s="256">
        <v>0.11952643946049661</v>
      </c>
      <c r="Z744" s="256" t="s">
        <v>1417</v>
      </c>
      <c r="AA744" s="256" t="s">
        <v>1417</v>
      </c>
      <c r="AB744" s="256">
        <v>0.30649826616081793</v>
      </c>
      <c r="AC744" s="260">
        <v>-1.226332139574511</v>
      </c>
      <c r="AD744" s="405">
        <v>0</v>
      </c>
      <c r="AE744" s="257" t="s">
        <v>2184</v>
      </c>
      <c r="AF744" s="257" t="s">
        <v>761</v>
      </c>
      <c r="AG744" s="261" t="s">
        <v>761</v>
      </c>
      <c r="AH744" s="261" t="s">
        <v>2113</v>
      </c>
      <c r="AI744" s="261">
        <v>0</v>
      </c>
      <c r="AJ744" s="261">
        <v>0</v>
      </c>
      <c r="AK744" s="261">
        <v>0</v>
      </c>
      <c r="AL744" s="256">
        <v>0.02</v>
      </c>
      <c r="AM744" s="256">
        <v>0.2</v>
      </c>
      <c r="AN744" s="256" t="s">
        <v>2122</v>
      </c>
      <c r="AO744" s="254" t="s">
        <v>1324</v>
      </c>
      <c r="AP744" s="257" t="s">
        <v>716</v>
      </c>
      <c r="AQ744" s="263" t="s">
        <v>681</v>
      </c>
      <c r="AR744" s="256">
        <v>3.3333333333333331E-3</v>
      </c>
      <c r="AS744" s="256">
        <v>3.3333333333333331E-3</v>
      </c>
      <c r="AT744" s="256"/>
      <c r="AX744" s="508"/>
      <c r="AY744" s="509"/>
      <c r="AZ744" s="509"/>
      <c r="BA744" s="509"/>
      <c r="BB744" s="510"/>
      <c r="BC744" s="509"/>
      <c r="BD744" s="509"/>
      <c r="BE744" s="509"/>
      <c r="BF744" s="509"/>
      <c r="BG744" s="510"/>
      <c r="BH744" s="510"/>
      <c r="BI744" s="511"/>
      <c r="BJ744" s="511"/>
      <c r="BK744" s="511"/>
      <c r="BL744" s="510"/>
      <c r="BM744" s="510"/>
      <c r="BN744" s="510"/>
      <c r="BO744" s="510"/>
      <c r="BP744" s="510"/>
      <c r="BQ744" s="510"/>
      <c r="BR744" s="510"/>
      <c r="BS744" s="510"/>
      <c r="BT744" s="513"/>
      <c r="BU744" s="514"/>
      <c r="BV744" s="512"/>
      <c r="BW744" s="515"/>
    </row>
    <row r="745" spans="2:75" ht="15.75" customHeight="1">
      <c r="B745" s="250" t="s">
        <v>1689</v>
      </c>
      <c r="C745" s="251">
        <v>31533638000111</v>
      </c>
      <c r="D745" s="252" t="s">
        <v>14</v>
      </c>
      <c r="E745" s="252" t="s">
        <v>614</v>
      </c>
      <c r="F745" s="252"/>
      <c r="G745" s="253"/>
      <c r="H745" s="253" t="s">
        <v>1338</v>
      </c>
      <c r="I745" s="253" t="s">
        <v>34</v>
      </c>
      <c r="J745" s="253" t="s">
        <v>608</v>
      </c>
      <c r="K745" s="254" t="s">
        <v>48</v>
      </c>
      <c r="L745" s="255"/>
      <c r="M745" s="255"/>
      <c r="N745" s="254">
        <v>483575</v>
      </c>
      <c r="O745" s="254" t="s">
        <v>1321</v>
      </c>
      <c r="P745" s="258">
        <v>43460</v>
      </c>
      <c r="Q745" s="259" t="s">
        <v>1393</v>
      </c>
      <c r="R745" s="259" t="s">
        <v>1417</v>
      </c>
      <c r="S745" s="254">
        <v>29</v>
      </c>
      <c r="T745" s="256" t="s">
        <v>1417</v>
      </c>
      <c r="U745" s="256" t="s">
        <v>1417</v>
      </c>
      <c r="V745" s="256" t="s">
        <v>1417</v>
      </c>
      <c r="W745" s="256" t="s">
        <v>1417</v>
      </c>
      <c r="X745" s="256" t="s">
        <v>1417</v>
      </c>
      <c r="Y745" s="256" t="s">
        <v>1417</v>
      </c>
      <c r="Z745" s="256" t="s">
        <v>1417</v>
      </c>
      <c r="AA745" s="256" t="s">
        <v>1417</v>
      </c>
      <c r="AB745" s="256" t="s">
        <v>1417</v>
      </c>
      <c r="AC745" s="260" t="s">
        <v>1417</v>
      </c>
      <c r="AD745" s="405">
        <v>22899381000125</v>
      </c>
      <c r="AE745" s="257" t="s">
        <v>2383</v>
      </c>
      <c r="AF745" s="257" t="s">
        <v>2118</v>
      </c>
      <c r="AG745" s="261" t="s">
        <v>1433</v>
      </c>
      <c r="AH745" s="261" t="s">
        <v>2113</v>
      </c>
      <c r="AI745" s="261">
        <v>25000</v>
      </c>
      <c r="AJ745" s="261">
        <v>0</v>
      </c>
      <c r="AK745" s="261">
        <v>25000</v>
      </c>
      <c r="AL745" s="256">
        <v>1.8000000000000002E-2</v>
      </c>
      <c r="AM745" s="256">
        <v>0.2</v>
      </c>
      <c r="AN745" s="256" t="s">
        <v>64</v>
      </c>
      <c r="AO745" s="254" t="s">
        <v>1324</v>
      </c>
      <c r="AP745" s="257" t="s">
        <v>13</v>
      </c>
      <c r="AQ745" s="263" t="s">
        <v>668</v>
      </c>
      <c r="AR745" s="256">
        <v>4.7999999999999996E-3</v>
      </c>
      <c r="AS745" s="256">
        <v>4.7999999999999996E-3</v>
      </c>
      <c r="AT745" s="256"/>
      <c r="AX745" s="508"/>
      <c r="AY745" s="509"/>
      <c r="AZ745" s="509"/>
      <c r="BA745" s="509"/>
      <c r="BB745" s="510"/>
      <c r="BC745" s="509"/>
      <c r="BD745" s="509"/>
      <c r="BE745" s="509"/>
      <c r="BF745" s="509"/>
      <c r="BG745" s="510"/>
      <c r="BH745" s="510"/>
      <c r="BI745" s="511"/>
      <c r="BJ745" s="511"/>
      <c r="BK745" s="511"/>
      <c r="BL745" s="510"/>
      <c r="BM745" s="510"/>
      <c r="BN745" s="510"/>
      <c r="BO745" s="510"/>
      <c r="BP745" s="510"/>
      <c r="BQ745" s="510"/>
      <c r="BR745" s="510"/>
      <c r="BS745" s="510"/>
      <c r="BT745" s="513"/>
      <c r="BU745" s="514"/>
      <c r="BV745" s="512"/>
      <c r="BW745" s="515"/>
    </row>
    <row r="746" spans="2:75" ht="15.75" customHeight="1">
      <c r="B746" s="250" t="s">
        <v>572</v>
      </c>
      <c r="C746" s="251">
        <v>31666885000196</v>
      </c>
      <c r="D746" s="252" t="s">
        <v>14</v>
      </c>
      <c r="E746" s="252" t="s">
        <v>614</v>
      </c>
      <c r="F746" s="252"/>
      <c r="G746" s="253"/>
      <c r="H746" s="253" t="s">
        <v>1338</v>
      </c>
      <c r="I746" s="253" t="s">
        <v>34</v>
      </c>
      <c r="J746" s="253" t="s">
        <v>608</v>
      </c>
      <c r="K746" s="254" t="s">
        <v>48</v>
      </c>
      <c r="L746" s="255"/>
      <c r="M746" s="255" t="s">
        <v>34</v>
      </c>
      <c r="N746" s="254">
        <v>513229</v>
      </c>
      <c r="O746" s="254" t="s">
        <v>1321</v>
      </c>
      <c r="P746" s="258">
        <v>43780</v>
      </c>
      <c r="Q746" s="259">
        <v>86865126.200000003</v>
      </c>
      <c r="R746" s="259">
        <v>42700623.465833366</v>
      </c>
      <c r="S746" s="254">
        <v>29</v>
      </c>
      <c r="T746" s="256">
        <v>1.2419890764095776E-2</v>
      </c>
      <c r="U746" s="256">
        <v>0.16055435203873608</v>
      </c>
      <c r="V746" s="256">
        <v>-0.20106496738723989</v>
      </c>
      <c r="W746" s="256">
        <v>-1.9711089884225979</v>
      </c>
      <c r="X746" s="256">
        <v>-0.18075556469704679</v>
      </c>
      <c r="Y746" s="256">
        <v>-1.370702283252986</v>
      </c>
      <c r="Z746" s="256" t="s">
        <v>1417</v>
      </c>
      <c r="AA746" s="256" t="s">
        <v>1417</v>
      </c>
      <c r="AB746" s="256">
        <v>0.2783888097627123</v>
      </c>
      <c r="AC746" s="260">
        <v>-1.0159245543048152</v>
      </c>
      <c r="AD746" s="405">
        <v>22899381000125</v>
      </c>
      <c r="AE746" s="257" t="s">
        <v>2383</v>
      </c>
      <c r="AF746" s="257" t="s">
        <v>2109</v>
      </c>
      <c r="AG746" s="261" t="s">
        <v>1432</v>
      </c>
      <c r="AH746" s="261" t="s">
        <v>2113</v>
      </c>
      <c r="AI746" s="261">
        <v>5000</v>
      </c>
      <c r="AJ746" s="261">
        <v>1000</v>
      </c>
      <c r="AK746" s="261">
        <v>1000</v>
      </c>
      <c r="AL746" s="256">
        <v>1.8000000000000002E-2</v>
      </c>
      <c r="AM746" s="256">
        <v>0.2</v>
      </c>
      <c r="AN746" s="256" t="s">
        <v>64</v>
      </c>
      <c r="AO746" s="254" t="s">
        <v>1324</v>
      </c>
      <c r="AP746" s="257" t="s">
        <v>13</v>
      </c>
      <c r="AQ746" s="263" t="s">
        <v>668</v>
      </c>
      <c r="AR746" s="256">
        <v>4.8005999999999995E-3</v>
      </c>
      <c r="AS746" s="256">
        <v>4.8005999999999995E-3</v>
      </c>
      <c r="AT746" s="256"/>
      <c r="AX746" s="508"/>
      <c r="AY746" s="509"/>
      <c r="AZ746" s="509"/>
      <c r="BA746" s="509"/>
      <c r="BB746" s="510"/>
      <c r="BC746" s="509"/>
      <c r="BD746" s="509"/>
      <c r="BE746" s="509"/>
      <c r="BF746" s="509"/>
      <c r="BG746" s="510"/>
      <c r="BH746" s="510"/>
      <c r="BI746" s="511"/>
      <c r="BJ746" s="511"/>
      <c r="BK746" s="511"/>
      <c r="BL746" s="510"/>
      <c r="BM746" s="510"/>
      <c r="BN746" s="510"/>
      <c r="BO746" s="510"/>
      <c r="BP746" s="510"/>
      <c r="BQ746" s="510"/>
      <c r="BR746" s="510"/>
      <c r="BS746" s="510"/>
      <c r="BT746" s="513"/>
      <c r="BU746" s="514"/>
      <c r="BV746" s="512"/>
      <c r="BW746" s="515"/>
    </row>
    <row r="747" spans="2:75" ht="15.75" customHeight="1">
      <c r="B747" s="250" t="s">
        <v>1168</v>
      </c>
      <c r="C747" s="251">
        <v>23960625000109</v>
      </c>
      <c r="D747" s="252" t="s">
        <v>14</v>
      </c>
      <c r="E747" s="252" t="s">
        <v>614</v>
      </c>
      <c r="F747" s="252"/>
      <c r="G747" s="253"/>
      <c r="H747" s="253" t="s">
        <v>1338</v>
      </c>
      <c r="I747" s="253" t="s">
        <v>34</v>
      </c>
      <c r="J747" s="253" t="s">
        <v>608</v>
      </c>
      <c r="K747" s="254" t="s">
        <v>48</v>
      </c>
      <c r="L747" s="255"/>
      <c r="M747" s="255" t="s">
        <v>34</v>
      </c>
      <c r="N747" s="254">
        <v>416681</v>
      </c>
      <c r="O747" s="254" t="s">
        <v>1321</v>
      </c>
      <c r="P747" s="258">
        <v>42489</v>
      </c>
      <c r="Q747" s="259">
        <v>424513807.20999998</v>
      </c>
      <c r="R747" s="259">
        <v>211218244.61071432</v>
      </c>
      <c r="S747" s="254">
        <v>29</v>
      </c>
      <c r="T747" s="256">
        <v>1.1819558672620412E-2</v>
      </c>
      <c r="U747" s="256">
        <v>0.15279374191859516</v>
      </c>
      <c r="V747" s="256">
        <v>-0.20196414655060924</v>
      </c>
      <c r="W747" s="256">
        <v>-1.9799239508407207</v>
      </c>
      <c r="X747" s="256">
        <v>-0.1793924836267845</v>
      </c>
      <c r="Y747" s="256">
        <v>-1.3603657918791303</v>
      </c>
      <c r="Z747" s="256">
        <v>-0.20788139042496045</v>
      </c>
      <c r="AA747" s="256">
        <v>-1.1816652158822276</v>
      </c>
      <c r="AB747" s="256">
        <v>0.27803780500712905</v>
      </c>
      <c r="AC747" s="260">
        <v>-1.0215887176137579</v>
      </c>
      <c r="AD747" s="405">
        <v>22899381000125</v>
      </c>
      <c r="AE747" s="257" t="s">
        <v>2383</v>
      </c>
      <c r="AF747" s="257" t="s">
        <v>2118</v>
      </c>
      <c r="AG747" s="261" t="s">
        <v>1433</v>
      </c>
      <c r="AH747" s="261" t="s">
        <v>2113</v>
      </c>
      <c r="AI747" s="261">
        <v>100000</v>
      </c>
      <c r="AJ747" s="261">
        <v>10000</v>
      </c>
      <c r="AK747" s="261">
        <v>100000</v>
      </c>
      <c r="AL747" s="256">
        <v>1.8000000000000002E-2</v>
      </c>
      <c r="AM747" s="256">
        <v>0.2</v>
      </c>
      <c r="AN747" s="256" t="s">
        <v>2127</v>
      </c>
      <c r="AO747" s="254" t="s">
        <v>1324</v>
      </c>
      <c r="AP747" s="257" t="s">
        <v>13</v>
      </c>
      <c r="AQ747" s="263" t="s">
        <v>668</v>
      </c>
      <c r="AR747" s="256">
        <v>4.7999999999999996E-3</v>
      </c>
      <c r="AS747" s="256">
        <v>4.7999999999999996E-3</v>
      </c>
      <c r="AT747" s="256"/>
      <c r="AX747" s="508"/>
      <c r="AY747" s="509"/>
      <c r="AZ747" s="509"/>
      <c r="BA747" s="509"/>
      <c r="BB747" s="510"/>
      <c r="BC747" s="509"/>
      <c r="BD747" s="509"/>
      <c r="BE747" s="509"/>
      <c r="BF747" s="509"/>
      <c r="BG747" s="510"/>
      <c r="BH747" s="510"/>
      <c r="BI747" s="511"/>
      <c r="BJ747" s="511"/>
      <c r="BK747" s="511"/>
      <c r="BL747" s="510"/>
      <c r="BM747" s="510"/>
      <c r="BN747" s="510"/>
      <c r="BO747" s="510"/>
      <c r="BP747" s="510"/>
      <c r="BQ747" s="510"/>
      <c r="BR747" s="510"/>
      <c r="BS747" s="510"/>
      <c r="BT747" s="513"/>
      <c r="BU747" s="514"/>
      <c r="BV747" s="512"/>
      <c r="BW747" s="515"/>
    </row>
    <row r="748" spans="2:75" ht="15.75" customHeight="1">
      <c r="B748" s="250" t="s">
        <v>1499</v>
      </c>
      <c r="C748" s="251">
        <v>14091645000191</v>
      </c>
      <c r="D748" s="252" t="s">
        <v>11</v>
      </c>
      <c r="E748" s="252" t="s">
        <v>621</v>
      </c>
      <c r="F748" s="252" t="s">
        <v>663</v>
      </c>
      <c r="G748" s="253"/>
      <c r="H748" s="253" t="s">
        <v>34</v>
      </c>
      <c r="I748" s="253"/>
      <c r="J748" s="253" t="s">
        <v>608</v>
      </c>
      <c r="K748" s="254" t="s">
        <v>48</v>
      </c>
      <c r="L748" s="255"/>
      <c r="M748" s="255"/>
      <c r="N748" s="254">
        <v>351164</v>
      </c>
      <c r="O748" s="254" t="s">
        <v>1324</v>
      </c>
      <c r="P748" s="258">
        <v>41562</v>
      </c>
      <c r="Q748" s="259">
        <v>550126022.41999996</v>
      </c>
      <c r="R748" s="259">
        <v>614352430.34615076</v>
      </c>
      <c r="S748" s="254">
        <v>30</v>
      </c>
      <c r="T748" s="256">
        <v>6.7160238963259955E-2</v>
      </c>
      <c r="U748" s="256">
        <v>0.75541255998083323</v>
      </c>
      <c r="V748" s="256">
        <v>9.1924322778419887E-2</v>
      </c>
      <c r="W748" s="256">
        <v>0.84365463044239164</v>
      </c>
      <c r="X748" s="256">
        <v>0.15372332897762186</v>
      </c>
      <c r="Y748" s="256">
        <v>1.0809502364639303</v>
      </c>
      <c r="Z748" s="256">
        <v>0.22841328156018625</v>
      </c>
      <c r="AA748" s="256">
        <v>1.2481789244768873</v>
      </c>
      <c r="AB748" s="256">
        <v>3.0439910579542123E-2</v>
      </c>
      <c r="AC748" s="260">
        <v>-0.4936439858872223</v>
      </c>
      <c r="AD748" s="405">
        <v>0</v>
      </c>
      <c r="AE748" s="257" t="s">
        <v>2169</v>
      </c>
      <c r="AF748" s="257" t="s">
        <v>2169</v>
      </c>
      <c r="AG748" s="261" t="s">
        <v>1435</v>
      </c>
      <c r="AH748" s="261" t="s">
        <v>2119</v>
      </c>
      <c r="AI748" s="261">
        <v>1000000</v>
      </c>
      <c r="AJ748" s="261">
        <v>0</v>
      </c>
      <c r="AK748" s="261">
        <v>1000000</v>
      </c>
      <c r="AL748" s="256">
        <v>2E-3</v>
      </c>
      <c r="AM748" s="256" t="s">
        <v>34</v>
      </c>
      <c r="AN748" s="256" t="s">
        <v>2141</v>
      </c>
      <c r="AO748" s="254" t="s">
        <v>1321</v>
      </c>
      <c r="AP748" s="257" t="s">
        <v>11</v>
      </c>
      <c r="AQ748" s="263" t="s">
        <v>669</v>
      </c>
      <c r="AR748" s="256" t="s">
        <v>34</v>
      </c>
      <c r="AS748" s="256" t="s">
        <v>34</v>
      </c>
      <c r="AT748" s="256"/>
      <c r="AX748" s="508"/>
      <c r="AY748" s="509"/>
      <c r="AZ748" s="509"/>
      <c r="BA748" s="509"/>
      <c r="BB748" s="510"/>
      <c r="BC748" s="509"/>
      <c r="BD748" s="509"/>
      <c r="BE748" s="509"/>
      <c r="BF748" s="509"/>
      <c r="BG748" s="510"/>
      <c r="BH748" s="510"/>
      <c r="BI748" s="511"/>
      <c r="BJ748" s="511"/>
      <c r="BK748" s="511"/>
      <c r="BL748" s="510"/>
      <c r="BM748" s="510"/>
      <c r="BN748" s="510"/>
      <c r="BO748" s="510"/>
      <c r="BP748" s="510"/>
      <c r="BQ748" s="510"/>
      <c r="BR748" s="510"/>
      <c r="BS748" s="510"/>
      <c r="BT748" s="513"/>
      <c r="BU748" s="514"/>
      <c r="BV748" s="512"/>
      <c r="BW748" s="515"/>
    </row>
    <row r="749" spans="2:75" ht="15.75" customHeight="1">
      <c r="B749" s="250" t="s">
        <v>910</v>
      </c>
      <c r="C749" s="251">
        <v>41707420000190</v>
      </c>
      <c r="D749" s="252" t="s">
        <v>11</v>
      </c>
      <c r="E749" s="252" t="s">
        <v>620</v>
      </c>
      <c r="F749" s="252" t="s">
        <v>663</v>
      </c>
      <c r="G749" s="253" t="s">
        <v>738</v>
      </c>
      <c r="H749" s="253" t="s">
        <v>34</v>
      </c>
      <c r="I749" s="253"/>
      <c r="J749" s="253"/>
      <c r="K749" s="254" t="s">
        <v>48</v>
      </c>
      <c r="L749" s="255"/>
      <c r="M749" s="255" t="s">
        <v>34</v>
      </c>
      <c r="N749" s="254">
        <v>617067</v>
      </c>
      <c r="O749" s="254" t="s">
        <v>1321</v>
      </c>
      <c r="P749" s="258">
        <v>44482</v>
      </c>
      <c r="Q749" s="259">
        <v>108799418.72</v>
      </c>
      <c r="R749" s="259" t="s">
        <v>1417</v>
      </c>
      <c r="S749" s="254">
        <v>30</v>
      </c>
      <c r="T749" s="256">
        <v>8.751572831040999E-2</v>
      </c>
      <c r="U749" s="256">
        <v>1.1313329013082447</v>
      </c>
      <c r="V749" s="256" t="s">
        <v>1417</v>
      </c>
      <c r="W749" s="256" t="s">
        <v>1417</v>
      </c>
      <c r="X749" s="256" t="s">
        <v>1417</v>
      </c>
      <c r="Y749" s="256" t="s">
        <v>1417</v>
      </c>
      <c r="Z749" s="256" t="s">
        <v>1417</v>
      </c>
      <c r="AA749" s="256" t="s">
        <v>1417</v>
      </c>
      <c r="AB749" s="256" t="s">
        <v>1417</v>
      </c>
      <c r="AC749" s="260" t="s">
        <v>1417</v>
      </c>
      <c r="AD749" s="405">
        <v>0</v>
      </c>
      <c r="AE749" s="257" t="s">
        <v>2214</v>
      </c>
      <c r="AF749" s="257" t="s">
        <v>2109</v>
      </c>
      <c r="AG749" s="261" t="s">
        <v>1432</v>
      </c>
      <c r="AH749" s="261" t="s">
        <v>2113</v>
      </c>
      <c r="AI749" s="261">
        <v>0</v>
      </c>
      <c r="AJ749" s="261">
        <v>0</v>
      </c>
      <c r="AK749" s="261">
        <v>0</v>
      </c>
      <c r="AL749" s="256">
        <v>5.0000000000000001E-3</v>
      </c>
      <c r="AM749" s="256">
        <v>0.2</v>
      </c>
      <c r="AN749" s="256" t="s">
        <v>2127</v>
      </c>
      <c r="AO749" s="254" t="s">
        <v>1324</v>
      </c>
      <c r="AP749" s="257" t="s">
        <v>13</v>
      </c>
      <c r="AQ749" s="263" t="s">
        <v>668</v>
      </c>
      <c r="AR749" s="256">
        <v>6.6666666666666664E-4</v>
      </c>
      <c r="AS749" s="256">
        <v>6.6666666666666664E-4</v>
      </c>
      <c r="AT749" s="256"/>
      <c r="AX749" s="508"/>
      <c r="AY749" s="509"/>
      <c r="AZ749" s="509"/>
      <c r="BA749" s="509"/>
      <c r="BB749" s="510"/>
      <c r="BC749" s="509"/>
      <c r="BD749" s="509"/>
      <c r="BE749" s="509"/>
      <c r="BF749" s="509"/>
      <c r="BG749" s="510"/>
      <c r="BH749" s="510"/>
      <c r="BI749" s="511"/>
      <c r="BJ749" s="511"/>
      <c r="BK749" s="511"/>
      <c r="BL749" s="510"/>
      <c r="BM749" s="510"/>
      <c r="BN749" s="510"/>
      <c r="BO749" s="510"/>
      <c r="BP749" s="510"/>
      <c r="BQ749" s="510"/>
      <c r="BR749" s="510"/>
      <c r="BS749" s="510"/>
      <c r="BT749" s="513"/>
      <c r="BU749" s="514"/>
      <c r="BV749" s="512"/>
      <c r="BW749" s="515"/>
    </row>
    <row r="750" spans="2:75" ht="15.75" customHeight="1">
      <c r="B750" s="250" t="s">
        <v>481</v>
      </c>
      <c r="C750" s="251">
        <v>29250121000173</v>
      </c>
      <c r="D750" s="252" t="s">
        <v>11</v>
      </c>
      <c r="E750" s="252" t="s">
        <v>620</v>
      </c>
      <c r="F750" s="252" t="s">
        <v>663</v>
      </c>
      <c r="G750" s="253" t="s">
        <v>738</v>
      </c>
      <c r="H750" s="253" t="s">
        <v>34</v>
      </c>
      <c r="I750" s="253"/>
      <c r="J750" s="253" t="s">
        <v>608</v>
      </c>
      <c r="K750" s="254" t="s">
        <v>48</v>
      </c>
      <c r="L750" s="255"/>
      <c r="M750" s="255" t="s">
        <v>34</v>
      </c>
      <c r="N750" s="254">
        <v>470473</v>
      </c>
      <c r="O750" s="254" t="s">
        <v>1321</v>
      </c>
      <c r="P750" s="258">
        <v>43283</v>
      </c>
      <c r="Q750" s="259">
        <v>373298074.62</v>
      </c>
      <c r="R750" s="259">
        <v>253030408.26285723</v>
      </c>
      <c r="S750" s="254">
        <v>30</v>
      </c>
      <c r="T750" s="256">
        <v>9.2309093492847216E-2</v>
      </c>
      <c r="U750" s="256">
        <v>1.1932976685971843</v>
      </c>
      <c r="V750" s="256">
        <v>0.12544997417051262</v>
      </c>
      <c r="W750" s="256">
        <v>1.2298292183771689</v>
      </c>
      <c r="X750" s="256">
        <v>0.18877596823759579</v>
      </c>
      <c r="Y750" s="256">
        <v>1.4315224602918868</v>
      </c>
      <c r="Z750" s="256">
        <v>0.21941061250721661</v>
      </c>
      <c r="AA750" s="256">
        <v>1.2472010518362455</v>
      </c>
      <c r="AB750" s="256">
        <v>2.3810284367875613E-3</v>
      </c>
      <c r="AC750" s="260">
        <v>8.845505335871815</v>
      </c>
      <c r="AD750" s="405">
        <v>0</v>
      </c>
      <c r="AE750" s="257" t="s">
        <v>2224</v>
      </c>
      <c r="AF750" s="257" t="s">
        <v>741</v>
      </c>
      <c r="AG750" s="261" t="s">
        <v>741</v>
      </c>
      <c r="AH750" s="261" t="s">
        <v>2113</v>
      </c>
      <c r="AI750" s="261">
        <v>500</v>
      </c>
      <c r="AJ750" s="261">
        <v>500</v>
      </c>
      <c r="AK750" s="261">
        <v>500</v>
      </c>
      <c r="AL750" s="256">
        <v>4.0000000000000001E-3</v>
      </c>
      <c r="AM750" s="256">
        <v>0.1</v>
      </c>
      <c r="AN750" s="256" t="s">
        <v>64</v>
      </c>
      <c r="AO750" s="254" t="s">
        <v>1324</v>
      </c>
      <c r="AP750" s="257" t="s">
        <v>11</v>
      </c>
      <c r="AQ750" s="263" t="s">
        <v>662</v>
      </c>
      <c r="AR750" s="256">
        <v>5.3333333333333336E-4</v>
      </c>
      <c r="AS750" s="256">
        <v>5.3333333333333336E-4</v>
      </c>
      <c r="AT750" s="256"/>
      <c r="AX750" s="508"/>
      <c r="AY750" s="509"/>
      <c r="AZ750" s="509"/>
      <c r="BA750" s="509"/>
      <c r="BB750" s="510"/>
      <c r="BC750" s="509"/>
      <c r="BD750" s="509"/>
      <c r="BE750" s="509"/>
      <c r="BF750" s="509"/>
      <c r="BG750" s="510"/>
      <c r="BH750" s="510"/>
      <c r="BI750" s="511"/>
      <c r="BJ750" s="511"/>
      <c r="BK750" s="511"/>
      <c r="BL750" s="510"/>
      <c r="BM750" s="510"/>
      <c r="BN750" s="510"/>
      <c r="BO750" s="510"/>
      <c r="BP750" s="510"/>
      <c r="BQ750" s="510"/>
      <c r="BR750" s="510"/>
      <c r="BS750" s="510"/>
      <c r="BT750" s="513"/>
      <c r="BU750" s="514"/>
      <c r="BV750" s="512"/>
      <c r="BW750" s="515"/>
    </row>
    <row r="751" spans="2:75" ht="15.75" customHeight="1">
      <c r="B751" s="250" t="s">
        <v>1598</v>
      </c>
      <c r="C751" s="251">
        <v>15174629000125</v>
      </c>
      <c r="D751" s="252" t="s">
        <v>11</v>
      </c>
      <c r="E751" s="252" t="s">
        <v>620</v>
      </c>
      <c r="F751" s="252" t="s">
        <v>663</v>
      </c>
      <c r="G751" s="253" t="s">
        <v>738</v>
      </c>
      <c r="H751" s="253" t="s">
        <v>34</v>
      </c>
      <c r="I751" s="253"/>
      <c r="J751" s="253" t="s">
        <v>608</v>
      </c>
      <c r="K751" s="254" t="s">
        <v>48</v>
      </c>
      <c r="L751" s="255"/>
      <c r="M751" s="255"/>
      <c r="N751" s="254">
        <v>332208</v>
      </c>
      <c r="O751" s="254" t="s">
        <v>1321</v>
      </c>
      <c r="P751" s="258">
        <v>41023</v>
      </c>
      <c r="Q751" s="259">
        <v>40648430.880000003</v>
      </c>
      <c r="R751" s="259">
        <v>31279864.617658727</v>
      </c>
      <c r="S751" s="254">
        <v>30</v>
      </c>
      <c r="T751" s="256">
        <v>0.10090395283178011</v>
      </c>
      <c r="U751" s="256">
        <v>1.1349589354876879</v>
      </c>
      <c r="V751" s="256">
        <v>0.12322146700120196</v>
      </c>
      <c r="W751" s="256">
        <v>1.1308906942513057</v>
      </c>
      <c r="X751" s="256">
        <v>0.19108505715043034</v>
      </c>
      <c r="Y751" s="256">
        <v>1.3436700797804746</v>
      </c>
      <c r="Z751" s="256">
        <v>0.23442448048380271</v>
      </c>
      <c r="AA751" s="256">
        <v>1.2810275038416523</v>
      </c>
      <c r="AB751" s="256">
        <v>2.8531626172822585E-3</v>
      </c>
      <c r="AC751" s="260">
        <v>4.4817723709143742</v>
      </c>
      <c r="AD751" s="405">
        <v>0</v>
      </c>
      <c r="AE751" s="257" t="s">
        <v>2278</v>
      </c>
      <c r="AF751" s="257" t="s">
        <v>2109</v>
      </c>
      <c r="AG751" s="261" t="s">
        <v>1432</v>
      </c>
      <c r="AH751" s="261" t="s">
        <v>2113</v>
      </c>
      <c r="AI751" s="261">
        <v>1000</v>
      </c>
      <c r="AJ751" s="261">
        <v>1000</v>
      </c>
      <c r="AK751" s="261">
        <v>1000</v>
      </c>
      <c r="AL751" s="256">
        <v>7.4999999999999997E-3</v>
      </c>
      <c r="AM751" s="256" t="s">
        <v>34</v>
      </c>
      <c r="AN751" s="256" t="s">
        <v>34</v>
      </c>
      <c r="AO751" s="254" t="s">
        <v>1324</v>
      </c>
      <c r="AP751" s="257" t="s">
        <v>11</v>
      </c>
      <c r="AQ751" s="263" t="s">
        <v>669</v>
      </c>
      <c r="AR751" s="256">
        <v>2.9999999999999996E-3</v>
      </c>
      <c r="AS751" s="256">
        <v>2.9999999999999996E-3</v>
      </c>
      <c r="AT751" s="256"/>
      <c r="AX751" s="508"/>
      <c r="AY751" s="509"/>
      <c r="AZ751" s="509"/>
      <c r="BA751" s="509"/>
      <c r="BB751" s="510"/>
      <c r="BC751" s="509"/>
      <c r="BD751" s="509"/>
      <c r="BE751" s="509"/>
      <c r="BF751" s="509"/>
      <c r="BG751" s="510"/>
      <c r="BH751" s="510"/>
      <c r="BI751" s="511"/>
      <c r="BJ751" s="511"/>
      <c r="BK751" s="511"/>
      <c r="BL751" s="510"/>
      <c r="BM751" s="510"/>
      <c r="BN751" s="510"/>
      <c r="BO751" s="510"/>
      <c r="BP751" s="510"/>
      <c r="BQ751" s="510"/>
      <c r="BR751" s="510"/>
      <c r="BS751" s="510"/>
      <c r="BT751" s="513"/>
      <c r="BU751" s="514"/>
      <c r="BV751" s="512"/>
      <c r="BW751" s="515"/>
    </row>
    <row r="752" spans="2:75" ht="15.75" customHeight="1">
      <c r="B752" s="250" t="s">
        <v>988</v>
      </c>
      <c r="C752" s="251">
        <v>33784218000133</v>
      </c>
      <c r="D752" s="252" t="s">
        <v>11</v>
      </c>
      <c r="E752" s="252" t="s">
        <v>661</v>
      </c>
      <c r="F752" s="252" t="s">
        <v>663</v>
      </c>
      <c r="G752" s="253"/>
      <c r="H752" s="253" t="s">
        <v>34</v>
      </c>
      <c r="I752" s="253"/>
      <c r="J752" s="253" t="s">
        <v>611</v>
      </c>
      <c r="K752" s="254" t="s">
        <v>48</v>
      </c>
      <c r="L752" s="255"/>
      <c r="M752" s="255" t="s">
        <v>34</v>
      </c>
      <c r="N752" s="254">
        <v>505161</v>
      </c>
      <c r="O752" s="254" t="s">
        <v>1321</v>
      </c>
      <c r="P752" s="258">
        <v>43707</v>
      </c>
      <c r="Q752" s="259">
        <v>69941888.400000006</v>
      </c>
      <c r="R752" s="259">
        <v>76976053.260515943</v>
      </c>
      <c r="S752" s="254">
        <v>30</v>
      </c>
      <c r="T752" s="256">
        <v>7.8287324655591739E-2</v>
      </c>
      <c r="U752" s="256">
        <v>1.0120355260499592</v>
      </c>
      <c r="V752" s="256">
        <v>9.8508753582846831E-2</v>
      </c>
      <c r="W752" s="256">
        <v>0.96571517230792736</v>
      </c>
      <c r="X752" s="256">
        <v>0.17917928378003678</v>
      </c>
      <c r="Y752" s="256">
        <v>1.358749058711241</v>
      </c>
      <c r="Z752" s="256" t="s">
        <v>1417</v>
      </c>
      <c r="AA752" s="256" t="s">
        <v>1417</v>
      </c>
      <c r="AB752" s="256">
        <v>2.0797008604863228E-2</v>
      </c>
      <c r="AC752" s="260">
        <v>-0.14260054711444872</v>
      </c>
      <c r="AD752" s="405">
        <v>0</v>
      </c>
      <c r="AE752" s="257" t="s">
        <v>2279</v>
      </c>
      <c r="AF752" s="257" t="s">
        <v>2109</v>
      </c>
      <c r="AG752" s="261" t="s">
        <v>1432</v>
      </c>
      <c r="AH752" s="261" t="s">
        <v>2110</v>
      </c>
      <c r="AI752" s="261">
        <v>5000</v>
      </c>
      <c r="AJ752" s="261">
        <v>1000</v>
      </c>
      <c r="AK752" s="261">
        <v>5000</v>
      </c>
      <c r="AL752" s="256">
        <v>0.01</v>
      </c>
      <c r="AM752" s="256">
        <v>0.15</v>
      </c>
      <c r="AN752" s="256" t="s">
        <v>64</v>
      </c>
      <c r="AO752" s="254" t="s">
        <v>1324</v>
      </c>
      <c r="AP752" s="257" t="s">
        <v>13</v>
      </c>
      <c r="AQ752" s="263" t="s">
        <v>688</v>
      </c>
      <c r="AR752" s="256">
        <v>2.3333333333333331E-3</v>
      </c>
      <c r="AS752" s="256">
        <v>2.3333333333333331E-3</v>
      </c>
      <c r="AT752" s="256"/>
      <c r="AX752" s="508"/>
      <c r="AY752" s="509"/>
      <c r="AZ752" s="509"/>
      <c r="BA752" s="509"/>
      <c r="BB752" s="510"/>
      <c r="BC752" s="509"/>
      <c r="BD752" s="509"/>
      <c r="BE752" s="509"/>
      <c r="BF752" s="509"/>
      <c r="BG752" s="510"/>
      <c r="BH752" s="510"/>
      <c r="BI752" s="511"/>
      <c r="BJ752" s="511"/>
      <c r="BK752" s="511"/>
      <c r="BL752" s="510"/>
      <c r="BM752" s="510"/>
      <c r="BN752" s="510"/>
      <c r="BO752" s="510"/>
      <c r="BP752" s="510"/>
      <c r="BQ752" s="510"/>
      <c r="BR752" s="510"/>
      <c r="BS752" s="510"/>
      <c r="BT752" s="513"/>
      <c r="BU752" s="514"/>
      <c r="BV752" s="512"/>
      <c r="BW752" s="515"/>
    </row>
    <row r="753" spans="2:75" ht="15.75" customHeight="1">
      <c r="B753" s="250" t="s">
        <v>1199</v>
      </c>
      <c r="C753" s="251">
        <v>13823084000105</v>
      </c>
      <c r="D753" s="252" t="s">
        <v>11</v>
      </c>
      <c r="E753" s="252" t="s">
        <v>620</v>
      </c>
      <c r="F753" s="252" t="s">
        <v>663</v>
      </c>
      <c r="G753" s="253" t="s">
        <v>738</v>
      </c>
      <c r="H753" s="253" t="s">
        <v>34</v>
      </c>
      <c r="I753" s="253"/>
      <c r="J753" s="253" t="s">
        <v>608</v>
      </c>
      <c r="K753" s="254" t="s">
        <v>48</v>
      </c>
      <c r="L753" s="255"/>
      <c r="M753" s="255" t="s">
        <v>34</v>
      </c>
      <c r="N753" s="254">
        <v>299588</v>
      </c>
      <c r="O753" s="254" t="s">
        <v>1321</v>
      </c>
      <c r="P753" s="258">
        <v>40994</v>
      </c>
      <c r="Q753" s="259">
        <v>1073518194.75</v>
      </c>
      <c r="R753" s="259">
        <v>871572248.48857176</v>
      </c>
      <c r="S753" s="254">
        <v>30</v>
      </c>
      <c r="T753" s="256">
        <v>8.7340540220748109E-2</v>
      </c>
      <c r="U753" s="256">
        <v>1.1290682106797345</v>
      </c>
      <c r="V753" s="256">
        <v>0.12406500287761579</v>
      </c>
      <c r="W753" s="256">
        <v>1.216251868729388</v>
      </c>
      <c r="X753" s="256">
        <v>0.18976597500837467</v>
      </c>
      <c r="Y753" s="256">
        <v>1.4390298614798773</v>
      </c>
      <c r="Z753" s="256">
        <v>0.18738218072328139</v>
      </c>
      <c r="AA753" s="256">
        <v>1.0651410623347095</v>
      </c>
      <c r="AB753" s="256">
        <v>2.8226197082483456E-3</v>
      </c>
      <c r="AC753" s="260">
        <v>7.0256066306844698</v>
      </c>
      <c r="AD753" s="405">
        <v>0</v>
      </c>
      <c r="AE753" s="257" t="s">
        <v>2289</v>
      </c>
      <c r="AF753" s="257" t="s">
        <v>2289</v>
      </c>
      <c r="AG753" s="261" t="s">
        <v>719</v>
      </c>
      <c r="AH753" s="261" t="s">
        <v>2113</v>
      </c>
      <c r="AI753" s="261">
        <v>1000</v>
      </c>
      <c r="AJ753" s="261">
        <v>1000</v>
      </c>
      <c r="AK753" s="261">
        <v>1000</v>
      </c>
      <c r="AL753" s="256">
        <v>6.0000000000000001E-3</v>
      </c>
      <c r="AM753" s="256">
        <v>0.2</v>
      </c>
      <c r="AN753" s="256" t="s">
        <v>64</v>
      </c>
      <c r="AO753" s="254" t="s">
        <v>1324</v>
      </c>
      <c r="AP753" s="257" t="s">
        <v>11</v>
      </c>
      <c r="AQ753" s="263" t="s">
        <v>675</v>
      </c>
      <c r="AR753" s="256">
        <v>2.4000000000000002E-3</v>
      </c>
      <c r="AS753" s="256">
        <v>2.4000000000000002E-3</v>
      </c>
      <c r="AT753" s="256"/>
      <c r="AX753" s="508"/>
      <c r="AY753" s="509"/>
      <c r="AZ753" s="509"/>
      <c r="BA753" s="509"/>
      <c r="BB753" s="510"/>
      <c r="BC753" s="509"/>
      <c r="BD753" s="509"/>
      <c r="BE753" s="509"/>
      <c r="BF753" s="509"/>
      <c r="BG753" s="510"/>
      <c r="BH753" s="510"/>
      <c r="BI753" s="511"/>
      <c r="BJ753" s="511"/>
      <c r="BK753" s="511"/>
      <c r="BL753" s="510"/>
      <c r="BM753" s="510"/>
      <c r="BN753" s="510"/>
      <c r="BO753" s="510"/>
      <c r="BP753" s="510"/>
      <c r="BQ753" s="510"/>
      <c r="BR753" s="510"/>
      <c r="BS753" s="510"/>
      <c r="BT753" s="513"/>
      <c r="BU753" s="514"/>
      <c r="BV753" s="512"/>
      <c r="BW753" s="515"/>
    </row>
    <row r="754" spans="2:75" ht="15.75" customHeight="1">
      <c r="B754" s="250" t="s">
        <v>786</v>
      </c>
      <c r="C754" s="251">
        <v>25213405000139</v>
      </c>
      <c r="D754" s="252" t="s">
        <v>11</v>
      </c>
      <c r="E754" s="252" t="s">
        <v>621</v>
      </c>
      <c r="F754" s="252" t="s">
        <v>692</v>
      </c>
      <c r="G754" s="253" t="s">
        <v>738</v>
      </c>
      <c r="H754" s="253" t="s">
        <v>34</v>
      </c>
      <c r="I754" s="253"/>
      <c r="J754" s="253" t="s">
        <v>608</v>
      </c>
      <c r="K754" s="254" t="s">
        <v>48</v>
      </c>
      <c r="L754" s="255"/>
      <c r="M754" s="255" t="s">
        <v>34</v>
      </c>
      <c r="N754" s="254">
        <v>423394</v>
      </c>
      <c r="O754" s="254" t="s">
        <v>1321</v>
      </c>
      <c r="P754" s="258">
        <v>42619</v>
      </c>
      <c r="Q754" s="259">
        <v>206215189.83000001</v>
      </c>
      <c r="R754" s="259">
        <v>172484860.20416659</v>
      </c>
      <c r="S754" s="254">
        <v>30</v>
      </c>
      <c r="T754" s="256">
        <v>6.5502194377914158E-2</v>
      </c>
      <c r="U754" s="256">
        <v>0.84675965153120325</v>
      </c>
      <c r="V754" s="256">
        <v>0.10174423469461757</v>
      </c>
      <c r="W754" s="256">
        <v>0.99743370579566415</v>
      </c>
      <c r="X754" s="256">
        <v>0.19587382889762206</v>
      </c>
      <c r="Y754" s="256">
        <v>1.4853468270781365</v>
      </c>
      <c r="Z754" s="256">
        <v>0.24634548402068024</v>
      </c>
      <c r="AA754" s="256">
        <v>1.4003075934879674</v>
      </c>
      <c r="AB754" s="256">
        <v>2.5620054503835882E-2</v>
      </c>
      <c r="AC754" s="260">
        <v>3.4301775754595415E-3</v>
      </c>
      <c r="AD754" s="405">
        <v>24658649000162</v>
      </c>
      <c r="AE754" s="257" t="s">
        <v>2164</v>
      </c>
      <c r="AF754" s="257" t="s">
        <v>2118</v>
      </c>
      <c r="AG754" s="261" t="s">
        <v>1433</v>
      </c>
      <c r="AH754" s="261" t="s">
        <v>2113</v>
      </c>
      <c r="AI754" s="261">
        <v>5000</v>
      </c>
      <c r="AJ754" s="261">
        <v>2500</v>
      </c>
      <c r="AK754" s="261">
        <v>5000</v>
      </c>
      <c r="AL754" s="519">
        <v>1.1000000000000001E-2</v>
      </c>
      <c r="AM754" s="519">
        <v>0.2</v>
      </c>
      <c r="AN754" s="256" t="s">
        <v>636</v>
      </c>
      <c r="AO754" s="254" t="s">
        <v>1324</v>
      </c>
      <c r="AP754" s="257" t="s">
        <v>13</v>
      </c>
      <c r="AQ754" s="263" t="s">
        <v>671</v>
      </c>
      <c r="AR754" s="256">
        <v>2.7499999999999998E-3</v>
      </c>
      <c r="AS754" s="256">
        <v>2.7499999999999998E-3</v>
      </c>
      <c r="AT754" s="256"/>
      <c r="AX754" s="508"/>
      <c r="AY754" s="509"/>
      <c r="AZ754" s="509"/>
      <c r="BA754" s="509"/>
      <c r="BB754" s="510"/>
      <c r="BC754" s="509"/>
      <c r="BD754" s="509"/>
      <c r="BE754" s="509"/>
      <c r="BF754" s="509"/>
      <c r="BG754" s="510"/>
      <c r="BH754" s="510"/>
      <c r="BI754" s="511"/>
      <c r="BJ754" s="511"/>
      <c r="BK754" s="511"/>
      <c r="BL754" s="510"/>
      <c r="BM754" s="510"/>
      <c r="BN754" s="510"/>
      <c r="BO754" s="510"/>
      <c r="BP754" s="510"/>
      <c r="BQ754" s="510"/>
      <c r="BR754" s="510"/>
      <c r="BS754" s="510"/>
      <c r="BT754" s="513"/>
      <c r="BU754" s="514"/>
      <c r="BV754" s="512"/>
      <c r="BW754" s="515"/>
    </row>
    <row r="755" spans="2:75" ht="15.75" customHeight="1">
      <c r="B755" s="250" t="s">
        <v>808</v>
      </c>
      <c r="C755" s="251">
        <v>38443033000189</v>
      </c>
      <c r="D755" s="252" t="s">
        <v>11</v>
      </c>
      <c r="E755" s="252" t="s">
        <v>621</v>
      </c>
      <c r="F755" s="252" t="s">
        <v>692</v>
      </c>
      <c r="G755" s="253" t="s">
        <v>738</v>
      </c>
      <c r="H755" s="253" t="s">
        <v>34</v>
      </c>
      <c r="I755" s="253"/>
      <c r="J755" s="253" t="s">
        <v>608</v>
      </c>
      <c r="K755" s="254" t="s">
        <v>48</v>
      </c>
      <c r="L755" s="255"/>
      <c r="M755" s="255" t="s">
        <v>1414</v>
      </c>
      <c r="N755" s="254">
        <v>576859</v>
      </c>
      <c r="O755" s="254" t="s">
        <v>1321</v>
      </c>
      <c r="P755" s="258">
        <v>44244</v>
      </c>
      <c r="Q755" s="259">
        <v>330195128.29000002</v>
      </c>
      <c r="R755" s="259">
        <v>386715855.77492064</v>
      </c>
      <c r="S755" s="254">
        <v>30</v>
      </c>
      <c r="T755" s="256">
        <v>5.3881292991532659E-2</v>
      </c>
      <c r="U755" s="256">
        <v>0.69653399112601933</v>
      </c>
      <c r="V755" s="256">
        <v>8.5801713343960806E-2</v>
      </c>
      <c r="W755" s="256">
        <v>0.84114368898792746</v>
      </c>
      <c r="X755" s="256" t="s">
        <v>1417</v>
      </c>
      <c r="Y755" s="256" t="s">
        <v>1417</v>
      </c>
      <c r="Z755" s="256" t="s">
        <v>1417</v>
      </c>
      <c r="AA755" s="256" t="s">
        <v>1417</v>
      </c>
      <c r="AB755" s="256">
        <v>3.6191374632457293E-2</v>
      </c>
      <c r="AC755" s="260">
        <v>-0.39148907030165569</v>
      </c>
      <c r="AD755" s="405">
        <v>25108905000100</v>
      </c>
      <c r="AE755" s="257" t="s">
        <v>2128</v>
      </c>
      <c r="AF755" s="257" t="s">
        <v>728</v>
      </c>
      <c r="AG755" s="261" t="s">
        <v>728</v>
      </c>
      <c r="AH755" s="261" t="s">
        <v>2113</v>
      </c>
      <c r="AI755" s="261">
        <v>1000</v>
      </c>
      <c r="AJ755" s="261">
        <v>1000</v>
      </c>
      <c r="AK755" s="261">
        <v>1000</v>
      </c>
      <c r="AL755" s="256">
        <v>9.7999999999999997E-3</v>
      </c>
      <c r="AM755" s="256" t="s">
        <v>34</v>
      </c>
      <c r="AN755" s="256" t="s">
        <v>34</v>
      </c>
      <c r="AO755" s="254" t="s">
        <v>1324</v>
      </c>
      <c r="AP755" s="257" t="s">
        <v>11</v>
      </c>
      <c r="AQ755" s="263" t="s">
        <v>675</v>
      </c>
      <c r="AR755" s="256" t="s">
        <v>34</v>
      </c>
      <c r="AS755" s="256" t="s">
        <v>34</v>
      </c>
      <c r="AT755" s="256"/>
      <c r="AX755" s="508"/>
      <c r="AY755" s="509"/>
      <c r="AZ755" s="509"/>
      <c r="BA755" s="509"/>
      <c r="BB755" s="510"/>
      <c r="BC755" s="509"/>
      <c r="BD755" s="509"/>
      <c r="BE755" s="509"/>
      <c r="BF755" s="509"/>
      <c r="BG755" s="510"/>
      <c r="BH755" s="510"/>
      <c r="BI755" s="511"/>
      <c r="BJ755" s="511"/>
      <c r="BK755" s="511"/>
      <c r="BL755" s="510"/>
      <c r="BM755" s="510"/>
      <c r="BN755" s="510"/>
      <c r="BO755" s="510"/>
      <c r="BP755" s="510"/>
      <c r="BQ755" s="510"/>
      <c r="BR755" s="510"/>
      <c r="BS755" s="510"/>
      <c r="BT755" s="513"/>
      <c r="BU755" s="514"/>
      <c r="BV755" s="512"/>
      <c r="BW755" s="515"/>
    </row>
    <row r="756" spans="2:75" ht="15.75" customHeight="1">
      <c r="B756" s="250" t="s">
        <v>1018</v>
      </c>
      <c r="C756" s="251">
        <v>31120420000135</v>
      </c>
      <c r="D756" s="252" t="s">
        <v>11</v>
      </c>
      <c r="E756" s="252" t="s">
        <v>620</v>
      </c>
      <c r="F756" s="252" t="s">
        <v>692</v>
      </c>
      <c r="G756" s="253" t="s">
        <v>738</v>
      </c>
      <c r="H756" s="253" t="s">
        <v>34</v>
      </c>
      <c r="I756" s="253"/>
      <c r="J756" s="253" t="s">
        <v>608</v>
      </c>
      <c r="K756" s="254" t="s">
        <v>48</v>
      </c>
      <c r="L756" s="255"/>
      <c r="M756" s="255" t="s">
        <v>34</v>
      </c>
      <c r="N756" s="254">
        <v>480967</v>
      </c>
      <c r="O756" s="254" t="s">
        <v>1321</v>
      </c>
      <c r="P756" s="258">
        <v>43433</v>
      </c>
      <c r="Q756" s="259">
        <v>52881638.200000003</v>
      </c>
      <c r="R756" s="259">
        <v>49828005.442301601</v>
      </c>
      <c r="S756" s="254">
        <v>30</v>
      </c>
      <c r="T756" s="256">
        <v>6.5456635382463713E-2</v>
      </c>
      <c r="U756" s="256">
        <v>0.84617070150474827</v>
      </c>
      <c r="V756" s="256">
        <v>9.2694673028961949E-2</v>
      </c>
      <c r="W756" s="256">
        <v>0.90871774213351098</v>
      </c>
      <c r="X756" s="256">
        <v>0.159539677761382</v>
      </c>
      <c r="Y756" s="256">
        <v>1.2098183585301525</v>
      </c>
      <c r="Z756" s="256">
        <v>0.15189101373100544</v>
      </c>
      <c r="AA756" s="256">
        <v>0.86339776333085438</v>
      </c>
      <c r="AB756" s="256">
        <v>2.2215482434344524E-2</v>
      </c>
      <c r="AC756" s="260">
        <v>-0.37109752619401992</v>
      </c>
      <c r="AD756" s="405">
        <v>0</v>
      </c>
      <c r="AE756" s="257" t="s">
        <v>2291</v>
      </c>
      <c r="AF756" s="257" t="s">
        <v>2109</v>
      </c>
      <c r="AG756" s="261" t="s">
        <v>1432</v>
      </c>
      <c r="AH756" s="261" t="s">
        <v>2113</v>
      </c>
      <c r="AI756" s="261">
        <v>500</v>
      </c>
      <c r="AJ756" s="261">
        <v>100</v>
      </c>
      <c r="AK756" s="261">
        <v>100</v>
      </c>
      <c r="AL756" s="256">
        <v>0.01</v>
      </c>
      <c r="AM756" s="256" t="s">
        <v>34</v>
      </c>
      <c r="AN756" s="256" t="s">
        <v>34</v>
      </c>
      <c r="AO756" s="254" t="s">
        <v>1324</v>
      </c>
      <c r="AP756" s="257" t="s">
        <v>11</v>
      </c>
      <c r="AQ756" s="263" t="s">
        <v>2200</v>
      </c>
      <c r="AR756" s="256">
        <v>3.0000000000000001E-3</v>
      </c>
      <c r="AS756" s="256">
        <v>3.0000000000000001E-3</v>
      </c>
      <c r="AT756" s="256"/>
      <c r="AX756" s="508"/>
      <c r="AY756" s="509"/>
      <c r="AZ756" s="509"/>
      <c r="BA756" s="509"/>
      <c r="BB756" s="510"/>
      <c r="BC756" s="509"/>
      <c r="BD756" s="509"/>
      <c r="BE756" s="509"/>
      <c r="BF756" s="509"/>
      <c r="BG756" s="510"/>
      <c r="BH756" s="510"/>
      <c r="BI756" s="511"/>
      <c r="BJ756" s="511"/>
      <c r="BK756" s="511"/>
      <c r="BL756" s="510"/>
      <c r="BM756" s="510"/>
      <c r="BN756" s="510"/>
      <c r="BO756" s="510"/>
      <c r="BP756" s="510"/>
      <c r="BQ756" s="510"/>
      <c r="BR756" s="510"/>
      <c r="BS756" s="510"/>
      <c r="BT756" s="513"/>
      <c r="BU756" s="514"/>
      <c r="BV756" s="512"/>
      <c r="BW756" s="515"/>
    </row>
    <row r="757" spans="2:75" ht="15.75" customHeight="1">
      <c r="B757" s="250" t="s">
        <v>71</v>
      </c>
      <c r="C757" s="251">
        <v>26831986000135</v>
      </c>
      <c r="D757" s="252" t="s">
        <v>13</v>
      </c>
      <c r="E757" s="252" t="s">
        <v>616</v>
      </c>
      <c r="F757" s="252" t="s">
        <v>617</v>
      </c>
      <c r="G757" s="253" t="s">
        <v>34</v>
      </c>
      <c r="H757" s="253" t="s">
        <v>1337</v>
      </c>
      <c r="I757" s="253" t="s">
        <v>34</v>
      </c>
      <c r="J757" s="253" t="s">
        <v>608</v>
      </c>
      <c r="K757" s="254" t="s">
        <v>48</v>
      </c>
      <c r="L757" s="255"/>
      <c r="M757" s="255" t="s">
        <v>34</v>
      </c>
      <c r="N757" s="254">
        <v>440922</v>
      </c>
      <c r="O757" s="254" t="s">
        <v>1321</v>
      </c>
      <c r="P757" s="258">
        <v>42881</v>
      </c>
      <c r="Q757" s="259">
        <v>30424234.98</v>
      </c>
      <c r="R757" s="259">
        <v>44142778.909523822</v>
      </c>
      <c r="S757" s="254">
        <v>30</v>
      </c>
      <c r="T757" s="256">
        <v>9.0277360896344527E-2</v>
      </c>
      <c r="U757" s="256">
        <v>1.1670330647658465</v>
      </c>
      <c r="V757" s="256">
        <v>5.5212313121076884E-2</v>
      </c>
      <c r="W757" s="256">
        <v>0.54126528394654683</v>
      </c>
      <c r="X757" s="256">
        <v>4.042947532338026E-3</v>
      </c>
      <c r="Y757" s="256">
        <v>3.0658405581791188E-2</v>
      </c>
      <c r="Z757" s="256">
        <v>9.6019778781856191E-2</v>
      </c>
      <c r="AA757" s="256">
        <v>0.54580755108131229</v>
      </c>
      <c r="AB757" s="256">
        <v>4.021887187856326E-2</v>
      </c>
      <c r="AC757" s="260">
        <v>-1.0591707257554173</v>
      </c>
      <c r="AD757" s="405">
        <v>13608337000128</v>
      </c>
      <c r="AE757" s="257" t="s">
        <v>2123</v>
      </c>
      <c r="AF757" s="257" t="s">
        <v>2109</v>
      </c>
      <c r="AG757" s="261" t="s">
        <v>1432</v>
      </c>
      <c r="AH757" s="261" t="s">
        <v>2113</v>
      </c>
      <c r="AI757" s="261">
        <v>5000</v>
      </c>
      <c r="AJ757" s="261">
        <v>5000</v>
      </c>
      <c r="AK757" s="261">
        <v>5000</v>
      </c>
      <c r="AL757" s="519">
        <v>0</v>
      </c>
      <c r="AM757" s="519" t="s">
        <v>34</v>
      </c>
      <c r="AN757" s="256" t="s">
        <v>34</v>
      </c>
      <c r="AO757" s="254" t="s">
        <v>1324</v>
      </c>
      <c r="AP757" s="257" t="s">
        <v>13</v>
      </c>
      <c r="AQ757" s="263" t="s">
        <v>674</v>
      </c>
      <c r="AR757" s="256">
        <v>4.0000000000000001E-3</v>
      </c>
      <c r="AS757" s="256">
        <v>4.0000000000000001E-3</v>
      </c>
      <c r="AT757" s="256"/>
      <c r="AX757" s="508"/>
      <c r="AY757" s="509"/>
      <c r="AZ757" s="509"/>
      <c r="BA757" s="509"/>
      <c r="BB757" s="510"/>
      <c r="BC757" s="509"/>
      <c r="BD757" s="509"/>
      <c r="BE757" s="509"/>
      <c r="BF757" s="509"/>
      <c r="BG757" s="510"/>
      <c r="BH757" s="510"/>
      <c r="BI757" s="511"/>
      <c r="BJ757" s="511"/>
      <c r="BK757" s="511"/>
      <c r="BL757" s="510"/>
      <c r="BM757" s="510"/>
      <c r="BN757" s="510"/>
      <c r="BO757" s="510"/>
      <c r="BP757" s="510"/>
      <c r="BQ757" s="510"/>
      <c r="BR757" s="510"/>
      <c r="BS757" s="510"/>
      <c r="BT757" s="513"/>
      <c r="BU757" s="514"/>
      <c r="BV757" s="512"/>
      <c r="BW757" s="515"/>
    </row>
    <row r="758" spans="2:75" ht="15.75" customHeight="1">
      <c r="B758" s="250" t="s">
        <v>84</v>
      </c>
      <c r="C758" s="251">
        <v>13608337000128</v>
      </c>
      <c r="D758" s="252" t="s">
        <v>13</v>
      </c>
      <c r="E758" s="252" t="s">
        <v>616</v>
      </c>
      <c r="F758" s="252" t="s">
        <v>617</v>
      </c>
      <c r="G758" s="253" t="s">
        <v>34</v>
      </c>
      <c r="H758" s="253" t="s">
        <v>1337</v>
      </c>
      <c r="I758" s="253" t="s">
        <v>34</v>
      </c>
      <c r="J758" s="253" t="s">
        <v>608</v>
      </c>
      <c r="K758" s="254" t="s">
        <v>48</v>
      </c>
      <c r="L758" s="255"/>
      <c r="M758" s="255" t="s">
        <v>34</v>
      </c>
      <c r="N758" s="254">
        <v>292540</v>
      </c>
      <c r="O758" s="254" t="s">
        <v>1321</v>
      </c>
      <c r="P758" s="258">
        <v>40877</v>
      </c>
      <c r="Q758" s="259">
        <v>293900861.62</v>
      </c>
      <c r="R758" s="259">
        <v>575348728.55591226</v>
      </c>
      <c r="S758" s="254">
        <v>30</v>
      </c>
      <c r="T758" s="256">
        <v>8.9874604210877118E-2</v>
      </c>
      <c r="U758" s="256">
        <v>1.1618265504822085</v>
      </c>
      <c r="V758" s="256">
        <v>5.441696127379636E-2</v>
      </c>
      <c r="W758" s="256">
        <v>0.5334681763971556</v>
      </c>
      <c r="X758" s="256">
        <v>2.8585511452992041E-3</v>
      </c>
      <c r="Y758" s="256">
        <v>2.1676912620776836E-2</v>
      </c>
      <c r="Z758" s="256">
        <v>9.5731773620212124E-2</v>
      </c>
      <c r="AA758" s="256">
        <v>0.54417043637463447</v>
      </c>
      <c r="AB758" s="256">
        <v>4.0699861060091581E-2</v>
      </c>
      <c r="AC758" s="260">
        <v>-1.0647071783009769</v>
      </c>
      <c r="AD758" s="405">
        <v>0</v>
      </c>
      <c r="AE758" s="257" t="s">
        <v>2143</v>
      </c>
      <c r="AF758" s="257" t="s">
        <v>2118</v>
      </c>
      <c r="AG758" s="261" t="s">
        <v>1433</v>
      </c>
      <c r="AH758" s="261" t="s">
        <v>2113</v>
      </c>
      <c r="AI758" s="261">
        <v>500</v>
      </c>
      <c r="AJ758" s="261">
        <v>100</v>
      </c>
      <c r="AK758" s="261">
        <v>100</v>
      </c>
      <c r="AL758" s="519">
        <v>0.02</v>
      </c>
      <c r="AM758" s="519">
        <v>0.2</v>
      </c>
      <c r="AN758" s="256" t="s">
        <v>2127</v>
      </c>
      <c r="AO758" s="254" t="s">
        <v>1324</v>
      </c>
      <c r="AP758" s="257" t="s">
        <v>13</v>
      </c>
      <c r="AQ758" s="263" t="s">
        <v>668</v>
      </c>
      <c r="AR758" s="256">
        <v>4.0000000000000001E-3</v>
      </c>
      <c r="AS758" s="256">
        <v>4.0000000000000001E-3</v>
      </c>
      <c r="AT758" s="256"/>
      <c r="AX758" s="508"/>
      <c r="AY758" s="509"/>
      <c r="AZ758" s="509"/>
      <c r="BA758" s="509"/>
      <c r="BB758" s="510"/>
      <c r="BC758" s="509"/>
      <c r="BD758" s="509"/>
      <c r="BE758" s="509"/>
      <c r="BF758" s="509"/>
      <c r="BG758" s="510"/>
      <c r="BH758" s="510"/>
      <c r="BI758" s="511"/>
      <c r="BJ758" s="511"/>
      <c r="BK758" s="511"/>
      <c r="BL758" s="510"/>
      <c r="BM758" s="510"/>
      <c r="BN758" s="510"/>
      <c r="BO758" s="510"/>
      <c r="BP758" s="510"/>
      <c r="BQ758" s="510"/>
      <c r="BR758" s="510"/>
      <c r="BS758" s="510"/>
      <c r="BT758" s="513"/>
      <c r="BU758" s="514"/>
      <c r="BV758" s="512"/>
      <c r="BW758" s="515"/>
    </row>
    <row r="759" spans="2:75" ht="15.75" customHeight="1">
      <c r="B759" s="250" t="s">
        <v>1486</v>
      </c>
      <c r="C759" s="251">
        <v>18422272000145</v>
      </c>
      <c r="D759" s="252" t="s">
        <v>13</v>
      </c>
      <c r="E759" s="252" t="s">
        <v>615</v>
      </c>
      <c r="F759" s="252" t="s">
        <v>619</v>
      </c>
      <c r="G759" s="253" t="s">
        <v>34</v>
      </c>
      <c r="H759" s="253" t="s">
        <v>1337</v>
      </c>
      <c r="I759" s="253" t="s">
        <v>34</v>
      </c>
      <c r="J759" s="253" t="s">
        <v>611</v>
      </c>
      <c r="K759" s="254" t="s">
        <v>48</v>
      </c>
      <c r="L759" s="255"/>
      <c r="M759" s="255"/>
      <c r="N759" s="254">
        <v>348341</v>
      </c>
      <c r="O759" s="254" t="s">
        <v>1321</v>
      </c>
      <c r="P759" s="258">
        <v>41535</v>
      </c>
      <c r="Q759" s="259">
        <v>2004557817.5</v>
      </c>
      <c r="R759" s="259">
        <v>1687978535.045516</v>
      </c>
      <c r="S759" s="254">
        <v>30</v>
      </c>
      <c r="T759" s="256">
        <v>0.22214645884517337</v>
      </c>
      <c r="U759" s="256">
        <v>2.4986841583263422</v>
      </c>
      <c r="V759" s="256">
        <v>0.28457397425020203</v>
      </c>
      <c r="W759" s="256">
        <v>2.6117369573479028</v>
      </c>
      <c r="X759" s="256">
        <v>0.36799953454839462</v>
      </c>
      <c r="Y759" s="256">
        <v>2.5876956122034755</v>
      </c>
      <c r="Z759" s="256">
        <v>0.42857503407309383</v>
      </c>
      <c r="AA759" s="256">
        <v>2.3419755691660376</v>
      </c>
      <c r="AB759" s="256">
        <v>4.2645593463626431E-2</v>
      </c>
      <c r="AC759" s="260">
        <v>3.4707391755288763</v>
      </c>
      <c r="AD759" s="405">
        <v>21470947000136</v>
      </c>
      <c r="AE759" s="257" t="s">
        <v>2117</v>
      </c>
      <c r="AF759" s="257" t="s">
        <v>2121</v>
      </c>
      <c r="AG759" s="261" t="s">
        <v>59</v>
      </c>
      <c r="AH759" s="261" t="s">
        <v>2113</v>
      </c>
      <c r="AI759" s="261">
        <v>50000</v>
      </c>
      <c r="AJ759" s="261">
        <v>50000</v>
      </c>
      <c r="AK759" s="261">
        <v>50000</v>
      </c>
      <c r="AL759" s="519">
        <v>1.9E-2</v>
      </c>
      <c r="AM759" s="519">
        <v>0.2</v>
      </c>
      <c r="AN759" s="256" t="s">
        <v>64</v>
      </c>
      <c r="AO759" s="254" t="s">
        <v>1324</v>
      </c>
      <c r="AP759" s="257" t="s">
        <v>13</v>
      </c>
      <c r="AQ759" s="263" t="s">
        <v>664</v>
      </c>
      <c r="AR759" s="256" t="s">
        <v>34</v>
      </c>
      <c r="AS759" s="256" t="s">
        <v>34</v>
      </c>
      <c r="AT759" s="256"/>
      <c r="AX759" s="508"/>
      <c r="AY759" s="509"/>
      <c r="AZ759" s="509"/>
      <c r="BA759" s="509"/>
      <c r="BB759" s="510"/>
      <c r="BC759" s="509"/>
      <c r="BD759" s="509"/>
      <c r="BE759" s="509"/>
      <c r="BF759" s="509"/>
      <c r="BG759" s="510"/>
      <c r="BH759" s="510"/>
      <c r="BI759" s="511"/>
      <c r="BJ759" s="511"/>
      <c r="BK759" s="511"/>
      <c r="BL759" s="510"/>
      <c r="BM759" s="510"/>
      <c r="BN759" s="510"/>
      <c r="BO759" s="510"/>
      <c r="BP759" s="510"/>
      <c r="BQ759" s="510"/>
      <c r="BR759" s="510"/>
      <c r="BS759" s="510"/>
      <c r="BT759" s="513"/>
      <c r="BU759" s="514"/>
      <c r="BV759" s="512"/>
      <c r="BW759" s="515"/>
    </row>
    <row r="760" spans="2:75" ht="15.75" customHeight="1">
      <c r="B760" s="250" t="s">
        <v>721</v>
      </c>
      <c r="C760" s="251">
        <v>29177012000178</v>
      </c>
      <c r="D760" s="252" t="s">
        <v>13</v>
      </c>
      <c r="E760" s="252" t="s">
        <v>615</v>
      </c>
      <c r="F760" s="252" t="s">
        <v>619</v>
      </c>
      <c r="G760" s="253" t="s">
        <v>34</v>
      </c>
      <c r="H760" s="253" t="s">
        <v>1337</v>
      </c>
      <c r="I760" s="253" t="s">
        <v>34</v>
      </c>
      <c r="J760" s="253" t="s">
        <v>611</v>
      </c>
      <c r="K760" s="254" t="s">
        <v>48</v>
      </c>
      <c r="L760" s="255"/>
      <c r="M760" s="255" t="s">
        <v>34</v>
      </c>
      <c r="N760" s="254">
        <v>465488</v>
      </c>
      <c r="O760" s="254" t="s">
        <v>1321</v>
      </c>
      <c r="P760" s="258">
        <v>43235</v>
      </c>
      <c r="Q760" s="259">
        <v>223085827.53</v>
      </c>
      <c r="R760" s="259">
        <v>153190821.47047615</v>
      </c>
      <c r="S760" s="254">
        <v>30</v>
      </c>
      <c r="T760" s="256">
        <v>0.17667379703488906</v>
      </c>
      <c r="U760" s="256">
        <v>2.283896657703409</v>
      </c>
      <c r="V760" s="256">
        <v>0.21587377297207411</v>
      </c>
      <c r="W760" s="256">
        <v>2.1162847998798551</v>
      </c>
      <c r="X760" s="256">
        <v>0.29352885008821095</v>
      </c>
      <c r="Y760" s="256">
        <v>2.2258825928312218</v>
      </c>
      <c r="Z760" s="256">
        <v>0.38693786699021393</v>
      </c>
      <c r="AA760" s="256">
        <v>2.199480276687142</v>
      </c>
      <c r="AB760" s="256">
        <v>4.2849067547080295E-2</v>
      </c>
      <c r="AC760" s="260">
        <v>2.3174486372668555</v>
      </c>
      <c r="AD760" s="405">
        <v>23565803000199</v>
      </c>
      <c r="AE760" s="257" t="s">
        <v>2123</v>
      </c>
      <c r="AF760" s="257" t="s">
        <v>2109</v>
      </c>
      <c r="AG760" s="261" t="s">
        <v>1432</v>
      </c>
      <c r="AH760" s="261" t="s">
        <v>2113</v>
      </c>
      <c r="AI760" s="261">
        <v>10000</v>
      </c>
      <c r="AJ760" s="261">
        <v>10000</v>
      </c>
      <c r="AK760" s="261">
        <v>10000</v>
      </c>
      <c r="AL760" s="519">
        <v>0</v>
      </c>
      <c r="AM760" s="519" t="s">
        <v>34</v>
      </c>
      <c r="AN760" s="256" t="s">
        <v>34</v>
      </c>
      <c r="AO760" s="254" t="s">
        <v>1324</v>
      </c>
      <c r="AP760" s="257" t="s">
        <v>13</v>
      </c>
      <c r="AQ760" s="263" t="s">
        <v>664</v>
      </c>
      <c r="AR760" s="256">
        <v>3.8E-3</v>
      </c>
      <c r="AS760" s="256">
        <v>3.8E-3</v>
      </c>
      <c r="AT760" s="256"/>
      <c r="AX760" s="508"/>
      <c r="AY760" s="509"/>
      <c r="AZ760" s="509"/>
      <c r="BA760" s="509"/>
      <c r="BB760" s="510"/>
      <c r="BC760" s="509"/>
      <c r="BD760" s="509"/>
      <c r="BE760" s="509"/>
      <c r="BF760" s="509"/>
      <c r="BG760" s="510"/>
      <c r="BH760" s="510"/>
      <c r="BI760" s="511"/>
      <c r="BJ760" s="511"/>
      <c r="BK760" s="511"/>
      <c r="BL760" s="510"/>
      <c r="BM760" s="510"/>
      <c r="BN760" s="510"/>
      <c r="BO760" s="510"/>
      <c r="BP760" s="510"/>
      <c r="BQ760" s="510"/>
      <c r="BR760" s="510"/>
      <c r="BS760" s="510"/>
      <c r="BT760" s="513"/>
      <c r="BU760" s="514"/>
      <c r="BV760" s="512"/>
      <c r="BW760" s="515"/>
    </row>
    <row r="761" spans="2:75" ht="15.75" customHeight="1">
      <c r="B761" s="250" t="s">
        <v>765</v>
      </c>
      <c r="C761" s="251">
        <v>19523641000159</v>
      </c>
      <c r="D761" s="252" t="s">
        <v>13</v>
      </c>
      <c r="E761" s="252" t="s">
        <v>615</v>
      </c>
      <c r="F761" s="252" t="s">
        <v>619</v>
      </c>
      <c r="G761" s="253" t="s">
        <v>34</v>
      </c>
      <c r="H761" s="253" t="s">
        <v>1337</v>
      </c>
      <c r="I761" s="253" t="s">
        <v>34</v>
      </c>
      <c r="J761" s="253"/>
      <c r="K761" s="254" t="s">
        <v>48</v>
      </c>
      <c r="L761" s="255"/>
      <c r="M761" s="255" t="s">
        <v>34</v>
      </c>
      <c r="N761" s="254">
        <v>366706</v>
      </c>
      <c r="O761" s="254" t="s">
        <v>1321</v>
      </c>
      <c r="P761" s="258">
        <v>41757</v>
      </c>
      <c r="Q761" s="259">
        <v>60838788.600000001</v>
      </c>
      <c r="R761" s="259">
        <v>57988120.602579385</v>
      </c>
      <c r="S761" s="254">
        <v>30</v>
      </c>
      <c r="T761" s="256">
        <v>0.12837857699258537</v>
      </c>
      <c r="U761" s="256">
        <v>1.6595749218894327</v>
      </c>
      <c r="V761" s="256">
        <v>0.12878657366397084</v>
      </c>
      <c r="W761" s="256">
        <v>1.2625390501185443</v>
      </c>
      <c r="X761" s="256">
        <v>0.21012025567840142</v>
      </c>
      <c r="Y761" s="256">
        <v>1.5933800693705096</v>
      </c>
      <c r="Z761" s="256">
        <v>0.2208994301613485</v>
      </c>
      <c r="AA761" s="256">
        <v>1.2556639740395394</v>
      </c>
      <c r="AB761" s="256">
        <v>3.8397148520839218E-2</v>
      </c>
      <c r="AC761" s="260">
        <v>0.64469047446634831</v>
      </c>
      <c r="AD761" s="405">
        <v>0</v>
      </c>
      <c r="AE761" s="257" t="s">
        <v>2148</v>
      </c>
      <c r="AF761" s="257" t="s">
        <v>2109</v>
      </c>
      <c r="AG761" s="261" t="s">
        <v>1432</v>
      </c>
      <c r="AH761" s="261" t="s">
        <v>2113</v>
      </c>
      <c r="AI761" s="261">
        <v>1000</v>
      </c>
      <c r="AJ761" s="261">
        <v>1000</v>
      </c>
      <c r="AK761" s="261">
        <v>1000</v>
      </c>
      <c r="AL761" s="519">
        <v>1.3999999999999999E-2</v>
      </c>
      <c r="AM761" s="519">
        <v>0.15</v>
      </c>
      <c r="AN761" s="256" t="s">
        <v>64</v>
      </c>
      <c r="AO761" s="254" t="s">
        <v>1324</v>
      </c>
      <c r="AP761" s="257" t="s">
        <v>13</v>
      </c>
      <c r="AQ761" s="263" t="s">
        <v>668</v>
      </c>
      <c r="AR761" s="256">
        <v>3.7333333333333333E-3</v>
      </c>
      <c r="AS761" s="256">
        <v>3.7333333333333333E-3</v>
      </c>
      <c r="AT761" s="256"/>
      <c r="AX761" s="508"/>
      <c r="AY761" s="509"/>
      <c r="AZ761" s="509"/>
      <c r="BA761" s="509"/>
      <c r="BB761" s="510"/>
      <c r="BC761" s="509"/>
      <c r="BD761" s="509"/>
      <c r="BE761" s="509"/>
      <c r="BF761" s="509"/>
      <c r="BG761" s="510"/>
      <c r="BH761" s="510"/>
      <c r="BI761" s="511"/>
      <c r="BJ761" s="511"/>
      <c r="BK761" s="511"/>
      <c r="BL761" s="510"/>
      <c r="BM761" s="510"/>
      <c r="BN761" s="510"/>
      <c r="BO761" s="510"/>
      <c r="BP761" s="510"/>
      <c r="BQ761" s="510"/>
      <c r="BR761" s="510"/>
      <c r="BS761" s="510"/>
      <c r="BT761" s="513"/>
      <c r="BU761" s="514"/>
      <c r="BV761" s="512"/>
      <c r="BW761" s="515"/>
    </row>
    <row r="762" spans="2:75" ht="15.75" customHeight="1">
      <c r="B762" s="250" t="s">
        <v>88</v>
      </c>
      <c r="C762" s="251">
        <v>36327745000107</v>
      </c>
      <c r="D762" s="252" t="s">
        <v>13</v>
      </c>
      <c r="E762" s="252" t="s">
        <v>615</v>
      </c>
      <c r="F762" s="252" t="s">
        <v>619</v>
      </c>
      <c r="G762" s="253" t="s">
        <v>34</v>
      </c>
      <c r="H762" s="253" t="s">
        <v>1338</v>
      </c>
      <c r="I762" s="253" t="s">
        <v>34</v>
      </c>
      <c r="J762" s="253"/>
      <c r="K762" s="254" t="s">
        <v>48</v>
      </c>
      <c r="L762" s="255"/>
      <c r="M762" s="255" t="s">
        <v>34</v>
      </c>
      <c r="N762" s="254">
        <v>537454</v>
      </c>
      <c r="O762" s="254" t="s">
        <v>1321</v>
      </c>
      <c r="P762" s="258">
        <v>43970</v>
      </c>
      <c r="Q762" s="259">
        <v>34834172.719999999</v>
      </c>
      <c r="R762" s="259">
        <v>29794383.108452376</v>
      </c>
      <c r="S762" s="254">
        <v>30</v>
      </c>
      <c r="T762" s="256">
        <v>0.18528550435254854</v>
      </c>
      <c r="U762" s="256">
        <v>2.3952218790436084</v>
      </c>
      <c r="V762" s="256">
        <v>0.16366707979087902</v>
      </c>
      <c r="W762" s="256">
        <v>1.6044846413416203</v>
      </c>
      <c r="X762" s="256">
        <v>0.27602597043271859</v>
      </c>
      <c r="Y762" s="256">
        <v>2.0931550768208802</v>
      </c>
      <c r="Z762" s="256" t="s">
        <v>1417</v>
      </c>
      <c r="AA762" s="256" t="s">
        <v>1417</v>
      </c>
      <c r="AB762" s="256">
        <v>7.4165239966343957E-2</v>
      </c>
      <c r="AC762" s="260">
        <v>0.77136157493276469</v>
      </c>
      <c r="AD762" s="405">
        <v>36352273000142</v>
      </c>
      <c r="AE762" s="257" t="s">
        <v>2148</v>
      </c>
      <c r="AF762" s="257" t="s">
        <v>2109</v>
      </c>
      <c r="AG762" s="261" t="s">
        <v>1432</v>
      </c>
      <c r="AH762" s="261" t="s">
        <v>2113</v>
      </c>
      <c r="AI762" s="261">
        <v>1000</v>
      </c>
      <c r="AJ762" s="261">
        <v>1000</v>
      </c>
      <c r="AK762" s="261">
        <v>1000</v>
      </c>
      <c r="AL762" s="519">
        <v>1.8700000000000001E-2</v>
      </c>
      <c r="AM762" s="519">
        <v>0.2</v>
      </c>
      <c r="AN762" s="256" t="s">
        <v>34</v>
      </c>
      <c r="AO762" s="254" t="s">
        <v>1324</v>
      </c>
      <c r="AP762" s="257" t="s">
        <v>13</v>
      </c>
      <c r="AQ762" s="263" t="s">
        <v>668</v>
      </c>
      <c r="AR762" s="256">
        <v>5.3333333333333332E-3</v>
      </c>
      <c r="AS762" s="256">
        <v>5.3333333333333332E-3</v>
      </c>
      <c r="AT762" s="256"/>
      <c r="AX762" s="508"/>
      <c r="AY762" s="509"/>
      <c r="AZ762" s="509"/>
      <c r="BA762" s="509"/>
      <c r="BB762" s="510"/>
      <c r="BC762" s="509"/>
      <c r="BD762" s="509"/>
      <c r="BE762" s="509"/>
      <c r="BF762" s="509"/>
      <c r="BG762" s="510"/>
      <c r="BH762" s="510"/>
      <c r="BI762" s="511"/>
      <c r="BJ762" s="511"/>
      <c r="BK762" s="511"/>
      <c r="BL762" s="510"/>
      <c r="BM762" s="510"/>
      <c r="BN762" s="510"/>
      <c r="BO762" s="510"/>
      <c r="BP762" s="510"/>
      <c r="BQ762" s="510"/>
      <c r="BR762" s="510"/>
      <c r="BS762" s="510"/>
      <c r="BT762" s="513"/>
      <c r="BU762" s="514"/>
      <c r="BV762" s="512"/>
      <c r="BW762" s="515"/>
    </row>
    <row r="763" spans="2:75" ht="15.75" customHeight="1">
      <c r="B763" s="250" t="s">
        <v>109</v>
      </c>
      <c r="C763" s="251">
        <v>26323079000185</v>
      </c>
      <c r="D763" s="252" t="s">
        <v>13</v>
      </c>
      <c r="E763" s="252" t="s">
        <v>615</v>
      </c>
      <c r="F763" s="252" t="s">
        <v>619</v>
      </c>
      <c r="G763" s="253" t="s">
        <v>34</v>
      </c>
      <c r="H763" s="253" t="s">
        <v>865</v>
      </c>
      <c r="I763" s="253" t="s">
        <v>34</v>
      </c>
      <c r="J763" s="253"/>
      <c r="K763" s="254" t="s">
        <v>48</v>
      </c>
      <c r="L763" s="255"/>
      <c r="M763" s="255" t="s">
        <v>34</v>
      </c>
      <c r="N763" s="254">
        <v>437468</v>
      </c>
      <c r="O763" s="254" t="s">
        <v>1321</v>
      </c>
      <c r="P763" s="258">
        <v>42790</v>
      </c>
      <c r="Q763" s="259">
        <v>280498837.25999999</v>
      </c>
      <c r="R763" s="259">
        <v>315848695.7072221</v>
      </c>
      <c r="S763" s="254">
        <v>30</v>
      </c>
      <c r="T763" s="256">
        <v>0.16840512295226007</v>
      </c>
      <c r="U763" s="256">
        <v>2.177005893946145</v>
      </c>
      <c r="V763" s="256">
        <v>0.13847948571194468</v>
      </c>
      <c r="W763" s="256">
        <v>1.3575619987207952</v>
      </c>
      <c r="X763" s="256">
        <v>0.13147665069095194</v>
      </c>
      <c r="Y763" s="256">
        <v>0.99701132631015199</v>
      </c>
      <c r="Z763" s="256">
        <v>0.27308305394671839</v>
      </c>
      <c r="AA763" s="256">
        <v>1.552292608953904</v>
      </c>
      <c r="AB763" s="256">
        <v>6.3091738432296138E-2</v>
      </c>
      <c r="AC763" s="260">
        <v>0.54772360586239122</v>
      </c>
      <c r="AD763" s="405">
        <v>0</v>
      </c>
      <c r="AE763" s="257" t="s">
        <v>2164</v>
      </c>
      <c r="AF763" s="257" t="s">
        <v>2118</v>
      </c>
      <c r="AG763" s="261" t="s">
        <v>1433</v>
      </c>
      <c r="AH763" s="261" t="s">
        <v>2113</v>
      </c>
      <c r="AI763" s="261">
        <v>1000</v>
      </c>
      <c r="AJ763" s="261">
        <v>500</v>
      </c>
      <c r="AK763" s="261">
        <v>500</v>
      </c>
      <c r="AL763" s="519">
        <v>0.02</v>
      </c>
      <c r="AM763" s="519">
        <v>0.2</v>
      </c>
      <c r="AN763" s="256" t="s">
        <v>64</v>
      </c>
      <c r="AO763" s="254" t="s">
        <v>1324</v>
      </c>
      <c r="AP763" s="257" t="s">
        <v>13</v>
      </c>
      <c r="AQ763" s="263" t="s">
        <v>664</v>
      </c>
      <c r="AR763" s="256">
        <v>5.4000000000000003E-3</v>
      </c>
      <c r="AS763" s="256">
        <v>5.4000000000000003E-3</v>
      </c>
      <c r="AT763" s="256"/>
      <c r="AX763" s="508"/>
      <c r="AY763" s="509"/>
      <c r="AZ763" s="509"/>
      <c r="BA763" s="509"/>
      <c r="BB763" s="510"/>
      <c r="BC763" s="509"/>
      <c r="BD763" s="509"/>
      <c r="BE763" s="509"/>
      <c r="BF763" s="509"/>
      <c r="BG763" s="510"/>
      <c r="BH763" s="510"/>
      <c r="BI763" s="511"/>
      <c r="BJ763" s="511"/>
      <c r="BK763" s="511"/>
      <c r="BL763" s="510"/>
      <c r="BM763" s="510"/>
      <c r="BN763" s="510"/>
      <c r="BO763" s="510"/>
      <c r="BP763" s="510"/>
      <c r="BQ763" s="510"/>
      <c r="BR763" s="510"/>
      <c r="BS763" s="510"/>
      <c r="BT763" s="513"/>
      <c r="BU763" s="514"/>
      <c r="BV763" s="512"/>
      <c r="BW763" s="515"/>
    </row>
    <row r="764" spans="2:75" ht="15.75" customHeight="1">
      <c r="B764" s="250" t="s">
        <v>128</v>
      </c>
      <c r="C764" s="251">
        <v>7965741000156</v>
      </c>
      <c r="D764" s="252" t="s">
        <v>13</v>
      </c>
      <c r="E764" s="252" t="s">
        <v>615</v>
      </c>
      <c r="F764" s="252" t="s">
        <v>619</v>
      </c>
      <c r="G764" s="253" t="s">
        <v>34</v>
      </c>
      <c r="H764" s="253" t="s">
        <v>1337</v>
      </c>
      <c r="I764" s="253" t="s">
        <v>34</v>
      </c>
      <c r="J764" s="253"/>
      <c r="K764" s="254" t="s">
        <v>48</v>
      </c>
      <c r="L764" s="255"/>
      <c r="M764" s="255" t="s">
        <v>1414</v>
      </c>
      <c r="N764" s="254">
        <v>170437</v>
      </c>
      <c r="O764" s="254" t="s">
        <v>1321</v>
      </c>
      <c r="P764" s="258">
        <v>38939</v>
      </c>
      <c r="Q764" s="259">
        <v>141480472.58000001</v>
      </c>
      <c r="R764" s="259">
        <v>136664657.23186511</v>
      </c>
      <c r="S764" s="254">
        <v>30</v>
      </c>
      <c r="T764" s="256">
        <v>0.10411955675981677</v>
      </c>
      <c r="U764" s="256">
        <v>1.3459738324316772</v>
      </c>
      <c r="V764" s="256">
        <v>0.11610385007482482</v>
      </c>
      <c r="W764" s="256">
        <v>1.1382059512744365</v>
      </c>
      <c r="X764" s="256">
        <v>0.17144493177073294</v>
      </c>
      <c r="Y764" s="256">
        <v>1.3000980623980509</v>
      </c>
      <c r="Z764" s="256">
        <v>0.24810852775283632</v>
      </c>
      <c r="AA764" s="256">
        <v>1.4103293056196267</v>
      </c>
      <c r="AB764" s="256">
        <v>3.1208846277110749E-2</v>
      </c>
      <c r="AC764" s="260">
        <v>0.42299733119296162</v>
      </c>
      <c r="AD764" s="405">
        <v>0</v>
      </c>
      <c r="AE764" s="257" t="s">
        <v>2128</v>
      </c>
      <c r="AF764" s="257" t="s">
        <v>728</v>
      </c>
      <c r="AG764" s="261" t="s">
        <v>728</v>
      </c>
      <c r="AH764" s="261" t="s">
        <v>2110</v>
      </c>
      <c r="AI764" s="261">
        <v>5000</v>
      </c>
      <c r="AJ764" s="261">
        <v>5000</v>
      </c>
      <c r="AK764" s="261">
        <v>0</v>
      </c>
      <c r="AL764" s="256">
        <v>6.9999999999999993E-3</v>
      </c>
      <c r="AM764" s="256">
        <v>0.2</v>
      </c>
      <c r="AN764" s="256" t="s">
        <v>64</v>
      </c>
      <c r="AO764" s="254" t="s">
        <v>1324</v>
      </c>
      <c r="AP764" s="257" t="s">
        <v>13</v>
      </c>
      <c r="AQ764" s="263" t="s">
        <v>668</v>
      </c>
      <c r="AR764" s="256">
        <v>1.8666666666666666E-3</v>
      </c>
      <c r="AS764" s="256">
        <v>1.8666666666666666E-3</v>
      </c>
      <c r="AT764" s="256"/>
      <c r="AX764" s="508"/>
      <c r="AY764" s="509"/>
      <c r="AZ764" s="509"/>
      <c r="BA764" s="509"/>
      <c r="BB764" s="510"/>
      <c r="BC764" s="509"/>
      <c r="BD764" s="509"/>
      <c r="BE764" s="509"/>
      <c r="BF764" s="509"/>
      <c r="BG764" s="510"/>
      <c r="BH764" s="510"/>
      <c r="BI764" s="511"/>
      <c r="BJ764" s="511"/>
      <c r="BK764" s="511"/>
      <c r="BL764" s="510"/>
      <c r="BM764" s="510"/>
      <c r="BN764" s="510"/>
      <c r="BO764" s="510"/>
      <c r="BP764" s="510"/>
      <c r="BQ764" s="510"/>
      <c r="BR764" s="510"/>
      <c r="BS764" s="510"/>
      <c r="BT764" s="513"/>
      <c r="BU764" s="514"/>
      <c r="BV764" s="512"/>
      <c r="BW764" s="515"/>
    </row>
    <row r="765" spans="2:75" ht="15.75" customHeight="1">
      <c r="B765" s="250" t="s">
        <v>1536</v>
      </c>
      <c r="C765" s="251">
        <v>15212344000131</v>
      </c>
      <c r="D765" s="252" t="s">
        <v>13</v>
      </c>
      <c r="E765" s="252" t="s">
        <v>615</v>
      </c>
      <c r="F765" s="252" t="s">
        <v>619</v>
      </c>
      <c r="G765" s="253" t="s">
        <v>34</v>
      </c>
      <c r="H765" s="253" t="s">
        <v>1338</v>
      </c>
      <c r="I765" s="253" t="s">
        <v>34</v>
      </c>
      <c r="J765" s="253"/>
      <c r="K765" s="254" t="s">
        <v>48</v>
      </c>
      <c r="L765" s="255"/>
      <c r="M765" s="255"/>
      <c r="N765" s="254">
        <v>322733</v>
      </c>
      <c r="O765" s="254" t="s">
        <v>1321</v>
      </c>
      <c r="P765" s="258">
        <v>41256</v>
      </c>
      <c r="Q765" s="259">
        <v>45303436.5</v>
      </c>
      <c r="R765" s="259">
        <v>74828107.841190383</v>
      </c>
      <c r="S765" s="254">
        <v>30</v>
      </c>
      <c r="T765" s="256">
        <v>0.11405629655641225</v>
      </c>
      <c r="U765" s="256">
        <v>1.2828953603149937</v>
      </c>
      <c r="V765" s="256">
        <v>8.4951256873269321E-2</v>
      </c>
      <c r="W765" s="256">
        <v>0.77965786482638977</v>
      </c>
      <c r="X765" s="256">
        <v>0.10609244251765571</v>
      </c>
      <c r="Y765" s="256">
        <v>0.74601982398644517</v>
      </c>
      <c r="Z765" s="256">
        <v>0.12311466617577049</v>
      </c>
      <c r="AA765" s="256">
        <v>0.67276793435548465</v>
      </c>
      <c r="AB765" s="256">
        <v>7.9104069385028203E-2</v>
      </c>
      <c r="AC765" s="260">
        <v>-0.23740382968993187</v>
      </c>
      <c r="AD765" s="405">
        <v>9720565000118</v>
      </c>
      <c r="AE765" s="257" t="s">
        <v>2197</v>
      </c>
      <c r="AF765" s="257" t="s">
        <v>2121</v>
      </c>
      <c r="AG765" s="261" t="s">
        <v>59</v>
      </c>
      <c r="AH765" s="261" t="s">
        <v>2113</v>
      </c>
      <c r="AI765" s="261">
        <v>50000</v>
      </c>
      <c r="AJ765" s="261">
        <v>50000</v>
      </c>
      <c r="AK765" s="261">
        <v>50000</v>
      </c>
      <c r="AL765" s="256">
        <v>1.95E-2</v>
      </c>
      <c r="AM765" s="256">
        <v>0.2</v>
      </c>
      <c r="AN765" s="256" t="s">
        <v>64</v>
      </c>
      <c r="AO765" s="254" t="s">
        <v>1324</v>
      </c>
      <c r="AP765" s="257" t="s">
        <v>13</v>
      </c>
      <c r="AQ765" s="263" t="s">
        <v>664</v>
      </c>
      <c r="AR765" s="256" t="s">
        <v>34</v>
      </c>
      <c r="AS765" s="256" t="s">
        <v>34</v>
      </c>
      <c r="AT765" s="256"/>
      <c r="AX765" s="508"/>
      <c r="AY765" s="509"/>
      <c r="AZ765" s="509"/>
      <c r="BA765" s="509"/>
      <c r="BB765" s="510"/>
      <c r="BC765" s="509"/>
      <c r="BD765" s="509"/>
      <c r="BE765" s="509"/>
      <c r="BF765" s="509"/>
      <c r="BG765" s="510"/>
      <c r="BH765" s="510"/>
      <c r="BI765" s="511"/>
      <c r="BJ765" s="511"/>
      <c r="BK765" s="511"/>
      <c r="BL765" s="510"/>
      <c r="BM765" s="510"/>
      <c r="BN765" s="510"/>
      <c r="BO765" s="510"/>
      <c r="BP765" s="510"/>
      <c r="BQ765" s="510"/>
      <c r="BR765" s="510"/>
      <c r="BS765" s="510"/>
      <c r="BT765" s="513"/>
      <c r="BU765" s="514"/>
      <c r="BV765" s="512"/>
      <c r="BW765" s="515"/>
    </row>
    <row r="766" spans="2:75" ht="15.75" customHeight="1">
      <c r="B766" s="250" t="s">
        <v>896</v>
      </c>
      <c r="C766" s="251">
        <v>13106979000129</v>
      </c>
      <c r="D766" s="252" t="s">
        <v>13</v>
      </c>
      <c r="E766" s="252" t="s">
        <v>615</v>
      </c>
      <c r="F766" s="252" t="s">
        <v>619</v>
      </c>
      <c r="G766" s="253" t="s">
        <v>34</v>
      </c>
      <c r="H766" s="253" t="s">
        <v>1338</v>
      </c>
      <c r="I766" s="253" t="s">
        <v>34</v>
      </c>
      <c r="J766" s="253"/>
      <c r="K766" s="254" t="s">
        <v>48</v>
      </c>
      <c r="L766" s="255"/>
      <c r="M766" s="255" t="s">
        <v>34</v>
      </c>
      <c r="N766" s="254">
        <v>271020</v>
      </c>
      <c r="O766" s="254" t="s">
        <v>1321</v>
      </c>
      <c r="P766" s="258">
        <v>40633</v>
      </c>
      <c r="Q766" s="259">
        <v>119796995.98</v>
      </c>
      <c r="R766" s="259">
        <v>194423130.90484124</v>
      </c>
      <c r="S766" s="254">
        <v>30</v>
      </c>
      <c r="T766" s="256">
        <v>0.10066607931376192</v>
      </c>
      <c r="U766" s="256">
        <v>1.3013300554320739</v>
      </c>
      <c r="V766" s="256">
        <v>4.816834275790427E-2</v>
      </c>
      <c r="W766" s="256">
        <v>0.47221082121514873</v>
      </c>
      <c r="X766" s="256">
        <v>5.5359015123741306E-2</v>
      </c>
      <c r="Y766" s="256">
        <v>0.41979746823245961</v>
      </c>
      <c r="Z766" s="256">
        <v>0.1168392425868503</v>
      </c>
      <c r="AA766" s="256">
        <v>0.66415213277469443</v>
      </c>
      <c r="AB766" s="256">
        <v>8.0650157429063826E-2</v>
      </c>
      <c r="AC766" s="260">
        <v>-0.58106746615511939</v>
      </c>
      <c r="AD766" s="405">
        <v>9720565000118</v>
      </c>
      <c r="AE766" s="257" t="s">
        <v>2197</v>
      </c>
      <c r="AF766" s="257" t="s">
        <v>2118</v>
      </c>
      <c r="AG766" s="261" t="s">
        <v>1433</v>
      </c>
      <c r="AH766" s="261" t="s">
        <v>2113</v>
      </c>
      <c r="AI766" s="261">
        <v>20000</v>
      </c>
      <c r="AJ766" s="261">
        <v>5000</v>
      </c>
      <c r="AK766" s="261">
        <v>5000</v>
      </c>
      <c r="AL766" s="256">
        <v>1.95E-2</v>
      </c>
      <c r="AM766" s="256">
        <v>0.2</v>
      </c>
      <c r="AN766" s="256" t="s">
        <v>64</v>
      </c>
      <c r="AO766" s="254" t="s">
        <v>1324</v>
      </c>
      <c r="AP766" s="257" t="s">
        <v>13</v>
      </c>
      <c r="AQ766" s="263" t="s">
        <v>664</v>
      </c>
      <c r="AR766" s="256">
        <v>6.8249999999999995E-3</v>
      </c>
      <c r="AS766" s="256">
        <v>6.8249999999999995E-3</v>
      </c>
      <c r="AT766" s="256"/>
      <c r="AX766" s="508"/>
      <c r="AY766" s="509"/>
      <c r="AZ766" s="509"/>
      <c r="BA766" s="509"/>
      <c r="BB766" s="510"/>
      <c r="BC766" s="509"/>
      <c r="BD766" s="509"/>
      <c r="BE766" s="509"/>
      <c r="BF766" s="509"/>
      <c r="BG766" s="510"/>
      <c r="BH766" s="510"/>
      <c r="BI766" s="511"/>
      <c r="BJ766" s="511"/>
      <c r="BK766" s="511"/>
      <c r="BL766" s="510"/>
      <c r="BM766" s="510"/>
      <c r="BN766" s="510"/>
      <c r="BO766" s="510"/>
      <c r="BP766" s="510"/>
      <c r="BQ766" s="510"/>
      <c r="BR766" s="510"/>
      <c r="BS766" s="510"/>
      <c r="BT766" s="513"/>
      <c r="BU766" s="514"/>
      <c r="BV766" s="512"/>
      <c r="BW766" s="515"/>
    </row>
    <row r="767" spans="2:75" ht="15.75" customHeight="1">
      <c r="B767" s="250" t="s">
        <v>1537</v>
      </c>
      <c r="C767" s="251">
        <v>28345351000153</v>
      </c>
      <c r="D767" s="252" t="s">
        <v>13</v>
      </c>
      <c r="E767" s="252" t="s">
        <v>615</v>
      </c>
      <c r="F767" s="252" t="s">
        <v>619</v>
      </c>
      <c r="G767" s="253" t="s">
        <v>34</v>
      </c>
      <c r="H767" s="253" t="s">
        <v>1338</v>
      </c>
      <c r="I767" s="253" t="s">
        <v>34</v>
      </c>
      <c r="J767" s="253"/>
      <c r="K767" s="254" t="s">
        <v>48</v>
      </c>
      <c r="L767" s="255"/>
      <c r="M767" s="255"/>
      <c r="N767" s="254">
        <v>455210</v>
      </c>
      <c r="O767" s="254" t="s">
        <v>1321</v>
      </c>
      <c r="P767" s="258">
        <v>43088</v>
      </c>
      <c r="Q767" s="259">
        <v>2690946.6</v>
      </c>
      <c r="R767" s="259">
        <v>42529792.503809534</v>
      </c>
      <c r="S767" s="254">
        <v>30</v>
      </c>
      <c r="T767" s="256">
        <v>-1.6175267534959459E-2</v>
      </c>
      <c r="U767" s="256">
        <v>-0.18193801042969779</v>
      </c>
      <c r="V767" s="256">
        <v>-2.7550125039588869E-2</v>
      </c>
      <c r="W767" s="256">
        <v>-0.25284701433092849</v>
      </c>
      <c r="X767" s="256">
        <v>6.88434165241536E-3</v>
      </c>
      <c r="Y767" s="256">
        <v>4.8409247877790738E-2</v>
      </c>
      <c r="Z767" s="256">
        <v>-5.8385529296576477E-2</v>
      </c>
      <c r="AA767" s="256">
        <v>-0.31905144335143276</v>
      </c>
      <c r="AB767" s="256">
        <v>7.9473230806369144E-2</v>
      </c>
      <c r="AC767" s="260">
        <v>-1.6135521105060087</v>
      </c>
      <c r="AD767" s="405">
        <v>28629342000194</v>
      </c>
      <c r="AE767" s="257" t="s">
        <v>2197</v>
      </c>
      <c r="AF767" s="257" t="s">
        <v>2121</v>
      </c>
      <c r="AG767" s="261" t="s">
        <v>59</v>
      </c>
      <c r="AH767" s="261" t="s">
        <v>2113</v>
      </c>
      <c r="AI767" s="261">
        <v>50000</v>
      </c>
      <c r="AJ767" s="261">
        <v>50000</v>
      </c>
      <c r="AK767" s="261">
        <v>50000</v>
      </c>
      <c r="AL767" s="256">
        <v>1.3999999999999999E-2</v>
      </c>
      <c r="AM767" s="256">
        <v>0.15</v>
      </c>
      <c r="AN767" s="256" t="s">
        <v>64</v>
      </c>
      <c r="AO767" s="254" t="s">
        <v>1324</v>
      </c>
      <c r="AP767" s="257" t="s">
        <v>13</v>
      </c>
      <c r="AQ767" s="263" t="s">
        <v>668</v>
      </c>
      <c r="AR767" s="256" t="s">
        <v>34</v>
      </c>
      <c r="AS767" s="256" t="s">
        <v>34</v>
      </c>
      <c r="AT767" s="256"/>
      <c r="AX767" s="508"/>
      <c r="AY767" s="509"/>
      <c r="AZ767" s="509"/>
      <c r="BA767" s="509"/>
      <c r="BB767" s="510"/>
      <c r="BC767" s="509"/>
      <c r="BD767" s="509"/>
      <c r="BE767" s="509"/>
      <c r="BF767" s="509"/>
      <c r="BG767" s="510"/>
      <c r="BH767" s="510"/>
      <c r="BI767" s="511"/>
      <c r="BJ767" s="511"/>
      <c r="BK767" s="511"/>
      <c r="BL767" s="510"/>
      <c r="BM767" s="510"/>
      <c r="BN767" s="510"/>
      <c r="BO767" s="510"/>
      <c r="BP767" s="510"/>
      <c r="BQ767" s="510"/>
      <c r="BR767" s="510"/>
      <c r="BS767" s="510"/>
      <c r="BT767" s="513"/>
      <c r="BU767" s="514"/>
      <c r="BV767" s="512"/>
      <c r="BW767" s="515"/>
    </row>
    <row r="768" spans="2:75" ht="15.75" customHeight="1">
      <c r="B768" s="250" t="s">
        <v>164</v>
      </c>
      <c r="C768" s="251">
        <v>28866524000189</v>
      </c>
      <c r="D768" s="252" t="s">
        <v>13</v>
      </c>
      <c r="E768" s="252" t="s">
        <v>615</v>
      </c>
      <c r="F768" s="252" t="s">
        <v>619</v>
      </c>
      <c r="G768" s="253" t="s">
        <v>34</v>
      </c>
      <c r="H768" s="253" t="s">
        <v>1338</v>
      </c>
      <c r="I768" s="253" t="s">
        <v>34</v>
      </c>
      <c r="J768" s="253"/>
      <c r="K768" s="254" t="s">
        <v>48</v>
      </c>
      <c r="L768" s="255"/>
      <c r="M768" s="255" t="s">
        <v>34</v>
      </c>
      <c r="N768" s="254">
        <v>456381</v>
      </c>
      <c r="O768" s="254" t="s">
        <v>1321</v>
      </c>
      <c r="P768" s="258">
        <v>43088</v>
      </c>
      <c r="Q768" s="259">
        <v>214731114.78999999</v>
      </c>
      <c r="R768" s="259">
        <v>528778667.54186463</v>
      </c>
      <c r="S768" s="254">
        <v>30</v>
      </c>
      <c r="T768" s="256">
        <v>1.5338486491156544E-5</v>
      </c>
      <c r="U768" s="256">
        <v>1.9828360865795731E-4</v>
      </c>
      <c r="V768" s="256">
        <v>-2.8181575151259519E-2</v>
      </c>
      <c r="W768" s="256">
        <v>-0.27627366820979005</v>
      </c>
      <c r="X768" s="256">
        <v>1.0958623082574004E-2</v>
      </c>
      <c r="Y768" s="256">
        <v>8.3101229584653991E-2</v>
      </c>
      <c r="Z768" s="256">
        <v>-2.3518918301409841E-2</v>
      </c>
      <c r="AA768" s="256">
        <v>-0.13368915618247179</v>
      </c>
      <c r="AB768" s="256">
        <v>7.6189916090260212E-2</v>
      </c>
      <c r="AC768" s="260">
        <v>-1.6123552608351346</v>
      </c>
      <c r="AD768" s="405">
        <v>28629342000194</v>
      </c>
      <c r="AE768" s="257" t="s">
        <v>2197</v>
      </c>
      <c r="AF768" s="257" t="s">
        <v>2118</v>
      </c>
      <c r="AG768" s="261" t="s">
        <v>1433</v>
      </c>
      <c r="AH768" s="261" t="s">
        <v>2113</v>
      </c>
      <c r="AI768" s="261">
        <v>20000</v>
      </c>
      <c r="AJ768" s="261">
        <v>5000</v>
      </c>
      <c r="AK768" s="261">
        <v>5000</v>
      </c>
      <c r="AL768" s="256">
        <v>1.3999999999999999E-2</v>
      </c>
      <c r="AM768" s="256">
        <v>0.15</v>
      </c>
      <c r="AN768" s="256" t="s">
        <v>64</v>
      </c>
      <c r="AO768" s="254" t="s">
        <v>1324</v>
      </c>
      <c r="AP768" s="257" t="s">
        <v>13</v>
      </c>
      <c r="AQ768" s="263" t="s">
        <v>668</v>
      </c>
      <c r="AR768" s="256">
        <v>3.7333333333333333E-3</v>
      </c>
      <c r="AS768" s="256">
        <v>3.7333333333333333E-3</v>
      </c>
      <c r="AT768" s="256"/>
      <c r="AX768" s="508"/>
      <c r="AY768" s="509"/>
      <c r="AZ768" s="509"/>
      <c r="BA768" s="509"/>
      <c r="BB768" s="510"/>
      <c r="BC768" s="509"/>
      <c r="BD768" s="509"/>
      <c r="BE768" s="509"/>
      <c r="BF768" s="509"/>
      <c r="BG768" s="510"/>
      <c r="BH768" s="510"/>
      <c r="BI768" s="511"/>
      <c r="BJ768" s="511"/>
      <c r="BK768" s="511"/>
      <c r="BL768" s="510"/>
      <c r="BM768" s="510"/>
      <c r="BN768" s="510"/>
      <c r="BO768" s="510"/>
      <c r="BP768" s="510"/>
      <c r="BQ768" s="510"/>
      <c r="BR768" s="510"/>
      <c r="BS768" s="510"/>
      <c r="BT768" s="513"/>
      <c r="BU768" s="514"/>
      <c r="BV768" s="512"/>
      <c r="BW768" s="515"/>
    </row>
    <row r="769" spans="2:75" ht="15.75" customHeight="1">
      <c r="B769" s="250" t="s">
        <v>1595</v>
      </c>
      <c r="C769" s="251">
        <v>20216106000134</v>
      </c>
      <c r="D769" s="252" t="s">
        <v>13</v>
      </c>
      <c r="E769" s="252" t="s">
        <v>615</v>
      </c>
      <c r="F769" s="252" t="s">
        <v>619</v>
      </c>
      <c r="G769" s="253" t="s">
        <v>34</v>
      </c>
      <c r="H769" s="253" t="s">
        <v>1338</v>
      </c>
      <c r="I769" s="253" t="s">
        <v>34</v>
      </c>
      <c r="J769" s="253" t="s">
        <v>611</v>
      </c>
      <c r="K769" s="254" t="s">
        <v>48</v>
      </c>
      <c r="L769" s="255"/>
      <c r="M769" s="255"/>
      <c r="N769" s="254">
        <v>380776</v>
      </c>
      <c r="O769" s="254" t="s">
        <v>1321</v>
      </c>
      <c r="P769" s="258">
        <v>41934</v>
      </c>
      <c r="Q769" s="259">
        <v>132182361.81999999</v>
      </c>
      <c r="R769" s="259">
        <v>156048950.4298017</v>
      </c>
      <c r="S769" s="254">
        <v>30</v>
      </c>
      <c r="T769" s="256">
        <v>0.13072430193036855</v>
      </c>
      <c r="U769" s="256">
        <v>1.4703756433467836</v>
      </c>
      <c r="V769" s="256">
        <v>0.115711464744231</v>
      </c>
      <c r="W769" s="256">
        <v>1.0619660833624263</v>
      </c>
      <c r="X769" s="256">
        <v>0.14149968826981607</v>
      </c>
      <c r="Y769" s="256">
        <v>0.99499615648511142</v>
      </c>
      <c r="Z769" s="256">
        <v>0.26738778126439633</v>
      </c>
      <c r="AA769" s="256">
        <v>1.4611575603536602</v>
      </c>
      <c r="AB769" s="256">
        <v>7.0021765879937997E-2</v>
      </c>
      <c r="AC769" s="260">
        <v>0.12159342409802769</v>
      </c>
      <c r="AD769" s="405">
        <v>20216114000180</v>
      </c>
      <c r="AE769" s="257" t="s">
        <v>2254</v>
      </c>
      <c r="AF769" s="257" t="s">
        <v>2121</v>
      </c>
      <c r="AG769" s="261" t="s">
        <v>59</v>
      </c>
      <c r="AH769" s="261" t="s">
        <v>2110</v>
      </c>
      <c r="AI769" s="261">
        <v>200000</v>
      </c>
      <c r="AJ769" s="261">
        <v>50000</v>
      </c>
      <c r="AK769" s="261">
        <v>200000</v>
      </c>
      <c r="AL769" s="256">
        <v>1.95E-2</v>
      </c>
      <c r="AM769" s="256">
        <v>0.2</v>
      </c>
      <c r="AN769" s="256" t="s">
        <v>64</v>
      </c>
      <c r="AO769" s="254" t="s">
        <v>1324</v>
      </c>
      <c r="AP769" s="257" t="s">
        <v>13</v>
      </c>
      <c r="AQ769" s="263" t="s">
        <v>664</v>
      </c>
      <c r="AR769" s="256" t="s">
        <v>34</v>
      </c>
      <c r="AS769" s="256" t="s">
        <v>34</v>
      </c>
      <c r="AT769" s="256"/>
      <c r="AX769" s="508"/>
      <c r="AY769" s="509"/>
      <c r="AZ769" s="509"/>
      <c r="BA769" s="509"/>
      <c r="BB769" s="510"/>
      <c r="BC769" s="509"/>
      <c r="BD769" s="509"/>
      <c r="BE769" s="509"/>
      <c r="BF769" s="509"/>
      <c r="BG769" s="510"/>
      <c r="BH769" s="510"/>
      <c r="BI769" s="511"/>
      <c r="BJ769" s="511"/>
      <c r="BK769" s="511"/>
      <c r="BL769" s="510"/>
      <c r="BM769" s="510"/>
      <c r="BN769" s="510"/>
      <c r="BO769" s="510"/>
      <c r="BP769" s="510"/>
      <c r="BQ769" s="510"/>
      <c r="BR769" s="510"/>
      <c r="BS769" s="510"/>
      <c r="BT769" s="513"/>
      <c r="BU769" s="514"/>
      <c r="BV769" s="512"/>
      <c r="BW769" s="515"/>
    </row>
    <row r="770" spans="2:75" ht="15.75" customHeight="1">
      <c r="B770" s="250" t="s">
        <v>967</v>
      </c>
      <c r="C770" s="251">
        <v>41252582000180</v>
      </c>
      <c r="D770" s="252" t="s">
        <v>13</v>
      </c>
      <c r="E770" s="252" t="s">
        <v>616</v>
      </c>
      <c r="F770" s="252" t="s">
        <v>619</v>
      </c>
      <c r="G770" s="253" t="s">
        <v>34</v>
      </c>
      <c r="H770" s="253" t="s">
        <v>1338</v>
      </c>
      <c r="I770" s="253" t="s">
        <v>34</v>
      </c>
      <c r="J770" s="253"/>
      <c r="K770" s="254"/>
      <c r="L770" s="255"/>
      <c r="M770" s="255" t="s">
        <v>34</v>
      </c>
      <c r="N770" s="254">
        <v>581038</v>
      </c>
      <c r="O770" s="254" t="s">
        <v>1321</v>
      </c>
      <c r="P770" s="258">
        <v>44286</v>
      </c>
      <c r="Q770" s="259">
        <v>1484753.28</v>
      </c>
      <c r="R770" s="259">
        <v>4203609.6963492073</v>
      </c>
      <c r="S770" s="254">
        <v>30</v>
      </c>
      <c r="T770" s="256">
        <v>-0.1668159356924801</v>
      </c>
      <c r="U770" s="256">
        <v>-2.1564621600592262</v>
      </c>
      <c r="V770" s="256">
        <v>-0.1290356690960669</v>
      </c>
      <c r="W770" s="256">
        <v>-1.2649810182622734</v>
      </c>
      <c r="X770" s="256" t="s">
        <v>1417</v>
      </c>
      <c r="Y770" s="256" t="s">
        <v>1417</v>
      </c>
      <c r="Z770" s="256" t="s">
        <v>1417</v>
      </c>
      <c r="AA770" s="256" t="s">
        <v>1417</v>
      </c>
      <c r="AB770" s="256">
        <v>0.12036943254591737</v>
      </c>
      <c r="AC770" s="260">
        <v>-1.8944841589600219</v>
      </c>
      <c r="AD770" s="405">
        <v>41252413000140</v>
      </c>
      <c r="AE770" s="257" t="s">
        <v>2266</v>
      </c>
      <c r="AF770" s="257" t="s">
        <v>2115</v>
      </c>
      <c r="AG770" s="261" t="s">
        <v>719</v>
      </c>
      <c r="AH770" s="261" t="s">
        <v>2110</v>
      </c>
      <c r="AI770" s="261">
        <v>10000</v>
      </c>
      <c r="AJ770" s="261">
        <v>5000</v>
      </c>
      <c r="AK770" s="261">
        <v>5000</v>
      </c>
      <c r="AL770" s="256">
        <v>1.8700000000000001E-2</v>
      </c>
      <c r="AM770" s="256">
        <v>0.2</v>
      </c>
      <c r="AN770" s="256" t="s">
        <v>64</v>
      </c>
      <c r="AO770" s="254" t="s">
        <v>1324</v>
      </c>
      <c r="AP770" s="257" t="s">
        <v>13</v>
      </c>
      <c r="AQ770" s="263" t="s">
        <v>679</v>
      </c>
      <c r="AR770" s="256">
        <v>4.9872900000000001E-3</v>
      </c>
      <c r="AS770" s="256">
        <v>4.9872900000000001E-3</v>
      </c>
      <c r="AT770" s="256"/>
      <c r="AX770" s="508"/>
      <c r="AY770" s="509"/>
      <c r="AZ770" s="509"/>
      <c r="BA770" s="509"/>
      <c r="BB770" s="510"/>
      <c r="BC770" s="509"/>
      <c r="BD770" s="509"/>
      <c r="BE770" s="509"/>
      <c r="BF770" s="509"/>
      <c r="BG770" s="510"/>
      <c r="BH770" s="510"/>
      <c r="BI770" s="511"/>
      <c r="BJ770" s="511"/>
      <c r="BK770" s="511"/>
      <c r="BL770" s="510"/>
      <c r="BM770" s="510"/>
      <c r="BN770" s="510"/>
      <c r="BO770" s="510"/>
      <c r="BP770" s="510"/>
      <c r="BQ770" s="510"/>
      <c r="BR770" s="510"/>
      <c r="BS770" s="510"/>
      <c r="BT770" s="513"/>
      <c r="BU770" s="514"/>
      <c r="BV770" s="512"/>
      <c r="BW770" s="515"/>
    </row>
    <row r="771" spans="2:75" ht="15.75" customHeight="1">
      <c r="B771" s="250" t="s">
        <v>528</v>
      </c>
      <c r="C771" s="251">
        <v>27500387000100</v>
      </c>
      <c r="D771" s="252" t="s">
        <v>13</v>
      </c>
      <c r="E771" s="252" t="s">
        <v>616</v>
      </c>
      <c r="F771" s="252" t="s">
        <v>619</v>
      </c>
      <c r="G771" s="253" t="s">
        <v>34</v>
      </c>
      <c r="H771" s="253" t="s">
        <v>1338</v>
      </c>
      <c r="I771" s="253" t="s">
        <v>34</v>
      </c>
      <c r="J771" s="253" t="s">
        <v>611</v>
      </c>
      <c r="K771" s="254" t="s">
        <v>48</v>
      </c>
      <c r="L771" s="255"/>
      <c r="M771" s="255" t="s">
        <v>1414</v>
      </c>
      <c r="N771" s="254">
        <v>443311</v>
      </c>
      <c r="O771" s="254" t="s">
        <v>1321</v>
      </c>
      <c r="P771" s="258">
        <v>42886</v>
      </c>
      <c r="Q771" s="259">
        <v>35752537.539999999</v>
      </c>
      <c r="R771" s="259">
        <v>27092421.406111117</v>
      </c>
      <c r="S771" s="254">
        <v>30</v>
      </c>
      <c r="T771" s="256">
        <v>0.11350999590294064</v>
      </c>
      <c r="U771" s="256">
        <v>1.4673658720735978</v>
      </c>
      <c r="V771" s="256">
        <v>0.13325075646313445</v>
      </c>
      <c r="W771" s="256">
        <v>1.3063029685959278</v>
      </c>
      <c r="X771" s="256">
        <v>0.27277960605910923</v>
      </c>
      <c r="Y771" s="256">
        <v>2.0685373060394632</v>
      </c>
      <c r="Z771" s="256">
        <v>0.28896674041527293</v>
      </c>
      <c r="AA771" s="256">
        <v>1.6425806321458851</v>
      </c>
      <c r="AB771" s="256">
        <v>8.113872675988841E-2</v>
      </c>
      <c r="AC771" s="260">
        <v>0.3851267910746311</v>
      </c>
      <c r="AD771" s="405">
        <v>0</v>
      </c>
      <c r="AE771" s="257" t="s">
        <v>2272</v>
      </c>
      <c r="AF771" s="257" t="s">
        <v>976</v>
      </c>
      <c r="AG771" s="261" t="s">
        <v>976</v>
      </c>
      <c r="AH771" s="261" t="s">
        <v>2113</v>
      </c>
      <c r="AI771" s="261">
        <v>5000</v>
      </c>
      <c r="AJ771" s="261">
        <v>5000</v>
      </c>
      <c r="AK771" s="261">
        <v>5000</v>
      </c>
      <c r="AL771" s="256">
        <v>1.106E-2</v>
      </c>
      <c r="AM771" s="256">
        <v>0.2</v>
      </c>
      <c r="AN771" s="256" t="s">
        <v>64</v>
      </c>
      <c r="AO771" s="254" t="s">
        <v>1324</v>
      </c>
      <c r="AP771" s="257" t="s">
        <v>13</v>
      </c>
      <c r="AQ771" s="263" t="s">
        <v>668</v>
      </c>
      <c r="AR771" s="256">
        <v>2.2200000000000002E-3</v>
      </c>
      <c r="AS771" s="256">
        <v>2.2200000000000002E-3</v>
      </c>
      <c r="AT771" s="256"/>
      <c r="AX771" s="508"/>
      <c r="AY771" s="509"/>
      <c r="AZ771" s="509"/>
      <c r="BA771" s="509"/>
      <c r="BB771" s="510"/>
      <c r="BC771" s="509"/>
      <c r="BD771" s="509"/>
      <c r="BE771" s="509"/>
      <c r="BF771" s="509"/>
      <c r="BG771" s="510"/>
      <c r="BH771" s="510"/>
      <c r="BI771" s="511"/>
      <c r="BJ771" s="511"/>
      <c r="BK771" s="511"/>
      <c r="BL771" s="510"/>
      <c r="BM771" s="510"/>
      <c r="BN771" s="510"/>
      <c r="BO771" s="510"/>
      <c r="BP771" s="510"/>
      <c r="BQ771" s="510"/>
      <c r="BR771" s="510"/>
      <c r="BS771" s="510"/>
      <c r="BT771" s="513"/>
      <c r="BU771" s="514"/>
      <c r="BV771" s="512"/>
      <c r="BW771" s="515"/>
    </row>
    <row r="772" spans="2:75" ht="15.75" customHeight="1">
      <c r="B772" s="250" t="s">
        <v>225</v>
      </c>
      <c r="C772" s="251">
        <v>6170653000103</v>
      </c>
      <c r="D772" s="252" t="s">
        <v>13</v>
      </c>
      <c r="E772" s="252" t="s">
        <v>615</v>
      </c>
      <c r="F772" s="252" t="s">
        <v>619</v>
      </c>
      <c r="G772" s="253" t="s">
        <v>34</v>
      </c>
      <c r="H772" s="253" t="s">
        <v>1338</v>
      </c>
      <c r="I772" s="253" t="s">
        <v>34</v>
      </c>
      <c r="J772" s="253"/>
      <c r="K772" s="254" t="s">
        <v>48</v>
      </c>
      <c r="L772" s="255"/>
      <c r="M772" s="255" t="s">
        <v>34</v>
      </c>
      <c r="N772" s="254">
        <v>132500</v>
      </c>
      <c r="O772" s="254" t="s">
        <v>1324</v>
      </c>
      <c r="P772" s="258">
        <v>38279</v>
      </c>
      <c r="Q772" s="259">
        <v>16354400.18</v>
      </c>
      <c r="R772" s="259">
        <v>23583605.828492075</v>
      </c>
      <c r="S772" s="254">
        <v>30</v>
      </c>
      <c r="T772" s="256">
        <v>-5.8670249081657522E-2</v>
      </c>
      <c r="U772" s="256">
        <v>-0.7584417612180645</v>
      </c>
      <c r="V772" s="256">
        <v>-9.5850595688133255E-2</v>
      </c>
      <c r="W772" s="256">
        <v>-0.93965633676336735</v>
      </c>
      <c r="X772" s="256">
        <v>-1.7311860986642058E-2</v>
      </c>
      <c r="Y772" s="256">
        <v>-0.13127898674389335</v>
      </c>
      <c r="Z772" s="256">
        <v>0.15744126749386389</v>
      </c>
      <c r="AA772" s="256">
        <v>0.89494720504606518</v>
      </c>
      <c r="AB772" s="256">
        <v>0.10218916153230279</v>
      </c>
      <c r="AC772" s="260">
        <v>-1.8856639504643267</v>
      </c>
      <c r="AD772" s="405">
        <v>0</v>
      </c>
      <c r="AE772" s="257" t="s">
        <v>2264</v>
      </c>
      <c r="AF772" s="257" t="s">
        <v>2118</v>
      </c>
      <c r="AG772" s="261" t="s">
        <v>1433</v>
      </c>
      <c r="AH772" s="261" t="s">
        <v>2113</v>
      </c>
      <c r="AI772" s="261">
        <v>5000</v>
      </c>
      <c r="AJ772" s="261">
        <v>1000</v>
      </c>
      <c r="AK772" s="261">
        <v>5000</v>
      </c>
      <c r="AL772" s="256">
        <v>0.02</v>
      </c>
      <c r="AM772" s="256">
        <v>0.2</v>
      </c>
      <c r="AN772" s="256" t="s">
        <v>64</v>
      </c>
      <c r="AO772" s="254" t="s">
        <v>1324</v>
      </c>
      <c r="AP772" s="257" t="s">
        <v>13</v>
      </c>
      <c r="AQ772" s="263" t="s">
        <v>674</v>
      </c>
      <c r="AR772" s="256">
        <v>5.3333333333333332E-3</v>
      </c>
      <c r="AS772" s="256">
        <v>5.3333333333333332E-3</v>
      </c>
      <c r="AT772" s="256"/>
      <c r="AX772" s="508"/>
      <c r="AY772" s="509"/>
      <c r="AZ772" s="509"/>
      <c r="BA772" s="509"/>
      <c r="BB772" s="510"/>
      <c r="BC772" s="509"/>
      <c r="BD772" s="509"/>
      <c r="BE772" s="509"/>
      <c r="BF772" s="509"/>
      <c r="BG772" s="510"/>
      <c r="BH772" s="510"/>
      <c r="BI772" s="511"/>
      <c r="BJ772" s="511"/>
      <c r="BK772" s="511"/>
      <c r="BL772" s="510"/>
      <c r="BM772" s="510"/>
      <c r="BN772" s="510"/>
      <c r="BO772" s="510"/>
      <c r="BP772" s="510"/>
      <c r="BQ772" s="510"/>
      <c r="BR772" s="510"/>
      <c r="BS772" s="510"/>
      <c r="BT772" s="513"/>
      <c r="BU772" s="514"/>
      <c r="BV772" s="512"/>
      <c r="BW772" s="515"/>
    </row>
    <row r="773" spans="2:75" ht="15.75" customHeight="1">
      <c r="B773" s="250" t="s">
        <v>259</v>
      </c>
      <c r="C773" s="251">
        <v>29762315000158</v>
      </c>
      <c r="D773" s="252" t="s">
        <v>13</v>
      </c>
      <c r="E773" s="252" t="s">
        <v>615</v>
      </c>
      <c r="F773" s="252" t="s">
        <v>619</v>
      </c>
      <c r="G773" s="253" t="s">
        <v>34</v>
      </c>
      <c r="H773" s="253" t="s">
        <v>1337</v>
      </c>
      <c r="I773" s="253" t="s">
        <v>34</v>
      </c>
      <c r="J773" s="253" t="s">
        <v>611</v>
      </c>
      <c r="K773" s="254" t="s">
        <v>48</v>
      </c>
      <c r="L773" s="255"/>
      <c r="M773" s="255" t="s">
        <v>34</v>
      </c>
      <c r="N773" s="254">
        <v>469106</v>
      </c>
      <c r="O773" s="254" t="s">
        <v>1321</v>
      </c>
      <c r="P773" s="258">
        <v>43199</v>
      </c>
      <c r="Q773" s="259">
        <v>1991493374.48</v>
      </c>
      <c r="R773" s="259">
        <v>2115905402.9671814</v>
      </c>
      <c r="S773" s="254">
        <v>30</v>
      </c>
      <c r="T773" s="256">
        <v>0.12405656846661972</v>
      </c>
      <c r="U773" s="256">
        <v>1.6037034740987381</v>
      </c>
      <c r="V773" s="256">
        <v>0.15933407918655074</v>
      </c>
      <c r="W773" s="256">
        <v>1.5620067470121575</v>
      </c>
      <c r="X773" s="256">
        <v>0.21378162323729244</v>
      </c>
      <c r="Y773" s="256">
        <v>1.6211448846956242</v>
      </c>
      <c r="Z773" s="256">
        <v>0.27928447250622002</v>
      </c>
      <c r="AA773" s="256">
        <v>1.5875434824732186</v>
      </c>
      <c r="AB773" s="256">
        <v>3.5110726074099992E-2</v>
      </c>
      <c r="AC773" s="260">
        <v>1.4625481745806399</v>
      </c>
      <c r="AD773" s="405">
        <v>0</v>
      </c>
      <c r="AE773" s="257" t="s">
        <v>2295</v>
      </c>
      <c r="AF773" s="257" t="s">
        <v>2112</v>
      </c>
      <c r="AG773" s="261" t="s">
        <v>59</v>
      </c>
      <c r="AH773" s="261" t="s">
        <v>2113</v>
      </c>
      <c r="AI773" s="261">
        <v>1</v>
      </c>
      <c r="AJ773" s="261">
        <v>1</v>
      </c>
      <c r="AK773" s="261">
        <v>1</v>
      </c>
      <c r="AL773" s="256">
        <v>0.02</v>
      </c>
      <c r="AM773" s="256">
        <v>0.2</v>
      </c>
      <c r="AN773" s="256" t="s">
        <v>64</v>
      </c>
      <c r="AO773" s="254" t="s">
        <v>1324</v>
      </c>
      <c r="AP773" s="257" t="s">
        <v>13</v>
      </c>
      <c r="AQ773" s="263" t="s">
        <v>664</v>
      </c>
      <c r="AR773" s="256">
        <v>4.6666666666666662E-3</v>
      </c>
      <c r="AS773" s="256">
        <v>4.6666666666666662E-3</v>
      </c>
      <c r="AT773" s="256"/>
      <c r="AX773" s="508"/>
      <c r="AY773" s="509"/>
      <c r="AZ773" s="509"/>
      <c r="BA773" s="509"/>
      <c r="BB773" s="510"/>
      <c r="BC773" s="509"/>
      <c r="BD773" s="509"/>
      <c r="BE773" s="509"/>
      <c r="BF773" s="509"/>
      <c r="BG773" s="510"/>
      <c r="BH773" s="510"/>
      <c r="BI773" s="511"/>
      <c r="BJ773" s="511"/>
      <c r="BK773" s="511"/>
      <c r="BL773" s="510"/>
      <c r="BM773" s="510"/>
      <c r="BN773" s="510"/>
      <c r="BO773" s="510"/>
      <c r="BP773" s="510"/>
      <c r="BQ773" s="510"/>
      <c r="BR773" s="510"/>
      <c r="BS773" s="510"/>
      <c r="BT773" s="513"/>
      <c r="BU773" s="514"/>
      <c r="BV773" s="512"/>
      <c r="BW773" s="515"/>
    </row>
    <row r="774" spans="2:75" ht="15.75" customHeight="1">
      <c r="B774" s="250" t="s">
        <v>282</v>
      </c>
      <c r="C774" s="251">
        <v>32973321000169</v>
      </c>
      <c r="D774" s="252" t="s">
        <v>13</v>
      </c>
      <c r="E774" s="252" t="s">
        <v>615</v>
      </c>
      <c r="F774" s="252" t="s">
        <v>619</v>
      </c>
      <c r="G774" s="253" t="s">
        <v>34</v>
      </c>
      <c r="H774" s="253" t="s">
        <v>865</v>
      </c>
      <c r="I774" s="253" t="s">
        <v>34</v>
      </c>
      <c r="J774" s="253"/>
      <c r="K774" s="254" t="s">
        <v>48</v>
      </c>
      <c r="L774" s="255"/>
      <c r="M774" s="255" t="s">
        <v>34</v>
      </c>
      <c r="N774" s="254">
        <v>505961</v>
      </c>
      <c r="O774" s="254" t="s">
        <v>1321</v>
      </c>
      <c r="P774" s="258">
        <v>43707</v>
      </c>
      <c r="Q774" s="259">
        <v>10738687.460000001</v>
      </c>
      <c r="R774" s="259">
        <v>12539973.887698414</v>
      </c>
      <c r="S774" s="254">
        <v>30</v>
      </c>
      <c r="T774" s="256">
        <v>5.0229444671130885E-2</v>
      </c>
      <c r="U774" s="256">
        <v>0.64932583511543462</v>
      </c>
      <c r="V774" s="256">
        <v>4.4129570927176065E-2</v>
      </c>
      <c r="W774" s="256">
        <v>0.43261735269010138</v>
      </c>
      <c r="X774" s="256">
        <v>2.861631399831932E-2</v>
      </c>
      <c r="Y774" s="256">
        <v>0.21700270750459244</v>
      </c>
      <c r="Z774" s="256" t="s">
        <v>1417</v>
      </c>
      <c r="AA774" s="256" t="s">
        <v>1417</v>
      </c>
      <c r="AB774" s="256">
        <v>5.5340988834899997E-2</v>
      </c>
      <c r="AC774" s="260">
        <v>-0.94757005293092444</v>
      </c>
      <c r="AD774" s="405">
        <v>32905708000188</v>
      </c>
      <c r="AE774" s="257" t="s">
        <v>2315</v>
      </c>
      <c r="AF774" s="257" t="s">
        <v>2112</v>
      </c>
      <c r="AG774" s="261" t="s">
        <v>59</v>
      </c>
      <c r="AH774" s="261" t="s">
        <v>2113</v>
      </c>
      <c r="AI774" s="261">
        <v>5000</v>
      </c>
      <c r="AJ774" s="261">
        <v>1000</v>
      </c>
      <c r="AK774" s="261">
        <v>5000</v>
      </c>
      <c r="AL774" s="256">
        <v>1.8749999999999999E-2</v>
      </c>
      <c r="AM774" s="256">
        <v>0.2</v>
      </c>
      <c r="AN774" s="256" t="s">
        <v>64</v>
      </c>
      <c r="AO774" s="254" t="s">
        <v>1324</v>
      </c>
      <c r="AP774" s="257" t="s">
        <v>13</v>
      </c>
      <c r="AQ774" s="263" t="s">
        <v>664</v>
      </c>
      <c r="AR774" s="256">
        <v>3.7599999999999999E-3</v>
      </c>
      <c r="AS774" s="256">
        <v>3.7599999999999999E-3</v>
      </c>
      <c r="AT774" s="256"/>
      <c r="AX774" s="508"/>
      <c r="AY774" s="509"/>
      <c r="AZ774" s="509"/>
      <c r="BA774" s="509"/>
      <c r="BB774" s="510"/>
      <c r="BC774" s="509"/>
      <c r="BD774" s="509"/>
      <c r="BE774" s="509"/>
      <c r="BF774" s="509"/>
      <c r="BG774" s="510"/>
      <c r="BH774" s="510"/>
      <c r="BI774" s="511"/>
      <c r="BJ774" s="511"/>
      <c r="BK774" s="511"/>
      <c r="BL774" s="510"/>
      <c r="BM774" s="510"/>
      <c r="BN774" s="510"/>
      <c r="BO774" s="510"/>
      <c r="BP774" s="510"/>
      <c r="BQ774" s="510"/>
      <c r="BR774" s="510"/>
      <c r="BS774" s="510"/>
      <c r="BT774" s="513"/>
      <c r="BU774" s="514"/>
      <c r="BV774" s="512"/>
      <c r="BW774" s="515"/>
    </row>
    <row r="775" spans="2:75" ht="15.75" customHeight="1">
      <c r="B775" s="250" t="s">
        <v>1611</v>
      </c>
      <c r="C775" s="251">
        <v>30129261000177</v>
      </c>
      <c r="D775" s="252" t="s">
        <v>13</v>
      </c>
      <c r="E775" s="252" t="s">
        <v>615</v>
      </c>
      <c r="F775" s="252" t="s">
        <v>619</v>
      </c>
      <c r="G775" s="253" t="s">
        <v>34</v>
      </c>
      <c r="H775" s="253" t="s">
        <v>1337</v>
      </c>
      <c r="I775" s="253" t="s">
        <v>34</v>
      </c>
      <c r="J775" s="253" t="s">
        <v>611</v>
      </c>
      <c r="K775" s="254" t="s">
        <v>48</v>
      </c>
      <c r="L775" s="255"/>
      <c r="M775" s="255"/>
      <c r="N775" s="254">
        <v>470503</v>
      </c>
      <c r="O775" s="254" t="s">
        <v>1324</v>
      </c>
      <c r="P775" s="258">
        <v>43291</v>
      </c>
      <c r="Q775" s="259">
        <v>461513433.5</v>
      </c>
      <c r="R775" s="259">
        <v>466575455.65781742</v>
      </c>
      <c r="S775" s="254">
        <v>30</v>
      </c>
      <c r="T775" s="256">
        <v>0.22097519922564857</v>
      </c>
      <c r="U775" s="256">
        <v>2.4855099314140254</v>
      </c>
      <c r="V775" s="256">
        <v>0.28341682891647024</v>
      </c>
      <c r="W775" s="256">
        <v>2.6011170148844616</v>
      </c>
      <c r="X775" s="256">
        <v>0.36589815702687223</v>
      </c>
      <c r="Y775" s="256">
        <v>2.5729191658182926</v>
      </c>
      <c r="Z775" s="256">
        <v>0.42576897569269212</v>
      </c>
      <c r="AA775" s="256">
        <v>2.3266416844315536</v>
      </c>
      <c r="AB775" s="256">
        <v>4.2503957652854307E-2</v>
      </c>
      <c r="AC775" s="260">
        <v>3.4609400350454886</v>
      </c>
      <c r="AD775" s="405">
        <v>23565803000199</v>
      </c>
      <c r="AE775" s="257" t="s">
        <v>2318</v>
      </c>
      <c r="AF775" s="257" t="s">
        <v>2318</v>
      </c>
      <c r="AG775" s="261" t="s">
        <v>1436</v>
      </c>
      <c r="AH775" s="261" t="s">
        <v>2113</v>
      </c>
      <c r="AI775" s="261">
        <v>10000</v>
      </c>
      <c r="AJ775" s="261">
        <v>10000</v>
      </c>
      <c r="AK775" s="261">
        <v>10000</v>
      </c>
      <c r="AL775" s="256">
        <v>0</v>
      </c>
      <c r="AM775" s="256" t="s">
        <v>34</v>
      </c>
      <c r="AN775" s="256" t="s">
        <v>64</v>
      </c>
      <c r="AO775" s="254" t="s">
        <v>1324</v>
      </c>
      <c r="AP775" s="257" t="s">
        <v>13</v>
      </c>
      <c r="AQ775" s="263" t="s">
        <v>664</v>
      </c>
      <c r="AR775" s="256" t="s">
        <v>34</v>
      </c>
      <c r="AS775" s="256" t="s">
        <v>34</v>
      </c>
      <c r="AT775" s="256"/>
      <c r="AX775" s="508"/>
      <c r="AY775" s="509"/>
      <c r="AZ775" s="509"/>
      <c r="BA775" s="509"/>
      <c r="BB775" s="510"/>
      <c r="BC775" s="509"/>
      <c r="BD775" s="509"/>
      <c r="BE775" s="509"/>
      <c r="BF775" s="509"/>
      <c r="BG775" s="510"/>
      <c r="BH775" s="510"/>
      <c r="BI775" s="511"/>
      <c r="BJ775" s="511"/>
      <c r="BK775" s="511"/>
      <c r="BL775" s="510"/>
      <c r="BM775" s="510"/>
      <c r="BN775" s="510"/>
      <c r="BO775" s="510"/>
      <c r="BP775" s="510"/>
      <c r="BQ775" s="510"/>
      <c r="BR775" s="510"/>
      <c r="BS775" s="510"/>
      <c r="BT775" s="513"/>
      <c r="BU775" s="514"/>
      <c r="BV775" s="512"/>
      <c r="BW775" s="515"/>
    </row>
    <row r="776" spans="2:75" ht="15.75" customHeight="1">
      <c r="B776" s="250" t="s">
        <v>1612</v>
      </c>
      <c r="C776" s="251">
        <v>33435693000102</v>
      </c>
      <c r="D776" s="252" t="s">
        <v>13</v>
      </c>
      <c r="E776" s="252" t="s">
        <v>615</v>
      </c>
      <c r="F776" s="252" t="s">
        <v>619</v>
      </c>
      <c r="G776" s="253" t="s">
        <v>34</v>
      </c>
      <c r="H776" s="253" t="s">
        <v>1337</v>
      </c>
      <c r="I776" s="253" t="s">
        <v>34</v>
      </c>
      <c r="J776" s="253" t="s">
        <v>611</v>
      </c>
      <c r="K776" s="254" t="s">
        <v>48</v>
      </c>
      <c r="L776" s="255"/>
      <c r="M776" s="255"/>
      <c r="N776" s="254">
        <v>503010</v>
      </c>
      <c r="O776" s="254" t="s">
        <v>1321</v>
      </c>
      <c r="P776" s="258">
        <v>43670</v>
      </c>
      <c r="Q776" s="259">
        <v>655293977.88999999</v>
      </c>
      <c r="R776" s="259">
        <v>524242505.33714288</v>
      </c>
      <c r="S776" s="254">
        <v>30</v>
      </c>
      <c r="T776" s="256">
        <v>0.22197089656817393</v>
      </c>
      <c r="U776" s="256">
        <v>2.4967094490169135</v>
      </c>
      <c r="V776" s="256">
        <v>0.28436069665820574</v>
      </c>
      <c r="W776" s="256">
        <v>2.6097795577977205</v>
      </c>
      <c r="X776" s="256">
        <v>0.36477696349635935</v>
      </c>
      <c r="Y776" s="256">
        <v>2.5650351678591661</v>
      </c>
      <c r="Z776" s="256">
        <v>0.42405193466308044</v>
      </c>
      <c r="AA776" s="256">
        <v>2.3172588043687816</v>
      </c>
      <c r="AB776" s="256">
        <v>4.2686509441061796E-2</v>
      </c>
      <c r="AC776" s="260">
        <v>3.4635592502816661</v>
      </c>
      <c r="AD776" s="405">
        <v>32076219000160</v>
      </c>
      <c r="AE776" s="257" t="s">
        <v>2318</v>
      </c>
      <c r="AF776" s="257" t="s">
        <v>2318</v>
      </c>
      <c r="AG776" s="261" t="s">
        <v>1436</v>
      </c>
      <c r="AH776" s="261" t="s">
        <v>2113</v>
      </c>
      <c r="AI776" s="261">
        <v>1000</v>
      </c>
      <c r="AJ776" s="261">
        <v>100</v>
      </c>
      <c r="AK776" s="261">
        <v>1000</v>
      </c>
      <c r="AL776" s="256">
        <v>0</v>
      </c>
      <c r="AM776" s="256" t="s">
        <v>34</v>
      </c>
      <c r="AN776" s="256" t="s">
        <v>64</v>
      </c>
      <c r="AO776" s="254" t="s">
        <v>1324</v>
      </c>
      <c r="AP776" s="257" t="s">
        <v>13</v>
      </c>
      <c r="AQ776" s="263" t="s">
        <v>664</v>
      </c>
      <c r="AR776" s="256" t="s">
        <v>34</v>
      </c>
      <c r="AS776" s="256" t="s">
        <v>34</v>
      </c>
      <c r="AT776" s="256"/>
      <c r="AX776" s="508"/>
      <c r="AY776" s="509"/>
      <c r="AZ776" s="509"/>
      <c r="BA776" s="509"/>
      <c r="BB776" s="510"/>
      <c r="BC776" s="509"/>
      <c r="BD776" s="509"/>
      <c r="BE776" s="509"/>
      <c r="BF776" s="509"/>
      <c r="BG776" s="510"/>
      <c r="BH776" s="510"/>
      <c r="BI776" s="511"/>
      <c r="BJ776" s="511"/>
      <c r="BK776" s="511"/>
      <c r="BL776" s="510"/>
      <c r="BM776" s="510"/>
      <c r="BN776" s="510"/>
      <c r="BO776" s="510"/>
      <c r="BP776" s="510"/>
      <c r="BQ776" s="510"/>
      <c r="BR776" s="510"/>
      <c r="BS776" s="510"/>
      <c r="BT776" s="513"/>
      <c r="BU776" s="514"/>
      <c r="BV776" s="512"/>
      <c r="BW776" s="515"/>
    </row>
    <row r="777" spans="2:75" ht="15.75" customHeight="1">
      <c r="B777" s="250" t="s">
        <v>1625</v>
      </c>
      <c r="C777" s="251">
        <v>17253889000111</v>
      </c>
      <c r="D777" s="252" t="s">
        <v>13</v>
      </c>
      <c r="E777" s="252" t="s">
        <v>615</v>
      </c>
      <c r="F777" s="252" t="s">
        <v>619</v>
      </c>
      <c r="G777" s="253" t="s">
        <v>34</v>
      </c>
      <c r="H777" s="253" t="s">
        <v>1338</v>
      </c>
      <c r="I777" s="253" t="s">
        <v>34</v>
      </c>
      <c r="J777" s="253"/>
      <c r="K777" s="254" t="s">
        <v>48</v>
      </c>
      <c r="L777" s="255"/>
      <c r="M777" s="255"/>
      <c r="N777" s="254">
        <v>337064</v>
      </c>
      <c r="O777" s="254" t="s">
        <v>1321</v>
      </c>
      <c r="P777" s="258">
        <v>41411</v>
      </c>
      <c r="Q777" s="259">
        <v>19451886.559999999</v>
      </c>
      <c r="R777" s="259">
        <v>38393069.615833327</v>
      </c>
      <c r="S777" s="254">
        <v>30</v>
      </c>
      <c r="T777" s="256">
        <v>0.11167126829320706</v>
      </c>
      <c r="U777" s="256">
        <v>1.2560687686627503</v>
      </c>
      <c r="V777" s="256">
        <v>8.3551272717377945E-2</v>
      </c>
      <c r="W777" s="256">
        <v>0.76680921846202388</v>
      </c>
      <c r="X777" s="256">
        <v>0.1030339129835407</v>
      </c>
      <c r="Y777" s="256">
        <v>0.72451288522105572</v>
      </c>
      <c r="Z777" s="256">
        <v>0.11705537623063744</v>
      </c>
      <c r="AA777" s="256">
        <v>0.63965655854077785</v>
      </c>
      <c r="AB777" s="256">
        <v>7.6990631990734471E-2</v>
      </c>
      <c r="AC777" s="260">
        <v>-0.26283048637722028</v>
      </c>
      <c r="AD777" s="405">
        <v>13106979000129</v>
      </c>
      <c r="AE777" s="257" t="s">
        <v>2318</v>
      </c>
      <c r="AF777" s="257" t="s">
        <v>2318</v>
      </c>
      <c r="AG777" s="261" t="s">
        <v>1436</v>
      </c>
      <c r="AH777" s="261" t="s">
        <v>2113</v>
      </c>
      <c r="AI777" s="261">
        <v>1000</v>
      </c>
      <c r="AJ777" s="261">
        <v>100</v>
      </c>
      <c r="AK777" s="261">
        <v>1000</v>
      </c>
      <c r="AL777" s="256">
        <v>0</v>
      </c>
      <c r="AM777" s="256" t="s">
        <v>34</v>
      </c>
      <c r="AN777" s="256" t="s">
        <v>64</v>
      </c>
      <c r="AO777" s="254" t="s">
        <v>1324</v>
      </c>
      <c r="AP777" s="257" t="s">
        <v>13</v>
      </c>
      <c r="AQ777" s="263" t="s">
        <v>664</v>
      </c>
      <c r="AR777" s="256" t="s">
        <v>34</v>
      </c>
      <c r="AS777" s="256" t="s">
        <v>34</v>
      </c>
      <c r="AT777" s="256"/>
      <c r="AW777" s="508"/>
      <c r="AX777" s="508"/>
      <c r="AY777" s="509"/>
      <c r="AZ777" s="509"/>
      <c r="BA777" s="509"/>
      <c r="BB777" s="510"/>
      <c r="BC777" s="509"/>
      <c r="BD777" s="509"/>
      <c r="BE777" s="509"/>
      <c r="BF777" s="509"/>
      <c r="BG777" s="510"/>
      <c r="BH777" s="510"/>
      <c r="BI777" s="511"/>
      <c r="BJ777" s="511"/>
      <c r="BK777" s="511"/>
      <c r="BL777" s="195"/>
      <c r="BM777" s="510"/>
      <c r="BN777" s="510"/>
      <c r="BO777" s="510"/>
      <c r="BP777" s="510"/>
      <c r="BQ777" s="510"/>
      <c r="BR777" s="510"/>
      <c r="BS777" s="510"/>
      <c r="BT777" s="513"/>
      <c r="BU777" s="514"/>
      <c r="BV777" s="512"/>
      <c r="BW777" s="515"/>
    </row>
    <row r="778" spans="2:75" ht="15.75" customHeight="1">
      <c r="B778" s="250" t="s">
        <v>1643</v>
      </c>
      <c r="C778" s="251">
        <v>32668773000137</v>
      </c>
      <c r="D778" s="252" t="s">
        <v>13</v>
      </c>
      <c r="E778" s="252" t="s">
        <v>615</v>
      </c>
      <c r="F778" s="252" t="s">
        <v>619</v>
      </c>
      <c r="G778" s="253" t="s">
        <v>34</v>
      </c>
      <c r="H778" s="253" t="s">
        <v>1337</v>
      </c>
      <c r="I778" s="253" t="s">
        <v>34</v>
      </c>
      <c r="J778" s="253" t="s">
        <v>611</v>
      </c>
      <c r="K778" s="254" t="s">
        <v>48</v>
      </c>
      <c r="L778" s="255"/>
      <c r="M778" s="255"/>
      <c r="N778" s="254">
        <v>517895</v>
      </c>
      <c r="O778" s="254" t="s">
        <v>1321</v>
      </c>
      <c r="P778" s="258">
        <v>43815</v>
      </c>
      <c r="Q778" s="259" t="s">
        <v>1393</v>
      </c>
      <c r="R778" s="259" t="s">
        <v>1417</v>
      </c>
      <c r="S778" s="254">
        <v>30</v>
      </c>
      <c r="T778" s="256" t="s">
        <v>1417</v>
      </c>
      <c r="U778" s="256" t="s">
        <v>1417</v>
      </c>
      <c r="V778" s="256" t="s">
        <v>1417</v>
      </c>
      <c r="W778" s="256" t="s">
        <v>1417</v>
      </c>
      <c r="X778" s="256" t="s">
        <v>1417</v>
      </c>
      <c r="Y778" s="256" t="s">
        <v>1417</v>
      </c>
      <c r="Z778" s="256" t="s">
        <v>1417</v>
      </c>
      <c r="AA778" s="256" t="s">
        <v>1417</v>
      </c>
      <c r="AB778" s="256" t="s">
        <v>1417</v>
      </c>
      <c r="AC778" s="260" t="s">
        <v>1417</v>
      </c>
      <c r="AD778" s="405">
        <v>21624757000126</v>
      </c>
      <c r="AE778" s="257" t="s">
        <v>2318</v>
      </c>
      <c r="AF778" s="257" t="s">
        <v>2318</v>
      </c>
      <c r="AG778" s="261" t="s">
        <v>1436</v>
      </c>
      <c r="AH778" s="261" t="s">
        <v>2113</v>
      </c>
      <c r="AI778" s="261">
        <v>1000</v>
      </c>
      <c r="AJ778" s="261">
        <v>1000</v>
      </c>
      <c r="AK778" s="261">
        <v>1000</v>
      </c>
      <c r="AL778" s="256">
        <v>0</v>
      </c>
      <c r="AM778" s="256" t="s">
        <v>34</v>
      </c>
      <c r="AN778" s="256" t="s">
        <v>64</v>
      </c>
      <c r="AO778" s="254" t="s">
        <v>1324</v>
      </c>
      <c r="AP778" s="257" t="s">
        <v>13</v>
      </c>
      <c r="AQ778" s="263" t="s">
        <v>664</v>
      </c>
      <c r="AR778" s="256" t="s">
        <v>34</v>
      </c>
      <c r="AS778" s="256" t="s">
        <v>34</v>
      </c>
      <c r="AT778" s="256"/>
      <c r="AX778" s="508"/>
      <c r="AY778" s="509"/>
      <c r="AZ778" s="509"/>
      <c r="BA778" s="509"/>
      <c r="BB778" s="510"/>
      <c r="BC778" s="509"/>
      <c r="BD778" s="509"/>
      <c r="BE778" s="509"/>
      <c r="BF778" s="509"/>
      <c r="BG778" s="510"/>
      <c r="BH778" s="510"/>
      <c r="BI778" s="511"/>
      <c r="BJ778" s="511"/>
      <c r="BK778" s="511"/>
      <c r="BL778" s="510"/>
      <c r="BM778" s="510"/>
      <c r="BN778" s="510"/>
      <c r="BO778" s="510"/>
      <c r="BP778" s="510"/>
      <c r="BQ778" s="510"/>
      <c r="BR778" s="510"/>
      <c r="BS778" s="510"/>
      <c r="BT778" s="513"/>
      <c r="BU778" s="514"/>
      <c r="BV778" s="512"/>
      <c r="BW778" s="515"/>
    </row>
    <row r="779" spans="2:75" ht="15.75" customHeight="1">
      <c r="B779" s="250" t="s">
        <v>284</v>
      </c>
      <c r="C779" s="251">
        <v>7187591000105</v>
      </c>
      <c r="D779" s="252" t="s">
        <v>13</v>
      </c>
      <c r="E779" s="252" t="s">
        <v>615</v>
      </c>
      <c r="F779" s="252" t="s">
        <v>619</v>
      </c>
      <c r="G779" s="253" t="s">
        <v>34</v>
      </c>
      <c r="H779" s="253" t="s">
        <v>865</v>
      </c>
      <c r="I779" s="253" t="s">
        <v>34</v>
      </c>
      <c r="J779" s="253"/>
      <c r="K779" s="254" t="s">
        <v>48</v>
      </c>
      <c r="L779" s="255"/>
      <c r="M779" s="255" t="s">
        <v>34</v>
      </c>
      <c r="N779" s="254">
        <v>153524</v>
      </c>
      <c r="O779" s="254" t="s">
        <v>1321</v>
      </c>
      <c r="P779" s="258">
        <v>38726</v>
      </c>
      <c r="Q779" s="259">
        <v>69149361.260000005</v>
      </c>
      <c r="R779" s="259">
        <v>84703956.472817451</v>
      </c>
      <c r="S779" s="254">
        <v>30</v>
      </c>
      <c r="T779" s="256">
        <v>7.4254874430111251E-2</v>
      </c>
      <c r="U779" s="256">
        <v>0.95990725492602147</v>
      </c>
      <c r="V779" s="256">
        <v>6.0932748092652256E-2</v>
      </c>
      <c r="W779" s="256">
        <v>0.59734467428829152</v>
      </c>
      <c r="X779" s="256">
        <v>4.9500623034709035E-2</v>
      </c>
      <c r="Y779" s="256">
        <v>0.37537221678259947</v>
      </c>
      <c r="Z779" s="256">
        <v>0.1655938260771046</v>
      </c>
      <c r="AA779" s="256">
        <v>0.9412889909970068</v>
      </c>
      <c r="AB779" s="256">
        <v>6.2065304550871961E-2</v>
      </c>
      <c r="AC779" s="260">
        <v>-0.58129953505372978</v>
      </c>
      <c r="AD779" s="405">
        <v>0</v>
      </c>
      <c r="AE779" s="257" t="s">
        <v>2320</v>
      </c>
      <c r="AF779" s="257" t="s">
        <v>2118</v>
      </c>
      <c r="AG779" s="261" t="s">
        <v>1433</v>
      </c>
      <c r="AH779" s="261" t="s">
        <v>2113</v>
      </c>
      <c r="AI779" s="261">
        <v>500</v>
      </c>
      <c r="AJ779" s="261">
        <v>0</v>
      </c>
      <c r="AK779" s="261">
        <v>0</v>
      </c>
      <c r="AL779" s="256">
        <v>0.02</v>
      </c>
      <c r="AM779" s="256">
        <v>0.2</v>
      </c>
      <c r="AN779" s="256" t="s">
        <v>64</v>
      </c>
      <c r="AO779" s="254" t="s">
        <v>1324</v>
      </c>
      <c r="AP779" s="257" t="s">
        <v>13</v>
      </c>
      <c r="AQ779" s="263" t="s">
        <v>664</v>
      </c>
      <c r="AR779" s="256">
        <v>6.6666666666666662E-3</v>
      </c>
      <c r="AS779" s="256">
        <v>6.6666666666666662E-3</v>
      </c>
      <c r="AT779" s="256"/>
      <c r="AX779" s="508"/>
      <c r="AY779" s="509"/>
      <c r="AZ779" s="509"/>
      <c r="BA779" s="509"/>
      <c r="BB779" s="510"/>
      <c r="BC779" s="509"/>
      <c r="BD779" s="509"/>
      <c r="BE779" s="509"/>
      <c r="BF779" s="509"/>
      <c r="BG779" s="510"/>
      <c r="BH779" s="510"/>
      <c r="BI779" s="511"/>
      <c r="BJ779" s="511"/>
      <c r="BK779" s="511"/>
      <c r="BL779" s="510"/>
      <c r="BM779" s="510"/>
      <c r="BN779" s="510"/>
      <c r="BO779" s="510"/>
      <c r="BP779" s="510"/>
      <c r="BQ779" s="510"/>
      <c r="BR779" s="510"/>
      <c r="BS779" s="510"/>
      <c r="BT779" s="513"/>
      <c r="BU779" s="514"/>
      <c r="BV779" s="512"/>
      <c r="BW779" s="515"/>
    </row>
    <row r="780" spans="2:75" ht="15.75" customHeight="1">
      <c r="B780" s="250" t="s">
        <v>1154</v>
      </c>
      <c r="C780" s="251">
        <v>28911549000157</v>
      </c>
      <c r="D780" s="252" t="s">
        <v>13</v>
      </c>
      <c r="E780" s="252" t="s">
        <v>615</v>
      </c>
      <c r="F780" s="252" t="s">
        <v>619</v>
      </c>
      <c r="G780" s="253" t="s">
        <v>34</v>
      </c>
      <c r="H780" s="253" t="s">
        <v>865</v>
      </c>
      <c r="I780" s="253" t="s">
        <v>34</v>
      </c>
      <c r="J780" s="253" t="s">
        <v>611</v>
      </c>
      <c r="K780" s="254" t="s">
        <v>48</v>
      </c>
      <c r="L780" s="255"/>
      <c r="M780" s="255" t="s">
        <v>34</v>
      </c>
      <c r="N780" s="254">
        <v>456748</v>
      </c>
      <c r="O780" s="254" t="s">
        <v>1321</v>
      </c>
      <c r="P780" s="258">
        <v>43102</v>
      </c>
      <c r="Q780" s="259">
        <v>220398400.09</v>
      </c>
      <c r="R780" s="259">
        <v>225791259.36702394</v>
      </c>
      <c r="S780" s="254">
        <v>30</v>
      </c>
      <c r="T780" s="256">
        <v>8.4224524665676315E-2</v>
      </c>
      <c r="U780" s="256">
        <v>1.0887868694111427</v>
      </c>
      <c r="V780" s="256">
        <v>0.1252600276073359</v>
      </c>
      <c r="W780" s="256">
        <v>1.2279671069270097</v>
      </c>
      <c r="X780" s="256">
        <v>0.1484718827707503</v>
      </c>
      <c r="Y780" s="256">
        <v>1.1258892585344682</v>
      </c>
      <c r="Z780" s="256">
        <v>0.39172819088256361</v>
      </c>
      <c r="AA780" s="256">
        <v>2.2267100306580367</v>
      </c>
      <c r="AB780" s="256">
        <v>6.5060291183868815E-2</v>
      </c>
      <c r="AC780" s="260">
        <v>0.35346353384472495</v>
      </c>
      <c r="AD780" s="405">
        <v>42870882000196</v>
      </c>
      <c r="AE780" s="257" t="s">
        <v>2376</v>
      </c>
      <c r="AF780" s="257" t="s">
        <v>2118</v>
      </c>
      <c r="AG780" s="261" t="s">
        <v>1433</v>
      </c>
      <c r="AH780" s="261" t="s">
        <v>2113</v>
      </c>
      <c r="AI780" s="261">
        <v>5000</v>
      </c>
      <c r="AJ780" s="261">
        <v>1000</v>
      </c>
      <c r="AK780" s="261">
        <v>5000</v>
      </c>
      <c r="AL780" s="256">
        <v>1.55E-2</v>
      </c>
      <c r="AM780" s="256">
        <v>0.15</v>
      </c>
      <c r="AN780" s="256" t="s">
        <v>64</v>
      </c>
      <c r="AO780" s="254" t="s">
        <v>1324</v>
      </c>
      <c r="AP780" s="257" t="s">
        <v>13</v>
      </c>
      <c r="AQ780" s="263" t="s">
        <v>668</v>
      </c>
      <c r="AR780" s="256">
        <v>4.5333333333333337E-3</v>
      </c>
      <c r="AS780" s="256">
        <v>4.5333333333333337E-3</v>
      </c>
      <c r="AT780" s="256"/>
      <c r="AX780" s="508"/>
      <c r="AY780" s="509"/>
      <c r="AZ780" s="509"/>
      <c r="BA780" s="509"/>
      <c r="BB780" s="510"/>
      <c r="BC780" s="509"/>
      <c r="BD780" s="509"/>
      <c r="BE780" s="509"/>
      <c r="BF780" s="509"/>
      <c r="BG780" s="510"/>
      <c r="BH780" s="510"/>
      <c r="BI780" s="511"/>
      <c r="BJ780" s="511"/>
      <c r="BK780" s="511"/>
      <c r="BL780" s="510"/>
      <c r="BM780" s="510"/>
      <c r="BN780" s="510"/>
      <c r="BO780" s="510"/>
      <c r="BP780" s="510"/>
      <c r="BQ780" s="510"/>
      <c r="BR780" s="510"/>
      <c r="BS780" s="510"/>
      <c r="BT780" s="513"/>
      <c r="BU780" s="514"/>
      <c r="BV780" s="512"/>
      <c r="BW780" s="515"/>
    </row>
    <row r="781" spans="2:75" ht="15.75" customHeight="1">
      <c r="B781" s="250" t="s">
        <v>354</v>
      </c>
      <c r="C781" s="251">
        <v>22504083000199</v>
      </c>
      <c r="D781" s="252" t="s">
        <v>13</v>
      </c>
      <c r="E781" s="252" t="s">
        <v>615</v>
      </c>
      <c r="F781" s="252" t="s">
        <v>619</v>
      </c>
      <c r="G781" s="253" t="s">
        <v>34</v>
      </c>
      <c r="H781" s="253" t="s">
        <v>1337</v>
      </c>
      <c r="I781" s="253" t="s">
        <v>34</v>
      </c>
      <c r="J781" s="253"/>
      <c r="K781" s="254" t="s">
        <v>48</v>
      </c>
      <c r="L781" s="255"/>
      <c r="M781" s="255" t="s">
        <v>34</v>
      </c>
      <c r="N781" s="254">
        <v>402346</v>
      </c>
      <c r="O781" s="254" t="s">
        <v>1321</v>
      </c>
      <c r="P781" s="258">
        <v>42247</v>
      </c>
      <c r="Q781" s="259">
        <v>7205679.8499999996</v>
      </c>
      <c r="R781" s="259">
        <v>7085594.3791269856</v>
      </c>
      <c r="S781" s="254">
        <v>30</v>
      </c>
      <c r="T781" s="256">
        <v>8.4727183107504933E-2</v>
      </c>
      <c r="U781" s="256">
        <v>1.0952848331982235</v>
      </c>
      <c r="V781" s="256">
        <v>8.5693633282640347E-2</v>
      </c>
      <c r="W781" s="256">
        <v>0.84008414299587153</v>
      </c>
      <c r="X781" s="256">
        <v>0.12009297444671763</v>
      </c>
      <c r="Y781" s="256">
        <v>0.91068684138523681</v>
      </c>
      <c r="Z781" s="256">
        <v>0.13121436857521385</v>
      </c>
      <c r="AA781" s="256">
        <v>0.74586500913966913</v>
      </c>
      <c r="AB781" s="256">
        <v>2.166147413842014E-2</v>
      </c>
      <c r="AC781" s="260">
        <v>-0.67797030273305747</v>
      </c>
      <c r="AD781" s="405">
        <v>22504056000116</v>
      </c>
      <c r="AE781" s="257" t="s">
        <v>2377</v>
      </c>
      <c r="AF781" s="257" t="s">
        <v>2115</v>
      </c>
      <c r="AG781" s="261" t="s">
        <v>719</v>
      </c>
      <c r="AH781" s="261" t="s">
        <v>2113</v>
      </c>
      <c r="AI781" s="261">
        <v>50000</v>
      </c>
      <c r="AJ781" s="261">
        <v>10000</v>
      </c>
      <c r="AK781" s="261">
        <v>50000</v>
      </c>
      <c r="AL781" s="256">
        <v>0.02</v>
      </c>
      <c r="AM781" s="256">
        <v>0.2</v>
      </c>
      <c r="AN781" s="256" t="s">
        <v>64</v>
      </c>
      <c r="AO781" s="254" t="s">
        <v>1324</v>
      </c>
      <c r="AP781" s="257" t="s">
        <v>13</v>
      </c>
      <c r="AQ781" s="263" t="s">
        <v>668</v>
      </c>
      <c r="AR781" s="256">
        <v>6.0000000000000001E-3</v>
      </c>
      <c r="AS781" s="256">
        <v>6.0000000000000001E-3</v>
      </c>
      <c r="AT781" s="256"/>
      <c r="AW781" s="508"/>
      <c r="AX781" s="508"/>
      <c r="AY781" s="509"/>
      <c r="AZ781" s="509"/>
      <c r="BA781" s="509"/>
      <c r="BB781" s="510"/>
      <c r="BC781" s="509"/>
      <c r="BD781" s="509"/>
      <c r="BE781" s="509"/>
      <c r="BF781" s="509"/>
      <c r="BG781" s="510"/>
      <c r="BH781" s="510"/>
      <c r="BI781" s="511"/>
      <c r="BJ781" s="511"/>
      <c r="BK781" s="511"/>
      <c r="BL781" s="195"/>
      <c r="BM781" s="510"/>
      <c r="BN781" s="510"/>
      <c r="BO781" s="510"/>
      <c r="BP781" s="510"/>
      <c r="BQ781" s="510"/>
      <c r="BR781" s="510"/>
      <c r="BS781" s="510"/>
      <c r="BT781" s="513"/>
      <c r="BU781" s="514"/>
      <c r="BV781" s="512"/>
      <c r="BW781" s="515"/>
    </row>
    <row r="782" spans="2:75" ht="15.75" customHeight="1">
      <c r="B782" s="250" t="s">
        <v>1703</v>
      </c>
      <c r="C782" s="251">
        <v>26859438000113</v>
      </c>
      <c r="D782" s="252" t="s">
        <v>13</v>
      </c>
      <c r="E782" s="252" t="s">
        <v>615</v>
      </c>
      <c r="F782" s="252" t="s">
        <v>619</v>
      </c>
      <c r="G782" s="253" t="s">
        <v>34</v>
      </c>
      <c r="H782" s="253" t="s">
        <v>1337</v>
      </c>
      <c r="I782" s="253" t="s">
        <v>34</v>
      </c>
      <c r="J782" s="253"/>
      <c r="K782" s="254" t="s">
        <v>48</v>
      </c>
      <c r="L782" s="255"/>
      <c r="M782" s="255"/>
      <c r="N782" s="254">
        <v>442720</v>
      </c>
      <c r="O782" s="254" t="s">
        <v>1321</v>
      </c>
      <c r="P782" s="258">
        <v>42888</v>
      </c>
      <c r="Q782" s="259">
        <v>165513080.18000001</v>
      </c>
      <c r="R782" s="259">
        <v>183131007.46805549</v>
      </c>
      <c r="S782" s="254">
        <v>30</v>
      </c>
      <c r="T782" s="256">
        <v>0.13767098715112769</v>
      </c>
      <c r="U782" s="256">
        <v>1.548511357974979</v>
      </c>
      <c r="V782" s="256">
        <v>0.12179235959900581</v>
      </c>
      <c r="W782" s="256">
        <v>1.1177747632243402</v>
      </c>
      <c r="X782" s="256">
        <v>0.20310258741880971</v>
      </c>
      <c r="Y782" s="256">
        <v>1.428174834339935</v>
      </c>
      <c r="Z782" s="256">
        <v>0.23653680764827123</v>
      </c>
      <c r="AA782" s="256">
        <v>1.2925704501636897</v>
      </c>
      <c r="AB782" s="256">
        <v>4.3484568425403713E-2</v>
      </c>
      <c r="AC782" s="260">
        <v>0.28631647125823773</v>
      </c>
      <c r="AD782" s="405">
        <v>26859555000187</v>
      </c>
      <c r="AE782" s="257" t="s">
        <v>2418</v>
      </c>
      <c r="AF782" s="257" t="s">
        <v>2121</v>
      </c>
      <c r="AG782" s="261" t="s">
        <v>59</v>
      </c>
      <c r="AH782" s="261" t="s">
        <v>2131</v>
      </c>
      <c r="AI782" s="261">
        <v>50000</v>
      </c>
      <c r="AJ782" s="261">
        <v>50000</v>
      </c>
      <c r="AK782" s="261">
        <v>50000</v>
      </c>
      <c r="AL782" s="256">
        <v>1.9E-2</v>
      </c>
      <c r="AM782" s="256">
        <v>0.2</v>
      </c>
      <c r="AN782" s="256" t="s">
        <v>64</v>
      </c>
      <c r="AO782" s="254" t="s">
        <v>1324</v>
      </c>
      <c r="AP782" s="257" t="s">
        <v>13</v>
      </c>
      <c r="AQ782" s="263" t="s">
        <v>664</v>
      </c>
      <c r="AR782" s="256" t="s">
        <v>34</v>
      </c>
      <c r="AS782" s="256" t="s">
        <v>34</v>
      </c>
      <c r="AT782" s="256"/>
      <c r="AX782" s="508"/>
      <c r="AY782" s="509"/>
      <c r="AZ782" s="509"/>
      <c r="BA782" s="509"/>
      <c r="BB782" s="510"/>
      <c r="BC782" s="509"/>
      <c r="BD782" s="509"/>
      <c r="BE782" s="509"/>
      <c r="BF782" s="509"/>
      <c r="BG782" s="510"/>
      <c r="BH782" s="510"/>
      <c r="BI782" s="511"/>
      <c r="BJ782" s="511"/>
      <c r="BK782" s="511"/>
      <c r="BL782" s="510"/>
      <c r="BM782" s="510"/>
      <c r="BN782" s="510"/>
      <c r="BO782" s="510"/>
      <c r="BP782" s="510"/>
      <c r="BQ782" s="510"/>
      <c r="BR782" s="510"/>
      <c r="BS782" s="510"/>
      <c r="BT782" s="513"/>
      <c r="BU782" s="514"/>
      <c r="BV782" s="512"/>
      <c r="BW782" s="515"/>
    </row>
    <row r="783" spans="2:75" ht="15.75" customHeight="1">
      <c r="B783" s="250" t="s">
        <v>415</v>
      </c>
      <c r="C783" s="251">
        <v>26343648000154</v>
      </c>
      <c r="D783" s="252" t="s">
        <v>13</v>
      </c>
      <c r="E783" s="252" t="s">
        <v>615</v>
      </c>
      <c r="F783" s="252" t="s">
        <v>619</v>
      </c>
      <c r="G783" s="253" t="s">
        <v>34</v>
      </c>
      <c r="H783" s="253" t="s">
        <v>865</v>
      </c>
      <c r="I783" s="253" t="s">
        <v>34</v>
      </c>
      <c r="J783" s="253"/>
      <c r="K783" s="254" t="s">
        <v>48</v>
      </c>
      <c r="L783" s="255"/>
      <c r="M783" s="255" t="s">
        <v>1414</v>
      </c>
      <c r="N783" s="254">
        <v>431931</v>
      </c>
      <c r="O783" s="254" t="s">
        <v>1321</v>
      </c>
      <c r="P783" s="258">
        <v>42720</v>
      </c>
      <c r="Q783" s="259">
        <v>18142233.960000001</v>
      </c>
      <c r="R783" s="259">
        <v>21260724.473253965</v>
      </c>
      <c r="S783" s="254">
        <v>30</v>
      </c>
      <c r="T783" s="256">
        <v>5.9792642327403556E-2</v>
      </c>
      <c r="U783" s="256">
        <v>0.77295115777607271</v>
      </c>
      <c r="V783" s="256">
        <v>3.0312371430463836E-2</v>
      </c>
      <c r="W783" s="256">
        <v>0.29716259656471339</v>
      </c>
      <c r="X783" s="256">
        <v>7.8983696933437209E-2</v>
      </c>
      <c r="Y783" s="256">
        <v>0.59894772206807234</v>
      </c>
      <c r="Z783" s="256">
        <v>0.14929349796118974</v>
      </c>
      <c r="AA783" s="256">
        <v>0.84863264161109786</v>
      </c>
      <c r="AB783" s="256">
        <v>6.6126590817134651E-2</v>
      </c>
      <c r="AC783" s="260">
        <v>-0.98463717895822345</v>
      </c>
      <c r="AD783" s="405">
        <v>0</v>
      </c>
      <c r="AE783" s="257" t="s">
        <v>2420</v>
      </c>
      <c r="AF783" s="257" t="s">
        <v>2109</v>
      </c>
      <c r="AG783" s="261" t="s">
        <v>1432</v>
      </c>
      <c r="AH783" s="261" t="s">
        <v>2110</v>
      </c>
      <c r="AI783" s="261">
        <v>25000</v>
      </c>
      <c r="AJ783" s="261">
        <v>5000</v>
      </c>
      <c r="AK783" s="261">
        <v>25000</v>
      </c>
      <c r="AL783" s="256">
        <v>7.7499999999999999E-3</v>
      </c>
      <c r="AM783" s="256" t="s">
        <v>34</v>
      </c>
      <c r="AN783" s="256" t="s">
        <v>34</v>
      </c>
      <c r="AO783" s="254" t="s">
        <v>1324</v>
      </c>
      <c r="AP783" s="257" t="s">
        <v>13</v>
      </c>
      <c r="AQ783" s="263" t="s">
        <v>668</v>
      </c>
      <c r="AR783" s="256">
        <v>1.2499999999999998E-3</v>
      </c>
      <c r="AS783" s="256">
        <v>1.2499999999999998E-3</v>
      </c>
      <c r="AT783" s="256"/>
      <c r="AX783" s="508"/>
      <c r="AY783" s="509"/>
      <c r="AZ783" s="509"/>
      <c r="BA783" s="509"/>
      <c r="BB783" s="510"/>
      <c r="BC783" s="509"/>
      <c r="BD783" s="509"/>
      <c r="BE783" s="509"/>
      <c r="BF783" s="509"/>
      <c r="BG783" s="510"/>
      <c r="BH783" s="510"/>
      <c r="BI783" s="511"/>
      <c r="BJ783" s="511"/>
      <c r="BK783" s="511"/>
      <c r="BL783" s="510"/>
      <c r="BM783" s="510"/>
      <c r="BN783" s="510"/>
      <c r="BO783" s="510"/>
      <c r="BP783" s="510"/>
      <c r="BQ783" s="510"/>
      <c r="BR783" s="510"/>
      <c r="BS783" s="510"/>
      <c r="BT783" s="513"/>
      <c r="BU783" s="514"/>
      <c r="BV783" s="512"/>
      <c r="BW783" s="515"/>
    </row>
    <row r="784" spans="2:75" ht="15.75" customHeight="1">
      <c r="B784" s="250" t="s">
        <v>270</v>
      </c>
      <c r="C784" s="251">
        <v>10320151000180</v>
      </c>
      <c r="D784" s="252" t="s">
        <v>14</v>
      </c>
      <c r="E784" s="252" t="s">
        <v>607</v>
      </c>
      <c r="F784" s="252"/>
      <c r="G784" s="253"/>
      <c r="H784" s="253" t="s">
        <v>34</v>
      </c>
      <c r="I784" s="253" t="s">
        <v>34</v>
      </c>
      <c r="J784" s="253" t="s">
        <v>608</v>
      </c>
      <c r="K784" s="254" t="s">
        <v>48</v>
      </c>
      <c r="L784" s="255"/>
      <c r="M784" s="255" t="s">
        <v>34</v>
      </c>
      <c r="N784" s="254">
        <v>219118</v>
      </c>
      <c r="O784" s="254" t="s">
        <v>1321</v>
      </c>
      <c r="P784" s="258">
        <v>39721</v>
      </c>
      <c r="Q784" s="259">
        <v>170903818.34</v>
      </c>
      <c r="R784" s="259">
        <v>228866587.57515883</v>
      </c>
      <c r="S784" s="254">
        <v>30</v>
      </c>
      <c r="T784" s="256">
        <v>-7.7891384284855314E-2</v>
      </c>
      <c r="U784" s="256">
        <v>-1.0069171275972661</v>
      </c>
      <c r="V784" s="256">
        <v>-0.24209748211790205</v>
      </c>
      <c r="W784" s="256">
        <v>-2.3733648346507543</v>
      </c>
      <c r="X784" s="256">
        <v>-0.23290888653080344</v>
      </c>
      <c r="Y784" s="256">
        <v>-1.7661903969194861</v>
      </c>
      <c r="Z784" s="256">
        <v>-0.22125286830579749</v>
      </c>
      <c r="AA784" s="256">
        <v>-1.2576730310330855</v>
      </c>
      <c r="AB784" s="256">
        <v>0.24792190067422537</v>
      </c>
      <c r="AC784" s="260">
        <v>-1.3856444353320805</v>
      </c>
      <c r="AD784" s="405">
        <v>37895385000102</v>
      </c>
      <c r="AE784" s="257" t="s">
        <v>2304</v>
      </c>
      <c r="AF784" s="257" t="s">
        <v>2118</v>
      </c>
      <c r="AG784" s="261" t="s">
        <v>1433</v>
      </c>
      <c r="AH784" s="261" t="s">
        <v>2110</v>
      </c>
      <c r="AI784" s="261">
        <v>100000</v>
      </c>
      <c r="AJ784" s="261">
        <v>20000</v>
      </c>
      <c r="AK784" s="261">
        <v>100000</v>
      </c>
      <c r="AL784" s="256">
        <v>0.02</v>
      </c>
      <c r="AM784" s="256">
        <v>0.15</v>
      </c>
      <c r="AN784" s="256" t="s">
        <v>2141</v>
      </c>
      <c r="AO784" s="254" t="s">
        <v>1324</v>
      </c>
      <c r="AP784" s="257" t="s">
        <v>716</v>
      </c>
      <c r="AQ784" s="263" t="s">
        <v>659</v>
      </c>
      <c r="AR784" s="256">
        <v>5.0000000000000001E-3</v>
      </c>
      <c r="AS784" s="256">
        <v>5.0000000000000001E-3</v>
      </c>
      <c r="AT784" s="256"/>
      <c r="AX784" s="508"/>
      <c r="AY784" s="509"/>
      <c r="AZ784" s="509"/>
      <c r="BA784" s="509"/>
      <c r="BB784" s="510"/>
      <c r="BC784" s="509"/>
      <c r="BD784" s="509"/>
      <c r="BE784" s="509"/>
      <c r="BF784" s="509"/>
      <c r="BG784" s="510"/>
      <c r="BH784" s="510"/>
      <c r="BI784" s="511"/>
      <c r="BJ784" s="511"/>
      <c r="BK784" s="511"/>
      <c r="BL784" s="510"/>
      <c r="BM784" s="510"/>
      <c r="BN784" s="510"/>
      <c r="BO784" s="510"/>
      <c r="BP784" s="510"/>
      <c r="BQ784" s="510"/>
      <c r="BR784" s="510"/>
      <c r="BS784" s="510"/>
      <c r="BT784" s="513"/>
      <c r="BU784" s="514"/>
      <c r="BV784" s="512"/>
      <c r="BW784" s="515"/>
    </row>
    <row r="785" spans="2:75" ht="15.75" customHeight="1">
      <c r="B785" s="250" t="s">
        <v>1038</v>
      </c>
      <c r="C785" s="251">
        <v>26768800000140</v>
      </c>
      <c r="D785" s="252" t="s">
        <v>14</v>
      </c>
      <c r="E785" s="252" t="s">
        <v>607</v>
      </c>
      <c r="F785" s="252"/>
      <c r="G785" s="253"/>
      <c r="H785" s="253" t="s">
        <v>34</v>
      </c>
      <c r="I785" s="253" t="s">
        <v>34</v>
      </c>
      <c r="J785" s="253" t="s">
        <v>608</v>
      </c>
      <c r="K785" s="254" t="s">
        <v>48</v>
      </c>
      <c r="L785" s="255"/>
      <c r="M785" s="255" t="s">
        <v>34</v>
      </c>
      <c r="N785" s="254">
        <v>436747</v>
      </c>
      <c r="O785" s="254" t="s">
        <v>1321</v>
      </c>
      <c r="P785" s="258">
        <v>42818</v>
      </c>
      <c r="Q785" s="259">
        <v>472972967.97000003</v>
      </c>
      <c r="R785" s="259">
        <v>660819494.09341276</v>
      </c>
      <c r="S785" s="254">
        <v>30</v>
      </c>
      <c r="T785" s="256">
        <v>5.1488878921368553E-5</v>
      </c>
      <c r="U785" s="256">
        <v>6.6560678748635684E-4</v>
      </c>
      <c r="V785" s="256">
        <v>-0.21293970315194</v>
      </c>
      <c r="W785" s="256">
        <v>-2.0875211048897309</v>
      </c>
      <c r="X785" s="256">
        <v>-0.16336476998624838</v>
      </c>
      <c r="Y785" s="256">
        <v>-1.2388247277396713</v>
      </c>
      <c r="Z785" s="256">
        <v>-0.13951374461497557</v>
      </c>
      <c r="AA785" s="256">
        <v>-0.79304135310997226</v>
      </c>
      <c r="AB785" s="256">
        <v>0.2525733270086386</v>
      </c>
      <c r="AC785" s="260">
        <v>-1.2061261762168345</v>
      </c>
      <c r="AD785" s="405">
        <v>10346018000101</v>
      </c>
      <c r="AE785" s="257" t="s">
        <v>2304</v>
      </c>
      <c r="AF785" s="257" t="s">
        <v>2118</v>
      </c>
      <c r="AG785" s="261" t="s">
        <v>1433</v>
      </c>
      <c r="AH785" s="261" t="s">
        <v>2113</v>
      </c>
      <c r="AI785" s="261">
        <v>1000</v>
      </c>
      <c r="AJ785" s="261">
        <v>1000</v>
      </c>
      <c r="AK785" s="261">
        <v>100</v>
      </c>
      <c r="AL785" s="256">
        <v>0.02</v>
      </c>
      <c r="AM785" s="256">
        <v>0.2</v>
      </c>
      <c r="AN785" s="256" t="s">
        <v>2127</v>
      </c>
      <c r="AO785" s="254" t="s">
        <v>1324</v>
      </c>
      <c r="AP785" s="257" t="s">
        <v>716</v>
      </c>
      <c r="AQ785" s="263" t="s">
        <v>659</v>
      </c>
      <c r="AR785" s="256">
        <v>5.0000000000000001E-3</v>
      </c>
      <c r="AS785" s="256">
        <v>5.0000000000000001E-3</v>
      </c>
      <c r="AT785" s="256"/>
      <c r="AX785" s="508"/>
      <c r="AY785" s="509"/>
      <c r="AZ785" s="509"/>
      <c r="BA785" s="509"/>
      <c r="BB785" s="510"/>
      <c r="BC785" s="509"/>
      <c r="BD785" s="509"/>
      <c r="BE785" s="509"/>
      <c r="BF785" s="509"/>
      <c r="BG785" s="510"/>
      <c r="BH785" s="510"/>
      <c r="BI785" s="511"/>
      <c r="BJ785" s="511"/>
      <c r="BK785" s="511"/>
      <c r="BL785" s="510"/>
      <c r="BM785" s="510"/>
      <c r="BN785" s="510"/>
      <c r="BO785" s="510"/>
      <c r="BP785" s="510"/>
      <c r="BQ785" s="510"/>
      <c r="BR785" s="510"/>
      <c r="BS785" s="510"/>
      <c r="BT785" s="513"/>
      <c r="BU785" s="514"/>
      <c r="BV785" s="512"/>
      <c r="BW785" s="515"/>
    </row>
    <row r="786" spans="2:75" ht="15.75" customHeight="1">
      <c r="B786" s="250" t="s">
        <v>274</v>
      </c>
      <c r="C786" s="251">
        <v>24325422000103</v>
      </c>
      <c r="D786" s="252" t="s">
        <v>14</v>
      </c>
      <c r="E786" s="252" t="s">
        <v>607</v>
      </c>
      <c r="F786" s="252"/>
      <c r="G786" s="253"/>
      <c r="H786" s="253" t="s">
        <v>34</v>
      </c>
      <c r="I786" s="253" t="s">
        <v>34</v>
      </c>
      <c r="J786" s="253" t="s">
        <v>608</v>
      </c>
      <c r="K786" s="254" t="s">
        <v>48</v>
      </c>
      <c r="L786" s="255"/>
      <c r="M786" s="255" t="s">
        <v>34</v>
      </c>
      <c r="N786" s="254">
        <v>414948</v>
      </c>
      <c r="O786" s="254" t="s">
        <v>1321</v>
      </c>
      <c r="P786" s="258">
        <v>42439</v>
      </c>
      <c r="Q786" s="259">
        <v>249685708.21000001</v>
      </c>
      <c r="R786" s="259">
        <v>257503993.7744841</v>
      </c>
      <c r="S786" s="254">
        <v>30</v>
      </c>
      <c r="T786" s="256">
        <v>-8.2361672559299048E-2</v>
      </c>
      <c r="U786" s="256">
        <v>-1.0647054166379812</v>
      </c>
      <c r="V786" s="256">
        <v>-0.17838881904844994</v>
      </c>
      <c r="W786" s="256">
        <v>-1.7488069116649456</v>
      </c>
      <c r="X786" s="256">
        <v>-2.3281859956924777E-2</v>
      </c>
      <c r="Y786" s="256">
        <v>-0.17655057344884303</v>
      </c>
      <c r="Z786" s="256">
        <v>0.38777045738237415</v>
      </c>
      <c r="AA786" s="256">
        <v>2.2042129903922132</v>
      </c>
      <c r="AB786" s="256">
        <v>0.20018936445052776</v>
      </c>
      <c r="AC786" s="260">
        <v>-1.3663325514923859</v>
      </c>
      <c r="AD786" s="405">
        <v>0</v>
      </c>
      <c r="AE786" s="257" t="s">
        <v>2308</v>
      </c>
      <c r="AF786" s="257" t="s">
        <v>2118</v>
      </c>
      <c r="AG786" s="261" t="s">
        <v>1433</v>
      </c>
      <c r="AH786" s="261" t="s">
        <v>2113</v>
      </c>
      <c r="AI786" s="261">
        <v>100</v>
      </c>
      <c r="AJ786" s="261">
        <v>100</v>
      </c>
      <c r="AK786" s="261">
        <v>100</v>
      </c>
      <c r="AL786" s="256">
        <v>0.02</v>
      </c>
      <c r="AM786" s="256">
        <v>0.2</v>
      </c>
      <c r="AN786" s="256" t="s">
        <v>2160</v>
      </c>
      <c r="AO786" s="254" t="s">
        <v>1324</v>
      </c>
      <c r="AP786" s="257" t="s">
        <v>716</v>
      </c>
      <c r="AQ786" s="263" t="s">
        <v>659</v>
      </c>
      <c r="AR786" s="256">
        <v>7.416666666666666E-3</v>
      </c>
      <c r="AS786" s="256">
        <v>7.416666666666666E-3</v>
      </c>
      <c r="AT786" s="256"/>
      <c r="AX786" s="508"/>
      <c r="AY786" s="509"/>
      <c r="AZ786" s="509"/>
      <c r="BA786" s="509"/>
      <c r="BB786" s="510"/>
      <c r="BC786" s="509"/>
      <c r="BD786" s="509"/>
      <c r="BE786" s="509"/>
      <c r="BF786" s="509"/>
      <c r="BG786" s="510"/>
      <c r="BH786" s="510"/>
      <c r="BI786" s="511"/>
      <c r="BJ786" s="511"/>
      <c r="BK786" s="511"/>
      <c r="BL786" s="510"/>
      <c r="BM786" s="510"/>
      <c r="BN786" s="510"/>
      <c r="BO786" s="510"/>
      <c r="BP786" s="510"/>
      <c r="BQ786" s="510"/>
      <c r="BR786" s="510"/>
      <c r="BS786" s="510"/>
      <c r="BT786" s="513"/>
      <c r="BU786" s="514"/>
      <c r="BV786" s="512"/>
      <c r="BW786" s="515"/>
    </row>
    <row r="787" spans="2:75" ht="15.75" customHeight="1">
      <c r="B787" s="250" t="s">
        <v>1220</v>
      </c>
      <c r="C787" s="251">
        <v>45126846000100</v>
      </c>
      <c r="D787" s="252" t="s">
        <v>14</v>
      </c>
      <c r="E787" s="252" t="s">
        <v>607</v>
      </c>
      <c r="F787" s="252"/>
      <c r="G787" s="253"/>
      <c r="H787" s="253" t="s">
        <v>34</v>
      </c>
      <c r="I787" s="253" t="s">
        <v>34</v>
      </c>
      <c r="J787" s="253" t="s">
        <v>608</v>
      </c>
      <c r="K787" s="254" t="s">
        <v>48</v>
      </c>
      <c r="L787" s="255"/>
      <c r="M787" s="255" t="s">
        <v>34</v>
      </c>
      <c r="N787" s="254">
        <v>640441</v>
      </c>
      <c r="O787" s="254" t="s">
        <v>1321</v>
      </c>
      <c r="P787" s="258">
        <v>44617</v>
      </c>
      <c r="Q787" s="259">
        <v>24029076.120000001</v>
      </c>
      <c r="R787" s="259" t="s">
        <v>1417</v>
      </c>
      <c r="S787" s="254">
        <v>30</v>
      </c>
      <c r="T787" s="256" t="s">
        <v>1417</v>
      </c>
      <c r="U787" s="256" t="s">
        <v>1417</v>
      </c>
      <c r="V787" s="256" t="s">
        <v>1417</v>
      </c>
      <c r="W787" s="256" t="s">
        <v>1417</v>
      </c>
      <c r="X787" s="256" t="s">
        <v>1417</v>
      </c>
      <c r="Y787" s="256" t="s">
        <v>1417</v>
      </c>
      <c r="Z787" s="256" t="s">
        <v>1417</v>
      </c>
      <c r="AA787" s="256" t="s">
        <v>1417</v>
      </c>
      <c r="AB787" s="256" t="s">
        <v>1417</v>
      </c>
      <c r="AC787" s="260" t="s">
        <v>1417</v>
      </c>
      <c r="AD787" s="405">
        <v>45127383000100</v>
      </c>
      <c r="AE787" s="257" t="s">
        <v>2411</v>
      </c>
      <c r="AF787" s="257" t="s">
        <v>2109</v>
      </c>
      <c r="AG787" s="261" t="s">
        <v>1432</v>
      </c>
      <c r="AH787" s="261" t="s">
        <v>2113</v>
      </c>
      <c r="AI787" s="261">
        <v>1000</v>
      </c>
      <c r="AJ787" s="261">
        <v>1000</v>
      </c>
      <c r="AK787" s="261">
        <v>1000</v>
      </c>
      <c r="AL787" s="256">
        <v>1.9E-2</v>
      </c>
      <c r="AM787" s="256">
        <v>0.2</v>
      </c>
      <c r="AN787" s="256" t="s">
        <v>2127</v>
      </c>
      <c r="AO787" s="254" t="s">
        <v>1324</v>
      </c>
      <c r="AP787" s="257" t="s">
        <v>716</v>
      </c>
      <c r="AQ787" s="263" t="s">
        <v>659</v>
      </c>
      <c r="AR787" s="256">
        <v>5.0666666666666664E-3</v>
      </c>
      <c r="AS787" s="256">
        <v>5.0666666666666664E-3</v>
      </c>
      <c r="AT787" s="256"/>
      <c r="AX787" s="508"/>
      <c r="AY787" s="509"/>
      <c r="AZ787" s="509"/>
      <c r="BA787" s="509"/>
      <c r="BB787" s="510"/>
      <c r="BC787" s="509"/>
      <c r="BD787" s="509"/>
      <c r="BE787" s="509"/>
      <c r="BF787" s="509"/>
      <c r="BG787" s="510"/>
      <c r="BH787" s="510"/>
      <c r="BI787" s="511"/>
      <c r="BJ787" s="511"/>
      <c r="BK787" s="511"/>
      <c r="BL787" s="510"/>
      <c r="BM787" s="510"/>
      <c r="BN787" s="510"/>
      <c r="BO787" s="510"/>
      <c r="BP787" s="510"/>
      <c r="BQ787" s="510"/>
      <c r="BR787" s="510"/>
      <c r="BS787" s="510"/>
      <c r="BT787" s="513"/>
      <c r="BU787" s="514"/>
      <c r="BV787" s="512"/>
      <c r="BW787" s="515"/>
    </row>
    <row r="788" spans="2:75" ht="15.75" customHeight="1">
      <c r="B788" s="250" t="s">
        <v>423</v>
      </c>
      <c r="C788" s="251">
        <v>2162620000152</v>
      </c>
      <c r="D788" s="252" t="s">
        <v>14</v>
      </c>
      <c r="E788" s="252" t="s">
        <v>15</v>
      </c>
      <c r="F788" s="252" t="s">
        <v>17</v>
      </c>
      <c r="G788" s="253"/>
      <c r="H788" s="253" t="s">
        <v>34</v>
      </c>
      <c r="I788" s="253" t="s">
        <v>34</v>
      </c>
      <c r="J788" s="253" t="s">
        <v>611</v>
      </c>
      <c r="K788" s="254" t="s">
        <v>49</v>
      </c>
      <c r="L788" s="255"/>
      <c r="M788" s="255" t="s">
        <v>34</v>
      </c>
      <c r="N788" s="254">
        <v>174394</v>
      </c>
      <c r="O788" s="254" t="s">
        <v>1321</v>
      </c>
      <c r="P788" s="258">
        <v>35782</v>
      </c>
      <c r="Q788" s="259">
        <v>84589797.769999996</v>
      </c>
      <c r="R788" s="259">
        <v>81989797.460198417</v>
      </c>
      <c r="S788" s="254">
        <v>31</v>
      </c>
      <c r="T788" s="256">
        <v>1.2441746275055454E-2</v>
      </c>
      <c r="U788" s="256">
        <v>0.16083688249470035</v>
      </c>
      <c r="V788" s="256">
        <v>7.7322960106594785E-2</v>
      </c>
      <c r="W788" s="256">
        <v>0.75802355655529974</v>
      </c>
      <c r="X788" s="256">
        <v>-1.0206016747479341E-3</v>
      </c>
      <c r="Y788" s="256">
        <v>-7.7394079026750469E-3</v>
      </c>
      <c r="Z788" s="256">
        <v>0.48220414685883739</v>
      </c>
      <c r="AA788" s="256">
        <v>2.7410046956701359</v>
      </c>
      <c r="AB788" s="256">
        <v>0.16636356564782787</v>
      </c>
      <c r="AC788" s="260">
        <v>-5.3452557994283903E-2</v>
      </c>
      <c r="AD788" s="405">
        <v>11904064000133</v>
      </c>
      <c r="AE788" s="257" t="s">
        <v>2425</v>
      </c>
      <c r="AF788" s="257" t="s">
        <v>2112</v>
      </c>
      <c r="AG788" s="261" t="s">
        <v>59</v>
      </c>
      <c r="AH788" s="261" t="s">
        <v>2110</v>
      </c>
      <c r="AI788" s="261">
        <v>20000</v>
      </c>
      <c r="AJ788" s="261">
        <v>10000</v>
      </c>
      <c r="AK788" s="261">
        <v>20000</v>
      </c>
      <c r="AL788" s="256">
        <v>1.95E-2</v>
      </c>
      <c r="AM788" s="256">
        <v>0.2</v>
      </c>
      <c r="AN788" s="256" t="s">
        <v>2194</v>
      </c>
      <c r="AO788" s="254" t="s">
        <v>1324</v>
      </c>
      <c r="AP788" s="257" t="s">
        <v>13</v>
      </c>
      <c r="AQ788" s="263" t="s">
        <v>664</v>
      </c>
      <c r="AR788" s="256">
        <v>3.8999999999999998E-3</v>
      </c>
      <c r="AS788" s="256">
        <v>3.8999999999999998E-3</v>
      </c>
      <c r="AT788" s="256"/>
      <c r="AX788" s="508"/>
      <c r="AY788" s="509"/>
      <c r="AZ788" s="509"/>
      <c r="BA788" s="509"/>
      <c r="BB788" s="510"/>
      <c r="BC788" s="509"/>
      <c r="BD788" s="509"/>
      <c r="BE788" s="509"/>
      <c r="BF788" s="509"/>
      <c r="BG788" s="510"/>
      <c r="BH788" s="510"/>
      <c r="BI788" s="511"/>
      <c r="BJ788" s="511"/>
      <c r="BK788" s="511"/>
      <c r="BL788" s="510"/>
      <c r="BM788" s="510"/>
      <c r="BN788" s="510"/>
      <c r="BO788" s="510"/>
      <c r="BP788" s="510"/>
      <c r="BQ788" s="510"/>
      <c r="BR788" s="510"/>
      <c r="BS788" s="510"/>
      <c r="BT788" s="513"/>
      <c r="BU788" s="514"/>
      <c r="BV788" s="512"/>
      <c r="BW788" s="515"/>
    </row>
    <row r="789" spans="2:75" ht="15.75" customHeight="1">
      <c r="B789" s="250" t="s">
        <v>76</v>
      </c>
      <c r="C789" s="251">
        <v>29044189000104</v>
      </c>
      <c r="D789" s="252" t="s">
        <v>11</v>
      </c>
      <c r="E789" s="252" t="s">
        <v>620</v>
      </c>
      <c r="F789" s="252" t="s">
        <v>663</v>
      </c>
      <c r="G789" s="253" t="s">
        <v>738</v>
      </c>
      <c r="H789" s="253" t="s">
        <v>34</v>
      </c>
      <c r="I789" s="253"/>
      <c r="J789" s="253" t="s">
        <v>608</v>
      </c>
      <c r="K789" s="254" t="s">
        <v>48</v>
      </c>
      <c r="L789" s="255"/>
      <c r="M789" s="255" t="s">
        <v>34</v>
      </c>
      <c r="N789" s="254">
        <v>462276</v>
      </c>
      <c r="O789" s="254" t="s">
        <v>1321</v>
      </c>
      <c r="P789" s="258">
        <v>43187</v>
      </c>
      <c r="Q789" s="259">
        <v>418862000.16000003</v>
      </c>
      <c r="R789" s="259">
        <v>310963628.44813502</v>
      </c>
      <c r="S789" s="254">
        <v>31</v>
      </c>
      <c r="T789" s="256">
        <v>9.3585877334233958E-2</v>
      </c>
      <c r="U789" s="256">
        <v>1.2098029025192076</v>
      </c>
      <c r="V789" s="256">
        <v>0.1318273364753979</v>
      </c>
      <c r="W789" s="256">
        <v>1.2923486931764598</v>
      </c>
      <c r="X789" s="256">
        <v>0.18884839345188631</v>
      </c>
      <c r="Y789" s="256">
        <v>1.4320716738486559</v>
      </c>
      <c r="Z789" s="256">
        <v>0.18143031391645392</v>
      </c>
      <c r="AA789" s="256">
        <v>1.031308721879344</v>
      </c>
      <c r="AB789" s="256">
        <v>4.391199496052928E-3</v>
      </c>
      <c r="AC789" s="260">
        <v>6.0852141775524311</v>
      </c>
      <c r="AD789" s="405">
        <v>0</v>
      </c>
      <c r="AE789" s="257" t="s">
        <v>2132</v>
      </c>
      <c r="AF789" s="257" t="s">
        <v>2109</v>
      </c>
      <c r="AG789" s="261" t="s">
        <v>1432</v>
      </c>
      <c r="AH789" s="261" t="s">
        <v>2113</v>
      </c>
      <c r="AI789" s="261">
        <v>1000</v>
      </c>
      <c r="AJ789" s="261">
        <v>1000</v>
      </c>
      <c r="AK789" s="261">
        <v>500</v>
      </c>
      <c r="AL789" s="519">
        <v>5.0000000000000001E-3</v>
      </c>
      <c r="AM789" s="519" t="s">
        <v>34</v>
      </c>
      <c r="AN789" s="256" t="s">
        <v>64</v>
      </c>
      <c r="AO789" s="254" t="s">
        <v>1324</v>
      </c>
      <c r="AP789" s="257" t="s">
        <v>11</v>
      </c>
      <c r="AQ789" s="263" t="s">
        <v>669</v>
      </c>
      <c r="AR789" s="256">
        <v>1.3333333333333333E-3</v>
      </c>
      <c r="AS789" s="256">
        <v>1.3333333333333333E-3</v>
      </c>
      <c r="AT789" s="256"/>
      <c r="AW789" s="508"/>
      <c r="AX789" s="508"/>
      <c r="AY789" s="509"/>
      <c r="AZ789" s="509"/>
      <c r="BA789" s="509"/>
      <c r="BB789" s="510"/>
      <c r="BC789" s="509"/>
      <c r="BD789" s="509"/>
      <c r="BE789" s="509"/>
      <c r="BF789" s="509"/>
      <c r="BG789" s="510"/>
      <c r="BH789" s="510"/>
      <c r="BI789" s="511"/>
      <c r="BJ789" s="511"/>
      <c r="BK789" s="511"/>
      <c r="BL789" s="195"/>
      <c r="BM789" s="510"/>
      <c r="BN789" s="510"/>
      <c r="BO789" s="510"/>
      <c r="BP789" s="510"/>
      <c r="BQ789" s="510"/>
      <c r="BR789" s="510"/>
      <c r="BS789" s="510"/>
      <c r="BT789" s="513"/>
      <c r="BU789" s="514"/>
      <c r="BV789" s="512"/>
      <c r="BW789" s="515"/>
    </row>
    <row r="790" spans="2:75" ht="15.75" customHeight="1">
      <c r="B790" s="250" t="s">
        <v>79</v>
      </c>
      <c r="C790" s="251">
        <v>30056825000199</v>
      </c>
      <c r="D790" s="252" t="s">
        <v>11</v>
      </c>
      <c r="E790" s="252" t="s">
        <v>620</v>
      </c>
      <c r="F790" s="252" t="s">
        <v>663</v>
      </c>
      <c r="G790" s="253" t="s">
        <v>738</v>
      </c>
      <c r="H790" s="253" t="s">
        <v>34</v>
      </c>
      <c r="I790" s="253"/>
      <c r="J790" s="253" t="s">
        <v>608</v>
      </c>
      <c r="K790" s="254" t="s">
        <v>48</v>
      </c>
      <c r="L790" s="255"/>
      <c r="M790" s="255" t="s">
        <v>34</v>
      </c>
      <c r="N790" s="254">
        <v>502766</v>
      </c>
      <c r="O790" s="254" t="s">
        <v>1321</v>
      </c>
      <c r="P790" s="258">
        <v>43671</v>
      </c>
      <c r="Q790" s="259">
        <v>83760915.609999999</v>
      </c>
      <c r="R790" s="259">
        <v>75409358.872460291</v>
      </c>
      <c r="S790" s="254">
        <v>31</v>
      </c>
      <c r="T790" s="256">
        <v>8.8011285862787947E-2</v>
      </c>
      <c r="U790" s="256">
        <v>1.1377390705114356</v>
      </c>
      <c r="V790" s="256">
        <v>0.12074351623080859</v>
      </c>
      <c r="W790" s="256">
        <v>1.1836901934185511</v>
      </c>
      <c r="X790" s="256">
        <v>0.18052880462205878</v>
      </c>
      <c r="Y790" s="256">
        <v>1.3689827204109921</v>
      </c>
      <c r="Z790" s="256">
        <v>0.21772396031151975</v>
      </c>
      <c r="AA790" s="256">
        <v>1.23761357396306</v>
      </c>
      <c r="AB790" s="256">
        <v>3.6843852536086429E-3</v>
      </c>
      <c r="AC790" s="260">
        <v>4.5795390184604168</v>
      </c>
      <c r="AD790" s="405">
        <v>0</v>
      </c>
      <c r="AE790" s="257" t="s">
        <v>2136</v>
      </c>
      <c r="AF790" s="257" t="s">
        <v>2136</v>
      </c>
      <c r="AG790" s="261" t="s">
        <v>719</v>
      </c>
      <c r="AH790" s="261" t="s">
        <v>2113</v>
      </c>
      <c r="AI790" s="261">
        <v>1000</v>
      </c>
      <c r="AJ790" s="261">
        <v>0</v>
      </c>
      <c r="AK790" s="261">
        <v>1000</v>
      </c>
      <c r="AL790" s="519">
        <v>6.0000000000000001E-3</v>
      </c>
      <c r="AM790" s="519" t="s">
        <v>34</v>
      </c>
      <c r="AN790" s="256" t="s">
        <v>64</v>
      </c>
      <c r="AO790" s="254" t="s">
        <v>1324</v>
      </c>
      <c r="AP790" s="257" t="s">
        <v>11</v>
      </c>
      <c r="AQ790" s="263" t="s">
        <v>1373</v>
      </c>
      <c r="AR790" s="256">
        <v>7.9999999999999993E-4</v>
      </c>
      <c r="AS790" s="256">
        <v>7.9999999999999993E-4</v>
      </c>
      <c r="AT790" s="256"/>
      <c r="AX790" s="508"/>
      <c r="AY790" s="509"/>
      <c r="AZ790" s="509"/>
      <c r="BA790" s="509"/>
      <c r="BB790" s="510"/>
      <c r="BC790" s="509"/>
      <c r="BD790" s="509"/>
      <c r="BE790" s="509"/>
      <c r="BF790" s="509"/>
      <c r="BG790" s="510"/>
      <c r="BH790" s="510"/>
      <c r="BI790" s="511"/>
      <c r="BJ790" s="511"/>
      <c r="BK790" s="511"/>
      <c r="BL790" s="510"/>
      <c r="BM790" s="510"/>
      <c r="BN790" s="510"/>
      <c r="BO790" s="510"/>
      <c r="BP790" s="510"/>
      <c r="BQ790" s="510"/>
      <c r="BR790" s="510"/>
      <c r="BS790" s="510"/>
      <c r="BT790" s="513"/>
      <c r="BU790" s="514"/>
      <c r="BV790" s="512"/>
      <c r="BW790" s="515"/>
    </row>
    <row r="791" spans="2:75" ht="15.75" customHeight="1">
      <c r="B791" s="250" t="s">
        <v>1291</v>
      </c>
      <c r="C791" s="251">
        <v>44315854000132</v>
      </c>
      <c r="D791" s="252" t="s">
        <v>11</v>
      </c>
      <c r="E791" s="252" t="s">
        <v>621</v>
      </c>
      <c r="F791" s="252" t="s">
        <v>663</v>
      </c>
      <c r="G791" s="253" t="s">
        <v>865</v>
      </c>
      <c r="H791" s="253" t="s">
        <v>34</v>
      </c>
      <c r="I791" s="253"/>
      <c r="J791" s="253" t="s">
        <v>608</v>
      </c>
      <c r="K791" s="254" t="s">
        <v>48</v>
      </c>
      <c r="L791" s="255"/>
      <c r="M791" s="255" t="s">
        <v>34</v>
      </c>
      <c r="N791" s="254">
        <v>629588</v>
      </c>
      <c r="O791" s="254" t="s">
        <v>1321</v>
      </c>
      <c r="P791" s="258">
        <v>44560</v>
      </c>
      <c r="Q791" s="259">
        <v>23099823.329999998</v>
      </c>
      <c r="R791" s="259" t="s">
        <v>1417</v>
      </c>
      <c r="S791" s="254">
        <v>31</v>
      </c>
      <c r="T791" s="256">
        <v>7.2867724567333703E-2</v>
      </c>
      <c r="U791" s="256">
        <v>0.94197529790408818</v>
      </c>
      <c r="V791" s="256" t="s">
        <v>1417</v>
      </c>
      <c r="W791" s="256" t="s">
        <v>1417</v>
      </c>
      <c r="X791" s="256" t="s">
        <v>1417</v>
      </c>
      <c r="Y791" s="256" t="s">
        <v>1417</v>
      </c>
      <c r="Z791" s="256" t="s">
        <v>1417</v>
      </c>
      <c r="AA791" s="256" t="s">
        <v>1417</v>
      </c>
      <c r="AB791" s="256" t="s">
        <v>1417</v>
      </c>
      <c r="AC791" s="260" t="s">
        <v>1417</v>
      </c>
      <c r="AD791" s="405">
        <v>40142060000163</v>
      </c>
      <c r="AE791" s="257" t="s">
        <v>2179</v>
      </c>
      <c r="AF791" s="257" t="s">
        <v>719</v>
      </c>
      <c r="AG791" s="261" t="s">
        <v>719</v>
      </c>
      <c r="AH791" s="261" t="s">
        <v>2113</v>
      </c>
      <c r="AI791" s="261">
        <v>10000</v>
      </c>
      <c r="AJ791" s="261">
        <v>1000</v>
      </c>
      <c r="AK791" s="261">
        <v>0</v>
      </c>
      <c r="AL791" s="256">
        <v>3.4999999999999996E-3</v>
      </c>
      <c r="AM791" s="256">
        <v>0.2</v>
      </c>
      <c r="AN791" s="256" t="s">
        <v>636</v>
      </c>
      <c r="AO791" s="254" t="s">
        <v>1324</v>
      </c>
      <c r="AP791" s="257" t="s">
        <v>11</v>
      </c>
      <c r="AQ791" s="263" t="s">
        <v>675</v>
      </c>
      <c r="AR791" s="256">
        <v>9.3333333333333332E-4</v>
      </c>
      <c r="AS791" s="256">
        <v>9.3333333333333332E-4</v>
      </c>
      <c r="AT791" s="256"/>
      <c r="AX791" s="508"/>
      <c r="AY791" s="509"/>
      <c r="AZ791" s="509"/>
      <c r="BA791" s="509"/>
      <c r="BB791" s="510"/>
      <c r="BC791" s="509"/>
      <c r="BD791" s="509"/>
      <c r="BE791" s="509"/>
      <c r="BF791" s="509"/>
      <c r="BG791" s="510"/>
      <c r="BH791" s="510"/>
      <c r="BI791" s="511"/>
      <c r="BJ791" s="511"/>
      <c r="BK791" s="511"/>
      <c r="BL791" s="510"/>
      <c r="BM791" s="510"/>
      <c r="BN791" s="510"/>
      <c r="BO791" s="510"/>
      <c r="BP791" s="510"/>
      <c r="BQ791" s="510"/>
      <c r="BR791" s="510"/>
      <c r="BS791" s="510"/>
      <c r="BT791" s="513"/>
      <c r="BU791" s="514"/>
      <c r="BV791" s="512"/>
      <c r="BW791" s="515"/>
    </row>
    <row r="792" spans="2:75" ht="15.75" customHeight="1">
      <c r="B792" s="250" t="s">
        <v>143</v>
      </c>
      <c r="C792" s="251">
        <v>33342285000106</v>
      </c>
      <c r="D792" s="252" t="s">
        <v>11</v>
      </c>
      <c r="E792" s="252" t="s">
        <v>620</v>
      </c>
      <c r="F792" s="252" t="s">
        <v>663</v>
      </c>
      <c r="G792" s="253" t="s">
        <v>738</v>
      </c>
      <c r="H792" s="253" t="s">
        <v>34</v>
      </c>
      <c r="I792" s="253"/>
      <c r="J792" s="253" t="s">
        <v>608</v>
      </c>
      <c r="K792" s="254" t="s">
        <v>48</v>
      </c>
      <c r="L792" s="255"/>
      <c r="M792" s="255" t="s">
        <v>34</v>
      </c>
      <c r="N792" s="254">
        <v>505501</v>
      </c>
      <c r="O792" s="254" t="s">
        <v>1321</v>
      </c>
      <c r="P792" s="258">
        <v>43703</v>
      </c>
      <c r="Q792" s="259">
        <v>18863758.280000001</v>
      </c>
      <c r="R792" s="259">
        <v>36620850.080753967</v>
      </c>
      <c r="S792" s="254">
        <v>31</v>
      </c>
      <c r="T792" s="256">
        <v>8.8791581539507058E-2</v>
      </c>
      <c r="U792" s="256">
        <v>1.1478261050235612</v>
      </c>
      <c r="V792" s="256">
        <v>0.11892335820578492</v>
      </c>
      <c r="W792" s="256">
        <v>1.165846558646692</v>
      </c>
      <c r="X792" s="256">
        <v>0.17980246002008693</v>
      </c>
      <c r="Y792" s="256">
        <v>1.3634747173460797</v>
      </c>
      <c r="Z792" s="256">
        <v>0.18768470781101021</v>
      </c>
      <c r="AA792" s="256">
        <v>1.0668607243770911</v>
      </c>
      <c r="AB792" s="256">
        <v>2.5515015369888712E-3</v>
      </c>
      <c r="AC792" s="260">
        <v>5.9741922040512057</v>
      </c>
      <c r="AD792" s="405">
        <v>0</v>
      </c>
      <c r="AE792" s="257" t="s">
        <v>2189</v>
      </c>
      <c r="AF792" s="257" t="s">
        <v>2118</v>
      </c>
      <c r="AG792" s="261" t="s">
        <v>1433</v>
      </c>
      <c r="AH792" s="261" t="s">
        <v>2113</v>
      </c>
      <c r="AI792" s="261">
        <v>1000</v>
      </c>
      <c r="AJ792" s="261">
        <v>1000</v>
      </c>
      <c r="AK792" s="261">
        <v>1000</v>
      </c>
      <c r="AL792" s="256">
        <v>5.5000000000000005E-3</v>
      </c>
      <c r="AM792" s="256" t="s">
        <v>34</v>
      </c>
      <c r="AN792" s="256" t="s">
        <v>34</v>
      </c>
      <c r="AO792" s="254" t="s">
        <v>1324</v>
      </c>
      <c r="AP792" s="257" t="s">
        <v>11</v>
      </c>
      <c r="AQ792" s="263" t="s">
        <v>662</v>
      </c>
      <c r="AR792" s="256">
        <v>9.3333333333333332E-4</v>
      </c>
      <c r="AS792" s="256">
        <v>9.3333333333333332E-4</v>
      </c>
      <c r="AT792" s="256"/>
      <c r="AX792" s="508"/>
      <c r="AY792" s="509"/>
      <c r="AZ792" s="509"/>
      <c r="BA792" s="509"/>
      <c r="BB792" s="510"/>
      <c r="BC792" s="509"/>
      <c r="BD792" s="509"/>
      <c r="BE792" s="509"/>
      <c r="BF792" s="509"/>
      <c r="BG792" s="510"/>
      <c r="BH792" s="510"/>
      <c r="BI792" s="511"/>
      <c r="BJ792" s="511"/>
      <c r="BK792" s="511"/>
      <c r="BL792" s="510"/>
      <c r="BM792" s="510"/>
      <c r="BN792" s="510"/>
      <c r="BO792" s="510"/>
      <c r="BP792" s="510"/>
      <c r="BQ792" s="510"/>
      <c r="BR792" s="510"/>
      <c r="BS792" s="510"/>
      <c r="BT792" s="513"/>
      <c r="BU792" s="514"/>
      <c r="BV792" s="512"/>
      <c r="BW792" s="515"/>
    </row>
    <row r="793" spans="2:75" ht="15.75" customHeight="1">
      <c r="B793" s="250" t="s">
        <v>834</v>
      </c>
      <c r="C793" s="251">
        <v>42730970000192</v>
      </c>
      <c r="D793" s="252" t="s">
        <v>11</v>
      </c>
      <c r="E793" s="252" t="s">
        <v>620</v>
      </c>
      <c r="F793" s="252" t="s">
        <v>663</v>
      </c>
      <c r="G793" s="253" t="s">
        <v>738</v>
      </c>
      <c r="H793" s="253" t="s">
        <v>34</v>
      </c>
      <c r="I793" s="253"/>
      <c r="J793" s="253"/>
      <c r="K793" s="254" t="s">
        <v>48</v>
      </c>
      <c r="L793" s="255"/>
      <c r="M793" s="255" t="s">
        <v>34</v>
      </c>
      <c r="N793" s="254">
        <v>613657</v>
      </c>
      <c r="O793" s="254" t="s">
        <v>1321</v>
      </c>
      <c r="P793" s="258">
        <v>44456</v>
      </c>
      <c r="Q793" s="259">
        <v>32789041.18</v>
      </c>
      <c r="R793" s="259" t="s">
        <v>1417</v>
      </c>
      <c r="S793" s="254">
        <v>31</v>
      </c>
      <c r="T793" s="256">
        <v>8.9912659631264935E-2</v>
      </c>
      <c r="U793" s="256">
        <v>1.1623185003292709</v>
      </c>
      <c r="V793" s="256" t="s">
        <v>1417</v>
      </c>
      <c r="W793" s="256" t="s">
        <v>1417</v>
      </c>
      <c r="X793" s="256" t="s">
        <v>1417</v>
      </c>
      <c r="Y793" s="256" t="s">
        <v>1417</v>
      </c>
      <c r="Z793" s="256" t="s">
        <v>1417</v>
      </c>
      <c r="AA793" s="256" t="s">
        <v>1417</v>
      </c>
      <c r="AB793" s="256" t="s">
        <v>1417</v>
      </c>
      <c r="AC793" s="260" t="s">
        <v>1417</v>
      </c>
      <c r="AD793" s="405">
        <v>0</v>
      </c>
      <c r="AE793" s="257" t="s">
        <v>2144</v>
      </c>
      <c r="AF793" s="257" t="s">
        <v>2109</v>
      </c>
      <c r="AG793" s="261" t="s">
        <v>1432</v>
      </c>
      <c r="AH793" s="261" t="s">
        <v>2110</v>
      </c>
      <c r="AI793" s="261">
        <v>5000</v>
      </c>
      <c r="AJ793" s="261">
        <v>1000</v>
      </c>
      <c r="AK793" s="261">
        <v>1000</v>
      </c>
      <c r="AL793" s="256">
        <v>5.0000000000000001E-3</v>
      </c>
      <c r="AM793" s="256">
        <v>0.2</v>
      </c>
      <c r="AN793" s="256" t="s">
        <v>2127</v>
      </c>
      <c r="AO793" s="254" t="s">
        <v>1324</v>
      </c>
      <c r="AP793" s="257" t="s">
        <v>11</v>
      </c>
      <c r="AQ793" s="263" t="s">
        <v>675</v>
      </c>
      <c r="AR793" s="256">
        <v>1.6666666666666666E-3</v>
      </c>
      <c r="AS793" s="256">
        <v>1.6666666666666666E-3</v>
      </c>
      <c r="AT793" s="256"/>
      <c r="AX793" s="508"/>
      <c r="AY793" s="509"/>
      <c r="AZ793" s="509"/>
      <c r="BA793" s="509"/>
      <c r="BB793" s="510"/>
      <c r="BC793" s="509"/>
      <c r="BD793" s="509"/>
      <c r="BE793" s="509"/>
      <c r="BF793" s="509"/>
      <c r="BG793" s="510"/>
      <c r="BH793" s="510"/>
      <c r="BI793" s="511"/>
      <c r="BJ793" s="511"/>
      <c r="BK793" s="511"/>
      <c r="BL793" s="510"/>
      <c r="BM793" s="510"/>
      <c r="BN793" s="510"/>
      <c r="BO793" s="510"/>
      <c r="BP793" s="510"/>
      <c r="BQ793" s="510"/>
      <c r="BR793" s="510"/>
      <c r="BS793" s="510"/>
      <c r="BT793" s="513"/>
      <c r="BU793" s="514"/>
      <c r="BV793" s="512"/>
      <c r="BW793" s="515"/>
    </row>
    <row r="794" spans="2:75" ht="15.75" customHeight="1">
      <c r="B794" s="250" t="s">
        <v>842</v>
      </c>
      <c r="C794" s="251">
        <v>22232878000195</v>
      </c>
      <c r="D794" s="252" t="s">
        <v>11</v>
      </c>
      <c r="E794" s="252" t="s">
        <v>620</v>
      </c>
      <c r="F794" s="252" t="s">
        <v>663</v>
      </c>
      <c r="G794" s="253" t="s">
        <v>738</v>
      </c>
      <c r="H794" s="253" t="s">
        <v>34</v>
      </c>
      <c r="I794" s="253"/>
      <c r="J794" s="253" t="s">
        <v>608</v>
      </c>
      <c r="K794" s="254" t="s">
        <v>48</v>
      </c>
      <c r="L794" s="255"/>
      <c r="M794" s="255" t="s">
        <v>34</v>
      </c>
      <c r="N794" s="254">
        <v>400513</v>
      </c>
      <c r="O794" s="254" t="s">
        <v>1321</v>
      </c>
      <c r="P794" s="258">
        <v>42184</v>
      </c>
      <c r="Q794" s="259">
        <v>872297484.89999998</v>
      </c>
      <c r="R794" s="259">
        <v>770287889.70372963</v>
      </c>
      <c r="S794" s="254">
        <v>31</v>
      </c>
      <c r="T794" s="256">
        <v>9.580424770059226E-2</v>
      </c>
      <c r="U794" s="256">
        <v>1.2384802092296843</v>
      </c>
      <c r="V794" s="256">
        <v>0.13290943710770731</v>
      </c>
      <c r="W794" s="256">
        <v>1.302956897631167</v>
      </c>
      <c r="X794" s="256">
        <v>0.21163888100198269</v>
      </c>
      <c r="Y794" s="256">
        <v>1.6048960810735378</v>
      </c>
      <c r="Z794" s="256">
        <v>0.20171148576840259</v>
      </c>
      <c r="AA794" s="256">
        <v>1.1465934776036828</v>
      </c>
      <c r="AB794" s="256">
        <v>4.3802173247453778E-3</v>
      </c>
      <c r="AC794" s="260">
        <v>6.3187337712114067</v>
      </c>
      <c r="AD794" s="405">
        <v>0</v>
      </c>
      <c r="AE794" s="257" t="s">
        <v>2144</v>
      </c>
      <c r="AF794" s="257" t="s">
        <v>2109</v>
      </c>
      <c r="AG794" s="261" t="s">
        <v>1432</v>
      </c>
      <c r="AH794" s="261" t="s">
        <v>2131</v>
      </c>
      <c r="AI794" s="261">
        <v>0</v>
      </c>
      <c r="AJ794" s="261">
        <v>0</v>
      </c>
      <c r="AK794" s="261">
        <v>0</v>
      </c>
      <c r="AL794" s="256">
        <v>3.0000000000000001E-3</v>
      </c>
      <c r="AM794" s="256">
        <v>0.2</v>
      </c>
      <c r="AN794" s="256" t="s">
        <v>34</v>
      </c>
      <c r="AO794" s="254" t="s">
        <v>1324</v>
      </c>
      <c r="AP794" s="257" t="s">
        <v>11</v>
      </c>
      <c r="AQ794" s="263" t="s">
        <v>675</v>
      </c>
      <c r="AR794" s="256">
        <v>1.0499999999999999E-3</v>
      </c>
      <c r="AS794" s="256">
        <v>1.0499999999999999E-3</v>
      </c>
      <c r="AT794" s="256"/>
      <c r="AX794" s="508"/>
      <c r="AY794" s="509"/>
      <c r="AZ794" s="509"/>
      <c r="BA794" s="509"/>
      <c r="BB794" s="510"/>
      <c r="BC794" s="509"/>
      <c r="BD794" s="509"/>
      <c r="BE794" s="509"/>
      <c r="BF794" s="509"/>
      <c r="BG794" s="510"/>
      <c r="BH794" s="510"/>
      <c r="BI794" s="511"/>
      <c r="BJ794" s="511"/>
      <c r="BK794" s="511"/>
      <c r="BL794" s="510"/>
      <c r="BM794" s="510"/>
      <c r="BN794" s="510"/>
      <c r="BO794" s="510"/>
      <c r="BP794" s="510"/>
      <c r="BQ794" s="510"/>
      <c r="BR794" s="510"/>
      <c r="BS794" s="510"/>
      <c r="BT794" s="513"/>
      <c r="BU794" s="514"/>
      <c r="BV794" s="512"/>
      <c r="BW794" s="515"/>
    </row>
    <row r="795" spans="2:75" ht="15.75" customHeight="1">
      <c r="B795" s="250" t="s">
        <v>844</v>
      </c>
      <c r="C795" s="251">
        <v>14171644000157</v>
      </c>
      <c r="D795" s="252" t="s">
        <v>11</v>
      </c>
      <c r="E795" s="252" t="s">
        <v>620</v>
      </c>
      <c r="F795" s="252" t="s">
        <v>663</v>
      </c>
      <c r="G795" s="253" t="s">
        <v>738</v>
      </c>
      <c r="H795" s="253" t="s">
        <v>34</v>
      </c>
      <c r="I795" s="253"/>
      <c r="J795" s="253" t="s">
        <v>608</v>
      </c>
      <c r="K795" s="254" t="s">
        <v>48</v>
      </c>
      <c r="L795" s="255"/>
      <c r="M795" s="255" t="s">
        <v>34</v>
      </c>
      <c r="N795" s="254">
        <v>293075</v>
      </c>
      <c r="O795" s="254" t="s">
        <v>1321</v>
      </c>
      <c r="P795" s="258">
        <v>40899</v>
      </c>
      <c r="Q795" s="259">
        <v>2306468079.9299998</v>
      </c>
      <c r="R795" s="259">
        <v>1605036599.9946835</v>
      </c>
      <c r="S795" s="254">
        <v>31</v>
      </c>
      <c r="T795" s="256">
        <v>9.0101196256108906E-2</v>
      </c>
      <c r="U795" s="256">
        <v>1.1647557500774652</v>
      </c>
      <c r="V795" s="256">
        <v>0.12301066003320638</v>
      </c>
      <c r="W795" s="256">
        <v>1.2059157834107959</v>
      </c>
      <c r="X795" s="256">
        <v>0.19820742496176469</v>
      </c>
      <c r="Y795" s="256">
        <v>1.5030429099548743</v>
      </c>
      <c r="Z795" s="256">
        <v>0.18479677201462263</v>
      </c>
      <c r="AA795" s="256">
        <v>1.0504447610755363</v>
      </c>
      <c r="AB795" s="256">
        <v>2.8651766729626822E-3</v>
      </c>
      <c r="AC795" s="260">
        <v>6.5936218437068863</v>
      </c>
      <c r="AD795" s="405">
        <v>14557317000138</v>
      </c>
      <c r="AE795" s="257" t="s">
        <v>2144</v>
      </c>
      <c r="AF795" s="257" t="s">
        <v>2109</v>
      </c>
      <c r="AG795" s="261" t="s">
        <v>1432</v>
      </c>
      <c r="AH795" s="261" t="s">
        <v>2113</v>
      </c>
      <c r="AI795" s="261">
        <v>5000</v>
      </c>
      <c r="AJ795" s="261">
        <v>1000</v>
      </c>
      <c r="AK795" s="261">
        <v>1000</v>
      </c>
      <c r="AL795" s="256">
        <v>5.0000000000000001E-3</v>
      </c>
      <c r="AM795" s="256">
        <v>0.2</v>
      </c>
      <c r="AN795" s="256" t="s">
        <v>2127</v>
      </c>
      <c r="AO795" s="254" t="s">
        <v>1324</v>
      </c>
      <c r="AP795" s="257" t="s">
        <v>11</v>
      </c>
      <c r="AQ795" s="263" t="s">
        <v>675</v>
      </c>
      <c r="AR795" s="256">
        <v>1.7499999999999998E-3</v>
      </c>
      <c r="AS795" s="256">
        <v>1.7499999999999998E-3</v>
      </c>
      <c r="AT795" s="256"/>
      <c r="AX795" s="508"/>
      <c r="AY795" s="509"/>
      <c r="AZ795" s="509"/>
      <c r="BA795" s="509"/>
      <c r="BB795" s="510"/>
      <c r="BC795" s="509"/>
      <c r="BD795" s="509"/>
      <c r="BE795" s="509"/>
      <c r="BF795" s="509"/>
      <c r="BG795" s="510"/>
      <c r="BH795" s="510"/>
      <c r="BI795" s="511"/>
      <c r="BJ795" s="511"/>
      <c r="BK795" s="511"/>
      <c r="BL795" s="510"/>
      <c r="BM795" s="510"/>
      <c r="BN795" s="510"/>
      <c r="BO795" s="510"/>
      <c r="BP795" s="510"/>
      <c r="BQ795" s="510"/>
      <c r="BR795" s="510"/>
      <c r="BS795" s="510"/>
      <c r="BT795" s="513"/>
      <c r="BU795" s="514"/>
      <c r="BV795" s="512"/>
      <c r="BW795" s="515"/>
    </row>
    <row r="796" spans="2:75" ht="15.75" customHeight="1">
      <c r="B796" s="250" t="s">
        <v>845</v>
      </c>
      <c r="C796" s="251">
        <v>44347394000124</v>
      </c>
      <c r="D796" s="252" t="s">
        <v>11</v>
      </c>
      <c r="E796" s="252" t="s">
        <v>621</v>
      </c>
      <c r="F796" s="252" t="s">
        <v>663</v>
      </c>
      <c r="G796" s="253" t="s">
        <v>865</v>
      </c>
      <c r="H796" s="253" t="s">
        <v>34</v>
      </c>
      <c r="I796" s="253"/>
      <c r="J796" s="253" t="s">
        <v>608</v>
      </c>
      <c r="K796" s="254" t="s">
        <v>48</v>
      </c>
      <c r="L796" s="255"/>
      <c r="M796" s="255" t="s">
        <v>1414</v>
      </c>
      <c r="N796" s="254">
        <v>634778</v>
      </c>
      <c r="O796" s="254" t="s">
        <v>1321</v>
      </c>
      <c r="P796" s="258">
        <v>44579</v>
      </c>
      <c r="Q796" s="259">
        <v>78422537.760000005</v>
      </c>
      <c r="R796" s="259" t="s">
        <v>1417</v>
      </c>
      <c r="S796" s="254">
        <v>31</v>
      </c>
      <c r="T796" s="256" t="s">
        <v>1417</v>
      </c>
      <c r="U796" s="256" t="s">
        <v>1417</v>
      </c>
      <c r="V796" s="256" t="s">
        <v>1417</v>
      </c>
      <c r="W796" s="256" t="s">
        <v>1417</v>
      </c>
      <c r="X796" s="256" t="s">
        <v>1417</v>
      </c>
      <c r="Y796" s="256" t="s">
        <v>1417</v>
      </c>
      <c r="Z796" s="256" t="s">
        <v>1417</v>
      </c>
      <c r="AA796" s="256" t="s">
        <v>1417</v>
      </c>
      <c r="AB796" s="256" t="s">
        <v>1417</v>
      </c>
      <c r="AC796" s="260" t="s">
        <v>1417</v>
      </c>
      <c r="AD796" s="405">
        <v>0</v>
      </c>
      <c r="AE796" s="257" t="s">
        <v>2144</v>
      </c>
      <c r="AF796" s="257" t="s">
        <v>2109</v>
      </c>
      <c r="AG796" s="261" t="s">
        <v>1432</v>
      </c>
      <c r="AH796" s="261" t="s">
        <v>2113</v>
      </c>
      <c r="AI796" s="261">
        <v>1000</v>
      </c>
      <c r="AJ796" s="261">
        <v>1000</v>
      </c>
      <c r="AK796" s="261">
        <v>1000</v>
      </c>
      <c r="AL796" s="256">
        <v>5.0000000000000001E-3</v>
      </c>
      <c r="AM796" s="256">
        <v>0.2</v>
      </c>
      <c r="AN796" s="256" t="s">
        <v>2127</v>
      </c>
      <c r="AO796" s="254" t="s">
        <v>1324</v>
      </c>
      <c r="AP796" s="257" t="s">
        <v>11</v>
      </c>
      <c r="AQ796" s="263" t="s">
        <v>675</v>
      </c>
      <c r="AR796" s="256" t="s">
        <v>34</v>
      </c>
      <c r="AS796" s="256" t="s">
        <v>34</v>
      </c>
      <c r="AT796" s="256"/>
      <c r="AX796" s="508"/>
      <c r="AY796" s="509"/>
      <c r="AZ796" s="509"/>
      <c r="BA796" s="509"/>
      <c r="BB796" s="510"/>
      <c r="BC796" s="509"/>
      <c r="BD796" s="509"/>
      <c r="BE796" s="509"/>
      <c r="BF796" s="509"/>
      <c r="BG796" s="510"/>
      <c r="BH796" s="510"/>
      <c r="BI796" s="511"/>
      <c r="BJ796" s="511"/>
      <c r="BK796" s="511"/>
      <c r="BL796" s="510"/>
      <c r="BM796" s="510"/>
      <c r="BN796" s="510"/>
      <c r="BO796" s="510"/>
      <c r="BP796" s="510"/>
      <c r="BQ796" s="510"/>
      <c r="BR796" s="510"/>
      <c r="BS796" s="510"/>
      <c r="BT796" s="513"/>
      <c r="BU796" s="514"/>
      <c r="BV796" s="512"/>
      <c r="BW796" s="515"/>
    </row>
    <row r="797" spans="2:75" ht="15.75" customHeight="1">
      <c r="B797" s="250" t="s">
        <v>160</v>
      </c>
      <c r="C797" s="251">
        <v>23714047000112</v>
      </c>
      <c r="D797" s="252" t="s">
        <v>11</v>
      </c>
      <c r="E797" s="252" t="s">
        <v>620</v>
      </c>
      <c r="F797" s="252" t="s">
        <v>663</v>
      </c>
      <c r="G797" s="253" t="s">
        <v>738</v>
      </c>
      <c r="H797" s="253" t="s">
        <v>34</v>
      </c>
      <c r="I797" s="253" t="s">
        <v>1304</v>
      </c>
      <c r="J797" s="253" t="s">
        <v>608</v>
      </c>
      <c r="K797" s="254" t="s">
        <v>48</v>
      </c>
      <c r="L797" s="255"/>
      <c r="M797" s="255" t="s">
        <v>34</v>
      </c>
      <c r="N797" s="254">
        <v>474045</v>
      </c>
      <c r="O797" s="254" t="s">
        <v>1321</v>
      </c>
      <c r="P797" s="258">
        <v>43342</v>
      </c>
      <c r="Q797" s="259">
        <v>204482853.86000001</v>
      </c>
      <c r="R797" s="259">
        <v>103848875.24484126</v>
      </c>
      <c r="S797" s="254">
        <v>31</v>
      </c>
      <c r="T797" s="256">
        <v>0.10114109912272218</v>
      </c>
      <c r="U797" s="256">
        <v>1.3074707292175192</v>
      </c>
      <c r="V797" s="256">
        <v>0.14290300392529298</v>
      </c>
      <c r="W797" s="256">
        <v>1.4009272682855778</v>
      </c>
      <c r="X797" s="256">
        <v>0.21013603455960128</v>
      </c>
      <c r="Y797" s="256">
        <v>1.5934997234930484</v>
      </c>
      <c r="Z797" s="256">
        <v>0.19094886652606191</v>
      </c>
      <c r="AA797" s="256">
        <v>1.0854152607153871</v>
      </c>
      <c r="AB797" s="256">
        <v>1.3297108047668068E-2</v>
      </c>
      <c r="AC797" s="260">
        <v>2.7481567091282195</v>
      </c>
      <c r="AD797" s="405">
        <v>0</v>
      </c>
      <c r="AE797" s="257" t="s">
        <v>2195</v>
      </c>
      <c r="AF797" s="257" t="s">
        <v>2195</v>
      </c>
      <c r="AG797" s="261" t="s">
        <v>719</v>
      </c>
      <c r="AH797" s="261" t="s">
        <v>2110</v>
      </c>
      <c r="AI797" s="261">
        <v>1000</v>
      </c>
      <c r="AJ797" s="261">
        <v>1000</v>
      </c>
      <c r="AK797" s="261">
        <v>1000</v>
      </c>
      <c r="AL797" s="256">
        <v>2.5000000000000001E-3</v>
      </c>
      <c r="AM797" s="256">
        <v>0.2</v>
      </c>
      <c r="AN797" s="256" t="s">
        <v>64</v>
      </c>
      <c r="AO797" s="254" t="s">
        <v>1324</v>
      </c>
      <c r="AP797" s="257" t="s">
        <v>11</v>
      </c>
      <c r="AQ797" s="263" t="s">
        <v>662</v>
      </c>
      <c r="AR797" s="256">
        <v>1.5E-3</v>
      </c>
      <c r="AS797" s="256">
        <v>1.5E-3</v>
      </c>
      <c r="AT797" s="256"/>
      <c r="AX797" s="508"/>
      <c r="AY797" s="509"/>
      <c r="AZ797" s="509"/>
      <c r="BA797" s="509"/>
      <c r="BB797" s="510"/>
      <c r="BC797" s="509"/>
      <c r="BD797" s="509"/>
      <c r="BE797" s="509"/>
      <c r="BF797" s="509"/>
      <c r="BG797" s="510"/>
      <c r="BH797" s="510"/>
      <c r="BI797" s="511"/>
      <c r="BJ797" s="511"/>
      <c r="BK797" s="511"/>
      <c r="BL797" s="510"/>
      <c r="BM797" s="510"/>
      <c r="BN797" s="510"/>
      <c r="BO797" s="510"/>
      <c r="BP797" s="510"/>
      <c r="BQ797" s="510"/>
      <c r="BR797" s="510"/>
      <c r="BS797" s="510"/>
      <c r="BT797" s="513"/>
      <c r="BU797" s="514"/>
      <c r="BV797" s="512"/>
      <c r="BW797" s="515"/>
    </row>
    <row r="798" spans="2:75" ht="15.75" customHeight="1">
      <c r="B798" s="250" t="s">
        <v>161</v>
      </c>
      <c r="C798" s="251">
        <v>11447124000136</v>
      </c>
      <c r="D798" s="252" t="s">
        <v>11</v>
      </c>
      <c r="E798" s="252" t="s">
        <v>620</v>
      </c>
      <c r="F798" s="252" t="s">
        <v>663</v>
      </c>
      <c r="G798" s="253" t="s">
        <v>738</v>
      </c>
      <c r="H798" s="253" t="s">
        <v>34</v>
      </c>
      <c r="I798" s="253" t="s">
        <v>1304</v>
      </c>
      <c r="J798" s="253" t="s">
        <v>608</v>
      </c>
      <c r="K798" s="254" t="s">
        <v>48</v>
      </c>
      <c r="L798" s="255"/>
      <c r="M798" s="255" t="s">
        <v>34</v>
      </c>
      <c r="N798" s="254">
        <v>284211</v>
      </c>
      <c r="O798" s="254" t="s">
        <v>1321</v>
      </c>
      <c r="P798" s="258">
        <v>40771</v>
      </c>
      <c r="Q798" s="259">
        <v>684214366.98000002</v>
      </c>
      <c r="R798" s="259">
        <v>619685311.5521028</v>
      </c>
      <c r="S798" s="254">
        <v>31</v>
      </c>
      <c r="T798" s="256">
        <v>9.7754495066614933E-2</v>
      </c>
      <c r="U798" s="256">
        <v>1.2636914375822084</v>
      </c>
      <c r="V798" s="256">
        <v>0.1380179698630335</v>
      </c>
      <c r="W798" s="256">
        <v>1.3530376002146332</v>
      </c>
      <c r="X798" s="256">
        <v>0.20818917569990658</v>
      </c>
      <c r="Y798" s="256">
        <v>1.5787363390925324</v>
      </c>
      <c r="Z798" s="256">
        <v>0.18589107218022738</v>
      </c>
      <c r="AA798" s="256">
        <v>1.0566651179761029</v>
      </c>
      <c r="AB798" s="256">
        <v>8.6946809779191551E-3</v>
      </c>
      <c r="AC798" s="260">
        <v>3.7041930272784342</v>
      </c>
      <c r="AD798" s="405">
        <v>0</v>
      </c>
      <c r="AE798" s="257" t="s">
        <v>2195</v>
      </c>
      <c r="AF798" s="257" t="s">
        <v>2195</v>
      </c>
      <c r="AG798" s="261" t="s">
        <v>719</v>
      </c>
      <c r="AH798" s="261" t="s">
        <v>2113</v>
      </c>
      <c r="AI798" s="261">
        <v>1000</v>
      </c>
      <c r="AJ798" s="261">
        <v>1000</v>
      </c>
      <c r="AK798" s="261">
        <v>1000</v>
      </c>
      <c r="AL798" s="256">
        <v>5.0000000000000001E-3</v>
      </c>
      <c r="AM798" s="256" t="s">
        <v>34</v>
      </c>
      <c r="AN798" s="256" t="s">
        <v>64</v>
      </c>
      <c r="AO798" s="254" t="s">
        <v>1324</v>
      </c>
      <c r="AP798" s="257" t="s">
        <v>11</v>
      </c>
      <c r="AQ798" s="263" t="s">
        <v>662</v>
      </c>
      <c r="AR798" s="256">
        <v>1.5E-3</v>
      </c>
      <c r="AS798" s="256">
        <v>1.5E-3</v>
      </c>
      <c r="AT798" s="256"/>
      <c r="AX798" s="508"/>
      <c r="AY798" s="509"/>
      <c r="AZ798" s="509"/>
      <c r="BA798" s="509"/>
      <c r="BB798" s="510"/>
      <c r="BC798" s="509"/>
      <c r="BD798" s="509"/>
      <c r="BE798" s="509"/>
      <c r="BF798" s="509"/>
      <c r="BG798" s="510"/>
      <c r="BH798" s="510"/>
      <c r="BI798" s="511"/>
      <c r="BJ798" s="511"/>
      <c r="BK798" s="511"/>
      <c r="BL798" s="510"/>
      <c r="BM798" s="510"/>
      <c r="BN798" s="510"/>
      <c r="BO798" s="510"/>
      <c r="BP798" s="510"/>
      <c r="BQ798" s="510"/>
      <c r="BR798" s="510"/>
      <c r="BS798" s="510"/>
      <c r="BT798" s="513"/>
      <c r="BU798" s="514"/>
      <c r="BV798" s="512"/>
      <c r="BW798" s="515"/>
    </row>
    <row r="799" spans="2:75" ht="15.75" customHeight="1">
      <c r="B799" s="250" t="s">
        <v>480</v>
      </c>
      <c r="C799" s="251">
        <v>42847342000191</v>
      </c>
      <c r="D799" s="252" t="s">
        <v>11</v>
      </c>
      <c r="E799" s="252" t="s">
        <v>620</v>
      </c>
      <c r="F799" s="252" t="s">
        <v>663</v>
      </c>
      <c r="G799" s="253" t="s">
        <v>738</v>
      </c>
      <c r="H799" s="253" t="s">
        <v>34</v>
      </c>
      <c r="I799" s="253"/>
      <c r="J799" s="253"/>
      <c r="K799" s="254" t="s">
        <v>48</v>
      </c>
      <c r="L799" s="255"/>
      <c r="M799" s="255" t="s">
        <v>1414</v>
      </c>
      <c r="N799" s="254">
        <v>614548</v>
      </c>
      <c r="O799" s="254" t="s">
        <v>1321</v>
      </c>
      <c r="P799" s="258">
        <v>44459</v>
      </c>
      <c r="Q799" s="259">
        <v>52863376.850000001</v>
      </c>
      <c r="R799" s="259" t="s">
        <v>1417</v>
      </c>
      <c r="S799" s="254">
        <v>31</v>
      </c>
      <c r="T799" s="256">
        <v>9.7665940157850129E-2</v>
      </c>
      <c r="U799" s="256">
        <v>1.2625466709923374</v>
      </c>
      <c r="V799" s="256" t="s">
        <v>1417</v>
      </c>
      <c r="W799" s="256" t="s">
        <v>1417</v>
      </c>
      <c r="X799" s="256" t="s">
        <v>1417</v>
      </c>
      <c r="Y799" s="256" t="s">
        <v>1417</v>
      </c>
      <c r="Z799" s="256" t="s">
        <v>1417</v>
      </c>
      <c r="AA799" s="256" t="s">
        <v>1417</v>
      </c>
      <c r="AB799" s="256" t="s">
        <v>1417</v>
      </c>
      <c r="AC799" s="260" t="s">
        <v>1417</v>
      </c>
      <c r="AD799" s="405">
        <v>0</v>
      </c>
      <c r="AE799" s="257" t="s">
        <v>2199</v>
      </c>
      <c r="AF799" s="257" t="s">
        <v>2109</v>
      </c>
      <c r="AG799" s="261" t="s">
        <v>1432</v>
      </c>
      <c r="AH799" s="261" t="s">
        <v>2131</v>
      </c>
      <c r="AI799" s="261">
        <v>1000</v>
      </c>
      <c r="AJ799" s="261" t="s">
        <v>1427</v>
      </c>
      <c r="AK799" s="261" t="s">
        <v>1427</v>
      </c>
      <c r="AL799" s="256">
        <v>5.5000000000000005E-3</v>
      </c>
      <c r="AM799" s="256">
        <v>0.15</v>
      </c>
      <c r="AN799" s="256" t="s">
        <v>64</v>
      </c>
      <c r="AO799" s="254" t="s">
        <v>1324</v>
      </c>
      <c r="AP799" s="257" t="s">
        <v>13</v>
      </c>
      <c r="AQ799" s="263" t="s">
        <v>668</v>
      </c>
      <c r="AR799" s="256" t="s">
        <v>34</v>
      </c>
      <c r="AS799" s="256" t="s">
        <v>34</v>
      </c>
      <c r="AT799" s="256"/>
      <c r="AX799" s="508"/>
      <c r="AY799" s="509"/>
      <c r="AZ799" s="509"/>
      <c r="BA799" s="509"/>
      <c r="BB799" s="510"/>
      <c r="BC799" s="509"/>
      <c r="BD799" s="509"/>
      <c r="BE799" s="509"/>
      <c r="BF799" s="509"/>
      <c r="BG799" s="510"/>
      <c r="BH799" s="510"/>
      <c r="BI799" s="511"/>
      <c r="BJ799" s="511"/>
      <c r="BK799" s="511"/>
      <c r="BL799" s="510"/>
      <c r="BM799" s="510"/>
      <c r="BN799" s="510"/>
      <c r="BO799" s="510"/>
      <c r="BP799" s="510"/>
      <c r="BQ799" s="510"/>
      <c r="BR799" s="510"/>
      <c r="BS799" s="510"/>
      <c r="BT799" s="513"/>
      <c r="BU799" s="514"/>
      <c r="BV799" s="512"/>
      <c r="BW799" s="515"/>
    </row>
    <row r="800" spans="2:75" ht="15.75" customHeight="1">
      <c r="B800" s="250" t="s">
        <v>169</v>
      </c>
      <c r="C800" s="251">
        <v>11447136000160</v>
      </c>
      <c r="D800" s="252" t="s">
        <v>11</v>
      </c>
      <c r="E800" s="252" t="s">
        <v>620</v>
      </c>
      <c r="F800" s="252" t="s">
        <v>663</v>
      </c>
      <c r="G800" s="253" t="s">
        <v>738</v>
      </c>
      <c r="H800" s="253" t="s">
        <v>34</v>
      </c>
      <c r="I800" s="253"/>
      <c r="J800" s="253" t="s">
        <v>608</v>
      </c>
      <c r="K800" s="254" t="s">
        <v>48</v>
      </c>
      <c r="L800" s="255"/>
      <c r="M800" s="255" t="s">
        <v>34</v>
      </c>
      <c r="N800" s="254">
        <v>248185</v>
      </c>
      <c r="O800" s="254" t="s">
        <v>1321</v>
      </c>
      <c r="P800" s="258">
        <v>40302</v>
      </c>
      <c r="Q800" s="259">
        <v>94555760.049999997</v>
      </c>
      <c r="R800" s="259">
        <v>86271904.864484146</v>
      </c>
      <c r="S800" s="254">
        <v>31</v>
      </c>
      <c r="T800" s="256">
        <v>8.7060516875523186E-2</v>
      </c>
      <c r="U800" s="256">
        <v>1.1254482942406725</v>
      </c>
      <c r="V800" s="256">
        <v>0.11747949965024351</v>
      </c>
      <c r="W800" s="256">
        <v>1.1516919169215758</v>
      </c>
      <c r="X800" s="256">
        <v>0.17735283324384477</v>
      </c>
      <c r="Y800" s="256">
        <v>1.3448987525012881</v>
      </c>
      <c r="Z800" s="256">
        <v>0.20121414567572526</v>
      </c>
      <c r="AA800" s="256">
        <v>1.1437664352850843</v>
      </c>
      <c r="AB800" s="256">
        <v>1.8897620909978021E-3</v>
      </c>
      <c r="AC800" s="260">
        <v>7.3818243182759993</v>
      </c>
      <c r="AD800" s="405">
        <v>0</v>
      </c>
      <c r="AE800" s="257" t="s">
        <v>2209</v>
      </c>
      <c r="AF800" s="257" t="s">
        <v>2118</v>
      </c>
      <c r="AG800" s="261" t="s">
        <v>1433</v>
      </c>
      <c r="AH800" s="261" t="s">
        <v>2113</v>
      </c>
      <c r="AI800" s="261">
        <v>1000</v>
      </c>
      <c r="AJ800" s="261">
        <v>1</v>
      </c>
      <c r="AK800" s="261">
        <v>1000</v>
      </c>
      <c r="AL800" s="256">
        <v>5.0000000000000001E-3</v>
      </c>
      <c r="AM800" s="256" t="s">
        <v>34</v>
      </c>
      <c r="AN800" s="256" t="s">
        <v>2127</v>
      </c>
      <c r="AO800" s="254" t="s">
        <v>1324</v>
      </c>
      <c r="AP800" s="257" t="s">
        <v>11</v>
      </c>
      <c r="AQ800" s="263" t="s">
        <v>675</v>
      </c>
      <c r="AR800" s="256">
        <v>1.6666666666666666E-3</v>
      </c>
      <c r="AS800" s="256">
        <v>1.6666666666666666E-3</v>
      </c>
      <c r="AT800" s="256"/>
      <c r="AX800" s="508"/>
      <c r="AY800" s="509"/>
      <c r="AZ800" s="509"/>
      <c r="BA800" s="509"/>
      <c r="BB800" s="510"/>
      <c r="BC800" s="509"/>
      <c r="BD800" s="509"/>
      <c r="BE800" s="509"/>
      <c r="BF800" s="509"/>
      <c r="BG800" s="510"/>
      <c r="BH800" s="510"/>
      <c r="BI800" s="511"/>
      <c r="BJ800" s="511"/>
      <c r="BK800" s="511"/>
      <c r="BL800" s="510"/>
      <c r="BM800" s="510"/>
      <c r="BN800" s="510"/>
      <c r="BO800" s="510"/>
      <c r="BP800" s="510"/>
      <c r="BQ800" s="510"/>
      <c r="BR800" s="510"/>
      <c r="BS800" s="510"/>
      <c r="BT800" s="513"/>
      <c r="BU800" s="514"/>
      <c r="BV800" s="512"/>
      <c r="BW800" s="515"/>
    </row>
    <row r="801" spans="2:75" ht="15.75" customHeight="1">
      <c r="B801" s="250" t="s">
        <v>1540</v>
      </c>
      <c r="C801" s="251">
        <v>29813630000167</v>
      </c>
      <c r="D801" s="252" t="s">
        <v>11</v>
      </c>
      <c r="E801" s="252" t="s">
        <v>620</v>
      </c>
      <c r="F801" s="252" t="s">
        <v>663</v>
      </c>
      <c r="G801" s="253" t="s">
        <v>738</v>
      </c>
      <c r="H801" s="253" t="s">
        <v>34</v>
      </c>
      <c r="I801" s="253"/>
      <c r="J801" s="253" t="s">
        <v>608</v>
      </c>
      <c r="K801" s="254" t="s">
        <v>48</v>
      </c>
      <c r="L801" s="255"/>
      <c r="M801" s="255"/>
      <c r="N801" s="254">
        <v>488623</v>
      </c>
      <c r="O801" s="254" t="s">
        <v>1321</v>
      </c>
      <c r="P801" s="258">
        <v>43357</v>
      </c>
      <c r="Q801" s="259">
        <v>54686119.789999999</v>
      </c>
      <c r="R801" s="259">
        <v>60851150.209642865</v>
      </c>
      <c r="S801" s="254">
        <v>31</v>
      </c>
      <c r="T801" s="256">
        <v>0.10373428971706233</v>
      </c>
      <c r="U801" s="256">
        <v>1.1667943200116895</v>
      </c>
      <c r="V801" s="256">
        <v>0.12855298414771332</v>
      </c>
      <c r="W801" s="256">
        <v>1.1798218040162316</v>
      </c>
      <c r="X801" s="256">
        <v>0.19617597766229045</v>
      </c>
      <c r="Y801" s="256">
        <v>1.3794683660114171</v>
      </c>
      <c r="Z801" s="256">
        <v>0.2224048790585551</v>
      </c>
      <c r="AA801" s="256">
        <v>1.2153456263381619</v>
      </c>
      <c r="AB801" s="256">
        <v>2.3776567160109581E-3</v>
      </c>
      <c r="AC801" s="260">
        <v>7.3701202257953851</v>
      </c>
      <c r="AD801" s="405">
        <v>11447136000160</v>
      </c>
      <c r="AE801" s="257" t="s">
        <v>2209</v>
      </c>
      <c r="AF801" s="257" t="s">
        <v>2118</v>
      </c>
      <c r="AG801" s="261" t="s">
        <v>1433</v>
      </c>
      <c r="AH801" s="261" t="s">
        <v>2113</v>
      </c>
      <c r="AI801" s="261">
        <v>5000</v>
      </c>
      <c r="AJ801" s="261">
        <v>1000</v>
      </c>
      <c r="AK801" s="261">
        <v>5000</v>
      </c>
      <c r="AL801" s="256">
        <v>1.0000000000000001E-5</v>
      </c>
      <c r="AM801" s="256" t="s">
        <v>34</v>
      </c>
      <c r="AN801" s="256" t="s">
        <v>64</v>
      </c>
      <c r="AO801" s="254" t="s">
        <v>1324</v>
      </c>
      <c r="AP801" s="257" t="s">
        <v>11</v>
      </c>
      <c r="AQ801" s="263" t="s">
        <v>675</v>
      </c>
      <c r="AR801" s="256" t="s">
        <v>34</v>
      </c>
      <c r="AS801" s="256" t="s">
        <v>34</v>
      </c>
      <c r="AT801" s="256"/>
      <c r="AX801" s="508"/>
      <c r="AY801" s="509"/>
      <c r="AZ801" s="509"/>
      <c r="BA801" s="509"/>
      <c r="BB801" s="510"/>
      <c r="BC801" s="509"/>
      <c r="BD801" s="509"/>
      <c r="BE801" s="509"/>
      <c r="BF801" s="509"/>
      <c r="BG801" s="510"/>
      <c r="BH801" s="510"/>
      <c r="BI801" s="511"/>
      <c r="BJ801" s="511"/>
      <c r="BK801" s="511"/>
      <c r="BL801" s="510"/>
      <c r="BM801" s="510"/>
      <c r="BN801" s="510"/>
      <c r="BO801" s="510"/>
      <c r="BP801" s="510"/>
      <c r="BQ801" s="510"/>
      <c r="BR801" s="510"/>
      <c r="BS801" s="510"/>
      <c r="BT801" s="513"/>
      <c r="BU801" s="514"/>
      <c r="BV801" s="512"/>
      <c r="BW801" s="515"/>
    </row>
    <row r="802" spans="2:75" ht="15.75" customHeight="1">
      <c r="B802" s="250" t="s">
        <v>484</v>
      </c>
      <c r="C802" s="251">
        <v>29613915000154</v>
      </c>
      <c r="D802" s="252" t="s">
        <v>11</v>
      </c>
      <c r="E802" s="252" t="s">
        <v>620</v>
      </c>
      <c r="F802" s="252" t="s">
        <v>663</v>
      </c>
      <c r="G802" s="253" t="s">
        <v>738</v>
      </c>
      <c r="H802" s="253" t="s">
        <v>34</v>
      </c>
      <c r="I802" s="253"/>
      <c r="J802" s="253" t="s">
        <v>608</v>
      </c>
      <c r="K802" s="254" t="s">
        <v>48</v>
      </c>
      <c r="L802" s="255"/>
      <c r="M802" s="255" t="s">
        <v>34</v>
      </c>
      <c r="N802" s="254">
        <v>483761</v>
      </c>
      <c r="O802" s="254" t="s">
        <v>1321</v>
      </c>
      <c r="P802" s="258">
        <v>43448</v>
      </c>
      <c r="Q802" s="259">
        <v>26517597.550000001</v>
      </c>
      <c r="R802" s="259">
        <v>26883113.773214288</v>
      </c>
      <c r="S802" s="254">
        <v>31</v>
      </c>
      <c r="T802" s="256">
        <v>5.6337606938064999E-2</v>
      </c>
      <c r="U802" s="256">
        <v>0.72828724093955932</v>
      </c>
      <c r="V802" s="256">
        <v>8.0590302228522814E-2</v>
      </c>
      <c r="W802" s="256">
        <v>0.7900544344773619</v>
      </c>
      <c r="X802" s="256">
        <v>0.15245268678096524</v>
      </c>
      <c r="Y802" s="256">
        <v>1.1560764184989736</v>
      </c>
      <c r="Z802" s="256">
        <v>0.18166224841870027</v>
      </c>
      <c r="AA802" s="256">
        <v>1.0326271127805553</v>
      </c>
      <c r="AB802" s="256">
        <v>1.7776238300985445E-2</v>
      </c>
      <c r="AC802" s="260">
        <v>-1.0955786306340431</v>
      </c>
      <c r="AD802" s="405">
        <v>42046759000155</v>
      </c>
      <c r="AE802" s="257" t="s">
        <v>2241</v>
      </c>
      <c r="AF802" s="257" t="s">
        <v>2109</v>
      </c>
      <c r="AG802" s="261" t="s">
        <v>1432</v>
      </c>
      <c r="AH802" s="261" t="s">
        <v>2113</v>
      </c>
      <c r="AI802" s="261">
        <v>1000</v>
      </c>
      <c r="AJ802" s="261">
        <v>1000</v>
      </c>
      <c r="AK802" s="261">
        <v>1000</v>
      </c>
      <c r="AL802" s="256">
        <v>1.8700000000000001E-2</v>
      </c>
      <c r="AM802" s="256">
        <v>0.2</v>
      </c>
      <c r="AN802" s="256" t="s">
        <v>2127</v>
      </c>
      <c r="AO802" s="254" t="s">
        <v>1324</v>
      </c>
      <c r="AP802" s="257" t="s">
        <v>13</v>
      </c>
      <c r="AQ802" s="263" t="s">
        <v>664</v>
      </c>
      <c r="AR802" s="256">
        <v>4.986666666666667E-3</v>
      </c>
      <c r="AS802" s="256">
        <v>4.986666666666667E-3</v>
      </c>
      <c r="AT802" s="256"/>
      <c r="AW802" s="508"/>
      <c r="AX802" s="508"/>
      <c r="AY802" s="509"/>
      <c r="AZ802" s="509"/>
      <c r="BA802" s="509"/>
      <c r="BB802" s="510"/>
      <c r="BC802" s="509"/>
      <c r="BD802" s="509"/>
      <c r="BE802" s="509"/>
      <c r="BF802" s="509"/>
      <c r="BG802" s="510"/>
      <c r="BH802" s="510"/>
      <c r="BI802" s="511"/>
      <c r="BJ802" s="511"/>
      <c r="BK802" s="511"/>
      <c r="BL802" s="195"/>
      <c r="BM802" s="510"/>
      <c r="BN802" s="510"/>
      <c r="BO802" s="510"/>
      <c r="BP802" s="510"/>
      <c r="BQ802" s="510"/>
      <c r="BR802" s="510"/>
      <c r="BS802" s="510"/>
      <c r="BT802" s="513"/>
      <c r="BU802" s="514"/>
      <c r="BV802" s="512"/>
      <c r="BW802" s="515"/>
    </row>
    <row r="803" spans="2:75" ht="15.75" customHeight="1">
      <c r="B803" s="250" t="s">
        <v>994</v>
      </c>
      <c r="C803" s="251">
        <v>28259415000101</v>
      </c>
      <c r="D803" s="252" t="s">
        <v>11</v>
      </c>
      <c r="E803" s="252" t="s">
        <v>620</v>
      </c>
      <c r="F803" s="252" t="s">
        <v>663</v>
      </c>
      <c r="G803" s="253" t="s">
        <v>738</v>
      </c>
      <c r="H803" s="253" t="s">
        <v>34</v>
      </c>
      <c r="I803" s="253"/>
      <c r="J803" s="253" t="s">
        <v>608</v>
      </c>
      <c r="K803" s="254" t="s">
        <v>48</v>
      </c>
      <c r="L803" s="255"/>
      <c r="M803" s="255" t="s">
        <v>34</v>
      </c>
      <c r="N803" s="254">
        <v>452734</v>
      </c>
      <c r="O803" s="254" t="s">
        <v>1321</v>
      </c>
      <c r="P803" s="258">
        <v>43047</v>
      </c>
      <c r="Q803" s="259">
        <v>149509878.13</v>
      </c>
      <c r="R803" s="259">
        <v>126106745.80932537</v>
      </c>
      <c r="S803" s="254">
        <v>31</v>
      </c>
      <c r="T803" s="256">
        <v>7.9760816382139277E-2</v>
      </c>
      <c r="U803" s="256">
        <v>1.0310836411971702</v>
      </c>
      <c r="V803" s="256">
        <v>0.11961314774848475</v>
      </c>
      <c r="W803" s="256">
        <v>1.1726088026387889</v>
      </c>
      <c r="X803" s="256">
        <v>0.20147185630092235</v>
      </c>
      <c r="Y803" s="256">
        <v>1.527797685818099</v>
      </c>
      <c r="Z803" s="256">
        <v>0.18291062254815271</v>
      </c>
      <c r="AA803" s="256">
        <v>1.039723276040603</v>
      </c>
      <c r="AB803" s="256">
        <v>1.1669725868610979E-2</v>
      </c>
      <c r="AC803" s="260">
        <v>1.3645776896265343</v>
      </c>
      <c r="AD803" s="405">
        <v>0</v>
      </c>
      <c r="AE803" s="257" t="s">
        <v>2283</v>
      </c>
      <c r="AF803" s="257" t="s">
        <v>2118</v>
      </c>
      <c r="AG803" s="261" t="s">
        <v>1433</v>
      </c>
      <c r="AH803" s="261" t="s">
        <v>2110</v>
      </c>
      <c r="AI803" s="261">
        <v>500</v>
      </c>
      <c r="AJ803" s="261">
        <v>100</v>
      </c>
      <c r="AK803" s="261">
        <v>500</v>
      </c>
      <c r="AL803" s="256">
        <v>6.9999999999999993E-3</v>
      </c>
      <c r="AM803" s="256">
        <v>0.2</v>
      </c>
      <c r="AN803" s="256" t="s">
        <v>64</v>
      </c>
      <c r="AO803" s="254" t="s">
        <v>1324</v>
      </c>
      <c r="AP803" s="257" t="s">
        <v>11</v>
      </c>
      <c r="AQ803" s="263" t="s">
        <v>675</v>
      </c>
      <c r="AR803" s="256">
        <v>2.4499999999999999E-3</v>
      </c>
      <c r="AS803" s="256">
        <v>2.4499999999999999E-3</v>
      </c>
      <c r="AT803" s="256"/>
      <c r="AX803" s="508"/>
      <c r="AY803" s="509"/>
      <c r="AZ803" s="509"/>
      <c r="BA803" s="509"/>
      <c r="BB803" s="510"/>
      <c r="BC803" s="509"/>
      <c r="BD803" s="509"/>
      <c r="BE803" s="509"/>
      <c r="BF803" s="509"/>
      <c r="BG803" s="510"/>
      <c r="BH803" s="510"/>
      <c r="BI803" s="511"/>
      <c r="BJ803" s="511"/>
      <c r="BK803" s="511"/>
      <c r="BL803" s="510"/>
      <c r="BM803" s="510"/>
      <c r="BN803" s="510"/>
      <c r="BO803" s="510"/>
      <c r="BP803" s="510"/>
      <c r="BQ803" s="510"/>
      <c r="BR803" s="510"/>
      <c r="BS803" s="510"/>
      <c r="BT803" s="513"/>
      <c r="BU803" s="514"/>
      <c r="BV803" s="512"/>
      <c r="BW803" s="515"/>
    </row>
    <row r="804" spans="2:75" ht="15.75" customHeight="1">
      <c r="B804" s="250" t="s">
        <v>296</v>
      </c>
      <c r="C804" s="251">
        <v>31964159000150</v>
      </c>
      <c r="D804" s="252" t="s">
        <v>11</v>
      </c>
      <c r="E804" s="252" t="s">
        <v>620</v>
      </c>
      <c r="F804" s="252" t="s">
        <v>663</v>
      </c>
      <c r="G804" s="253" t="s">
        <v>738</v>
      </c>
      <c r="H804" s="253" t="s">
        <v>34</v>
      </c>
      <c r="I804" s="253"/>
      <c r="J804" s="253" t="s">
        <v>608</v>
      </c>
      <c r="K804" s="254" t="s">
        <v>48</v>
      </c>
      <c r="L804" s="255"/>
      <c r="M804" s="255" t="s">
        <v>34</v>
      </c>
      <c r="N804" s="254">
        <v>482145</v>
      </c>
      <c r="O804" s="254" t="s">
        <v>1321</v>
      </c>
      <c r="P804" s="258">
        <v>43444</v>
      </c>
      <c r="Q804" s="259">
        <v>37531017.060000002</v>
      </c>
      <c r="R804" s="259">
        <v>31895246.233650781</v>
      </c>
      <c r="S804" s="254">
        <v>31</v>
      </c>
      <c r="T804" s="256">
        <v>8.9209022674010985E-2</v>
      </c>
      <c r="U804" s="256">
        <v>1.1532224480460251</v>
      </c>
      <c r="V804" s="256">
        <v>0.12411450735810092</v>
      </c>
      <c r="W804" s="256">
        <v>1.2167371781680207</v>
      </c>
      <c r="X804" s="256">
        <v>0.18265670449686966</v>
      </c>
      <c r="Y804" s="256">
        <v>1.3851189717171444</v>
      </c>
      <c r="Z804" s="256">
        <v>0.25261379784427862</v>
      </c>
      <c r="AA804" s="256">
        <v>1.4359387213750674</v>
      </c>
      <c r="AB804" s="256">
        <v>5.756144996614935E-3</v>
      </c>
      <c r="AC804" s="260">
        <v>3.4549499357115536</v>
      </c>
      <c r="AD804" s="405">
        <v>0</v>
      </c>
      <c r="AE804" s="257" t="s">
        <v>2147</v>
      </c>
      <c r="AF804" s="257" t="s">
        <v>2109</v>
      </c>
      <c r="AG804" s="261" t="s">
        <v>1432</v>
      </c>
      <c r="AH804" s="261" t="s">
        <v>2110</v>
      </c>
      <c r="AI804" s="261">
        <v>0</v>
      </c>
      <c r="AJ804" s="261">
        <v>0</v>
      </c>
      <c r="AK804" s="261">
        <v>0</v>
      </c>
      <c r="AL804" s="256">
        <v>0.01</v>
      </c>
      <c r="AM804" s="256">
        <v>0.1</v>
      </c>
      <c r="AN804" s="256" t="s">
        <v>64</v>
      </c>
      <c r="AO804" s="254" t="s">
        <v>1324</v>
      </c>
      <c r="AP804" s="257" t="s">
        <v>13</v>
      </c>
      <c r="AQ804" s="263" t="s">
        <v>664</v>
      </c>
      <c r="AR804" s="256">
        <v>2.6670000000000001E-3</v>
      </c>
      <c r="AS804" s="256">
        <v>2.6670000000000001E-3</v>
      </c>
      <c r="AT804" s="256"/>
      <c r="AX804" s="508"/>
      <c r="AY804" s="509"/>
      <c r="AZ804" s="509"/>
      <c r="BA804" s="509"/>
      <c r="BB804" s="510"/>
      <c r="BC804" s="509"/>
      <c r="BD804" s="509"/>
      <c r="BE804" s="509"/>
      <c r="BF804" s="509"/>
      <c r="BG804" s="510"/>
      <c r="BH804" s="510"/>
      <c r="BI804" s="511"/>
      <c r="BJ804" s="511"/>
      <c r="BK804" s="511"/>
      <c r="BL804" s="510"/>
      <c r="BM804" s="510"/>
      <c r="BN804" s="510"/>
      <c r="BO804" s="510"/>
      <c r="BP804" s="510"/>
      <c r="BQ804" s="510"/>
      <c r="BR804" s="510"/>
      <c r="BS804" s="510"/>
      <c r="BT804" s="513"/>
      <c r="BU804" s="514"/>
      <c r="BV804" s="512"/>
      <c r="BW804" s="515"/>
    </row>
    <row r="805" spans="2:75" ht="15.75" customHeight="1">
      <c r="B805" s="250" t="s">
        <v>1081</v>
      </c>
      <c r="C805" s="251">
        <v>40141547000121</v>
      </c>
      <c r="D805" s="252" t="s">
        <v>11</v>
      </c>
      <c r="E805" s="252" t="s">
        <v>620</v>
      </c>
      <c r="F805" s="252" t="s">
        <v>663</v>
      </c>
      <c r="G805" s="253" t="s">
        <v>738</v>
      </c>
      <c r="H805" s="253" t="s">
        <v>34</v>
      </c>
      <c r="I805" s="253"/>
      <c r="J805" s="253"/>
      <c r="K805" s="254" t="s">
        <v>48</v>
      </c>
      <c r="L805" s="255"/>
      <c r="M805" s="255" t="s">
        <v>34</v>
      </c>
      <c r="N805" s="254">
        <v>569690</v>
      </c>
      <c r="O805" s="254" t="s">
        <v>1321</v>
      </c>
      <c r="P805" s="258">
        <v>44203</v>
      </c>
      <c r="Q805" s="259">
        <v>17406420.890000001</v>
      </c>
      <c r="R805" s="259">
        <v>18648119.753611118</v>
      </c>
      <c r="S805" s="254">
        <v>31</v>
      </c>
      <c r="T805" s="256">
        <v>8.5277798043842834E-2</v>
      </c>
      <c r="U805" s="256">
        <v>1.10240273995004</v>
      </c>
      <c r="V805" s="256">
        <v>0.11879172716125996</v>
      </c>
      <c r="W805" s="256">
        <v>1.164556134270978</v>
      </c>
      <c r="X805" s="256" t="s">
        <v>1417</v>
      </c>
      <c r="Y805" s="256" t="s">
        <v>1417</v>
      </c>
      <c r="Z805" s="256" t="s">
        <v>1417</v>
      </c>
      <c r="AA805" s="256" t="s">
        <v>1417</v>
      </c>
      <c r="AB805" s="256">
        <v>4.28165010709513E-2</v>
      </c>
      <c r="AC805" s="260">
        <v>0.37437143012008312</v>
      </c>
      <c r="AD805" s="405">
        <v>36776025000129</v>
      </c>
      <c r="AE805" s="257" t="s">
        <v>2311</v>
      </c>
      <c r="AF805" s="257" t="s">
        <v>2109</v>
      </c>
      <c r="AG805" s="261" t="s">
        <v>1432</v>
      </c>
      <c r="AH805" s="261" t="s">
        <v>2110</v>
      </c>
      <c r="AI805" s="261">
        <v>5000</v>
      </c>
      <c r="AJ805" s="261">
        <v>0</v>
      </c>
      <c r="AK805" s="261">
        <v>0</v>
      </c>
      <c r="AL805" s="256">
        <v>1.4999999999999999E-2</v>
      </c>
      <c r="AM805" s="256">
        <v>0.25</v>
      </c>
      <c r="AN805" s="256" t="s">
        <v>34</v>
      </c>
      <c r="AO805" s="254" t="s">
        <v>1324</v>
      </c>
      <c r="AP805" s="257" t="s">
        <v>13</v>
      </c>
      <c r="AQ805" s="263" t="s">
        <v>668</v>
      </c>
      <c r="AR805" s="256">
        <v>4.9999999999999992E-3</v>
      </c>
      <c r="AS805" s="256">
        <v>4.9999999999999992E-3</v>
      </c>
      <c r="AT805" s="256"/>
      <c r="AX805" s="508"/>
      <c r="AY805" s="509"/>
      <c r="AZ805" s="509"/>
      <c r="BA805" s="509"/>
      <c r="BB805" s="510"/>
      <c r="BC805" s="509"/>
      <c r="BD805" s="509"/>
      <c r="BE805" s="509"/>
      <c r="BF805" s="509"/>
      <c r="BG805" s="510"/>
      <c r="BH805" s="510"/>
      <c r="BI805" s="511"/>
      <c r="BJ805" s="511"/>
      <c r="BK805" s="511"/>
      <c r="BL805" s="510"/>
      <c r="BM805" s="510"/>
      <c r="BN805" s="510"/>
      <c r="BO805" s="510"/>
      <c r="BP805" s="510"/>
      <c r="BQ805" s="510"/>
      <c r="BR805" s="510"/>
      <c r="BS805" s="510"/>
      <c r="BT805" s="513"/>
      <c r="BU805" s="514"/>
      <c r="BV805" s="512"/>
      <c r="BW805" s="515"/>
    </row>
    <row r="806" spans="2:75" ht="15.75" customHeight="1">
      <c r="B806" s="250" t="s">
        <v>1120</v>
      </c>
      <c r="C806" s="251">
        <v>32525986000100</v>
      </c>
      <c r="D806" s="252" t="s">
        <v>11</v>
      </c>
      <c r="E806" s="252" t="s">
        <v>620</v>
      </c>
      <c r="F806" s="252" t="s">
        <v>663</v>
      </c>
      <c r="G806" s="253" t="s">
        <v>738</v>
      </c>
      <c r="H806" s="253" t="s">
        <v>34</v>
      </c>
      <c r="I806" s="253" t="s">
        <v>1304</v>
      </c>
      <c r="J806" s="253" t="s">
        <v>608</v>
      </c>
      <c r="K806" s="254" t="s">
        <v>48</v>
      </c>
      <c r="L806" s="255"/>
      <c r="M806" s="255" t="s">
        <v>34</v>
      </c>
      <c r="N806" s="254">
        <v>518700</v>
      </c>
      <c r="O806" s="254" t="s">
        <v>1321</v>
      </c>
      <c r="P806" s="258">
        <v>43775</v>
      </c>
      <c r="Q806" s="259">
        <v>58976906.840000004</v>
      </c>
      <c r="R806" s="259">
        <v>39795627.619285725</v>
      </c>
      <c r="S806" s="254">
        <v>31</v>
      </c>
      <c r="T806" s="256">
        <v>9.8720477407517881E-2</v>
      </c>
      <c r="U806" s="256">
        <v>1.2761788798448155</v>
      </c>
      <c r="V806" s="256">
        <v>0.13459227453739242</v>
      </c>
      <c r="W806" s="256">
        <v>1.3194543314049871</v>
      </c>
      <c r="X806" s="256">
        <v>0.20135606915706483</v>
      </c>
      <c r="Y806" s="256">
        <v>1.5269196508722713</v>
      </c>
      <c r="Z806" s="256" t="s">
        <v>1417</v>
      </c>
      <c r="AA806" s="256" t="s">
        <v>1417</v>
      </c>
      <c r="AB806" s="256">
        <v>1.5860452827990185E-3</v>
      </c>
      <c r="AC806" s="260">
        <v>18.381681574610059</v>
      </c>
      <c r="AD806" s="405">
        <v>0</v>
      </c>
      <c r="AE806" s="257" t="s">
        <v>2357</v>
      </c>
      <c r="AF806" s="257" t="s">
        <v>928</v>
      </c>
      <c r="AG806" s="261" t="s">
        <v>928</v>
      </c>
      <c r="AH806" s="261" t="s">
        <v>2110</v>
      </c>
      <c r="AI806" s="261">
        <v>20000</v>
      </c>
      <c r="AJ806" s="261">
        <v>10000</v>
      </c>
      <c r="AK806" s="261">
        <v>1000</v>
      </c>
      <c r="AL806" s="256">
        <v>4.7499999999999999E-3</v>
      </c>
      <c r="AM806" s="256" t="s">
        <v>34</v>
      </c>
      <c r="AN806" s="256" t="s">
        <v>34</v>
      </c>
      <c r="AO806" s="254" t="s">
        <v>1324</v>
      </c>
      <c r="AP806" s="257" t="s">
        <v>13</v>
      </c>
      <c r="AQ806" s="263" t="s">
        <v>668</v>
      </c>
      <c r="AR806" s="256">
        <v>3.1999999999999997E-3</v>
      </c>
      <c r="AS806" s="256">
        <v>3.1999999999999997E-3</v>
      </c>
      <c r="AT806" s="256"/>
      <c r="AX806" s="508"/>
      <c r="AY806" s="509"/>
      <c r="AZ806" s="509"/>
      <c r="BA806" s="509"/>
      <c r="BB806" s="510"/>
      <c r="BC806" s="509"/>
      <c r="BD806" s="509"/>
      <c r="BE806" s="509"/>
      <c r="BF806" s="509"/>
      <c r="BG806" s="510"/>
      <c r="BH806" s="510"/>
      <c r="BI806" s="511"/>
      <c r="BJ806" s="511"/>
      <c r="BK806" s="511"/>
      <c r="BL806" s="510"/>
      <c r="BM806" s="510"/>
      <c r="BN806" s="510"/>
      <c r="BO806" s="510"/>
      <c r="BP806" s="510"/>
      <c r="BQ806" s="510"/>
      <c r="BR806" s="510"/>
      <c r="BS806" s="510"/>
      <c r="BT806" s="513"/>
      <c r="BU806" s="514"/>
      <c r="BV806" s="512"/>
      <c r="BW806" s="515"/>
    </row>
    <row r="807" spans="2:75" ht="15.75" customHeight="1">
      <c r="B807" s="250" t="s">
        <v>1385</v>
      </c>
      <c r="C807" s="251">
        <v>18316558000146</v>
      </c>
      <c r="D807" s="252" t="s">
        <v>11</v>
      </c>
      <c r="E807" s="252" t="s">
        <v>620</v>
      </c>
      <c r="F807" s="252" t="s">
        <v>663</v>
      </c>
      <c r="G807" s="253" t="s">
        <v>738</v>
      </c>
      <c r="H807" s="253" t="s">
        <v>34</v>
      </c>
      <c r="I807" s="253"/>
      <c r="J807" s="253" t="s">
        <v>608</v>
      </c>
      <c r="K807" s="254" t="s">
        <v>48</v>
      </c>
      <c r="L807" s="255"/>
      <c r="M807" s="255" t="s">
        <v>34</v>
      </c>
      <c r="N807" s="254">
        <v>347582</v>
      </c>
      <c r="O807" s="254" t="s">
        <v>1321</v>
      </c>
      <c r="P807" s="258">
        <v>41537</v>
      </c>
      <c r="Q807" s="259">
        <v>128173485.39</v>
      </c>
      <c r="R807" s="259">
        <v>123749831.59273811</v>
      </c>
      <c r="S807" s="254">
        <v>31</v>
      </c>
      <c r="T807" s="256">
        <v>8.52513389862668E-2</v>
      </c>
      <c r="U807" s="256">
        <v>1.1020606985484396</v>
      </c>
      <c r="V807" s="256">
        <v>0.11386523109027058</v>
      </c>
      <c r="W807" s="256">
        <v>1.1162599998764986</v>
      </c>
      <c r="X807" s="256">
        <v>0.17081271281008115</v>
      </c>
      <c r="Y807" s="256">
        <v>1.2953038311701841</v>
      </c>
      <c r="Z807" s="256">
        <v>0.15486135091622022</v>
      </c>
      <c r="AA807" s="256">
        <v>0.88028212284006602</v>
      </c>
      <c r="AB807" s="256">
        <v>1.7476958746441588E-3</v>
      </c>
      <c r="AC807" s="260">
        <v>6.1273139618664434</v>
      </c>
      <c r="AD807" s="405">
        <v>15487311000102</v>
      </c>
      <c r="AE807" s="257" t="s">
        <v>2183</v>
      </c>
      <c r="AF807" s="257" t="s">
        <v>2118</v>
      </c>
      <c r="AG807" s="261" t="s">
        <v>1433</v>
      </c>
      <c r="AH807" s="261" t="s">
        <v>2113</v>
      </c>
      <c r="AI807" s="261">
        <v>3000</v>
      </c>
      <c r="AJ807" s="261">
        <v>0</v>
      </c>
      <c r="AK807" s="261">
        <v>100</v>
      </c>
      <c r="AL807" s="256">
        <v>5.0000000000000001E-3</v>
      </c>
      <c r="AM807" s="256">
        <v>0.2</v>
      </c>
      <c r="AN807" s="256" t="s">
        <v>64</v>
      </c>
      <c r="AO807" s="254" t="s">
        <v>1324</v>
      </c>
      <c r="AP807" s="257" t="s">
        <v>11</v>
      </c>
      <c r="AQ807" s="263" t="s">
        <v>675</v>
      </c>
      <c r="AR807" s="256">
        <v>1.3500000000000001E-3</v>
      </c>
      <c r="AS807" s="256">
        <v>1.3500000000000001E-3</v>
      </c>
      <c r="AT807" s="256"/>
      <c r="AX807" s="508"/>
      <c r="AY807" s="509"/>
      <c r="AZ807" s="509"/>
      <c r="BA807" s="509"/>
      <c r="BB807" s="510"/>
      <c r="BC807" s="509"/>
      <c r="BD807" s="509"/>
      <c r="BE807" s="509"/>
      <c r="BF807" s="509"/>
      <c r="BG807" s="510"/>
      <c r="BH807" s="510"/>
      <c r="BI807" s="511"/>
      <c r="BJ807" s="511"/>
      <c r="BK807" s="511"/>
      <c r="BL807" s="510"/>
      <c r="BM807" s="510"/>
      <c r="BN807" s="510"/>
      <c r="BO807" s="510"/>
      <c r="BP807" s="510"/>
      <c r="BQ807" s="510"/>
      <c r="BR807" s="510"/>
      <c r="BS807" s="510"/>
      <c r="BT807" s="513"/>
      <c r="BU807" s="514"/>
      <c r="BV807" s="512"/>
      <c r="BW807" s="515"/>
    </row>
    <row r="808" spans="2:75" ht="15.75" customHeight="1">
      <c r="B808" s="250" t="s">
        <v>347</v>
      </c>
      <c r="C808" s="251">
        <v>29196922000106</v>
      </c>
      <c r="D808" s="252" t="s">
        <v>11</v>
      </c>
      <c r="E808" s="252" t="s">
        <v>620</v>
      </c>
      <c r="F808" s="252" t="s">
        <v>663</v>
      </c>
      <c r="G808" s="253" t="s">
        <v>738</v>
      </c>
      <c r="H808" s="253" t="s">
        <v>34</v>
      </c>
      <c r="I808" s="253"/>
      <c r="J808" s="253" t="s">
        <v>608</v>
      </c>
      <c r="K808" s="254" t="s">
        <v>48</v>
      </c>
      <c r="L808" s="255"/>
      <c r="M808" s="255" t="s">
        <v>34</v>
      </c>
      <c r="N808" s="254">
        <v>472204</v>
      </c>
      <c r="O808" s="254" t="s">
        <v>1321</v>
      </c>
      <c r="P808" s="258">
        <v>43307</v>
      </c>
      <c r="Q808" s="259">
        <v>374196216.33999997</v>
      </c>
      <c r="R808" s="259">
        <v>305951793.22571439</v>
      </c>
      <c r="S808" s="254">
        <v>31</v>
      </c>
      <c r="T808" s="256">
        <v>8.570654230799879E-2</v>
      </c>
      <c r="U808" s="256">
        <v>1.1079452007356763</v>
      </c>
      <c r="V808" s="256">
        <v>0.11756454141443506</v>
      </c>
      <c r="W808" s="256">
        <v>1.1525256105678012</v>
      </c>
      <c r="X808" s="256">
        <v>0.16867136200233634</v>
      </c>
      <c r="Y808" s="256">
        <v>1.2790655789960901</v>
      </c>
      <c r="Z808" s="256">
        <v>0.15805138093852533</v>
      </c>
      <c r="AA808" s="256">
        <v>0.8984152876571383</v>
      </c>
      <c r="AB808" s="256">
        <v>3.5904340921298194E-3</v>
      </c>
      <c r="AC808" s="260">
        <v>3.9077903689847133</v>
      </c>
      <c r="AD808" s="405">
        <v>0</v>
      </c>
      <c r="AE808" s="257" t="s">
        <v>2370</v>
      </c>
      <c r="AF808" s="257" t="s">
        <v>2118</v>
      </c>
      <c r="AG808" s="261" t="s">
        <v>1433</v>
      </c>
      <c r="AH808" s="261" t="s">
        <v>2113</v>
      </c>
      <c r="AI808" s="261">
        <v>500</v>
      </c>
      <c r="AJ808" s="261">
        <v>100</v>
      </c>
      <c r="AK808" s="261">
        <v>100</v>
      </c>
      <c r="AL808" s="256">
        <v>6.0000000000000001E-3</v>
      </c>
      <c r="AM808" s="256" t="s">
        <v>34</v>
      </c>
      <c r="AN808" s="256" t="s">
        <v>64</v>
      </c>
      <c r="AO808" s="254" t="s">
        <v>1324</v>
      </c>
      <c r="AP808" s="257" t="s">
        <v>11</v>
      </c>
      <c r="AQ808" s="263" t="s">
        <v>662</v>
      </c>
      <c r="AR808" s="256">
        <v>2E-3</v>
      </c>
      <c r="AS808" s="256">
        <v>2E-3</v>
      </c>
      <c r="AT808" s="256"/>
      <c r="AX808" s="508"/>
      <c r="AY808" s="509"/>
      <c r="AZ808" s="509"/>
      <c r="BA808" s="509"/>
      <c r="BB808" s="510"/>
      <c r="BC808" s="509"/>
      <c r="BD808" s="509"/>
      <c r="BE808" s="509"/>
      <c r="BF808" s="509"/>
      <c r="BG808" s="510"/>
      <c r="BH808" s="510"/>
      <c r="BI808" s="511"/>
      <c r="BJ808" s="511"/>
      <c r="BK808" s="511"/>
      <c r="BL808" s="510"/>
      <c r="BM808" s="510"/>
      <c r="BN808" s="510"/>
      <c r="BO808" s="510"/>
      <c r="BP808" s="510"/>
      <c r="BQ808" s="510"/>
      <c r="BR808" s="510"/>
      <c r="BS808" s="510"/>
      <c r="BT808" s="513"/>
      <c r="BU808" s="514"/>
      <c r="BV808" s="512"/>
      <c r="BW808" s="515"/>
    </row>
    <row r="809" spans="2:75" ht="15.75" customHeight="1">
      <c r="B809" s="250" t="s">
        <v>1197</v>
      </c>
      <c r="C809" s="251">
        <v>38026926000129</v>
      </c>
      <c r="D809" s="252" t="s">
        <v>11</v>
      </c>
      <c r="E809" s="252" t="s">
        <v>621</v>
      </c>
      <c r="F809" s="252" t="s">
        <v>663</v>
      </c>
      <c r="G809" s="253" t="s">
        <v>738</v>
      </c>
      <c r="H809" s="253" t="s">
        <v>34</v>
      </c>
      <c r="I809" s="253"/>
      <c r="J809" s="253" t="s">
        <v>608</v>
      </c>
      <c r="K809" s="254" t="s">
        <v>48</v>
      </c>
      <c r="L809" s="255"/>
      <c r="M809" s="255" t="s">
        <v>34</v>
      </c>
      <c r="N809" s="254">
        <v>553743</v>
      </c>
      <c r="O809" s="254" t="s">
        <v>1321</v>
      </c>
      <c r="P809" s="258">
        <v>44104</v>
      </c>
      <c r="Q809" s="259">
        <v>161237816.71000001</v>
      </c>
      <c r="R809" s="259">
        <v>99182838.64785713</v>
      </c>
      <c r="S809" s="254">
        <v>31</v>
      </c>
      <c r="T809" s="256">
        <v>7.4186243163368859E-2</v>
      </c>
      <c r="U809" s="256">
        <v>0.95902004514529804</v>
      </c>
      <c r="V809" s="256">
        <v>0.11139278158717003</v>
      </c>
      <c r="W809" s="256">
        <v>1.0920217275294493</v>
      </c>
      <c r="X809" s="256" t="s">
        <v>1417</v>
      </c>
      <c r="Y809" s="256" t="s">
        <v>1417</v>
      </c>
      <c r="Z809" s="256" t="s">
        <v>1417</v>
      </c>
      <c r="AA809" s="256" t="s">
        <v>1417</v>
      </c>
      <c r="AB809" s="256">
        <v>2.7497280720784556E-2</v>
      </c>
      <c r="AC809" s="260">
        <v>0.32222844295495284</v>
      </c>
      <c r="AD809" s="405">
        <v>38026869000188</v>
      </c>
      <c r="AE809" s="257" t="s">
        <v>2398</v>
      </c>
      <c r="AF809" s="257" t="s">
        <v>2118</v>
      </c>
      <c r="AG809" s="261" t="s">
        <v>1433</v>
      </c>
      <c r="AH809" s="261" t="s">
        <v>2113</v>
      </c>
      <c r="AI809" s="261">
        <v>1000</v>
      </c>
      <c r="AJ809" s="261">
        <v>100</v>
      </c>
      <c r="AK809" s="261">
        <v>100</v>
      </c>
      <c r="AL809" s="256">
        <v>3.0000000000000001E-3</v>
      </c>
      <c r="AM809" s="256">
        <v>0.2</v>
      </c>
      <c r="AN809" s="256" t="s">
        <v>34</v>
      </c>
      <c r="AO809" s="254" t="s">
        <v>1324</v>
      </c>
      <c r="AP809" s="257" t="s">
        <v>11</v>
      </c>
      <c r="AQ809" s="263" t="s">
        <v>675</v>
      </c>
      <c r="AR809" s="256">
        <v>1.4E-3</v>
      </c>
      <c r="AS809" s="256">
        <v>1.4E-3</v>
      </c>
      <c r="AT809" s="256"/>
      <c r="AW809" s="508"/>
      <c r="AX809" s="508"/>
      <c r="AY809" s="509"/>
      <c r="AZ809" s="509"/>
      <c r="BA809" s="509"/>
      <c r="BB809" s="510"/>
      <c r="BC809" s="509"/>
      <c r="BD809" s="509"/>
      <c r="BE809" s="509"/>
      <c r="BF809" s="509"/>
      <c r="BG809" s="510"/>
      <c r="BH809" s="510"/>
      <c r="BI809" s="511"/>
      <c r="BJ809" s="511"/>
      <c r="BK809" s="511"/>
      <c r="BL809" s="195"/>
      <c r="BM809" s="510"/>
      <c r="BN809" s="510"/>
      <c r="BO809" s="510"/>
      <c r="BP809" s="510"/>
      <c r="BQ809" s="510"/>
      <c r="BR809" s="510"/>
      <c r="BS809" s="510"/>
      <c r="BT809" s="513"/>
      <c r="BU809" s="514"/>
      <c r="BV809" s="512"/>
      <c r="BW809" s="515"/>
    </row>
    <row r="810" spans="2:75" ht="15.75" customHeight="1">
      <c r="B810" s="250" t="s">
        <v>1308</v>
      </c>
      <c r="C810" s="251">
        <v>46521638000179</v>
      </c>
      <c r="D810" s="252" t="s">
        <v>11</v>
      </c>
      <c r="E810" s="252" t="s">
        <v>620</v>
      </c>
      <c r="F810" s="252" t="s">
        <v>663</v>
      </c>
      <c r="G810" s="253" t="s">
        <v>738</v>
      </c>
      <c r="H810" s="253" t="s">
        <v>34</v>
      </c>
      <c r="I810" s="253"/>
      <c r="J810" s="253" t="s">
        <v>608</v>
      </c>
      <c r="K810" s="254" t="s">
        <v>48</v>
      </c>
      <c r="L810" s="255"/>
      <c r="M810" s="255" t="s">
        <v>34</v>
      </c>
      <c r="N810" s="254">
        <v>658626</v>
      </c>
      <c r="O810" s="254" t="s">
        <v>1321</v>
      </c>
      <c r="P810" s="258">
        <v>44742</v>
      </c>
      <c r="Q810" s="259">
        <v>13011882.25</v>
      </c>
      <c r="R810" s="259" t="s">
        <v>1417</v>
      </c>
      <c r="S810" s="254">
        <v>31</v>
      </c>
      <c r="T810" s="256" t="s">
        <v>1417</v>
      </c>
      <c r="U810" s="256" t="s">
        <v>1417</v>
      </c>
      <c r="V810" s="256" t="s">
        <v>1417</v>
      </c>
      <c r="W810" s="256" t="s">
        <v>1417</v>
      </c>
      <c r="X810" s="256" t="s">
        <v>1417</v>
      </c>
      <c r="Y810" s="256" t="s">
        <v>1417</v>
      </c>
      <c r="Z810" s="256" t="s">
        <v>1417</v>
      </c>
      <c r="AA810" s="256" t="s">
        <v>1417</v>
      </c>
      <c r="AB810" s="256" t="s">
        <v>1417</v>
      </c>
      <c r="AC810" s="260" t="s">
        <v>1417</v>
      </c>
      <c r="AD810" s="405">
        <v>46539828000113</v>
      </c>
      <c r="AE810" s="257" t="s">
        <v>2260</v>
      </c>
      <c r="AF810" s="257" t="s">
        <v>2109</v>
      </c>
      <c r="AG810" s="261" t="s">
        <v>1432</v>
      </c>
      <c r="AH810" s="261" t="s">
        <v>2113</v>
      </c>
      <c r="AI810" s="261">
        <v>0</v>
      </c>
      <c r="AJ810" s="261">
        <v>0</v>
      </c>
      <c r="AK810" s="261">
        <v>0</v>
      </c>
      <c r="AL810" s="256">
        <v>0.01</v>
      </c>
      <c r="AM810" s="256">
        <v>0.2</v>
      </c>
      <c r="AN810" s="256" t="s">
        <v>2127</v>
      </c>
      <c r="AO810" s="254" t="s">
        <v>1324</v>
      </c>
      <c r="AP810" s="257" t="s">
        <v>13</v>
      </c>
      <c r="AQ810" s="263" t="s">
        <v>668</v>
      </c>
      <c r="AR810" s="256">
        <v>2.6666666666666666E-3</v>
      </c>
      <c r="AS810" s="256">
        <v>2.6666666666666666E-3</v>
      </c>
      <c r="AT810" s="256"/>
      <c r="AX810" s="508"/>
      <c r="AY810" s="509"/>
      <c r="AZ810" s="509"/>
      <c r="BA810" s="509"/>
      <c r="BB810" s="510"/>
      <c r="BC810" s="509"/>
      <c r="BD810" s="509"/>
      <c r="BE810" s="509"/>
      <c r="BF810" s="509"/>
      <c r="BG810" s="510"/>
      <c r="BH810" s="510"/>
      <c r="BI810" s="511"/>
      <c r="BJ810" s="511"/>
      <c r="BK810" s="511"/>
      <c r="BL810" s="510"/>
      <c r="BM810" s="510"/>
      <c r="BN810" s="510"/>
      <c r="BO810" s="510"/>
      <c r="BP810" s="510"/>
      <c r="BQ810" s="510"/>
      <c r="BR810" s="510"/>
      <c r="BS810" s="510"/>
      <c r="BT810" s="513"/>
      <c r="BU810" s="514"/>
      <c r="BV810" s="512"/>
      <c r="BW810" s="515"/>
    </row>
    <row r="811" spans="2:75" ht="15.75" customHeight="1">
      <c r="B811" s="250" t="s">
        <v>278</v>
      </c>
      <c r="C811" s="251">
        <v>19392834000118</v>
      </c>
      <c r="D811" s="252" t="s">
        <v>11</v>
      </c>
      <c r="E811" s="252" t="s">
        <v>620</v>
      </c>
      <c r="F811" s="252" t="s">
        <v>685</v>
      </c>
      <c r="G811" s="253" t="s">
        <v>738</v>
      </c>
      <c r="H811" s="253" t="s">
        <v>34</v>
      </c>
      <c r="I811" s="253" t="s">
        <v>1319</v>
      </c>
      <c r="J811" s="253" t="s">
        <v>608</v>
      </c>
      <c r="K811" s="254" t="s">
        <v>48</v>
      </c>
      <c r="L811" s="255"/>
      <c r="M811" s="255" t="s">
        <v>34</v>
      </c>
      <c r="N811" s="254">
        <v>367771</v>
      </c>
      <c r="O811" s="254" t="s">
        <v>1321</v>
      </c>
      <c r="P811" s="258">
        <v>41656</v>
      </c>
      <c r="Q811" s="259">
        <v>255651686.40000001</v>
      </c>
      <c r="R811" s="259">
        <v>127848255.0994444</v>
      </c>
      <c r="S811" s="254">
        <v>31</v>
      </c>
      <c r="T811" s="256">
        <v>9.8690170742500083E-2</v>
      </c>
      <c r="U811" s="256">
        <v>1.275787099670834</v>
      </c>
      <c r="V811" s="256">
        <v>0.1351418804872504</v>
      </c>
      <c r="W811" s="256">
        <v>1.324842307450407</v>
      </c>
      <c r="X811" s="256">
        <v>0.20143787937007063</v>
      </c>
      <c r="Y811" s="256">
        <v>1.5275400325791826</v>
      </c>
      <c r="Z811" s="256">
        <v>0.26380143835671421</v>
      </c>
      <c r="AA811" s="256">
        <v>1.4995328969494897</v>
      </c>
      <c r="AB811" s="256">
        <v>1.5135166576491664E-3</v>
      </c>
      <c r="AC811" s="260">
        <v>19.582606857486983</v>
      </c>
      <c r="AD811" s="405">
        <v>0</v>
      </c>
      <c r="AE811" s="257" t="s">
        <v>2311</v>
      </c>
      <c r="AF811" s="257" t="s">
        <v>2109</v>
      </c>
      <c r="AG811" s="261" t="s">
        <v>1432</v>
      </c>
      <c r="AH811" s="261" t="s">
        <v>2110</v>
      </c>
      <c r="AI811" s="261">
        <v>100</v>
      </c>
      <c r="AJ811" s="261">
        <v>100</v>
      </c>
      <c r="AK811" s="261">
        <v>100</v>
      </c>
      <c r="AL811" s="256">
        <v>5.0000000000000001E-3</v>
      </c>
      <c r="AM811" s="256" t="s">
        <v>34</v>
      </c>
      <c r="AN811" s="256" t="s">
        <v>34</v>
      </c>
      <c r="AO811" s="254" t="s">
        <v>1324</v>
      </c>
      <c r="AP811" s="257" t="s">
        <v>13</v>
      </c>
      <c r="AQ811" s="263" t="s">
        <v>671</v>
      </c>
      <c r="AR811" s="256">
        <v>1E-3</v>
      </c>
      <c r="AS811" s="256">
        <v>1E-3</v>
      </c>
      <c r="AT811" s="256"/>
      <c r="AX811" s="508"/>
      <c r="AY811" s="509"/>
      <c r="AZ811" s="509"/>
      <c r="BA811" s="509"/>
      <c r="BB811" s="510"/>
      <c r="BC811" s="509"/>
      <c r="BD811" s="509"/>
      <c r="BE811" s="509"/>
      <c r="BF811" s="509"/>
      <c r="BG811" s="510"/>
      <c r="BH811" s="510"/>
      <c r="BI811" s="511"/>
      <c r="BJ811" s="511"/>
      <c r="BK811" s="511"/>
      <c r="BL811" s="510"/>
      <c r="BM811" s="510"/>
      <c r="BN811" s="510"/>
      <c r="BO811" s="510"/>
      <c r="BP811" s="510"/>
      <c r="BQ811" s="510"/>
      <c r="BR811" s="510"/>
      <c r="BS811" s="510"/>
      <c r="BT811" s="513"/>
      <c r="BU811" s="514"/>
      <c r="BV811" s="512"/>
      <c r="BW811" s="515"/>
    </row>
    <row r="812" spans="2:75" ht="15.75" customHeight="1">
      <c r="B812" s="250" t="s">
        <v>493</v>
      </c>
      <c r="C812" s="251">
        <v>41574480000181</v>
      </c>
      <c r="D812" s="252" t="s">
        <v>11</v>
      </c>
      <c r="E812" s="252" t="s">
        <v>620</v>
      </c>
      <c r="F812" s="252" t="s">
        <v>685</v>
      </c>
      <c r="G812" s="253" t="s">
        <v>738</v>
      </c>
      <c r="H812" s="253" t="s">
        <v>34</v>
      </c>
      <c r="I812" s="253" t="s">
        <v>1319</v>
      </c>
      <c r="J812" s="253" t="s">
        <v>608</v>
      </c>
      <c r="K812" s="254" t="s">
        <v>48</v>
      </c>
      <c r="L812" s="255"/>
      <c r="M812" s="255" t="s">
        <v>1414</v>
      </c>
      <c r="N812" s="254">
        <v>593338</v>
      </c>
      <c r="O812" s="254" t="s">
        <v>1321</v>
      </c>
      <c r="P812" s="258">
        <v>44343</v>
      </c>
      <c r="Q812" s="259">
        <v>2994102.07</v>
      </c>
      <c r="R812" s="259">
        <v>3050698.5451587308</v>
      </c>
      <c r="S812" s="254">
        <v>31</v>
      </c>
      <c r="T812" s="256">
        <v>-0.12691163482319323</v>
      </c>
      <c r="U812" s="256">
        <v>-1.6406114741459212</v>
      </c>
      <c r="V812" s="256">
        <v>-8.6081736725412528E-2</v>
      </c>
      <c r="W812" s="256">
        <v>-0.84388885445021777</v>
      </c>
      <c r="X812" s="256" t="s">
        <v>1417</v>
      </c>
      <c r="Y812" s="256" t="s">
        <v>1417</v>
      </c>
      <c r="Z812" s="256" t="s">
        <v>1417</v>
      </c>
      <c r="AA812" s="256" t="s">
        <v>1417</v>
      </c>
      <c r="AB812" s="256">
        <v>0.18498755686225843</v>
      </c>
      <c r="AC812" s="260">
        <v>-0.91790724283344172</v>
      </c>
      <c r="AD812" s="405">
        <v>0</v>
      </c>
      <c r="AE812" s="257" t="s">
        <v>2419</v>
      </c>
      <c r="AF812" s="257" t="s">
        <v>2109</v>
      </c>
      <c r="AG812" s="261" t="s">
        <v>1432</v>
      </c>
      <c r="AH812" s="261" t="s">
        <v>726</v>
      </c>
      <c r="AI812" s="261">
        <v>100000</v>
      </c>
      <c r="AJ812" s="261">
        <v>50000</v>
      </c>
      <c r="AK812" s="261">
        <v>10000</v>
      </c>
      <c r="AL812" s="256">
        <v>0.01</v>
      </c>
      <c r="AM812" s="256">
        <v>0.2</v>
      </c>
      <c r="AN812" s="256" t="s">
        <v>64</v>
      </c>
      <c r="AO812" s="254" t="s">
        <v>1324</v>
      </c>
      <c r="AP812" s="257" t="s">
        <v>13</v>
      </c>
      <c r="AQ812" s="263" t="s">
        <v>671</v>
      </c>
      <c r="AR812" s="256" t="s">
        <v>34</v>
      </c>
      <c r="AS812" s="256" t="s">
        <v>34</v>
      </c>
      <c r="AT812" s="256"/>
      <c r="AX812" s="508"/>
      <c r="AY812" s="509"/>
      <c r="AZ812" s="509"/>
      <c r="BA812" s="509"/>
      <c r="BB812" s="510"/>
      <c r="BC812" s="509"/>
      <c r="BD812" s="509"/>
      <c r="BE812" s="509"/>
      <c r="BF812" s="509"/>
      <c r="BG812" s="510"/>
      <c r="BH812" s="510"/>
      <c r="BI812" s="511"/>
      <c r="BJ812" s="511"/>
      <c r="BK812" s="511"/>
      <c r="BL812" s="510"/>
      <c r="BM812" s="510"/>
      <c r="BN812" s="510"/>
      <c r="BO812" s="510"/>
      <c r="BP812" s="510"/>
      <c r="BQ812" s="510"/>
      <c r="BR812" s="510"/>
      <c r="BS812" s="510"/>
      <c r="BT812" s="513"/>
      <c r="BU812" s="514"/>
      <c r="BV812" s="512"/>
      <c r="BW812" s="515"/>
    </row>
    <row r="813" spans="2:75" ht="15.75" customHeight="1">
      <c r="B813" s="250" t="s">
        <v>420</v>
      </c>
      <c r="C813" s="251">
        <v>39817321000119</v>
      </c>
      <c r="D813" s="252" t="s">
        <v>11</v>
      </c>
      <c r="E813" s="252" t="s">
        <v>620</v>
      </c>
      <c r="F813" s="252" t="s">
        <v>685</v>
      </c>
      <c r="G813" s="253" t="s">
        <v>738</v>
      </c>
      <c r="H813" s="253" t="s">
        <v>34</v>
      </c>
      <c r="I813" s="253" t="s">
        <v>1319</v>
      </c>
      <c r="J813" s="253" t="s">
        <v>608</v>
      </c>
      <c r="K813" s="254" t="s">
        <v>48</v>
      </c>
      <c r="L813" s="255"/>
      <c r="M813" s="255" t="s">
        <v>1414</v>
      </c>
      <c r="N813" s="254">
        <v>582700</v>
      </c>
      <c r="O813" s="254" t="s">
        <v>1321</v>
      </c>
      <c r="P813" s="258">
        <v>44265</v>
      </c>
      <c r="Q813" s="259">
        <v>70875728.530000001</v>
      </c>
      <c r="R813" s="259">
        <v>64500041.170515865</v>
      </c>
      <c r="S813" s="254">
        <v>31</v>
      </c>
      <c r="T813" s="256">
        <v>0.10240512403951807</v>
      </c>
      <c r="U813" s="256">
        <v>1.3238110260310523</v>
      </c>
      <c r="V813" s="256">
        <v>0.14648926538438412</v>
      </c>
      <c r="W813" s="256">
        <v>1.4360846220936818</v>
      </c>
      <c r="X813" s="256" t="s">
        <v>1417</v>
      </c>
      <c r="Y813" s="256" t="s">
        <v>1417</v>
      </c>
      <c r="Z813" s="256" t="s">
        <v>1417</v>
      </c>
      <c r="AA813" s="256" t="s">
        <v>1417</v>
      </c>
      <c r="AB813" s="256">
        <v>4.3356844900339494E-3</v>
      </c>
      <c r="AC813" s="260">
        <v>9.1332355942157388</v>
      </c>
      <c r="AD813" s="405">
        <v>0</v>
      </c>
      <c r="AE813" s="257" t="s">
        <v>2244</v>
      </c>
      <c r="AF813" s="257" t="s">
        <v>741</v>
      </c>
      <c r="AG813" s="261" t="s">
        <v>741</v>
      </c>
      <c r="AH813" s="261" t="s">
        <v>2131</v>
      </c>
      <c r="AI813" s="261">
        <v>1000</v>
      </c>
      <c r="AJ813" s="261">
        <v>1000</v>
      </c>
      <c r="AK813" s="261">
        <v>1000</v>
      </c>
      <c r="AL813" s="256">
        <v>5.4000000000000003E-3</v>
      </c>
      <c r="AM813" s="256">
        <v>0.1</v>
      </c>
      <c r="AN813" s="256" t="s">
        <v>2122</v>
      </c>
      <c r="AO813" s="254" t="s">
        <v>1324</v>
      </c>
      <c r="AP813" s="257" t="s">
        <v>13</v>
      </c>
      <c r="AQ813" s="263" t="s">
        <v>679</v>
      </c>
      <c r="AR813" s="256" t="s">
        <v>34</v>
      </c>
      <c r="AS813" s="256" t="s">
        <v>34</v>
      </c>
      <c r="AT813" s="256"/>
      <c r="AX813" s="508"/>
      <c r="AY813" s="509"/>
      <c r="AZ813" s="509"/>
      <c r="BA813" s="509"/>
      <c r="BB813" s="510"/>
      <c r="BC813" s="509"/>
      <c r="BD813" s="509"/>
      <c r="BE813" s="509"/>
      <c r="BF813" s="509"/>
      <c r="BG813" s="510"/>
      <c r="BH813" s="510"/>
      <c r="BI813" s="511"/>
      <c r="BJ813" s="511"/>
      <c r="BK813" s="511"/>
      <c r="BL813" s="510"/>
      <c r="BM813" s="510"/>
      <c r="BN813" s="510"/>
      <c r="BO813" s="510"/>
      <c r="BP813" s="510"/>
      <c r="BQ813" s="510"/>
      <c r="BR813" s="510"/>
      <c r="BS813" s="510"/>
      <c r="BT813" s="513"/>
      <c r="BU813" s="514"/>
      <c r="BV813" s="512"/>
      <c r="BW813" s="515"/>
    </row>
    <row r="814" spans="2:75" ht="15.75" customHeight="1">
      <c r="B814" s="250" t="s">
        <v>745</v>
      </c>
      <c r="C814" s="251">
        <v>33422090000168</v>
      </c>
      <c r="D814" s="252" t="s">
        <v>11</v>
      </c>
      <c r="E814" s="252" t="s">
        <v>621</v>
      </c>
      <c r="F814" s="252" t="s">
        <v>692</v>
      </c>
      <c r="G814" s="253" t="s">
        <v>738</v>
      </c>
      <c r="H814" s="253" t="s">
        <v>34</v>
      </c>
      <c r="I814" s="253"/>
      <c r="J814" s="253" t="s">
        <v>608</v>
      </c>
      <c r="K814" s="254" t="s">
        <v>48</v>
      </c>
      <c r="L814" s="255"/>
      <c r="M814" s="255" t="s">
        <v>34</v>
      </c>
      <c r="N814" s="254">
        <v>511005</v>
      </c>
      <c r="O814" s="254" t="s">
        <v>1321</v>
      </c>
      <c r="P814" s="258">
        <v>43753</v>
      </c>
      <c r="Q814" s="259">
        <v>98897212.040000007</v>
      </c>
      <c r="R814" s="259">
        <v>99384809.009246051</v>
      </c>
      <c r="S814" s="254">
        <v>31</v>
      </c>
      <c r="T814" s="256">
        <v>6.9823439334212312E-2</v>
      </c>
      <c r="U814" s="256">
        <v>0.9026212285077716</v>
      </c>
      <c r="V814" s="256">
        <v>8.6898896635055456E-2</v>
      </c>
      <c r="W814" s="256">
        <v>0.85189975393114847</v>
      </c>
      <c r="X814" s="256">
        <v>0.15695558061365045</v>
      </c>
      <c r="Y814" s="256">
        <v>1.1902226804303955</v>
      </c>
      <c r="Z814" s="256" t="s">
        <v>1417</v>
      </c>
      <c r="AA814" s="256" t="s">
        <v>1417</v>
      </c>
      <c r="AB814" s="256">
        <v>3.0293194861800557E-2</v>
      </c>
      <c r="AC814" s="260">
        <v>-0.44078929054238936</v>
      </c>
      <c r="AD814" s="405">
        <v>33422113000134</v>
      </c>
      <c r="AE814" s="257" t="s">
        <v>2136</v>
      </c>
      <c r="AF814" s="257" t="s">
        <v>2136</v>
      </c>
      <c r="AG814" s="261" t="s">
        <v>719</v>
      </c>
      <c r="AH814" s="261" t="s">
        <v>2113</v>
      </c>
      <c r="AI814" s="261">
        <v>1000</v>
      </c>
      <c r="AJ814" s="261">
        <v>1000</v>
      </c>
      <c r="AK814" s="261">
        <v>1000</v>
      </c>
      <c r="AL814" s="519">
        <v>8.0000000000000002E-3</v>
      </c>
      <c r="AM814" s="519">
        <v>0.2</v>
      </c>
      <c r="AN814" s="256" t="s">
        <v>636</v>
      </c>
      <c r="AO814" s="254" t="s">
        <v>1324</v>
      </c>
      <c r="AP814" s="257" t="s">
        <v>11</v>
      </c>
      <c r="AQ814" s="263" t="s">
        <v>675</v>
      </c>
      <c r="AR814" s="256">
        <v>2.1333333333333334E-3</v>
      </c>
      <c r="AS814" s="256">
        <v>2.1333333333333334E-3</v>
      </c>
      <c r="AT814" s="256"/>
      <c r="AX814" s="508"/>
      <c r="AY814" s="509"/>
      <c r="AZ814" s="509"/>
      <c r="BA814" s="509"/>
      <c r="BB814" s="510"/>
      <c r="BC814" s="509"/>
      <c r="BD814" s="509"/>
      <c r="BE814" s="509"/>
      <c r="BF814" s="509"/>
      <c r="BG814" s="510"/>
      <c r="BH814" s="510"/>
      <c r="BI814" s="511"/>
      <c r="BJ814" s="511"/>
      <c r="BK814" s="511"/>
      <c r="BL814" s="510"/>
      <c r="BM814" s="510"/>
      <c r="BN814" s="510"/>
      <c r="BO814" s="510"/>
      <c r="BP814" s="510"/>
      <c r="BQ814" s="510"/>
      <c r="BR814" s="510"/>
      <c r="BS814" s="510"/>
      <c r="BT814" s="513"/>
      <c r="BU814" s="514"/>
      <c r="BV814" s="512"/>
      <c r="BW814" s="515"/>
    </row>
    <row r="815" spans="2:75" ht="15.75" customHeight="1">
      <c r="B815" s="250" t="s">
        <v>1289</v>
      </c>
      <c r="C815" s="251">
        <v>32388012000121</v>
      </c>
      <c r="D815" s="252" t="s">
        <v>11</v>
      </c>
      <c r="E815" s="252" t="s">
        <v>620</v>
      </c>
      <c r="F815" s="252" t="s">
        <v>692</v>
      </c>
      <c r="G815" s="253" t="s">
        <v>738</v>
      </c>
      <c r="H815" s="253" t="s">
        <v>34</v>
      </c>
      <c r="I815" s="253"/>
      <c r="J815" s="253" t="s">
        <v>608</v>
      </c>
      <c r="K815" s="254" t="s">
        <v>48</v>
      </c>
      <c r="L815" s="255"/>
      <c r="M815" s="255" t="s">
        <v>34</v>
      </c>
      <c r="N815" s="254">
        <v>502464</v>
      </c>
      <c r="O815" s="254" t="s">
        <v>1321</v>
      </c>
      <c r="P815" s="258">
        <v>43677</v>
      </c>
      <c r="Q815" s="259">
        <v>2362252206.7600002</v>
      </c>
      <c r="R815" s="259">
        <v>1550565191.0095236</v>
      </c>
      <c r="S815" s="254">
        <v>31</v>
      </c>
      <c r="T815" s="256">
        <v>8.5945686515510822E-2</v>
      </c>
      <c r="U815" s="256">
        <v>1.1110366645826777</v>
      </c>
      <c r="V815" s="256">
        <v>0.1166191537049952</v>
      </c>
      <c r="W815" s="256">
        <v>1.143257649889041</v>
      </c>
      <c r="X815" s="256">
        <v>0.19371529757100592</v>
      </c>
      <c r="Y815" s="256">
        <v>1.4689782919084184</v>
      </c>
      <c r="Z815" s="256">
        <v>0.22909558900256899</v>
      </c>
      <c r="AA815" s="256">
        <v>1.3022535979915302</v>
      </c>
      <c r="AB815" s="256">
        <v>2.5476051224074373E-2</v>
      </c>
      <c r="AC815" s="260">
        <v>0.52992437813375315</v>
      </c>
      <c r="AD815" s="405">
        <v>32388028000134</v>
      </c>
      <c r="AE815" s="257" t="s">
        <v>2179</v>
      </c>
      <c r="AF815" s="257" t="s">
        <v>719</v>
      </c>
      <c r="AG815" s="261" t="s">
        <v>719</v>
      </c>
      <c r="AH815" s="261" t="s">
        <v>2113</v>
      </c>
      <c r="AI815" s="261">
        <v>1000</v>
      </c>
      <c r="AJ815" s="261">
        <v>1000</v>
      </c>
      <c r="AK815" s="261">
        <v>0</v>
      </c>
      <c r="AL815" s="256">
        <v>5.0000000000000001E-3</v>
      </c>
      <c r="AM815" s="256" t="s">
        <v>34</v>
      </c>
      <c r="AN815" s="256" t="s">
        <v>64</v>
      </c>
      <c r="AO815" s="254" t="s">
        <v>1324</v>
      </c>
      <c r="AP815" s="257" t="s">
        <v>11</v>
      </c>
      <c r="AQ815" s="263" t="s">
        <v>675</v>
      </c>
      <c r="AR815" s="256">
        <v>1.3333333333333333E-3</v>
      </c>
      <c r="AS815" s="256">
        <v>1.3333333333333333E-3</v>
      </c>
      <c r="AT815" s="256"/>
      <c r="AX815" s="508"/>
      <c r="AY815" s="509"/>
      <c r="AZ815" s="509"/>
      <c r="BA815" s="509"/>
      <c r="BB815" s="510"/>
      <c r="BC815" s="509"/>
      <c r="BD815" s="509"/>
      <c r="BE815" s="509"/>
      <c r="BF815" s="509"/>
      <c r="BG815" s="510"/>
      <c r="BH815" s="510"/>
      <c r="BI815" s="511"/>
      <c r="BJ815" s="511"/>
      <c r="BK815" s="511"/>
      <c r="BL815" s="510"/>
      <c r="BM815" s="510"/>
      <c r="BN815" s="510"/>
      <c r="BO815" s="510"/>
      <c r="BP815" s="510"/>
      <c r="BQ815" s="510"/>
      <c r="BR815" s="510"/>
      <c r="BS815" s="510"/>
      <c r="BT815" s="513"/>
      <c r="BU815" s="514"/>
      <c r="BV815" s="512"/>
      <c r="BW815" s="515"/>
    </row>
    <row r="816" spans="2:75" ht="15.75" customHeight="1">
      <c r="B816" s="250" t="s">
        <v>1290</v>
      </c>
      <c r="C816" s="251">
        <v>44315861000134</v>
      </c>
      <c r="D816" s="252" t="s">
        <v>11</v>
      </c>
      <c r="E816" s="252" t="s">
        <v>621</v>
      </c>
      <c r="F816" s="252" t="s">
        <v>692</v>
      </c>
      <c r="G816" s="253" t="s">
        <v>865</v>
      </c>
      <c r="H816" s="253" t="s">
        <v>34</v>
      </c>
      <c r="I816" s="253"/>
      <c r="J816" s="253" t="s">
        <v>608</v>
      </c>
      <c r="K816" s="254" t="s">
        <v>48</v>
      </c>
      <c r="L816" s="255"/>
      <c r="M816" s="255" t="s">
        <v>34</v>
      </c>
      <c r="N816" s="254">
        <v>636797</v>
      </c>
      <c r="O816" s="254" t="s">
        <v>1321</v>
      </c>
      <c r="P816" s="258">
        <v>44560</v>
      </c>
      <c r="Q816" s="259">
        <v>67310965.25</v>
      </c>
      <c r="R816" s="259" t="s">
        <v>1417</v>
      </c>
      <c r="S816" s="254">
        <v>31</v>
      </c>
      <c r="T816" s="256">
        <v>8.0957508203423068E-2</v>
      </c>
      <c r="U816" s="256">
        <v>1.0465535099428525</v>
      </c>
      <c r="V816" s="256" t="s">
        <v>1417</v>
      </c>
      <c r="W816" s="256" t="s">
        <v>1417</v>
      </c>
      <c r="X816" s="256" t="s">
        <v>1417</v>
      </c>
      <c r="Y816" s="256" t="s">
        <v>1417</v>
      </c>
      <c r="Z816" s="256" t="s">
        <v>1417</v>
      </c>
      <c r="AA816" s="256" t="s">
        <v>1417</v>
      </c>
      <c r="AB816" s="256" t="s">
        <v>1417</v>
      </c>
      <c r="AC816" s="260" t="s">
        <v>1417</v>
      </c>
      <c r="AD816" s="405">
        <v>44315864000178</v>
      </c>
      <c r="AE816" s="257" t="s">
        <v>2179</v>
      </c>
      <c r="AF816" s="257" t="s">
        <v>719</v>
      </c>
      <c r="AG816" s="261" t="s">
        <v>719</v>
      </c>
      <c r="AH816" s="261" t="s">
        <v>2113</v>
      </c>
      <c r="AI816" s="261">
        <v>100</v>
      </c>
      <c r="AJ816" s="261">
        <v>100</v>
      </c>
      <c r="AK816" s="261">
        <v>100</v>
      </c>
      <c r="AL816" s="256">
        <v>5.0000000000000001E-3</v>
      </c>
      <c r="AM816" s="256">
        <v>0.15</v>
      </c>
      <c r="AN816" s="256" t="s">
        <v>636</v>
      </c>
      <c r="AO816" s="254" t="s">
        <v>1324</v>
      </c>
      <c r="AP816" s="257" t="s">
        <v>13</v>
      </c>
      <c r="AQ816" s="263" t="s">
        <v>671</v>
      </c>
      <c r="AR816" s="256">
        <v>1.3333333333333333E-3</v>
      </c>
      <c r="AS816" s="256">
        <v>1.3333333333333333E-3</v>
      </c>
      <c r="AT816" s="256"/>
      <c r="AX816" s="508"/>
      <c r="AY816" s="509"/>
      <c r="AZ816" s="509"/>
      <c r="BA816" s="509"/>
      <c r="BB816" s="510"/>
      <c r="BC816" s="509"/>
      <c r="BD816" s="509"/>
      <c r="BE816" s="509"/>
      <c r="BF816" s="509"/>
      <c r="BG816" s="510"/>
      <c r="BH816" s="510"/>
      <c r="BI816" s="511"/>
      <c r="BJ816" s="511"/>
      <c r="BK816" s="511"/>
      <c r="BL816" s="510"/>
      <c r="BM816" s="510"/>
      <c r="BN816" s="510"/>
      <c r="BO816" s="510"/>
      <c r="BP816" s="510"/>
      <c r="BQ816" s="510"/>
      <c r="BR816" s="510"/>
      <c r="BS816" s="510"/>
      <c r="BT816" s="513"/>
      <c r="BU816" s="514"/>
      <c r="BV816" s="512"/>
      <c r="BW816" s="515"/>
    </row>
    <row r="817" spans="2:75" ht="15.75" customHeight="1">
      <c r="B817" s="250" t="s">
        <v>827</v>
      </c>
      <c r="C817" s="251">
        <v>24623412000146</v>
      </c>
      <c r="D817" s="252" t="s">
        <v>11</v>
      </c>
      <c r="E817" s="252" t="s">
        <v>620</v>
      </c>
      <c r="F817" s="252" t="s">
        <v>692</v>
      </c>
      <c r="G817" s="253" t="s">
        <v>738</v>
      </c>
      <c r="H817" s="253" t="s">
        <v>34</v>
      </c>
      <c r="I817" s="253"/>
      <c r="J817" s="253" t="s">
        <v>608</v>
      </c>
      <c r="K817" s="254" t="s">
        <v>48</v>
      </c>
      <c r="L817" s="255"/>
      <c r="M817" s="255" t="s">
        <v>34</v>
      </c>
      <c r="N817" s="254">
        <v>425524</v>
      </c>
      <c r="O817" s="254" t="s">
        <v>1321</v>
      </c>
      <c r="P817" s="258">
        <v>42590</v>
      </c>
      <c r="Q817" s="259">
        <v>104197482.79000001</v>
      </c>
      <c r="R817" s="259">
        <v>107730040.53388888</v>
      </c>
      <c r="S817" s="254">
        <v>31</v>
      </c>
      <c r="T817" s="256">
        <v>6.9414408828834429E-2</v>
      </c>
      <c r="U817" s="256">
        <v>0.89733361132961809</v>
      </c>
      <c r="V817" s="256">
        <v>9.8804794413621888E-2</v>
      </c>
      <c r="W817" s="256">
        <v>0.96861736233169704</v>
      </c>
      <c r="X817" s="256">
        <v>0.17849921214133802</v>
      </c>
      <c r="Y817" s="256">
        <v>1.3535919519328004</v>
      </c>
      <c r="Z817" s="256">
        <v>0.19475569006735638</v>
      </c>
      <c r="AA817" s="256">
        <v>1.107054479851614</v>
      </c>
      <c r="AB817" s="256">
        <v>2.0450424387094056E-2</v>
      </c>
      <c r="AC817" s="260">
        <v>-0.13218672932271625</v>
      </c>
      <c r="AD817" s="405">
        <v>24601713000179</v>
      </c>
      <c r="AE817" s="257" t="s">
        <v>2183</v>
      </c>
      <c r="AF817" s="257" t="s">
        <v>2118</v>
      </c>
      <c r="AG817" s="261" t="s">
        <v>1433</v>
      </c>
      <c r="AH817" s="261" t="s">
        <v>2113</v>
      </c>
      <c r="AI817" s="261">
        <v>100</v>
      </c>
      <c r="AJ817" s="261">
        <v>100</v>
      </c>
      <c r="AK817" s="261">
        <v>100</v>
      </c>
      <c r="AL817" s="256">
        <v>0.01</v>
      </c>
      <c r="AM817" s="256">
        <v>0.2</v>
      </c>
      <c r="AN817" s="256" t="s">
        <v>2141</v>
      </c>
      <c r="AO817" s="254" t="s">
        <v>1324</v>
      </c>
      <c r="AP817" s="257" t="s">
        <v>13</v>
      </c>
      <c r="AQ817" s="263" t="s">
        <v>671</v>
      </c>
      <c r="AR817" s="256">
        <v>2E-3</v>
      </c>
      <c r="AS817" s="256">
        <v>2E-3</v>
      </c>
      <c r="AT817" s="256"/>
      <c r="AX817" s="508"/>
      <c r="AY817" s="509"/>
      <c r="AZ817" s="509"/>
      <c r="BA817" s="509"/>
      <c r="BB817" s="510"/>
      <c r="BC817" s="509"/>
      <c r="BD817" s="509"/>
      <c r="BE817" s="509"/>
      <c r="BF817" s="509"/>
      <c r="BG817" s="510"/>
      <c r="BH817" s="510"/>
      <c r="BI817" s="511"/>
      <c r="BJ817" s="511"/>
      <c r="BK817" s="511"/>
      <c r="BL817" s="510"/>
      <c r="BM817" s="510"/>
      <c r="BN817" s="510"/>
      <c r="BO817" s="510"/>
      <c r="BP817" s="510"/>
      <c r="BQ817" s="510"/>
      <c r="BR817" s="510"/>
      <c r="BS817" s="510"/>
      <c r="BT817" s="513"/>
      <c r="BU817" s="514"/>
      <c r="BV817" s="512"/>
      <c r="BW817" s="515"/>
    </row>
    <row r="818" spans="2:75" ht="15.75" customHeight="1">
      <c r="B818" s="250" t="s">
        <v>828</v>
      </c>
      <c r="C818" s="251">
        <v>30178843000143</v>
      </c>
      <c r="D818" s="252" t="s">
        <v>11</v>
      </c>
      <c r="E818" s="252" t="s">
        <v>620</v>
      </c>
      <c r="F818" s="252" t="s">
        <v>692</v>
      </c>
      <c r="G818" s="253" t="s">
        <v>738</v>
      </c>
      <c r="H818" s="253" t="s">
        <v>34</v>
      </c>
      <c r="I818" s="253"/>
      <c r="J818" s="253" t="s">
        <v>608</v>
      </c>
      <c r="K818" s="254" t="s">
        <v>48</v>
      </c>
      <c r="L818" s="255"/>
      <c r="M818" s="255" t="s">
        <v>34</v>
      </c>
      <c r="N818" s="254">
        <v>492558</v>
      </c>
      <c r="O818" s="254" t="s">
        <v>1321</v>
      </c>
      <c r="P818" s="258">
        <v>43556</v>
      </c>
      <c r="Q818" s="259">
        <v>47833308.520000003</v>
      </c>
      <c r="R818" s="259">
        <v>33469430.672817461</v>
      </c>
      <c r="S818" s="254">
        <v>31</v>
      </c>
      <c r="T818" s="256">
        <v>8.0022642239655273E-2</v>
      </c>
      <c r="U818" s="256">
        <v>1.0344683151608085</v>
      </c>
      <c r="V818" s="256">
        <v>0.1070915499772418</v>
      </c>
      <c r="W818" s="256">
        <v>1.049855275572215</v>
      </c>
      <c r="X818" s="256">
        <v>0.17781986174260878</v>
      </c>
      <c r="Y818" s="256">
        <v>1.3484403144480694</v>
      </c>
      <c r="Z818" s="256">
        <v>0.17854696879442722</v>
      </c>
      <c r="AA818" s="256">
        <v>1.0149188534590989</v>
      </c>
      <c r="AB818" s="256">
        <v>1.4965695205164628E-2</v>
      </c>
      <c r="AC818" s="260">
        <v>0.31513976779372532</v>
      </c>
      <c r="AD818" s="405">
        <v>30618457000125</v>
      </c>
      <c r="AE818" s="257" t="s">
        <v>2183</v>
      </c>
      <c r="AF818" s="257" t="s">
        <v>2118</v>
      </c>
      <c r="AG818" s="261" t="s">
        <v>1433</v>
      </c>
      <c r="AH818" s="261" t="s">
        <v>2113</v>
      </c>
      <c r="AI818" s="261">
        <v>100</v>
      </c>
      <c r="AJ818" s="261">
        <v>100</v>
      </c>
      <c r="AK818" s="261">
        <v>100</v>
      </c>
      <c r="AL818" s="256">
        <v>0.01</v>
      </c>
      <c r="AM818" s="256">
        <v>0.2</v>
      </c>
      <c r="AN818" s="256" t="s">
        <v>64</v>
      </c>
      <c r="AO818" s="254" t="s">
        <v>1324</v>
      </c>
      <c r="AP818" s="257" t="s">
        <v>13</v>
      </c>
      <c r="AQ818" s="263" t="s">
        <v>671</v>
      </c>
      <c r="AR818" s="256">
        <v>2E-3</v>
      </c>
      <c r="AS818" s="256">
        <v>2E-3</v>
      </c>
      <c r="AT818" s="256"/>
      <c r="AW818" s="508"/>
      <c r="AX818" s="508"/>
      <c r="AY818" s="509"/>
      <c r="AZ818" s="509"/>
      <c r="BA818" s="509"/>
      <c r="BB818" s="510"/>
      <c r="BC818" s="509"/>
      <c r="BD818" s="509"/>
      <c r="BE818" s="509"/>
      <c r="BF818" s="509"/>
      <c r="BG818" s="510"/>
      <c r="BH818" s="510"/>
      <c r="BI818" s="511"/>
      <c r="BJ818" s="511"/>
      <c r="BK818" s="511"/>
      <c r="BL818" s="195"/>
      <c r="BM818" s="510"/>
      <c r="BN818" s="510"/>
      <c r="BO818" s="510"/>
      <c r="BP818" s="510"/>
      <c r="BQ818" s="510"/>
      <c r="BR818" s="510"/>
      <c r="BS818" s="510"/>
      <c r="BT818" s="513"/>
      <c r="BU818" s="514"/>
      <c r="BV818" s="512"/>
      <c r="BW818" s="515"/>
    </row>
    <row r="819" spans="2:75" ht="15.75" customHeight="1">
      <c r="B819" s="250" t="s">
        <v>879</v>
      </c>
      <c r="C819" s="251">
        <v>23186354000178</v>
      </c>
      <c r="D819" s="252" t="s">
        <v>11</v>
      </c>
      <c r="E819" s="252" t="s">
        <v>621</v>
      </c>
      <c r="F819" s="252" t="s">
        <v>692</v>
      </c>
      <c r="G819" s="253" t="s">
        <v>738</v>
      </c>
      <c r="H819" s="253" t="s">
        <v>34</v>
      </c>
      <c r="I819" s="253"/>
      <c r="J819" s="253" t="s">
        <v>608</v>
      </c>
      <c r="K819" s="254" t="s">
        <v>48</v>
      </c>
      <c r="L819" s="255"/>
      <c r="M819" s="255" t="s">
        <v>34</v>
      </c>
      <c r="N819" s="254">
        <v>411051</v>
      </c>
      <c r="O819" s="254" t="s">
        <v>1321</v>
      </c>
      <c r="P819" s="258">
        <v>42320</v>
      </c>
      <c r="Q819" s="259">
        <v>58017529.009999998</v>
      </c>
      <c r="R819" s="259">
        <v>61419086.66329366</v>
      </c>
      <c r="S819" s="254">
        <v>31</v>
      </c>
      <c r="T819" s="256">
        <v>4.7287421933395635E-2</v>
      </c>
      <c r="U819" s="256">
        <v>0.61129373295670841</v>
      </c>
      <c r="V819" s="256">
        <v>7.6022000967326253E-2</v>
      </c>
      <c r="W819" s="256">
        <v>0.74526980692747935</v>
      </c>
      <c r="X819" s="256">
        <v>0.15640744995951184</v>
      </c>
      <c r="Y819" s="256">
        <v>1.1860661061063462</v>
      </c>
      <c r="Z819" s="256">
        <v>0.20237631662421807</v>
      </c>
      <c r="AA819" s="256">
        <v>1.1503725917184979</v>
      </c>
      <c r="AB819" s="256">
        <v>4.7851899050078424E-2</v>
      </c>
      <c r="AC819" s="260">
        <v>-0.47504801047600426</v>
      </c>
      <c r="AD819" s="405">
        <v>0</v>
      </c>
      <c r="AE819" s="257" t="s">
        <v>2193</v>
      </c>
      <c r="AF819" s="257" t="s">
        <v>2109</v>
      </c>
      <c r="AG819" s="261" t="s">
        <v>1432</v>
      </c>
      <c r="AH819" s="261" t="s">
        <v>2113</v>
      </c>
      <c r="AI819" s="261">
        <v>100</v>
      </c>
      <c r="AJ819" s="261">
        <v>0</v>
      </c>
      <c r="AK819" s="261">
        <v>0</v>
      </c>
      <c r="AL819" s="256">
        <v>0.01</v>
      </c>
      <c r="AM819" s="256">
        <v>0.2</v>
      </c>
      <c r="AN819" s="256" t="s">
        <v>34</v>
      </c>
      <c r="AO819" s="254" t="s">
        <v>1324</v>
      </c>
      <c r="AP819" s="257" t="s">
        <v>11</v>
      </c>
      <c r="AQ819" s="263" t="s">
        <v>675</v>
      </c>
      <c r="AR819" s="256">
        <v>2.3333333333333331E-3</v>
      </c>
      <c r="AS819" s="256">
        <v>2.3333333333333331E-3</v>
      </c>
      <c r="AT819" s="256"/>
      <c r="AX819" s="508"/>
      <c r="AY819" s="509"/>
      <c r="AZ819" s="509"/>
      <c r="BA819" s="509"/>
      <c r="BB819" s="510"/>
      <c r="BC819" s="509"/>
      <c r="BD819" s="509"/>
      <c r="BE819" s="509"/>
      <c r="BF819" s="509"/>
      <c r="BG819" s="510"/>
      <c r="BH819" s="510"/>
      <c r="BI819" s="511"/>
      <c r="BJ819" s="511"/>
      <c r="BK819" s="511"/>
      <c r="BL819" s="510"/>
      <c r="BM819" s="510"/>
      <c r="BN819" s="510"/>
      <c r="BO819" s="510"/>
      <c r="BP819" s="510"/>
      <c r="BQ819" s="510"/>
      <c r="BR819" s="510"/>
      <c r="BS819" s="510"/>
      <c r="BT819" s="513"/>
      <c r="BU819" s="514"/>
      <c r="BV819" s="512"/>
      <c r="BW819" s="515"/>
    </row>
    <row r="820" spans="2:75" ht="15.75" customHeight="1">
      <c r="B820" s="250" t="s">
        <v>887</v>
      </c>
      <c r="C820" s="251">
        <v>32485590000186</v>
      </c>
      <c r="D820" s="252" t="s">
        <v>11</v>
      </c>
      <c r="E820" s="252" t="s">
        <v>621</v>
      </c>
      <c r="F820" s="252" t="s">
        <v>692</v>
      </c>
      <c r="G820" s="253" t="s">
        <v>738</v>
      </c>
      <c r="H820" s="253" t="s">
        <v>34</v>
      </c>
      <c r="I820" s="253"/>
      <c r="J820" s="253" t="s">
        <v>608</v>
      </c>
      <c r="K820" s="254" t="s">
        <v>48</v>
      </c>
      <c r="L820" s="255"/>
      <c r="M820" s="255" t="s">
        <v>34</v>
      </c>
      <c r="N820" s="254">
        <v>501646</v>
      </c>
      <c r="O820" s="254" t="s">
        <v>1321</v>
      </c>
      <c r="P820" s="258">
        <v>43661</v>
      </c>
      <c r="Q820" s="259">
        <v>61818007.509999998</v>
      </c>
      <c r="R820" s="259">
        <v>85063738.233253941</v>
      </c>
      <c r="S820" s="254">
        <v>31</v>
      </c>
      <c r="T820" s="256">
        <v>5.9149486364944659E-2</v>
      </c>
      <c r="U820" s="256">
        <v>0.76463695511730589</v>
      </c>
      <c r="V820" s="256">
        <v>9.7520197499296968E-2</v>
      </c>
      <c r="W820" s="256">
        <v>0.95602401721927299</v>
      </c>
      <c r="X820" s="256">
        <v>0.1671194007686847</v>
      </c>
      <c r="Y820" s="256">
        <v>1.2672967750311785</v>
      </c>
      <c r="Z820" s="256">
        <v>0.20508466217675236</v>
      </c>
      <c r="AA820" s="256">
        <v>1.1657677058529416</v>
      </c>
      <c r="AB820" s="256">
        <v>4.4391773921834014E-2</v>
      </c>
      <c r="AC820" s="260">
        <v>-6.9871313316579378E-2</v>
      </c>
      <c r="AD820" s="405">
        <v>0</v>
      </c>
      <c r="AE820" s="257" t="s">
        <v>469</v>
      </c>
      <c r="AF820" s="257" t="s">
        <v>469</v>
      </c>
      <c r="AG820" s="261" t="s">
        <v>469</v>
      </c>
      <c r="AH820" s="261" t="s">
        <v>2113</v>
      </c>
      <c r="AI820" s="261">
        <v>1000</v>
      </c>
      <c r="AJ820" s="261">
        <v>1000</v>
      </c>
      <c r="AK820" s="261">
        <v>1000</v>
      </c>
      <c r="AL820" s="256">
        <v>6.0000000000000001E-3</v>
      </c>
      <c r="AM820" s="256" t="s">
        <v>34</v>
      </c>
      <c r="AN820" s="256" t="s">
        <v>636</v>
      </c>
      <c r="AO820" s="254" t="s">
        <v>1324</v>
      </c>
      <c r="AP820" s="257" t="s">
        <v>11</v>
      </c>
      <c r="AQ820" s="263" t="s">
        <v>675</v>
      </c>
      <c r="AR820" s="256">
        <v>2.2002000000000002E-3</v>
      </c>
      <c r="AS820" s="256">
        <v>2.2002000000000002E-3</v>
      </c>
      <c r="AT820" s="256"/>
      <c r="AX820" s="508"/>
      <c r="AY820" s="509"/>
      <c r="AZ820" s="509"/>
      <c r="BA820" s="509"/>
      <c r="BB820" s="510"/>
      <c r="BC820" s="509"/>
      <c r="BD820" s="509"/>
      <c r="BE820" s="509"/>
      <c r="BF820" s="509"/>
      <c r="BG820" s="510"/>
      <c r="BH820" s="510"/>
      <c r="BI820" s="511"/>
      <c r="BJ820" s="511"/>
      <c r="BK820" s="511"/>
      <c r="BL820" s="510"/>
      <c r="BM820" s="510"/>
      <c r="BN820" s="510"/>
      <c r="BO820" s="510"/>
      <c r="BP820" s="510"/>
      <c r="BQ820" s="510"/>
      <c r="BR820" s="510"/>
      <c r="BS820" s="510"/>
      <c r="BT820" s="513"/>
      <c r="BU820" s="514"/>
      <c r="BV820" s="512"/>
      <c r="BW820" s="515"/>
    </row>
    <row r="821" spans="2:75" ht="15.75" customHeight="1">
      <c r="B821" s="250" t="s">
        <v>893</v>
      </c>
      <c r="C821" s="251">
        <v>18623722000168</v>
      </c>
      <c r="D821" s="252" t="s">
        <v>11</v>
      </c>
      <c r="E821" s="252" t="s">
        <v>621</v>
      </c>
      <c r="F821" s="252" t="s">
        <v>692</v>
      </c>
      <c r="G821" s="253" t="s">
        <v>738</v>
      </c>
      <c r="H821" s="253" t="s">
        <v>34</v>
      </c>
      <c r="I821" s="253"/>
      <c r="J821" s="253" t="s">
        <v>608</v>
      </c>
      <c r="K821" s="254" t="s">
        <v>48</v>
      </c>
      <c r="L821" s="255"/>
      <c r="M821" s="255" t="s">
        <v>34</v>
      </c>
      <c r="N821" s="254">
        <v>405469</v>
      </c>
      <c r="O821" s="254" t="s">
        <v>1321</v>
      </c>
      <c r="P821" s="258">
        <v>42250</v>
      </c>
      <c r="Q821" s="259">
        <v>862376750.73000002</v>
      </c>
      <c r="R821" s="259">
        <v>931954008.06758106</v>
      </c>
      <c r="S821" s="254">
        <v>31</v>
      </c>
      <c r="T821" s="256">
        <v>6.90825563996047E-2</v>
      </c>
      <c r="U821" s="256">
        <v>0.8930436902055543</v>
      </c>
      <c r="V821" s="256">
        <v>0.10546974922822083</v>
      </c>
      <c r="W821" s="256">
        <v>1.0339562053594067</v>
      </c>
      <c r="X821" s="256">
        <v>0.19307537887495396</v>
      </c>
      <c r="Y821" s="256">
        <v>1.4641256721882743</v>
      </c>
      <c r="Z821" s="256">
        <v>0.28262173440858152</v>
      </c>
      <c r="AA821" s="256">
        <v>1.6065135610273789</v>
      </c>
      <c r="AB821" s="256">
        <v>3.1562703082645943E-2</v>
      </c>
      <c r="AC821" s="260">
        <v>0.1151358937099128</v>
      </c>
      <c r="AD821" s="405">
        <v>0</v>
      </c>
      <c r="AE821" s="257" t="s">
        <v>2195</v>
      </c>
      <c r="AF821" s="257" t="s">
        <v>2195</v>
      </c>
      <c r="AG821" s="261" t="s">
        <v>719</v>
      </c>
      <c r="AH821" s="261" t="s">
        <v>2113</v>
      </c>
      <c r="AI821" s="261">
        <v>1000</v>
      </c>
      <c r="AJ821" s="261">
        <v>1000</v>
      </c>
      <c r="AK821" s="261">
        <v>1000</v>
      </c>
      <c r="AL821" s="256">
        <v>8.0000000000000002E-3</v>
      </c>
      <c r="AM821" s="256">
        <v>0.2</v>
      </c>
      <c r="AN821" s="256" t="s">
        <v>636</v>
      </c>
      <c r="AO821" s="254" t="s">
        <v>1324</v>
      </c>
      <c r="AP821" s="257" t="s">
        <v>13</v>
      </c>
      <c r="AQ821" s="263" t="s">
        <v>671</v>
      </c>
      <c r="AR821" s="256">
        <v>2.8E-3</v>
      </c>
      <c r="AS821" s="256">
        <v>2.8E-3</v>
      </c>
      <c r="AT821" s="256"/>
      <c r="AX821" s="508"/>
      <c r="AY821" s="509"/>
      <c r="AZ821" s="509"/>
      <c r="BA821" s="509"/>
      <c r="BB821" s="510"/>
      <c r="BC821" s="509"/>
      <c r="BD821" s="509"/>
      <c r="BE821" s="509"/>
      <c r="BF821" s="509"/>
      <c r="BG821" s="510"/>
      <c r="BH821" s="510"/>
      <c r="BI821" s="511"/>
      <c r="BJ821" s="511"/>
      <c r="BK821" s="511"/>
      <c r="BL821" s="510"/>
      <c r="BM821" s="510"/>
      <c r="BN821" s="510"/>
      <c r="BO821" s="510"/>
      <c r="BP821" s="510"/>
      <c r="BQ821" s="510"/>
      <c r="BR821" s="510"/>
      <c r="BS821" s="510"/>
      <c r="BT821" s="513"/>
      <c r="BU821" s="514"/>
      <c r="BV821" s="512"/>
      <c r="BW821" s="515"/>
    </row>
    <row r="822" spans="2:75" ht="15.75" customHeight="1">
      <c r="B822" s="250" t="s">
        <v>933</v>
      </c>
      <c r="C822" s="251">
        <v>20584638000124</v>
      </c>
      <c r="D822" s="252" t="s">
        <v>11</v>
      </c>
      <c r="E822" s="252" t="s">
        <v>620</v>
      </c>
      <c r="F822" s="252" t="s">
        <v>692</v>
      </c>
      <c r="G822" s="253" t="s">
        <v>738</v>
      </c>
      <c r="H822" s="253" t="s">
        <v>34</v>
      </c>
      <c r="I822" s="253" t="s">
        <v>1304</v>
      </c>
      <c r="J822" s="253" t="s">
        <v>608</v>
      </c>
      <c r="K822" s="254" t="s">
        <v>48</v>
      </c>
      <c r="L822" s="255"/>
      <c r="M822" s="255" t="s">
        <v>34</v>
      </c>
      <c r="N822" s="254">
        <v>408840</v>
      </c>
      <c r="O822" s="254" t="s">
        <v>1321</v>
      </c>
      <c r="P822" s="258">
        <v>42319</v>
      </c>
      <c r="Q822" s="259">
        <v>15149372.880000001</v>
      </c>
      <c r="R822" s="259">
        <v>24937374.189087309</v>
      </c>
      <c r="S822" s="254">
        <v>31</v>
      </c>
      <c r="T822" s="256">
        <v>7.1145698524793577E-2</v>
      </c>
      <c r="U822" s="256">
        <v>0.9197143311447733</v>
      </c>
      <c r="V822" s="256">
        <v>9.9990712641968349E-2</v>
      </c>
      <c r="W822" s="256">
        <v>0.9802433263661271</v>
      </c>
      <c r="X822" s="256">
        <v>0.15170663381871408</v>
      </c>
      <c r="Y822" s="256">
        <v>1.1504189633578317</v>
      </c>
      <c r="Z822" s="256">
        <v>0.11966348137570026</v>
      </c>
      <c r="AA822" s="256">
        <v>0.68020602163558319</v>
      </c>
      <c r="AB822" s="256">
        <v>7.6514829135699985E-3</v>
      </c>
      <c r="AC822" s="260">
        <v>-0.23566314677695285</v>
      </c>
      <c r="AD822" s="405">
        <v>0</v>
      </c>
      <c r="AE822" s="257" t="s">
        <v>2241</v>
      </c>
      <c r="AF822" s="257" t="s">
        <v>2109</v>
      </c>
      <c r="AG822" s="261" t="s">
        <v>59</v>
      </c>
      <c r="AH822" s="261" t="s">
        <v>2113</v>
      </c>
      <c r="AI822" s="261">
        <v>0</v>
      </c>
      <c r="AJ822" s="261">
        <v>0</v>
      </c>
      <c r="AK822" s="261">
        <v>0</v>
      </c>
      <c r="AL822" s="256">
        <v>7.4999999999999997E-3</v>
      </c>
      <c r="AM822" s="256" t="s">
        <v>34</v>
      </c>
      <c r="AN822" s="256" t="s">
        <v>64</v>
      </c>
      <c r="AO822" s="254" t="s">
        <v>1324</v>
      </c>
      <c r="AP822" s="257" t="s">
        <v>11</v>
      </c>
      <c r="AQ822" s="263" t="s">
        <v>675</v>
      </c>
      <c r="AR822" s="256">
        <v>2E-3</v>
      </c>
      <c r="AS822" s="256">
        <v>2E-3</v>
      </c>
      <c r="AT822" s="256"/>
      <c r="AX822" s="508"/>
      <c r="AY822" s="509"/>
      <c r="AZ822" s="509"/>
      <c r="BA822" s="509"/>
      <c r="BB822" s="510"/>
      <c r="BC822" s="509"/>
      <c r="BD822" s="509"/>
      <c r="BE822" s="509"/>
      <c r="BF822" s="509"/>
      <c r="BG822" s="510"/>
      <c r="BH822" s="510"/>
      <c r="BI822" s="511"/>
      <c r="BJ822" s="511"/>
      <c r="BK822" s="511"/>
      <c r="BL822" s="510"/>
      <c r="BM822" s="510"/>
      <c r="BN822" s="510"/>
      <c r="BO822" s="510"/>
      <c r="BP822" s="510"/>
      <c r="BQ822" s="510"/>
      <c r="BR822" s="510"/>
      <c r="BS822" s="510"/>
      <c r="BT822" s="513"/>
      <c r="BU822" s="514"/>
      <c r="BV822" s="512"/>
      <c r="BW822" s="515"/>
    </row>
    <row r="823" spans="2:75" ht="15.75" customHeight="1">
      <c r="B823" s="250" t="s">
        <v>1590</v>
      </c>
      <c r="C823" s="251">
        <v>828035000113</v>
      </c>
      <c r="D823" s="252" t="s">
        <v>11</v>
      </c>
      <c r="E823" s="252" t="s">
        <v>620</v>
      </c>
      <c r="F823" s="252" t="s">
        <v>692</v>
      </c>
      <c r="G823" s="253" t="s">
        <v>738</v>
      </c>
      <c r="H823" s="253" t="s">
        <v>34</v>
      </c>
      <c r="I823" s="253" t="s">
        <v>1304</v>
      </c>
      <c r="J823" s="253" t="s">
        <v>608</v>
      </c>
      <c r="K823" s="254" t="s">
        <v>48</v>
      </c>
      <c r="L823" s="255"/>
      <c r="M823" s="255"/>
      <c r="N823" s="254">
        <v>20583</v>
      </c>
      <c r="O823" s="254" t="s">
        <v>1324</v>
      </c>
      <c r="P823" s="258">
        <v>34978</v>
      </c>
      <c r="Q823" s="259" t="s">
        <v>1393</v>
      </c>
      <c r="R823" s="259" t="s">
        <v>1417</v>
      </c>
      <c r="S823" s="254">
        <v>31</v>
      </c>
      <c r="T823" s="256" t="s">
        <v>1417</v>
      </c>
      <c r="U823" s="256" t="s">
        <v>1417</v>
      </c>
      <c r="V823" s="256" t="s">
        <v>1417</v>
      </c>
      <c r="W823" s="256" t="s">
        <v>1417</v>
      </c>
      <c r="X823" s="256" t="s">
        <v>1417</v>
      </c>
      <c r="Y823" s="256" t="s">
        <v>1417</v>
      </c>
      <c r="Z823" s="256" t="s">
        <v>1417</v>
      </c>
      <c r="AA823" s="256" t="s">
        <v>1417</v>
      </c>
      <c r="AB823" s="256" t="s">
        <v>1417</v>
      </c>
      <c r="AC823" s="260" t="s">
        <v>1417</v>
      </c>
      <c r="AD823" s="405">
        <v>42046759000155</v>
      </c>
      <c r="AE823" s="257" t="s">
        <v>2241</v>
      </c>
      <c r="AF823" s="257" t="s">
        <v>2109</v>
      </c>
      <c r="AG823" s="261" t="s">
        <v>1432</v>
      </c>
      <c r="AH823" s="261" t="s">
        <v>2113</v>
      </c>
      <c r="AI823" s="261">
        <v>1000</v>
      </c>
      <c r="AJ823" s="261">
        <v>1000</v>
      </c>
      <c r="AK823" s="261">
        <v>1000</v>
      </c>
      <c r="AL823" s="256">
        <v>1.8700000000000001E-2</v>
      </c>
      <c r="AM823" s="256">
        <v>0.2</v>
      </c>
      <c r="AN823" s="256" t="s">
        <v>2127</v>
      </c>
      <c r="AO823" s="254" t="s">
        <v>1324</v>
      </c>
      <c r="AP823" s="257" t="s">
        <v>13</v>
      </c>
      <c r="AQ823" s="263" t="s">
        <v>664</v>
      </c>
      <c r="AR823" s="256">
        <v>1.0666666666666667E-3</v>
      </c>
      <c r="AS823" s="256">
        <v>1.0666666666666667E-3</v>
      </c>
      <c r="AT823" s="256"/>
      <c r="AX823" s="508"/>
      <c r="AY823" s="509"/>
      <c r="AZ823" s="509"/>
      <c r="BA823" s="509"/>
      <c r="BB823" s="510"/>
      <c r="BC823" s="509"/>
      <c r="BD823" s="509"/>
      <c r="BE823" s="509"/>
      <c r="BF823" s="509"/>
      <c r="BG823" s="510"/>
      <c r="BH823" s="510"/>
      <c r="BI823" s="511"/>
      <c r="BJ823" s="511"/>
      <c r="BK823" s="511"/>
      <c r="BL823" s="510"/>
      <c r="BM823" s="510"/>
      <c r="BN823" s="510"/>
      <c r="BO823" s="510"/>
      <c r="BP823" s="510"/>
      <c r="BQ823" s="510"/>
      <c r="BR823" s="510"/>
      <c r="BS823" s="510"/>
      <c r="BT823" s="513"/>
      <c r="BU823" s="514"/>
      <c r="BV823" s="512"/>
      <c r="BW823" s="515"/>
    </row>
    <row r="824" spans="2:75" ht="15.75" customHeight="1">
      <c r="B824" s="250" t="s">
        <v>471</v>
      </c>
      <c r="C824" s="251">
        <v>41088594000111</v>
      </c>
      <c r="D824" s="252" t="s">
        <v>11</v>
      </c>
      <c r="E824" s="252" t="s">
        <v>621</v>
      </c>
      <c r="F824" s="252" t="s">
        <v>692</v>
      </c>
      <c r="G824" s="253" t="s">
        <v>738</v>
      </c>
      <c r="H824" s="253" t="s">
        <v>34</v>
      </c>
      <c r="I824" s="253"/>
      <c r="J824" s="253" t="s">
        <v>608</v>
      </c>
      <c r="K824" s="254" t="s">
        <v>48</v>
      </c>
      <c r="L824" s="255"/>
      <c r="M824" s="255" t="s">
        <v>34</v>
      </c>
      <c r="N824" s="254">
        <v>635685</v>
      </c>
      <c r="O824" s="254" t="s">
        <v>1321</v>
      </c>
      <c r="P824" s="258">
        <v>44287</v>
      </c>
      <c r="Q824" s="259">
        <v>3322791.94</v>
      </c>
      <c r="R824" s="259">
        <v>3289942.5839285692</v>
      </c>
      <c r="S824" s="254">
        <v>31</v>
      </c>
      <c r="T824" s="256">
        <v>4.5397866403447118E-2</v>
      </c>
      <c r="U824" s="256">
        <v>0.58686707981503061</v>
      </c>
      <c r="V824" s="256">
        <v>7.57290517683058E-2</v>
      </c>
      <c r="W824" s="256">
        <v>0.74239792523250303</v>
      </c>
      <c r="X824" s="256" t="s">
        <v>1417</v>
      </c>
      <c r="Y824" s="256" t="s">
        <v>1417</v>
      </c>
      <c r="Z824" s="256" t="s">
        <v>1417</v>
      </c>
      <c r="AA824" s="256" t="s">
        <v>1417</v>
      </c>
      <c r="AB824" s="256">
        <v>3.4508719649502931E-2</v>
      </c>
      <c r="AC824" s="260">
        <v>-0.68244819902252085</v>
      </c>
      <c r="AD824" s="405">
        <v>34706691000165</v>
      </c>
      <c r="AE824" s="257" t="s">
        <v>2291</v>
      </c>
      <c r="AF824" s="257" t="s">
        <v>2109</v>
      </c>
      <c r="AG824" s="261" t="s">
        <v>1432</v>
      </c>
      <c r="AH824" s="261" t="s">
        <v>2113</v>
      </c>
      <c r="AI824" s="261">
        <v>500</v>
      </c>
      <c r="AJ824" s="261">
        <v>100</v>
      </c>
      <c r="AK824" s="261">
        <v>100</v>
      </c>
      <c r="AL824" s="256">
        <v>8.0000000000000002E-3</v>
      </c>
      <c r="AM824" s="256">
        <v>0.2</v>
      </c>
      <c r="AN824" s="256" t="s">
        <v>34</v>
      </c>
      <c r="AO824" s="254" t="s">
        <v>1324</v>
      </c>
      <c r="AP824" s="257" t="s">
        <v>11</v>
      </c>
      <c r="AQ824" s="263" t="s">
        <v>675</v>
      </c>
      <c r="AR824" s="256">
        <v>1.8664E-3</v>
      </c>
      <c r="AS824" s="256">
        <v>1.8664E-3</v>
      </c>
      <c r="AT824" s="256"/>
      <c r="AX824" s="508"/>
      <c r="AY824" s="509"/>
      <c r="AZ824" s="509"/>
      <c r="BA824" s="509"/>
      <c r="BB824" s="510"/>
      <c r="BC824" s="509"/>
      <c r="BD824" s="509"/>
      <c r="BE824" s="509"/>
      <c r="BF824" s="509"/>
      <c r="BG824" s="510"/>
      <c r="BH824" s="510"/>
      <c r="BI824" s="511"/>
      <c r="BJ824" s="511"/>
      <c r="BK824" s="511"/>
      <c r="BL824" s="510"/>
      <c r="BM824" s="510"/>
      <c r="BN824" s="510"/>
      <c r="BO824" s="510"/>
      <c r="BP824" s="510"/>
      <c r="BQ824" s="510"/>
      <c r="BR824" s="510"/>
      <c r="BS824" s="510"/>
      <c r="BT824" s="513"/>
      <c r="BU824" s="514"/>
      <c r="BV824" s="512"/>
      <c r="BW824" s="515"/>
    </row>
    <row r="825" spans="2:75" ht="15.75" customHeight="1">
      <c r="B825" s="250" t="s">
        <v>1084</v>
      </c>
      <c r="C825" s="251">
        <v>27954376000191</v>
      </c>
      <c r="D825" s="252" t="s">
        <v>11</v>
      </c>
      <c r="E825" s="252" t="s">
        <v>621</v>
      </c>
      <c r="F825" s="252" t="s">
        <v>692</v>
      </c>
      <c r="G825" s="253" t="s">
        <v>738</v>
      </c>
      <c r="H825" s="253" t="s">
        <v>34</v>
      </c>
      <c r="I825" s="253"/>
      <c r="J825" s="253" t="s">
        <v>608</v>
      </c>
      <c r="K825" s="254" t="s">
        <v>48</v>
      </c>
      <c r="L825" s="255"/>
      <c r="M825" s="255" t="s">
        <v>1414</v>
      </c>
      <c r="N825" s="254">
        <v>453552</v>
      </c>
      <c r="O825" s="254" t="s">
        <v>1321</v>
      </c>
      <c r="P825" s="258">
        <v>43060</v>
      </c>
      <c r="Q825" s="259">
        <v>6466963.2000000002</v>
      </c>
      <c r="R825" s="259">
        <v>5956531.7437301623</v>
      </c>
      <c r="S825" s="254">
        <v>31</v>
      </c>
      <c r="T825" s="256">
        <v>8.3109020323365312E-2</v>
      </c>
      <c r="U825" s="256">
        <v>1.0743665270524247</v>
      </c>
      <c r="V825" s="256">
        <v>0.13933024470632116</v>
      </c>
      <c r="W825" s="256">
        <v>1.36590228157856</v>
      </c>
      <c r="X825" s="256">
        <v>0.14486666754370958</v>
      </c>
      <c r="Y825" s="256">
        <v>1.0985502565424379</v>
      </c>
      <c r="Z825" s="256">
        <v>0.12867316322992095</v>
      </c>
      <c r="AA825" s="256">
        <v>0.73141997412807891</v>
      </c>
      <c r="AB825" s="256">
        <v>3.1046806118105015E-2</v>
      </c>
      <c r="AC825" s="260">
        <v>1.0887415852256284</v>
      </c>
      <c r="AD825" s="405">
        <v>36729801000130</v>
      </c>
      <c r="AE825" s="257" t="s">
        <v>2331</v>
      </c>
      <c r="AF825" s="257" t="s">
        <v>2109</v>
      </c>
      <c r="AG825" s="261" t="s">
        <v>1432</v>
      </c>
      <c r="AH825" s="261" t="s">
        <v>2110</v>
      </c>
      <c r="AI825" s="261">
        <v>1000</v>
      </c>
      <c r="AJ825" s="261">
        <v>1000</v>
      </c>
      <c r="AK825" s="261">
        <v>1000</v>
      </c>
      <c r="AL825" s="256">
        <v>2.5000000000000001E-3</v>
      </c>
      <c r="AM825" s="256" t="s">
        <v>34</v>
      </c>
      <c r="AN825" s="256" t="s">
        <v>34</v>
      </c>
      <c r="AO825" s="254" t="s">
        <v>1324</v>
      </c>
      <c r="AP825" s="257" t="s">
        <v>11</v>
      </c>
      <c r="AQ825" s="263" t="s">
        <v>675</v>
      </c>
      <c r="AR825" s="256" t="s">
        <v>34</v>
      </c>
      <c r="AS825" s="256" t="s">
        <v>34</v>
      </c>
      <c r="AT825" s="256"/>
      <c r="AX825" s="508"/>
      <c r="AY825" s="509"/>
      <c r="AZ825" s="509"/>
      <c r="BA825" s="509"/>
      <c r="BB825" s="510"/>
      <c r="BC825" s="509"/>
      <c r="BD825" s="509"/>
      <c r="BE825" s="509"/>
      <c r="BF825" s="509"/>
      <c r="BG825" s="510"/>
      <c r="BH825" s="510"/>
      <c r="BI825" s="511"/>
      <c r="BJ825" s="511"/>
      <c r="BK825" s="511"/>
      <c r="BL825" s="510"/>
      <c r="BM825" s="510"/>
      <c r="BN825" s="510"/>
      <c r="BO825" s="510"/>
      <c r="BP825" s="510"/>
      <c r="BQ825" s="510"/>
      <c r="BR825" s="510"/>
      <c r="BS825" s="510"/>
      <c r="BT825" s="513"/>
      <c r="BU825" s="514"/>
      <c r="BV825" s="512"/>
      <c r="BW825" s="515"/>
    </row>
    <row r="826" spans="2:75" ht="15.75" customHeight="1">
      <c r="B826" s="250" t="s">
        <v>1110</v>
      </c>
      <c r="C826" s="251">
        <v>24552346000160</v>
      </c>
      <c r="D826" s="252" t="s">
        <v>11</v>
      </c>
      <c r="E826" s="252" t="s">
        <v>621</v>
      </c>
      <c r="F826" s="252" t="s">
        <v>692</v>
      </c>
      <c r="G826" s="253" t="s">
        <v>738</v>
      </c>
      <c r="H826" s="253" t="s">
        <v>34</v>
      </c>
      <c r="I826" s="253"/>
      <c r="J826" s="253" t="s">
        <v>608</v>
      </c>
      <c r="K826" s="254" t="s">
        <v>48</v>
      </c>
      <c r="L826" s="255"/>
      <c r="M826" s="255" t="s">
        <v>34</v>
      </c>
      <c r="N826" s="254">
        <v>426911</v>
      </c>
      <c r="O826" s="254" t="s">
        <v>1321</v>
      </c>
      <c r="P826" s="258">
        <v>42646</v>
      </c>
      <c r="Q826" s="259">
        <v>41803552.5</v>
      </c>
      <c r="R826" s="259">
        <v>53039816.083492056</v>
      </c>
      <c r="S826" s="254">
        <v>31</v>
      </c>
      <c r="T826" s="256">
        <v>5.625636648634047E-2</v>
      </c>
      <c r="U826" s="256">
        <v>0.7272370297634938</v>
      </c>
      <c r="V826" s="256">
        <v>8.7058298122519417E-2</v>
      </c>
      <c r="W826" s="256">
        <v>0.85346242150467466</v>
      </c>
      <c r="X826" s="256">
        <v>0.15694488238976567</v>
      </c>
      <c r="Y826" s="256">
        <v>1.1901415538552318</v>
      </c>
      <c r="Z826" s="256">
        <v>0.20935942250322359</v>
      </c>
      <c r="AA826" s="256">
        <v>1.1900668293757266</v>
      </c>
      <c r="AB826" s="256">
        <v>3.4435287135415216E-2</v>
      </c>
      <c r="AC826" s="260">
        <v>-0.37964306725801977</v>
      </c>
      <c r="AD826" s="405">
        <v>0</v>
      </c>
      <c r="AE826" s="257" t="s">
        <v>2349</v>
      </c>
      <c r="AF826" s="257" t="s">
        <v>2109</v>
      </c>
      <c r="AG826" s="261" t="s">
        <v>1432</v>
      </c>
      <c r="AH826" s="261" t="s">
        <v>2113</v>
      </c>
      <c r="AI826" s="261">
        <v>0</v>
      </c>
      <c r="AJ826" s="261">
        <v>0</v>
      </c>
      <c r="AK826" s="261">
        <v>0</v>
      </c>
      <c r="AL826" s="256">
        <v>9.0000000000000011E-3</v>
      </c>
      <c r="AM826" s="256">
        <v>0.2</v>
      </c>
      <c r="AN826" s="256" t="s">
        <v>2127</v>
      </c>
      <c r="AO826" s="254" t="s">
        <v>1324</v>
      </c>
      <c r="AP826" s="257" t="s">
        <v>11</v>
      </c>
      <c r="AQ826" s="263" t="s">
        <v>675</v>
      </c>
      <c r="AR826" s="256">
        <v>1.7999999999999997E-3</v>
      </c>
      <c r="AS826" s="256">
        <v>1.7999999999999997E-3</v>
      </c>
      <c r="AT826" s="256"/>
      <c r="AX826" s="508"/>
      <c r="AY826" s="509"/>
      <c r="AZ826" s="509"/>
      <c r="BA826" s="509"/>
      <c r="BB826" s="510"/>
      <c r="BC826" s="509"/>
      <c r="BD826" s="509"/>
      <c r="BE826" s="509"/>
      <c r="BF826" s="509"/>
      <c r="BG826" s="510"/>
      <c r="BH826" s="510"/>
      <c r="BI826" s="511"/>
      <c r="BJ826" s="511"/>
      <c r="BK826" s="511"/>
      <c r="BL826" s="510"/>
      <c r="BM826" s="510"/>
      <c r="BN826" s="510"/>
      <c r="BO826" s="510"/>
      <c r="BP826" s="510"/>
      <c r="BQ826" s="510"/>
      <c r="BR826" s="510"/>
      <c r="BS826" s="510"/>
      <c r="BT826" s="513"/>
      <c r="BU826" s="514"/>
      <c r="BV826" s="512"/>
      <c r="BW826" s="515"/>
    </row>
    <row r="827" spans="2:75" ht="15.75" customHeight="1">
      <c r="B827" s="250" t="s">
        <v>1149</v>
      </c>
      <c r="C827" s="251">
        <v>23565840000105</v>
      </c>
      <c r="D827" s="252" t="s">
        <v>11</v>
      </c>
      <c r="E827" s="252" t="s">
        <v>620</v>
      </c>
      <c r="F827" s="252" t="s">
        <v>692</v>
      </c>
      <c r="G827" s="253" t="s">
        <v>738</v>
      </c>
      <c r="H827" s="253" t="s">
        <v>34</v>
      </c>
      <c r="I827" s="253"/>
      <c r="J827" s="253" t="s">
        <v>608</v>
      </c>
      <c r="K827" s="254" t="s">
        <v>48</v>
      </c>
      <c r="L827" s="255"/>
      <c r="M827" s="255" t="s">
        <v>34</v>
      </c>
      <c r="N827" s="254">
        <v>416517</v>
      </c>
      <c r="O827" s="254" t="s">
        <v>1321</v>
      </c>
      <c r="P827" s="258">
        <v>42458</v>
      </c>
      <c r="Q827" s="259">
        <v>54170126.759999998</v>
      </c>
      <c r="R827" s="259">
        <v>56365244.961071447</v>
      </c>
      <c r="S827" s="254">
        <v>31</v>
      </c>
      <c r="T827" s="256">
        <v>8.8619225346694419E-2</v>
      </c>
      <c r="U827" s="256">
        <v>1.1455980228783547</v>
      </c>
      <c r="V827" s="256">
        <v>0.11973405392648795</v>
      </c>
      <c r="W827" s="256">
        <v>1.1737940874614747</v>
      </c>
      <c r="X827" s="256">
        <v>0.18159472284425671</v>
      </c>
      <c r="Y827" s="256">
        <v>1.3770657719252093</v>
      </c>
      <c r="Z827" s="256">
        <v>0.15476223002061928</v>
      </c>
      <c r="AA827" s="256">
        <v>0.87971868753563942</v>
      </c>
      <c r="AB827" s="256">
        <v>1.240581250188299E-2</v>
      </c>
      <c r="AC827" s="260">
        <v>1.2930334556798582</v>
      </c>
      <c r="AD827" s="405">
        <v>26171796000139</v>
      </c>
      <c r="AE827" s="257" t="s">
        <v>2373</v>
      </c>
      <c r="AF827" s="257" t="s">
        <v>2118</v>
      </c>
      <c r="AG827" s="261" t="s">
        <v>1433</v>
      </c>
      <c r="AH827" s="261" t="s">
        <v>2113</v>
      </c>
      <c r="AI827" s="261">
        <v>1000</v>
      </c>
      <c r="AJ827" s="261">
        <v>1000</v>
      </c>
      <c r="AK827" s="261">
        <v>1000</v>
      </c>
      <c r="AL827" s="256">
        <v>8.0000000000000002E-3</v>
      </c>
      <c r="AM827" s="256" t="s">
        <v>34</v>
      </c>
      <c r="AN827" s="256" t="s">
        <v>64</v>
      </c>
      <c r="AO827" s="254" t="s">
        <v>1324</v>
      </c>
      <c r="AP827" s="257" t="s">
        <v>11</v>
      </c>
      <c r="AQ827" s="263" t="s">
        <v>675</v>
      </c>
      <c r="AR827" s="256">
        <v>1.5999999999999999E-3</v>
      </c>
      <c r="AS827" s="256">
        <v>1.5999999999999999E-3</v>
      </c>
      <c r="AT827" s="256"/>
      <c r="AX827" s="508"/>
      <c r="AY827" s="509"/>
      <c r="AZ827" s="509"/>
      <c r="BA827" s="509"/>
      <c r="BB827" s="510"/>
      <c r="BC827" s="509"/>
      <c r="BD827" s="509"/>
      <c r="BE827" s="509"/>
      <c r="BF827" s="509"/>
      <c r="BG827" s="510"/>
      <c r="BH827" s="510"/>
      <c r="BI827" s="511"/>
      <c r="BJ827" s="511"/>
      <c r="BK827" s="511"/>
      <c r="BL827" s="510"/>
      <c r="BM827" s="510"/>
      <c r="BN827" s="510"/>
      <c r="BO827" s="510"/>
      <c r="BP827" s="510"/>
      <c r="BQ827" s="510"/>
      <c r="BR827" s="510"/>
      <c r="BS827" s="510"/>
      <c r="BT827" s="513"/>
      <c r="BU827" s="514"/>
      <c r="BV827" s="512"/>
      <c r="BW827" s="515"/>
    </row>
    <row r="828" spans="2:75" ht="15.75" customHeight="1">
      <c r="B828" s="250" t="s">
        <v>1193</v>
      </c>
      <c r="C828" s="251">
        <v>26759909000111</v>
      </c>
      <c r="D828" s="252" t="s">
        <v>11</v>
      </c>
      <c r="E828" s="252" t="s">
        <v>620</v>
      </c>
      <c r="F828" s="252" t="s">
        <v>692</v>
      </c>
      <c r="G828" s="253" t="s">
        <v>738</v>
      </c>
      <c r="H828" s="253" t="s">
        <v>34</v>
      </c>
      <c r="I828" s="253"/>
      <c r="J828" s="253" t="s">
        <v>608</v>
      </c>
      <c r="K828" s="254" t="s">
        <v>48</v>
      </c>
      <c r="L828" s="255"/>
      <c r="M828" s="255" t="s">
        <v>34</v>
      </c>
      <c r="N828" s="254">
        <v>442976</v>
      </c>
      <c r="O828" s="254" t="s">
        <v>1324</v>
      </c>
      <c r="P828" s="258">
        <v>42916</v>
      </c>
      <c r="Q828" s="259">
        <v>627155034.49000001</v>
      </c>
      <c r="R828" s="259">
        <v>510847612.86448413</v>
      </c>
      <c r="S828" s="254">
        <v>31</v>
      </c>
      <c r="T828" s="256">
        <v>8.559176619539266E-2</v>
      </c>
      <c r="U828" s="256">
        <v>1.1064614675258579</v>
      </c>
      <c r="V828" s="256">
        <v>0.11685347723827144</v>
      </c>
      <c r="W828" s="256">
        <v>1.1455548040310164</v>
      </c>
      <c r="X828" s="256">
        <v>0.20208746405599398</v>
      </c>
      <c r="Y828" s="256">
        <v>1.5324659512564505</v>
      </c>
      <c r="Z828" s="256">
        <v>0.21190224482632236</v>
      </c>
      <c r="AA828" s="256">
        <v>1.2045210558133705</v>
      </c>
      <c r="AB828" s="256">
        <v>1.3354935338420183E-2</v>
      </c>
      <c r="AC828" s="260">
        <v>1.0090862681819313</v>
      </c>
      <c r="AD828" s="405">
        <v>30676315000114</v>
      </c>
      <c r="AE828" s="257" t="s">
        <v>2398</v>
      </c>
      <c r="AF828" s="257" t="s">
        <v>2118</v>
      </c>
      <c r="AG828" s="261" t="s">
        <v>1433</v>
      </c>
      <c r="AH828" s="261" t="s">
        <v>2113</v>
      </c>
      <c r="AI828" s="261">
        <v>1000</v>
      </c>
      <c r="AJ828" s="261">
        <v>100</v>
      </c>
      <c r="AK828" s="261">
        <v>100</v>
      </c>
      <c r="AL828" s="256">
        <v>8.0000000000000002E-3</v>
      </c>
      <c r="AM828" s="256" t="s">
        <v>34</v>
      </c>
      <c r="AN828" s="256" t="s">
        <v>64</v>
      </c>
      <c r="AO828" s="254" t="s">
        <v>1324</v>
      </c>
      <c r="AP828" s="257" t="s">
        <v>11</v>
      </c>
      <c r="AQ828" s="263" t="s">
        <v>675</v>
      </c>
      <c r="AR828" s="256">
        <v>2.3999999999999998E-3</v>
      </c>
      <c r="AS828" s="256">
        <v>2.3999999999999998E-3</v>
      </c>
      <c r="AT828" s="256"/>
      <c r="AX828" s="508"/>
      <c r="AY828" s="509"/>
      <c r="AZ828" s="509"/>
      <c r="BA828" s="509"/>
      <c r="BB828" s="510"/>
      <c r="BC828" s="509"/>
      <c r="BD828" s="509"/>
      <c r="BE828" s="509"/>
      <c r="BF828" s="509"/>
      <c r="BG828" s="510"/>
      <c r="BH828" s="510"/>
      <c r="BI828" s="511"/>
      <c r="BJ828" s="511"/>
      <c r="BK828" s="511"/>
      <c r="BL828" s="510"/>
      <c r="BM828" s="510"/>
      <c r="BN828" s="510"/>
      <c r="BO828" s="510"/>
      <c r="BP828" s="510"/>
      <c r="BQ828" s="510"/>
      <c r="BR828" s="510"/>
      <c r="BS828" s="510"/>
      <c r="BT828" s="513"/>
      <c r="BU828" s="514"/>
      <c r="BV828" s="512"/>
      <c r="BW828" s="515"/>
    </row>
    <row r="829" spans="2:75" ht="15.75" customHeight="1">
      <c r="B829" s="250" t="s">
        <v>63</v>
      </c>
      <c r="C829" s="251">
        <v>36181846000112</v>
      </c>
      <c r="D829" s="252" t="s">
        <v>13</v>
      </c>
      <c r="E829" s="252" t="s">
        <v>616</v>
      </c>
      <c r="F829" s="252" t="s">
        <v>617</v>
      </c>
      <c r="G829" s="253" t="s">
        <v>34</v>
      </c>
      <c r="H829" s="253" t="s">
        <v>1337</v>
      </c>
      <c r="I829" s="253" t="s">
        <v>34</v>
      </c>
      <c r="J829" s="253" t="s">
        <v>608</v>
      </c>
      <c r="K829" s="254" t="s">
        <v>48</v>
      </c>
      <c r="L829" s="255"/>
      <c r="M829" s="255" t="s">
        <v>34</v>
      </c>
      <c r="N829" s="254">
        <v>531715</v>
      </c>
      <c r="O829" s="254" t="s">
        <v>1321</v>
      </c>
      <c r="P829" s="258">
        <v>43922</v>
      </c>
      <c r="Q829" s="259">
        <v>673939480.39999998</v>
      </c>
      <c r="R829" s="259">
        <v>1218769776.60869</v>
      </c>
      <c r="S829" s="254">
        <v>31</v>
      </c>
      <c r="T829" s="256">
        <v>-3.6293599792973641E-3</v>
      </c>
      <c r="U829" s="256">
        <v>-4.6917444835822816E-2</v>
      </c>
      <c r="V829" s="256">
        <v>1.8581823835060352E-2</v>
      </c>
      <c r="W829" s="256">
        <v>0.18216400628375781</v>
      </c>
      <c r="X829" s="256">
        <v>1.3961187764306437E-2</v>
      </c>
      <c r="Y829" s="256">
        <v>0.10587022301378222</v>
      </c>
      <c r="Z829" s="256" t="s">
        <v>1417</v>
      </c>
      <c r="AA829" s="256" t="s">
        <v>1417</v>
      </c>
      <c r="AB829" s="256">
        <v>4.0256160220714265E-2</v>
      </c>
      <c r="AC829" s="260">
        <v>-1.9359125540116628</v>
      </c>
      <c r="AD829" s="405">
        <v>36181795000129</v>
      </c>
      <c r="AE829" s="257" t="s">
        <v>2116</v>
      </c>
      <c r="AF829" s="257" t="s">
        <v>2112</v>
      </c>
      <c r="AG829" s="261" t="s">
        <v>59</v>
      </c>
      <c r="AH829" s="261" t="s">
        <v>2113</v>
      </c>
      <c r="AI829" s="261">
        <v>25000</v>
      </c>
      <c r="AJ829" s="261">
        <v>1000</v>
      </c>
      <c r="AK829" s="261">
        <v>10000</v>
      </c>
      <c r="AL829" s="519">
        <v>0.02</v>
      </c>
      <c r="AM829" s="519">
        <v>0.2</v>
      </c>
      <c r="AN829" s="256" t="s">
        <v>64</v>
      </c>
      <c r="AO829" s="254" t="s">
        <v>1324</v>
      </c>
      <c r="AP829" s="257" t="s">
        <v>13</v>
      </c>
      <c r="AQ829" s="263" t="s">
        <v>668</v>
      </c>
      <c r="AR829" s="256">
        <v>4.0000000000000001E-3</v>
      </c>
      <c r="AS829" s="256">
        <v>4.0000000000000001E-3</v>
      </c>
      <c r="AT829" s="256"/>
      <c r="AX829" s="508"/>
      <c r="AY829" s="509"/>
      <c r="AZ829" s="509"/>
      <c r="BA829" s="509"/>
      <c r="BB829" s="510"/>
      <c r="BC829" s="509"/>
      <c r="BD829" s="509"/>
      <c r="BE829" s="509"/>
      <c r="BF829" s="509"/>
      <c r="BG829" s="510"/>
      <c r="BH829" s="510"/>
      <c r="BI829" s="511"/>
      <c r="BJ829" s="511"/>
      <c r="BK829" s="511"/>
      <c r="BL829" s="510"/>
      <c r="BM829" s="510"/>
      <c r="BN829" s="510"/>
      <c r="BO829" s="510"/>
      <c r="BP829" s="510"/>
      <c r="BQ829" s="510"/>
      <c r="BR829" s="510"/>
      <c r="BS829" s="510"/>
      <c r="BT829" s="513"/>
      <c r="BU829" s="514"/>
      <c r="BV829" s="512"/>
      <c r="BW829" s="515"/>
    </row>
    <row r="830" spans="2:75" ht="15.75" customHeight="1">
      <c r="B830" s="250" t="s">
        <v>776</v>
      </c>
      <c r="C830" s="251">
        <v>20458815000126</v>
      </c>
      <c r="D830" s="252" t="s">
        <v>13</v>
      </c>
      <c r="E830" s="252" t="s">
        <v>616</v>
      </c>
      <c r="F830" s="252" t="s">
        <v>617</v>
      </c>
      <c r="G830" s="253" t="s">
        <v>34</v>
      </c>
      <c r="H830" s="253" t="s">
        <v>1338</v>
      </c>
      <c r="I830" s="253" t="s">
        <v>34</v>
      </c>
      <c r="J830" s="253" t="s">
        <v>608</v>
      </c>
      <c r="K830" s="254" t="s">
        <v>48</v>
      </c>
      <c r="L830" s="255"/>
      <c r="M830" s="255" t="s">
        <v>34</v>
      </c>
      <c r="N830" s="254">
        <v>375918</v>
      </c>
      <c r="O830" s="254" t="s">
        <v>1321</v>
      </c>
      <c r="P830" s="258">
        <v>41883</v>
      </c>
      <c r="Q830" s="259">
        <v>763726216.5</v>
      </c>
      <c r="R830" s="259">
        <v>303978286.54218268</v>
      </c>
      <c r="S830" s="254">
        <v>31</v>
      </c>
      <c r="T830" s="256">
        <v>0.32237263208770894</v>
      </c>
      <c r="U830" s="256">
        <v>4.167373936129156</v>
      </c>
      <c r="V830" s="256">
        <v>0.41744998996992444</v>
      </c>
      <c r="W830" s="256">
        <v>4.0924057439698016</v>
      </c>
      <c r="X830" s="256">
        <v>0.40595423302015332</v>
      </c>
      <c r="Y830" s="256">
        <v>3.078424694861027</v>
      </c>
      <c r="Z830" s="256">
        <v>0.59092682880667025</v>
      </c>
      <c r="AA830" s="256">
        <v>3.3590196664789649</v>
      </c>
      <c r="AB830" s="256">
        <v>8.5051742900132982E-2</v>
      </c>
      <c r="AC830" s="260">
        <v>3.0044846416659752</v>
      </c>
      <c r="AD830" s="405">
        <v>36327493000116</v>
      </c>
      <c r="AE830" s="257" t="s">
        <v>2153</v>
      </c>
      <c r="AF830" s="257" t="s">
        <v>2118</v>
      </c>
      <c r="AG830" s="261" t="s">
        <v>1433</v>
      </c>
      <c r="AH830" s="261" t="s">
        <v>2113</v>
      </c>
      <c r="AI830" s="261">
        <v>10000</v>
      </c>
      <c r="AJ830" s="261">
        <v>5000</v>
      </c>
      <c r="AK830" s="261">
        <v>5000</v>
      </c>
      <c r="AL830" s="519">
        <v>1.9E-2</v>
      </c>
      <c r="AM830" s="519">
        <v>0.2</v>
      </c>
      <c r="AN830" s="256" t="s">
        <v>34</v>
      </c>
      <c r="AO830" s="254" t="s">
        <v>1324</v>
      </c>
      <c r="AP830" s="257" t="s">
        <v>13</v>
      </c>
      <c r="AQ830" s="263" t="s">
        <v>668</v>
      </c>
      <c r="AR830" s="256">
        <v>3.7999999999999996E-3</v>
      </c>
      <c r="AS830" s="256">
        <v>3.7999999999999996E-3</v>
      </c>
      <c r="AT830" s="256"/>
      <c r="AX830" s="508"/>
      <c r="AY830" s="509"/>
      <c r="AZ830" s="509"/>
      <c r="BA830" s="509"/>
      <c r="BB830" s="510"/>
      <c r="BC830" s="509"/>
      <c r="BD830" s="509"/>
      <c r="BE830" s="509"/>
      <c r="BF830" s="509"/>
      <c r="BG830" s="510"/>
      <c r="BH830" s="510"/>
      <c r="BI830" s="511"/>
      <c r="BJ830" s="511"/>
      <c r="BK830" s="511"/>
      <c r="BL830" s="510"/>
      <c r="BM830" s="510"/>
      <c r="BN830" s="510"/>
      <c r="BO830" s="510"/>
      <c r="BP830" s="510"/>
      <c r="BQ830" s="510"/>
      <c r="BR830" s="510"/>
      <c r="BS830" s="510"/>
      <c r="BT830" s="513"/>
      <c r="BU830" s="514"/>
      <c r="BV830" s="512"/>
      <c r="BW830" s="515"/>
    </row>
    <row r="831" spans="2:75" ht="15.75" customHeight="1">
      <c r="B831" s="250" t="s">
        <v>232</v>
      </c>
      <c r="C831" s="251">
        <v>18391138000124</v>
      </c>
      <c r="D831" s="252" t="s">
        <v>13</v>
      </c>
      <c r="E831" s="252" t="s">
        <v>616</v>
      </c>
      <c r="F831" s="252" t="s">
        <v>617</v>
      </c>
      <c r="G831" s="253" t="s">
        <v>34</v>
      </c>
      <c r="H831" s="253" t="s">
        <v>1338</v>
      </c>
      <c r="I831" s="253" t="s">
        <v>34</v>
      </c>
      <c r="J831" s="253" t="s">
        <v>608</v>
      </c>
      <c r="K831" s="254" t="s">
        <v>48</v>
      </c>
      <c r="L831" s="255"/>
      <c r="M831" s="255" t="s">
        <v>34</v>
      </c>
      <c r="N831" s="254">
        <v>342092</v>
      </c>
      <c r="O831" s="254" t="s">
        <v>1324</v>
      </c>
      <c r="P831" s="258">
        <v>41486</v>
      </c>
      <c r="Q831" s="259">
        <v>794935679.66999996</v>
      </c>
      <c r="R831" s="259">
        <v>602799095.22761869</v>
      </c>
      <c r="S831" s="254">
        <v>31</v>
      </c>
      <c r="T831" s="256">
        <v>0.21466615079981533</v>
      </c>
      <c r="U831" s="256">
        <v>2.7750312302221931</v>
      </c>
      <c r="V831" s="256">
        <v>0.21046411082595928</v>
      </c>
      <c r="W831" s="256">
        <v>2.0632520223696882</v>
      </c>
      <c r="X831" s="256">
        <v>0.2705632399552651</v>
      </c>
      <c r="Y831" s="256">
        <v>2.0517301992477281</v>
      </c>
      <c r="Z831" s="256">
        <v>0.41323740718778756</v>
      </c>
      <c r="AA831" s="256">
        <v>2.3489753891723897</v>
      </c>
      <c r="AB831" s="256">
        <v>9.6858857909488047E-2</v>
      </c>
      <c r="AC831" s="260">
        <v>1.0179631278398089</v>
      </c>
      <c r="AD831" s="405">
        <v>13962959000150</v>
      </c>
      <c r="AE831" s="257" t="s">
        <v>2274</v>
      </c>
      <c r="AF831" s="257" t="s">
        <v>2115</v>
      </c>
      <c r="AG831" s="261" t="s">
        <v>719</v>
      </c>
      <c r="AH831" s="261" t="s">
        <v>2113</v>
      </c>
      <c r="AI831" s="261">
        <v>1000</v>
      </c>
      <c r="AJ831" s="261">
        <v>100</v>
      </c>
      <c r="AK831" s="261">
        <v>1000</v>
      </c>
      <c r="AL831" s="256">
        <v>1.9574999999999999E-2</v>
      </c>
      <c r="AM831" s="256">
        <v>0.2</v>
      </c>
      <c r="AN831" s="256" t="s">
        <v>64</v>
      </c>
      <c r="AO831" s="254" t="s">
        <v>1324</v>
      </c>
      <c r="AP831" s="257" t="s">
        <v>13</v>
      </c>
      <c r="AQ831" s="263" t="s">
        <v>691</v>
      </c>
      <c r="AR831" s="256">
        <v>4.8937499999999997E-3</v>
      </c>
      <c r="AS831" s="256">
        <v>4.8937499999999997E-3</v>
      </c>
      <c r="AT831" s="256"/>
      <c r="AX831" s="508"/>
      <c r="AY831" s="509"/>
      <c r="AZ831" s="509"/>
      <c r="BA831" s="509"/>
      <c r="BB831" s="510"/>
      <c r="BC831" s="509"/>
      <c r="BD831" s="509"/>
      <c r="BE831" s="509"/>
      <c r="BF831" s="509"/>
      <c r="BG831" s="510"/>
      <c r="BH831" s="510"/>
      <c r="BI831" s="511"/>
      <c r="BJ831" s="511"/>
      <c r="BK831" s="511"/>
      <c r="BL831" s="510"/>
      <c r="BM831" s="510"/>
      <c r="BN831" s="510"/>
      <c r="BO831" s="510"/>
      <c r="BP831" s="510"/>
      <c r="BQ831" s="510"/>
      <c r="BR831" s="510"/>
      <c r="BS831" s="510"/>
      <c r="BT831" s="513"/>
      <c r="BU831" s="514"/>
      <c r="BV831" s="512"/>
      <c r="BW831" s="515"/>
    </row>
    <row r="832" spans="2:75" ht="15.75" customHeight="1">
      <c r="B832" s="250" t="s">
        <v>1610</v>
      </c>
      <c r="C832" s="251">
        <v>37013525000171</v>
      </c>
      <c r="D832" s="252" t="s">
        <v>13</v>
      </c>
      <c r="E832" s="252" t="s">
        <v>616</v>
      </c>
      <c r="F832" s="252" t="s">
        <v>617</v>
      </c>
      <c r="G832" s="253" t="s">
        <v>34</v>
      </c>
      <c r="H832" s="253" t="s">
        <v>1337</v>
      </c>
      <c r="I832" s="253" t="s">
        <v>34</v>
      </c>
      <c r="J832" s="253" t="s">
        <v>608</v>
      </c>
      <c r="K832" s="254" t="s">
        <v>48</v>
      </c>
      <c r="L832" s="255"/>
      <c r="M832" s="255"/>
      <c r="N832" s="254">
        <v>548669</v>
      </c>
      <c r="O832" s="254" t="s">
        <v>1321</v>
      </c>
      <c r="P832" s="258">
        <v>44062</v>
      </c>
      <c r="Q832" s="259">
        <v>14182894.880000001</v>
      </c>
      <c r="R832" s="259">
        <v>48134381.781309508</v>
      </c>
      <c r="S832" s="254">
        <v>31</v>
      </c>
      <c r="T832" s="256">
        <v>2.9066630520111492E-3</v>
      </c>
      <c r="U832" s="256">
        <v>3.269389464684036E-2</v>
      </c>
      <c r="V832" s="256">
        <v>1.7508680780337071E-2</v>
      </c>
      <c r="W832" s="256">
        <v>0.16068956688290964</v>
      </c>
      <c r="X832" s="256">
        <v>6.5018965301364418E-3</v>
      </c>
      <c r="Y832" s="256">
        <v>4.5719973919756338E-2</v>
      </c>
      <c r="Z832" s="256" t="s">
        <v>1417</v>
      </c>
      <c r="AA832" s="256" t="s">
        <v>1417</v>
      </c>
      <c r="AB832" s="256">
        <v>4.0592985341859275E-2</v>
      </c>
      <c r="AC832" s="260">
        <v>-2.1004974146514326</v>
      </c>
      <c r="AD832" s="405">
        <v>37828247000100</v>
      </c>
      <c r="AE832" s="257" t="s">
        <v>2318</v>
      </c>
      <c r="AF832" s="257" t="s">
        <v>2318</v>
      </c>
      <c r="AG832" s="261" t="s">
        <v>1436</v>
      </c>
      <c r="AH832" s="261" t="s">
        <v>2113</v>
      </c>
      <c r="AI832" s="261">
        <v>1000</v>
      </c>
      <c r="AJ832" s="261">
        <v>100</v>
      </c>
      <c r="AK832" s="261">
        <v>1000</v>
      </c>
      <c r="AL832" s="256">
        <v>0</v>
      </c>
      <c r="AM832" s="256" t="s">
        <v>34</v>
      </c>
      <c r="AN832" s="256" t="s">
        <v>64</v>
      </c>
      <c r="AO832" s="254" t="s">
        <v>1324</v>
      </c>
      <c r="AP832" s="257" t="s">
        <v>13</v>
      </c>
      <c r="AQ832" s="263" t="s">
        <v>668</v>
      </c>
      <c r="AR832" s="256" t="s">
        <v>34</v>
      </c>
      <c r="AS832" s="256" t="s">
        <v>34</v>
      </c>
      <c r="AT832" s="256"/>
      <c r="AX832" s="508"/>
      <c r="AY832" s="509"/>
      <c r="AZ832" s="509"/>
      <c r="BA832" s="509"/>
      <c r="BB832" s="510"/>
      <c r="BC832" s="509"/>
      <c r="BD832" s="509"/>
      <c r="BE832" s="509"/>
      <c r="BF832" s="509"/>
      <c r="BG832" s="510"/>
      <c r="BH832" s="510"/>
      <c r="BI832" s="511"/>
      <c r="BJ832" s="511"/>
      <c r="BK832" s="511"/>
      <c r="BL832" s="510"/>
      <c r="BM832" s="510"/>
      <c r="BN832" s="510"/>
      <c r="BO832" s="510"/>
      <c r="BP832" s="510"/>
      <c r="BQ832" s="510"/>
      <c r="BR832" s="510"/>
      <c r="BS832" s="510"/>
      <c r="BT832" s="513"/>
      <c r="BU832" s="514"/>
      <c r="BV832" s="512"/>
      <c r="BW832" s="515"/>
    </row>
    <row r="833" spans="2:75" ht="15.75" customHeight="1">
      <c r="B833" s="250" t="s">
        <v>1650</v>
      </c>
      <c r="C833" s="251">
        <v>25079957000104</v>
      </c>
      <c r="D833" s="252" t="s">
        <v>13</v>
      </c>
      <c r="E833" s="252" t="s">
        <v>616</v>
      </c>
      <c r="F833" s="252" t="s">
        <v>617</v>
      </c>
      <c r="G833" s="253" t="s">
        <v>34</v>
      </c>
      <c r="H833" s="253" t="s">
        <v>865</v>
      </c>
      <c r="I833" s="253" t="s">
        <v>34</v>
      </c>
      <c r="J833" s="253" t="s">
        <v>608</v>
      </c>
      <c r="K833" s="254" t="s">
        <v>48</v>
      </c>
      <c r="L833" s="255"/>
      <c r="M833" s="255"/>
      <c r="N833" s="254">
        <v>433421</v>
      </c>
      <c r="O833" s="254" t="s">
        <v>1321</v>
      </c>
      <c r="P833" s="258">
        <v>42733</v>
      </c>
      <c r="Q833" s="259">
        <v>13778970.869999999</v>
      </c>
      <c r="R833" s="259">
        <v>32385307.64880953</v>
      </c>
      <c r="S833" s="254">
        <v>31</v>
      </c>
      <c r="T833" s="256">
        <v>0.10088556640570001</v>
      </c>
      <c r="U833" s="256">
        <v>1.1347521265571587</v>
      </c>
      <c r="V833" s="256">
        <v>8.7198162593576711E-2</v>
      </c>
      <c r="W833" s="256">
        <v>0.80027931035690647</v>
      </c>
      <c r="X833" s="256">
        <v>0.19926419658204075</v>
      </c>
      <c r="Y833" s="256">
        <v>1.401184074315148</v>
      </c>
      <c r="Z833" s="256">
        <v>0.27707872663430444</v>
      </c>
      <c r="AA833" s="256">
        <v>1.5141143485331992</v>
      </c>
      <c r="AB833" s="256">
        <v>7.7470140176204308E-2</v>
      </c>
      <c r="AC833" s="260">
        <v>-0.21730022456762091</v>
      </c>
      <c r="AD833" s="405">
        <v>31006911000150</v>
      </c>
      <c r="AE833" s="257" t="s">
        <v>2318</v>
      </c>
      <c r="AF833" s="257" t="s">
        <v>2318</v>
      </c>
      <c r="AG833" s="261" t="s">
        <v>1436</v>
      </c>
      <c r="AH833" s="261" t="s">
        <v>2113</v>
      </c>
      <c r="AI833" s="261">
        <v>1000</v>
      </c>
      <c r="AJ833" s="261">
        <v>100</v>
      </c>
      <c r="AK833" s="261">
        <v>1000</v>
      </c>
      <c r="AL833" s="256">
        <v>0</v>
      </c>
      <c r="AM833" s="256" t="s">
        <v>34</v>
      </c>
      <c r="AN833" s="256" t="s">
        <v>64</v>
      </c>
      <c r="AO833" s="254" t="s">
        <v>1324</v>
      </c>
      <c r="AP833" s="257" t="s">
        <v>13</v>
      </c>
      <c r="AQ833" s="263" t="s">
        <v>674</v>
      </c>
      <c r="AR833" s="256" t="s">
        <v>34</v>
      </c>
      <c r="AS833" s="256" t="s">
        <v>34</v>
      </c>
      <c r="AT833" s="256"/>
      <c r="AX833" s="508"/>
      <c r="AY833" s="509"/>
      <c r="AZ833" s="509"/>
      <c r="BA833" s="509"/>
      <c r="BB833" s="510"/>
      <c r="BC833" s="509"/>
      <c r="BD833" s="509"/>
      <c r="BE833" s="509"/>
      <c r="BF833" s="509"/>
      <c r="BG833" s="510"/>
      <c r="BH833" s="510"/>
      <c r="BI833" s="511"/>
      <c r="BJ833" s="511"/>
      <c r="BK833" s="511"/>
      <c r="BL833" s="510"/>
      <c r="BM833" s="510"/>
      <c r="BN833" s="510"/>
      <c r="BO833" s="510"/>
      <c r="BP833" s="510"/>
      <c r="BQ833" s="510"/>
      <c r="BR833" s="510"/>
      <c r="BS833" s="510"/>
      <c r="BT833" s="513"/>
      <c r="BU833" s="514"/>
      <c r="BV833" s="512"/>
      <c r="BW833" s="515"/>
    </row>
    <row r="834" spans="2:75" ht="15.75" customHeight="1">
      <c r="B834" s="250" t="s">
        <v>292</v>
      </c>
      <c r="C834" s="251">
        <v>24140256000162</v>
      </c>
      <c r="D834" s="252" t="s">
        <v>13</v>
      </c>
      <c r="E834" s="252" t="s">
        <v>616</v>
      </c>
      <c r="F834" s="252" t="s">
        <v>617</v>
      </c>
      <c r="G834" s="253" t="s">
        <v>34</v>
      </c>
      <c r="H834" s="253" t="s">
        <v>865</v>
      </c>
      <c r="I834" s="253" t="s">
        <v>34</v>
      </c>
      <c r="J834" s="253" t="s">
        <v>608</v>
      </c>
      <c r="K834" s="254" t="s">
        <v>48</v>
      </c>
      <c r="L834" s="255"/>
      <c r="M834" s="255" t="s">
        <v>34</v>
      </c>
      <c r="N834" s="254">
        <v>427977</v>
      </c>
      <c r="O834" s="254" t="s">
        <v>1321</v>
      </c>
      <c r="P834" s="258">
        <v>42500</v>
      </c>
      <c r="Q834" s="259">
        <v>622151666.51999998</v>
      </c>
      <c r="R834" s="259">
        <v>538023822.02928579</v>
      </c>
      <c r="S834" s="254">
        <v>31</v>
      </c>
      <c r="T834" s="256">
        <v>0.1309293432338472</v>
      </c>
      <c r="U834" s="256">
        <v>1.6925491749522688</v>
      </c>
      <c r="V834" s="256">
        <v>0.22693557480227855</v>
      </c>
      <c r="W834" s="256">
        <v>2.2247274455530426</v>
      </c>
      <c r="X834" s="256">
        <v>0.20449431920362482</v>
      </c>
      <c r="Y834" s="256">
        <v>1.5507175710715648</v>
      </c>
      <c r="Z834" s="256">
        <v>0.43228124225074449</v>
      </c>
      <c r="AA834" s="256">
        <v>2.4572267214580359</v>
      </c>
      <c r="AB834" s="256">
        <v>5.6969561436926955E-2</v>
      </c>
      <c r="AC834" s="260">
        <v>1.9144414290086567</v>
      </c>
      <c r="AD834" s="405">
        <v>24119428000116</v>
      </c>
      <c r="AE834" s="257" t="s">
        <v>2326</v>
      </c>
      <c r="AF834" s="257" t="s">
        <v>2112</v>
      </c>
      <c r="AG834" s="261" t="s">
        <v>59</v>
      </c>
      <c r="AH834" s="261" t="s">
        <v>2113</v>
      </c>
      <c r="AI834" s="261">
        <v>1000</v>
      </c>
      <c r="AJ834" s="261">
        <v>500</v>
      </c>
      <c r="AK834" s="261">
        <v>1000</v>
      </c>
      <c r="AL834" s="256">
        <v>1.8500000000000003E-2</v>
      </c>
      <c r="AM834" s="256">
        <v>0.2</v>
      </c>
      <c r="AN834" s="256" t="s">
        <v>64</v>
      </c>
      <c r="AO834" s="254" t="s">
        <v>1324</v>
      </c>
      <c r="AP834" s="257" t="s">
        <v>13</v>
      </c>
      <c r="AQ834" s="263" t="s">
        <v>674</v>
      </c>
      <c r="AR834" s="256">
        <v>4.933333333333333E-3</v>
      </c>
      <c r="AS834" s="256">
        <v>4.933333333333333E-3</v>
      </c>
      <c r="AT834" s="256"/>
      <c r="AX834" s="508"/>
      <c r="AY834" s="509"/>
      <c r="AZ834" s="509"/>
      <c r="BA834" s="509"/>
      <c r="BB834" s="510"/>
      <c r="BC834" s="509"/>
      <c r="BD834" s="509"/>
      <c r="BE834" s="509"/>
      <c r="BF834" s="509"/>
      <c r="BG834" s="510"/>
      <c r="BH834" s="510"/>
      <c r="BI834" s="511"/>
      <c r="BJ834" s="511"/>
      <c r="BK834" s="511"/>
      <c r="BL834" s="510"/>
      <c r="BM834" s="510"/>
      <c r="BN834" s="510"/>
      <c r="BO834" s="510"/>
      <c r="BP834" s="510"/>
      <c r="BQ834" s="510"/>
      <c r="BR834" s="510"/>
      <c r="BS834" s="510"/>
      <c r="BT834" s="513"/>
      <c r="BU834" s="514"/>
      <c r="BV834" s="512"/>
      <c r="BW834" s="515"/>
    </row>
    <row r="835" spans="2:75" ht="15.75" customHeight="1">
      <c r="B835" s="250" t="s">
        <v>39</v>
      </c>
      <c r="C835" s="251">
        <v>26324209000102</v>
      </c>
      <c r="D835" s="252" t="s">
        <v>13</v>
      </c>
      <c r="E835" s="252" t="s">
        <v>616</v>
      </c>
      <c r="F835" s="252" t="s">
        <v>617</v>
      </c>
      <c r="G835" s="253" t="s">
        <v>34</v>
      </c>
      <c r="H835" s="253" t="s">
        <v>1338</v>
      </c>
      <c r="I835" s="253" t="s">
        <v>34</v>
      </c>
      <c r="J835" s="253" t="s">
        <v>608</v>
      </c>
      <c r="K835" s="254" t="s">
        <v>48</v>
      </c>
      <c r="L835" s="255"/>
      <c r="M835" s="255" t="s">
        <v>34</v>
      </c>
      <c r="N835" s="254">
        <v>443808</v>
      </c>
      <c r="O835" s="254" t="s">
        <v>1321</v>
      </c>
      <c r="P835" s="258">
        <v>42923</v>
      </c>
      <c r="Q835" s="259">
        <v>382067597.99000001</v>
      </c>
      <c r="R835" s="259">
        <v>381792285.56075382</v>
      </c>
      <c r="S835" s="254">
        <v>31</v>
      </c>
      <c r="T835" s="256">
        <v>0.17329714173598187</v>
      </c>
      <c r="U835" s="256">
        <v>2.2402459755942354</v>
      </c>
      <c r="V835" s="256">
        <v>0.12237165359126068</v>
      </c>
      <c r="W835" s="256">
        <v>1.1996513836113356</v>
      </c>
      <c r="X835" s="256">
        <v>0.19312270211732718</v>
      </c>
      <c r="Y835" s="256">
        <v>1.4644845329319567</v>
      </c>
      <c r="Z835" s="256">
        <v>0.40517812387462793</v>
      </c>
      <c r="AA835" s="256">
        <v>2.3031638100953367</v>
      </c>
      <c r="AB835" s="256">
        <v>9.1023374468162735E-2</v>
      </c>
      <c r="AC835" s="260">
        <v>0.24694195581856188</v>
      </c>
      <c r="AD835" s="405">
        <v>36182250000137</v>
      </c>
      <c r="AE835" s="257" t="s">
        <v>2334</v>
      </c>
      <c r="AF835" s="257" t="s">
        <v>2112</v>
      </c>
      <c r="AG835" s="261" t="s">
        <v>59</v>
      </c>
      <c r="AH835" s="261" t="s">
        <v>2110</v>
      </c>
      <c r="AI835" s="261">
        <v>25000</v>
      </c>
      <c r="AJ835" s="261" t="s">
        <v>1427</v>
      </c>
      <c r="AK835" s="261" t="s">
        <v>1427</v>
      </c>
      <c r="AL835" s="256">
        <v>0.02</v>
      </c>
      <c r="AM835" s="256">
        <v>0.2</v>
      </c>
      <c r="AN835" s="256" t="s">
        <v>64</v>
      </c>
      <c r="AO835" s="254" t="s">
        <v>1324</v>
      </c>
      <c r="AP835" s="257" t="s">
        <v>13</v>
      </c>
      <c r="AQ835" s="263" t="s">
        <v>664</v>
      </c>
      <c r="AR835" s="256">
        <v>5.3333333333333332E-3</v>
      </c>
      <c r="AS835" s="256">
        <v>5.3333333333333332E-3</v>
      </c>
      <c r="AT835" s="256"/>
      <c r="AX835" s="508"/>
      <c r="AY835" s="509"/>
      <c r="AZ835" s="509"/>
      <c r="BA835" s="509"/>
      <c r="BB835" s="510"/>
      <c r="BC835" s="509"/>
      <c r="BD835" s="509"/>
      <c r="BE835" s="509"/>
      <c r="BF835" s="509"/>
      <c r="BG835" s="510"/>
      <c r="BH835" s="510"/>
      <c r="BI835" s="511"/>
      <c r="BJ835" s="511"/>
      <c r="BK835" s="511"/>
      <c r="BL835" s="510"/>
      <c r="BM835" s="510"/>
      <c r="BN835" s="510"/>
      <c r="BO835" s="510"/>
      <c r="BP835" s="510"/>
      <c r="BQ835" s="510"/>
      <c r="BR835" s="510"/>
      <c r="BS835" s="510"/>
      <c r="BT835" s="513"/>
      <c r="BU835" s="514"/>
      <c r="BV835" s="512"/>
      <c r="BW835" s="515"/>
    </row>
    <row r="836" spans="2:75" ht="15.75" customHeight="1">
      <c r="B836" s="250" t="s">
        <v>1121</v>
      </c>
      <c r="C836" s="251">
        <v>31594537000150</v>
      </c>
      <c r="D836" s="252" t="s">
        <v>13</v>
      </c>
      <c r="E836" s="252" t="s">
        <v>616</v>
      </c>
      <c r="F836" s="252" t="s">
        <v>617</v>
      </c>
      <c r="G836" s="253" t="s">
        <v>34</v>
      </c>
      <c r="H836" s="253" t="s">
        <v>1338</v>
      </c>
      <c r="I836" s="253" t="s">
        <v>34</v>
      </c>
      <c r="J836" s="253" t="s">
        <v>608</v>
      </c>
      <c r="K836" s="254" t="s">
        <v>48</v>
      </c>
      <c r="L836" s="255"/>
      <c r="M836" s="255" t="s">
        <v>34</v>
      </c>
      <c r="N836" s="254">
        <v>483877</v>
      </c>
      <c r="O836" s="254" t="s">
        <v>1321</v>
      </c>
      <c r="P836" s="258">
        <v>43467</v>
      </c>
      <c r="Q836" s="259">
        <v>460896704.58999997</v>
      </c>
      <c r="R836" s="259">
        <v>442596045.49527788</v>
      </c>
      <c r="S836" s="254">
        <v>31</v>
      </c>
      <c r="T836" s="256">
        <v>4.6845389173514995E-2</v>
      </c>
      <c r="U836" s="256">
        <v>0.60557948919317262</v>
      </c>
      <c r="V836" s="256">
        <v>8.1779769572426053E-2</v>
      </c>
      <c r="W836" s="256">
        <v>0.80171519171155148</v>
      </c>
      <c r="X836" s="256">
        <v>0.13563331615337781</v>
      </c>
      <c r="Y836" s="256">
        <v>1.028532075613861</v>
      </c>
      <c r="Z836" s="256">
        <v>0.23857107396698995</v>
      </c>
      <c r="AA836" s="256">
        <v>1.3561153263703052</v>
      </c>
      <c r="AB836" s="256">
        <v>7.6308096979068346E-2</v>
      </c>
      <c r="AC836" s="260">
        <v>-0.20482509655899578</v>
      </c>
      <c r="AD836" s="405">
        <v>41054588000143</v>
      </c>
      <c r="AE836" s="257" t="s">
        <v>2358</v>
      </c>
      <c r="AF836" s="257" t="s">
        <v>2118</v>
      </c>
      <c r="AG836" s="261" t="s">
        <v>1433</v>
      </c>
      <c r="AH836" s="261" t="s">
        <v>2113</v>
      </c>
      <c r="AI836" s="261">
        <v>500</v>
      </c>
      <c r="AJ836" s="261">
        <v>100</v>
      </c>
      <c r="AK836" s="261">
        <v>500</v>
      </c>
      <c r="AL836" s="256">
        <v>1.9E-2</v>
      </c>
      <c r="AM836" s="256">
        <v>0.2</v>
      </c>
      <c r="AN836" s="256" t="s">
        <v>2127</v>
      </c>
      <c r="AO836" s="254" t="s">
        <v>1324</v>
      </c>
      <c r="AP836" s="257" t="s">
        <v>13</v>
      </c>
      <c r="AQ836" s="263" t="s">
        <v>668</v>
      </c>
      <c r="AR836" s="256">
        <v>5.0672999999999994E-3</v>
      </c>
      <c r="AS836" s="256">
        <v>5.0672999999999994E-3</v>
      </c>
      <c r="AT836" s="256"/>
      <c r="AX836" s="508"/>
      <c r="AY836" s="509"/>
      <c r="AZ836" s="509"/>
      <c r="BA836" s="509"/>
      <c r="BB836" s="510"/>
      <c r="BC836" s="509"/>
      <c r="BD836" s="509"/>
      <c r="BE836" s="509"/>
      <c r="BF836" s="509"/>
      <c r="BG836" s="510"/>
      <c r="BH836" s="510"/>
      <c r="BI836" s="511"/>
      <c r="BJ836" s="511"/>
      <c r="BK836" s="511"/>
      <c r="BL836" s="510"/>
      <c r="BM836" s="510"/>
      <c r="BN836" s="510"/>
      <c r="BO836" s="510"/>
      <c r="BP836" s="510"/>
      <c r="BQ836" s="510"/>
      <c r="BR836" s="510"/>
      <c r="BS836" s="510"/>
      <c r="BT836" s="513"/>
      <c r="BU836" s="514"/>
      <c r="BV836" s="512"/>
      <c r="BW836" s="515"/>
    </row>
    <row r="837" spans="2:75" ht="15.75" customHeight="1">
      <c r="B837" s="250" t="s">
        <v>1174</v>
      </c>
      <c r="C837" s="251">
        <v>25079578000106</v>
      </c>
      <c r="D837" s="252" t="s">
        <v>13</v>
      </c>
      <c r="E837" s="252" t="s">
        <v>616</v>
      </c>
      <c r="F837" s="252" t="s">
        <v>617</v>
      </c>
      <c r="G837" s="253" t="s">
        <v>34</v>
      </c>
      <c r="H837" s="253" t="s">
        <v>1337</v>
      </c>
      <c r="I837" s="253" t="s">
        <v>34</v>
      </c>
      <c r="J837" s="253" t="s">
        <v>608</v>
      </c>
      <c r="K837" s="254" t="s">
        <v>48</v>
      </c>
      <c r="L837" s="255"/>
      <c r="M837" s="255" t="s">
        <v>1414</v>
      </c>
      <c r="N837" s="254">
        <v>433454</v>
      </c>
      <c r="O837" s="254" t="s">
        <v>1321</v>
      </c>
      <c r="P837" s="258">
        <v>42733</v>
      </c>
      <c r="Q837" s="259">
        <v>288190219.75</v>
      </c>
      <c r="R837" s="259">
        <v>504965249.98210323</v>
      </c>
      <c r="S837" s="254">
        <v>31</v>
      </c>
      <c r="T837" s="256">
        <v>9.0160070618713117E-2</v>
      </c>
      <c r="U837" s="256">
        <v>1.1655168304540284</v>
      </c>
      <c r="V837" s="256">
        <v>6.0264064424401242E-2</v>
      </c>
      <c r="W837" s="256">
        <v>0.59078933843825021</v>
      </c>
      <c r="X837" s="256">
        <v>0.10057784823689175</v>
      </c>
      <c r="Y837" s="256">
        <v>0.76270009420756857</v>
      </c>
      <c r="Z837" s="256">
        <v>0.18316998628832493</v>
      </c>
      <c r="AA837" s="256">
        <v>1.0411975836224221</v>
      </c>
      <c r="AB837" s="256">
        <v>2.400341586140195E-2</v>
      </c>
      <c r="AC837" s="260">
        <v>-1.5972759170065864</v>
      </c>
      <c r="AD837" s="405">
        <v>0</v>
      </c>
      <c r="AE837" s="257" t="s">
        <v>2318</v>
      </c>
      <c r="AF837" s="257" t="s">
        <v>2318</v>
      </c>
      <c r="AG837" s="261" t="s">
        <v>1436</v>
      </c>
      <c r="AH837" s="261" t="s">
        <v>2113</v>
      </c>
      <c r="AI837" s="261">
        <v>1000</v>
      </c>
      <c r="AJ837" s="261">
        <v>100</v>
      </c>
      <c r="AK837" s="261">
        <v>100</v>
      </c>
      <c r="AL837" s="256">
        <v>0.02</v>
      </c>
      <c r="AM837" s="256">
        <v>0.2</v>
      </c>
      <c r="AN837" s="256" t="s">
        <v>64</v>
      </c>
      <c r="AO837" s="254" t="s">
        <v>1324</v>
      </c>
      <c r="AP837" s="257" t="s">
        <v>13</v>
      </c>
      <c r="AQ837" s="263" t="s">
        <v>674</v>
      </c>
      <c r="AR837" s="256" t="s">
        <v>34</v>
      </c>
      <c r="AS837" s="256" t="s">
        <v>34</v>
      </c>
      <c r="AT837" s="256"/>
      <c r="AX837" s="508"/>
      <c r="AY837" s="509"/>
      <c r="AZ837" s="509"/>
      <c r="BA837" s="509"/>
      <c r="BB837" s="510"/>
      <c r="BC837" s="509"/>
      <c r="BD837" s="509"/>
      <c r="BE837" s="509"/>
      <c r="BF837" s="509"/>
      <c r="BG837" s="510"/>
      <c r="BH837" s="510"/>
      <c r="BI837" s="511"/>
      <c r="BJ837" s="511"/>
      <c r="BK837" s="511"/>
      <c r="BL837" s="510"/>
      <c r="BM837" s="510"/>
      <c r="BN837" s="510"/>
      <c r="BO837" s="510"/>
      <c r="BP837" s="510"/>
      <c r="BQ837" s="510"/>
      <c r="BR837" s="510"/>
      <c r="BS837" s="510"/>
      <c r="BT837" s="513"/>
      <c r="BU837" s="514"/>
      <c r="BV837" s="512"/>
      <c r="BW837" s="515"/>
    </row>
    <row r="838" spans="2:75" ht="15.75" customHeight="1">
      <c r="B838" s="250" t="s">
        <v>424</v>
      </c>
      <c r="C838" s="251">
        <v>7088369000147</v>
      </c>
      <c r="D838" s="252" t="s">
        <v>13</v>
      </c>
      <c r="E838" s="252" t="s">
        <v>616</v>
      </c>
      <c r="F838" s="252" t="s">
        <v>617</v>
      </c>
      <c r="G838" s="253" t="s">
        <v>34</v>
      </c>
      <c r="H838" s="253" t="s">
        <v>865</v>
      </c>
      <c r="I838" s="253" t="s">
        <v>34</v>
      </c>
      <c r="J838" s="253" t="s">
        <v>608</v>
      </c>
      <c r="K838" s="254" t="s">
        <v>48</v>
      </c>
      <c r="L838" s="255"/>
      <c r="M838" s="255" t="s">
        <v>34</v>
      </c>
      <c r="N838" s="254">
        <v>174378</v>
      </c>
      <c r="O838" s="254" t="s">
        <v>1321</v>
      </c>
      <c r="P838" s="258">
        <v>38317</v>
      </c>
      <c r="Q838" s="259">
        <v>96324749.730000004</v>
      </c>
      <c r="R838" s="259">
        <v>97270906.466230229</v>
      </c>
      <c r="S838" s="254">
        <v>31</v>
      </c>
      <c r="T838" s="256">
        <v>0.15985360711617513</v>
      </c>
      <c r="U838" s="256">
        <v>2.0664587796365157</v>
      </c>
      <c r="V838" s="256">
        <v>0.16827589250262909</v>
      </c>
      <c r="W838" s="256">
        <v>1.649666416566494</v>
      </c>
      <c r="X838" s="256">
        <v>0.15155287865223865</v>
      </c>
      <c r="Y838" s="256">
        <v>1.1492530099992004</v>
      </c>
      <c r="Z838" s="256">
        <v>0.33912284461212705</v>
      </c>
      <c r="AA838" s="256">
        <v>1.9276841884210736</v>
      </c>
      <c r="AB838" s="256">
        <v>6.385943524005594E-2</v>
      </c>
      <c r="AC838" s="260">
        <v>0.94669214639952759</v>
      </c>
      <c r="AD838" s="405">
        <v>9489380000144</v>
      </c>
      <c r="AE838" s="257" t="s">
        <v>2425</v>
      </c>
      <c r="AF838" s="257" t="s">
        <v>2112</v>
      </c>
      <c r="AG838" s="261" t="s">
        <v>59</v>
      </c>
      <c r="AH838" s="261" t="s">
        <v>2110</v>
      </c>
      <c r="AI838" s="261">
        <v>20000</v>
      </c>
      <c r="AJ838" s="261">
        <v>10000</v>
      </c>
      <c r="AK838" s="261">
        <v>20000</v>
      </c>
      <c r="AL838" s="256">
        <v>1.95E-2</v>
      </c>
      <c r="AM838" s="256">
        <v>0.2</v>
      </c>
      <c r="AN838" s="256" t="s">
        <v>64</v>
      </c>
      <c r="AO838" s="254" t="s">
        <v>1324</v>
      </c>
      <c r="AP838" s="257" t="s">
        <v>13</v>
      </c>
      <c r="AQ838" s="263" t="s">
        <v>664</v>
      </c>
      <c r="AR838" s="256">
        <v>3.8999999999999998E-3</v>
      </c>
      <c r="AS838" s="256">
        <v>3.8999999999999998E-3</v>
      </c>
      <c r="AT838" s="256"/>
      <c r="AX838" s="508"/>
      <c r="AY838" s="509"/>
      <c r="AZ838" s="509"/>
      <c r="BA838" s="509"/>
      <c r="BB838" s="510"/>
      <c r="BC838" s="509"/>
      <c r="BD838" s="509"/>
      <c r="BE838" s="509"/>
      <c r="BF838" s="509"/>
      <c r="BG838" s="510"/>
      <c r="BH838" s="510"/>
      <c r="BI838" s="511"/>
      <c r="BJ838" s="511"/>
      <c r="BK838" s="511"/>
      <c r="BL838" s="510"/>
      <c r="BM838" s="510"/>
      <c r="BN838" s="510"/>
      <c r="BO838" s="510"/>
      <c r="BP838" s="510"/>
      <c r="BQ838" s="510"/>
      <c r="BR838" s="510"/>
      <c r="BS838" s="510"/>
      <c r="BT838" s="513"/>
      <c r="BU838" s="514"/>
      <c r="BV838" s="512"/>
      <c r="BW838" s="515"/>
    </row>
    <row r="839" spans="2:75" ht="15.75" customHeight="1">
      <c r="B839" s="250" t="s">
        <v>1710</v>
      </c>
      <c r="C839" s="251">
        <v>45560980000115</v>
      </c>
      <c r="D839" s="252" t="s">
        <v>13</v>
      </c>
      <c r="E839" s="252" t="s">
        <v>615</v>
      </c>
      <c r="F839" s="252" t="s">
        <v>617</v>
      </c>
      <c r="G839" s="253" t="s">
        <v>34</v>
      </c>
      <c r="H839" s="253" t="s">
        <v>1338</v>
      </c>
      <c r="I839" s="253" t="s">
        <v>34</v>
      </c>
      <c r="J839" s="253" t="s">
        <v>611</v>
      </c>
      <c r="K839" s="254" t="s">
        <v>48</v>
      </c>
      <c r="L839" s="255"/>
      <c r="M839" s="255"/>
      <c r="N839" s="254">
        <v>645915</v>
      </c>
      <c r="O839" s="254" t="s">
        <v>1324</v>
      </c>
      <c r="P839" s="258">
        <v>44669</v>
      </c>
      <c r="Q839" s="259">
        <v>451237928.30000001</v>
      </c>
      <c r="R839" s="259" t="s">
        <v>1417</v>
      </c>
      <c r="S839" s="254">
        <v>31</v>
      </c>
      <c r="T839" s="256" t="s">
        <v>1417</v>
      </c>
      <c r="U839" s="256" t="s">
        <v>1417</v>
      </c>
      <c r="V839" s="256" t="s">
        <v>1417</v>
      </c>
      <c r="W839" s="256" t="s">
        <v>1417</v>
      </c>
      <c r="X839" s="256" t="s">
        <v>1417</v>
      </c>
      <c r="Y839" s="256" t="s">
        <v>1417</v>
      </c>
      <c r="Z839" s="256" t="s">
        <v>1417</v>
      </c>
      <c r="AA839" s="256" t="s">
        <v>1417</v>
      </c>
      <c r="AB839" s="256" t="s">
        <v>1417</v>
      </c>
      <c r="AC839" s="260" t="s">
        <v>1417</v>
      </c>
      <c r="AD839" s="405">
        <v>41373649000135</v>
      </c>
      <c r="AE839" s="257" t="s">
        <v>2435</v>
      </c>
      <c r="AF839" s="257" t="s">
        <v>2109</v>
      </c>
      <c r="AG839" s="261" t="s">
        <v>1432</v>
      </c>
      <c r="AH839" s="261" t="s">
        <v>2113</v>
      </c>
      <c r="AI839" s="261">
        <v>5000</v>
      </c>
      <c r="AJ839" s="261">
        <v>3000</v>
      </c>
      <c r="AK839" s="261">
        <v>1000</v>
      </c>
      <c r="AL839" s="256">
        <v>0.02</v>
      </c>
      <c r="AM839" s="256">
        <v>0.2</v>
      </c>
      <c r="AN839" s="256" t="s">
        <v>2127</v>
      </c>
      <c r="AO839" s="254" t="s">
        <v>1324</v>
      </c>
      <c r="AP839" s="257" t="s">
        <v>13</v>
      </c>
      <c r="AQ839" s="263" t="s">
        <v>668</v>
      </c>
      <c r="AR839" s="256">
        <v>3.3333333333333331E-3</v>
      </c>
      <c r="AS839" s="256">
        <v>3.3333333333333331E-3</v>
      </c>
      <c r="AT839" s="256"/>
      <c r="AX839" s="508"/>
      <c r="AY839" s="509"/>
      <c r="AZ839" s="509"/>
      <c r="BA839" s="509"/>
      <c r="BB839" s="510"/>
      <c r="BC839" s="509"/>
      <c r="BD839" s="509"/>
      <c r="BE839" s="509"/>
      <c r="BF839" s="509"/>
      <c r="BG839" s="510"/>
      <c r="BH839" s="510"/>
      <c r="BI839" s="511"/>
      <c r="BJ839" s="511"/>
      <c r="BK839" s="511"/>
      <c r="BL839" s="510"/>
      <c r="BM839" s="510"/>
      <c r="BN839" s="510"/>
      <c r="BO839" s="510"/>
      <c r="BP839" s="510"/>
      <c r="BQ839" s="510"/>
      <c r="BR839" s="510"/>
      <c r="BS839" s="510"/>
      <c r="BT839" s="513"/>
      <c r="BU839" s="514"/>
      <c r="BV839" s="512"/>
      <c r="BW839" s="515"/>
    </row>
    <row r="840" spans="2:75" ht="15.75" customHeight="1">
      <c r="B840" s="250" t="s">
        <v>70</v>
      </c>
      <c r="C840" s="251">
        <v>21377860000119</v>
      </c>
      <c r="D840" s="252" t="s">
        <v>13</v>
      </c>
      <c r="E840" s="252" t="s">
        <v>615</v>
      </c>
      <c r="F840" s="252" t="s">
        <v>619</v>
      </c>
      <c r="G840" s="253" t="s">
        <v>34</v>
      </c>
      <c r="H840" s="253" t="s">
        <v>1338</v>
      </c>
      <c r="I840" s="253" t="s">
        <v>34</v>
      </c>
      <c r="J840" s="253"/>
      <c r="K840" s="254" t="s">
        <v>48</v>
      </c>
      <c r="L840" s="255"/>
      <c r="M840" s="255" t="s">
        <v>1414</v>
      </c>
      <c r="N840" s="254">
        <v>390887</v>
      </c>
      <c r="O840" s="254" t="s">
        <v>1321</v>
      </c>
      <c r="P840" s="258">
        <v>42081</v>
      </c>
      <c r="Q840" s="259">
        <v>27696919.77</v>
      </c>
      <c r="R840" s="259">
        <v>28561909.635119047</v>
      </c>
      <c r="S840" s="254">
        <v>31</v>
      </c>
      <c r="T840" s="256">
        <v>-5.8080119418409404E-2</v>
      </c>
      <c r="U840" s="256">
        <v>-0.7508130398789411</v>
      </c>
      <c r="V840" s="256">
        <v>-0.10221972782402755</v>
      </c>
      <c r="W840" s="256">
        <v>-1.0020951283870403</v>
      </c>
      <c r="X840" s="256">
        <v>-0.16624917626613411</v>
      </c>
      <c r="Y840" s="256">
        <v>-1.2606977045428758</v>
      </c>
      <c r="Z840" s="256">
        <v>-0.54162308772712475</v>
      </c>
      <c r="AA840" s="256">
        <v>-3.0787612184886766</v>
      </c>
      <c r="AB840" s="256">
        <v>0.19124939016443013</v>
      </c>
      <c r="AC840" s="260">
        <v>-0.9758701553999638</v>
      </c>
      <c r="AD840" s="405">
        <v>28971394000144</v>
      </c>
      <c r="AE840" s="257" t="s">
        <v>2125</v>
      </c>
      <c r="AF840" s="257" t="s">
        <v>2109</v>
      </c>
      <c r="AG840" s="261" t="s">
        <v>1432</v>
      </c>
      <c r="AH840" s="261" t="s">
        <v>2110</v>
      </c>
      <c r="AI840" s="261">
        <v>5000</v>
      </c>
      <c r="AJ840" s="261">
        <v>1000</v>
      </c>
      <c r="AK840" s="261">
        <v>1000</v>
      </c>
      <c r="AL840" s="519">
        <v>0.02</v>
      </c>
      <c r="AM840" s="519">
        <v>0.2</v>
      </c>
      <c r="AN840" s="256" t="s">
        <v>64</v>
      </c>
      <c r="AO840" s="254" t="s">
        <v>1324</v>
      </c>
      <c r="AP840" s="257" t="s">
        <v>13</v>
      </c>
      <c r="AQ840" s="263" t="s">
        <v>668</v>
      </c>
      <c r="AR840" s="256" t="s">
        <v>34</v>
      </c>
      <c r="AS840" s="256" t="s">
        <v>34</v>
      </c>
      <c r="AT840" s="256"/>
      <c r="AX840" s="508"/>
      <c r="AY840" s="509"/>
      <c r="AZ840" s="509"/>
      <c r="BA840" s="509"/>
      <c r="BB840" s="510"/>
      <c r="BC840" s="509"/>
      <c r="BD840" s="509"/>
      <c r="BE840" s="509"/>
      <c r="BF840" s="509"/>
      <c r="BG840" s="510"/>
      <c r="BH840" s="510"/>
      <c r="BI840" s="511"/>
      <c r="BJ840" s="511"/>
      <c r="BK840" s="511"/>
      <c r="BL840" s="510"/>
      <c r="BM840" s="510"/>
      <c r="BN840" s="510"/>
      <c r="BO840" s="510"/>
      <c r="BP840" s="510"/>
      <c r="BQ840" s="510"/>
      <c r="BR840" s="510"/>
      <c r="BS840" s="510"/>
      <c r="BT840" s="513"/>
      <c r="BU840" s="514"/>
      <c r="BV840" s="512"/>
      <c r="BW840" s="515"/>
    </row>
    <row r="841" spans="2:75" ht="15.75" customHeight="1">
      <c r="B841" s="250" t="s">
        <v>729</v>
      </c>
      <c r="C841" s="251">
        <v>43984537000146</v>
      </c>
      <c r="D841" s="252" t="s">
        <v>13</v>
      </c>
      <c r="E841" s="252" t="s">
        <v>615</v>
      </c>
      <c r="F841" s="252" t="s">
        <v>619</v>
      </c>
      <c r="G841" s="253" t="s">
        <v>34</v>
      </c>
      <c r="H841" s="253" t="s">
        <v>1338</v>
      </c>
      <c r="I841" s="253" t="s">
        <v>34</v>
      </c>
      <c r="J841" s="253" t="s">
        <v>611</v>
      </c>
      <c r="K841" s="254" t="s">
        <v>48</v>
      </c>
      <c r="L841" s="255"/>
      <c r="M841" s="255" t="s">
        <v>34</v>
      </c>
      <c r="N841" s="254">
        <v>622435</v>
      </c>
      <c r="O841" s="254" t="s">
        <v>1321</v>
      </c>
      <c r="P841" s="258">
        <v>44510</v>
      </c>
      <c r="Q841" s="259">
        <v>267796122.50999999</v>
      </c>
      <c r="R841" s="259" t="s">
        <v>1417</v>
      </c>
      <c r="S841" s="254">
        <v>31</v>
      </c>
      <c r="T841" s="256">
        <v>0.15986533431171557</v>
      </c>
      <c r="U841" s="256">
        <v>2.066610379382197</v>
      </c>
      <c r="V841" s="256" t="s">
        <v>1417</v>
      </c>
      <c r="W841" s="256" t="s">
        <v>1417</v>
      </c>
      <c r="X841" s="256" t="s">
        <v>1417</v>
      </c>
      <c r="Y841" s="256" t="s">
        <v>1417</v>
      </c>
      <c r="Z841" s="256" t="s">
        <v>1417</v>
      </c>
      <c r="AA841" s="256" t="s">
        <v>1417</v>
      </c>
      <c r="AB841" s="256" t="s">
        <v>1417</v>
      </c>
      <c r="AC841" s="260" t="s">
        <v>1417</v>
      </c>
      <c r="AD841" s="405">
        <v>29726133000121</v>
      </c>
      <c r="AE841" s="257" t="s">
        <v>2123</v>
      </c>
      <c r="AF841" s="257" t="s">
        <v>2109</v>
      </c>
      <c r="AG841" s="261" t="s">
        <v>1432</v>
      </c>
      <c r="AH841" s="261" t="s">
        <v>2113</v>
      </c>
      <c r="AI841" s="261">
        <v>500</v>
      </c>
      <c r="AJ841" s="261">
        <v>100</v>
      </c>
      <c r="AK841" s="261">
        <v>100</v>
      </c>
      <c r="AL841" s="519">
        <v>0</v>
      </c>
      <c r="AM841" s="519" t="s">
        <v>34</v>
      </c>
      <c r="AN841" s="256" t="s">
        <v>2127</v>
      </c>
      <c r="AO841" s="254" t="s">
        <v>1324</v>
      </c>
      <c r="AP841" s="257" t="s">
        <v>13</v>
      </c>
      <c r="AQ841" s="263" t="s">
        <v>668</v>
      </c>
      <c r="AR841" s="256">
        <v>4.0000000000000001E-3</v>
      </c>
      <c r="AS841" s="256">
        <v>4.0000000000000001E-3</v>
      </c>
      <c r="AT841" s="256"/>
      <c r="AX841" s="508"/>
      <c r="AY841" s="509"/>
      <c r="AZ841" s="509"/>
      <c r="BA841" s="509"/>
      <c r="BB841" s="510"/>
      <c r="BC841" s="509"/>
      <c r="BD841" s="509"/>
      <c r="BE841" s="509"/>
      <c r="BF841" s="509"/>
      <c r="BG841" s="510"/>
      <c r="BH841" s="510"/>
      <c r="BI841" s="511"/>
      <c r="BJ841" s="511"/>
      <c r="BK841" s="511"/>
      <c r="BL841" s="510"/>
      <c r="BM841" s="510"/>
      <c r="BN841" s="510"/>
      <c r="BO841" s="510"/>
      <c r="BP841" s="510"/>
      <c r="BQ841" s="510"/>
      <c r="BR841" s="510"/>
      <c r="BS841" s="510"/>
      <c r="BT841" s="513"/>
      <c r="BU841" s="514"/>
      <c r="BV841" s="512"/>
      <c r="BW841" s="515"/>
    </row>
    <row r="842" spans="2:75" ht="15.75" customHeight="1">
      <c r="B842" s="250" t="s">
        <v>733</v>
      </c>
      <c r="C842" s="251">
        <v>24029438000160</v>
      </c>
      <c r="D842" s="252" t="s">
        <v>13</v>
      </c>
      <c r="E842" s="252" t="s">
        <v>615</v>
      </c>
      <c r="F842" s="252" t="s">
        <v>619</v>
      </c>
      <c r="G842" s="253" t="s">
        <v>34</v>
      </c>
      <c r="H842" s="253" t="s">
        <v>1338</v>
      </c>
      <c r="I842" s="253" t="s">
        <v>34</v>
      </c>
      <c r="J842" s="253" t="s">
        <v>611</v>
      </c>
      <c r="K842" s="254" t="s">
        <v>48</v>
      </c>
      <c r="L842" s="255"/>
      <c r="M842" s="255" t="s">
        <v>34</v>
      </c>
      <c r="N842" s="254">
        <v>416770</v>
      </c>
      <c r="O842" s="254" t="s">
        <v>1321</v>
      </c>
      <c r="P842" s="258">
        <v>42489</v>
      </c>
      <c r="Q842" s="259">
        <v>180007376.41999999</v>
      </c>
      <c r="R842" s="259">
        <v>294233640.84698391</v>
      </c>
      <c r="S842" s="254">
        <v>31</v>
      </c>
      <c r="T842" s="256">
        <v>-9.2737345806140903E-3</v>
      </c>
      <c r="U842" s="256">
        <v>-0.11988337698380043</v>
      </c>
      <c r="V842" s="256">
        <v>-1.6599780582580159E-3</v>
      </c>
      <c r="W842" s="256">
        <v>-1.6273335498147627E-2</v>
      </c>
      <c r="X842" s="256">
        <v>1.3446137951721227E-2</v>
      </c>
      <c r="Y842" s="256">
        <v>0.10196450672071639</v>
      </c>
      <c r="Z842" s="256">
        <v>4.5303891192118861E-2</v>
      </c>
      <c r="AA842" s="256">
        <v>0.25752200452577029</v>
      </c>
      <c r="AB842" s="256">
        <v>0.10488551967150625</v>
      </c>
      <c r="AC842" s="260">
        <v>-0.88968394265651496</v>
      </c>
      <c r="AD842" s="405">
        <v>23884632000160</v>
      </c>
      <c r="AE842" s="257" t="s">
        <v>2130</v>
      </c>
      <c r="AF842" s="257" t="s">
        <v>2118</v>
      </c>
      <c r="AG842" s="261" t="s">
        <v>1433</v>
      </c>
      <c r="AH842" s="261" t="s">
        <v>2113</v>
      </c>
      <c r="AI842" s="261">
        <v>5000</v>
      </c>
      <c r="AJ842" s="261">
        <v>5000</v>
      </c>
      <c r="AK842" s="261">
        <v>5000</v>
      </c>
      <c r="AL842" s="519">
        <v>1.9E-2</v>
      </c>
      <c r="AM842" s="519">
        <v>0.2</v>
      </c>
      <c r="AN842" s="256" t="s">
        <v>64</v>
      </c>
      <c r="AO842" s="254" t="s">
        <v>1324</v>
      </c>
      <c r="AP842" s="257" t="s">
        <v>13</v>
      </c>
      <c r="AQ842" s="263" t="s">
        <v>664</v>
      </c>
      <c r="AR842" s="256">
        <v>3.8E-3</v>
      </c>
      <c r="AS842" s="256">
        <v>3.8E-3</v>
      </c>
      <c r="AT842" s="256"/>
      <c r="AX842" s="508"/>
      <c r="AY842" s="509"/>
      <c r="AZ842" s="509"/>
      <c r="BA842" s="509"/>
      <c r="BB842" s="510"/>
      <c r="BC842" s="509"/>
      <c r="BD842" s="509"/>
      <c r="BE842" s="509"/>
      <c r="BF842" s="509"/>
      <c r="BG842" s="510"/>
      <c r="BH842" s="510"/>
      <c r="BI842" s="511"/>
      <c r="BJ842" s="511"/>
      <c r="BK842" s="511"/>
      <c r="BL842" s="510"/>
      <c r="BM842" s="510"/>
      <c r="BN842" s="510"/>
      <c r="BO842" s="510"/>
      <c r="BP842" s="510"/>
      <c r="BQ842" s="510"/>
      <c r="BR842" s="510"/>
      <c r="BS842" s="510"/>
      <c r="BT842" s="513"/>
      <c r="BU842" s="514"/>
      <c r="BV842" s="512"/>
      <c r="BW842" s="515"/>
    </row>
    <row r="843" spans="2:75" ht="15.75" customHeight="1">
      <c r="B843" s="250" t="s">
        <v>1492</v>
      </c>
      <c r="C843" s="251">
        <v>26744850000198</v>
      </c>
      <c r="D843" s="252" t="s">
        <v>13</v>
      </c>
      <c r="E843" s="252" t="s">
        <v>615</v>
      </c>
      <c r="F843" s="252" t="s">
        <v>619</v>
      </c>
      <c r="G843" s="253" t="s">
        <v>34</v>
      </c>
      <c r="H843" s="253" t="s">
        <v>1338</v>
      </c>
      <c r="I843" s="253" t="s">
        <v>34</v>
      </c>
      <c r="J843" s="253" t="s">
        <v>611</v>
      </c>
      <c r="K843" s="254" t="s">
        <v>48</v>
      </c>
      <c r="L843" s="255"/>
      <c r="M843" s="255"/>
      <c r="N843" s="254">
        <v>443921</v>
      </c>
      <c r="O843" s="254" t="s">
        <v>1321</v>
      </c>
      <c r="P843" s="258">
        <v>42916</v>
      </c>
      <c r="Q843" s="259">
        <v>19072437.260000002</v>
      </c>
      <c r="R843" s="259">
        <v>33747404.956309527</v>
      </c>
      <c r="S843" s="254">
        <v>31</v>
      </c>
      <c r="T843" s="256">
        <v>-8.7434405333541854E-3</v>
      </c>
      <c r="U843" s="256">
        <v>-9.8345463004598357E-2</v>
      </c>
      <c r="V843" s="256">
        <v>2.2328558966081991E-2</v>
      </c>
      <c r="W843" s="256">
        <v>0.20492500345363823</v>
      </c>
      <c r="X843" s="256">
        <v>6.9288189865460481E-2</v>
      </c>
      <c r="Y843" s="256">
        <v>0.48722003171119382</v>
      </c>
      <c r="Z843" s="256">
        <v>7.4034556830890663E-2</v>
      </c>
      <c r="AA843" s="256">
        <v>0.40456655098208355</v>
      </c>
      <c r="AB843" s="256">
        <v>0.10264177483541752</v>
      </c>
      <c r="AC843" s="260">
        <v>-0.74137705369047502</v>
      </c>
      <c r="AD843" s="405">
        <v>26744792000100</v>
      </c>
      <c r="AE843" s="257" t="s">
        <v>2130</v>
      </c>
      <c r="AF843" s="257" t="s">
        <v>2121</v>
      </c>
      <c r="AG843" s="261" t="s">
        <v>59</v>
      </c>
      <c r="AH843" s="261" t="s">
        <v>2131</v>
      </c>
      <c r="AI843" s="261">
        <v>50000</v>
      </c>
      <c r="AJ843" s="261">
        <v>50000</v>
      </c>
      <c r="AK843" s="261">
        <v>50000</v>
      </c>
      <c r="AL843" s="519">
        <v>1.9E-2</v>
      </c>
      <c r="AM843" s="519">
        <v>0.2</v>
      </c>
      <c r="AN843" s="256" t="s">
        <v>64</v>
      </c>
      <c r="AO843" s="254" t="s">
        <v>1324</v>
      </c>
      <c r="AP843" s="257" t="s">
        <v>13</v>
      </c>
      <c r="AQ843" s="263" t="s">
        <v>664</v>
      </c>
      <c r="AR843" s="256" t="s">
        <v>34</v>
      </c>
      <c r="AS843" s="256" t="s">
        <v>34</v>
      </c>
      <c r="AT843" s="256"/>
      <c r="AX843" s="508"/>
      <c r="AY843" s="509"/>
      <c r="AZ843" s="509"/>
      <c r="BA843" s="509"/>
      <c r="BB843" s="510"/>
      <c r="BC843" s="509"/>
      <c r="BD843" s="509"/>
      <c r="BE843" s="509"/>
      <c r="BF843" s="509"/>
      <c r="BG843" s="510"/>
      <c r="BH843" s="510"/>
      <c r="BI843" s="511"/>
      <c r="BJ843" s="511"/>
      <c r="BK843" s="511"/>
      <c r="BL843" s="510"/>
      <c r="BM843" s="510"/>
      <c r="BN843" s="510"/>
      <c r="BO843" s="510"/>
      <c r="BP843" s="510"/>
      <c r="BQ843" s="510"/>
      <c r="BR843" s="510"/>
      <c r="BS843" s="510"/>
      <c r="BT843" s="513"/>
      <c r="BU843" s="514"/>
      <c r="BV843" s="512"/>
      <c r="BW843" s="515"/>
    </row>
    <row r="844" spans="2:75" ht="15.75" customHeight="1">
      <c r="B844" s="250" t="s">
        <v>75</v>
      </c>
      <c r="C844" s="251">
        <v>23951048000180</v>
      </c>
      <c r="D844" s="252" t="s">
        <v>13</v>
      </c>
      <c r="E844" s="252" t="s">
        <v>615</v>
      </c>
      <c r="F844" s="252" t="s">
        <v>619</v>
      </c>
      <c r="G844" s="253" t="s">
        <v>34</v>
      </c>
      <c r="H844" s="253" t="s">
        <v>1338</v>
      </c>
      <c r="I844" s="253" t="s">
        <v>34</v>
      </c>
      <c r="J844" s="253" t="s">
        <v>611</v>
      </c>
      <c r="K844" s="254" t="s">
        <v>48</v>
      </c>
      <c r="L844" s="255"/>
      <c r="M844" s="255" t="s">
        <v>34</v>
      </c>
      <c r="N844" s="254">
        <v>443123</v>
      </c>
      <c r="O844" s="254" t="s">
        <v>1321</v>
      </c>
      <c r="P844" s="258">
        <v>42916</v>
      </c>
      <c r="Q844" s="259">
        <v>167047352.06</v>
      </c>
      <c r="R844" s="259">
        <v>350390520.2084921</v>
      </c>
      <c r="S844" s="254">
        <v>31</v>
      </c>
      <c r="T844" s="256">
        <v>-3.6175431984517559E-3</v>
      </c>
      <c r="U844" s="256">
        <v>-4.676468700341619E-2</v>
      </c>
      <c r="V844" s="256">
        <v>9.2363258431296114E-3</v>
      </c>
      <c r="W844" s="256">
        <v>9.0546877091369896E-2</v>
      </c>
      <c r="X844" s="256">
        <v>4.8406293326268335E-2</v>
      </c>
      <c r="Y844" s="256">
        <v>0.36707371580695702</v>
      </c>
      <c r="Z844" s="256">
        <v>7.6948954297145322E-2</v>
      </c>
      <c r="AA844" s="256">
        <v>0.43740280217276301</v>
      </c>
      <c r="AB844" s="256">
        <v>0.10259479089435568</v>
      </c>
      <c r="AC844" s="260">
        <v>-0.80606967672992702</v>
      </c>
      <c r="AD844" s="405">
        <v>26744792000100</v>
      </c>
      <c r="AE844" s="257" t="s">
        <v>2130</v>
      </c>
      <c r="AF844" s="257" t="s">
        <v>2118</v>
      </c>
      <c r="AG844" s="261" t="s">
        <v>1433</v>
      </c>
      <c r="AH844" s="261" t="s">
        <v>2113</v>
      </c>
      <c r="AI844" s="261">
        <v>5000</v>
      </c>
      <c r="AJ844" s="261">
        <v>5000</v>
      </c>
      <c r="AK844" s="261">
        <v>5000</v>
      </c>
      <c r="AL844" s="519">
        <v>1.9E-2</v>
      </c>
      <c r="AM844" s="519">
        <v>0.2</v>
      </c>
      <c r="AN844" s="256" t="s">
        <v>64</v>
      </c>
      <c r="AO844" s="254" t="s">
        <v>1324</v>
      </c>
      <c r="AP844" s="257" t="s">
        <v>13</v>
      </c>
      <c r="AQ844" s="263" t="s">
        <v>664</v>
      </c>
      <c r="AR844" s="256">
        <v>3.8E-3</v>
      </c>
      <c r="AS844" s="256">
        <v>3.8E-3</v>
      </c>
      <c r="AT844" s="256"/>
      <c r="AX844" s="508"/>
      <c r="AY844" s="509"/>
      <c r="AZ844" s="509"/>
      <c r="BA844" s="509"/>
      <c r="BB844" s="510"/>
      <c r="BC844" s="509"/>
      <c r="BD844" s="509"/>
      <c r="BE844" s="509"/>
      <c r="BF844" s="509"/>
      <c r="BG844" s="510"/>
      <c r="BH844" s="510"/>
      <c r="BI844" s="511"/>
      <c r="BJ844" s="511"/>
      <c r="BK844" s="511"/>
      <c r="BL844" s="510"/>
      <c r="BM844" s="510"/>
      <c r="BN844" s="510"/>
      <c r="BO844" s="510"/>
      <c r="BP844" s="510"/>
      <c r="BQ844" s="510"/>
      <c r="BR844" s="510"/>
      <c r="BS844" s="510"/>
      <c r="BT844" s="513"/>
      <c r="BU844" s="514"/>
      <c r="BV844" s="512"/>
      <c r="BW844" s="515"/>
    </row>
    <row r="845" spans="2:75" ht="15.75" customHeight="1">
      <c r="B845" s="250" t="s">
        <v>734</v>
      </c>
      <c r="C845" s="251">
        <v>27739651000154</v>
      </c>
      <c r="D845" s="252" t="s">
        <v>13</v>
      </c>
      <c r="E845" s="252" t="s">
        <v>615</v>
      </c>
      <c r="F845" s="252" t="s">
        <v>619</v>
      </c>
      <c r="G845" s="253" t="s">
        <v>34</v>
      </c>
      <c r="H845" s="253" t="s">
        <v>1338</v>
      </c>
      <c r="I845" s="253" t="s">
        <v>34</v>
      </c>
      <c r="J845" s="253" t="s">
        <v>611</v>
      </c>
      <c r="K845" s="254" t="s">
        <v>48</v>
      </c>
      <c r="L845" s="255"/>
      <c r="M845" s="255" t="s">
        <v>34</v>
      </c>
      <c r="N845" s="254">
        <v>443999</v>
      </c>
      <c r="O845" s="254" t="s">
        <v>1321</v>
      </c>
      <c r="P845" s="258">
        <v>42916</v>
      </c>
      <c r="Q845" s="259">
        <v>16001159.949999999</v>
      </c>
      <c r="R845" s="259">
        <v>24347644.640119031</v>
      </c>
      <c r="S845" s="254">
        <v>31</v>
      </c>
      <c r="T845" s="256">
        <v>-3.8080724299109914E-3</v>
      </c>
      <c r="U845" s="256">
        <v>-4.9227695566245767E-2</v>
      </c>
      <c r="V845" s="256">
        <v>8.9296756441712422E-3</v>
      </c>
      <c r="W845" s="256">
        <v>8.7540679784485001E-2</v>
      </c>
      <c r="X845" s="256">
        <v>4.7814628372576884E-2</v>
      </c>
      <c r="Y845" s="256">
        <v>0.36258701298093393</v>
      </c>
      <c r="Z845" s="256">
        <v>7.6825681220950015E-2</v>
      </c>
      <c r="AA845" s="256">
        <v>0.43670207804398453</v>
      </c>
      <c r="AB845" s="256">
        <v>9.5249670969270825E-2</v>
      </c>
      <c r="AC845" s="260">
        <v>-0.87904503871699458</v>
      </c>
      <c r="AD845" s="405">
        <v>38281201000187</v>
      </c>
      <c r="AE845" s="257" t="s">
        <v>2123</v>
      </c>
      <c r="AF845" s="257" t="s">
        <v>2109</v>
      </c>
      <c r="AG845" s="261" t="s">
        <v>1432</v>
      </c>
      <c r="AH845" s="261" t="s">
        <v>2113</v>
      </c>
      <c r="AI845" s="261">
        <v>5000</v>
      </c>
      <c r="AJ845" s="261">
        <v>5000</v>
      </c>
      <c r="AK845" s="261">
        <v>5000</v>
      </c>
      <c r="AL845" s="519">
        <v>0</v>
      </c>
      <c r="AM845" s="519" t="s">
        <v>34</v>
      </c>
      <c r="AN845" s="256" t="s">
        <v>2127</v>
      </c>
      <c r="AO845" s="254" t="s">
        <v>1324</v>
      </c>
      <c r="AP845" s="257" t="s">
        <v>13</v>
      </c>
      <c r="AQ845" s="263" t="s">
        <v>668</v>
      </c>
      <c r="AR845" s="256">
        <v>3.8E-3</v>
      </c>
      <c r="AS845" s="256">
        <v>3.8E-3</v>
      </c>
      <c r="AT845" s="256"/>
      <c r="AX845" s="508"/>
      <c r="AY845" s="509"/>
      <c r="AZ845" s="509"/>
      <c r="BA845" s="509"/>
      <c r="BB845" s="510"/>
      <c r="BC845" s="509"/>
      <c r="BD845" s="509"/>
      <c r="BE845" s="509"/>
      <c r="BF845" s="509"/>
      <c r="BG845" s="510"/>
      <c r="BH845" s="510"/>
      <c r="BI845" s="511"/>
      <c r="BJ845" s="511"/>
      <c r="BK845" s="511"/>
      <c r="BL845" s="510"/>
      <c r="BM845" s="510"/>
      <c r="BN845" s="510"/>
      <c r="BO845" s="510"/>
      <c r="BP845" s="510"/>
      <c r="BQ845" s="510"/>
      <c r="BR845" s="510"/>
      <c r="BS845" s="510"/>
      <c r="BT845" s="513"/>
      <c r="BU845" s="514"/>
      <c r="BV845" s="512"/>
      <c r="BW845" s="515"/>
    </row>
    <row r="846" spans="2:75" ht="15.75" customHeight="1">
      <c r="B846" s="250" t="s">
        <v>789</v>
      </c>
      <c r="C846" s="251">
        <v>28235629000130</v>
      </c>
      <c r="D846" s="252" t="s">
        <v>13</v>
      </c>
      <c r="E846" s="252" t="s">
        <v>615</v>
      </c>
      <c r="F846" s="252" t="s">
        <v>619</v>
      </c>
      <c r="G846" s="253" t="s">
        <v>34</v>
      </c>
      <c r="H846" s="253" t="s">
        <v>1337</v>
      </c>
      <c r="I846" s="253" t="s">
        <v>34</v>
      </c>
      <c r="J846" s="253" t="s">
        <v>611</v>
      </c>
      <c r="K846" s="254" t="s">
        <v>48</v>
      </c>
      <c r="L846" s="255"/>
      <c r="M846" s="255" t="s">
        <v>1414</v>
      </c>
      <c r="N846" s="254">
        <v>455156</v>
      </c>
      <c r="O846" s="254" t="s">
        <v>1321</v>
      </c>
      <c r="P846" s="258">
        <v>43087</v>
      </c>
      <c r="Q846" s="259">
        <v>7151680.6200000001</v>
      </c>
      <c r="R846" s="259">
        <v>7452142.4110714272</v>
      </c>
      <c r="S846" s="254">
        <v>31</v>
      </c>
      <c r="T846" s="256">
        <v>0.14934913337763911</v>
      </c>
      <c r="U846" s="256">
        <v>1.9306653973409058</v>
      </c>
      <c r="V846" s="256">
        <v>0.16465091867102943</v>
      </c>
      <c r="W846" s="256">
        <v>1.6141295520638805</v>
      </c>
      <c r="X846" s="256">
        <v>0.21248781592967325</v>
      </c>
      <c r="Y846" s="256">
        <v>1.6113337088482009</v>
      </c>
      <c r="Z846" s="256">
        <v>0.20809433797371524</v>
      </c>
      <c r="AA846" s="256">
        <v>1.1828756787844457</v>
      </c>
      <c r="AB846" s="256">
        <v>3.4828128222406801E-2</v>
      </c>
      <c r="AC846" s="260">
        <v>1.6055649215265875</v>
      </c>
      <c r="AD846" s="405">
        <v>17087932000116</v>
      </c>
      <c r="AE846" s="257" t="s">
        <v>2123</v>
      </c>
      <c r="AF846" s="257" t="s">
        <v>2109</v>
      </c>
      <c r="AG846" s="261" t="s">
        <v>1432</v>
      </c>
      <c r="AH846" s="261" t="s">
        <v>2113</v>
      </c>
      <c r="AI846" s="261">
        <v>10000</v>
      </c>
      <c r="AJ846" s="261">
        <v>10000</v>
      </c>
      <c r="AK846" s="261">
        <v>10000</v>
      </c>
      <c r="AL846" s="256">
        <v>0</v>
      </c>
      <c r="AM846" s="256" t="s">
        <v>34</v>
      </c>
      <c r="AN846" s="256" t="s">
        <v>34</v>
      </c>
      <c r="AO846" s="254" t="s">
        <v>1324</v>
      </c>
      <c r="AP846" s="257" t="s">
        <v>13</v>
      </c>
      <c r="AQ846" s="263" t="s">
        <v>664</v>
      </c>
      <c r="AR846" s="256">
        <v>3.6099999999999999E-3</v>
      </c>
      <c r="AS846" s="256">
        <v>3.6099999999999999E-3</v>
      </c>
      <c r="AT846" s="256"/>
      <c r="AX846" s="508"/>
      <c r="AY846" s="509"/>
      <c r="AZ846" s="509"/>
      <c r="BA846" s="509"/>
      <c r="BB846" s="510"/>
      <c r="BC846" s="509"/>
      <c r="BD846" s="509"/>
      <c r="BE846" s="509"/>
      <c r="BF846" s="509"/>
      <c r="BG846" s="510"/>
      <c r="BH846" s="510"/>
      <c r="BI846" s="511"/>
      <c r="BJ846" s="511"/>
      <c r="BK846" s="511"/>
      <c r="BL846" s="510"/>
      <c r="BM846" s="510"/>
      <c r="BN846" s="510"/>
      <c r="BO846" s="510"/>
      <c r="BP846" s="510"/>
      <c r="BQ846" s="510"/>
      <c r="BR846" s="510"/>
      <c r="BS846" s="510"/>
      <c r="BT846" s="513"/>
      <c r="BU846" s="514"/>
      <c r="BV846" s="512"/>
      <c r="BW846" s="515"/>
    </row>
    <row r="847" spans="2:75" ht="15.75" customHeight="1">
      <c r="B847" s="250" t="s">
        <v>790</v>
      </c>
      <c r="C847" s="251">
        <v>17087932000116</v>
      </c>
      <c r="D847" s="252" t="s">
        <v>13</v>
      </c>
      <c r="E847" s="252" t="s">
        <v>615</v>
      </c>
      <c r="F847" s="252" t="s">
        <v>619</v>
      </c>
      <c r="G847" s="253" t="s">
        <v>34</v>
      </c>
      <c r="H847" s="253" t="s">
        <v>1337</v>
      </c>
      <c r="I847" s="253" t="s">
        <v>34</v>
      </c>
      <c r="J847" s="253" t="s">
        <v>611</v>
      </c>
      <c r="K847" s="254" t="s">
        <v>48</v>
      </c>
      <c r="L847" s="255"/>
      <c r="M847" s="255" t="s">
        <v>1414</v>
      </c>
      <c r="N847" s="254">
        <v>323683</v>
      </c>
      <c r="O847" s="254" t="s">
        <v>1321</v>
      </c>
      <c r="P847" s="258">
        <v>41271</v>
      </c>
      <c r="Q847" s="259">
        <v>734712959.74000001</v>
      </c>
      <c r="R847" s="259">
        <v>871483576.71952331</v>
      </c>
      <c r="S847" s="254">
        <v>31</v>
      </c>
      <c r="T847" s="256">
        <v>0.15060440715405776</v>
      </c>
      <c r="U847" s="256">
        <v>1.9468925664547225</v>
      </c>
      <c r="V847" s="256">
        <v>0.16640626945485359</v>
      </c>
      <c r="W847" s="256">
        <v>1.6313378591737246</v>
      </c>
      <c r="X847" s="256">
        <v>0.21555831171001594</v>
      </c>
      <c r="Y847" s="256">
        <v>1.6346178361384915</v>
      </c>
      <c r="Z847" s="256">
        <v>0.21135478535868546</v>
      </c>
      <c r="AA847" s="256">
        <v>1.2014091187193887</v>
      </c>
      <c r="AB847" s="256">
        <v>3.5183919146447279E-2</v>
      </c>
      <c r="AC847" s="260">
        <v>1.6325121080804579</v>
      </c>
      <c r="AD847" s="405">
        <v>0</v>
      </c>
      <c r="AE847" s="257" t="s">
        <v>2166</v>
      </c>
      <c r="AF847" s="257" t="s">
        <v>2115</v>
      </c>
      <c r="AG847" s="261" t="s">
        <v>719</v>
      </c>
      <c r="AH847" s="261" t="s">
        <v>2113</v>
      </c>
      <c r="AI847" s="261">
        <v>20000</v>
      </c>
      <c r="AJ847" s="261">
        <v>1000</v>
      </c>
      <c r="AK847" s="261">
        <v>20000</v>
      </c>
      <c r="AL847" s="256">
        <v>1.9E-2</v>
      </c>
      <c r="AM847" s="256">
        <v>0.2</v>
      </c>
      <c r="AN847" s="256" t="s">
        <v>64</v>
      </c>
      <c r="AO847" s="254" t="s">
        <v>1324</v>
      </c>
      <c r="AP847" s="257" t="s">
        <v>13</v>
      </c>
      <c r="AQ847" s="263" t="s">
        <v>664</v>
      </c>
      <c r="AR847" s="256">
        <v>3.6099999999999999E-3</v>
      </c>
      <c r="AS847" s="256">
        <v>3.6099999999999999E-3</v>
      </c>
      <c r="AT847" s="256"/>
      <c r="AX847" s="508"/>
      <c r="AY847" s="509"/>
      <c r="AZ847" s="509"/>
      <c r="BA847" s="509"/>
      <c r="BB847" s="510"/>
      <c r="BC847" s="509"/>
      <c r="BD847" s="509"/>
      <c r="BE847" s="509"/>
      <c r="BF847" s="509"/>
      <c r="BG847" s="510"/>
      <c r="BH847" s="510"/>
      <c r="BI847" s="511"/>
      <c r="BJ847" s="511"/>
      <c r="BK847" s="511"/>
      <c r="BL847" s="510"/>
      <c r="BM847" s="510"/>
      <c r="BN847" s="510"/>
      <c r="BO847" s="510"/>
      <c r="BP847" s="510"/>
      <c r="BQ847" s="510"/>
      <c r="BR847" s="510"/>
      <c r="BS847" s="510"/>
      <c r="BT847" s="513"/>
      <c r="BU847" s="514"/>
      <c r="BV847" s="512"/>
      <c r="BW847" s="515"/>
    </row>
    <row r="848" spans="2:75" ht="15.75" customHeight="1">
      <c r="B848" s="250" t="s">
        <v>804</v>
      </c>
      <c r="C848" s="251">
        <v>33346541000125</v>
      </c>
      <c r="D848" s="252" t="s">
        <v>13</v>
      </c>
      <c r="E848" s="252" t="s">
        <v>615</v>
      </c>
      <c r="F848" s="252" t="s">
        <v>619</v>
      </c>
      <c r="G848" s="253" t="s">
        <v>34</v>
      </c>
      <c r="H848" s="253" t="s">
        <v>865</v>
      </c>
      <c r="I848" s="253" t="s">
        <v>34</v>
      </c>
      <c r="J848" s="253"/>
      <c r="K848" s="254" t="s">
        <v>48</v>
      </c>
      <c r="L848" s="255"/>
      <c r="M848" s="255" t="s">
        <v>34</v>
      </c>
      <c r="N848" s="254">
        <v>497258</v>
      </c>
      <c r="O848" s="254" t="s">
        <v>1321</v>
      </c>
      <c r="P848" s="258">
        <v>43616</v>
      </c>
      <c r="Q848" s="259">
        <v>222934343.90000001</v>
      </c>
      <c r="R848" s="259">
        <v>163084247.14857149</v>
      </c>
      <c r="S848" s="254">
        <v>31</v>
      </c>
      <c r="T848" s="256">
        <v>7.6467571268174606E-2</v>
      </c>
      <c r="U848" s="256">
        <v>0.98851121882886228</v>
      </c>
      <c r="V848" s="256">
        <v>9.9275318496678144E-2</v>
      </c>
      <c r="W848" s="256">
        <v>0.97323007165363107</v>
      </c>
      <c r="X848" s="256">
        <v>0.15066304221112525</v>
      </c>
      <c r="Y848" s="256">
        <v>1.1425052186180604</v>
      </c>
      <c r="Z848" s="256">
        <v>0.21628855984500905</v>
      </c>
      <c r="AA848" s="256">
        <v>1.22945429237143</v>
      </c>
      <c r="AB848" s="256">
        <v>5.2737606450054667E-2</v>
      </c>
      <c r="AC848" s="260">
        <v>-2.0835543773249574E-2</v>
      </c>
      <c r="AD848" s="405">
        <v>31556580000121</v>
      </c>
      <c r="AE848" s="257" t="s">
        <v>2174</v>
      </c>
      <c r="AF848" s="257" t="s">
        <v>736</v>
      </c>
      <c r="AG848" s="261" t="s">
        <v>736</v>
      </c>
      <c r="AH848" s="261" t="s">
        <v>2113</v>
      </c>
      <c r="AI848" s="261">
        <v>25000</v>
      </c>
      <c r="AJ848" s="261">
        <v>10000</v>
      </c>
      <c r="AK848" s="261">
        <v>25000</v>
      </c>
      <c r="AL848" s="256">
        <v>1.9E-2</v>
      </c>
      <c r="AM848" s="256">
        <v>0.2</v>
      </c>
      <c r="AN848" s="256" t="s">
        <v>64</v>
      </c>
      <c r="AO848" s="254" t="s">
        <v>1324</v>
      </c>
      <c r="AP848" s="257" t="s">
        <v>13</v>
      </c>
      <c r="AQ848" s="263" t="s">
        <v>664</v>
      </c>
      <c r="AR848" s="256">
        <v>5.0666666666666664E-3</v>
      </c>
      <c r="AS848" s="256">
        <v>5.0666666666666664E-3</v>
      </c>
      <c r="AT848" s="256"/>
      <c r="AX848" s="508"/>
      <c r="AY848" s="509"/>
      <c r="AZ848" s="509"/>
      <c r="BA848" s="509"/>
      <c r="BB848" s="510"/>
      <c r="BC848" s="509"/>
      <c r="BD848" s="509"/>
      <c r="BE848" s="509"/>
      <c r="BF848" s="509"/>
      <c r="BG848" s="510"/>
      <c r="BH848" s="510"/>
      <c r="BI848" s="511"/>
      <c r="BJ848" s="511"/>
      <c r="BK848" s="511"/>
      <c r="BL848" s="510"/>
      <c r="BM848" s="510"/>
      <c r="BN848" s="510"/>
      <c r="BO848" s="510"/>
      <c r="BP848" s="510"/>
      <c r="BQ848" s="510"/>
      <c r="BR848" s="510"/>
      <c r="BS848" s="510"/>
      <c r="BT848" s="513"/>
      <c r="BU848" s="514"/>
      <c r="BV848" s="512"/>
      <c r="BW848" s="515"/>
    </row>
    <row r="849" spans="2:75" ht="15.75" customHeight="1">
      <c r="B849" s="250" t="s">
        <v>133</v>
      </c>
      <c r="C849" s="251">
        <v>34425904000180</v>
      </c>
      <c r="D849" s="252" t="s">
        <v>13</v>
      </c>
      <c r="E849" s="252" t="s">
        <v>615</v>
      </c>
      <c r="F849" s="252" t="s">
        <v>619</v>
      </c>
      <c r="G849" s="253" t="s">
        <v>34</v>
      </c>
      <c r="H849" s="253" t="s">
        <v>865</v>
      </c>
      <c r="I849" s="253" t="s">
        <v>34</v>
      </c>
      <c r="J849" s="253"/>
      <c r="K849" s="254" t="s">
        <v>48</v>
      </c>
      <c r="L849" s="255"/>
      <c r="M849" s="255" t="s">
        <v>34</v>
      </c>
      <c r="N849" s="254">
        <v>508039</v>
      </c>
      <c r="O849" s="254" t="s">
        <v>1321</v>
      </c>
      <c r="P849" s="258">
        <v>43696</v>
      </c>
      <c r="Q849" s="259">
        <v>53019464.119999997</v>
      </c>
      <c r="R849" s="259">
        <v>76334008.325714201</v>
      </c>
      <c r="S849" s="254">
        <v>31</v>
      </c>
      <c r="T849" s="256">
        <v>6.0724610390157308E-2</v>
      </c>
      <c r="U849" s="256">
        <v>0.78499889082609187</v>
      </c>
      <c r="V849" s="256">
        <v>4.2527379418309197E-2</v>
      </c>
      <c r="W849" s="256">
        <v>0.41691051859891171</v>
      </c>
      <c r="X849" s="256">
        <v>0.33320954376847389</v>
      </c>
      <c r="Y849" s="256">
        <v>2.52678850142529</v>
      </c>
      <c r="Z849" s="256">
        <v>0.40493462482806586</v>
      </c>
      <c r="AA849" s="256">
        <v>2.3017796825751451</v>
      </c>
      <c r="AB849" s="256">
        <v>5.5757151166044613E-2</v>
      </c>
      <c r="AC849" s="260">
        <v>-0.96765802948170032</v>
      </c>
      <c r="AD849" s="405">
        <v>0</v>
      </c>
      <c r="AE849" s="257" t="s">
        <v>2178</v>
      </c>
      <c r="AF849" s="257" t="s">
        <v>2109</v>
      </c>
      <c r="AG849" s="261" t="s">
        <v>1432</v>
      </c>
      <c r="AH849" s="261" t="s">
        <v>2113</v>
      </c>
      <c r="AI849" s="261">
        <v>1000</v>
      </c>
      <c r="AJ849" s="261">
        <v>1000</v>
      </c>
      <c r="AK849" s="261">
        <v>1000</v>
      </c>
      <c r="AL849" s="256">
        <v>0.02</v>
      </c>
      <c r="AM849" s="256">
        <v>0.25</v>
      </c>
      <c r="AN849" s="256" t="s">
        <v>34</v>
      </c>
      <c r="AO849" s="254" t="s">
        <v>1324</v>
      </c>
      <c r="AP849" s="257" t="s">
        <v>13</v>
      </c>
      <c r="AQ849" s="263" t="s">
        <v>668</v>
      </c>
      <c r="AR849" s="256">
        <v>4.6666666666666662E-3</v>
      </c>
      <c r="AS849" s="256">
        <v>4.6666666666666662E-3</v>
      </c>
      <c r="AT849" s="256"/>
      <c r="AX849" s="508"/>
      <c r="AY849" s="509"/>
      <c r="AZ849" s="509"/>
      <c r="BA849" s="509"/>
      <c r="BB849" s="510"/>
      <c r="BC849" s="509"/>
      <c r="BD849" s="509"/>
      <c r="BE849" s="509"/>
      <c r="BF849" s="509"/>
      <c r="BG849" s="510"/>
      <c r="BH849" s="510"/>
      <c r="BI849" s="511"/>
      <c r="BJ849" s="511"/>
      <c r="BK849" s="511"/>
      <c r="BL849" s="510"/>
      <c r="BM849" s="510"/>
      <c r="BN849" s="510"/>
      <c r="BO849" s="510"/>
      <c r="BP849" s="510"/>
      <c r="BQ849" s="510"/>
      <c r="BR849" s="510"/>
      <c r="BS849" s="510"/>
      <c r="BT849" s="513"/>
      <c r="BU849" s="514"/>
      <c r="BV849" s="512"/>
      <c r="BW849" s="515"/>
    </row>
    <row r="850" spans="2:75" ht="15.75" customHeight="1">
      <c r="B850" s="250" t="s">
        <v>533</v>
      </c>
      <c r="C850" s="251">
        <v>28428129000114</v>
      </c>
      <c r="D850" s="252" t="s">
        <v>13</v>
      </c>
      <c r="E850" s="252" t="s">
        <v>615</v>
      </c>
      <c r="F850" s="252" t="s">
        <v>619</v>
      </c>
      <c r="G850" s="253" t="s">
        <v>34</v>
      </c>
      <c r="H850" s="253" t="s">
        <v>865</v>
      </c>
      <c r="I850" s="253" t="s">
        <v>34</v>
      </c>
      <c r="J850" s="253"/>
      <c r="K850" s="254" t="s">
        <v>48</v>
      </c>
      <c r="L850" s="255"/>
      <c r="M850" s="255" t="s">
        <v>1414</v>
      </c>
      <c r="N850" s="254">
        <v>452319</v>
      </c>
      <c r="O850" s="254" t="s">
        <v>1321</v>
      </c>
      <c r="P850" s="258">
        <v>43039</v>
      </c>
      <c r="Q850" s="259">
        <v>205033356.65000001</v>
      </c>
      <c r="R850" s="259">
        <v>255046266.20464283</v>
      </c>
      <c r="S850" s="254">
        <v>31</v>
      </c>
      <c r="T850" s="256">
        <v>0.10985849277986248</v>
      </c>
      <c r="U850" s="256">
        <v>1.4201621784961915</v>
      </c>
      <c r="V850" s="256">
        <v>0.10167934246658428</v>
      </c>
      <c r="W850" s="256">
        <v>0.9967975449785047</v>
      </c>
      <c r="X850" s="256">
        <v>0.15257811757805562</v>
      </c>
      <c r="Y850" s="256">
        <v>1.1570275830191377</v>
      </c>
      <c r="Z850" s="256">
        <v>0.20307960307713691</v>
      </c>
      <c r="AA850" s="256">
        <v>1.1543702999141017</v>
      </c>
      <c r="AB850" s="256">
        <v>6.9104023486555588E-2</v>
      </c>
      <c r="AC850" s="260">
        <v>2.9816885524345676E-2</v>
      </c>
      <c r="AD850" s="405">
        <v>0</v>
      </c>
      <c r="AE850" s="257" t="s">
        <v>2179</v>
      </c>
      <c r="AF850" s="257" t="s">
        <v>719</v>
      </c>
      <c r="AG850" s="261" t="s">
        <v>719</v>
      </c>
      <c r="AH850" s="261" t="s">
        <v>2113</v>
      </c>
      <c r="AI850" s="261">
        <v>500</v>
      </c>
      <c r="AJ850" s="261">
        <v>500</v>
      </c>
      <c r="AK850" s="261">
        <v>500</v>
      </c>
      <c r="AL850" s="256">
        <v>0.01</v>
      </c>
      <c r="AM850" s="256" t="s">
        <v>34</v>
      </c>
      <c r="AN850" s="256" t="s">
        <v>64</v>
      </c>
      <c r="AO850" s="254" t="s">
        <v>1324</v>
      </c>
      <c r="AP850" s="257" t="s">
        <v>13</v>
      </c>
      <c r="AQ850" s="263" t="s">
        <v>668</v>
      </c>
      <c r="AR850" s="256">
        <v>2.6666666666666666E-3</v>
      </c>
      <c r="AS850" s="256">
        <v>2.6666666666666666E-3</v>
      </c>
      <c r="AT850" s="256"/>
      <c r="AX850" s="508"/>
      <c r="AY850" s="509"/>
      <c r="AZ850" s="509"/>
      <c r="BA850" s="509"/>
      <c r="BB850" s="510"/>
      <c r="BC850" s="509"/>
      <c r="BD850" s="509"/>
      <c r="BE850" s="509"/>
      <c r="BF850" s="509"/>
      <c r="BG850" s="510"/>
      <c r="BH850" s="510"/>
      <c r="BI850" s="511"/>
      <c r="BJ850" s="511"/>
      <c r="BK850" s="511"/>
      <c r="BL850" s="510"/>
      <c r="BM850" s="510"/>
      <c r="BN850" s="510"/>
      <c r="BO850" s="510"/>
      <c r="BP850" s="510"/>
      <c r="BQ850" s="510"/>
      <c r="BR850" s="510"/>
      <c r="BS850" s="510"/>
      <c r="BT850" s="513"/>
      <c r="BU850" s="514"/>
      <c r="BV850" s="512"/>
      <c r="BW850" s="515"/>
    </row>
    <row r="851" spans="2:75" ht="15.75" customHeight="1">
      <c r="B851" s="250" t="s">
        <v>824</v>
      </c>
      <c r="C851" s="251">
        <v>35847960000176</v>
      </c>
      <c r="D851" s="252" t="s">
        <v>13</v>
      </c>
      <c r="E851" s="252" t="s">
        <v>615</v>
      </c>
      <c r="F851" s="252" t="s">
        <v>619</v>
      </c>
      <c r="G851" s="253" t="s">
        <v>34</v>
      </c>
      <c r="H851" s="253" t="s">
        <v>865</v>
      </c>
      <c r="I851" s="253" t="s">
        <v>34</v>
      </c>
      <c r="J851" s="253"/>
      <c r="K851" s="254" t="s">
        <v>48</v>
      </c>
      <c r="L851" s="255"/>
      <c r="M851" s="255" t="s">
        <v>1414</v>
      </c>
      <c r="N851" s="254">
        <v>531855</v>
      </c>
      <c r="O851" s="254" t="s">
        <v>1321</v>
      </c>
      <c r="P851" s="258">
        <v>43921</v>
      </c>
      <c r="Q851" s="259">
        <v>7733776.96</v>
      </c>
      <c r="R851" s="259">
        <v>21563526.710198414</v>
      </c>
      <c r="S851" s="254">
        <v>31</v>
      </c>
      <c r="T851" s="256">
        <v>7.4074706370857779E-2</v>
      </c>
      <c r="U851" s="256">
        <v>0.95757818725860355</v>
      </c>
      <c r="V851" s="256">
        <v>5.4821236394634765E-2</v>
      </c>
      <c r="W851" s="256">
        <v>0.53743142437036162</v>
      </c>
      <c r="X851" s="256">
        <v>5.683981993960896E-2</v>
      </c>
      <c r="Y851" s="256">
        <v>0.43102668015500117</v>
      </c>
      <c r="Z851" s="256" t="s">
        <v>1417</v>
      </c>
      <c r="AA851" s="256" t="s">
        <v>1417</v>
      </c>
      <c r="AB851" s="256">
        <v>5.6620663512204017E-2</v>
      </c>
      <c r="AC851" s="260">
        <v>-0.74489547052742178</v>
      </c>
      <c r="AD851" s="405">
        <v>0</v>
      </c>
      <c r="AE851" s="257" t="s">
        <v>2179</v>
      </c>
      <c r="AF851" s="257" t="s">
        <v>719</v>
      </c>
      <c r="AG851" s="261" t="s">
        <v>719</v>
      </c>
      <c r="AH851" s="261" t="s">
        <v>2113</v>
      </c>
      <c r="AI851" s="261">
        <v>100</v>
      </c>
      <c r="AJ851" s="261">
        <v>100</v>
      </c>
      <c r="AK851" s="261">
        <v>100</v>
      </c>
      <c r="AL851" s="256">
        <v>0.01</v>
      </c>
      <c r="AM851" s="256">
        <v>0.3</v>
      </c>
      <c r="AN851" s="256" t="s">
        <v>2122</v>
      </c>
      <c r="AO851" s="254" t="s">
        <v>1324</v>
      </c>
      <c r="AP851" s="257" t="s">
        <v>13</v>
      </c>
      <c r="AQ851" s="263" t="s">
        <v>668</v>
      </c>
      <c r="AR851" s="256">
        <v>2.6666666666666666E-3</v>
      </c>
      <c r="AS851" s="256">
        <v>2.6666666666666666E-3</v>
      </c>
      <c r="AT851" s="256"/>
      <c r="AX851" s="508"/>
      <c r="AY851" s="509"/>
      <c r="AZ851" s="509"/>
      <c r="BA851" s="509"/>
      <c r="BB851" s="510"/>
      <c r="BC851" s="509"/>
      <c r="BD851" s="509"/>
      <c r="BE851" s="509"/>
      <c r="BF851" s="509"/>
      <c r="BG851" s="510"/>
      <c r="BH851" s="510"/>
      <c r="BI851" s="511"/>
      <c r="BJ851" s="511"/>
      <c r="BK851" s="511"/>
      <c r="BL851" s="510"/>
      <c r="BM851" s="510"/>
      <c r="BN851" s="510"/>
      <c r="BO851" s="510"/>
      <c r="BP851" s="510"/>
      <c r="BQ851" s="510"/>
      <c r="BR851" s="510"/>
      <c r="BS851" s="510"/>
      <c r="BT851" s="513"/>
      <c r="BU851" s="514"/>
      <c r="BV851" s="512"/>
      <c r="BW851" s="515"/>
    </row>
    <row r="852" spans="2:75" ht="15.75" customHeight="1">
      <c r="B852" s="250" t="s">
        <v>149</v>
      </c>
      <c r="C852" s="251">
        <v>1214092000175</v>
      </c>
      <c r="D852" s="252" t="s">
        <v>13</v>
      </c>
      <c r="E852" s="252" t="s">
        <v>615</v>
      </c>
      <c r="F852" s="252" t="s">
        <v>619</v>
      </c>
      <c r="G852" s="253" t="s">
        <v>34</v>
      </c>
      <c r="H852" s="253" t="s">
        <v>1337</v>
      </c>
      <c r="I852" s="253" t="s">
        <v>34</v>
      </c>
      <c r="J852" s="253"/>
      <c r="K852" s="254" t="s">
        <v>48</v>
      </c>
      <c r="L852" s="255"/>
      <c r="M852" s="255" t="s">
        <v>34</v>
      </c>
      <c r="N852" s="254">
        <v>70815</v>
      </c>
      <c r="O852" s="254" t="s">
        <v>1321</v>
      </c>
      <c r="P852" s="258">
        <v>35193</v>
      </c>
      <c r="Q852" s="259">
        <v>239028172.00999999</v>
      </c>
      <c r="R852" s="259">
        <v>316441800.64285702</v>
      </c>
      <c r="S852" s="254">
        <v>31</v>
      </c>
      <c r="T852" s="256">
        <v>0.10294368433247847</v>
      </c>
      <c r="U852" s="256">
        <v>1.330773100055086</v>
      </c>
      <c r="V852" s="256">
        <v>9.2549848255335521E-2</v>
      </c>
      <c r="W852" s="256">
        <v>0.90729797509626509</v>
      </c>
      <c r="X852" s="256">
        <v>0.10710391833980704</v>
      </c>
      <c r="Y852" s="256">
        <v>0.8121884693274587</v>
      </c>
      <c r="Z852" s="256">
        <v>0.1146369154018807</v>
      </c>
      <c r="AA852" s="256">
        <v>0.65163339108670382</v>
      </c>
      <c r="AB852" s="256">
        <v>2.1685883525372856E-2</v>
      </c>
      <c r="AC852" s="260">
        <v>-0.38679526352287291</v>
      </c>
      <c r="AD852" s="405">
        <v>0</v>
      </c>
      <c r="AE852" s="257" t="s">
        <v>2144</v>
      </c>
      <c r="AF852" s="257" t="s">
        <v>2109</v>
      </c>
      <c r="AG852" s="261" t="s">
        <v>1432</v>
      </c>
      <c r="AH852" s="261" t="s">
        <v>2113</v>
      </c>
      <c r="AI852" s="261">
        <v>5000</v>
      </c>
      <c r="AJ852" s="261">
        <v>1000</v>
      </c>
      <c r="AK852" s="261">
        <v>1000</v>
      </c>
      <c r="AL852" s="256">
        <v>0.02</v>
      </c>
      <c r="AM852" s="256">
        <v>0.2</v>
      </c>
      <c r="AN852" s="256" t="s">
        <v>2122</v>
      </c>
      <c r="AO852" s="254" t="s">
        <v>1324</v>
      </c>
      <c r="AP852" s="257" t="s">
        <v>13</v>
      </c>
      <c r="AQ852" s="263" t="s">
        <v>668</v>
      </c>
      <c r="AR852" s="256">
        <v>6.9999999999999993E-3</v>
      </c>
      <c r="AS852" s="256">
        <v>6.9999999999999993E-3</v>
      </c>
      <c r="AT852" s="256"/>
      <c r="AX852" s="508"/>
      <c r="AY852" s="509"/>
      <c r="AZ852" s="509"/>
      <c r="BA852" s="509"/>
      <c r="BB852" s="510"/>
      <c r="BC852" s="509"/>
      <c r="BD852" s="509"/>
      <c r="BE852" s="509"/>
      <c r="BF852" s="509"/>
      <c r="BG852" s="510"/>
      <c r="BH852" s="510"/>
      <c r="BI852" s="511"/>
      <c r="BJ852" s="511"/>
      <c r="BK852" s="511"/>
      <c r="BL852" s="510"/>
      <c r="BM852" s="510"/>
      <c r="BN852" s="510"/>
      <c r="BO852" s="510"/>
      <c r="BP852" s="510"/>
      <c r="BQ852" s="510"/>
      <c r="BR852" s="510"/>
      <c r="BS852" s="510"/>
      <c r="BT852" s="513"/>
      <c r="BU852" s="514"/>
      <c r="BV852" s="512"/>
      <c r="BW852" s="515"/>
    </row>
    <row r="853" spans="2:75" ht="15.75" customHeight="1">
      <c r="B853" s="250" t="s">
        <v>857</v>
      </c>
      <c r="C853" s="251">
        <v>42730656000100</v>
      </c>
      <c r="D853" s="252" t="s">
        <v>13</v>
      </c>
      <c r="E853" s="252" t="s">
        <v>615</v>
      </c>
      <c r="F853" s="252" t="s">
        <v>619</v>
      </c>
      <c r="G853" s="253" t="s">
        <v>34</v>
      </c>
      <c r="H853" s="253" t="s">
        <v>1337</v>
      </c>
      <c r="I853" s="253" t="s">
        <v>34</v>
      </c>
      <c r="J853" s="253" t="s">
        <v>611</v>
      </c>
      <c r="K853" s="254" t="s">
        <v>48</v>
      </c>
      <c r="L853" s="255"/>
      <c r="M853" s="255" t="s">
        <v>34</v>
      </c>
      <c r="N853" s="254">
        <v>633216</v>
      </c>
      <c r="O853" s="254" t="s">
        <v>1321</v>
      </c>
      <c r="P853" s="258">
        <v>44407</v>
      </c>
      <c r="Q853" s="259">
        <v>657789586.55999994</v>
      </c>
      <c r="R853" s="259">
        <v>343203727.77186513</v>
      </c>
      <c r="S853" s="254">
        <v>31</v>
      </c>
      <c r="T853" s="256">
        <v>0.10619035475341243</v>
      </c>
      <c r="U853" s="256">
        <v>1.3727434422760736</v>
      </c>
      <c r="V853" s="256">
        <v>0.13854389058512839</v>
      </c>
      <c r="W853" s="256">
        <v>1.3581933818308429</v>
      </c>
      <c r="X853" s="256" t="s">
        <v>1417</v>
      </c>
      <c r="Y853" s="256" t="s">
        <v>1417</v>
      </c>
      <c r="Z853" s="256" t="s">
        <v>1417</v>
      </c>
      <c r="AA853" s="256" t="s">
        <v>1417</v>
      </c>
      <c r="AB853" s="256">
        <v>1.410763755181289E-2</v>
      </c>
      <c r="AC853" s="260">
        <v>2.3200550224820038</v>
      </c>
      <c r="AD853" s="405">
        <v>0</v>
      </c>
      <c r="AE853" s="257" t="s">
        <v>2144</v>
      </c>
      <c r="AF853" s="257" t="s">
        <v>2109</v>
      </c>
      <c r="AG853" s="261" t="s">
        <v>1432</v>
      </c>
      <c r="AH853" s="261" t="s">
        <v>2113</v>
      </c>
      <c r="AI853" s="261">
        <v>1000</v>
      </c>
      <c r="AJ853" s="261">
        <v>100</v>
      </c>
      <c r="AK853" s="261">
        <v>100</v>
      </c>
      <c r="AL853" s="256">
        <v>0.02</v>
      </c>
      <c r="AM853" s="256">
        <v>0.2</v>
      </c>
      <c r="AN853" s="256" t="s">
        <v>2127</v>
      </c>
      <c r="AO853" s="254" t="s">
        <v>1324</v>
      </c>
      <c r="AP853" s="257" t="s">
        <v>13</v>
      </c>
      <c r="AQ853" s="263" t="s">
        <v>668</v>
      </c>
      <c r="AR853" s="256">
        <v>6.9999999999999993E-3</v>
      </c>
      <c r="AS853" s="256">
        <v>6.9999999999999993E-3</v>
      </c>
      <c r="AT853" s="256"/>
      <c r="AX853" s="508"/>
      <c r="AY853" s="509"/>
      <c r="AZ853" s="509"/>
      <c r="BA853" s="509"/>
      <c r="BB853" s="510"/>
      <c r="BC853" s="509"/>
      <c r="BD853" s="509"/>
      <c r="BE853" s="509"/>
      <c r="BF853" s="509"/>
      <c r="BG853" s="510"/>
      <c r="BH853" s="510"/>
      <c r="BI853" s="511"/>
      <c r="BJ853" s="511"/>
      <c r="BK853" s="511"/>
      <c r="BL853" s="510"/>
      <c r="BM853" s="510"/>
      <c r="BN853" s="510"/>
      <c r="BO853" s="510"/>
      <c r="BP853" s="510"/>
      <c r="BQ853" s="510"/>
      <c r="BR853" s="510"/>
      <c r="BS853" s="510"/>
      <c r="BT853" s="513"/>
      <c r="BU853" s="514"/>
      <c r="BV853" s="512"/>
      <c r="BW853" s="515"/>
    </row>
    <row r="854" spans="2:75" ht="15.75" customHeight="1">
      <c r="B854" s="250" t="s">
        <v>155</v>
      </c>
      <c r="C854" s="251">
        <v>23695876000103</v>
      </c>
      <c r="D854" s="252" t="s">
        <v>13</v>
      </c>
      <c r="E854" s="252" t="s">
        <v>615</v>
      </c>
      <c r="F854" s="252" t="s">
        <v>619</v>
      </c>
      <c r="G854" s="253" t="s">
        <v>34</v>
      </c>
      <c r="H854" s="253" t="s">
        <v>1338</v>
      </c>
      <c r="I854" s="253" t="s">
        <v>34</v>
      </c>
      <c r="J854" s="253" t="s">
        <v>611</v>
      </c>
      <c r="K854" s="254" t="s">
        <v>48</v>
      </c>
      <c r="L854" s="255"/>
      <c r="M854" s="255" t="s">
        <v>34</v>
      </c>
      <c r="N854" s="254">
        <v>417971</v>
      </c>
      <c r="O854" s="254" t="s">
        <v>1321</v>
      </c>
      <c r="P854" s="258">
        <v>42489</v>
      </c>
      <c r="Q854" s="259">
        <v>25834375.530000001</v>
      </c>
      <c r="R854" s="259">
        <v>51365030.321349218</v>
      </c>
      <c r="S854" s="254">
        <v>31</v>
      </c>
      <c r="T854" s="256">
        <v>-9.8968771072441841E-3</v>
      </c>
      <c r="U854" s="256">
        <v>-0.12793886205135846</v>
      </c>
      <c r="V854" s="256">
        <v>-1.1364926734084291E-3</v>
      </c>
      <c r="W854" s="256">
        <v>-1.1141428330064963E-2</v>
      </c>
      <c r="X854" s="256">
        <v>1.38615917036502E-2</v>
      </c>
      <c r="Y854" s="256">
        <v>0.10511496799315083</v>
      </c>
      <c r="Z854" s="256">
        <v>4.5715024393423009E-2</v>
      </c>
      <c r="AA854" s="256">
        <v>0.25985901892654123</v>
      </c>
      <c r="AB854" s="256">
        <v>9.7560166321763397E-2</v>
      </c>
      <c r="AC854" s="260">
        <v>-0.95870926589256866</v>
      </c>
      <c r="AD854" s="405">
        <v>38281343000144</v>
      </c>
      <c r="AE854" s="257" t="s">
        <v>2123</v>
      </c>
      <c r="AF854" s="257" t="s">
        <v>2109</v>
      </c>
      <c r="AG854" s="261" t="s">
        <v>1432</v>
      </c>
      <c r="AH854" s="261" t="s">
        <v>2113</v>
      </c>
      <c r="AI854" s="261">
        <v>10000</v>
      </c>
      <c r="AJ854" s="261">
        <v>10000</v>
      </c>
      <c r="AK854" s="261">
        <v>10000</v>
      </c>
      <c r="AL854" s="256">
        <v>0</v>
      </c>
      <c r="AM854" s="256" t="s">
        <v>34</v>
      </c>
      <c r="AN854" s="256" t="s">
        <v>64</v>
      </c>
      <c r="AO854" s="254" t="s">
        <v>1324</v>
      </c>
      <c r="AP854" s="257" t="s">
        <v>13</v>
      </c>
      <c r="AQ854" s="263" t="s">
        <v>664</v>
      </c>
      <c r="AR854" s="256">
        <v>3.8E-3</v>
      </c>
      <c r="AS854" s="256">
        <v>3.8E-3</v>
      </c>
      <c r="AT854" s="256"/>
      <c r="AX854" s="508"/>
      <c r="AY854" s="509"/>
      <c r="AZ854" s="509"/>
      <c r="BA854" s="509"/>
      <c r="BB854" s="510"/>
      <c r="BC854" s="509"/>
      <c r="BD854" s="509"/>
      <c r="BE854" s="509"/>
      <c r="BF854" s="509"/>
      <c r="BG854" s="510"/>
      <c r="BH854" s="510"/>
      <c r="BI854" s="511"/>
      <c r="BJ854" s="511"/>
      <c r="BK854" s="511"/>
      <c r="BL854" s="510"/>
      <c r="BM854" s="510"/>
      <c r="BN854" s="510"/>
      <c r="BO854" s="510"/>
      <c r="BP854" s="510"/>
      <c r="BQ854" s="510"/>
      <c r="BR854" s="510"/>
      <c r="BS854" s="510"/>
      <c r="BT854" s="513"/>
      <c r="BU854" s="514"/>
      <c r="BV854" s="512"/>
      <c r="BW854" s="515"/>
    </row>
    <row r="855" spans="2:75" ht="15.75" customHeight="1">
      <c r="B855" s="250" t="s">
        <v>156</v>
      </c>
      <c r="C855" s="251">
        <v>22632296000104</v>
      </c>
      <c r="D855" s="252" t="s">
        <v>13</v>
      </c>
      <c r="E855" s="252" t="s">
        <v>615</v>
      </c>
      <c r="F855" s="252" t="s">
        <v>619</v>
      </c>
      <c r="G855" s="253" t="s">
        <v>34</v>
      </c>
      <c r="H855" s="253" t="s">
        <v>865</v>
      </c>
      <c r="I855" s="253" t="s">
        <v>34</v>
      </c>
      <c r="J855" s="253"/>
      <c r="K855" s="254" t="s">
        <v>48</v>
      </c>
      <c r="L855" s="255"/>
      <c r="M855" s="255" t="s">
        <v>1414</v>
      </c>
      <c r="N855" s="254">
        <v>412155</v>
      </c>
      <c r="O855" s="254" t="s">
        <v>1321</v>
      </c>
      <c r="P855" s="258">
        <v>42377</v>
      </c>
      <c r="Q855" s="259">
        <v>48503308.25</v>
      </c>
      <c r="R855" s="259">
        <v>44325750.662380971</v>
      </c>
      <c r="S855" s="254">
        <v>31</v>
      </c>
      <c r="T855" s="256">
        <v>8.553381529202353E-2</v>
      </c>
      <c r="U855" s="256">
        <v>1.1057123248870686</v>
      </c>
      <c r="V855" s="256">
        <v>4.2438477727347435E-2</v>
      </c>
      <c r="W855" s="256">
        <v>0.41603898476376472</v>
      </c>
      <c r="X855" s="256">
        <v>2.6730207340859957E-2</v>
      </c>
      <c r="Y855" s="256">
        <v>0.20270001808990551</v>
      </c>
      <c r="Z855" s="256">
        <v>9.83206295793011E-2</v>
      </c>
      <c r="AA855" s="256">
        <v>0.55888633292281131</v>
      </c>
      <c r="AB855" s="256">
        <v>5.8993765389660079E-2</v>
      </c>
      <c r="AC855" s="260">
        <v>-0.91283451327174947</v>
      </c>
      <c r="AD855" s="405">
        <v>19805188000173</v>
      </c>
      <c r="AE855" s="257" t="s">
        <v>2193</v>
      </c>
      <c r="AF855" s="257" t="s">
        <v>2109</v>
      </c>
      <c r="AG855" s="261" t="s">
        <v>1432</v>
      </c>
      <c r="AH855" s="261" t="s">
        <v>2113</v>
      </c>
      <c r="AI855" s="261">
        <v>100</v>
      </c>
      <c r="AJ855" s="261">
        <v>0</v>
      </c>
      <c r="AK855" s="261">
        <v>0</v>
      </c>
      <c r="AL855" s="256">
        <v>1.4999999999999999E-2</v>
      </c>
      <c r="AM855" s="256">
        <v>0.2</v>
      </c>
      <c r="AN855" s="256" t="s">
        <v>34</v>
      </c>
      <c r="AO855" s="254" t="s">
        <v>1324</v>
      </c>
      <c r="AP855" s="257" t="s">
        <v>13</v>
      </c>
      <c r="AQ855" s="263" t="s">
        <v>668</v>
      </c>
      <c r="AR855" s="256">
        <v>3.4999999999999996E-3</v>
      </c>
      <c r="AS855" s="256">
        <v>3.4999999999999996E-3</v>
      </c>
      <c r="AT855" s="256"/>
      <c r="AX855" s="508"/>
      <c r="AY855" s="509"/>
      <c r="AZ855" s="509"/>
      <c r="BA855" s="509"/>
      <c r="BB855" s="510"/>
      <c r="BC855" s="509"/>
      <c r="BD855" s="509"/>
      <c r="BE855" s="509"/>
      <c r="BF855" s="509"/>
      <c r="BG855" s="510"/>
      <c r="BH855" s="510"/>
      <c r="BI855" s="511"/>
      <c r="BJ855" s="511"/>
      <c r="BK855" s="511"/>
      <c r="BL855" s="510"/>
      <c r="BM855" s="510"/>
      <c r="BN855" s="510"/>
      <c r="BO855" s="510"/>
      <c r="BP855" s="510"/>
      <c r="BQ855" s="510"/>
      <c r="BR855" s="510"/>
      <c r="BS855" s="510"/>
      <c r="BT855" s="513"/>
      <c r="BU855" s="514"/>
      <c r="BV855" s="512"/>
      <c r="BW855" s="515"/>
    </row>
    <row r="856" spans="2:75" ht="15.75" customHeight="1">
      <c r="B856" s="250" t="s">
        <v>167</v>
      </c>
      <c r="C856" s="251">
        <v>30338659000113</v>
      </c>
      <c r="D856" s="252" t="s">
        <v>13</v>
      </c>
      <c r="E856" s="252" t="s">
        <v>615</v>
      </c>
      <c r="F856" s="252" t="s">
        <v>619</v>
      </c>
      <c r="G856" s="253" t="s">
        <v>34</v>
      </c>
      <c r="H856" s="253" t="s">
        <v>1338</v>
      </c>
      <c r="I856" s="253" t="s">
        <v>34</v>
      </c>
      <c r="J856" s="253" t="s">
        <v>608</v>
      </c>
      <c r="K856" s="254" t="s">
        <v>48</v>
      </c>
      <c r="L856" s="255"/>
      <c r="M856" s="255" t="s">
        <v>1414</v>
      </c>
      <c r="N856" s="254">
        <v>470724</v>
      </c>
      <c r="O856" s="254" t="s">
        <v>1321</v>
      </c>
      <c r="P856" s="258">
        <v>43304</v>
      </c>
      <c r="Q856" s="259">
        <v>22709175.010000002</v>
      </c>
      <c r="R856" s="259">
        <v>25653042.223015867</v>
      </c>
      <c r="S856" s="254">
        <v>31</v>
      </c>
      <c r="T856" s="256">
        <v>0.12440327749084057</v>
      </c>
      <c r="U856" s="256">
        <v>1.6081854493259826</v>
      </c>
      <c r="V856" s="256">
        <v>-0.27037886207066453</v>
      </c>
      <c r="W856" s="256">
        <v>-2.6506169236361106</v>
      </c>
      <c r="X856" s="256">
        <v>-0.30542603503228716</v>
      </c>
      <c r="Y856" s="256">
        <v>-2.3161011075113112</v>
      </c>
      <c r="Z856" s="256">
        <v>-7.9255573265021972E-2</v>
      </c>
      <c r="AA856" s="256">
        <v>-0.4505143721649692</v>
      </c>
      <c r="AB856" s="256">
        <v>0.62415983240941608</v>
      </c>
      <c r="AC856" s="260">
        <v>-0.34563651201846268</v>
      </c>
      <c r="AD856" s="405">
        <v>29661053000135</v>
      </c>
      <c r="AE856" s="257" t="s">
        <v>2206</v>
      </c>
      <c r="AF856" s="257" t="s">
        <v>2109</v>
      </c>
      <c r="AG856" s="261" t="s">
        <v>1432</v>
      </c>
      <c r="AH856" s="261" t="s">
        <v>2113</v>
      </c>
      <c r="AI856" s="261">
        <v>500</v>
      </c>
      <c r="AJ856" s="261">
        <v>500</v>
      </c>
      <c r="AK856" s="261">
        <v>500</v>
      </c>
      <c r="AL856" s="256">
        <v>1.8000000000000002E-2</v>
      </c>
      <c r="AM856" s="256">
        <v>0.2</v>
      </c>
      <c r="AN856" s="256" t="s">
        <v>34</v>
      </c>
      <c r="AO856" s="254" t="s">
        <v>1324</v>
      </c>
      <c r="AP856" s="257" t="s">
        <v>13</v>
      </c>
      <c r="AQ856" s="263" t="s">
        <v>668</v>
      </c>
      <c r="AR856" s="256">
        <v>3.5999999999999995E-3</v>
      </c>
      <c r="AS856" s="256">
        <v>3.5999999999999995E-3</v>
      </c>
      <c r="AT856" s="256"/>
      <c r="AX856" s="508"/>
      <c r="AY856" s="509"/>
      <c r="AZ856" s="509"/>
      <c r="BA856" s="509"/>
      <c r="BB856" s="510"/>
      <c r="BC856" s="509"/>
      <c r="BD856" s="509"/>
      <c r="BE856" s="509"/>
      <c r="BF856" s="509"/>
      <c r="BG856" s="510"/>
      <c r="BH856" s="510"/>
      <c r="BI856" s="511"/>
      <c r="BJ856" s="511"/>
      <c r="BK856" s="511"/>
      <c r="BL856" s="510"/>
      <c r="BM856" s="510"/>
      <c r="BN856" s="510"/>
      <c r="BO856" s="510"/>
      <c r="BP856" s="510"/>
      <c r="BQ856" s="510"/>
      <c r="BR856" s="510"/>
      <c r="BS856" s="510"/>
      <c r="BT856" s="513"/>
      <c r="BU856" s="514"/>
      <c r="BV856" s="512"/>
      <c r="BW856" s="515"/>
    </row>
    <row r="857" spans="2:75" ht="15.75" customHeight="1">
      <c r="B857" s="250" t="s">
        <v>548</v>
      </c>
      <c r="C857" s="251">
        <v>43214601000100</v>
      </c>
      <c r="D857" s="252" t="s">
        <v>13</v>
      </c>
      <c r="E857" s="252" t="s">
        <v>615</v>
      </c>
      <c r="F857" s="252" t="s">
        <v>619</v>
      </c>
      <c r="G857" s="253" t="s">
        <v>34</v>
      </c>
      <c r="H857" s="253" t="s">
        <v>1338</v>
      </c>
      <c r="I857" s="253" t="s">
        <v>34</v>
      </c>
      <c r="J857" s="253"/>
      <c r="K857" s="254" t="s">
        <v>48</v>
      </c>
      <c r="L857" s="255"/>
      <c r="M857" s="255" t="s">
        <v>34</v>
      </c>
      <c r="N857" s="254">
        <v>616011</v>
      </c>
      <c r="O857" s="254" t="s">
        <v>1321</v>
      </c>
      <c r="P857" s="258">
        <v>44469</v>
      </c>
      <c r="Q857" s="259">
        <v>260009482.44999999</v>
      </c>
      <c r="R857" s="259" t="s">
        <v>1417</v>
      </c>
      <c r="S857" s="254">
        <v>31</v>
      </c>
      <c r="T857" s="256">
        <v>9.5340501088897023E-2</v>
      </c>
      <c r="U857" s="256">
        <v>1.2324852662656018</v>
      </c>
      <c r="V857" s="256" t="s">
        <v>1417</v>
      </c>
      <c r="W857" s="256" t="s">
        <v>1417</v>
      </c>
      <c r="X857" s="256" t="s">
        <v>1417</v>
      </c>
      <c r="Y857" s="256" t="s">
        <v>1417</v>
      </c>
      <c r="Z857" s="256" t="s">
        <v>1417</v>
      </c>
      <c r="AA857" s="256" t="s">
        <v>1417</v>
      </c>
      <c r="AB857" s="256" t="s">
        <v>1417</v>
      </c>
      <c r="AC857" s="260" t="s">
        <v>1417</v>
      </c>
      <c r="AD857" s="405">
        <v>43280179000190</v>
      </c>
      <c r="AE857" s="257" t="s">
        <v>2211</v>
      </c>
      <c r="AF857" s="257" t="s">
        <v>2109</v>
      </c>
      <c r="AG857" s="261" t="s">
        <v>1432</v>
      </c>
      <c r="AH857" s="261" t="s">
        <v>2113</v>
      </c>
      <c r="AI857" s="261">
        <v>500</v>
      </c>
      <c r="AJ857" s="261">
        <v>100</v>
      </c>
      <c r="AK857" s="261">
        <v>100</v>
      </c>
      <c r="AL857" s="256">
        <v>1.95E-2</v>
      </c>
      <c r="AM857" s="256">
        <v>0.2</v>
      </c>
      <c r="AN857" s="256" t="s">
        <v>2127</v>
      </c>
      <c r="AO857" s="254" t="s">
        <v>1324</v>
      </c>
      <c r="AP857" s="257" t="s">
        <v>13</v>
      </c>
      <c r="AQ857" s="263" t="s">
        <v>668</v>
      </c>
      <c r="AR857" s="256">
        <v>6.4993500000000001E-3</v>
      </c>
      <c r="AS857" s="256">
        <v>6.4993500000000001E-3</v>
      </c>
      <c r="AT857" s="256"/>
      <c r="AX857" s="508"/>
      <c r="AY857" s="509"/>
      <c r="AZ857" s="509"/>
      <c r="BA857" s="509"/>
      <c r="BB857" s="510"/>
      <c r="BC857" s="509"/>
      <c r="BD857" s="509"/>
      <c r="BE857" s="509"/>
      <c r="BF857" s="509"/>
      <c r="BG857" s="510"/>
      <c r="BH857" s="510"/>
      <c r="BI857" s="511"/>
      <c r="BJ857" s="511"/>
      <c r="BK857" s="511"/>
      <c r="BL857" s="510"/>
      <c r="BM857" s="510"/>
      <c r="BN857" s="510"/>
      <c r="BO857" s="510"/>
      <c r="BP857" s="510"/>
      <c r="BQ857" s="510"/>
      <c r="BR857" s="510"/>
      <c r="BS857" s="510"/>
      <c r="BT857" s="513"/>
      <c r="BU857" s="514"/>
      <c r="BV857" s="512"/>
      <c r="BW857" s="515"/>
    </row>
    <row r="858" spans="2:75" ht="15.75" customHeight="1">
      <c r="B858" s="250" t="s">
        <v>1548</v>
      </c>
      <c r="C858" s="251">
        <v>23884623000170</v>
      </c>
      <c r="D858" s="252" t="s">
        <v>13</v>
      </c>
      <c r="E858" s="252" t="s">
        <v>615</v>
      </c>
      <c r="F858" s="252" t="s">
        <v>619</v>
      </c>
      <c r="G858" s="253" t="s">
        <v>34</v>
      </c>
      <c r="H858" s="253" t="s">
        <v>1338</v>
      </c>
      <c r="I858" s="253" t="s">
        <v>34</v>
      </c>
      <c r="J858" s="253" t="s">
        <v>611</v>
      </c>
      <c r="K858" s="254" t="s">
        <v>48</v>
      </c>
      <c r="L858" s="255"/>
      <c r="M858" s="255"/>
      <c r="N858" s="254">
        <v>418846</v>
      </c>
      <c r="O858" s="254" t="s">
        <v>1321</v>
      </c>
      <c r="P858" s="258">
        <v>42489</v>
      </c>
      <c r="Q858" s="259">
        <v>45960054.219999999</v>
      </c>
      <c r="R858" s="259">
        <v>133655371.15555559</v>
      </c>
      <c r="S858" s="254">
        <v>31</v>
      </c>
      <c r="T858" s="256">
        <v>-1.2487702951195834E-2</v>
      </c>
      <c r="U858" s="256">
        <v>-0.14046060288444742</v>
      </c>
      <c r="V858" s="256">
        <v>1.7315156385008024E-2</v>
      </c>
      <c r="W858" s="256">
        <v>0.15891345641194685</v>
      </c>
      <c r="X858" s="256">
        <v>3.1385920639354525E-2</v>
      </c>
      <c r="Y858" s="256">
        <v>0.22069921697888328</v>
      </c>
      <c r="Z858" s="256">
        <v>4.1449547838788403E-2</v>
      </c>
      <c r="AA858" s="256">
        <v>0.22650369404127574</v>
      </c>
      <c r="AB858" s="256">
        <v>0.1052569422964284</v>
      </c>
      <c r="AC858" s="260">
        <v>-0.76706864221989601</v>
      </c>
      <c r="AD858" s="405">
        <v>23884627000158</v>
      </c>
      <c r="AE858" s="257" t="s">
        <v>1547</v>
      </c>
      <c r="AF858" s="257" t="s">
        <v>2121</v>
      </c>
      <c r="AG858" s="261" t="s">
        <v>1547</v>
      </c>
      <c r="AH858" s="261" t="s">
        <v>2113</v>
      </c>
      <c r="AI858" s="261">
        <v>50000</v>
      </c>
      <c r="AJ858" s="261">
        <v>50000</v>
      </c>
      <c r="AK858" s="261">
        <v>50000</v>
      </c>
      <c r="AL858" s="256">
        <v>0</v>
      </c>
      <c r="AM858" s="256" t="s">
        <v>34</v>
      </c>
      <c r="AN858" s="256" t="s">
        <v>64</v>
      </c>
      <c r="AO858" s="254" t="s">
        <v>1324</v>
      </c>
      <c r="AP858" s="257" t="s">
        <v>13</v>
      </c>
      <c r="AQ858" s="263" t="s">
        <v>664</v>
      </c>
      <c r="AR858" s="256" t="s">
        <v>34</v>
      </c>
      <c r="AS858" s="256" t="s">
        <v>34</v>
      </c>
      <c r="AT858" s="256"/>
      <c r="AX858" s="508"/>
      <c r="AY858" s="509"/>
      <c r="AZ858" s="509"/>
      <c r="BA858" s="509"/>
      <c r="BB858" s="510"/>
      <c r="BC858" s="509"/>
      <c r="BD858" s="509"/>
      <c r="BE858" s="509"/>
      <c r="BF858" s="509"/>
      <c r="BG858" s="510"/>
      <c r="BH858" s="510"/>
      <c r="BI858" s="511"/>
      <c r="BJ858" s="511"/>
      <c r="BK858" s="511"/>
      <c r="BL858" s="510"/>
      <c r="BM858" s="510"/>
      <c r="BN858" s="510"/>
      <c r="BO858" s="510"/>
      <c r="BP858" s="510"/>
      <c r="BQ858" s="510"/>
      <c r="BR858" s="510"/>
      <c r="BS858" s="510"/>
      <c r="BT858" s="513"/>
      <c r="BU858" s="514"/>
      <c r="BV858" s="512"/>
      <c r="BW858" s="515"/>
    </row>
    <row r="859" spans="2:75" ht="15.75" customHeight="1">
      <c r="B859" s="250" t="s">
        <v>1552</v>
      </c>
      <c r="C859" s="251">
        <v>13000859000142</v>
      </c>
      <c r="D859" s="252" t="s">
        <v>13</v>
      </c>
      <c r="E859" s="252" t="s">
        <v>615</v>
      </c>
      <c r="F859" s="252" t="s">
        <v>619</v>
      </c>
      <c r="G859" s="253" t="s">
        <v>34</v>
      </c>
      <c r="H859" s="253" t="s">
        <v>865</v>
      </c>
      <c r="I859" s="253" t="s">
        <v>34</v>
      </c>
      <c r="J859" s="253" t="s">
        <v>611</v>
      </c>
      <c r="K859" s="254" t="s">
        <v>48</v>
      </c>
      <c r="L859" s="255"/>
      <c r="M859" s="255"/>
      <c r="N859" s="254">
        <v>271276</v>
      </c>
      <c r="O859" s="254" t="s">
        <v>1324</v>
      </c>
      <c r="P859" s="258">
        <v>40641</v>
      </c>
      <c r="Q859" s="259">
        <v>534628526.38</v>
      </c>
      <c r="R859" s="259">
        <v>478315821.59567457</v>
      </c>
      <c r="S859" s="254">
        <v>31</v>
      </c>
      <c r="T859" s="256">
        <v>0.18257367986333639</v>
      </c>
      <c r="U859" s="256">
        <v>2.0535729625103389</v>
      </c>
      <c r="V859" s="256">
        <v>0.22956924332075546</v>
      </c>
      <c r="W859" s="256">
        <v>2.1069195755900525</v>
      </c>
      <c r="X859" s="256">
        <v>0.33337048455562623</v>
      </c>
      <c r="Y859" s="256">
        <v>2.3441913892130053</v>
      </c>
      <c r="Z859" s="256">
        <v>0.55348862477133509</v>
      </c>
      <c r="AA859" s="256">
        <v>3.0245738411460925</v>
      </c>
      <c r="AB859" s="256">
        <v>6.264077162265895E-2</v>
      </c>
      <c r="AC859" s="260">
        <v>1.6804103962938861</v>
      </c>
      <c r="AD859" s="405">
        <v>17137326000168</v>
      </c>
      <c r="AE859" s="257" t="s">
        <v>1547</v>
      </c>
      <c r="AF859" s="257" t="s">
        <v>2121</v>
      </c>
      <c r="AG859" s="261" t="s">
        <v>1547</v>
      </c>
      <c r="AH859" s="261" t="s">
        <v>2113</v>
      </c>
      <c r="AI859" s="261">
        <v>50000</v>
      </c>
      <c r="AJ859" s="261">
        <v>50000</v>
      </c>
      <c r="AK859" s="261">
        <v>50000</v>
      </c>
      <c r="AL859" s="256">
        <v>0</v>
      </c>
      <c r="AM859" s="256" t="s">
        <v>34</v>
      </c>
      <c r="AN859" s="256" t="s">
        <v>64</v>
      </c>
      <c r="AO859" s="254" t="s">
        <v>1324</v>
      </c>
      <c r="AP859" s="257" t="s">
        <v>13</v>
      </c>
      <c r="AQ859" s="263" t="s">
        <v>664</v>
      </c>
      <c r="AR859" s="256" t="s">
        <v>34</v>
      </c>
      <c r="AS859" s="256" t="s">
        <v>34</v>
      </c>
      <c r="AT859" s="256"/>
      <c r="AX859" s="508"/>
      <c r="AY859" s="509"/>
      <c r="AZ859" s="509"/>
      <c r="BA859" s="509"/>
      <c r="BB859" s="510"/>
      <c r="BC859" s="509"/>
      <c r="BD859" s="509"/>
      <c r="BE859" s="509"/>
      <c r="BF859" s="509"/>
      <c r="BG859" s="510"/>
      <c r="BH859" s="510"/>
      <c r="BI859" s="511"/>
      <c r="BJ859" s="511"/>
      <c r="BK859" s="511"/>
      <c r="BL859" s="510"/>
      <c r="BM859" s="510"/>
      <c r="BN859" s="510"/>
      <c r="BO859" s="510"/>
      <c r="BP859" s="510"/>
      <c r="BQ859" s="510"/>
      <c r="BR859" s="510"/>
      <c r="BS859" s="510"/>
      <c r="BT859" s="513"/>
      <c r="BU859" s="514"/>
      <c r="BV859" s="512"/>
      <c r="BW859" s="515"/>
    </row>
    <row r="860" spans="2:75" ht="15.75" customHeight="1">
      <c r="B860" s="250" t="s">
        <v>1554</v>
      </c>
      <c r="C860" s="251">
        <v>29236579000178</v>
      </c>
      <c r="D860" s="252" t="s">
        <v>13</v>
      </c>
      <c r="E860" s="252" t="s">
        <v>615</v>
      </c>
      <c r="F860" s="252" t="s">
        <v>619</v>
      </c>
      <c r="G860" s="253" t="s">
        <v>34</v>
      </c>
      <c r="H860" s="253" t="s">
        <v>865</v>
      </c>
      <c r="I860" s="253" t="s">
        <v>34</v>
      </c>
      <c r="J860" s="253" t="s">
        <v>611</v>
      </c>
      <c r="K860" s="254" t="s">
        <v>48</v>
      </c>
      <c r="L860" s="255"/>
      <c r="M860" s="255"/>
      <c r="N860" s="254">
        <v>469742</v>
      </c>
      <c r="O860" s="254" t="s">
        <v>1321</v>
      </c>
      <c r="P860" s="258">
        <v>43280</v>
      </c>
      <c r="Q860" s="259">
        <v>1915718624.5799999</v>
      </c>
      <c r="R860" s="259">
        <v>1832439616.4789701</v>
      </c>
      <c r="S860" s="254">
        <v>31</v>
      </c>
      <c r="T860" s="256">
        <v>0.20860402899738162</v>
      </c>
      <c r="U860" s="256">
        <v>2.3463600785195742</v>
      </c>
      <c r="V860" s="256">
        <v>0.24424470415376498</v>
      </c>
      <c r="W860" s="256">
        <v>2.2416066759289741</v>
      </c>
      <c r="X860" s="256">
        <v>0.3306070148004332</v>
      </c>
      <c r="Y860" s="256">
        <v>2.324759248982867</v>
      </c>
      <c r="Z860" s="256">
        <v>0.42452883346630843</v>
      </c>
      <c r="AA860" s="256">
        <v>2.3198648482521822</v>
      </c>
      <c r="AB860" s="256">
        <v>5.7244909774272337E-2</v>
      </c>
      <c r="AC860" s="260">
        <v>2.0405234187400749</v>
      </c>
      <c r="AD860" s="405">
        <v>29236572000156</v>
      </c>
      <c r="AE860" s="257" t="s">
        <v>1547</v>
      </c>
      <c r="AF860" s="257" t="s">
        <v>2121</v>
      </c>
      <c r="AG860" s="261" t="s">
        <v>1547</v>
      </c>
      <c r="AH860" s="261" t="s">
        <v>2110</v>
      </c>
      <c r="AI860" s="261">
        <v>200000</v>
      </c>
      <c r="AJ860" s="261">
        <v>50000</v>
      </c>
      <c r="AK860" s="261">
        <v>200000</v>
      </c>
      <c r="AL860" s="256">
        <v>0</v>
      </c>
      <c r="AM860" s="256" t="s">
        <v>34</v>
      </c>
      <c r="AN860" s="256" t="s">
        <v>64</v>
      </c>
      <c r="AO860" s="254" t="s">
        <v>1324</v>
      </c>
      <c r="AP860" s="257" t="s">
        <v>13</v>
      </c>
      <c r="AQ860" s="263" t="s">
        <v>664</v>
      </c>
      <c r="AR860" s="256" t="s">
        <v>34</v>
      </c>
      <c r="AS860" s="256" t="s">
        <v>34</v>
      </c>
      <c r="AT860" s="256"/>
      <c r="AX860" s="508"/>
      <c r="AY860" s="509"/>
      <c r="AZ860" s="509"/>
      <c r="BA860" s="509"/>
      <c r="BB860" s="510"/>
      <c r="BC860" s="509"/>
      <c r="BD860" s="509"/>
      <c r="BE860" s="509"/>
      <c r="BF860" s="509"/>
      <c r="BG860" s="510"/>
      <c r="BH860" s="510"/>
      <c r="BI860" s="511"/>
      <c r="BJ860" s="511"/>
      <c r="BK860" s="511"/>
      <c r="BL860" s="510"/>
      <c r="BM860" s="510"/>
      <c r="BN860" s="510"/>
      <c r="BO860" s="510"/>
      <c r="BP860" s="510"/>
      <c r="BQ860" s="510"/>
      <c r="BR860" s="510"/>
      <c r="BS860" s="510"/>
      <c r="BT860" s="513"/>
      <c r="BU860" s="514"/>
      <c r="BV860" s="512"/>
      <c r="BW860" s="515"/>
    </row>
    <row r="861" spans="2:75" ht="15.75" customHeight="1">
      <c r="B861" s="250" t="s">
        <v>1570</v>
      </c>
      <c r="C861" s="251">
        <v>28971376000162</v>
      </c>
      <c r="D861" s="252" t="s">
        <v>13</v>
      </c>
      <c r="E861" s="252" t="s">
        <v>615</v>
      </c>
      <c r="F861" s="252" t="s">
        <v>619</v>
      </c>
      <c r="G861" s="253" t="s">
        <v>34</v>
      </c>
      <c r="H861" s="253" t="s">
        <v>1337</v>
      </c>
      <c r="I861" s="253" t="s">
        <v>34</v>
      </c>
      <c r="J861" s="253" t="s">
        <v>611</v>
      </c>
      <c r="K861" s="254" t="s">
        <v>48</v>
      </c>
      <c r="L861" s="255"/>
      <c r="M861" s="255"/>
      <c r="N861" s="254">
        <v>462349</v>
      </c>
      <c r="O861" s="254" t="s">
        <v>1321</v>
      </c>
      <c r="P861" s="258">
        <v>43188</v>
      </c>
      <c r="Q861" s="259">
        <v>20725639.780000001</v>
      </c>
      <c r="R861" s="259">
        <v>16765394.54404762</v>
      </c>
      <c r="S861" s="254">
        <v>31</v>
      </c>
      <c r="T861" s="256">
        <v>0.16780210518988281</v>
      </c>
      <c r="U861" s="256">
        <v>1.8874235679984173</v>
      </c>
      <c r="V861" s="256">
        <v>0.2057337681452982</v>
      </c>
      <c r="W861" s="256">
        <v>1.8881645345652636</v>
      </c>
      <c r="X861" s="256">
        <v>0.28482162174016268</v>
      </c>
      <c r="Y861" s="256">
        <v>2.0028059593667011</v>
      </c>
      <c r="Z861" s="256">
        <v>0.41764521173222913</v>
      </c>
      <c r="AA861" s="256">
        <v>2.2822488588759917</v>
      </c>
      <c r="AB861" s="256">
        <v>3.4310711015877161E-2</v>
      </c>
      <c r="AC861" s="260">
        <v>2.4569309691377672</v>
      </c>
      <c r="AD861" s="405">
        <v>28653925000150</v>
      </c>
      <c r="AE861" s="257" t="s">
        <v>1547</v>
      </c>
      <c r="AF861" s="257" t="s">
        <v>2121</v>
      </c>
      <c r="AG861" s="261" t="s">
        <v>1547</v>
      </c>
      <c r="AH861" s="261" t="s">
        <v>2110</v>
      </c>
      <c r="AI861" s="261">
        <v>200000</v>
      </c>
      <c r="AJ861" s="261">
        <v>50000</v>
      </c>
      <c r="AK861" s="261">
        <v>200000</v>
      </c>
      <c r="AL861" s="256">
        <v>0</v>
      </c>
      <c r="AM861" s="256" t="s">
        <v>34</v>
      </c>
      <c r="AN861" s="256" t="s">
        <v>64</v>
      </c>
      <c r="AO861" s="254" t="s">
        <v>1324</v>
      </c>
      <c r="AP861" s="257" t="s">
        <v>13</v>
      </c>
      <c r="AQ861" s="263" t="s">
        <v>664</v>
      </c>
      <c r="AR861" s="256" t="s">
        <v>34</v>
      </c>
      <c r="AS861" s="256" t="s">
        <v>34</v>
      </c>
      <c r="AT861" s="256"/>
      <c r="AX861" s="508"/>
      <c r="AY861" s="509"/>
      <c r="AZ861" s="509"/>
      <c r="BA861" s="509"/>
      <c r="BB861" s="510"/>
      <c r="BC861" s="509"/>
      <c r="BD861" s="509"/>
      <c r="BE861" s="509"/>
      <c r="BF861" s="509"/>
      <c r="BG861" s="510"/>
      <c r="BH861" s="510"/>
      <c r="BI861" s="511"/>
      <c r="BJ861" s="511"/>
      <c r="BK861" s="511"/>
      <c r="BL861" s="510"/>
      <c r="BM861" s="510"/>
      <c r="BN861" s="510"/>
      <c r="BO861" s="510"/>
      <c r="BP861" s="510"/>
      <c r="BQ861" s="510"/>
      <c r="BR861" s="510"/>
      <c r="BS861" s="510"/>
      <c r="BT861" s="513"/>
      <c r="BU861" s="514"/>
      <c r="BV861" s="512"/>
      <c r="BW861" s="515"/>
    </row>
    <row r="862" spans="2:75" ht="15.75" customHeight="1">
      <c r="B862" s="250" t="s">
        <v>195</v>
      </c>
      <c r="C862" s="251">
        <v>40102324000155</v>
      </c>
      <c r="D862" s="252" t="s">
        <v>13</v>
      </c>
      <c r="E862" s="252" t="s">
        <v>615</v>
      </c>
      <c r="F862" s="252" t="s">
        <v>619</v>
      </c>
      <c r="G862" s="253" t="s">
        <v>34</v>
      </c>
      <c r="H862" s="253" t="s">
        <v>1338</v>
      </c>
      <c r="I862" s="253" t="s">
        <v>34</v>
      </c>
      <c r="J862" s="253"/>
      <c r="K862" s="254" t="s">
        <v>48</v>
      </c>
      <c r="L862" s="255"/>
      <c r="M862" s="255" t="s">
        <v>34</v>
      </c>
      <c r="N862" s="254">
        <v>568740</v>
      </c>
      <c r="O862" s="254" t="s">
        <v>1321</v>
      </c>
      <c r="P862" s="258">
        <v>44195</v>
      </c>
      <c r="Q862" s="259">
        <v>30183773.010000002</v>
      </c>
      <c r="R862" s="259">
        <v>53967686.445793681</v>
      </c>
      <c r="S862" s="254">
        <v>31</v>
      </c>
      <c r="T862" s="256">
        <v>5.7688194241140023E-2</v>
      </c>
      <c r="U862" s="256">
        <v>0.74574654661588757</v>
      </c>
      <c r="V862" s="256">
        <v>3.0426378710212587E-2</v>
      </c>
      <c r="W862" s="256">
        <v>0.29828024911641615</v>
      </c>
      <c r="X862" s="256" t="s">
        <v>1417</v>
      </c>
      <c r="Y862" s="256" t="s">
        <v>1417</v>
      </c>
      <c r="Z862" s="256" t="s">
        <v>1417</v>
      </c>
      <c r="AA862" s="256" t="s">
        <v>1417</v>
      </c>
      <c r="AB862" s="256">
        <v>8.0136674981598474E-2</v>
      </c>
      <c r="AC862" s="260">
        <v>-0.79832344999516525</v>
      </c>
      <c r="AD862" s="405">
        <v>40102362000108</v>
      </c>
      <c r="AE862" s="257" t="s">
        <v>2214</v>
      </c>
      <c r="AF862" s="257" t="s">
        <v>2109</v>
      </c>
      <c r="AG862" s="261" t="s">
        <v>1432</v>
      </c>
      <c r="AH862" s="261" t="s">
        <v>2113</v>
      </c>
      <c r="AI862" s="261">
        <v>500</v>
      </c>
      <c r="AJ862" s="261">
        <v>100</v>
      </c>
      <c r="AK862" s="261">
        <v>100</v>
      </c>
      <c r="AL862" s="256">
        <v>1.4199999999999999E-2</v>
      </c>
      <c r="AM862" s="256">
        <v>0.25</v>
      </c>
      <c r="AN862" s="256" t="s">
        <v>34</v>
      </c>
      <c r="AO862" s="254" t="s">
        <v>1324</v>
      </c>
      <c r="AP862" s="257" t="s">
        <v>13</v>
      </c>
      <c r="AQ862" s="263" t="s">
        <v>664</v>
      </c>
      <c r="AR862" s="256">
        <v>4.7333333333333333E-3</v>
      </c>
      <c r="AS862" s="256">
        <v>4.7333333333333333E-3</v>
      </c>
      <c r="AT862" s="256"/>
      <c r="AX862" s="508"/>
      <c r="AY862" s="509"/>
      <c r="AZ862" s="509"/>
      <c r="BA862" s="509"/>
      <c r="BB862" s="510"/>
      <c r="BC862" s="509"/>
      <c r="BD862" s="509"/>
      <c r="BE862" s="509"/>
      <c r="BF862" s="509"/>
      <c r="BG862" s="510"/>
      <c r="BH862" s="510"/>
      <c r="BI862" s="511"/>
      <c r="BJ862" s="511"/>
      <c r="BK862" s="511"/>
      <c r="BL862" s="510"/>
      <c r="BM862" s="510"/>
      <c r="BN862" s="510"/>
      <c r="BO862" s="510"/>
      <c r="BP862" s="510"/>
      <c r="BQ862" s="510"/>
      <c r="BR862" s="510"/>
      <c r="BS862" s="510"/>
      <c r="BT862" s="513"/>
      <c r="BU862" s="514"/>
      <c r="BV862" s="512"/>
      <c r="BW862" s="515"/>
    </row>
    <row r="863" spans="2:75" ht="15.75" customHeight="1">
      <c r="B863" s="250" t="s">
        <v>199</v>
      </c>
      <c r="C863" s="251">
        <v>32320740000100</v>
      </c>
      <c r="D863" s="252" t="s">
        <v>13</v>
      </c>
      <c r="E863" s="252" t="s">
        <v>615</v>
      </c>
      <c r="F863" s="252" t="s">
        <v>619</v>
      </c>
      <c r="G863" s="253" t="s">
        <v>34</v>
      </c>
      <c r="H863" s="253" t="s">
        <v>1338</v>
      </c>
      <c r="I863" s="253" t="s">
        <v>34</v>
      </c>
      <c r="J863" s="253"/>
      <c r="K863" s="254" t="s">
        <v>48</v>
      </c>
      <c r="L863" s="255"/>
      <c r="M863" s="255" t="s">
        <v>34</v>
      </c>
      <c r="N863" s="254">
        <v>503703</v>
      </c>
      <c r="O863" s="254" t="s">
        <v>1321</v>
      </c>
      <c r="P863" s="258">
        <v>43677</v>
      </c>
      <c r="Q863" s="259">
        <v>9307129.4399999995</v>
      </c>
      <c r="R863" s="259">
        <v>6596208.8862301558</v>
      </c>
      <c r="S863" s="254">
        <v>31</v>
      </c>
      <c r="T863" s="256">
        <v>7.7320001902928315E-2</v>
      </c>
      <c r="U863" s="256">
        <v>0.99953075602290098</v>
      </c>
      <c r="V863" s="256">
        <v>2.1324959637735175E-2</v>
      </c>
      <c r="W863" s="256">
        <v>0.20905590946996808</v>
      </c>
      <c r="X863" s="256">
        <v>4.7142529765189511E-2</v>
      </c>
      <c r="Y863" s="256">
        <v>0.35749036714731286</v>
      </c>
      <c r="Z863" s="256">
        <v>0.13692275341802818</v>
      </c>
      <c r="AA863" s="256">
        <v>0.77831331917758917</v>
      </c>
      <c r="AB863" s="256">
        <v>7.9948755856159223E-2</v>
      </c>
      <c r="AC863" s="260">
        <v>-0.91132248571937946</v>
      </c>
      <c r="AD863" s="405">
        <v>21805389000112</v>
      </c>
      <c r="AE863" s="257" t="s">
        <v>2239</v>
      </c>
      <c r="AF863" s="257" t="s">
        <v>2112</v>
      </c>
      <c r="AG863" s="261" t="s">
        <v>59</v>
      </c>
      <c r="AH863" s="261" t="s">
        <v>2113</v>
      </c>
      <c r="AI863" s="261">
        <v>1000</v>
      </c>
      <c r="AJ863" s="261">
        <v>1000</v>
      </c>
      <c r="AK863" s="261">
        <v>1000</v>
      </c>
      <c r="AL863" s="256">
        <v>0.02</v>
      </c>
      <c r="AM863" s="256">
        <v>0.2</v>
      </c>
      <c r="AN863" s="256" t="s">
        <v>64</v>
      </c>
      <c r="AO863" s="254" t="s">
        <v>1324</v>
      </c>
      <c r="AP863" s="257" t="s">
        <v>13</v>
      </c>
      <c r="AQ863" s="263" t="s">
        <v>664</v>
      </c>
      <c r="AR863" s="256">
        <v>4.0000000000000001E-3</v>
      </c>
      <c r="AS863" s="256">
        <v>4.0000000000000001E-3</v>
      </c>
      <c r="AT863" s="256"/>
      <c r="AX863" s="508"/>
      <c r="AY863" s="509"/>
      <c r="AZ863" s="509"/>
      <c r="BA863" s="509"/>
      <c r="BB863" s="510"/>
      <c r="BC863" s="509"/>
      <c r="BD863" s="509"/>
      <c r="BE863" s="509"/>
      <c r="BF863" s="509"/>
      <c r="BG863" s="510"/>
      <c r="BH863" s="510"/>
      <c r="BI863" s="511"/>
      <c r="BJ863" s="511"/>
      <c r="BK863" s="511"/>
      <c r="BL863" s="510"/>
      <c r="BM863" s="510"/>
      <c r="BN863" s="510"/>
      <c r="BO863" s="510"/>
      <c r="BP863" s="510"/>
      <c r="BQ863" s="510"/>
      <c r="BR863" s="510"/>
      <c r="BS863" s="510"/>
      <c r="BT863" s="513"/>
      <c r="BU863" s="514"/>
      <c r="BV863" s="512"/>
      <c r="BW863" s="515"/>
    </row>
    <row r="864" spans="2:75" ht="15.75" customHeight="1">
      <c r="B864" s="250" t="s">
        <v>513</v>
      </c>
      <c r="C864" s="251">
        <v>9394243000126</v>
      </c>
      <c r="D864" s="252" t="s">
        <v>13</v>
      </c>
      <c r="E864" s="252" t="s">
        <v>615</v>
      </c>
      <c r="F864" s="252" t="s">
        <v>619</v>
      </c>
      <c r="G864" s="253" t="s">
        <v>34</v>
      </c>
      <c r="H864" s="253" t="s">
        <v>1337</v>
      </c>
      <c r="I864" s="253" t="s">
        <v>34</v>
      </c>
      <c r="J864" s="253"/>
      <c r="K864" s="254" t="s">
        <v>48</v>
      </c>
      <c r="L864" s="255"/>
      <c r="M864" s="255" t="s">
        <v>1414</v>
      </c>
      <c r="N864" s="254">
        <v>235261</v>
      </c>
      <c r="O864" s="254" t="s">
        <v>1321</v>
      </c>
      <c r="P864" s="258">
        <v>40086</v>
      </c>
      <c r="Q864" s="259">
        <v>20886679.73</v>
      </c>
      <c r="R864" s="259">
        <v>27705310.267936509</v>
      </c>
      <c r="S864" s="254">
        <v>31</v>
      </c>
      <c r="T864" s="256">
        <v>0.10781025174003656</v>
      </c>
      <c r="U864" s="256">
        <v>1.3936841667958737</v>
      </c>
      <c r="V864" s="256">
        <v>8.8677287886694822E-2</v>
      </c>
      <c r="W864" s="256">
        <v>0.8693339346668072</v>
      </c>
      <c r="X864" s="256">
        <v>0.13169858730065753</v>
      </c>
      <c r="Y864" s="256">
        <v>0.99869431193867608</v>
      </c>
      <c r="Z864" s="256">
        <v>0.18781399786520092</v>
      </c>
      <c r="AA864" s="256">
        <v>1.0675956509594291</v>
      </c>
      <c r="AB864" s="256">
        <v>4.0125765810945534E-2</v>
      </c>
      <c r="AC864" s="260">
        <v>-0.28340012159919398</v>
      </c>
      <c r="AD864" s="405">
        <v>0</v>
      </c>
      <c r="AE864" s="257" t="s">
        <v>2241</v>
      </c>
      <c r="AF864" s="257" t="s">
        <v>2109</v>
      </c>
      <c r="AG864" s="261" t="s">
        <v>1432</v>
      </c>
      <c r="AH864" s="261" t="s">
        <v>2113</v>
      </c>
      <c r="AI864" s="261">
        <v>1000</v>
      </c>
      <c r="AJ864" s="261">
        <v>1000</v>
      </c>
      <c r="AK864" s="261">
        <v>1000</v>
      </c>
      <c r="AL864" s="256">
        <v>1.15E-2</v>
      </c>
      <c r="AM864" s="256" t="s">
        <v>34</v>
      </c>
      <c r="AN864" s="256" t="s">
        <v>2127</v>
      </c>
      <c r="AO864" s="254" t="s">
        <v>1324</v>
      </c>
      <c r="AP864" s="257" t="s">
        <v>13</v>
      </c>
      <c r="AQ864" s="263" t="s">
        <v>686</v>
      </c>
      <c r="AR864" s="256">
        <v>3.0666666666666668E-3</v>
      </c>
      <c r="AS864" s="256">
        <v>3.0666666666666668E-3</v>
      </c>
      <c r="AT864" s="256"/>
      <c r="AX864" s="508"/>
      <c r="AY864" s="509"/>
      <c r="AZ864" s="509"/>
      <c r="BA864" s="509"/>
      <c r="BB864" s="510"/>
      <c r="BC864" s="509"/>
      <c r="BD864" s="509"/>
      <c r="BE864" s="509"/>
      <c r="BF864" s="509"/>
      <c r="BG864" s="510"/>
      <c r="BH864" s="510"/>
      <c r="BI864" s="511"/>
      <c r="BJ864" s="511"/>
      <c r="BK864" s="511"/>
      <c r="BL864" s="510"/>
      <c r="BM864" s="510"/>
      <c r="BN864" s="510"/>
      <c r="BO864" s="510"/>
      <c r="BP864" s="510"/>
      <c r="BQ864" s="510"/>
      <c r="BR864" s="510"/>
      <c r="BS864" s="510"/>
      <c r="BT864" s="513"/>
      <c r="BU864" s="514"/>
      <c r="BV864" s="512"/>
      <c r="BW864" s="515"/>
    </row>
    <row r="865" spans="2:75" ht="15.75" customHeight="1">
      <c r="B865" s="250" t="s">
        <v>937</v>
      </c>
      <c r="C865" s="251">
        <v>10941848000179</v>
      </c>
      <c r="D865" s="252" t="s">
        <v>13</v>
      </c>
      <c r="E865" s="252" t="s">
        <v>615</v>
      </c>
      <c r="F865" s="252" t="s">
        <v>619</v>
      </c>
      <c r="G865" s="253" t="s">
        <v>34</v>
      </c>
      <c r="H865" s="253" t="s">
        <v>1337</v>
      </c>
      <c r="I865" s="253" t="s">
        <v>34</v>
      </c>
      <c r="J865" s="253"/>
      <c r="K865" s="254" t="s">
        <v>48</v>
      </c>
      <c r="L865" s="255"/>
      <c r="M865" s="255" t="s">
        <v>1414</v>
      </c>
      <c r="N865" s="254">
        <v>269026</v>
      </c>
      <c r="O865" s="254" t="s">
        <v>1321</v>
      </c>
      <c r="P865" s="258">
        <v>40604</v>
      </c>
      <c r="Q865" s="259">
        <v>299797749.47000003</v>
      </c>
      <c r="R865" s="259">
        <v>440555441.32940471</v>
      </c>
      <c r="S865" s="254">
        <v>31</v>
      </c>
      <c r="T865" s="256">
        <v>0.13633276451932974</v>
      </c>
      <c r="U865" s="256">
        <v>1.7624002565568602</v>
      </c>
      <c r="V865" s="256">
        <v>0.16557118500293666</v>
      </c>
      <c r="W865" s="256">
        <v>1.6231512392435843</v>
      </c>
      <c r="X865" s="256">
        <v>0.20903897048067033</v>
      </c>
      <c r="Y865" s="256">
        <v>1.585180487289251</v>
      </c>
      <c r="Z865" s="256">
        <v>0.27365621869166112</v>
      </c>
      <c r="AA865" s="256">
        <v>1.5555506631774412</v>
      </c>
      <c r="AB865" s="256">
        <v>2.8684467234500612E-2</v>
      </c>
      <c r="AC865" s="260">
        <v>1.970268621252308</v>
      </c>
      <c r="AD865" s="405">
        <v>0</v>
      </c>
      <c r="AE865" s="257" t="s">
        <v>469</v>
      </c>
      <c r="AF865" s="257" t="s">
        <v>469</v>
      </c>
      <c r="AG865" s="261" t="s">
        <v>469</v>
      </c>
      <c r="AH865" s="261" t="s">
        <v>2113</v>
      </c>
      <c r="AI865" s="261">
        <v>1000</v>
      </c>
      <c r="AJ865" s="261">
        <v>1000</v>
      </c>
      <c r="AK865" s="261">
        <v>1000</v>
      </c>
      <c r="AL865" s="256">
        <v>9.0000000000000011E-3</v>
      </c>
      <c r="AM865" s="256">
        <v>0.1</v>
      </c>
      <c r="AN865" s="256" t="s">
        <v>64</v>
      </c>
      <c r="AO865" s="254" t="s">
        <v>1324</v>
      </c>
      <c r="AP865" s="257" t="s">
        <v>13</v>
      </c>
      <c r="AQ865" s="263" t="s">
        <v>668</v>
      </c>
      <c r="AR865" s="256">
        <v>2.6666666666666666E-3</v>
      </c>
      <c r="AS865" s="256">
        <v>2.6666666666666666E-3</v>
      </c>
      <c r="AT865" s="256"/>
      <c r="AX865" s="508"/>
      <c r="AY865" s="509"/>
      <c r="AZ865" s="509"/>
      <c r="BA865" s="509"/>
      <c r="BB865" s="510"/>
      <c r="BC865" s="509"/>
      <c r="BD865" s="509"/>
      <c r="BE865" s="509"/>
      <c r="BF865" s="509"/>
      <c r="BG865" s="510"/>
      <c r="BH865" s="510"/>
      <c r="BI865" s="511"/>
      <c r="BJ865" s="511"/>
      <c r="BK865" s="511"/>
      <c r="BL865" s="510"/>
      <c r="BM865" s="510"/>
      <c r="BN865" s="510"/>
      <c r="BO865" s="510"/>
      <c r="BP865" s="510"/>
      <c r="BQ865" s="510"/>
      <c r="BR865" s="510"/>
      <c r="BS865" s="510"/>
      <c r="BT865" s="513"/>
      <c r="BU865" s="514"/>
      <c r="BV865" s="512"/>
      <c r="BW865" s="515"/>
    </row>
    <row r="866" spans="2:75" ht="15.75" customHeight="1">
      <c r="B866" s="250" t="s">
        <v>947</v>
      </c>
      <c r="C866" s="251">
        <v>36728106000153</v>
      </c>
      <c r="D866" s="252" t="s">
        <v>13</v>
      </c>
      <c r="E866" s="252" t="s">
        <v>616</v>
      </c>
      <c r="F866" s="252" t="s">
        <v>619</v>
      </c>
      <c r="G866" s="253" t="s">
        <v>34</v>
      </c>
      <c r="H866" s="253" t="s">
        <v>1337</v>
      </c>
      <c r="I866" s="253" t="s">
        <v>34</v>
      </c>
      <c r="J866" s="253" t="s">
        <v>611</v>
      </c>
      <c r="K866" s="254" t="s">
        <v>48</v>
      </c>
      <c r="L866" s="255"/>
      <c r="M866" s="255" t="s">
        <v>34</v>
      </c>
      <c r="N866" s="254">
        <v>550086</v>
      </c>
      <c r="O866" s="254" t="s">
        <v>1321</v>
      </c>
      <c r="P866" s="258">
        <v>44067</v>
      </c>
      <c r="Q866" s="259">
        <v>41113214.530000001</v>
      </c>
      <c r="R866" s="259">
        <v>45360718.68444445</v>
      </c>
      <c r="S866" s="254">
        <v>31</v>
      </c>
      <c r="T866" s="256">
        <v>6.293204763083593E-2</v>
      </c>
      <c r="U866" s="256">
        <v>0.81353486288696486</v>
      </c>
      <c r="V866" s="256">
        <v>1.4489754777065933E-2</v>
      </c>
      <c r="W866" s="256">
        <v>0.14204804671968174</v>
      </c>
      <c r="X866" s="256">
        <v>4.6854613727684846E-2</v>
      </c>
      <c r="Y866" s="256">
        <v>0.35530704753192927</v>
      </c>
      <c r="Z866" s="256" t="s">
        <v>1417</v>
      </c>
      <c r="AA866" s="256" t="s">
        <v>1417</v>
      </c>
      <c r="AB866" s="256">
        <v>4.6470492604929158E-2</v>
      </c>
      <c r="AC866" s="260">
        <v>-1.7578842807396984</v>
      </c>
      <c r="AD866" s="405">
        <v>36775973000140</v>
      </c>
      <c r="AE866" s="257" t="s">
        <v>2178</v>
      </c>
      <c r="AF866" s="257" t="s">
        <v>2109</v>
      </c>
      <c r="AG866" s="261" t="s">
        <v>1432</v>
      </c>
      <c r="AH866" s="261" t="s">
        <v>2110</v>
      </c>
      <c r="AI866" s="261">
        <v>1000</v>
      </c>
      <c r="AJ866" s="261">
        <v>1000</v>
      </c>
      <c r="AK866" s="261">
        <v>1000</v>
      </c>
      <c r="AL866" s="256">
        <v>0.02</v>
      </c>
      <c r="AM866" s="256">
        <v>0.2</v>
      </c>
      <c r="AN866" s="256" t="s">
        <v>34</v>
      </c>
      <c r="AO866" s="254" t="s">
        <v>1324</v>
      </c>
      <c r="AP866" s="257" t="s">
        <v>13</v>
      </c>
      <c r="AQ866" s="263" t="s">
        <v>668</v>
      </c>
      <c r="AR866" s="256">
        <v>6.6666666666666662E-3</v>
      </c>
      <c r="AS866" s="256">
        <v>6.6666666666666662E-3</v>
      </c>
      <c r="AT866" s="256"/>
      <c r="AX866" s="508"/>
      <c r="AY866" s="509"/>
      <c r="AZ866" s="509"/>
      <c r="BA866" s="509"/>
      <c r="BB866" s="510"/>
      <c r="BC866" s="509"/>
      <c r="BD866" s="509"/>
      <c r="BE866" s="509"/>
      <c r="BF866" s="509"/>
      <c r="BG866" s="510"/>
      <c r="BH866" s="510"/>
      <c r="BI866" s="511"/>
      <c r="BJ866" s="511"/>
      <c r="BK866" s="511"/>
      <c r="BL866" s="510"/>
      <c r="BM866" s="510"/>
      <c r="BN866" s="510"/>
      <c r="BO866" s="510"/>
      <c r="BP866" s="510"/>
      <c r="BQ866" s="510"/>
      <c r="BR866" s="510"/>
      <c r="BS866" s="510"/>
      <c r="BT866" s="513"/>
      <c r="BU866" s="514"/>
      <c r="BV866" s="512"/>
      <c r="BW866" s="515"/>
    </row>
    <row r="867" spans="2:75" ht="15.75" customHeight="1">
      <c r="B867" s="250" t="s">
        <v>207</v>
      </c>
      <c r="C867" s="251">
        <v>1823373000125</v>
      </c>
      <c r="D867" s="252" t="s">
        <v>13</v>
      </c>
      <c r="E867" s="252" t="s">
        <v>615</v>
      </c>
      <c r="F867" s="252" t="s">
        <v>619</v>
      </c>
      <c r="G867" s="253" t="s">
        <v>34</v>
      </c>
      <c r="H867" s="253" t="s">
        <v>1338</v>
      </c>
      <c r="I867" s="253" t="s">
        <v>34</v>
      </c>
      <c r="J867" s="253"/>
      <c r="K867" s="254" t="s">
        <v>48</v>
      </c>
      <c r="L867" s="255"/>
      <c r="M867" s="255" t="s">
        <v>34</v>
      </c>
      <c r="N867" s="254">
        <v>109630</v>
      </c>
      <c r="O867" s="254" t="s">
        <v>1321</v>
      </c>
      <c r="P867" s="258">
        <v>35566</v>
      </c>
      <c r="Q867" s="259">
        <v>632354028.24000001</v>
      </c>
      <c r="R867" s="259">
        <v>526054740.7228967</v>
      </c>
      <c r="S867" s="254">
        <v>31</v>
      </c>
      <c r="T867" s="256">
        <v>0.15841287177855801</v>
      </c>
      <c r="U867" s="256">
        <v>2.0478341127224446</v>
      </c>
      <c r="V867" s="256">
        <v>0.29280052352420061</v>
      </c>
      <c r="W867" s="256">
        <v>2.8704241779814947</v>
      </c>
      <c r="X867" s="256">
        <v>0.26540161286671049</v>
      </c>
      <c r="Y867" s="256">
        <v>2.012588643371203</v>
      </c>
      <c r="Z867" s="256">
        <v>0.45025776177530585</v>
      </c>
      <c r="AA867" s="256">
        <v>2.5594110862122719</v>
      </c>
      <c r="AB867" s="256">
        <v>7.6025679983801525E-2</v>
      </c>
      <c r="AC867" s="260">
        <v>2.1396179962671988</v>
      </c>
      <c r="AD867" s="405">
        <v>17891926000117</v>
      </c>
      <c r="AE867" s="257" t="s">
        <v>2251</v>
      </c>
      <c r="AF867" s="257" t="s">
        <v>2109</v>
      </c>
      <c r="AG867" s="261" t="s">
        <v>1432</v>
      </c>
      <c r="AH867" s="261" t="s">
        <v>2113</v>
      </c>
      <c r="AI867" s="261">
        <v>500</v>
      </c>
      <c r="AJ867" s="261">
        <v>100</v>
      </c>
      <c r="AK867" s="261">
        <v>100</v>
      </c>
      <c r="AL867" s="256">
        <v>1.95E-2</v>
      </c>
      <c r="AM867" s="256">
        <v>0.2</v>
      </c>
      <c r="AN867" s="256" t="s">
        <v>64</v>
      </c>
      <c r="AO867" s="254" t="s">
        <v>1324</v>
      </c>
      <c r="AP867" s="257" t="s">
        <v>13</v>
      </c>
      <c r="AQ867" s="263" t="s">
        <v>664</v>
      </c>
      <c r="AR867" s="256">
        <v>3.9000000000000003E-3</v>
      </c>
      <c r="AS867" s="256">
        <v>3.9000000000000003E-3</v>
      </c>
      <c r="AT867" s="256"/>
      <c r="AX867" s="508"/>
      <c r="AY867" s="509"/>
      <c r="AZ867" s="509"/>
      <c r="BA867" s="509"/>
      <c r="BB867" s="510"/>
      <c r="BC867" s="509"/>
      <c r="BD867" s="509"/>
      <c r="BE867" s="509"/>
      <c r="BF867" s="509"/>
      <c r="BG867" s="510"/>
      <c r="BH867" s="510"/>
      <c r="BI867" s="511"/>
      <c r="BJ867" s="511"/>
      <c r="BK867" s="511"/>
      <c r="BL867" s="510"/>
      <c r="BM867" s="510"/>
      <c r="BN867" s="510"/>
      <c r="BO867" s="510"/>
      <c r="BP867" s="510"/>
      <c r="BQ867" s="510"/>
      <c r="BR867" s="510"/>
      <c r="BS867" s="510"/>
      <c r="BT867" s="513"/>
      <c r="BU867" s="514"/>
      <c r="BV867" s="512"/>
      <c r="BW867" s="515"/>
    </row>
    <row r="868" spans="2:75" ht="15.75" customHeight="1">
      <c r="B868" s="250" t="s">
        <v>952</v>
      </c>
      <c r="C868" s="251">
        <v>19211736000137</v>
      </c>
      <c r="D868" s="252" t="s">
        <v>13</v>
      </c>
      <c r="E868" s="252" t="s">
        <v>615</v>
      </c>
      <c r="F868" s="252" t="s">
        <v>619</v>
      </c>
      <c r="G868" s="253" t="s">
        <v>34</v>
      </c>
      <c r="H868" s="253" t="s">
        <v>1337</v>
      </c>
      <c r="I868" s="253" t="s">
        <v>34</v>
      </c>
      <c r="J868" s="253"/>
      <c r="K868" s="254" t="s">
        <v>48</v>
      </c>
      <c r="L868" s="255"/>
      <c r="M868" s="255" t="s">
        <v>34</v>
      </c>
      <c r="N868" s="254">
        <v>355259</v>
      </c>
      <c r="O868" s="254" t="s">
        <v>1321</v>
      </c>
      <c r="P868" s="258">
        <v>41614</v>
      </c>
      <c r="Q868" s="259">
        <v>32462086.600000001</v>
      </c>
      <c r="R868" s="259">
        <v>41436427.327698387</v>
      </c>
      <c r="S868" s="254">
        <v>31</v>
      </c>
      <c r="T868" s="256">
        <v>0.12182557162810537</v>
      </c>
      <c r="U868" s="256">
        <v>1.5748629425182481</v>
      </c>
      <c r="V868" s="256">
        <v>0.13490067196911171</v>
      </c>
      <c r="W868" s="256">
        <v>1.3224776574352128</v>
      </c>
      <c r="X868" s="256">
        <v>0.17562935567786719</v>
      </c>
      <c r="Y868" s="256">
        <v>1.3318293090305979</v>
      </c>
      <c r="Z868" s="256">
        <v>0.26964327644729202</v>
      </c>
      <c r="AA868" s="256">
        <v>1.532739798511674</v>
      </c>
      <c r="AB868" s="256">
        <v>4.1514876760226471E-2</v>
      </c>
      <c r="AC868" s="260">
        <v>0.72943972728825113</v>
      </c>
      <c r="AD868" s="405">
        <v>19203036000109</v>
      </c>
      <c r="AE868" s="257" t="s">
        <v>2123</v>
      </c>
      <c r="AF868" s="257" t="s">
        <v>2109</v>
      </c>
      <c r="AG868" s="261" t="s">
        <v>1432</v>
      </c>
      <c r="AH868" s="261" t="s">
        <v>2113</v>
      </c>
      <c r="AI868" s="261">
        <v>5000</v>
      </c>
      <c r="AJ868" s="261">
        <v>1000</v>
      </c>
      <c r="AK868" s="261">
        <v>5000</v>
      </c>
      <c r="AL868" s="256">
        <v>0</v>
      </c>
      <c r="AM868" s="256" t="s">
        <v>34</v>
      </c>
      <c r="AN868" s="256" t="s">
        <v>34</v>
      </c>
      <c r="AO868" s="254" t="s">
        <v>1324</v>
      </c>
      <c r="AP868" s="257" t="s">
        <v>13</v>
      </c>
      <c r="AQ868" s="263" t="s">
        <v>664</v>
      </c>
      <c r="AR868" s="256">
        <v>3.7799999999999995E-3</v>
      </c>
      <c r="AS868" s="256">
        <v>3.7799999999999995E-3</v>
      </c>
      <c r="AT868" s="256"/>
      <c r="AX868" s="508"/>
      <c r="AY868" s="509"/>
      <c r="AZ868" s="509"/>
      <c r="BA868" s="509"/>
      <c r="BB868" s="510"/>
      <c r="BC868" s="509"/>
      <c r="BD868" s="509"/>
      <c r="BE868" s="509"/>
      <c r="BF868" s="509"/>
      <c r="BG868" s="510"/>
      <c r="BH868" s="510"/>
      <c r="BI868" s="511"/>
      <c r="BJ868" s="511"/>
      <c r="BK868" s="511"/>
      <c r="BL868" s="510"/>
      <c r="BM868" s="510"/>
      <c r="BN868" s="510"/>
      <c r="BO868" s="510"/>
      <c r="BP868" s="510"/>
      <c r="BQ868" s="510"/>
      <c r="BR868" s="510"/>
      <c r="BS868" s="510"/>
      <c r="BT868" s="513"/>
      <c r="BU868" s="514"/>
      <c r="BV868" s="512"/>
      <c r="BW868" s="515"/>
    </row>
    <row r="869" spans="2:75" ht="15.75" customHeight="1">
      <c r="B869" s="250" t="s">
        <v>1593</v>
      </c>
      <c r="C869" s="251">
        <v>23686459000196</v>
      </c>
      <c r="D869" s="252" t="s">
        <v>13</v>
      </c>
      <c r="E869" s="252" t="s">
        <v>615</v>
      </c>
      <c r="F869" s="252" t="s">
        <v>619</v>
      </c>
      <c r="G869" s="253" t="s">
        <v>34</v>
      </c>
      <c r="H869" s="253" t="s">
        <v>1337</v>
      </c>
      <c r="I869" s="253" t="s">
        <v>34</v>
      </c>
      <c r="J869" s="253"/>
      <c r="K869" s="254" t="s">
        <v>48</v>
      </c>
      <c r="L869" s="255"/>
      <c r="M869" s="255"/>
      <c r="N869" s="254">
        <v>416665</v>
      </c>
      <c r="O869" s="254" t="s">
        <v>1321</v>
      </c>
      <c r="P869" s="258">
        <v>42444</v>
      </c>
      <c r="Q869" s="259">
        <v>40629509.07</v>
      </c>
      <c r="R869" s="259">
        <v>46433349.739365056</v>
      </c>
      <c r="S869" s="254">
        <v>31</v>
      </c>
      <c r="T869" s="256">
        <v>0.12300945575305766</v>
      </c>
      <c r="U869" s="256">
        <v>1.3835997207082575</v>
      </c>
      <c r="V869" s="256">
        <v>0.14649134006608766</v>
      </c>
      <c r="W869" s="256">
        <v>1.3444548040279867</v>
      </c>
      <c r="X869" s="256">
        <v>0.2194113099912971</v>
      </c>
      <c r="Y869" s="256">
        <v>1.5428543539574238</v>
      </c>
      <c r="Z869" s="256">
        <v>0.25851525177994894</v>
      </c>
      <c r="AA869" s="256">
        <v>1.4126730579042308</v>
      </c>
      <c r="AB869" s="256">
        <v>4.2025444719683058E-2</v>
      </c>
      <c r="AC869" s="260">
        <v>0.81326356114260456</v>
      </c>
      <c r="AD869" s="405">
        <v>18981231000199</v>
      </c>
      <c r="AE869" s="257" t="s">
        <v>2252</v>
      </c>
      <c r="AF869" s="257" t="s">
        <v>2118</v>
      </c>
      <c r="AG869" s="261" t="s">
        <v>1433</v>
      </c>
      <c r="AH869" s="261" t="s">
        <v>2113</v>
      </c>
      <c r="AI869" s="261">
        <v>500</v>
      </c>
      <c r="AJ869" s="261">
        <v>100</v>
      </c>
      <c r="AK869" s="261">
        <v>500</v>
      </c>
      <c r="AL869" s="256">
        <v>1.89E-2</v>
      </c>
      <c r="AM869" s="256">
        <v>0.2</v>
      </c>
      <c r="AN869" s="256" t="s">
        <v>64</v>
      </c>
      <c r="AO869" s="254" t="s">
        <v>1324</v>
      </c>
      <c r="AP869" s="257" t="s">
        <v>13</v>
      </c>
      <c r="AQ869" s="263" t="s">
        <v>664</v>
      </c>
      <c r="AR869" s="256">
        <v>3.15E-3</v>
      </c>
      <c r="AS869" s="256">
        <v>3.15E-3</v>
      </c>
      <c r="AT869" s="256"/>
      <c r="AX869" s="508"/>
      <c r="AY869" s="509"/>
      <c r="AZ869" s="509"/>
      <c r="BA869" s="509"/>
      <c r="BB869" s="510"/>
      <c r="BC869" s="509"/>
      <c r="BD869" s="509"/>
      <c r="BE869" s="509"/>
      <c r="BF869" s="509"/>
      <c r="BG869" s="510"/>
      <c r="BH869" s="510"/>
      <c r="BI869" s="511"/>
      <c r="BJ869" s="511"/>
      <c r="BK869" s="511"/>
      <c r="BL869" s="510"/>
      <c r="BM869" s="510"/>
      <c r="BN869" s="510"/>
      <c r="BO869" s="510"/>
      <c r="BP869" s="510"/>
      <c r="BQ869" s="510"/>
      <c r="BR869" s="510"/>
      <c r="BS869" s="510"/>
      <c r="BT869" s="513"/>
      <c r="BU869" s="514"/>
      <c r="BV869" s="512"/>
      <c r="BW869" s="515"/>
    </row>
    <row r="870" spans="2:75" ht="15.75" customHeight="1">
      <c r="B870" s="250" t="s">
        <v>953</v>
      </c>
      <c r="C870" s="251">
        <v>19212817000151</v>
      </c>
      <c r="D870" s="252" t="s">
        <v>13</v>
      </c>
      <c r="E870" s="252" t="s">
        <v>615</v>
      </c>
      <c r="F870" s="252" t="s">
        <v>619</v>
      </c>
      <c r="G870" s="253" t="s">
        <v>34</v>
      </c>
      <c r="H870" s="253" t="s">
        <v>1337</v>
      </c>
      <c r="I870" s="253" t="s">
        <v>34</v>
      </c>
      <c r="J870" s="253"/>
      <c r="K870" s="254" t="s">
        <v>48</v>
      </c>
      <c r="L870" s="255"/>
      <c r="M870" s="255" t="s">
        <v>34</v>
      </c>
      <c r="N870" s="254">
        <v>355283</v>
      </c>
      <c r="O870" s="254" t="s">
        <v>1321</v>
      </c>
      <c r="P870" s="258">
        <v>41614</v>
      </c>
      <c r="Q870" s="259">
        <v>246804487.09999999</v>
      </c>
      <c r="R870" s="259">
        <v>271964990.50892866</v>
      </c>
      <c r="S870" s="254">
        <v>31</v>
      </c>
      <c r="T870" s="256">
        <v>0.12298204474495655</v>
      </c>
      <c r="U870" s="256">
        <v>1.5898128962217883</v>
      </c>
      <c r="V870" s="256">
        <v>0.13622089025358264</v>
      </c>
      <c r="W870" s="256">
        <v>1.3354202110835003</v>
      </c>
      <c r="X870" s="256">
        <v>0.17750668222007904</v>
      </c>
      <c r="Y870" s="256">
        <v>1.3460654172363622</v>
      </c>
      <c r="Z870" s="256">
        <v>0.27329605339857799</v>
      </c>
      <c r="AA870" s="256">
        <v>1.5535033668901961</v>
      </c>
      <c r="AB870" s="256">
        <v>4.2506537265742703E-2</v>
      </c>
      <c r="AC870" s="260">
        <v>0.74076226875391671</v>
      </c>
      <c r="AD870" s="405">
        <v>18981231000199</v>
      </c>
      <c r="AE870" s="257" t="s">
        <v>2252</v>
      </c>
      <c r="AF870" s="257" t="s">
        <v>2112</v>
      </c>
      <c r="AG870" s="261" t="s">
        <v>59</v>
      </c>
      <c r="AH870" s="261" t="s">
        <v>2113</v>
      </c>
      <c r="AI870" s="261">
        <v>500</v>
      </c>
      <c r="AJ870" s="261">
        <v>100</v>
      </c>
      <c r="AK870" s="261">
        <v>500</v>
      </c>
      <c r="AL870" s="256">
        <v>1.89E-2</v>
      </c>
      <c r="AM870" s="256">
        <v>0.2</v>
      </c>
      <c r="AN870" s="256" t="s">
        <v>64</v>
      </c>
      <c r="AO870" s="254" t="s">
        <v>1324</v>
      </c>
      <c r="AP870" s="257" t="s">
        <v>13</v>
      </c>
      <c r="AQ870" s="263" t="s">
        <v>664</v>
      </c>
      <c r="AR870" s="256">
        <v>3.7799999999999995E-3</v>
      </c>
      <c r="AS870" s="256">
        <v>3.7799999999999995E-3</v>
      </c>
      <c r="AT870" s="256"/>
      <c r="AX870" s="508"/>
      <c r="AY870" s="509"/>
      <c r="AZ870" s="509"/>
      <c r="BA870" s="509"/>
      <c r="BB870" s="510"/>
      <c r="BC870" s="509"/>
      <c r="BD870" s="509"/>
      <c r="BE870" s="509"/>
      <c r="BF870" s="509"/>
      <c r="BG870" s="510"/>
      <c r="BH870" s="510"/>
      <c r="BI870" s="511"/>
      <c r="BJ870" s="511"/>
      <c r="BK870" s="511"/>
      <c r="BL870" s="510"/>
      <c r="BM870" s="510"/>
      <c r="BN870" s="510"/>
      <c r="BO870" s="510"/>
      <c r="BP870" s="510"/>
      <c r="BQ870" s="510"/>
      <c r="BR870" s="510"/>
      <c r="BS870" s="510"/>
      <c r="BT870" s="513"/>
      <c r="BU870" s="514"/>
      <c r="BV870" s="512"/>
      <c r="BW870" s="515"/>
    </row>
    <row r="871" spans="2:75" ht="15.75" customHeight="1">
      <c r="B871" s="250" t="s">
        <v>955</v>
      </c>
      <c r="C871" s="251">
        <v>37828294000154</v>
      </c>
      <c r="D871" s="252" t="s">
        <v>13</v>
      </c>
      <c r="E871" s="252" t="s">
        <v>615</v>
      </c>
      <c r="F871" s="252" t="s">
        <v>619</v>
      </c>
      <c r="G871" s="253" t="s">
        <v>34</v>
      </c>
      <c r="H871" s="253" t="s">
        <v>865</v>
      </c>
      <c r="I871" s="253" t="s">
        <v>34</v>
      </c>
      <c r="J871" s="253"/>
      <c r="K871" s="254" t="s">
        <v>48</v>
      </c>
      <c r="L871" s="255"/>
      <c r="M871" s="255" t="s">
        <v>1414</v>
      </c>
      <c r="N871" s="254">
        <v>545651</v>
      </c>
      <c r="O871" s="254" t="s">
        <v>1321</v>
      </c>
      <c r="P871" s="258">
        <v>44043</v>
      </c>
      <c r="Q871" s="259">
        <v>299685398.56999999</v>
      </c>
      <c r="R871" s="259">
        <v>283413032.43591279</v>
      </c>
      <c r="S871" s="254">
        <v>31</v>
      </c>
      <c r="T871" s="256">
        <v>0.14950589857956653</v>
      </c>
      <c r="U871" s="256">
        <v>1.9326919317038682</v>
      </c>
      <c r="V871" s="256">
        <v>0.16282837238512426</v>
      </c>
      <c r="W871" s="256">
        <v>1.5962625043496703</v>
      </c>
      <c r="X871" s="256">
        <v>0.20803396119969486</v>
      </c>
      <c r="Y871" s="256">
        <v>1.5775593193410753</v>
      </c>
      <c r="Z871" s="256" t="s">
        <v>1417</v>
      </c>
      <c r="AA871" s="256" t="s">
        <v>1417</v>
      </c>
      <c r="AB871" s="256">
        <v>5.6165490378918402E-2</v>
      </c>
      <c r="AC871" s="260">
        <v>0.98491760592587307</v>
      </c>
      <c r="AD871" s="405">
        <v>0</v>
      </c>
      <c r="AE871" s="257" t="s">
        <v>2252</v>
      </c>
      <c r="AF871" s="257" t="s">
        <v>2112</v>
      </c>
      <c r="AG871" s="261" t="s">
        <v>59</v>
      </c>
      <c r="AH871" s="261" t="s">
        <v>2113</v>
      </c>
      <c r="AI871" s="261">
        <v>500</v>
      </c>
      <c r="AJ871" s="261">
        <v>100</v>
      </c>
      <c r="AK871" s="261">
        <v>500</v>
      </c>
      <c r="AL871" s="256">
        <v>1.89E-2</v>
      </c>
      <c r="AM871" s="256">
        <v>0.2</v>
      </c>
      <c r="AN871" s="256" t="s">
        <v>64</v>
      </c>
      <c r="AO871" s="254" t="s">
        <v>1324</v>
      </c>
      <c r="AP871" s="257" t="s">
        <v>13</v>
      </c>
      <c r="AQ871" s="263" t="s">
        <v>664</v>
      </c>
      <c r="AR871" s="256">
        <v>3.2129999999999997E-3</v>
      </c>
      <c r="AS871" s="256">
        <v>3.2129999999999997E-3</v>
      </c>
      <c r="AT871" s="256"/>
      <c r="AX871" s="508"/>
      <c r="AY871" s="509"/>
      <c r="AZ871" s="509"/>
      <c r="BA871" s="509"/>
      <c r="BB871" s="510"/>
      <c r="BC871" s="509"/>
      <c r="BD871" s="509"/>
      <c r="BE871" s="509"/>
      <c r="BF871" s="509"/>
      <c r="BG871" s="510"/>
      <c r="BH871" s="510"/>
      <c r="BI871" s="511"/>
      <c r="BJ871" s="511"/>
      <c r="BK871" s="511"/>
      <c r="BL871" s="510"/>
      <c r="BM871" s="510"/>
      <c r="BN871" s="510"/>
      <c r="BO871" s="510"/>
      <c r="BP871" s="510"/>
      <c r="BQ871" s="510"/>
      <c r="BR871" s="510"/>
      <c r="BS871" s="510"/>
      <c r="BT871" s="513"/>
      <c r="BU871" s="514"/>
      <c r="BV871" s="512"/>
      <c r="BW871" s="515"/>
    </row>
    <row r="872" spans="2:75" ht="15.75" customHeight="1">
      <c r="B872" s="250" t="s">
        <v>214</v>
      </c>
      <c r="C872" s="251">
        <v>41163392000197</v>
      </c>
      <c r="D872" s="252" t="s">
        <v>13</v>
      </c>
      <c r="E872" s="252" t="s">
        <v>615</v>
      </c>
      <c r="F872" s="252" t="s">
        <v>619</v>
      </c>
      <c r="G872" s="253" t="s">
        <v>34</v>
      </c>
      <c r="H872" s="253" t="s">
        <v>1337</v>
      </c>
      <c r="I872" s="253" t="s">
        <v>34</v>
      </c>
      <c r="J872" s="253"/>
      <c r="K872" s="254" t="s">
        <v>48</v>
      </c>
      <c r="L872" s="255"/>
      <c r="M872" s="255" t="s">
        <v>34</v>
      </c>
      <c r="N872" s="254">
        <v>591191</v>
      </c>
      <c r="O872" s="254" t="s">
        <v>1321</v>
      </c>
      <c r="P872" s="258">
        <v>44316</v>
      </c>
      <c r="Q872" s="259">
        <v>70909490.349999994</v>
      </c>
      <c r="R872" s="259">
        <v>69979760.120714292</v>
      </c>
      <c r="S872" s="254">
        <v>31</v>
      </c>
      <c r="T872" s="256">
        <v>8.4066333509494884E-2</v>
      </c>
      <c r="U872" s="256">
        <v>1.086741901459219</v>
      </c>
      <c r="V872" s="256">
        <v>8.0028427174538175E-2</v>
      </c>
      <c r="W872" s="256">
        <v>0.78454618018686417</v>
      </c>
      <c r="X872" s="256" t="s">
        <v>1417</v>
      </c>
      <c r="Y872" s="256" t="s">
        <v>1417</v>
      </c>
      <c r="Z872" s="256" t="s">
        <v>1417</v>
      </c>
      <c r="AA872" s="256" t="s">
        <v>1417</v>
      </c>
      <c r="AB872" s="256">
        <v>4.801106732037913E-2</v>
      </c>
      <c r="AC872" s="260">
        <v>-0.39583393386807009</v>
      </c>
      <c r="AD872" s="405">
        <v>41272577000130</v>
      </c>
      <c r="AE872" s="257" t="s">
        <v>2261</v>
      </c>
      <c r="AF872" s="257" t="s">
        <v>2109</v>
      </c>
      <c r="AG872" s="261" t="s">
        <v>1432</v>
      </c>
      <c r="AH872" s="261" t="s">
        <v>2113</v>
      </c>
      <c r="AI872" s="261">
        <v>5000</v>
      </c>
      <c r="AJ872" s="261">
        <v>1000</v>
      </c>
      <c r="AK872" s="261">
        <v>3000</v>
      </c>
      <c r="AL872" s="256">
        <v>1.8700000000000001E-2</v>
      </c>
      <c r="AM872" s="256">
        <v>0.2</v>
      </c>
      <c r="AN872" s="256" t="s">
        <v>34</v>
      </c>
      <c r="AO872" s="254" t="s">
        <v>1324</v>
      </c>
      <c r="AP872" s="257" t="s">
        <v>13</v>
      </c>
      <c r="AQ872" s="263" t="s">
        <v>668</v>
      </c>
      <c r="AR872" s="256">
        <v>4.986666666666667E-3</v>
      </c>
      <c r="AS872" s="256">
        <v>4.986666666666667E-3</v>
      </c>
      <c r="AT872" s="256"/>
      <c r="AX872" s="508"/>
      <c r="AY872" s="509"/>
      <c r="AZ872" s="509"/>
      <c r="BA872" s="509"/>
      <c r="BB872" s="510"/>
      <c r="BC872" s="509"/>
      <c r="BD872" s="509"/>
      <c r="BE872" s="509"/>
      <c r="BF872" s="509"/>
      <c r="BG872" s="510"/>
      <c r="BH872" s="510"/>
      <c r="BI872" s="511"/>
      <c r="BJ872" s="511"/>
      <c r="BK872" s="511"/>
      <c r="BL872" s="510"/>
      <c r="BM872" s="510"/>
      <c r="BN872" s="510"/>
      <c r="BO872" s="510"/>
      <c r="BP872" s="510"/>
      <c r="BQ872" s="510"/>
      <c r="BR872" s="510"/>
      <c r="BS872" s="510"/>
      <c r="BT872" s="513"/>
      <c r="BU872" s="514"/>
      <c r="BV872" s="512"/>
      <c r="BW872" s="515"/>
    </row>
    <row r="873" spans="2:75" ht="15.75" customHeight="1">
      <c r="B873" s="250" t="s">
        <v>517</v>
      </c>
      <c r="C873" s="251">
        <v>37498652000108</v>
      </c>
      <c r="D873" s="252" t="s">
        <v>13</v>
      </c>
      <c r="E873" s="252" t="s">
        <v>615</v>
      </c>
      <c r="F873" s="252" t="s">
        <v>619</v>
      </c>
      <c r="G873" s="253" t="s">
        <v>34</v>
      </c>
      <c r="H873" s="253" t="s">
        <v>1337</v>
      </c>
      <c r="I873" s="253" t="s">
        <v>34</v>
      </c>
      <c r="J873" s="253"/>
      <c r="K873" s="254" t="s">
        <v>48</v>
      </c>
      <c r="L873" s="255"/>
      <c r="M873" s="255" t="s">
        <v>34</v>
      </c>
      <c r="N873" s="254">
        <v>576891</v>
      </c>
      <c r="O873" s="254" t="s">
        <v>1321</v>
      </c>
      <c r="P873" s="258">
        <v>44253</v>
      </c>
      <c r="Q873" s="259">
        <v>142189185.97999999</v>
      </c>
      <c r="R873" s="259">
        <v>114707716.57126984</v>
      </c>
      <c r="S873" s="254">
        <v>31</v>
      </c>
      <c r="T873" s="256">
        <v>2.0136752014728199E-2</v>
      </c>
      <c r="U873" s="256">
        <v>0.2603117236131971</v>
      </c>
      <c r="V873" s="256">
        <v>1.0494796091053082E-2</v>
      </c>
      <c r="W873" s="256">
        <v>0.10288409351240313</v>
      </c>
      <c r="X873" s="256" t="s">
        <v>1417</v>
      </c>
      <c r="Y873" s="256" t="s">
        <v>1417</v>
      </c>
      <c r="Z873" s="256" t="s">
        <v>1417</v>
      </c>
      <c r="AA873" s="256" t="s">
        <v>1417</v>
      </c>
      <c r="AB873" s="256">
        <v>3.937332357048131E-2</v>
      </c>
      <c r="AC873" s="260">
        <v>-2.1826778001716378</v>
      </c>
      <c r="AD873" s="405">
        <v>37498601000186</v>
      </c>
      <c r="AE873" s="257" t="s">
        <v>2262</v>
      </c>
      <c r="AF873" s="257" t="s">
        <v>736</v>
      </c>
      <c r="AG873" s="261" t="s">
        <v>736</v>
      </c>
      <c r="AH873" s="261" t="s">
        <v>2113</v>
      </c>
      <c r="AI873" s="261">
        <v>1000</v>
      </c>
      <c r="AJ873" s="261">
        <v>1000</v>
      </c>
      <c r="AK873" s="261">
        <v>1000</v>
      </c>
      <c r="AL873" s="256">
        <v>1.9E-2</v>
      </c>
      <c r="AM873" s="256">
        <v>0.2</v>
      </c>
      <c r="AN873" s="256" t="s">
        <v>64</v>
      </c>
      <c r="AO873" s="254" t="s">
        <v>1324</v>
      </c>
      <c r="AP873" s="257" t="s">
        <v>13</v>
      </c>
      <c r="AQ873" s="263" t="s">
        <v>664</v>
      </c>
      <c r="AR873" s="256">
        <v>5.0672999999999994E-3</v>
      </c>
      <c r="AS873" s="256">
        <v>5.0672999999999994E-3</v>
      </c>
      <c r="AT873" s="256"/>
      <c r="AX873" s="508"/>
      <c r="AY873" s="509"/>
      <c r="AZ873" s="509"/>
      <c r="BA873" s="509"/>
      <c r="BB873" s="510"/>
      <c r="BC873" s="509"/>
      <c r="BD873" s="509"/>
      <c r="BE873" s="509"/>
      <c r="BF873" s="509"/>
      <c r="BG873" s="510"/>
      <c r="BH873" s="510"/>
      <c r="BI873" s="511"/>
      <c r="BJ873" s="511"/>
      <c r="BK873" s="511"/>
      <c r="BL873" s="510"/>
      <c r="BM873" s="510"/>
      <c r="BN873" s="510"/>
      <c r="BO873" s="510"/>
      <c r="BP873" s="510"/>
      <c r="BQ873" s="510"/>
      <c r="BR873" s="510"/>
      <c r="BS873" s="510"/>
      <c r="BT873" s="513"/>
      <c r="BU873" s="514"/>
      <c r="BV873" s="512"/>
      <c r="BW873" s="515"/>
    </row>
    <row r="874" spans="2:75" ht="15.75" customHeight="1">
      <c r="B874" s="250" t="s">
        <v>230</v>
      </c>
      <c r="C874" s="251">
        <v>12154412000165</v>
      </c>
      <c r="D874" s="252" t="s">
        <v>13</v>
      </c>
      <c r="E874" s="252" t="s">
        <v>615</v>
      </c>
      <c r="F874" s="252" t="s">
        <v>619</v>
      </c>
      <c r="G874" s="253" t="s">
        <v>34</v>
      </c>
      <c r="H874" s="253" t="s">
        <v>1337</v>
      </c>
      <c r="I874" s="253" t="s">
        <v>34</v>
      </c>
      <c r="J874" s="253" t="s">
        <v>611</v>
      </c>
      <c r="K874" s="254" t="s">
        <v>48</v>
      </c>
      <c r="L874" s="255"/>
      <c r="M874" s="255" t="s">
        <v>34</v>
      </c>
      <c r="N874" s="254">
        <v>260088</v>
      </c>
      <c r="O874" s="254" t="s">
        <v>1321</v>
      </c>
      <c r="P874" s="258">
        <v>40480</v>
      </c>
      <c r="Q874" s="259">
        <v>2273441103.48</v>
      </c>
      <c r="R874" s="259">
        <v>1715980845.0591278</v>
      </c>
      <c r="S874" s="254">
        <v>31</v>
      </c>
      <c r="T874" s="256">
        <v>0.12349120532702984</v>
      </c>
      <c r="U874" s="256">
        <v>1.5963949144449088</v>
      </c>
      <c r="V874" s="256">
        <v>0.18312933453283819</v>
      </c>
      <c r="W874" s="256">
        <v>1.795279814440883</v>
      </c>
      <c r="X874" s="256">
        <v>0.21971988420663946</v>
      </c>
      <c r="Y874" s="256">
        <v>1.6661757963739359</v>
      </c>
      <c r="Z874" s="256">
        <v>0.36851110177488455</v>
      </c>
      <c r="AA874" s="256">
        <v>2.0947365694622126</v>
      </c>
      <c r="AB874" s="256">
        <v>4.2285034075144765E-2</v>
      </c>
      <c r="AC874" s="260">
        <v>1.70174687293729</v>
      </c>
      <c r="AD874" s="405">
        <v>12124089000187</v>
      </c>
      <c r="AE874" s="257" t="s">
        <v>2274</v>
      </c>
      <c r="AF874" s="257" t="s">
        <v>2115</v>
      </c>
      <c r="AG874" s="261" t="s">
        <v>719</v>
      </c>
      <c r="AH874" s="261" t="s">
        <v>2113</v>
      </c>
      <c r="AI874" s="261">
        <v>50000</v>
      </c>
      <c r="AJ874" s="261">
        <v>10000</v>
      </c>
      <c r="AK874" s="261">
        <v>10000</v>
      </c>
      <c r="AL874" s="256">
        <v>1.9574999999999999E-2</v>
      </c>
      <c r="AM874" s="256">
        <v>0.2</v>
      </c>
      <c r="AN874" s="256" t="s">
        <v>64</v>
      </c>
      <c r="AO874" s="254" t="s">
        <v>1324</v>
      </c>
      <c r="AP874" s="257" t="s">
        <v>13</v>
      </c>
      <c r="AQ874" s="263" t="s">
        <v>664</v>
      </c>
      <c r="AR874" s="256">
        <v>4.8937499999999997E-3</v>
      </c>
      <c r="AS874" s="256">
        <v>4.8937499999999997E-3</v>
      </c>
      <c r="AT874" s="256"/>
      <c r="AW874" s="508"/>
      <c r="AX874" s="508"/>
      <c r="AY874" s="509"/>
      <c r="AZ874" s="509"/>
      <c r="BA874" s="509"/>
      <c r="BB874" s="510"/>
      <c r="BC874" s="509"/>
      <c r="BD874" s="509"/>
      <c r="BE874" s="509"/>
      <c r="BF874" s="509"/>
      <c r="BG874" s="510"/>
      <c r="BH874" s="510"/>
      <c r="BI874" s="511"/>
      <c r="BJ874" s="511"/>
      <c r="BK874" s="511"/>
      <c r="BL874" s="195"/>
      <c r="BM874" s="510"/>
      <c r="BN874" s="510"/>
      <c r="BO874" s="510"/>
      <c r="BP874" s="510"/>
      <c r="BQ874" s="510"/>
      <c r="BR874" s="510"/>
      <c r="BS874" s="510"/>
      <c r="BT874" s="513"/>
      <c r="BU874" s="514"/>
      <c r="BV874" s="512"/>
      <c r="BW874" s="515"/>
    </row>
    <row r="875" spans="2:75" ht="15.75" customHeight="1">
      <c r="B875" s="250" t="s">
        <v>977</v>
      </c>
      <c r="C875" s="251">
        <v>26822047000124</v>
      </c>
      <c r="D875" s="252" t="s">
        <v>13</v>
      </c>
      <c r="E875" s="252" t="s">
        <v>615</v>
      </c>
      <c r="F875" s="252" t="s">
        <v>619</v>
      </c>
      <c r="G875" s="253" t="s">
        <v>34</v>
      </c>
      <c r="H875" s="253" t="s">
        <v>865</v>
      </c>
      <c r="I875" s="253" t="s">
        <v>34</v>
      </c>
      <c r="J875" s="253" t="s">
        <v>611</v>
      </c>
      <c r="K875" s="254" t="s">
        <v>48</v>
      </c>
      <c r="L875" s="255"/>
      <c r="M875" s="255" t="s">
        <v>34</v>
      </c>
      <c r="N875" s="254">
        <v>438091</v>
      </c>
      <c r="O875" s="254" t="s">
        <v>1324</v>
      </c>
      <c r="P875" s="258">
        <v>42836</v>
      </c>
      <c r="Q875" s="259">
        <v>448144901.63</v>
      </c>
      <c r="R875" s="259">
        <v>346695447.1742065</v>
      </c>
      <c r="S875" s="254">
        <v>31</v>
      </c>
      <c r="T875" s="256">
        <v>0.15366928983321326</v>
      </c>
      <c r="U875" s="256">
        <v>1.9865129030561599</v>
      </c>
      <c r="V875" s="256">
        <v>0.23348078887004653</v>
      </c>
      <c r="W875" s="256">
        <v>2.2888924288804477</v>
      </c>
      <c r="X875" s="256">
        <v>0.28407558190922533</v>
      </c>
      <c r="Y875" s="256">
        <v>2.154196742944078</v>
      </c>
      <c r="Z875" s="256">
        <v>0.53726361579084703</v>
      </c>
      <c r="AA875" s="256">
        <v>3.0539805667132418</v>
      </c>
      <c r="AB875" s="256">
        <v>6.2969753074730683E-2</v>
      </c>
      <c r="AC875" s="260">
        <v>1.8223656745264656</v>
      </c>
      <c r="AD875" s="405">
        <v>0</v>
      </c>
      <c r="AE875" s="257" t="s">
        <v>2123</v>
      </c>
      <c r="AF875" s="257" t="s">
        <v>2109</v>
      </c>
      <c r="AG875" s="261" t="s">
        <v>1432</v>
      </c>
      <c r="AH875" s="261" t="s">
        <v>2113</v>
      </c>
      <c r="AI875" s="261">
        <v>5000</v>
      </c>
      <c r="AJ875" s="261">
        <v>1000</v>
      </c>
      <c r="AK875" s="261">
        <v>5000</v>
      </c>
      <c r="AL875" s="256">
        <v>0</v>
      </c>
      <c r="AM875" s="256" t="s">
        <v>34</v>
      </c>
      <c r="AN875" s="256" t="s">
        <v>34</v>
      </c>
      <c r="AO875" s="254" t="s">
        <v>1324</v>
      </c>
      <c r="AP875" s="257" t="s">
        <v>13</v>
      </c>
      <c r="AQ875" s="263" t="s">
        <v>664</v>
      </c>
      <c r="AR875" s="256">
        <v>4.8999999999999998E-3</v>
      </c>
      <c r="AS875" s="256">
        <v>4.8999999999999998E-3</v>
      </c>
      <c r="AT875" s="256"/>
      <c r="AX875" s="508"/>
      <c r="AY875" s="509"/>
      <c r="AZ875" s="509"/>
      <c r="BA875" s="509"/>
      <c r="BB875" s="510"/>
      <c r="BC875" s="509"/>
      <c r="BD875" s="509"/>
      <c r="BE875" s="509"/>
      <c r="BF875" s="509"/>
      <c r="BG875" s="510"/>
      <c r="BH875" s="510"/>
      <c r="BI875" s="511"/>
      <c r="BJ875" s="511"/>
      <c r="BK875" s="511"/>
      <c r="BL875" s="510"/>
      <c r="BM875" s="510"/>
      <c r="BN875" s="510"/>
      <c r="BO875" s="510"/>
      <c r="BP875" s="510"/>
      <c r="BQ875" s="510"/>
      <c r="BR875" s="510"/>
      <c r="BS875" s="510"/>
      <c r="BT875" s="513"/>
      <c r="BU875" s="514"/>
      <c r="BV875" s="512"/>
      <c r="BW875" s="515"/>
    </row>
    <row r="876" spans="2:75" ht="15.75" customHeight="1">
      <c r="B876" s="250" t="s">
        <v>1027</v>
      </c>
      <c r="C876" s="251">
        <v>32754593000178</v>
      </c>
      <c r="D876" s="252" t="s">
        <v>13</v>
      </c>
      <c r="E876" s="252" t="s">
        <v>615</v>
      </c>
      <c r="F876" s="252" t="s">
        <v>619</v>
      </c>
      <c r="G876" s="253" t="s">
        <v>34</v>
      </c>
      <c r="H876" s="253" t="s">
        <v>1338</v>
      </c>
      <c r="I876" s="253" t="s">
        <v>34</v>
      </c>
      <c r="J876" s="253" t="s">
        <v>611</v>
      </c>
      <c r="K876" s="254" t="s">
        <v>48</v>
      </c>
      <c r="L876" s="255"/>
      <c r="M876" s="255" t="s">
        <v>34</v>
      </c>
      <c r="N876" s="254">
        <v>494429</v>
      </c>
      <c r="O876" s="254" t="s">
        <v>1321</v>
      </c>
      <c r="P876" s="258">
        <v>43585</v>
      </c>
      <c r="Q876" s="259">
        <v>755326.17</v>
      </c>
      <c r="R876" s="259">
        <v>809233.07436507905</v>
      </c>
      <c r="S876" s="254">
        <v>31</v>
      </c>
      <c r="T876" s="256">
        <v>0.18948019795087911</v>
      </c>
      <c r="U876" s="256">
        <v>2.4494475019152628</v>
      </c>
      <c r="V876" s="256">
        <v>0.16966865158158106</v>
      </c>
      <c r="W876" s="256">
        <v>1.6633201125579105</v>
      </c>
      <c r="X876" s="256">
        <v>0.2056667482960608</v>
      </c>
      <c r="Y876" s="256">
        <v>1.5596083138636205</v>
      </c>
      <c r="Z876" s="256">
        <v>0.26947665491834605</v>
      </c>
      <c r="AA876" s="256">
        <v>1.5317926677244009</v>
      </c>
      <c r="AB876" s="256">
        <v>7.0242582529867786E-2</v>
      </c>
      <c r="AC876" s="260">
        <v>0.88373740251397115</v>
      </c>
      <c r="AD876" s="405">
        <v>32318799000155</v>
      </c>
      <c r="AE876" s="257" t="s">
        <v>2123</v>
      </c>
      <c r="AF876" s="257" t="s">
        <v>2109</v>
      </c>
      <c r="AG876" s="261" t="s">
        <v>1432</v>
      </c>
      <c r="AH876" s="261" t="s">
        <v>2113</v>
      </c>
      <c r="AI876" s="261">
        <v>500</v>
      </c>
      <c r="AJ876" s="261">
        <v>500</v>
      </c>
      <c r="AK876" s="261">
        <v>0</v>
      </c>
      <c r="AL876" s="256">
        <v>0</v>
      </c>
      <c r="AM876" s="256" t="s">
        <v>34</v>
      </c>
      <c r="AN876" s="256" t="s">
        <v>34</v>
      </c>
      <c r="AO876" s="254" t="s">
        <v>1324</v>
      </c>
      <c r="AP876" s="257" t="s">
        <v>13</v>
      </c>
      <c r="AQ876" s="263" t="s">
        <v>664</v>
      </c>
      <c r="AR876" s="256">
        <v>3.8E-3</v>
      </c>
      <c r="AS876" s="256">
        <v>3.8E-3</v>
      </c>
      <c r="AT876" s="256"/>
      <c r="AX876" s="508"/>
      <c r="AY876" s="509"/>
      <c r="AZ876" s="509"/>
      <c r="BA876" s="509"/>
      <c r="BB876" s="510"/>
      <c r="BC876" s="509"/>
      <c r="BD876" s="509"/>
      <c r="BE876" s="509"/>
      <c r="BF876" s="509"/>
      <c r="BG876" s="510"/>
      <c r="BH876" s="510"/>
      <c r="BI876" s="511"/>
      <c r="BJ876" s="511"/>
      <c r="BK876" s="511"/>
      <c r="BL876" s="510"/>
      <c r="BM876" s="510"/>
      <c r="BN876" s="510"/>
      <c r="BO876" s="510"/>
      <c r="BP876" s="510"/>
      <c r="BQ876" s="510"/>
      <c r="BR876" s="510"/>
      <c r="BS876" s="510"/>
      <c r="BT876" s="513"/>
      <c r="BU876" s="514"/>
      <c r="BV876" s="512"/>
      <c r="BW876" s="515"/>
    </row>
    <row r="877" spans="2:75" ht="15.75" customHeight="1">
      <c r="B877" s="250" t="s">
        <v>1029</v>
      </c>
      <c r="C877" s="251">
        <v>29726019000100</v>
      </c>
      <c r="D877" s="252" t="s">
        <v>13</v>
      </c>
      <c r="E877" s="252" t="s">
        <v>615</v>
      </c>
      <c r="F877" s="252" t="s">
        <v>619</v>
      </c>
      <c r="G877" s="253" t="s">
        <v>34</v>
      </c>
      <c r="H877" s="253" t="s">
        <v>1337</v>
      </c>
      <c r="I877" s="253" t="s">
        <v>34</v>
      </c>
      <c r="J877" s="253" t="s">
        <v>611</v>
      </c>
      <c r="K877" s="254" t="s">
        <v>48</v>
      </c>
      <c r="L877" s="255"/>
      <c r="M877" s="255" t="s">
        <v>34</v>
      </c>
      <c r="N877" s="254">
        <v>464661</v>
      </c>
      <c r="O877" s="254" t="s">
        <v>1324</v>
      </c>
      <c r="P877" s="258">
        <v>43228</v>
      </c>
      <c r="Q877" s="259">
        <v>95495404.689999998</v>
      </c>
      <c r="R877" s="259">
        <v>101288513.17035715</v>
      </c>
      <c r="S877" s="254">
        <v>31</v>
      </c>
      <c r="T877" s="256">
        <v>0.11801480235776785</v>
      </c>
      <c r="U877" s="256">
        <v>1.5256003843694355</v>
      </c>
      <c r="V877" s="256">
        <v>0.15613689127623487</v>
      </c>
      <c r="W877" s="256">
        <v>1.5306636149410078</v>
      </c>
      <c r="X877" s="256">
        <v>0.25583118654725823</v>
      </c>
      <c r="Y877" s="256">
        <v>1.9400143620218886</v>
      </c>
      <c r="Z877" s="256">
        <v>0.27620260335531155</v>
      </c>
      <c r="AA877" s="256">
        <v>1.5700251391136499</v>
      </c>
      <c r="AB877" s="256">
        <v>4.2378661749779604E-2</v>
      </c>
      <c r="AC877" s="260">
        <v>1.1531200897855551</v>
      </c>
      <c r="AD877" s="405">
        <v>0</v>
      </c>
      <c r="AE877" s="257" t="s">
        <v>2294</v>
      </c>
      <c r="AF877" s="257" t="s">
        <v>2115</v>
      </c>
      <c r="AG877" s="261" t="s">
        <v>719</v>
      </c>
      <c r="AH877" s="261" t="s">
        <v>2113</v>
      </c>
      <c r="AI877" s="261">
        <v>50000</v>
      </c>
      <c r="AJ877" s="261">
        <v>10000</v>
      </c>
      <c r="AK877" s="261">
        <v>20000</v>
      </c>
      <c r="AL877" s="256">
        <v>0.02</v>
      </c>
      <c r="AM877" s="256">
        <v>0.2</v>
      </c>
      <c r="AN877" s="256" t="s">
        <v>2122</v>
      </c>
      <c r="AO877" s="254" t="s">
        <v>1324</v>
      </c>
      <c r="AP877" s="257" t="s">
        <v>13</v>
      </c>
      <c r="AQ877" s="263" t="s">
        <v>664</v>
      </c>
      <c r="AR877" s="256">
        <v>4.0000000000000001E-3</v>
      </c>
      <c r="AS877" s="256">
        <v>4.0000000000000001E-3</v>
      </c>
      <c r="AT877" s="256"/>
      <c r="AX877" s="508"/>
      <c r="AY877" s="509"/>
      <c r="AZ877" s="509"/>
      <c r="BA877" s="509"/>
      <c r="BB877" s="510"/>
      <c r="BC877" s="509"/>
      <c r="BD877" s="509"/>
      <c r="BE877" s="509"/>
      <c r="BF877" s="509"/>
      <c r="BG877" s="510"/>
      <c r="BH877" s="510"/>
      <c r="BI877" s="511"/>
      <c r="BJ877" s="511"/>
      <c r="BK877" s="511"/>
      <c r="BL877" s="510"/>
      <c r="BM877" s="510"/>
      <c r="BN877" s="510"/>
      <c r="BO877" s="510"/>
      <c r="BP877" s="510"/>
      <c r="BQ877" s="510"/>
      <c r="BR877" s="510"/>
      <c r="BS877" s="510"/>
      <c r="BT877" s="513"/>
      <c r="BU877" s="514"/>
      <c r="BV877" s="512"/>
      <c r="BW877" s="515"/>
    </row>
    <row r="878" spans="2:75" ht="15.75" customHeight="1">
      <c r="B878" s="250" t="s">
        <v>257</v>
      </c>
      <c r="C878" s="251">
        <v>12105940000124</v>
      </c>
      <c r="D878" s="252" t="s">
        <v>13</v>
      </c>
      <c r="E878" s="252" t="s">
        <v>615</v>
      </c>
      <c r="F878" s="252" t="s">
        <v>619</v>
      </c>
      <c r="G878" s="253" t="s">
        <v>34</v>
      </c>
      <c r="H878" s="253" t="s">
        <v>1337</v>
      </c>
      <c r="I878" s="253" t="s">
        <v>34</v>
      </c>
      <c r="J878" s="253" t="s">
        <v>611</v>
      </c>
      <c r="K878" s="254" t="s">
        <v>48</v>
      </c>
      <c r="L878" s="255"/>
      <c r="M878" s="255" t="s">
        <v>34</v>
      </c>
      <c r="N878" s="254">
        <v>256579</v>
      </c>
      <c r="O878" s="254" t="s">
        <v>1324</v>
      </c>
      <c r="P878" s="258">
        <v>40435</v>
      </c>
      <c r="Q878" s="259">
        <v>538554750.89999998</v>
      </c>
      <c r="R878" s="259">
        <v>619628387.82436478</v>
      </c>
      <c r="S878" s="254">
        <v>31</v>
      </c>
      <c r="T878" s="256">
        <v>0.11909943222737751</v>
      </c>
      <c r="U878" s="256">
        <v>1.5396216063934214</v>
      </c>
      <c r="V878" s="256">
        <v>0.15742675492756986</v>
      </c>
      <c r="W878" s="256">
        <v>1.5433085916867049</v>
      </c>
      <c r="X878" s="256">
        <v>0.25706236964646179</v>
      </c>
      <c r="Y878" s="256">
        <v>1.9493506471205482</v>
      </c>
      <c r="Z878" s="256">
        <v>0.27842040372793186</v>
      </c>
      <c r="AA878" s="256">
        <v>1.582631835416473</v>
      </c>
      <c r="AB878" s="256">
        <v>4.252207950218849E-2</v>
      </c>
      <c r="AC878" s="260">
        <v>1.1756110364232297</v>
      </c>
      <c r="AD878" s="405">
        <v>0</v>
      </c>
      <c r="AE878" s="257" t="s">
        <v>2294</v>
      </c>
      <c r="AF878" s="257" t="s">
        <v>2115</v>
      </c>
      <c r="AG878" s="261" t="s">
        <v>719</v>
      </c>
      <c r="AH878" s="261" t="s">
        <v>2113</v>
      </c>
      <c r="AI878" s="261">
        <v>50000</v>
      </c>
      <c r="AJ878" s="261">
        <v>10000</v>
      </c>
      <c r="AK878" s="261">
        <v>20000</v>
      </c>
      <c r="AL878" s="256">
        <v>0.02</v>
      </c>
      <c r="AM878" s="256">
        <v>0.2</v>
      </c>
      <c r="AN878" s="256" t="s">
        <v>64</v>
      </c>
      <c r="AO878" s="254" t="s">
        <v>1324</v>
      </c>
      <c r="AP878" s="257" t="s">
        <v>13</v>
      </c>
      <c r="AQ878" s="263" t="s">
        <v>668</v>
      </c>
      <c r="AR878" s="256">
        <v>4.0000000000000001E-3</v>
      </c>
      <c r="AS878" s="256">
        <v>4.0000000000000001E-3</v>
      </c>
      <c r="AT878" s="256"/>
      <c r="AX878" s="508"/>
      <c r="AY878" s="509"/>
      <c r="AZ878" s="509"/>
      <c r="BA878" s="509"/>
      <c r="BB878" s="510"/>
      <c r="BC878" s="509"/>
      <c r="BD878" s="509"/>
      <c r="BE878" s="509"/>
      <c r="BF878" s="509"/>
      <c r="BG878" s="510"/>
      <c r="BH878" s="510"/>
      <c r="BI878" s="511"/>
      <c r="BJ878" s="511"/>
      <c r="BK878" s="511"/>
      <c r="BL878" s="510"/>
      <c r="BM878" s="510"/>
      <c r="BN878" s="510"/>
      <c r="BO878" s="510"/>
      <c r="BP878" s="510"/>
      <c r="BQ878" s="510"/>
      <c r="BR878" s="510"/>
      <c r="BS878" s="510"/>
      <c r="BT878" s="513"/>
      <c r="BU878" s="514"/>
      <c r="BV878" s="512"/>
      <c r="BW878" s="515"/>
    </row>
    <row r="879" spans="2:75" ht="15.75" customHeight="1">
      <c r="B879" s="250" t="s">
        <v>536</v>
      </c>
      <c r="C879" s="251">
        <v>42731202000153</v>
      </c>
      <c r="D879" s="252" t="s">
        <v>13</v>
      </c>
      <c r="E879" s="252" t="s">
        <v>615</v>
      </c>
      <c r="F879" s="252" t="s">
        <v>619</v>
      </c>
      <c r="G879" s="253" t="s">
        <v>34</v>
      </c>
      <c r="H879" s="253" t="s">
        <v>865</v>
      </c>
      <c r="I879" s="253" t="s">
        <v>34</v>
      </c>
      <c r="J879" s="253"/>
      <c r="K879" s="254" t="s">
        <v>48</v>
      </c>
      <c r="L879" s="255"/>
      <c r="M879" s="255" t="s">
        <v>34</v>
      </c>
      <c r="N879" s="254">
        <v>604811</v>
      </c>
      <c r="O879" s="254" t="s">
        <v>1321</v>
      </c>
      <c r="P879" s="258">
        <v>44413</v>
      </c>
      <c r="Q879" s="259">
        <v>271617774.63</v>
      </c>
      <c r="R879" s="259">
        <v>257670838.56083319</v>
      </c>
      <c r="S879" s="254">
        <v>31</v>
      </c>
      <c r="T879" s="256">
        <v>0.10389907682696498</v>
      </c>
      <c r="U879" s="256">
        <v>1.3431236453061273</v>
      </c>
      <c r="V879" s="256">
        <v>6.9757344488880157E-2</v>
      </c>
      <c r="W879" s="256">
        <v>0.6838552260857419</v>
      </c>
      <c r="X879" s="256" t="s">
        <v>1417</v>
      </c>
      <c r="Y879" s="256" t="s">
        <v>1417</v>
      </c>
      <c r="Z879" s="256" t="s">
        <v>1417</v>
      </c>
      <c r="AA879" s="256" t="s">
        <v>1417</v>
      </c>
      <c r="AB879" s="256">
        <v>6.857691880343815E-2</v>
      </c>
      <c r="AC879" s="260">
        <v>-0.39911430299564277</v>
      </c>
      <c r="AD879" s="405">
        <v>42747387000194</v>
      </c>
      <c r="AE879" s="257" t="s">
        <v>2296</v>
      </c>
      <c r="AF879" s="257" t="s">
        <v>2109</v>
      </c>
      <c r="AG879" s="261" t="s">
        <v>1432</v>
      </c>
      <c r="AH879" s="261" t="s">
        <v>2113</v>
      </c>
      <c r="AI879" s="261">
        <v>5000</v>
      </c>
      <c r="AJ879" s="261">
        <v>1000</v>
      </c>
      <c r="AK879" s="261">
        <v>1000</v>
      </c>
      <c r="AL879" s="256">
        <v>0.02</v>
      </c>
      <c r="AM879" s="256">
        <v>0.2</v>
      </c>
      <c r="AN879" s="256" t="s">
        <v>64</v>
      </c>
      <c r="AO879" s="254" t="s">
        <v>1324</v>
      </c>
      <c r="AP879" s="257" t="s">
        <v>13</v>
      </c>
      <c r="AQ879" s="263" t="s">
        <v>668</v>
      </c>
      <c r="AR879" s="256">
        <v>4.0000000000000001E-3</v>
      </c>
      <c r="AS879" s="256">
        <v>4.0000000000000001E-3</v>
      </c>
      <c r="AT879" s="256"/>
      <c r="AW879" s="508"/>
      <c r="AX879" s="508"/>
      <c r="AY879" s="509"/>
      <c r="AZ879" s="509"/>
      <c r="BA879" s="509"/>
      <c r="BB879" s="510"/>
      <c r="BC879" s="509"/>
      <c r="BD879" s="509"/>
      <c r="BE879" s="509"/>
      <c r="BF879" s="509"/>
      <c r="BG879" s="510"/>
      <c r="BH879" s="510"/>
      <c r="BI879" s="511"/>
      <c r="BJ879" s="511"/>
      <c r="BK879" s="511"/>
      <c r="BL879" s="195"/>
      <c r="BM879" s="510"/>
      <c r="BN879" s="510"/>
      <c r="BO879" s="510"/>
      <c r="BP879" s="510"/>
      <c r="BQ879" s="510"/>
      <c r="BR879" s="510"/>
      <c r="BS879" s="510"/>
      <c r="BT879" s="513"/>
      <c r="BU879" s="514"/>
      <c r="BV879" s="512"/>
      <c r="BW879" s="515"/>
    </row>
    <row r="880" spans="2:75" ht="15.75" customHeight="1">
      <c r="B880" s="250" t="s">
        <v>264</v>
      </c>
      <c r="C880" s="251">
        <v>13429264000107</v>
      </c>
      <c r="D880" s="252" t="s">
        <v>13</v>
      </c>
      <c r="E880" s="252" t="s">
        <v>615</v>
      </c>
      <c r="F880" s="252" t="s">
        <v>619</v>
      </c>
      <c r="G880" s="253" t="s">
        <v>34</v>
      </c>
      <c r="H880" s="253" t="s">
        <v>1337</v>
      </c>
      <c r="I880" s="253" t="s">
        <v>34</v>
      </c>
      <c r="J880" s="253"/>
      <c r="K880" s="254" t="s">
        <v>48</v>
      </c>
      <c r="L880" s="255"/>
      <c r="M880" s="255" t="s">
        <v>1414</v>
      </c>
      <c r="N880" s="254">
        <v>273066</v>
      </c>
      <c r="O880" s="254" t="s">
        <v>1321</v>
      </c>
      <c r="P880" s="258">
        <v>40662</v>
      </c>
      <c r="Q880" s="259">
        <v>34708388.840000004</v>
      </c>
      <c r="R880" s="259">
        <v>33330073.021865103</v>
      </c>
      <c r="S880" s="254">
        <v>31</v>
      </c>
      <c r="T880" s="256">
        <v>7.6253850702061587E-2</v>
      </c>
      <c r="U880" s="256">
        <v>0.98574841135644686</v>
      </c>
      <c r="V880" s="256">
        <v>8.7566017196675006E-2</v>
      </c>
      <c r="W880" s="256">
        <v>0.85843976610958661</v>
      </c>
      <c r="X880" s="256">
        <v>0.10574488497153278</v>
      </c>
      <c r="Y880" s="256">
        <v>0.80188267241308608</v>
      </c>
      <c r="Z880" s="256">
        <v>0.19778089718845893</v>
      </c>
      <c r="AA880" s="256">
        <v>1.1242507378646009</v>
      </c>
      <c r="AB880" s="256">
        <v>1.6483538908186251E-2</v>
      </c>
      <c r="AC880" s="260">
        <v>-0.79234707223299206</v>
      </c>
      <c r="AD880" s="405">
        <v>10295477000103</v>
      </c>
      <c r="AE880" s="257" t="s">
        <v>2298</v>
      </c>
      <c r="AF880" s="257" t="s">
        <v>2115</v>
      </c>
      <c r="AG880" s="261" t="s">
        <v>719</v>
      </c>
      <c r="AH880" s="261" t="s">
        <v>2113</v>
      </c>
      <c r="AI880" s="261">
        <v>50000</v>
      </c>
      <c r="AJ880" s="261">
        <v>10000</v>
      </c>
      <c r="AK880" s="261">
        <v>10000</v>
      </c>
      <c r="AL880" s="256">
        <v>1.9199999999999998E-2</v>
      </c>
      <c r="AM880" s="256">
        <v>0.2</v>
      </c>
      <c r="AN880" s="256" t="s">
        <v>64</v>
      </c>
      <c r="AO880" s="254" t="s">
        <v>1324</v>
      </c>
      <c r="AP880" s="257" t="s">
        <v>13</v>
      </c>
      <c r="AQ880" s="263" t="s">
        <v>664</v>
      </c>
      <c r="AR880" s="256">
        <v>3.2006399999999994E-3</v>
      </c>
      <c r="AS880" s="256">
        <v>3.2006399999999994E-3</v>
      </c>
      <c r="AT880" s="256"/>
      <c r="AX880" s="508"/>
      <c r="AY880" s="509"/>
      <c r="AZ880" s="509"/>
      <c r="BA880" s="509"/>
      <c r="BB880" s="510"/>
      <c r="BC880" s="509"/>
      <c r="BD880" s="509"/>
      <c r="BE880" s="509"/>
      <c r="BF880" s="509"/>
      <c r="BG880" s="510"/>
      <c r="BH880" s="510"/>
      <c r="BI880" s="511"/>
      <c r="BJ880" s="511"/>
      <c r="BK880" s="511"/>
      <c r="BL880" s="510"/>
      <c r="BM880" s="510"/>
      <c r="BN880" s="510"/>
      <c r="BO880" s="510"/>
      <c r="BP880" s="510"/>
      <c r="BQ880" s="510"/>
      <c r="BR880" s="510"/>
      <c r="BS880" s="510"/>
      <c r="BT880" s="513"/>
      <c r="BU880" s="514"/>
      <c r="BV880" s="512"/>
      <c r="BW880" s="515"/>
    </row>
    <row r="881" spans="2:75" ht="15.75" customHeight="1">
      <c r="B881" s="250" t="s">
        <v>271</v>
      </c>
      <c r="C881" s="251">
        <v>30586677000114</v>
      </c>
      <c r="D881" s="252" t="s">
        <v>13</v>
      </c>
      <c r="E881" s="252" t="s">
        <v>615</v>
      </c>
      <c r="F881" s="252" t="s">
        <v>619</v>
      </c>
      <c r="G881" s="253" t="s">
        <v>34</v>
      </c>
      <c r="H881" s="253" t="s">
        <v>865</v>
      </c>
      <c r="I881" s="253" t="s">
        <v>34</v>
      </c>
      <c r="J881" s="253" t="s">
        <v>611</v>
      </c>
      <c r="K881" s="254" t="s">
        <v>48</v>
      </c>
      <c r="L881" s="255"/>
      <c r="M881" s="255" t="s">
        <v>34</v>
      </c>
      <c r="N881" s="254">
        <v>468894</v>
      </c>
      <c r="O881" s="254" t="s">
        <v>1321</v>
      </c>
      <c r="P881" s="258">
        <v>43280</v>
      </c>
      <c r="Q881" s="259">
        <v>608496656.04999995</v>
      </c>
      <c r="R881" s="259">
        <v>507896254.31956387</v>
      </c>
      <c r="S881" s="254">
        <v>31</v>
      </c>
      <c r="T881" s="256">
        <v>0.18749795515213852</v>
      </c>
      <c r="U881" s="256">
        <v>2.4238226623590817</v>
      </c>
      <c r="V881" s="256">
        <v>0.23006790105605956</v>
      </c>
      <c r="W881" s="256">
        <v>2.2554347165099409</v>
      </c>
      <c r="X881" s="256">
        <v>0.28191687614776484</v>
      </c>
      <c r="Y881" s="256">
        <v>2.1378268850032476</v>
      </c>
      <c r="Z881" s="256">
        <v>0.41754466210091956</v>
      </c>
      <c r="AA881" s="256">
        <v>2.3734592224601183</v>
      </c>
      <c r="AB881" s="256">
        <v>5.7143569963909256E-2</v>
      </c>
      <c r="AC881" s="260">
        <v>1.9534568441954165</v>
      </c>
      <c r="AD881" s="405">
        <v>29236556000163</v>
      </c>
      <c r="AE881" s="257" t="s">
        <v>2305</v>
      </c>
      <c r="AF881" s="257" t="s">
        <v>2118</v>
      </c>
      <c r="AG881" s="261" t="s">
        <v>1433</v>
      </c>
      <c r="AH881" s="261" t="s">
        <v>2113</v>
      </c>
      <c r="AI881" s="261">
        <v>25000</v>
      </c>
      <c r="AJ881" s="261">
        <v>5000</v>
      </c>
      <c r="AK881" s="261">
        <v>10000</v>
      </c>
      <c r="AL881" s="256">
        <v>1.9E-2</v>
      </c>
      <c r="AM881" s="256">
        <v>0.2</v>
      </c>
      <c r="AN881" s="256" t="s">
        <v>2127</v>
      </c>
      <c r="AO881" s="254" t="s">
        <v>1324</v>
      </c>
      <c r="AP881" s="257" t="s">
        <v>13</v>
      </c>
      <c r="AQ881" s="263" t="s">
        <v>664</v>
      </c>
      <c r="AR881" s="256">
        <v>3.8E-3</v>
      </c>
      <c r="AS881" s="256">
        <v>3.8E-3</v>
      </c>
      <c r="AT881" s="256"/>
      <c r="AX881" s="508"/>
      <c r="AY881" s="509"/>
      <c r="AZ881" s="509"/>
      <c r="BA881" s="509"/>
      <c r="BB881" s="510"/>
      <c r="BC881" s="509"/>
      <c r="BD881" s="509"/>
      <c r="BE881" s="509"/>
      <c r="BF881" s="509"/>
      <c r="BG881" s="510"/>
      <c r="BH881" s="510"/>
      <c r="BI881" s="511"/>
      <c r="BJ881" s="511"/>
      <c r="BK881" s="511"/>
      <c r="BL881" s="510"/>
      <c r="BM881" s="510"/>
      <c r="BN881" s="510"/>
      <c r="BO881" s="510"/>
      <c r="BP881" s="510"/>
      <c r="BQ881" s="510"/>
      <c r="BR881" s="510"/>
      <c r="BS881" s="510"/>
      <c r="BT881" s="513"/>
      <c r="BU881" s="514"/>
      <c r="BV881" s="512"/>
      <c r="BW881" s="515"/>
    </row>
    <row r="882" spans="2:75" ht="15.75" customHeight="1">
      <c r="B882" s="250" t="s">
        <v>273</v>
      </c>
      <c r="C882" s="251">
        <v>33150614000109</v>
      </c>
      <c r="D882" s="252" t="s">
        <v>13</v>
      </c>
      <c r="E882" s="252" t="s">
        <v>615</v>
      </c>
      <c r="F882" s="252" t="s">
        <v>619</v>
      </c>
      <c r="G882" s="253" t="s">
        <v>34</v>
      </c>
      <c r="H882" s="253" t="s">
        <v>865</v>
      </c>
      <c r="I882" s="253" t="s">
        <v>34</v>
      </c>
      <c r="J882" s="253" t="s">
        <v>611</v>
      </c>
      <c r="K882" s="254" t="s">
        <v>48</v>
      </c>
      <c r="L882" s="255"/>
      <c r="M882" s="255" t="s">
        <v>34</v>
      </c>
      <c r="N882" s="254">
        <v>494968</v>
      </c>
      <c r="O882" s="254" t="s">
        <v>1321</v>
      </c>
      <c r="P882" s="258">
        <v>43593</v>
      </c>
      <c r="Q882" s="259">
        <v>1234009952.55</v>
      </c>
      <c r="R882" s="259">
        <v>1048965181.4210318</v>
      </c>
      <c r="S882" s="254">
        <v>31</v>
      </c>
      <c r="T882" s="256">
        <v>0.18688823910539498</v>
      </c>
      <c r="U882" s="256">
        <v>2.4159407440176159</v>
      </c>
      <c r="V882" s="256">
        <v>0.22932441766305978</v>
      </c>
      <c r="W882" s="256">
        <v>2.248146093246882</v>
      </c>
      <c r="X882" s="256">
        <v>0.28182033897722203</v>
      </c>
      <c r="Y882" s="256">
        <v>2.1370948261020262</v>
      </c>
      <c r="Z882" s="256">
        <v>0.41740524704843529</v>
      </c>
      <c r="AA882" s="256">
        <v>2.372666742105074</v>
      </c>
      <c r="AB882" s="256">
        <v>5.6794152262591012E-2</v>
      </c>
      <c r="AC882" s="260">
        <v>1.9544724190658125</v>
      </c>
      <c r="AD882" s="405">
        <v>29236556000163</v>
      </c>
      <c r="AE882" s="257" t="s">
        <v>2305</v>
      </c>
      <c r="AF882" s="257" t="s">
        <v>2109</v>
      </c>
      <c r="AG882" s="261" t="s">
        <v>1432</v>
      </c>
      <c r="AH882" s="261" t="s">
        <v>2113</v>
      </c>
      <c r="AI882" s="261">
        <v>500</v>
      </c>
      <c r="AJ882" s="261">
        <v>100</v>
      </c>
      <c r="AK882" s="261">
        <v>100</v>
      </c>
      <c r="AL882" s="256">
        <v>1.9E-2</v>
      </c>
      <c r="AM882" s="256">
        <v>0.2</v>
      </c>
      <c r="AN882" s="256" t="s">
        <v>64</v>
      </c>
      <c r="AO882" s="254" t="s">
        <v>1324</v>
      </c>
      <c r="AP882" s="257" t="s">
        <v>13</v>
      </c>
      <c r="AQ882" s="263" t="s">
        <v>664</v>
      </c>
      <c r="AR882" s="256">
        <v>4.7499999999999999E-3</v>
      </c>
      <c r="AS882" s="256">
        <v>4.7499999999999999E-3</v>
      </c>
      <c r="AT882" s="256"/>
      <c r="AX882" s="508"/>
      <c r="AY882" s="509"/>
      <c r="AZ882" s="509"/>
      <c r="BA882" s="509"/>
      <c r="BB882" s="510"/>
      <c r="BC882" s="509"/>
      <c r="BD882" s="509"/>
      <c r="BE882" s="509"/>
      <c r="BF882" s="509"/>
      <c r="BG882" s="510"/>
      <c r="BH882" s="510"/>
      <c r="BI882" s="511"/>
      <c r="BJ882" s="511"/>
      <c r="BK882" s="511"/>
      <c r="BL882" s="510"/>
      <c r="BM882" s="510"/>
      <c r="BN882" s="510"/>
      <c r="BO882" s="510"/>
      <c r="BP882" s="510"/>
      <c r="BQ882" s="510"/>
      <c r="BR882" s="510"/>
      <c r="BS882" s="510"/>
      <c r="BT882" s="513"/>
      <c r="BU882" s="514"/>
      <c r="BV882" s="512"/>
      <c r="BW882" s="515"/>
    </row>
    <row r="883" spans="2:75" ht="15.75" customHeight="1">
      <c r="B883" s="250" t="s">
        <v>1053</v>
      </c>
      <c r="C883" s="251">
        <v>14796095000106</v>
      </c>
      <c r="D883" s="252" t="s">
        <v>13</v>
      </c>
      <c r="E883" s="252" t="s">
        <v>615</v>
      </c>
      <c r="F883" s="252" t="s">
        <v>619</v>
      </c>
      <c r="G883" s="253" t="s">
        <v>34</v>
      </c>
      <c r="H883" s="253" t="s">
        <v>1337</v>
      </c>
      <c r="I883" s="253" t="s">
        <v>34</v>
      </c>
      <c r="J883" s="253"/>
      <c r="K883" s="254" t="s">
        <v>48</v>
      </c>
      <c r="L883" s="255"/>
      <c r="M883" s="255" t="s">
        <v>1414</v>
      </c>
      <c r="N883" s="254">
        <v>301485</v>
      </c>
      <c r="O883" s="254" t="s">
        <v>1321</v>
      </c>
      <c r="P883" s="258">
        <v>40953</v>
      </c>
      <c r="Q883" s="259">
        <v>62862107.329999998</v>
      </c>
      <c r="R883" s="259">
        <v>74170010.723214269</v>
      </c>
      <c r="S883" s="254">
        <v>31</v>
      </c>
      <c r="T883" s="256">
        <v>0.15608339141434935</v>
      </c>
      <c r="U883" s="256">
        <v>2.0177204653831553</v>
      </c>
      <c r="V883" s="256">
        <v>0.18061289940952219</v>
      </c>
      <c r="W883" s="256">
        <v>1.7706103359394516</v>
      </c>
      <c r="X883" s="256">
        <v>0.23613726994811701</v>
      </c>
      <c r="Y883" s="256">
        <v>1.7906718148428817</v>
      </c>
      <c r="Z883" s="256">
        <v>0.303969443732103</v>
      </c>
      <c r="AA883" s="256">
        <v>1.7278608614990671</v>
      </c>
      <c r="AB883" s="256">
        <v>3.4953833346790808E-2</v>
      </c>
      <c r="AC883" s="260">
        <v>1.9896177449032459</v>
      </c>
      <c r="AD883" s="405">
        <v>0</v>
      </c>
      <c r="AE883" s="257" t="s">
        <v>2312</v>
      </c>
      <c r="AF883" s="257" t="s">
        <v>2109</v>
      </c>
      <c r="AG883" s="261" t="s">
        <v>1432</v>
      </c>
      <c r="AH883" s="261" t="s">
        <v>2110</v>
      </c>
      <c r="AI883" s="261">
        <v>5000</v>
      </c>
      <c r="AJ883" s="261">
        <v>0</v>
      </c>
      <c r="AK883" s="261">
        <v>0</v>
      </c>
      <c r="AL883" s="256">
        <v>6.7000000000000002E-3</v>
      </c>
      <c r="AM883" s="256">
        <v>0.2</v>
      </c>
      <c r="AN883" s="256" t="s">
        <v>2127</v>
      </c>
      <c r="AO883" s="254" t="s">
        <v>1324</v>
      </c>
      <c r="AP883" s="257" t="s">
        <v>13</v>
      </c>
      <c r="AQ883" s="263" t="s">
        <v>686</v>
      </c>
      <c r="AR883" s="256">
        <v>1.34E-3</v>
      </c>
      <c r="AS883" s="256">
        <v>1.34E-3</v>
      </c>
      <c r="AT883" s="256"/>
      <c r="AX883" s="508"/>
      <c r="AY883" s="509"/>
      <c r="AZ883" s="509"/>
      <c r="BA883" s="509"/>
      <c r="BB883" s="510"/>
      <c r="BC883" s="509"/>
      <c r="BD883" s="509"/>
      <c r="BE883" s="509"/>
      <c r="BF883" s="509"/>
      <c r="BG883" s="510"/>
      <c r="BH883" s="510"/>
      <c r="BI883" s="511"/>
      <c r="BJ883" s="511"/>
      <c r="BK883" s="511"/>
      <c r="BL883" s="510"/>
      <c r="BM883" s="510"/>
      <c r="BN883" s="510"/>
      <c r="BO883" s="510"/>
      <c r="BP883" s="510"/>
      <c r="BQ883" s="510"/>
      <c r="BR883" s="510"/>
      <c r="BS883" s="510"/>
      <c r="BT883" s="513"/>
      <c r="BU883" s="514"/>
      <c r="BV883" s="512"/>
      <c r="BW883" s="515"/>
    </row>
    <row r="884" spans="2:75" ht="15.75" customHeight="1">
      <c r="B884" s="250" t="s">
        <v>1615</v>
      </c>
      <c r="C884" s="251">
        <v>35591322000137</v>
      </c>
      <c r="D884" s="252" t="s">
        <v>13</v>
      </c>
      <c r="E884" s="252" t="s">
        <v>615</v>
      </c>
      <c r="F884" s="252" t="s">
        <v>619</v>
      </c>
      <c r="G884" s="253" t="s">
        <v>34</v>
      </c>
      <c r="H884" s="253" t="s">
        <v>1337</v>
      </c>
      <c r="I884" s="253" t="s">
        <v>34</v>
      </c>
      <c r="J884" s="253" t="s">
        <v>611</v>
      </c>
      <c r="K884" s="254" t="s">
        <v>48</v>
      </c>
      <c r="L884" s="255"/>
      <c r="M884" s="255"/>
      <c r="N884" s="254">
        <v>536318</v>
      </c>
      <c r="O884" s="254" t="s">
        <v>1321</v>
      </c>
      <c r="P884" s="258">
        <v>43951</v>
      </c>
      <c r="Q884" s="259">
        <v>130039329.17</v>
      </c>
      <c r="R884" s="259">
        <v>157432639.78297615</v>
      </c>
      <c r="S884" s="254">
        <v>31</v>
      </c>
      <c r="T884" s="256">
        <v>0.11996768940294689</v>
      </c>
      <c r="U884" s="256">
        <v>1.3493861958478452</v>
      </c>
      <c r="V884" s="256">
        <v>0.14428350077728114</v>
      </c>
      <c r="W884" s="256">
        <v>1.3241918988144872</v>
      </c>
      <c r="X884" s="256">
        <v>0.24147426542088724</v>
      </c>
      <c r="Y884" s="256">
        <v>1.6979964332197095</v>
      </c>
      <c r="Z884" s="256" t="s">
        <v>1417</v>
      </c>
      <c r="AA884" s="256" t="s">
        <v>1417</v>
      </c>
      <c r="AB884" s="256">
        <v>3.9296594772457789E-2</v>
      </c>
      <c r="AC884" s="260">
        <v>0.81786080827645746</v>
      </c>
      <c r="AD884" s="405">
        <v>35162628000178</v>
      </c>
      <c r="AE884" s="257" t="s">
        <v>2318</v>
      </c>
      <c r="AF884" s="257" t="s">
        <v>2318</v>
      </c>
      <c r="AG884" s="261" t="s">
        <v>1436</v>
      </c>
      <c r="AH884" s="261" t="s">
        <v>2113</v>
      </c>
      <c r="AI884" s="261">
        <v>1000</v>
      </c>
      <c r="AJ884" s="261">
        <v>100</v>
      </c>
      <c r="AK884" s="261">
        <v>1000</v>
      </c>
      <c r="AL884" s="256">
        <v>0</v>
      </c>
      <c r="AM884" s="256" t="s">
        <v>34</v>
      </c>
      <c r="AN884" s="256" t="s">
        <v>64</v>
      </c>
      <c r="AO884" s="254" t="s">
        <v>1324</v>
      </c>
      <c r="AP884" s="257" t="s">
        <v>13</v>
      </c>
      <c r="AQ884" s="263" t="s">
        <v>668</v>
      </c>
      <c r="AR884" s="256" t="s">
        <v>34</v>
      </c>
      <c r="AS884" s="256" t="s">
        <v>34</v>
      </c>
      <c r="AT884" s="256"/>
      <c r="AX884" s="508"/>
      <c r="AY884" s="509"/>
      <c r="AZ884" s="509"/>
      <c r="BA884" s="509"/>
      <c r="BB884" s="510"/>
      <c r="BC884" s="509"/>
      <c r="BD884" s="509"/>
      <c r="BE884" s="509"/>
      <c r="BF884" s="509"/>
      <c r="BG884" s="510"/>
      <c r="BH884" s="510"/>
      <c r="BI884" s="511"/>
      <c r="BJ884" s="511"/>
      <c r="BK884" s="511"/>
      <c r="BL884" s="510"/>
      <c r="BM884" s="510"/>
      <c r="BN884" s="510"/>
      <c r="BO884" s="510"/>
      <c r="BP884" s="510"/>
      <c r="BQ884" s="510"/>
      <c r="BR884" s="510"/>
      <c r="BS884" s="510"/>
      <c r="BT884" s="513"/>
      <c r="BU884" s="514"/>
      <c r="BV884" s="512"/>
      <c r="BW884" s="515"/>
    </row>
    <row r="885" spans="2:75" ht="15.75" customHeight="1">
      <c r="B885" s="250" t="s">
        <v>1616</v>
      </c>
      <c r="C885" s="251">
        <v>23884835000157</v>
      </c>
      <c r="D885" s="252" t="s">
        <v>13</v>
      </c>
      <c r="E885" s="252" t="s">
        <v>615</v>
      </c>
      <c r="F885" s="252" t="s">
        <v>619</v>
      </c>
      <c r="G885" s="253" t="s">
        <v>34</v>
      </c>
      <c r="H885" s="253" t="s">
        <v>1338</v>
      </c>
      <c r="I885" s="253" t="s">
        <v>34</v>
      </c>
      <c r="J885" s="253" t="s">
        <v>611</v>
      </c>
      <c r="K885" s="254" t="s">
        <v>48</v>
      </c>
      <c r="L885" s="255"/>
      <c r="M885" s="255"/>
      <c r="N885" s="254">
        <v>419753</v>
      </c>
      <c r="O885" s="254" t="s">
        <v>1321</v>
      </c>
      <c r="P885" s="258">
        <v>42550</v>
      </c>
      <c r="Q885" s="259">
        <v>8652637.1799999997</v>
      </c>
      <c r="R885" s="259">
        <v>17354141.742420629</v>
      </c>
      <c r="S885" s="254">
        <v>31</v>
      </c>
      <c r="T885" s="256">
        <v>-1.2445476201362493E-2</v>
      </c>
      <c r="U885" s="256">
        <v>-0.1399856400540036</v>
      </c>
      <c r="V885" s="256">
        <v>1.7479160861898713E-2</v>
      </c>
      <c r="W885" s="256">
        <v>0.16041864167913267</v>
      </c>
      <c r="X885" s="256">
        <v>3.0755062441841785E-2</v>
      </c>
      <c r="Y885" s="256">
        <v>0.2162631543310605</v>
      </c>
      <c r="Z885" s="256">
        <v>4.1782560094609122E-2</v>
      </c>
      <c r="AA885" s="256">
        <v>0.22832346072239321</v>
      </c>
      <c r="AB885" s="256">
        <v>0.10208386566580237</v>
      </c>
      <c r="AC885" s="260">
        <v>-0.79255180376176582</v>
      </c>
      <c r="AD885" s="405">
        <v>24029438000160</v>
      </c>
      <c r="AE885" s="257" t="s">
        <v>2318</v>
      </c>
      <c r="AF885" s="257" t="s">
        <v>2318</v>
      </c>
      <c r="AG885" s="261" t="s">
        <v>1436</v>
      </c>
      <c r="AH885" s="261" t="s">
        <v>2319</v>
      </c>
      <c r="AI885" s="261">
        <v>1000</v>
      </c>
      <c r="AJ885" s="261">
        <v>100</v>
      </c>
      <c r="AK885" s="261">
        <v>1000</v>
      </c>
      <c r="AL885" s="256">
        <v>0</v>
      </c>
      <c r="AM885" s="256" t="s">
        <v>34</v>
      </c>
      <c r="AN885" s="256" t="s">
        <v>64</v>
      </c>
      <c r="AO885" s="254" t="s">
        <v>1324</v>
      </c>
      <c r="AP885" s="257" t="s">
        <v>13</v>
      </c>
      <c r="AQ885" s="263" t="s">
        <v>664</v>
      </c>
      <c r="AR885" s="256" t="s">
        <v>34</v>
      </c>
      <c r="AS885" s="256" t="s">
        <v>34</v>
      </c>
      <c r="AT885" s="256"/>
      <c r="AX885" s="508"/>
      <c r="AY885" s="509"/>
      <c r="AZ885" s="509"/>
      <c r="BA885" s="509"/>
      <c r="BB885" s="510"/>
      <c r="BC885" s="509"/>
      <c r="BD885" s="509"/>
      <c r="BE885" s="509"/>
      <c r="BF885" s="509"/>
      <c r="BG885" s="510"/>
      <c r="BH885" s="510"/>
      <c r="BI885" s="511"/>
      <c r="BJ885" s="511"/>
      <c r="BK885" s="511"/>
      <c r="BL885" s="510"/>
      <c r="BM885" s="510"/>
      <c r="BN885" s="510"/>
      <c r="BO885" s="510"/>
      <c r="BP885" s="510"/>
      <c r="BQ885" s="510"/>
      <c r="BR885" s="510"/>
      <c r="BS885" s="510"/>
      <c r="BT885" s="513"/>
      <c r="BU885" s="514"/>
      <c r="BV885" s="512"/>
      <c r="BW885" s="515"/>
    </row>
    <row r="886" spans="2:75" ht="15.75" customHeight="1">
      <c r="B886" s="250" t="s">
        <v>1618</v>
      </c>
      <c r="C886" s="251">
        <v>27249950000100</v>
      </c>
      <c r="D886" s="252" t="s">
        <v>13</v>
      </c>
      <c r="E886" s="252" t="s">
        <v>615</v>
      </c>
      <c r="F886" s="252" t="s">
        <v>619</v>
      </c>
      <c r="G886" s="253" t="s">
        <v>34</v>
      </c>
      <c r="H886" s="253" t="s">
        <v>1338</v>
      </c>
      <c r="I886" s="253" t="s">
        <v>34</v>
      </c>
      <c r="J886" s="253" t="s">
        <v>611</v>
      </c>
      <c r="K886" s="254" t="s">
        <v>48</v>
      </c>
      <c r="L886" s="255"/>
      <c r="M886" s="255"/>
      <c r="N886" s="254">
        <v>444391</v>
      </c>
      <c r="O886" s="254" t="s">
        <v>1321</v>
      </c>
      <c r="P886" s="258">
        <v>42916</v>
      </c>
      <c r="Q886" s="259">
        <v>36158491.939999998</v>
      </c>
      <c r="R886" s="259">
        <v>65554591.964404762</v>
      </c>
      <c r="S886" s="254">
        <v>31</v>
      </c>
      <c r="T886" s="256">
        <v>-7.5489384977398544E-3</v>
      </c>
      <c r="U886" s="256">
        <v>-8.4909807406062368E-2</v>
      </c>
      <c r="V886" s="256">
        <v>2.3121372892855208E-2</v>
      </c>
      <c r="W886" s="256">
        <v>0.2122012184986346</v>
      </c>
      <c r="X886" s="256">
        <v>6.8760189438450636E-2</v>
      </c>
      <c r="Y886" s="256">
        <v>0.48350724335157907</v>
      </c>
      <c r="Z886" s="256">
        <v>7.2714416376467916E-2</v>
      </c>
      <c r="AA886" s="256">
        <v>0.39735255939059361</v>
      </c>
      <c r="AB886" s="256">
        <v>0.10061168224459439</v>
      </c>
      <c r="AC886" s="260">
        <v>-0.75068035408937395</v>
      </c>
      <c r="AD886" s="405">
        <v>23951048000180</v>
      </c>
      <c r="AE886" s="257" t="s">
        <v>2318</v>
      </c>
      <c r="AF886" s="257" t="s">
        <v>2318</v>
      </c>
      <c r="AG886" s="261" t="s">
        <v>1436</v>
      </c>
      <c r="AH886" s="261" t="s">
        <v>2319</v>
      </c>
      <c r="AI886" s="261">
        <v>1000</v>
      </c>
      <c r="AJ886" s="261">
        <v>100</v>
      </c>
      <c r="AK886" s="261">
        <v>1000</v>
      </c>
      <c r="AL886" s="256">
        <v>0</v>
      </c>
      <c r="AM886" s="256" t="s">
        <v>34</v>
      </c>
      <c r="AN886" s="256" t="s">
        <v>64</v>
      </c>
      <c r="AO886" s="254" t="s">
        <v>1324</v>
      </c>
      <c r="AP886" s="257" t="s">
        <v>13</v>
      </c>
      <c r="AQ886" s="263" t="s">
        <v>664</v>
      </c>
      <c r="AR886" s="256" t="s">
        <v>34</v>
      </c>
      <c r="AS886" s="256" t="s">
        <v>34</v>
      </c>
      <c r="AT886" s="256"/>
      <c r="AX886" s="508"/>
      <c r="AY886" s="509"/>
      <c r="AZ886" s="509"/>
      <c r="BA886" s="509"/>
      <c r="BB886" s="510"/>
      <c r="BC886" s="509"/>
      <c r="BD886" s="509"/>
      <c r="BE886" s="509"/>
      <c r="BF886" s="509"/>
      <c r="BG886" s="510"/>
      <c r="BH886" s="510"/>
      <c r="BI886" s="511"/>
      <c r="BJ886" s="511"/>
      <c r="BK886" s="511"/>
      <c r="BL886" s="510"/>
      <c r="BM886" s="510"/>
      <c r="BN886" s="510"/>
      <c r="BO886" s="510"/>
      <c r="BP886" s="510"/>
      <c r="BQ886" s="510"/>
      <c r="BR886" s="510"/>
      <c r="BS886" s="510"/>
      <c r="BT886" s="513"/>
      <c r="BU886" s="514"/>
      <c r="BV886" s="512"/>
      <c r="BW886" s="515"/>
    </row>
    <row r="887" spans="2:75" ht="15.75" customHeight="1">
      <c r="B887" s="250" t="s">
        <v>1622</v>
      </c>
      <c r="C887" s="251">
        <v>30129277000180</v>
      </c>
      <c r="D887" s="252" t="s">
        <v>13</v>
      </c>
      <c r="E887" s="252" t="s">
        <v>615</v>
      </c>
      <c r="F887" s="252" t="s">
        <v>619</v>
      </c>
      <c r="G887" s="253" t="s">
        <v>34</v>
      </c>
      <c r="H887" s="253" t="s">
        <v>1337</v>
      </c>
      <c r="I887" s="253" t="s">
        <v>34</v>
      </c>
      <c r="J887" s="253" t="s">
        <v>611</v>
      </c>
      <c r="K887" s="254" t="s">
        <v>48</v>
      </c>
      <c r="L887" s="255"/>
      <c r="M887" s="255"/>
      <c r="N887" s="254">
        <v>480142</v>
      </c>
      <c r="O887" s="254" t="s">
        <v>1321</v>
      </c>
      <c r="P887" s="258">
        <v>43416</v>
      </c>
      <c r="Q887" s="259">
        <v>59898742.130000003</v>
      </c>
      <c r="R887" s="259">
        <v>76714243.209444389</v>
      </c>
      <c r="S887" s="254">
        <v>31</v>
      </c>
      <c r="T887" s="256">
        <v>0.16897132674487314</v>
      </c>
      <c r="U887" s="256">
        <v>1.900574870937098</v>
      </c>
      <c r="V887" s="256">
        <v>0.17879965505279749</v>
      </c>
      <c r="W887" s="256">
        <v>1.6409710982630954</v>
      </c>
      <c r="X887" s="256">
        <v>0.24919633086021165</v>
      </c>
      <c r="Y887" s="256">
        <v>1.7522963792210271</v>
      </c>
      <c r="Z887" s="256">
        <v>0.21675246934625569</v>
      </c>
      <c r="AA887" s="256">
        <v>1.18445767346953</v>
      </c>
      <c r="AB887" s="256">
        <v>3.4709951334043358E-2</v>
      </c>
      <c r="AC887" s="260">
        <v>1.7777356501966839</v>
      </c>
      <c r="AD887" s="405">
        <v>30493304000107</v>
      </c>
      <c r="AE887" s="257" t="s">
        <v>2318</v>
      </c>
      <c r="AF887" s="257" t="s">
        <v>2318</v>
      </c>
      <c r="AG887" s="261" t="s">
        <v>1436</v>
      </c>
      <c r="AH887" s="261" t="s">
        <v>2113</v>
      </c>
      <c r="AI887" s="261">
        <v>5000</v>
      </c>
      <c r="AJ887" s="261">
        <v>1000</v>
      </c>
      <c r="AK887" s="261">
        <v>5000</v>
      </c>
      <c r="AL887" s="256">
        <v>0</v>
      </c>
      <c r="AM887" s="256" t="s">
        <v>34</v>
      </c>
      <c r="AN887" s="256" t="s">
        <v>64</v>
      </c>
      <c r="AO887" s="254" t="s">
        <v>1324</v>
      </c>
      <c r="AP887" s="257" t="s">
        <v>13</v>
      </c>
      <c r="AQ887" s="263" t="s">
        <v>664</v>
      </c>
      <c r="AR887" s="256" t="s">
        <v>34</v>
      </c>
      <c r="AS887" s="256" t="s">
        <v>34</v>
      </c>
      <c r="AT887" s="256"/>
      <c r="AX887" s="508"/>
      <c r="AY887" s="509"/>
      <c r="AZ887" s="509"/>
      <c r="BA887" s="509"/>
      <c r="BB887" s="510"/>
      <c r="BC887" s="509"/>
      <c r="BD887" s="509"/>
      <c r="BE887" s="509"/>
      <c r="BF887" s="509"/>
      <c r="BG887" s="510"/>
      <c r="BH887" s="510"/>
      <c r="BI887" s="511"/>
      <c r="BJ887" s="511"/>
      <c r="BK887" s="511"/>
      <c r="BL887" s="510"/>
      <c r="BM887" s="510"/>
      <c r="BN887" s="510"/>
      <c r="BO887" s="510"/>
      <c r="BP887" s="510"/>
      <c r="BQ887" s="510"/>
      <c r="BR887" s="510"/>
      <c r="BS887" s="510"/>
      <c r="BT887" s="513"/>
      <c r="BU887" s="514"/>
      <c r="BV887" s="512"/>
      <c r="BW887" s="515"/>
    </row>
    <row r="888" spans="2:75" ht="15.75" customHeight="1">
      <c r="B888" s="250" t="s">
        <v>1626</v>
      </c>
      <c r="C888" s="251">
        <v>26570686000140</v>
      </c>
      <c r="D888" s="252" t="s">
        <v>13</v>
      </c>
      <c r="E888" s="252" t="s">
        <v>615</v>
      </c>
      <c r="F888" s="252" t="s">
        <v>619</v>
      </c>
      <c r="G888" s="253" t="s">
        <v>34</v>
      </c>
      <c r="H888" s="253" t="s">
        <v>1338</v>
      </c>
      <c r="I888" s="253" t="s">
        <v>34</v>
      </c>
      <c r="J888" s="253" t="s">
        <v>611</v>
      </c>
      <c r="K888" s="254" t="s">
        <v>48</v>
      </c>
      <c r="L888" s="255"/>
      <c r="M888" s="255"/>
      <c r="N888" s="254">
        <v>434922</v>
      </c>
      <c r="O888" s="254" t="s">
        <v>1321</v>
      </c>
      <c r="P888" s="258">
        <v>42776</v>
      </c>
      <c r="Q888" s="259">
        <v>11751546.17</v>
      </c>
      <c r="R888" s="259">
        <v>9257231.2840873059</v>
      </c>
      <c r="S888" s="254">
        <v>31</v>
      </c>
      <c r="T888" s="256">
        <v>0.11322289174321232</v>
      </c>
      <c r="U888" s="256">
        <v>1.2735212950472374</v>
      </c>
      <c r="V888" s="256">
        <v>0.12741854868592739</v>
      </c>
      <c r="W888" s="256">
        <v>1.169410286135586</v>
      </c>
      <c r="X888" s="256">
        <v>0.26687276359150269</v>
      </c>
      <c r="Y888" s="256">
        <v>1.8765933500699303</v>
      </c>
      <c r="Z888" s="256">
        <v>0.26291857984961231</v>
      </c>
      <c r="AA888" s="256">
        <v>1.4367353245840391</v>
      </c>
      <c r="AB888" s="256">
        <v>7.8863943603510303E-2</v>
      </c>
      <c r="AC888" s="260">
        <v>0.2486539027549925</v>
      </c>
      <c r="AD888" s="405">
        <v>26101893000155</v>
      </c>
      <c r="AE888" s="257" t="s">
        <v>2318</v>
      </c>
      <c r="AF888" s="257" t="s">
        <v>2318</v>
      </c>
      <c r="AG888" s="261" t="s">
        <v>1436</v>
      </c>
      <c r="AH888" s="261" t="s">
        <v>2319</v>
      </c>
      <c r="AI888" s="261">
        <v>1000</v>
      </c>
      <c r="AJ888" s="261">
        <v>100</v>
      </c>
      <c r="AK888" s="261">
        <v>1000</v>
      </c>
      <c r="AL888" s="256">
        <v>0</v>
      </c>
      <c r="AM888" s="256" t="s">
        <v>34</v>
      </c>
      <c r="AN888" s="256" t="s">
        <v>64</v>
      </c>
      <c r="AO888" s="254" t="s">
        <v>1324</v>
      </c>
      <c r="AP888" s="257" t="s">
        <v>13</v>
      </c>
      <c r="AQ888" s="263" t="s">
        <v>664</v>
      </c>
      <c r="AR888" s="256" t="s">
        <v>34</v>
      </c>
      <c r="AS888" s="256" t="s">
        <v>34</v>
      </c>
      <c r="AT888" s="256"/>
      <c r="AX888" s="508"/>
      <c r="AY888" s="509"/>
      <c r="AZ888" s="509"/>
      <c r="BA888" s="509"/>
      <c r="BB888" s="510"/>
      <c r="BC888" s="509"/>
      <c r="BD888" s="509"/>
      <c r="BE888" s="509"/>
      <c r="BF888" s="509"/>
      <c r="BG888" s="510"/>
      <c r="BH888" s="510"/>
      <c r="BI888" s="511"/>
      <c r="BJ888" s="511"/>
      <c r="BK888" s="511"/>
      <c r="BL888" s="510"/>
      <c r="BM888" s="510"/>
      <c r="BN888" s="510"/>
      <c r="BO888" s="510"/>
      <c r="BP888" s="510"/>
      <c r="BQ888" s="510"/>
      <c r="BR888" s="510"/>
      <c r="BS888" s="510"/>
      <c r="BT888" s="513"/>
      <c r="BU888" s="514"/>
      <c r="BV888" s="512"/>
      <c r="BW888" s="515"/>
    </row>
    <row r="889" spans="2:75" ht="15.75" customHeight="1">
      <c r="B889" s="250" t="s">
        <v>1636</v>
      </c>
      <c r="C889" s="251">
        <v>13667312000103</v>
      </c>
      <c r="D889" s="252" t="s">
        <v>13</v>
      </c>
      <c r="E889" s="252" t="s">
        <v>615</v>
      </c>
      <c r="F889" s="252" t="s">
        <v>619</v>
      </c>
      <c r="G889" s="253" t="s">
        <v>34</v>
      </c>
      <c r="H889" s="253" t="s">
        <v>1337</v>
      </c>
      <c r="I889" s="253" t="s">
        <v>34</v>
      </c>
      <c r="J889" s="253" t="s">
        <v>611</v>
      </c>
      <c r="K889" s="254" t="s">
        <v>48</v>
      </c>
      <c r="L889" s="255"/>
      <c r="M889" s="255"/>
      <c r="N889" s="254">
        <v>285773</v>
      </c>
      <c r="O889" s="254" t="s">
        <v>1321</v>
      </c>
      <c r="P889" s="258">
        <v>40784</v>
      </c>
      <c r="Q889" s="259">
        <v>289776121.57999998</v>
      </c>
      <c r="R889" s="259">
        <v>165974356.10698402</v>
      </c>
      <c r="S889" s="254">
        <v>31</v>
      </c>
      <c r="T889" s="256">
        <v>0.14472983819930674</v>
      </c>
      <c r="U889" s="256">
        <v>1.6279087041301257</v>
      </c>
      <c r="V889" s="256">
        <v>0.18042473527374292</v>
      </c>
      <c r="W889" s="256">
        <v>1.6558856106772442</v>
      </c>
      <c r="X889" s="256">
        <v>0.2519596493957923</v>
      </c>
      <c r="Y889" s="256">
        <v>1.7717274561065395</v>
      </c>
      <c r="Z889" s="256">
        <v>0.37815749401955956</v>
      </c>
      <c r="AA889" s="256">
        <v>2.0664657105057</v>
      </c>
      <c r="AB889" s="256">
        <v>4.1540516395814978E-2</v>
      </c>
      <c r="AC889" s="260">
        <v>1.5248925453814115</v>
      </c>
      <c r="AD889" s="405">
        <v>12154412000165</v>
      </c>
      <c r="AE889" s="257" t="s">
        <v>2318</v>
      </c>
      <c r="AF889" s="257" t="s">
        <v>2318</v>
      </c>
      <c r="AG889" s="261" t="s">
        <v>1436</v>
      </c>
      <c r="AH889" s="261" t="s">
        <v>2319</v>
      </c>
      <c r="AI889" s="261">
        <v>5000</v>
      </c>
      <c r="AJ889" s="261">
        <v>1000</v>
      </c>
      <c r="AK889" s="261">
        <v>5000</v>
      </c>
      <c r="AL889" s="256">
        <v>0</v>
      </c>
      <c r="AM889" s="256" t="s">
        <v>34</v>
      </c>
      <c r="AN889" s="256" t="s">
        <v>64</v>
      </c>
      <c r="AO889" s="254" t="s">
        <v>1324</v>
      </c>
      <c r="AP889" s="257" t="s">
        <v>13</v>
      </c>
      <c r="AQ889" s="263" t="s">
        <v>664</v>
      </c>
      <c r="AR889" s="256" t="s">
        <v>34</v>
      </c>
      <c r="AS889" s="256" t="s">
        <v>34</v>
      </c>
      <c r="AT889" s="256"/>
      <c r="AX889" s="508"/>
      <c r="AY889" s="509"/>
      <c r="AZ889" s="509"/>
      <c r="BA889" s="509"/>
      <c r="BB889" s="510"/>
      <c r="BC889" s="509"/>
      <c r="BD889" s="509"/>
      <c r="BE889" s="509"/>
      <c r="BF889" s="509"/>
      <c r="BG889" s="510"/>
      <c r="BH889" s="510"/>
      <c r="BI889" s="511"/>
      <c r="BJ889" s="511"/>
      <c r="BK889" s="511"/>
      <c r="BL889" s="510"/>
      <c r="BM889" s="510"/>
      <c r="BN889" s="510"/>
      <c r="BO889" s="510"/>
      <c r="BP889" s="510"/>
      <c r="BQ889" s="510"/>
      <c r="BR889" s="510"/>
      <c r="BS889" s="510"/>
      <c r="BT889" s="513"/>
      <c r="BU889" s="514"/>
      <c r="BV889" s="512"/>
      <c r="BW889" s="515"/>
    </row>
    <row r="890" spans="2:75" ht="15.75" customHeight="1">
      <c r="B890" s="250" t="s">
        <v>1637</v>
      </c>
      <c r="C890" s="251">
        <v>21940681000148</v>
      </c>
      <c r="D890" s="252" t="s">
        <v>13</v>
      </c>
      <c r="E890" s="252" t="s">
        <v>615</v>
      </c>
      <c r="F890" s="252" t="s">
        <v>619</v>
      </c>
      <c r="G890" s="253" t="s">
        <v>34</v>
      </c>
      <c r="H890" s="253" t="s">
        <v>865</v>
      </c>
      <c r="I890" s="253" t="s">
        <v>34</v>
      </c>
      <c r="J890" s="253" t="s">
        <v>611</v>
      </c>
      <c r="K890" s="254" t="s">
        <v>48</v>
      </c>
      <c r="L890" s="255"/>
      <c r="M890" s="255"/>
      <c r="N890" s="254">
        <v>406597</v>
      </c>
      <c r="O890" s="254" t="s">
        <v>1321</v>
      </c>
      <c r="P890" s="258">
        <v>42297</v>
      </c>
      <c r="Q890" s="259">
        <v>777165698.82000005</v>
      </c>
      <c r="R890" s="259">
        <v>825601303.23674619</v>
      </c>
      <c r="S890" s="254">
        <v>31</v>
      </c>
      <c r="T890" s="256">
        <v>0.18209925025779961</v>
      </c>
      <c r="U890" s="256">
        <v>2.0482366193349475</v>
      </c>
      <c r="V890" s="256">
        <v>0.22907378740282525</v>
      </c>
      <c r="W890" s="256">
        <v>2.1023724256442273</v>
      </c>
      <c r="X890" s="256">
        <v>0.33362741376745375</v>
      </c>
      <c r="Y890" s="256">
        <v>2.3459980615907541</v>
      </c>
      <c r="Z890" s="256">
        <v>0.55474573006710504</v>
      </c>
      <c r="AA890" s="256">
        <v>3.031443373098484</v>
      </c>
      <c r="AB890" s="256">
        <v>6.1861175502820019E-2</v>
      </c>
      <c r="AC890" s="260">
        <v>1.6942829861159769</v>
      </c>
      <c r="AD890" s="405">
        <v>15799713000134</v>
      </c>
      <c r="AE890" s="257" t="s">
        <v>2318</v>
      </c>
      <c r="AF890" s="257" t="s">
        <v>2318</v>
      </c>
      <c r="AG890" s="261" t="s">
        <v>1436</v>
      </c>
      <c r="AH890" s="261" t="s">
        <v>2319</v>
      </c>
      <c r="AI890" s="261">
        <v>5000</v>
      </c>
      <c r="AJ890" s="261">
        <v>1000</v>
      </c>
      <c r="AK890" s="261">
        <v>5000</v>
      </c>
      <c r="AL890" s="256">
        <v>0</v>
      </c>
      <c r="AM890" s="256" t="s">
        <v>34</v>
      </c>
      <c r="AN890" s="256" t="s">
        <v>64</v>
      </c>
      <c r="AO890" s="254" t="s">
        <v>1324</v>
      </c>
      <c r="AP890" s="257" t="s">
        <v>13</v>
      </c>
      <c r="AQ890" s="263" t="s">
        <v>668</v>
      </c>
      <c r="AR890" s="256" t="s">
        <v>34</v>
      </c>
      <c r="AS890" s="256" t="s">
        <v>34</v>
      </c>
      <c r="AT890" s="256"/>
      <c r="AX890" s="508"/>
      <c r="AY890" s="509"/>
      <c r="AZ890" s="509"/>
      <c r="BA890" s="509"/>
      <c r="BB890" s="510"/>
      <c r="BC890" s="509"/>
      <c r="BD890" s="509"/>
      <c r="BE890" s="509"/>
      <c r="BF890" s="509"/>
      <c r="BG890" s="510"/>
      <c r="BH890" s="510"/>
      <c r="BI890" s="511"/>
      <c r="BJ890" s="511"/>
      <c r="BK890" s="511"/>
      <c r="BL890" s="510"/>
      <c r="BM890" s="510"/>
      <c r="BN890" s="510"/>
      <c r="BO890" s="510"/>
      <c r="BP890" s="510"/>
      <c r="BQ890" s="510"/>
      <c r="BR890" s="510"/>
      <c r="BS890" s="510"/>
      <c r="BT890" s="513"/>
      <c r="BU890" s="514"/>
      <c r="BV890" s="512"/>
      <c r="BW890" s="515"/>
    </row>
    <row r="891" spans="2:75" ht="15.75" customHeight="1">
      <c r="B891" s="250" t="s">
        <v>1639</v>
      </c>
      <c r="C891" s="251">
        <v>31006866000133</v>
      </c>
      <c r="D891" s="252" t="s">
        <v>13</v>
      </c>
      <c r="E891" s="252" t="s">
        <v>615</v>
      </c>
      <c r="F891" s="252" t="s">
        <v>619</v>
      </c>
      <c r="G891" s="253" t="s">
        <v>34</v>
      </c>
      <c r="H891" s="253" t="s">
        <v>1337</v>
      </c>
      <c r="I891" s="253" t="s">
        <v>34</v>
      </c>
      <c r="J891" s="253" t="s">
        <v>611</v>
      </c>
      <c r="K891" s="254" t="s">
        <v>48</v>
      </c>
      <c r="L891" s="255"/>
      <c r="M891" s="255"/>
      <c r="N891" s="254">
        <v>482013</v>
      </c>
      <c r="O891" s="254" t="s">
        <v>1321</v>
      </c>
      <c r="P891" s="258">
        <v>43440</v>
      </c>
      <c r="Q891" s="259">
        <v>260426434.28999999</v>
      </c>
      <c r="R891" s="259">
        <v>371081558.28753978</v>
      </c>
      <c r="S891" s="254">
        <v>31</v>
      </c>
      <c r="T891" s="256">
        <v>0.1277857497402537</v>
      </c>
      <c r="U891" s="256">
        <v>1.4373230624322593</v>
      </c>
      <c r="V891" s="256">
        <v>0.14563881380019184</v>
      </c>
      <c r="W891" s="256">
        <v>1.3366305665459171</v>
      </c>
      <c r="X891" s="256">
        <v>0.14630854136356675</v>
      </c>
      <c r="Y891" s="256">
        <v>1.028811003739472</v>
      </c>
      <c r="Z891" s="256">
        <v>0.2675167944025667</v>
      </c>
      <c r="AA891" s="256">
        <v>1.4618625608638973</v>
      </c>
      <c r="AB891" s="256">
        <v>2.2017069135014427E-2</v>
      </c>
      <c r="AC891" s="260">
        <v>1.4895654652563646</v>
      </c>
      <c r="AD891" s="405">
        <v>32064861000120</v>
      </c>
      <c r="AE891" s="257" t="s">
        <v>2318</v>
      </c>
      <c r="AF891" s="257" t="s">
        <v>2318</v>
      </c>
      <c r="AG891" s="261" t="s">
        <v>1436</v>
      </c>
      <c r="AH891" s="261" t="s">
        <v>2319</v>
      </c>
      <c r="AI891" s="261">
        <v>20000</v>
      </c>
      <c r="AJ891" s="261">
        <v>1000</v>
      </c>
      <c r="AK891" s="261">
        <v>20000</v>
      </c>
      <c r="AL891" s="256">
        <v>0</v>
      </c>
      <c r="AM891" s="256" t="s">
        <v>34</v>
      </c>
      <c r="AN891" s="256" t="s">
        <v>64</v>
      </c>
      <c r="AO891" s="254" t="s">
        <v>1324</v>
      </c>
      <c r="AP891" s="257" t="s">
        <v>13</v>
      </c>
      <c r="AQ891" s="263" t="s">
        <v>668</v>
      </c>
      <c r="AR891" s="256" t="s">
        <v>34</v>
      </c>
      <c r="AS891" s="256" t="s">
        <v>34</v>
      </c>
      <c r="AT891" s="256"/>
      <c r="AX891" s="508"/>
      <c r="AY891" s="509"/>
      <c r="AZ891" s="509"/>
      <c r="BA891" s="509"/>
      <c r="BB891" s="510"/>
      <c r="BC891" s="509"/>
      <c r="BD891" s="509"/>
      <c r="BE891" s="509"/>
      <c r="BF891" s="509"/>
      <c r="BG891" s="510"/>
      <c r="BH891" s="510"/>
      <c r="BI891" s="511"/>
      <c r="BJ891" s="511"/>
      <c r="BK891" s="511"/>
      <c r="BL891" s="510"/>
      <c r="BM891" s="510"/>
      <c r="BN891" s="510"/>
      <c r="BO891" s="510"/>
      <c r="BP891" s="510"/>
      <c r="BQ891" s="510"/>
      <c r="BR891" s="510"/>
      <c r="BS891" s="510"/>
      <c r="BT891" s="513"/>
      <c r="BU891" s="514"/>
      <c r="BV891" s="512"/>
      <c r="BW891" s="515"/>
    </row>
    <row r="892" spans="2:75" ht="15.75" customHeight="1">
      <c r="B892" s="250" t="s">
        <v>1640</v>
      </c>
      <c r="C892" s="251">
        <v>27146944000128</v>
      </c>
      <c r="D892" s="252" t="s">
        <v>13</v>
      </c>
      <c r="E892" s="252" t="s">
        <v>615</v>
      </c>
      <c r="F892" s="252" t="s">
        <v>619</v>
      </c>
      <c r="G892" s="253" t="s">
        <v>34</v>
      </c>
      <c r="H892" s="253" t="s">
        <v>1337</v>
      </c>
      <c r="I892" s="253" t="s">
        <v>34</v>
      </c>
      <c r="J892" s="253" t="s">
        <v>611</v>
      </c>
      <c r="K892" s="254" t="s">
        <v>48</v>
      </c>
      <c r="L892" s="255"/>
      <c r="M892" s="255"/>
      <c r="N892" s="254">
        <v>437190</v>
      </c>
      <c r="O892" s="254" t="s">
        <v>1321</v>
      </c>
      <c r="P892" s="258">
        <v>42822</v>
      </c>
      <c r="Q892" s="259">
        <v>337789010.52999997</v>
      </c>
      <c r="R892" s="259">
        <v>267742669.56912693</v>
      </c>
      <c r="S892" s="254">
        <v>31</v>
      </c>
      <c r="T892" s="256">
        <v>0.11919016837505403</v>
      </c>
      <c r="U892" s="256">
        <v>1.3406407065645092</v>
      </c>
      <c r="V892" s="256">
        <v>0.13452834227901933</v>
      </c>
      <c r="W892" s="256">
        <v>1.2346618986033777</v>
      </c>
      <c r="X892" s="256">
        <v>0.28478098031595489</v>
      </c>
      <c r="Y892" s="256">
        <v>2.0025201773881309</v>
      </c>
      <c r="Z892" s="256">
        <v>0.26047693562802743</v>
      </c>
      <c r="AA892" s="256">
        <v>1.4233928042295474</v>
      </c>
      <c r="AB892" s="256">
        <v>3.8702281417115229E-2</v>
      </c>
      <c r="AC892" s="260">
        <v>0.60848736869331743</v>
      </c>
      <c r="AD892" s="405">
        <v>13396543000111</v>
      </c>
      <c r="AE892" s="257" t="s">
        <v>2318</v>
      </c>
      <c r="AF892" s="257" t="s">
        <v>2318</v>
      </c>
      <c r="AG892" s="261" t="s">
        <v>1436</v>
      </c>
      <c r="AH892" s="261" t="s">
        <v>2319</v>
      </c>
      <c r="AI892" s="261">
        <v>1000</v>
      </c>
      <c r="AJ892" s="261">
        <v>100</v>
      </c>
      <c r="AK892" s="261">
        <v>1000</v>
      </c>
      <c r="AL892" s="256">
        <v>0</v>
      </c>
      <c r="AM892" s="256" t="s">
        <v>34</v>
      </c>
      <c r="AN892" s="256" t="s">
        <v>64</v>
      </c>
      <c r="AO892" s="254" t="s">
        <v>1324</v>
      </c>
      <c r="AP892" s="257" t="s">
        <v>13</v>
      </c>
      <c r="AQ892" s="263" t="s">
        <v>668</v>
      </c>
      <c r="AR892" s="256" t="s">
        <v>34</v>
      </c>
      <c r="AS892" s="256" t="s">
        <v>34</v>
      </c>
      <c r="AT892" s="256"/>
      <c r="AX892" s="508"/>
      <c r="AY892" s="509"/>
      <c r="AZ892" s="509"/>
      <c r="BA892" s="509"/>
      <c r="BB892" s="510"/>
      <c r="BC892" s="509"/>
      <c r="BD892" s="509"/>
      <c r="BE892" s="509"/>
      <c r="BF892" s="509"/>
      <c r="BG892" s="510"/>
      <c r="BH892" s="510"/>
      <c r="BI892" s="511"/>
      <c r="BJ892" s="511"/>
      <c r="BK892" s="511"/>
      <c r="BL892" s="510"/>
      <c r="BM892" s="510"/>
      <c r="BN892" s="510"/>
      <c r="BO892" s="510"/>
      <c r="BP892" s="510"/>
      <c r="BQ892" s="510"/>
      <c r="BR892" s="510"/>
      <c r="BS892" s="510"/>
      <c r="BT892" s="513"/>
      <c r="BU892" s="514"/>
      <c r="BV892" s="512"/>
      <c r="BW892" s="515"/>
    </row>
    <row r="893" spans="2:75" ht="15.75" customHeight="1">
      <c r="B893" s="250" t="s">
        <v>1645</v>
      </c>
      <c r="C893" s="251">
        <v>30658551000108</v>
      </c>
      <c r="D893" s="252" t="s">
        <v>13</v>
      </c>
      <c r="E893" s="252" t="s">
        <v>615</v>
      </c>
      <c r="F893" s="252" t="s">
        <v>619</v>
      </c>
      <c r="G893" s="253" t="s">
        <v>34</v>
      </c>
      <c r="H893" s="253" t="s">
        <v>865</v>
      </c>
      <c r="I893" s="253" t="s">
        <v>34</v>
      </c>
      <c r="J893" s="253" t="s">
        <v>611</v>
      </c>
      <c r="K893" s="254" t="s">
        <v>48</v>
      </c>
      <c r="L893" s="255"/>
      <c r="M893" s="255"/>
      <c r="N893" s="254">
        <v>480533</v>
      </c>
      <c r="O893" s="254" t="s">
        <v>1321</v>
      </c>
      <c r="P893" s="258">
        <v>43427</v>
      </c>
      <c r="Q893" s="259">
        <v>80187931.930000007</v>
      </c>
      <c r="R893" s="259">
        <v>87570650.801984087</v>
      </c>
      <c r="S893" s="254">
        <v>31</v>
      </c>
      <c r="T893" s="256">
        <v>0.20623600981807133</v>
      </c>
      <c r="U893" s="256">
        <v>2.3197248035720706</v>
      </c>
      <c r="V893" s="256">
        <v>0.2418117424600541</v>
      </c>
      <c r="W893" s="256">
        <v>2.2192776629262259</v>
      </c>
      <c r="X893" s="256">
        <v>0.32716987119765006</v>
      </c>
      <c r="Y893" s="256">
        <v>2.3005899754256323</v>
      </c>
      <c r="Z893" s="256">
        <v>0.42213742810763821</v>
      </c>
      <c r="AA893" s="256">
        <v>2.306796861363746</v>
      </c>
      <c r="AB893" s="256">
        <v>5.6751644504569779E-2</v>
      </c>
      <c r="AC893" s="260">
        <v>2.0232476082390205</v>
      </c>
      <c r="AD893" s="405">
        <v>30586677000114</v>
      </c>
      <c r="AE893" s="257" t="s">
        <v>2318</v>
      </c>
      <c r="AF893" s="257" t="s">
        <v>2318</v>
      </c>
      <c r="AG893" s="261" t="s">
        <v>1436</v>
      </c>
      <c r="AH893" s="261" t="s">
        <v>2113</v>
      </c>
      <c r="AI893" s="261">
        <v>25000</v>
      </c>
      <c r="AJ893" s="261">
        <v>5000</v>
      </c>
      <c r="AK893" s="261">
        <v>10000</v>
      </c>
      <c r="AL893" s="256">
        <v>0</v>
      </c>
      <c r="AM893" s="256" t="s">
        <v>34</v>
      </c>
      <c r="AN893" s="256" t="s">
        <v>64</v>
      </c>
      <c r="AO893" s="254" t="s">
        <v>1324</v>
      </c>
      <c r="AP893" s="257" t="s">
        <v>13</v>
      </c>
      <c r="AQ893" s="263" t="s">
        <v>664</v>
      </c>
      <c r="AR893" s="256" t="s">
        <v>34</v>
      </c>
      <c r="AS893" s="256" t="s">
        <v>34</v>
      </c>
      <c r="AT893" s="256"/>
      <c r="AX893" s="508"/>
      <c r="AY893" s="509"/>
      <c r="AZ893" s="509"/>
      <c r="BA893" s="509"/>
      <c r="BB893" s="510"/>
      <c r="BC893" s="509"/>
      <c r="BD893" s="509"/>
      <c r="BE893" s="509"/>
      <c r="BF893" s="509"/>
      <c r="BG893" s="510"/>
      <c r="BH893" s="510"/>
      <c r="BI893" s="511"/>
      <c r="BJ893" s="511"/>
      <c r="BK893" s="511"/>
      <c r="BL893" s="510"/>
      <c r="BM893" s="510"/>
      <c r="BN893" s="510"/>
      <c r="BO893" s="510"/>
      <c r="BP893" s="510"/>
      <c r="BQ893" s="510"/>
      <c r="BR893" s="510"/>
      <c r="BS893" s="510"/>
      <c r="BT893" s="513"/>
      <c r="BU893" s="514"/>
      <c r="BV893" s="512"/>
      <c r="BW893" s="515"/>
    </row>
    <row r="894" spans="2:75" ht="15.75" customHeight="1">
      <c r="B894" s="250" t="s">
        <v>1646</v>
      </c>
      <c r="C894" s="251">
        <v>32666390000120</v>
      </c>
      <c r="D894" s="252" t="s">
        <v>13</v>
      </c>
      <c r="E894" s="252" t="s">
        <v>615</v>
      </c>
      <c r="F894" s="252" t="s">
        <v>619</v>
      </c>
      <c r="G894" s="253" t="s">
        <v>34</v>
      </c>
      <c r="H894" s="253" t="s">
        <v>865</v>
      </c>
      <c r="I894" s="253" t="s">
        <v>34</v>
      </c>
      <c r="J894" s="253" t="s">
        <v>611</v>
      </c>
      <c r="K894" s="254" t="s">
        <v>48</v>
      </c>
      <c r="L894" s="255"/>
      <c r="M894" s="255"/>
      <c r="N894" s="254">
        <v>491004</v>
      </c>
      <c r="O894" s="254" t="s">
        <v>1321</v>
      </c>
      <c r="P894" s="258">
        <v>43556</v>
      </c>
      <c r="Q894" s="259">
        <v>1301525208.3299999</v>
      </c>
      <c r="R894" s="259">
        <v>1313369784.6541271</v>
      </c>
      <c r="S894" s="254">
        <v>31</v>
      </c>
      <c r="T894" s="256">
        <v>0.20676700819811478</v>
      </c>
      <c r="U894" s="256">
        <v>2.3256974274311624</v>
      </c>
      <c r="V894" s="256">
        <v>0.24239053848399394</v>
      </c>
      <c r="W894" s="256">
        <v>2.2245896840640431</v>
      </c>
      <c r="X894" s="256">
        <v>0.32892353044601652</v>
      </c>
      <c r="Y894" s="256">
        <v>2.3129213397787605</v>
      </c>
      <c r="Z894" s="256">
        <v>0.42273173986918544</v>
      </c>
      <c r="AA894" s="256">
        <v>2.3100445158357847</v>
      </c>
      <c r="AB894" s="256">
        <v>5.6697407796368594E-2</v>
      </c>
      <c r="AC894" s="260">
        <v>2.0333554086796992</v>
      </c>
      <c r="AD894" s="405">
        <v>32386241000107</v>
      </c>
      <c r="AE894" s="257" t="s">
        <v>2318</v>
      </c>
      <c r="AF894" s="257" t="s">
        <v>2318</v>
      </c>
      <c r="AG894" s="261" t="s">
        <v>1436</v>
      </c>
      <c r="AH894" s="261" t="s">
        <v>2113</v>
      </c>
      <c r="AI894" s="261">
        <v>1000</v>
      </c>
      <c r="AJ894" s="261">
        <v>100</v>
      </c>
      <c r="AK894" s="261">
        <v>1000</v>
      </c>
      <c r="AL894" s="256">
        <v>0</v>
      </c>
      <c r="AM894" s="256" t="s">
        <v>34</v>
      </c>
      <c r="AN894" s="256" t="s">
        <v>64</v>
      </c>
      <c r="AO894" s="254" t="s">
        <v>1324</v>
      </c>
      <c r="AP894" s="257" t="s">
        <v>13</v>
      </c>
      <c r="AQ894" s="263" t="s">
        <v>664</v>
      </c>
      <c r="AR894" s="256" t="s">
        <v>34</v>
      </c>
      <c r="AS894" s="256" t="s">
        <v>34</v>
      </c>
      <c r="AT894" s="256"/>
      <c r="AX894" s="508"/>
      <c r="AY894" s="509"/>
      <c r="AZ894" s="509"/>
      <c r="BA894" s="509"/>
      <c r="BB894" s="510"/>
      <c r="BC894" s="509"/>
      <c r="BD894" s="509"/>
      <c r="BE894" s="509"/>
      <c r="BF894" s="509"/>
      <c r="BG894" s="510"/>
      <c r="BH894" s="510"/>
      <c r="BI894" s="511"/>
      <c r="BJ894" s="511"/>
      <c r="BK894" s="511"/>
      <c r="BL894" s="510"/>
      <c r="BM894" s="510"/>
      <c r="BN894" s="510"/>
      <c r="BO894" s="510"/>
      <c r="BP894" s="510"/>
      <c r="BQ894" s="510"/>
      <c r="BR894" s="510"/>
      <c r="BS894" s="510"/>
      <c r="BT894" s="513"/>
      <c r="BU894" s="514"/>
      <c r="BV894" s="512"/>
      <c r="BW894" s="515"/>
    </row>
    <row r="895" spans="2:75" ht="15.75" customHeight="1">
      <c r="B895" s="250" t="s">
        <v>1655</v>
      </c>
      <c r="C895" s="251">
        <v>34887367000190</v>
      </c>
      <c r="D895" s="252" t="s">
        <v>13</v>
      </c>
      <c r="E895" s="252" t="s">
        <v>615</v>
      </c>
      <c r="F895" s="252" t="s">
        <v>619</v>
      </c>
      <c r="G895" s="253" t="s">
        <v>34</v>
      </c>
      <c r="H895" s="253" t="s">
        <v>1337</v>
      </c>
      <c r="I895" s="253" t="s">
        <v>34</v>
      </c>
      <c r="J895" s="253" t="s">
        <v>608</v>
      </c>
      <c r="K895" s="254" t="s">
        <v>48</v>
      </c>
      <c r="L895" s="255"/>
      <c r="M895" s="255"/>
      <c r="N895" s="254">
        <v>536261</v>
      </c>
      <c r="O895" s="254" t="s">
        <v>1321</v>
      </c>
      <c r="P895" s="258">
        <v>43963</v>
      </c>
      <c r="Q895" s="259">
        <v>131253467.08</v>
      </c>
      <c r="R895" s="259">
        <v>199924776.35011908</v>
      </c>
      <c r="S895" s="254">
        <v>31</v>
      </c>
      <c r="T895" s="256">
        <v>9.8750382023862437E-2</v>
      </c>
      <c r="U895" s="256">
        <v>1.1107357572765584</v>
      </c>
      <c r="V895" s="256">
        <v>0.10696291677860703</v>
      </c>
      <c r="W895" s="256">
        <v>0.98167446110444068</v>
      </c>
      <c r="X895" s="256">
        <v>0.15098555216251697</v>
      </c>
      <c r="Y895" s="256">
        <v>1.0616987636045057</v>
      </c>
      <c r="Z895" s="256" t="s">
        <v>1417</v>
      </c>
      <c r="AA895" s="256" t="s">
        <v>1417</v>
      </c>
      <c r="AB895" s="256">
        <v>3.6576438633307451E-2</v>
      </c>
      <c r="AC895" s="260">
        <v>-3.1100398949172603E-2</v>
      </c>
      <c r="AD895" s="405">
        <v>35927377000175</v>
      </c>
      <c r="AE895" s="257" t="s">
        <v>2318</v>
      </c>
      <c r="AF895" s="257" t="s">
        <v>2318</v>
      </c>
      <c r="AG895" s="261" t="s">
        <v>1436</v>
      </c>
      <c r="AH895" s="261" t="s">
        <v>2113</v>
      </c>
      <c r="AI895" s="261">
        <v>10000</v>
      </c>
      <c r="AJ895" s="261">
        <v>0</v>
      </c>
      <c r="AK895" s="261">
        <v>1000</v>
      </c>
      <c r="AL895" s="256">
        <v>0</v>
      </c>
      <c r="AM895" s="256" t="s">
        <v>34</v>
      </c>
      <c r="AN895" s="256" t="s">
        <v>64</v>
      </c>
      <c r="AO895" s="254" t="s">
        <v>1324</v>
      </c>
      <c r="AP895" s="257" t="s">
        <v>13</v>
      </c>
      <c r="AQ895" s="263" t="s">
        <v>668</v>
      </c>
      <c r="AR895" s="256" t="s">
        <v>34</v>
      </c>
      <c r="AS895" s="256" t="s">
        <v>34</v>
      </c>
      <c r="AT895" s="256"/>
      <c r="AX895" s="508"/>
      <c r="AY895" s="509"/>
      <c r="AZ895" s="509"/>
      <c r="BA895" s="509"/>
      <c r="BB895" s="510"/>
      <c r="BC895" s="509"/>
      <c r="BD895" s="509"/>
      <c r="BE895" s="509"/>
      <c r="BF895" s="509"/>
      <c r="BG895" s="510"/>
      <c r="BH895" s="510"/>
      <c r="BI895" s="511"/>
      <c r="BJ895" s="511"/>
      <c r="BK895" s="511"/>
      <c r="BL895" s="510"/>
      <c r="BM895" s="510"/>
      <c r="BN895" s="510"/>
      <c r="BO895" s="510"/>
      <c r="BP895" s="510"/>
      <c r="BQ895" s="510"/>
      <c r="BR895" s="510"/>
      <c r="BS895" s="510"/>
      <c r="BT895" s="513"/>
      <c r="BU895" s="514"/>
      <c r="BV895" s="512"/>
      <c r="BW895" s="515"/>
    </row>
    <row r="896" spans="2:75" ht="15.75" customHeight="1">
      <c r="B896" s="250" t="s">
        <v>1658</v>
      </c>
      <c r="C896" s="251">
        <v>34681782000193</v>
      </c>
      <c r="D896" s="252" t="s">
        <v>13</v>
      </c>
      <c r="E896" s="252" t="s">
        <v>615</v>
      </c>
      <c r="F896" s="252" t="s">
        <v>619</v>
      </c>
      <c r="G896" s="253" t="s">
        <v>34</v>
      </c>
      <c r="H896" s="253" t="s">
        <v>1337</v>
      </c>
      <c r="I896" s="253" t="s">
        <v>34</v>
      </c>
      <c r="J896" s="253" t="s">
        <v>611</v>
      </c>
      <c r="K896" s="254" t="s">
        <v>48</v>
      </c>
      <c r="L896" s="255"/>
      <c r="M896" s="255"/>
      <c r="N896" s="254">
        <v>517951</v>
      </c>
      <c r="O896" s="254" t="s">
        <v>1321</v>
      </c>
      <c r="P896" s="258">
        <v>43816</v>
      </c>
      <c r="Q896" s="259">
        <v>456956.5</v>
      </c>
      <c r="R896" s="259">
        <v>3390124.8286507907</v>
      </c>
      <c r="S896" s="254">
        <v>31</v>
      </c>
      <c r="T896" s="256">
        <v>4.2018632050896843E-2</v>
      </c>
      <c r="U896" s="256">
        <v>0.4726219396244975</v>
      </c>
      <c r="V896" s="256">
        <v>5.1000827650992342E-2</v>
      </c>
      <c r="W896" s="256">
        <v>0.46807072495784624</v>
      </c>
      <c r="X896" s="256">
        <v>5.6794911801601344E-2</v>
      </c>
      <c r="Y896" s="256">
        <v>0.39936991834743701</v>
      </c>
      <c r="Z896" s="256" t="s">
        <v>1417</v>
      </c>
      <c r="AA896" s="256" t="s">
        <v>1417</v>
      </c>
      <c r="AB896" s="256">
        <v>4.3906236453793594E-2</v>
      </c>
      <c r="AC896" s="260">
        <v>-1.2011103884446144</v>
      </c>
      <c r="AD896" s="405">
        <v>22354046000141</v>
      </c>
      <c r="AE896" s="257" t="s">
        <v>2318</v>
      </c>
      <c r="AF896" s="257" t="s">
        <v>2318</v>
      </c>
      <c r="AG896" s="261" t="s">
        <v>1436</v>
      </c>
      <c r="AH896" s="261" t="s">
        <v>2113</v>
      </c>
      <c r="AI896" s="261">
        <v>5000</v>
      </c>
      <c r="AJ896" s="261">
        <v>5000</v>
      </c>
      <c r="AK896" s="261">
        <v>5000</v>
      </c>
      <c r="AL896" s="256">
        <v>0</v>
      </c>
      <c r="AM896" s="256" t="s">
        <v>34</v>
      </c>
      <c r="AN896" s="256" t="s">
        <v>64</v>
      </c>
      <c r="AO896" s="254" t="s">
        <v>1324</v>
      </c>
      <c r="AP896" s="257" t="s">
        <v>13</v>
      </c>
      <c r="AQ896" s="263" t="s">
        <v>664</v>
      </c>
      <c r="AR896" s="256" t="s">
        <v>34</v>
      </c>
      <c r="AS896" s="256" t="s">
        <v>34</v>
      </c>
      <c r="AT896" s="256"/>
      <c r="AX896" s="508"/>
      <c r="AY896" s="509"/>
      <c r="AZ896" s="509"/>
      <c r="BA896" s="509"/>
      <c r="BB896" s="510"/>
      <c r="BC896" s="509"/>
      <c r="BD896" s="509"/>
      <c r="BE896" s="509"/>
      <c r="BF896" s="509"/>
      <c r="BG896" s="510"/>
      <c r="BH896" s="510"/>
      <c r="BI896" s="511"/>
      <c r="BJ896" s="511"/>
      <c r="BK896" s="511"/>
      <c r="BL896" s="510"/>
      <c r="BM896" s="510"/>
      <c r="BN896" s="510"/>
      <c r="BO896" s="510"/>
      <c r="BP896" s="510"/>
      <c r="BQ896" s="510"/>
      <c r="BR896" s="510"/>
      <c r="BS896" s="510"/>
      <c r="BT896" s="513"/>
      <c r="BU896" s="514"/>
      <c r="BV896" s="512"/>
      <c r="BW896" s="515"/>
    </row>
    <row r="897" spans="2:75" ht="15.75" customHeight="1">
      <c r="B897" s="250" t="s">
        <v>1089</v>
      </c>
      <c r="C897" s="251">
        <v>8771538000101</v>
      </c>
      <c r="D897" s="252" t="s">
        <v>13</v>
      </c>
      <c r="E897" s="252" t="s">
        <v>616</v>
      </c>
      <c r="F897" s="252" t="s">
        <v>619</v>
      </c>
      <c r="G897" s="253" t="s">
        <v>34</v>
      </c>
      <c r="H897" s="253" t="s">
        <v>865</v>
      </c>
      <c r="I897" s="253" t="s">
        <v>34</v>
      </c>
      <c r="J897" s="253"/>
      <c r="K897" s="254" t="s">
        <v>48</v>
      </c>
      <c r="L897" s="255"/>
      <c r="M897" s="255" t="s">
        <v>34</v>
      </c>
      <c r="N897" s="254">
        <v>198889</v>
      </c>
      <c r="O897" s="254" t="s">
        <v>1321</v>
      </c>
      <c r="P897" s="258">
        <v>39407</v>
      </c>
      <c r="Q897" s="259">
        <v>419719871.67000002</v>
      </c>
      <c r="R897" s="259">
        <v>438921934.32154763</v>
      </c>
      <c r="S897" s="254">
        <v>31</v>
      </c>
      <c r="T897" s="256">
        <v>0.13852785563059022</v>
      </c>
      <c r="U897" s="256">
        <v>1.7907766277930104</v>
      </c>
      <c r="V897" s="256">
        <v>0.11166899393701968</v>
      </c>
      <c r="W897" s="256">
        <v>1.0947295321389585</v>
      </c>
      <c r="X897" s="256">
        <v>0.1632339985523934</v>
      </c>
      <c r="Y897" s="256">
        <v>1.2378330642007385</v>
      </c>
      <c r="Z897" s="256">
        <v>0.31089574543692011</v>
      </c>
      <c r="AA897" s="256">
        <v>1.7672322058149625</v>
      </c>
      <c r="AB897" s="256">
        <v>6.2271974695247853E-2</v>
      </c>
      <c r="AC897" s="260">
        <v>0.17141381585859783</v>
      </c>
      <c r="AD897" s="405">
        <v>8817456000150</v>
      </c>
      <c r="AE897" s="257" t="s">
        <v>2334</v>
      </c>
      <c r="AF897" s="257" t="s">
        <v>2112</v>
      </c>
      <c r="AG897" s="261" t="s">
        <v>59</v>
      </c>
      <c r="AH897" s="261" t="s">
        <v>2113</v>
      </c>
      <c r="AI897" s="261">
        <v>25000</v>
      </c>
      <c r="AJ897" s="261">
        <v>1000</v>
      </c>
      <c r="AK897" s="261">
        <v>1000</v>
      </c>
      <c r="AL897" s="256">
        <v>0.02</v>
      </c>
      <c r="AM897" s="256">
        <v>0.2</v>
      </c>
      <c r="AN897" s="256" t="s">
        <v>64</v>
      </c>
      <c r="AO897" s="254" t="s">
        <v>1324</v>
      </c>
      <c r="AP897" s="257" t="s">
        <v>13</v>
      </c>
      <c r="AQ897" s="263" t="s">
        <v>664</v>
      </c>
      <c r="AR897" s="256">
        <v>5.3333333333333332E-3</v>
      </c>
      <c r="AS897" s="256">
        <v>5.3333333333333332E-3</v>
      </c>
      <c r="AT897" s="256"/>
      <c r="AX897" s="508"/>
      <c r="AY897" s="509"/>
      <c r="AZ897" s="509"/>
      <c r="BA897" s="509"/>
      <c r="BB897" s="510"/>
      <c r="BC897" s="509"/>
      <c r="BD897" s="509"/>
      <c r="BE897" s="509"/>
      <c r="BF897" s="509"/>
      <c r="BG897" s="510"/>
      <c r="BH897" s="510"/>
      <c r="BI897" s="511"/>
      <c r="BJ897" s="511"/>
      <c r="BK897" s="511"/>
      <c r="BL897" s="510"/>
      <c r="BM897" s="510"/>
      <c r="BN897" s="510"/>
      <c r="BO897" s="510"/>
      <c r="BP897" s="510"/>
      <c r="BQ897" s="510"/>
      <c r="BR897" s="510"/>
      <c r="BS897" s="510"/>
      <c r="BT897" s="513"/>
      <c r="BU897" s="514"/>
      <c r="BV897" s="512"/>
      <c r="BW897" s="515"/>
    </row>
    <row r="898" spans="2:75" ht="15.75" customHeight="1">
      <c r="B898" s="250" t="s">
        <v>522</v>
      </c>
      <c r="C898" s="251">
        <v>41128407000186</v>
      </c>
      <c r="D898" s="252" t="s">
        <v>13</v>
      </c>
      <c r="E898" s="252" t="s">
        <v>615</v>
      </c>
      <c r="F898" s="252" t="s">
        <v>619</v>
      </c>
      <c r="G898" s="253" t="s">
        <v>34</v>
      </c>
      <c r="H898" s="253" t="s">
        <v>1337</v>
      </c>
      <c r="I898" s="253" t="s">
        <v>34</v>
      </c>
      <c r="J898" s="253"/>
      <c r="K898" s="254" t="s">
        <v>48</v>
      </c>
      <c r="L898" s="255"/>
      <c r="M898" s="255" t="s">
        <v>34</v>
      </c>
      <c r="N898" s="254">
        <v>592978</v>
      </c>
      <c r="O898" s="254" t="s">
        <v>1321</v>
      </c>
      <c r="P898" s="258">
        <v>44347</v>
      </c>
      <c r="Q898" s="259">
        <v>27325956.030000001</v>
      </c>
      <c r="R898" s="259">
        <v>24292989.826388903</v>
      </c>
      <c r="S898" s="254">
        <v>31</v>
      </c>
      <c r="T898" s="256">
        <v>5.7816716888481556E-2</v>
      </c>
      <c r="U898" s="256">
        <v>0.74740798396329766</v>
      </c>
      <c r="V898" s="256">
        <v>0.1029303601606637</v>
      </c>
      <c r="W898" s="256">
        <v>1.009061701452499</v>
      </c>
      <c r="X898" s="256" t="s">
        <v>1417</v>
      </c>
      <c r="Y898" s="256" t="s">
        <v>1417</v>
      </c>
      <c r="Z898" s="256" t="s">
        <v>1417</v>
      </c>
      <c r="AA898" s="256" t="s">
        <v>1417</v>
      </c>
      <c r="AB898" s="256">
        <v>3.1056244259374029E-2</v>
      </c>
      <c r="AC898" s="260">
        <v>4.2427556243235846E-2</v>
      </c>
      <c r="AD898" s="405">
        <v>0</v>
      </c>
      <c r="AE898" s="257" t="s">
        <v>2336</v>
      </c>
      <c r="AF898" s="257" t="s">
        <v>2118</v>
      </c>
      <c r="AG898" s="261" t="s">
        <v>1433</v>
      </c>
      <c r="AH898" s="261" t="s">
        <v>2113</v>
      </c>
      <c r="AI898" s="261">
        <v>500</v>
      </c>
      <c r="AJ898" s="261" t="s">
        <v>1427</v>
      </c>
      <c r="AK898" s="261">
        <v>500</v>
      </c>
      <c r="AL898" s="256">
        <v>0.02</v>
      </c>
      <c r="AM898" s="256">
        <v>0.2</v>
      </c>
      <c r="AN898" s="256" t="s">
        <v>64</v>
      </c>
      <c r="AO898" s="254" t="s">
        <v>1324</v>
      </c>
      <c r="AP898" s="257" t="s">
        <v>13</v>
      </c>
      <c r="AQ898" s="263" t="s">
        <v>668</v>
      </c>
      <c r="AR898" s="256">
        <v>5.3340000000000002E-3</v>
      </c>
      <c r="AS898" s="256">
        <v>5.3340000000000002E-3</v>
      </c>
      <c r="AT898" s="256"/>
      <c r="AX898" s="508"/>
      <c r="AY898" s="509"/>
      <c r="AZ898" s="509"/>
      <c r="BA898" s="509"/>
      <c r="BB898" s="510"/>
      <c r="BC898" s="509"/>
      <c r="BD898" s="509"/>
      <c r="BE898" s="509"/>
      <c r="BF898" s="509"/>
      <c r="BG898" s="510"/>
      <c r="BH898" s="510"/>
      <c r="BI898" s="511"/>
      <c r="BJ898" s="511"/>
      <c r="BK898" s="511"/>
      <c r="BL898" s="510"/>
      <c r="BM898" s="510"/>
      <c r="BN898" s="510"/>
      <c r="BO898" s="510"/>
      <c r="BP898" s="510"/>
      <c r="BQ898" s="510"/>
      <c r="BR898" s="510"/>
      <c r="BS898" s="510"/>
      <c r="BT898" s="513"/>
      <c r="BU898" s="514"/>
      <c r="BV898" s="512"/>
      <c r="BW898" s="515"/>
    </row>
    <row r="899" spans="2:75" ht="15.75" customHeight="1">
      <c r="B899" s="250" t="s">
        <v>1096</v>
      </c>
      <c r="C899" s="251">
        <v>14146726000141</v>
      </c>
      <c r="D899" s="252" t="s">
        <v>13</v>
      </c>
      <c r="E899" s="252" t="s">
        <v>615</v>
      </c>
      <c r="F899" s="252" t="s">
        <v>619</v>
      </c>
      <c r="G899" s="253" t="s">
        <v>34</v>
      </c>
      <c r="H899" s="253" t="s">
        <v>865</v>
      </c>
      <c r="I899" s="253" t="s">
        <v>34</v>
      </c>
      <c r="J899" s="253"/>
      <c r="K899" s="254" t="s">
        <v>48</v>
      </c>
      <c r="L899" s="255"/>
      <c r="M899" s="255" t="s">
        <v>34</v>
      </c>
      <c r="N899" s="254">
        <v>295906</v>
      </c>
      <c r="O899" s="254" t="s">
        <v>1321</v>
      </c>
      <c r="P899" s="258">
        <v>40932</v>
      </c>
      <c r="Q899" s="259">
        <v>74106474.989999995</v>
      </c>
      <c r="R899" s="259">
        <v>97838911.272460312</v>
      </c>
      <c r="S899" s="254">
        <v>31</v>
      </c>
      <c r="T899" s="256">
        <v>0.20904774537818338</v>
      </c>
      <c r="U899" s="256">
        <v>2.7024010067287008</v>
      </c>
      <c r="V899" s="256">
        <v>0.19252099227457298</v>
      </c>
      <c r="W899" s="256">
        <v>1.8873494635273349</v>
      </c>
      <c r="X899" s="256">
        <v>0.1758716080980125</v>
      </c>
      <c r="Y899" s="256">
        <v>1.3336663531402675</v>
      </c>
      <c r="Z899" s="256">
        <v>0.25294254764848767</v>
      </c>
      <c r="AA899" s="256">
        <v>1.4378074418390194</v>
      </c>
      <c r="AB899" s="256">
        <v>6.3183603771856722E-2</v>
      </c>
      <c r="AC899" s="260">
        <v>1.281383913599315</v>
      </c>
      <c r="AD899" s="405">
        <v>14146709000104</v>
      </c>
      <c r="AE899" s="257" t="s">
        <v>2341</v>
      </c>
      <c r="AF899" s="257" t="s">
        <v>2112</v>
      </c>
      <c r="AG899" s="261" t="s">
        <v>59</v>
      </c>
      <c r="AH899" s="261" t="s">
        <v>2113</v>
      </c>
      <c r="AI899" s="261">
        <v>5000</v>
      </c>
      <c r="AJ899" s="261">
        <v>1000</v>
      </c>
      <c r="AK899" s="261">
        <v>1000</v>
      </c>
      <c r="AL899" s="256">
        <v>1.9E-2</v>
      </c>
      <c r="AM899" s="256">
        <v>0.2</v>
      </c>
      <c r="AN899" s="256" t="s">
        <v>64</v>
      </c>
      <c r="AO899" s="254" t="s">
        <v>1324</v>
      </c>
      <c r="AP899" s="257" t="s">
        <v>13</v>
      </c>
      <c r="AQ899" s="263" t="s">
        <v>664</v>
      </c>
      <c r="AR899" s="256">
        <v>4.0001333333333335E-3</v>
      </c>
      <c r="AS899" s="256">
        <v>4.0001333333333335E-3</v>
      </c>
      <c r="AT899" s="256"/>
      <c r="AX899" s="508"/>
      <c r="AY899" s="509"/>
      <c r="AZ899" s="509"/>
      <c r="BA899" s="509"/>
      <c r="BB899" s="510"/>
      <c r="BC899" s="509"/>
      <c r="BD899" s="509"/>
      <c r="BE899" s="509"/>
      <c r="BF899" s="509"/>
      <c r="BG899" s="510"/>
      <c r="BH899" s="510"/>
      <c r="BI899" s="511"/>
      <c r="BJ899" s="511"/>
      <c r="BK899" s="511"/>
      <c r="BL899" s="510"/>
      <c r="BM899" s="510"/>
      <c r="BN899" s="510"/>
      <c r="BO899" s="510"/>
      <c r="BP899" s="510"/>
      <c r="BQ899" s="510"/>
      <c r="BR899" s="510"/>
      <c r="BS899" s="510"/>
      <c r="BT899" s="513"/>
      <c r="BU899" s="514"/>
      <c r="BV899" s="512"/>
      <c r="BW899" s="515"/>
    </row>
    <row r="900" spans="2:75" ht="15.75" customHeight="1">
      <c r="B900" s="250" t="s">
        <v>22</v>
      </c>
      <c r="C900" s="251">
        <v>39958357000112</v>
      </c>
      <c r="D900" s="252" t="s">
        <v>13</v>
      </c>
      <c r="E900" s="252" t="s">
        <v>616</v>
      </c>
      <c r="F900" s="252" t="s">
        <v>619</v>
      </c>
      <c r="G900" s="253" t="s">
        <v>34</v>
      </c>
      <c r="H900" s="253" t="s">
        <v>865</v>
      </c>
      <c r="I900" s="253" t="s">
        <v>34</v>
      </c>
      <c r="J900" s="253" t="s">
        <v>611</v>
      </c>
      <c r="K900" s="254" t="s">
        <v>48</v>
      </c>
      <c r="L900" s="255"/>
      <c r="M900" s="255" t="s">
        <v>34</v>
      </c>
      <c r="N900" s="254">
        <v>568678</v>
      </c>
      <c r="O900" s="254" t="s">
        <v>1321</v>
      </c>
      <c r="P900" s="258">
        <v>44195</v>
      </c>
      <c r="Q900" s="259">
        <v>154230621.88</v>
      </c>
      <c r="R900" s="259">
        <v>163091791.12980154</v>
      </c>
      <c r="S900" s="254">
        <v>31</v>
      </c>
      <c r="T900" s="256">
        <v>5.6336025968231285E-2</v>
      </c>
      <c r="U900" s="256">
        <v>0.72826680343394301</v>
      </c>
      <c r="V900" s="256">
        <v>6.457496534705176E-2</v>
      </c>
      <c r="W900" s="256">
        <v>0.6330505819917851</v>
      </c>
      <c r="X900" s="256" t="s">
        <v>1417</v>
      </c>
      <c r="Y900" s="256" t="s">
        <v>1417</v>
      </c>
      <c r="Z900" s="256" t="s">
        <v>1417</v>
      </c>
      <c r="AA900" s="256" t="s">
        <v>1417</v>
      </c>
      <c r="AB900" s="256">
        <v>5.4169772937782495E-2</v>
      </c>
      <c r="AC900" s="260">
        <v>-0.61117979607754136</v>
      </c>
      <c r="AD900" s="405">
        <v>39913857000138</v>
      </c>
      <c r="AE900" s="257" t="s">
        <v>2343</v>
      </c>
      <c r="AF900" s="257" t="s">
        <v>2109</v>
      </c>
      <c r="AG900" s="261" t="s">
        <v>1432</v>
      </c>
      <c r="AH900" s="261" t="s">
        <v>2113</v>
      </c>
      <c r="AI900" s="261">
        <v>1000</v>
      </c>
      <c r="AJ900" s="261">
        <v>500</v>
      </c>
      <c r="AK900" s="261">
        <v>500</v>
      </c>
      <c r="AL900" s="256">
        <v>1.95E-2</v>
      </c>
      <c r="AM900" s="256">
        <v>0.2</v>
      </c>
      <c r="AN900" s="256" t="s">
        <v>34</v>
      </c>
      <c r="AO900" s="254" t="s">
        <v>1324</v>
      </c>
      <c r="AP900" s="257" t="s">
        <v>13</v>
      </c>
      <c r="AQ900" s="263" t="s">
        <v>668</v>
      </c>
      <c r="AR900" s="256">
        <v>5.2006500000000002E-3</v>
      </c>
      <c r="AS900" s="256">
        <v>5.2006500000000002E-3</v>
      </c>
      <c r="AT900" s="256"/>
      <c r="AX900" s="508"/>
      <c r="AY900" s="509"/>
      <c r="AZ900" s="509"/>
      <c r="BA900" s="509"/>
      <c r="BB900" s="510"/>
      <c r="BC900" s="509"/>
      <c r="BD900" s="509"/>
      <c r="BE900" s="509"/>
      <c r="BF900" s="509"/>
      <c r="BG900" s="510"/>
      <c r="BH900" s="510"/>
      <c r="BI900" s="511"/>
      <c r="BJ900" s="511"/>
      <c r="BK900" s="511"/>
      <c r="BL900" s="510"/>
      <c r="BM900" s="510"/>
      <c r="BN900" s="510"/>
      <c r="BO900" s="510"/>
      <c r="BP900" s="510"/>
      <c r="BQ900" s="510"/>
      <c r="BR900" s="510"/>
      <c r="BS900" s="510"/>
      <c r="BT900" s="513"/>
      <c r="BU900" s="514"/>
      <c r="BV900" s="512"/>
      <c r="BW900" s="515"/>
    </row>
    <row r="901" spans="2:75" ht="15.75" customHeight="1">
      <c r="B901" s="250" t="s">
        <v>23</v>
      </c>
      <c r="C901" s="251">
        <v>39958195000112</v>
      </c>
      <c r="D901" s="252" t="s">
        <v>13</v>
      </c>
      <c r="E901" s="252" t="s">
        <v>616</v>
      </c>
      <c r="F901" s="252" t="s">
        <v>619</v>
      </c>
      <c r="G901" s="253" t="s">
        <v>34</v>
      </c>
      <c r="H901" s="253" t="s">
        <v>1338</v>
      </c>
      <c r="I901" s="253" t="s">
        <v>34</v>
      </c>
      <c r="J901" s="253" t="s">
        <v>611</v>
      </c>
      <c r="K901" s="254" t="s">
        <v>48</v>
      </c>
      <c r="L901" s="255"/>
      <c r="M901" s="255" t="s">
        <v>34</v>
      </c>
      <c r="N901" s="254">
        <v>566284</v>
      </c>
      <c r="O901" s="254" t="s">
        <v>1321</v>
      </c>
      <c r="P901" s="258">
        <v>44183</v>
      </c>
      <c r="Q901" s="259">
        <v>498820562.23000002</v>
      </c>
      <c r="R901" s="259">
        <v>587666064.68809485</v>
      </c>
      <c r="S901" s="254">
        <v>31</v>
      </c>
      <c r="T901" s="256">
        <v>5.1784630084426686E-2</v>
      </c>
      <c r="U901" s="256">
        <v>0.66943002049632594</v>
      </c>
      <c r="V901" s="256">
        <v>6.0868779245741411E-2</v>
      </c>
      <c r="W901" s="256">
        <v>0.59671756569367418</v>
      </c>
      <c r="X901" s="256" t="s">
        <v>1417</v>
      </c>
      <c r="Y901" s="256" t="s">
        <v>1417</v>
      </c>
      <c r="Z901" s="256" t="s">
        <v>1417</v>
      </c>
      <c r="AA901" s="256" t="s">
        <v>1417</v>
      </c>
      <c r="AB901" s="256">
        <v>7.0127504159839427E-2</v>
      </c>
      <c r="AC901" s="260">
        <v>-0.5077628315703997</v>
      </c>
      <c r="AD901" s="405">
        <v>39913737000130</v>
      </c>
      <c r="AE901" s="257" t="s">
        <v>2343</v>
      </c>
      <c r="AF901" s="257" t="s">
        <v>2109</v>
      </c>
      <c r="AG901" s="261" t="s">
        <v>1432</v>
      </c>
      <c r="AH901" s="261" t="s">
        <v>2110</v>
      </c>
      <c r="AI901" s="261">
        <v>5000</v>
      </c>
      <c r="AJ901" s="261">
        <v>1000</v>
      </c>
      <c r="AK901" s="261">
        <v>1000</v>
      </c>
      <c r="AL901" s="256">
        <v>1.95E-2</v>
      </c>
      <c r="AM901" s="256">
        <v>0.2</v>
      </c>
      <c r="AN901" s="256" t="s">
        <v>34</v>
      </c>
      <c r="AO901" s="254" t="s">
        <v>1324</v>
      </c>
      <c r="AP901" s="257" t="s">
        <v>13</v>
      </c>
      <c r="AQ901" s="263" t="s">
        <v>668</v>
      </c>
      <c r="AR901" s="256">
        <v>5.2006500000000002E-3</v>
      </c>
      <c r="AS901" s="256">
        <v>5.2006500000000002E-3</v>
      </c>
      <c r="AT901" s="256"/>
      <c r="AX901" s="508"/>
      <c r="AY901" s="509"/>
      <c r="AZ901" s="509"/>
      <c r="BA901" s="509"/>
      <c r="BB901" s="510"/>
      <c r="BC901" s="509"/>
      <c r="BD901" s="509"/>
      <c r="BE901" s="509"/>
      <c r="BF901" s="509"/>
      <c r="BG901" s="510"/>
      <c r="BH901" s="510"/>
      <c r="BI901" s="511"/>
      <c r="BJ901" s="511"/>
      <c r="BK901" s="511"/>
      <c r="BL901" s="510"/>
      <c r="BM901" s="510"/>
      <c r="BN901" s="510"/>
      <c r="BO901" s="510"/>
      <c r="BP901" s="510"/>
      <c r="BQ901" s="510"/>
      <c r="BR901" s="510"/>
      <c r="BS901" s="510"/>
      <c r="BT901" s="513"/>
      <c r="BU901" s="514"/>
      <c r="BV901" s="512"/>
      <c r="BW901" s="515"/>
    </row>
    <row r="902" spans="2:75" ht="15.75" customHeight="1">
      <c r="B902" s="250" t="s">
        <v>1119</v>
      </c>
      <c r="C902" s="251">
        <v>29177015000101</v>
      </c>
      <c r="D902" s="252" t="s">
        <v>13</v>
      </c>
      <c r="E902" s="252" t="s">
        <v>615</v>
      </c>
      <c r="F902" s="252" t="s">
        <v>619</v>
      </c>
      <c r="G902" s="253" t="s">
        <v>34</v>
      </c>
      <c r="H902" s="253" t="s">
        <v>1337</v>
      </c>
      <c r="I902" s="253" t="s">
        <v>34</v>
      </c>
      <c r="J902" s="253" t="s">
        <v>611</v>
      </c>
      <c r="K902" s="254" t="s">
        <v>48</v>
      </c>
      <c r="L902" s="255"/>
      <c r="M902" s="255" t="s">
        <v>34</v>
      </c>
      <c r="N902" s="254">
        <v>469777</v>
      </c>
      <c r="O902" s="254" t="s">
        <v>1321</v>
      </c>
      <c r="P902" s="258">
        <v>43235</v>
      </c>
      <c r="Q902" s="259">
        <v>6816844.21</v>
      </c>
      <c r="R902" s="259">
        <v>9604041.7549206279</v>
      </c>
      <c r="S902" s="254">
        <v>31</v>
      </c>
      <c r="T902" s="256">
        <v>4.2365023991558504E-2</v>
      </c>
      <c r="U902" s="256">
        <v>0.5476609340022156</v>
      </c>
      <c r="V902" s="256">
        <v>3.5933913905060733E-2</v>
      </c>
      <c r="W902" s="256">
        <v>0.35227250976573665</v>
      </c>
      <c r="X902" s="256">
        <v>3.6411146105434833E-2</v>
      </c>
      <c r="Y902" s="256">
        <v>0.27611233538633634</v>
      </c>
      <c r="Z902" s="256">
        <v>9.9949746259276662E-2</v>
      </c>
      <c r="AA902" s="256">
        <v>0.56814676027229816</v>
      </c>
      <c r="AB902" s="256">
        <v>4.2992148291885308E-2</v>
      </c>
      <c r="AC902" s="260">
        <v>-1.4171315548856875</v>
      </c>
      <c r="AD902" s="405">
        <v>22354046000141</v>
      </c>
      <c r="AE902" s="257" t="s">
        <v>2123</v>
      </c>
      <c r="AF902" s="257" t="s">
        <v>2109</v>
      </c>
      <c r="AG902" s="261" t="s">
        <v>1432</v>
      </c>
      <c r="AH902" s="261" t="s">
        <v>2113</v>
      </c>
      <c r="AI902" s="261">
        <v>5000</v>
      </c>
      <c r="AJ902" s="261">
        <v>5000</v>
      </c>
      <c r="AK902" s="261">
        <v>5000</v>
      </c>
      <c r="AL902" s="256">
        <v>0</v>
      </c>
      <c r="AM902" s="256" t="s">
        <v>34</v>
      </c>
      <c r="AN902" s="256" t="s">
        <v>34</v>
      </c>
      <c r="AO902" s="254" t="s">
        <v>1324</v>
      </c>
      <c r="AP902" s="257" t="s">
        <v>13</v>
      </c>
      <c r="AQ902" s="263" t="s">
        <v>668</v>
      </c>
      <c r="AR902" s="256">
        <v>4.8250000000000003E-3</v>
      </c>
      <c r="AS902" s="256">
        <v>4.8250000000000003E-3</v>
      </c>
      <c r="AT902" s="256"/>
      <c r="AX902" s="508"/>
      <c r="AY902" s="509"/>
      <c r="AZ902" s="509"/>
      <c r="BA902" s="509"/>
      <c r="BB902" s="510"/>
      <c r="BC902" s="509"/>
      <c r="BD902" s="509"/>
      <c r="BE902" s="509"/>
      <c r="BF902" s="509"/>
      <c r="BG902" s="510"/>
      <c r="BH902" s="510"/>
      <c r="BI902" s="511"/>
      <c r="BJ902" s="511"/>
      <c r="BK902" s="511"/>
      <c r="BL902" s="510"/>
      <c r="BM902" s="510"/>
      <c r="BN902" s="510"/>
      <c r="BO902" s="510"/>
      <c r="BP902" s="510"/>
      <c r="BQ902" s="510"/>
      <c r="BR902" s="510"/>
      <c r="BS902" s="510"/>
      <c r="BT902" s="513"/>
      <c r="BU902" s="514"/>
      <c r="BV902" s="512"/>
      <c r="BW902" s="515"/>
    </row>
    <row r="903" spans="2:75" ht="15.75" customHeight="1">
      <c r="B903" s="250" t="s">
        <v>327</v>
      </c>
      <c r="C903" s="251">
        <v>22354046000141</v>
      </c>
      <c r="D903" s="252" t="s">
        <v>13</v>
      </c>
      <c r="E903" s="252" t="s">
        <v>615</v>
      </c>
      <c r="F903" s="252" t="s">
        <v>619</v>
      </c>
      <c r="G903" s="253" t="s">
        <v>34</v>
      </c>
      <c r="H903" s="253" t="s">
        <v>1337</v>
      </c>
      <c r="I903" s="253" t="s">
        <v>34</v>
      </c>
      <c r="J903" s="253" t="s">
        <v>611</v>
      </c>
      <c r="K903" s="254" t="s">
        <v>48</v>
      </c>
      <c r="L903" s="255"/>
      <c r="M903" s="255" t="s">
        <v>34</v>
      </c>
      <c r="N903" s="254">
        <v>403075</v>
      </c>
      <c r="O903" s="254" t="s">
        <v>1321</v>
      </c>
      <c r="P903" s="258">
        <v>42247</v>
      </c>
      <c r="Q903" s="259">
        <v>127240282.36</v>
      </c>
      <c r="R903" s="259">
        <v>227558768.10944438</v>
      </c>
      <c r="S903" s="254">
        <v>31</v>
      </c>
      <c r="T903" s="256">
        <v>4.2657942201168364E-2</v>
      </c>
      <c r="U903" s="256">
        <v>0.55144754487001912</v>
      </c>
      <c r="V903" s="256">
        <v>3.6000930916319396E-2</v>
      </c>
      <c r="W903" s="256">
        <v>0.35292950056321731</v>
      </c>
      <c r="X903" s="256">
        <v>3.678037439828663E-2</v>
      </c>
      <c r="Y903" s="256">
        <v>0.27891226060524621</v>
      </c>
      <c r="Z903" s="256">
        <v>0.10092191169505993</v>
      </c>
      <c r="AA903" s="256">
        <v>0.57367286377391369</v>
      </c>
      <c r="AB903" s="256">
        <v>4.3478365729269761E-2</v>
      </c>
      <c r="AC903" s="260">
        <v>-1.399313897558482</v>
      </c>
      <c r="AD903" s="405">
        <v>18237547000170</v>
      </c>
      <c r="AE903" s="257" t="s">
        <v>2354</v>
      </c>
      <c r="AF903" s="257" t="s">
        <v>2118</v>
      </c>
      <c r="AG903" s="261" t="s">
        <v>1433</v>
      </c>
      <c r="AH903" s="261" t="s">
        <v>2113</v>
      </c>
      <c r="AI903" s="261">
        <v>50000</v>
      </c>
      <c r="AJ903" s="261">
        <v>5000</v>
      </c>
      <c r="AK903" s="261">
        <v>5000</v>
      </c>
      <c r="AL903" s="256">
        <v>1.9299999999999998E-2</v>
      </c>
      <c r="AM903" s="256">
        <v>0.2</v>
      </c>
      <c r="AN903" s="256" t="s">
        <v>64</v>
      </c>
      <c r="AO903" s="254" t="s">
        <v>1324</v>
      </c>
      <c r="AP903" s="257" t="s">
        <v>13</v>
      </c>
      <c r="AQ903" s="263" t="s">
        <v>664</v>
      </c>
      <c r="AR903" s="256">
        <v>4.8250000000000003E-3</v>
      </c>
      <c r="AS903" s="256">
        <v>4.8250000000000003E-3</v>
      </c>
      <c r="AT903" s="256"/>
      <c r="AX903" s="508"/>
      <c r="AY903" s="509"/>
      <c r="AZ903" s="509"/>
      <c r="BA903" s="509"/>
      <c r="BB903" s="510"/>
      <c r="BC903" s="509"/>
      <c r="BD903" s="509"/>
      <c r="BE903" s="509"/>
      <c r="BF903" s="509"/>
      <c r="BG903" s="510"/>
      <c r="BH903" s="510"/>
      <c r="BI903" s="511"/>
      <c r="BJ903" s="511"/>
      <c r="BK903" s="511"/>
      <c r="BL903" s="510"/>
      <c r="BM903" s="510"/>
      <c r="BN903" s="510"/>
      <c r="BO903" s="510"/>
      <c r="BP903" s="510"/>
      <c r="BQ903" s="510"/>
      <c r="BR903" s="510"/>
      <c r="BS903" s="510"/>
      <c r="BT903" s="513"/>
      <c r="BU903" s="514"/>
      <c r="BV903" s="512"/>
      <c r="BW903" s="515"/>
    </row>
    <row r="904" spans="2:75" ht="15.75" customHeight="1">
      <c r="B904" s="250" t="s">
        <v>328</v>
      </c>
      <c r="C904" s="251">
        <v>34799112000176</v>
      </c>
      <c r="D904" s="252" t="s">
        <v>13</v>
      </c>
      <c r="E904" s="252" t="s">
        <v>615</v>
      </c>
      <c r="F904" s="252" t="s">
        <v>619</v>
      </c>
      <c r="G904" s="253" t="s">
        <v>34</v>
      </c>
      <c r="H904" s="253" t="s">
        <v>865</v>
      </c>
      <c r="I904" s="253" t="s">
        <v>34</v>
      </c>
      <c r="J904" s="253"/>
      <c r="K904" s="254" t="s">
        <v>48</v>
      </c>
      <c r="L904" s="255"/>
      <c r="M904" s="255" t="s">
        <v>34</v>
      </c>
      <c r="N904" s="254">
        <v>519057</v>
      </c>
      <c r="O904" s="254" t="s">
        <v>1321</v>
      </c>
      <c r="P904" s="258">
        <v>43803</v>
      </c>
      <c r="Q904" s="259">
        <v>37668231.25</v>
      </c>
      <c r="R904" s="259">
        <v>53255233.409761935</v>
      </c>
      <c r="S904" s="254">
        <v>31</v>
      </c>
      <c r="T904" s="256">
        <v>5.5124983556550822E-2</v>
      </c>
      <c r="U904" s="256">
        <v>0.71261142180523507</v>
      </c>
      <c r="V904" s="256">
        <v>9.8281394284096324E-2</v>
      </c>
      <c r="W904" s="256">
        <v>0.96348629095086102</v>
      </c>
      <c r="X904" s="256">
        <v>2.0070121229696536E-2</v>
      </c>
      <c r="Y904" s="256">
        <v>0.15219537523404797</v>
      </c>
      <c r="Z904" s="256" t="s">
        <v>1417</v>
      </c>
      <c r="AA904" s="256" t="s">
        <v>1417</v>
      </c>
      <c r="AB904" s="256">
        <v>6.8115920521189699E-2</v>
      </c>
      <c r="AC904" s="260">
        <v>-1.5851756403511483E-2</v>
      </c>
      <c r="AD904" s="405">
        <v>34799086000186</v>
      </c>
      <c r="AE904" s="257" t="s">
        <v>2355</v>
      </c>
      <c r="AF904" s="257" t="s">
        <v>2115</v>
      </c>
      <c r="AG904" s="261" t="s">
        <v>719</v>
      </c>
      <c r="AH904" s="261" t="s">
        <v>2113</v>
      </c>
      <c r="AI904" s="261">
        <v>5000</v>
      </c>
      <c r="AJ904" s="261">
        <v>1000</v>
      </c>
      <c r="AK904" s="261">
        <v>1000</v>
      </c>
      <c r="AL904" s="256">
        <v>1.9E-2</v>
      </c>
      <c r="AM904" s="256">
        <v>0.2</v>
      </c>
      <c r="AN904" s="256" t="s">
        <v>2122</v>
      </c>
      <c r="AO904" s="254" t="s">
        <v>1324</v>
      </c>
      <c r="AP904" s="257" t="s">
        <v>13</v>
      </c>
      <c r="AQ904" s="263" t="s">
        <v>668</v>
      </c>
      <c r="AR904" s="256">
        <v>6.3333333333333332E-3</v>
      </c>
      <c r="AS904" s="256">
        <v>6.3333333333333332E-3</v>
      </c>
      <c r="AT904" s="256"/>
      <c r="AX904" s="508"/>
      <c r="AY904" s="509"/>
      <c r="AZ904" s="509"/>
      <c r="BA904" s="509"/>
      <c r="BB904" s="510"/>
      <c r="BC904" s="509"/>
      <c r="BD904" s="509"/>
      <c r="BE904" s="509"/>
      <c r="BF904" s="509"/>
      <c r="BG904" s="510"/>
      <c r="BH904" s="510"/>
      <c r="BI904" s="511"/>
      <c r="BJ904" s="511"/>
      <c r="BK904" s="511"/>
      <c r="BL904" s="510"/>
      <c r="BM904" s="510"/>
      <c r="BN904" s="510"/>
      <c r="BO904" s="510"/>
      <c r="BP904" s="510"/>
      <c r="BQ904" s="510"/>
      <c r="BR904" s="510"/>
      <c r="BS904" s="510"/>
      <c r="BT904" s="513"/>
      <c r="BU904" s="514"/>
      <c r="BV904" s="512"/>
      <c r="BW904" s="515"/>
    </row>
    <row r="905" spans="2:75" ht="15.75" customHeight="1">
      <c r="B905" s="250" t="s">
        <v>336</v>
      </c>
      <c r="C905" s="251">
        <v>31326427000108</v>
      </c>
      <c r="D905" s="252" t="s">
        <v>13</v>
      </c>
      <c r="E905" s="252" t="s">
        <v>615</v>
      </c>
      <c r="F905" s="252" t="s">
        <v>619</v>
      </c>
      <c r="G905" s="253" t="s">
        <v>34</v>
      </c>
      <c r="H905" s="253" t="s">
        <v>1337</v>
      </c>
      <c r="I905" s="253" t="s">
        <v>34</v>
      </c>
      <c r="J905" s="253"/>
      <c r="K905" s="254" t="s">
        <v>48</v>
      </c>
      <c r="L905" s="255"/>
      <c r="M905" s="255" t="s">
        <v>34</v>
      </c>
      <c r="N905" s="254">
        <v>478288</v>
      </c>
      <c r="O905" s="254" t="s">
        <v>1321</v>
      </c>
      <c r="P905" s="258">
        <v>43404</v>
      </c>
      <c r="Q905" s="259">
        <v>106538183.55</v>
      </c>
      <c r="R905" s="259">
        <v>138218066.04539683</v>
      </c>
      <c r="S905" s="254">
        <v>31</v>
      </c>
      <c r="T905" s="256">
        <v>7.5925815813844277E-3</v>
      </c>
      <c r="U905" s="256">
        <v>9.8150784033016344E-2</v>
      </c>
      <c r="V905" s="256">
        <v>2.6827707705736614E-3</v>
      </c>
      <c r="W905" s="256">
        <v>2.6300124026930587E-2</v>
      </c>
      <c r="X905" s="256">
        <v>-4.4052050253323149E-2</v>
      </c>
      <c r="Y905" s="256">
        <v>-0.33405469959062267</v>
      </c>
      <c r="Z905" s="256">
        <v>4.7898426583311782E-2</v>
      </c>
      <c r="AA905" s="256">
        <v>0.27227018480723109</v>
      </c>
      <c r="AB905" s="256">
        <v>4.6103340156856118E-2</v>
      </c>
      <c r="AC905" s="260">
        <v>-2.0261933445500815</v>
      </c>
      <c r="AD905" s="405">
        <v>31120430000170</v>
      </c>
      <c r="AE905" s="257" t="s">
        <v>2362</v>
      </c>
      <c r="AF905" s="257" t="s">
        <v>2109</v>
      </c>
      <c r="AG905" s="261" t="s">
        <v>1432</v>
      </c>
      <c r="AH905" s="261" t="s">
        <v>2113</v>
      </c>
      <c r="AI905" s="261">
        <v>500</v>
      </c>
      <c r="AJ905" s="261">
        <v>100</v>
      </c>
      <c r="AK905" s="261">
        <v>100</v>
      </c>
      <c r="AL905" s="256">
        <v>1.84E-2</v>
      </c>
      <c r="AM905" s="256">
        <v>0.2</v>
      </c>
      <c r="AN905" s="256" t="s">
        <v>34</v>
      </c>
      <c r="AO905" s="254" t="s">
        <v>1324</v>
      </c>
      <c r="AP905" s="257" t="s">
        <v>13</v>
      </c>
      <c r="AQ905" s="263" t="s">
        <v>664</v>
      </c>
      <c r="AR905" s="256">
        <v>4.9680000000000002E-3</v>
      </c>
      <c r="AS905" s="256">
        <v>4.9680000000000002E-3</v>
      </c>
      <c r="AT905" s="256"/>
      <c r="AX905" s="508"/>
      <c r="AY905" s="509"/>
      <c r="AZ905" s="509"/>
      <c r="BA905" s="509"/>
      <c r="BB905" s="510"/>
      <c r="BC905" s="509"/>
      <c r="BD905" s="509"/>
      <c r="BE905" s="509"/>
      <c r="BF905" s="509"/>
      <c r="BG905" s="510"/>
      <c r="BH905" s="510"/>
      <c r="BI905" s="511"/>
      <c r="BJ905" s="511"/>
      <c r="BK905" s="511"/>
      <c r="BL905" s="510"/>
      <c r="BM905" s="510"/>
      <c r="BN905" s="510"/>
      <c r="BO905" s="510"/>
      <c r="BP905" s="510"/>
      <c r="BQ905" s="510"/>
      <c r="BR905" s="510"/>
      <c r="BS905" s="510"/>
      <c r="BT905" s="513"/>
      <c r="BU905" s="514"/>
      <c r="BV905" s="512"/>
      <c r="BW905" s="515"/>
    </row>
    <row r="906" spans="2:75" ht="15.75" customHeight="1">
      <c r="B906" s="250" t="s">
        <v>363</v>
      </c>
      <c r="C906" s="251">
        <v>10347249000121</v>
      </c>
      <c r="D906" s="252" t="s">
        <v>13</v>
      </c>
      <c r="E906" s="252" t="s">
        <v>615</v>
      </c>
      <c r="F906" s="252" t="s">
        <v>619</v>
      </c>
      <c r="G906" s="253" t="s">
        <v>34</v>
      </c>
      <c r="H906" s="253" t="s">
        <v>865</v>
      </c>
      <c r="I906" s="253" t="s">
        <v>34</v>
      </c>
      <c r="J906" s="253"/>
      <c r="K906" s="254" t="s">
        <v>48</v>
      </c>
      <c r="L906" s="255"/>
      <c r="M906" s="255" t="s">
        <v>34</v>
      </c>
      <c r="N906" s="254">
        <v>222097</v>
      </c>
      <c r="O906" s="254" t="s">
        <v>1321</v>
      </c>
      <c r="P906" s="258">
        <v>39812</v>
      </c>
      <c r="Q906" s="259">
        <v>1166495865.29</v>
      </c>
      <c r="R906" s="259">
        <v>1289502344.2367854</v>
      </c>
      <c r="S906" s="254">
        <v>31</v>
      </c>
      <c r="T906" s="256">
        <v>0.15439568548971794</v>
      </c>
      <c r="U906" s="256">
        <v>1.9959031614866938</v>
      </c>
      <c r="V906" s="256">
        <v>0.13273431261320501</v>
      </c>
      <c r="W906" s="256">
        <v>1.3012400920150915</v>
      </c>
      <c r="X906" s="256">
        <v>0.14750952139554419</v>
      </c>
      <c r="Y906" s="256">
        <v>1.1185914974031836</v>
      </c>
      <c r="Z906" s="256">
        <v>0.2564673808951321</v>
      </c>
      <c r="AA906" s="256">
        <v>1.4578437367225119</v>
      </c>
      <c r="AB906" s="256">
        <v>5.3889329093276366E-2</v>
      </c>
      <c r="AC906" s="260">
        <v>0.53735791397719579</v>
      </c>
      <c r="AD906" s="405">
        <v>27249022000146</v>
      </c>
      <c r="AE906" s="257" t="s">
        <v>2318</v>
      </c>
      <c r="AF906" s="257" t="s">
        <v>2318</v>
      </c>
      <c r="AG906" s="261" t="s">
        <v>1436</v>
      </c>
      <c r="AH906" s="261" t="s">
        <v>2113</v>
      </c>
      <c r="AI906" s="261">
        <v>5000</v>
      </c>
      <c r="AJ906" s="261">
        <v>500</v>
      </c>
      <c r="AK906" s="261">
        <v>100</v>
      </c>
      <c r="AL906" s="256">
        <v>0.02</v>
      </c>
      <c r="AM906" s="256">
        <v>0.2</v>
      </c>
      <c r="AN906" s="256" t="s">
        <v>64</v>
      </c>
      <c r="AO906" s="254" t="s">
        <v>1324</v>
      </c>
      <c r="AP906" s="257" t="s">
        <v>13</v>
      </c>
      <c r="AQ906" s="263" t="s">
        <v>668</v>
      </c>
      <c r="AR906" s="256">
        <v>6.6666666666666662E-3</v>
      </c>
      <c r="AS906" s="256">
        <v>6.6666666666666662E-3</v>
      </c>
      <c r="AT906" s="256"/>
      <c r="AX906" s="508"/>
      <c r="AY906" s="509"/>
      <c r="AZ906" s="509"/>
      <c r="BA906" s="509"/>
      <c r="BB906" s="510"/>
      <c r="BC906" s="509"/>
      <c r="BD906" s="509"/>
      <c r="BE906" s="509"/>
      <c r="BF906" s="509"/>
      <c r="BG906" s="510"/>
      <c r="BH906" s="510"/>
      <c r="BI906" s="511"/>
      <c r="BJ906" s="511"/>
      <c r="BK906" s="511"/>
      <c r="BL906" s="510"/>
      <c r="BM906" s="510"/>
      <c r="BN906" s="510"/>
      <c r="BO906" s="510"/>
      <c r="BP906" s="510"/>
      <c r="BQ906" s="510"/>
      <c r="BR906" s="510"/>
      <c r="BS906" s="510"/>
      <c r="BT906" s="513"/>
      <c r="BU906" s="514"/>
      <c r="BV906" s="512"/>
      <c r="BW906" s="515"/>
    </row>
    <row r="907" spans="2:75" ht="15.75" customHeight="1">
      <c r="B907" s="250" t="s">
        <v>368</v>
      </c>
      <c r="C907" s="251">
        <v>11301137000100</v>
      </c>
      <c r="D907" s="252" t="s">
        <v>13</v>
      </c>
      <c r="E907" s="252" t="s">
        <v>615</v>
      </c>
      <c r="F907" s="252" t="s">
        <v>619</v>
      </c>
      <c r="G907" s="253" t="s">
        <v>34</v>
      </c>
      <c r="H907" s="253" t="s">
        <v>1338</v>
      </c>
      <c r="I907" s="253" t="s">
        <v>34</v>
      </c>
      <c r="J907" s="253"/>
      <c r="K907" s="254" t="s">
        <v>48</v>
      </c>
      <c r="L907" s="255"/>
      <c r="M907" s="255" t="s">
        <v>34</v>
      </c>
      <c r="N907" s="254">
        <v>239372</v>
      </c>
      <c r="O907" s="254" t="s">
        <v>1321</v>
      </c>
      <c r="P907" s="258">
        <v>40154</v>
      </c>
      <c r="Q907" s="259">
        <v>142359592.33000001</v>
      </c>
      <c r="R907" s="259">
        <v>149662976.9103215</v>
      </c>
      <c r="S907" s="254">
        <v>31</v>
      </c>
      <c r="T907" s="256">
        <v>0.10418466711330998</v>
      </c>
      <c r="U907" s="256">
        <v>1.3468155266796118</v>
      </c>
      <c r="V907" s="256">
        <v>0.11283949474800137</v>
      </c>
      <c r="W907" s="256">
        <v>1.1062043539314512</v>
      </c>
      <c r="X907" s="256">
        <v>0.35387790105844186</v>
      </c>
      <c r="Y907" s="256">
        <v>2.683520409380268</v>
      </c>
      <c r="Z907" s="256">
        <v>0.49614493718400521</v>
      </c>
      <c r="AA907" s="256">
        <v>2.8202486673189822</v>
      </c>
      <c r="AB907" s="256">
        <v>0.17154749407804931</v>
      </c>
      <c r="AC907" s="260">
        <v>0.14234332563614596</v>
      </c>
      <c r="AD907" s="405">
        <v>11286399000135</v>
      </c>
      <c r="AE907" s="257" t="s">
        <v>2387</v>
      </c>
      <c r="AF907" s="257" t="s">
        <v>2187</v>
      </c>
      <c r="AG907" s="261" t="s">
        <v>736</v>
      </c>
      <c r="AH907" s="261" t="s">
        <v>2113</v>
      </c>
      <c r="AI907" s="261">
        <v>500</v>
      </c>
      <c r="AJ907" s="261">
        <v>0</v>
      </c>
      <c r="AK907" s="261">
        <v>500</v>
      </c>
      <c r="AL907" s="256">
        <v>0.02</v>
      </c>
      <c r="AM907" s="256">
        <v>0.2</v>
      </c>
      <c r="AN907" s="256" t="s">
        <v>64</v>
      </c>
      <c r="AO907" s="254" t="s">
        <v>1324</v>
      </c>
      <c r="AP907" s="257" t="s">
        <v>13</v>
      </c>
      <c r="AQ907" s="263" t="s">
        <v>671</v>
      </c>
      <c r="AR907" s="256">
        <v>4.6666666666666662E-3</v>
      </c>
      <c r="AS907" s="256">
        <v>4.6666666666666662E-3</v>
      </c>
      <c r="AT907" s="256"/>
      <c r="AX907" s="508"/>
      <c r="AY907" s="509"/>
      <c r="AZ907" s="509"/>
      <c r="BA907" s="509"/>
      <c r="BB907" s="510"/>
      <c r="BC907" s="509"/>
      <c r="BD907" s="509"/>
      <c r="BE907" s="509"/>
      <c r="BF907" s="509"/>
      <c r="BG907" s="510"/>
      <c r="BH907" s="510"/>
      <c r="BI907" s="511"/>
      <c r="BJ907" s="511"/>
      <c r="BK907" s="511"/>
      <c r="BL907" s="510"/>
      <c r="BM907" s="510"/>
      <c r="BN907" s="510"/>
      <c r="BO907" s="510"/>
      <c r="BP907" s="510"/>
      <c r="BQ907" s="510"/>
      <c r="BR907" s="510"/>
      <c r="BS907" s="510"/>
      <c r="BT907" s="513"/>
      <c r="BU907" s="514"/>
      <c r="BV907" s="512"/>
      <c r="BW907" s="515"/>
    </row>
    <row r="908" spans="2:75" ht="15.75" customHeight="1">
      <c r="B908" s="250" t="s">
        <v>1694</v>
      </c>
      <c r="C908" s="251">
        <v>12808980000132</v>
      </c>
      <c r="D908" s="252" t="s">
        <v>13</v>
      </c>
      <c r="E908" s="252" t="s">
        <v>615</v>
      </c>
      <c r="F908" s="252" t="s">
        <v>619</v>
      </c>
      <c r="G908" s="253" t="s">
        <v>34</v>
      </c>
      <c r="H908" s="253" t="s">
        <v>1338</v>
      </c>
      <c r="I908" s="253" t="s">
        <v>34</v>
      </c>
      <c r="J908" s="253" t="s">
        <v>611</v>
      </c>
      <c r="K908" s="254" t="s">
        <v>48</v>
      </c>
      <c r="L908" s="255"/>
      <c r="M908" s="255"/>
      <c r="N908" s="254">
        <v>262821</v>
      </c>
      <c r="O908" s="254" t="s">
        <v>1321</v>
      </c>
      <c r="P908" s="258">
        <v>40513</v>
      </c>
      <c r="Q908" s="259">
        <v>20201941604.130001</v>
      </c>
      <c r="R908" s="259">
        <v>15455078586.779842</v>
      </c>
      <c r="S908" s="254">
        <v>31</v>
      </c>
      <c r="T908" s="256">
        <v>0.65763909162930179</v>
      </c>
      <c r="U908" s="256">
        <v>7.3970676313842363</v>
      </c>
      <c r="V908" s="256">
        <v>0.77012917375381984</v>
      </c>
      <c r="W908" s="256">
        <v>7.0680209963832548</v>
      </c>
      <c r="X908" s="256">
        <v>1.1817468170925194</v>
      </c>
      <c r="Y908" s="256">
        <v>8.3097959813413453</v>
      </c>
      <c r="Z908" s="256">
        <v>1.4130621262872243</v>
      </c>
      <c r="AA908" s="256">
        <v>7.7217679854727139</v>
      </c>
      <c r="AB908" s="256">
        <v>0.24797918596326327</v>
      </c>
      <c r="AC908" s="260">
        <v>2.0029417042424571</v>
      </c>
      <c r="AD908" s="405">
        <v>0</v>
      </c>
      <c r="AE908" s="257" t="s">
        <v>2399</v>
      </c>
      <c r="AF908" s="257" t="s">
        <v>2112</v>
      </c>
      <c r="AG908" s="261" t="s">
        <v>59</v>
      </c>
      <c r="AH908" s="261" t="s">
        <v>2170</v>
      </c>
      <c r="AI908" s="261">
        <v>1000000</v>
      </c>
      <c r="AJ908" s="261">
        <v>0</v>
      </c>
      <c r="AK908" s="261">
        <v>0</v>
      </c>
      <c r="AL908" s="256">
        <v>1.3000000000000001E-2</v>
      </c>
      <c r="AM908" s="256" t="s">
        <v>34</v>
      </c>
      <c r="AN908" s="256" t="s">
        <v>64</v>
      </c>
      <c r="AO908" s="254" t="s">
        <v>1324</v>
      </c>
      <c r="AP908" s="257" t="s">
        <v>13</v>
      </c>
      <c r="AQ908" s="263" t="s">
        <v>679</v>
      </c>
      <c r="AR908" s="256" t="s">
        <v>34</v>
      </c>
      <c r="AS908" s="256" t="s">
        <v>34</v>
      </c>
      <c r="AT908" s="256"/>
      <c r="AX908" s="508"/>
      <c r="AY908" s="509"/>
      <c r="AZ908" s="509"/>
      <c r="BA908" s="509"/>
      <c r="BB908" s="510"/>
      <c r="BC908" s="509"/>
      <c r="BD908" s="509"/>
      <c r="BE908" s="509"/>
      <c r="BF908" s="509"/>
      <c r="BG908" s="510"/>
      <c r="BH908" s="510"/>
      <c r="BI908" s="511"/>
      <c r="BJ908" s="511"/>
      <c r="BK908" s="511"/>
      <c r="BL908" s="510"/>
      <c r="BM908" s="510"/>
      <c r="BN908" s="510"/>
      <c r="BO908" s="510"/>
      <c r="BP908" s="510"/>
      <c r="BQ908" s="510"/>
      <c r="BR908" s="510"/>
      <c r="BS908" s="510"/>
      <c r="BT908" s="513"/>
      <c r="BU908" s="514"/>
      <c r="BV908" s="512"/>
      <c r="BW908" s="515"/>
    </row>
    <row r="909" spans="2:75" ht="15.75" customHeight="1">
      <c r="B909" s="250" t="s">
        <v>695</v>
      </c>
      <c r="C909" s="251">
        <v>17797493000135</v>
      </c>
      <c r="D909" s="252" t="s">
        <v>13</v>
      </c>
      <c r="E909" s="252" t="s">
        <v>615</v>
      </c>
      <c r="F909" s="252" t="s">
        <v>619</v>
      </c>
      <c r="G909" s="253" t="s">
        <v>34</v>
      </c>
      <c r="H909" s="253" t="s">
        <v>1337</v>
      </c>
      <c r="I909" s="253" t="s">
        <v>34</v>
      </c>
      <c r="J909" s="253"/>
      <c r="K909" s="254" t="s">
        <v>48</v>
      </c>
      <c r="L909" s="255"/>
      <c r="M909" s="255" t="s">
        <v>34</v>
      </c>
      <c r="N909" s="254">
        <v>473596</v>
      </c>
      <c r="O909" s="254" t="s">
        <v>1321</v>
      </c>
      <c r="P909" s="258">
        <v>43318</v>
      </c>
      <c r="Q909" s="259">
        <v>23224265.690000001</v>
      </c>
      <c r="R909" s="259">
        <v>39470457.797380969</v>
      </c>
      <c r="S909" s="254">
        <v>31</v>
      </c>
      <c r="T909" s="256">
        <v>0.10276752978805548</v>
      </c>
      <c r="U909" s="256">
        <v>1.3284959158772451</v>
      </c>
      <c r="V909" s="256">
        <v>6.4611756553295097E-2</v>
      </c>
      <c r="W909" s="256">
        <v>0.63341125883302463</v>
      </c>
      <c r="X909" s="256">
        <v>2.7759646315803188E-2</v>
      </c>
      <c r="Y909" s="256">
        <v>0.21050644084535031</v>
      </c>
      <c r="Z909" s="256">
        <v>9.5617399867135466E-2</v>
      </c>
      <c r="AA909" s="256">
        <v>0.54352029888351849</v>
      </c>
      <c r="AB909" s="256">
        <v>3.5703264335066813E-2</v>
      </c>
      <c r="AC909" s="260">
        <v>-0.94944080716599444</v>
      </c>
      <c r="AD909" s="405">
        <v>0</v>
      </c>
      <c r="AE909" s="257" t="s">
        <v>2289</v>
      </c>
      <c r="AF909" s="257" t="s">
        <v>2289</v>
      </c>
      <c r="AG909" s="261" t="s">
        <v>719</v>
      </c>
      <c r="AH909" s="261" t="s">
        <v>2113</v>
      </c>
      <c r="AI909" s="261">
        <v>1000</v>
      </c>
      <c r="AJ909" s="261">
        <v>1000</v>
      </c>
      <c r="AK909" s="261">
        <v>1000</v>
      </c>
      <c r="AL909" s="256">
        <v>0.02</v>
      </c>
      <c r="AM909" s="256">
        <v>0.2</v>
      </c>
      <c r="AN909" s="256" t="s">
        <v>64</v>
      </c>
      <c r="AO909" s="254" t="s">
        <v>1324</v>
      </c>
      <c r="AP909" s="257" t="s">
        <v>13</v>
      </c>
      <c r="AQ909" s="263" t="s">
        <v>664</v>
      </c>
      <c r="AR909" s="256">
        <v>7.1999999999999998E-3</v>
      </c>
      <c r="AS909" s="256">
        <v>7.1999999999999998E-3</v>
      </c>
      <c r="AT909" s="256"/>
      <c r="AX909" s="508"/>
      <c r="AY909" s="509"/>
      <c r="AZ909" s="509"/>
      <c r="BA909" s="509"/>
      <c r="BB909" s="510"/>
      <c r="BC909" s="509"/>
      <c r="BD909" s="509"/>
      <c r="BE909" s="509"/>
      <c r="BF909" s="509"/>
      <c r="BG909" s="510"/>
      <c r="BH909" s="510"/>
      <c r="BI909" s="511"/>
      <c r="BJ909" s="511"/>
      <c r="BK909" s="511"/>
      <c r="BL909" s="510"/>
      <c r="BM909" s="510"/>
      <c r="BN909" s="510"/>
      <c r="BO909" s="510"/>
      <c r="BP909" s="510"/>
      <c r="BQ909" s="510"/>
      <c r="BR909" s="510"/>
      <c r="BS909" s="510"/>
      <c r="BT909" s="513"/>
      <c r="BU909" s="514"/>
      <c r="BV909" s="512"/>
      <c r="BW909" s="515"/>
    </row>
    <row r="910" spans="2:75" ht="15.75" customHeight="1">
      <c r="B910" s="250" t="s">
        <v>407</v>
      </c>
      <c r="C910" s="251">
        <v>28581175000159</v>
      </c>
      <c r="D910" s="252" t="s">
        <v>13</v>
      </c>
      <c r="E910" s="252" t="s">
        <v>615</v>
      </c>
      <c r="F910" s="252" t="s">
        <v>619</v>
      </c>
      <c r="G910" s="253" t="s">
        <v>34</v>
      </c>
      <c r="H910" s="253" t="s">
        <v>1338</v>
      </c>
      <c r="I910" s="253" t="s">
        <v>34</v>
      </c>
      <c r="J910" s="253"/>
      <c r="K910" s="254" t="s">
        <v>48</v>
      </c>
      <c r="L910" s="255"/>
      <c r="M910" s="255" t="s">
        <v>34</v>
      </c>
      <c r="N910" s="254">
        <v>464074</v>
      </c>
      <c r="O910" s="254" t="s">
        <v>1321</v>
      </c>
      <c r="P910" s="258">
        <v>43223</v>
      </c>
      <c r="Q910" s="259">
        <v>63322726.939999998</v>
      </c>
      <c r="R910" s="259">
        <v>62897148.856031738</v>
      </c>
      <c r="S910" s="254">
        <v>31</v>
      </c>
      <c r="T910" s="256">
        <v>7.887909864452447E-2</v>
      </c>
      <c r="U910" s="256">
        <v>1.0196855039081494</v>
      </c>
      <c r="V910" s="256">
        <v>7.3087520477042256E-2</v>
      </c>
      <c r="W910" s="256">
        <v>0.71650208599671406</v>
      </c>
      <c r="X910" s="256">
        <v>7.0340461067736948E-2</v>
      </c>
      <c r="Y910" s="256">
        <v>0.53340449436348703</v>
      </c>
      <c r="Z910" s="256">
        <v>0.1054992768981633</v>
      </c>
      <c r="AA910" s="256">
        <v>0.59969209151642489</v>
      </c>
      <c r="AB910" s="256">
        <v>8.855102762520449E-2</v>
      </c>
      <c r="AC910" s="260">
        <v>-0.2562803798824036</v>
      </c>
      <c r="AD910" s="405">
        <v>28653777000174</v>
      </c>
      <c r="AE910" s="257" t="s">
        <v>2414</v>
      </c>
      <c r="AF910" s="257" t="s">
        <v>2112</v>
      </c>
      <c r="AG910" s="261" t="s">
        <v>59</v>
      </c>
      <c r="AH910" s="261" t="s">
        <v>2113</v>
      </c>
      <c r="AI910" s="261">
        <v>500</v>
      </c>
      <c r="AJ910" s="261">
        <v>100</v>
      </c>
      <c r="AK910" s="261">
        <v>100</v>
      </c>
      <c r="AL910" s="256">
        <v>1.3999999999999999E-2</v>
      </c>
      <c r="AM910" s="256">
        <v>0.2</v>
      </c>
      <c r="AN910" s="256" t="s">
        <v>64</v>
      </c>
      <c r="AO910" s="254" t="s">
        <v>1324</v>
      </c>
      <c r="AP910" s="257" t="s">
        <v>13</v>
      </c>
      <c r="AQ910" s="263" t="s">
        <v>664</v>
      </c>
      <c r="AR910" s="256">
        <v>3.7333333333333333E-3</v>
      </c>
      <c r="AS910" s="256">
        <v>3.7333333333333333E-3</v>
      </c>
      <c r="AT910" s="256"/>
      <c r="AX910" s="508"/>
      <c r="AY910" s="509"/>
      <c r="AZ910" s="509"/>
      <c r="BA910" s="509"/>
      <c r="BB910" s="510"/>
      <c r="BC910" s="509"/>
      <c r="BD910" s="509"/>
      <c r="BE910" s="509"/>
      <c r="BF910" s="509"/>
      <c r="BG910" s="510"/>
      <c r="BH910" s="510"/>
      <c r="BI910" s="511"/>
      <c r="BJ910" s="511"/>
      <c r="BK910" s="511"/>
      <c r="BL910" s="510"/>
      <c r="BM910" s="510"/>
      <c r="BN910" s="510"/>
      <c r="BO910" s="510"/>
      <c r="BP910" s="510"/>
      <c r="BQ910" s="510"/>
      <c r="BR910" s="510"/>
      <c r="BS910" s="510"/>
      <c r="BT910" s="513"/>
      <c r="BU910" s="514"/>
      <c r="BV910" s="512"/>
      <c r="BW910" s="515"/>
    </row>
    <row r="911" spans="2:75" ht="15.75" customHeight="1">
      <c r="B911" s="250" t="s">
        <v>413</v>
      </c>
      <c r="C911" s="251">
        <v>26277600000195</v>
      </c>
      <c r="D911" s="252" t="s">
        <v>13</v>
      </c>
      <c r="E911" s="252" t="s">
        <v>615</v>
      </c>
      <c r="F911" s="252" t="s">
        <v>619</v>
      </c>
      <c r="G911" s="253" t="s">
        <v>34</v>
      </c>
      <c r="H911" s="253" t="s">
        <v>1337</v>
      </c>
      <c r="I911" s="253" t="s">
        <v>34</v>
      </c>
      <c r="J911" s="253"/>
      <c r="K911" s="254" t="s">
        <v>48</v>
      </c>
      <c r="L911" s="255"/>
      <c r="M911" s="255" t="s">
        <v>34</v>
      </c>
      <c r="N911" s="254">
        <v>441465</v>
      </c>
      <c r="O911" s="254" t="s">
        <v>1321</v>
      </c>
      <c r="P911" s="258">
        <v>42888</v>
      </c>
      <c r="Q911" s="259">
        <v>293915026.23000002</v>
      </c>
      <c r="R911" s="259">
        <v>377366595.75432551</v>
      </c>
      <c r="S911" s="254">
        <v>31</v>
      </c>
      <c r="T911" s="256">
        <v>0.12684922737792137</v>
      </c>
      <c r="U911" s="256">
        <v>1.6398047209201212</v>
      </c>
      <c r="V911" s="256">
        <v>0.12978817705428747</v>
      </c>
      <c r="W911" s="256">
        <v>1.272358112440253</v>
      </c>
      <c r="X911" s="256">
        <v>0.19142112783646237</v>
      </c>
      <c r="Y911" s="256">
        <v>1.4515811860512393</v>
      </c>
      <c r="Z911" s="256">
        <v>0.22766515387368935</v>
      </c>
      <c r="AA911" s="256">
        <v>1.2941225409886994</v>
      </c>
      <c r="AB911" s="256">
        <v>4.2158420678999782E-2</v>
      </c>
      <c r="AC911" s="260">
        <v>0.61179000523387228</v>
      </c>
      <c r="AD911" s="405">
        <v>26859555000187</v>
      </c>
      <c r="AE911" s="257" t="s">
        <v>2418</v>
      </c>
      <c r="AF911" s="257" t="s">
        <v>2112</v>
      </c>
      <c r="AG911" s="261" t="s">
        <v>59</v>
      </c>
      <c r="AH911" s="261" t="s">
        <v>2113</v>
      </c>
      <c r="AI911" s="261">
        <v>500</v>
      </c>
      <c r="AJ911" s="261">
        <v>100</v>
      </c>
      <c r="AK911" s="261">
        <v>500</v>
      </c>
      <c r="AL911" s="256">
        <v>1.9E-2</v>
      </c>
      <c r="AM911" s="256">
        <v>0.2</v>
      </c>
      <c r="AN911" s="256" t="s">
        <v>64</v>
      </c>
      <c r="AO911" s="254" t="s">
        <v>1324</v>
      </c>
      <c r="AP911" s="257" t="s">
        <v>13</v>
      </c>
      <c r="AQ911" s="263" t="s">
        <v>664</v>
      </c>
      <c r="AR911" s="256">
        <v>3.7999999999999996E-3</v>
      </c>
      <c r="AS911" s="256">
        <v>3.7999999999999996E-3</v>
      </c>
      <c r="AT911" s="256"/>
      <c r="AX911" s="508"/>
      <c r="AY911" s="509"/>
      <c r="AZ911" s="509"/>
      <c r="BA911" s="509"/>
      <c r="BB911" s="510"/>
      <c r="BC911" s="509"/>
      <c r="BD911" s="509"/>
      <c r="BE911" s="509"/>
      <c r="BF911" s="509"/>
      <c r="BG911" s="510"/>
      <c r="BH911" s="510"/>
      <c r="BI911" s="511"/>
      <c r="BJ911" s="511"/>
      <c r="BK911" s="511"/>
      <c r="BL911" s="510"/>
      <c r="BM911" s="510"/>
      <c r="BN911" s="510"/>
      <c r="BO911" s="510"/>
      <c r="BP911" s="510"/>
      <c r="BQ911" s="510"/>
      <c r="BR911" s="510"/>
      <c r="BS911" s="510"/>
      <c r="BT911" s="513"/>
      <c r="BU911" s="514"/>
      <c r="BV911" s="512"/>
      <c r="BW911" s="515"/>
    </row>
    <row r="912" spans="2:75" ht="15.75" customHeight="1">
      <c r="B912" s="250" t="s">
        <v>1235</v>
      </c>
      <c r="C912" s="251">
        <v>26882932000107</v>
      </c>
      <c r="D912" s="252" t="s">
        <v>13</v>
      </c>
      <c r="E912" s="252" t="s">
        <v>615</v>
      </c>
      <c r="F912" s="252" t="s">
        <v>619</v>
      </c>
      <c r="G912" s="253" t="s">
        <v>34</v>
      </c>
      <c r="H912" s="253" t="s">
        <v>1337</v>
      </c>
      <c r="I912" s="253" t="s">
        <v>34</v>
      </c>
      <c r="J912" s="253"/>
      <c r="K912" s="254" t="s">
        <v>48</v>
      </c>
      <c r="L912" s="255"/>
      <c r="M912" s="255" t="s">
        <v>34</v>
      </c>
      <c r="N912" s="254">
        <v>442011</v>
      </c>
      <c r="O912" s="254" t="s">
        <v>1321</v>
      </c>
      <c r="P912" s="258">
        <v>42893</v>
      </c>
      <c r="Q912" s="259">
        <v>20409167.789999999</v>
      </c>
      <c r="R912" s="259">
        <v>23274077.052103158</v>
      </c>
      <c r="S912" s="254">
        <v>31</v>
      </c>
      <c r="T912" s="256">
        <v>0.1266003637143478</v>
      </c>
      <c r="U912" s="256">
        <v>1.6365876117675553</v>
      </c>
      <c r="V912" s="256">
        <v>0.12955475887434864</v>
      </c>
      <c r="W912" s="256">
        <v>1.2700698337882463</v>
      </c>
      <c r="X912" s="256">
        <v>0.18945857530398569</v>
      </c>
      <c r="Y912" s="256">
        <v>1.4366987936790963</v>
      </c>
      <c r="Z912" s="256">
        <v>0.22412939098727347</v>
      </c>
      <c r="AA912" s="256">
        <v>1.2740241184894849</v>
      </c>
      <c r="AB912" s="256">
        <v>4.1793347388110066E-2</v>
      </c>
      <c r="AC912" s="260">
        <v>0.61182268880175616</v>
      </c>
      <c r="AD912" s="405">
        <v>26277600000195</v>
      </c>
      <c r="AE912" s="257" t="s">
        <v>2123</v>
      </c>
      <c r="AF912" s="257" t="s">
        <v>2109</v>
      </c>
      <c r="AG912" s="261" t="s">
        <v>1432</v>
      </c>
      <c r="AH912" s="261" t="s">
        <v>2113</v>
      </c>
      <c r="AI912" s="261">
        <v>5000</v>
      </c>
      <c r="AJ912" s="261">
        <v>5000</v>
      </c>
      <c r="AK912" s="261">
        <v>5000</v>
      </c>
      <c r="AL912" s="256">
        <v>0</v>
      </c>
      <c r="AM912" s="256" t="s">
        <v>34</v>
      </c>
      <c r="AN912" s="256" t="s">
        <v>34</v>
      </c>
      <c r="AO912" s="254" t="s">
        <v>1324</v>
      </c>
      <c r="AP912" s="257" t="s">
        <v>13</v>
      </c>
      <c r="AQ912" s="263" t="s">
        <v>664</v>
      </c>
      <c r="AR912" s="256">
        <v>3.7999999999999996E-3</v>
      </c>
      <c r="AS912" s="256">
        <v>3.7999999999999996E-3</v>
      </c>
      <c r="AT912" s="256"/>
      <c r="AX912" s="508"/>
      <c r="AY912" s="509"/>
      <c r="AZ912" s="509"/>
      <c r="BA912" s="509"/>
      <c r="BB912" s="510"/>
      <c r="BC912" s="509"/>
      <c r="BD912" s="509"/>
      <c r="BE912" s="509"/>
      <c r="BF912" s="509"/>
      <c r="BG912" s="510"/>
      <c r="BH912" s="510"/>
      <c r="BI912" s="511"/>
      <c r="BJ912" s="511"/>
      <c r="BK912" s="511"/>
      <c r="BL912" s="510"/>
      <c r="BM912" s="510"/>
      <c r="BN912" s="510"/>
      <c r="BO912" s="510"/>
      <c r="BP912" s="510"/>
      <c r="BQ912" s="510"/>
      <c r="BR912" s="510"/>
      <c r="BS912" s="510"/>
      <c r="BT912" s="513"/>
      <c r="BU912" s="514"/>
      <c r="BV912" s="512"/>
      <c r="BW912" s="515"/>
    </row>
    <row r="913" spans="2:75" ht="15.75" customHeight="1">
      <c r="B913" s="250" t="s">
        <v>1244</v>
      </c>
      <c r="C913" s="251">
        <v>38120906000112</v>
      </c>
      <c r="D913" s="252" t="s">
        <v>13</v>
      </c>
      <c r="E913" s="252" t="s">
        <v>615</v>
      </c>
      <c r="F913" s="252" t="s">
        <v>619</v>
      </c>
      <c r="G913" s="253" t="s">
        <v>34</v>
      </c>
      <c r="H913" s="253" t="s">
        <v>1337</v>
      </c>
      <c r="I913" s="253" t="s">
        <v>34</v>
      </c>
      <c r="J913" s="253"/>
      <c r="K913" s="254" t="s">
        <v>48</v>
      </c>
      <c r="L913" s="255"/>
      <c r="M913" s="255" t="s">
        <v>1414</v>
      </c>
      <c r="N913" s="254">
        <v>560170</v>
      </c>
      <c r="O913" s="254" t="s">
        <v>1321</v>
      </c>
      <c r="P913" s="258">
        <v>44146</v>
      </c>
      <c r="Q913" s="259">
        <v>10951554.619999999</v>
      </c>
      <c r="R913" s="259">
        <v>6945279.649444445</v>
      </c>
      <c r="S913" s="254">
        <v>31</v>
      </c>
      <c r="T913" s="256">
        <v>3.6516699259475205E-2</v>
      </c>
      <c r="U913" s="256">
        <v>0.47205849870655298</v>
      </c>
      <c r="V913" s="256">
        <v>7.6455632119192707E-2</v>
      </c>
      <c r="W913" s="256">
        <v>0.7495208421635573</v>
      </c>
      <c r="X913" s="256" t="s">
        <v>1417</v>
      </c>
      <c r="Y913" s="256" t="s">
        <v>1417</v>
      </c>
      <c r="Z913" s="256" t="s">
        <v>1417</v>
      </c>
      <c r="AA913" s="256" t="s">
        <v>1417</v>
      </c>
      <c r="AB913" s="256">
        <v>3.3280667682823506E-2</v>
      </c>
      <c r="AC913" s="260">
        <v>-0.68849217339333812</v>
      </c>
      <c r="AD913" s="405">
        <v>0</v>
      </c>
      <c r="AE913" s="257" t="s">
        <v>2422</v>
      </c>
      <c r="AF913" s="257" t="s">
        <v>2109</v>
      </c>
      <c r="AG913" s="261" t="s">
        <v>1432</v>
      </c>
      <c r="AH913" s="261" t="s">
        <v>2113</v>
      </c>
      <c r="AI913" s="261">
        <v>1000</v>
      </c>
      <c r="AJ913" s="261">
        <v>100</v>
      </c>
      <c r="AK913" s="261">
        <v>500</v>
      </c>
      <c r="AL913" s="256">
        <v>1.7500000000000002E-2</v>
      </c>
      <c r="AM913" s="256">
        <v>0.2</v>
      </c>
      <c r="AN913" s="256" t="s">
        <v>34</v>
      </c>
      <c r="AO913" s="254" t="s">
        <v>1324</v>
      </c>
      <c r="AP913" s="257" t="s">
        <v>13</v>
      </c>
      <c r="AQ913" s="263" t="s">
        <v>668</v>
      </c>
      <c r="AR913" s="256">
        <v>3.5000000000000001E-3</v>
      </c>
      <c r="AS913" s="256">
        <v>3.5000000000000001E-3</v>
      </c>
      <c r="AT913" s="256"/>
      <c r="AX913" s="508"/>
      <c r="AY913" s="509"/>
      <c r="AZ913" s="509"/>
      <c r="BA913" s="509"/>
      <c r="BB913" s="510"/>
      <c r="BC913" s="509"/>
      <c r="BD913" s="509"/>
      <c r="BE913" s="509"/>
      <c r="BF913" s="509"/>
      <c r="BG913" s="510"/>
      <c r="BH913" s="510"/>
      <c r="BI913" s="511"/>
      <c r="BJ913" s="511"/>
      <c r="BK913" s="511"/>
      <c r="BL913" s="510"/>
      <c r="BM913" s="510"/>
      <c r="BN913" s="510"/>
      <c r="BO913" s="510"/>
      <c r="BP913" s="510"/>
      <c r="BQ913" s="510"/>
      <c r="BR913" s="510"/>
      <c r="BS913" s="510"/>
      <c r="BT913" s="513"/>
      <c r="BU913" s="514"/>
      <c r="BV913" s="512"/>
      <c r="BW913" s="515"/>
    </row>
    <row r="914" spans="2:75" ht="15.75" customHeight="1">
      <c r="B914" s="250" t="s">
        <v>1706</v>
      </c>
      <c r="C914" s="251">
        <v>8815403000109</v>
      </c>
      <c r="D914" s="252" t="s">
        <v>13</v>
      </c>
      <c r="E914" s="252" t="s">
        <v>615</v>
      </c>
      <c r="F914" s="252" t="s">
        <v>619</v>
      </c>
      <c r="G914" s="253" t="s">
        <v>34</v>
      </c>
      <c r="H914" s="253" t="s">
        <v>1338</v>
      </c>
      <c r="I914" s="253" t="s">
        <v>34</v>
      </c>
      <c r="J914" s="253" t="s">
        <v>611</v>
      </c>
      <c r="K914" s="254" t="s">
        <v>48</v>
      </c>
      <c r="L914" s="255"/>
      <c r="M914" s="255"/>
      <c r="N914" s="254">
        <v>185779</v>
      </c>
      <c r="O914" s="254" t="s">
        <v>1321</v>
      </c>
      <c r="P914" s="258">
        <v>39238</v>
      </c>
      <c r="Q914" s="259" t="s">
        <v>1393</v>
      </c>
      <c r="R914" s="259" t="s">
        <v>1417</v>
      </c>
      <c r="S914" s="254">
        <v>31</v>
      </c>
      <c r="T914" s="256" t="s">
        <v>1417</v>
      </c>
      <c r="U914" s="256" t="s">
        <v>1417</v>
      </c>
      <c r="V914" s="256" t="s">
        <v>1417</v>
      </c>
      <c r="W914" s="256" t="s">
        <v>1417</v>
      </c>
      <c r="X914" s="256" t="s">
        <v>1417</v>
      </c>
      <c r="Y914" s="256" t="s">
        <v>1417</v>
      </c>
      <c r="Z914" s="256" t="s">
        <v>1417</v>
      </c>
      <c r="AA914" s="256" t="s">
        <v>1417</v>
      </c>
      <c r="AB914" s="256" t="s">
        <v>1417</v>
      </c>
      <c r="AC914" s="260" t="s">
        <v>1417</v>
      </c>
      <c r="AD914" s="405">
        <v>9489380000144</v>
      </c>
      <c r="AE914" s="257" t="s">
        <v>2425</v>
      </c>
      <c r="AF914" s="257" t="s">
        <v>2112</v>
      </c>
      <c r="AG914" s="261" t="s">
        <v>59</v>
      </c>
      <c r="AH914" s="261" t="s">
        <v>2113</v>
      </c>
      <c r="AI914" s="261">
        <v>10000</v>
      </c>
      <c r="AJ914" s="261">
        <v>5000</v>
      </c>
      <c r="AK914" s="261">
        <v>10000</v>
      </c>
      <c r="AL914" s="256">
        <v>1.95E-2</v>
      </c>
      <c r="AM914" s="256">
        <v>0.2</v>
      </c>
      <c r="AN914" s="256" t="s">
        <v>64</v>
      </c>
      <c r="AO914" s="254" t="s">
        <v>1324</v>
      </c>
      <c r="AP914" s="257" t="s">
        <v>13</v>
      </c>
      <c r="AQ914" s="263" t="s">
        <v>664</v>
      </c>
      <c r="AR914" s="256">
        <v>4.7375000000000004E-3</v>
      </c>
      <c r="AS914" s="256">
        <v>4.7375000000000004E-3</v>
      </c>
      <c r="AT914" s="256"/>
      <c r="AX914" s="508"/>
      <c r="AY914" s="509"/>
      <c r="AZ914" s="509"/>
      <c r="BA914" s="509"/>
      <c r="BB914" s="510"/>
      <c r="BC914" s="509"/>
      <c r="BD914" s="509"/>
      <c r="BE914" s="509"/>
      <c r="BF914" s="509"/>
      <c r="BG914" s="510"/>
      <c r="BH914" s="510"/>
      <c r="BI914" s="511"/>
      <c r="BJ914" s="511"/>
      <c r="BK914" s="511"/>
      <c r="BL914" s="510"/>
      <c r="BM914" s="510"/>
      <c r="BN914" s="510"/>
      <c r="BO914" s="510"/>
      <c r="BP914" s="510"/>
      <c r="BQ914" s="510"/>
      <c r="BR914" s="510"/>
      <c r="BS914" s="510"/>
      <c r="BT914" s="513"/>
      <c r="BU914" s="514"/>
      <c r="BV914" s="512"/>
      <c r="BW914" s="515"/>
    </row>
    <row r="915" spans="2:75" ht="15.75" customHeight="1">
      <c r="B915" s="250" t="s">
        <v>430</v>
      </c>
      <c r="C915" s="251">
        <v>24572582000149</v>
      </c>
      <c r="D915" s="252" t="s">
        <v>13</v>
      </c>
      <c r="E915" s="252" t="s">
        <v>615</v>
      </c>
      <c r="F915" s="252" t="s">
        <v>619</v>
      </c>
      <c r="G915" s="253" t="s">
        <v>34</v>
      </c>
      <c r="H915" s="253" t="s">
        <v>1337</v>
      </c>
      <c r="I915" s="253" t="s">
        <v>34</v>
      </c>
      <c r="J915" s="253" t="s">
        <v>611</v>
      </c>
      <c r="K915" s="254" t="s">
        <v>48</v>
      </c>
      <c r="L915" s="255"/>
      <c r="M915" s="255" t="s">
        <v>34</v>
      </c>
      <c r="N915" s="254">
        <v>421715</v>
      </c>
      <c r="O915" s="254" t="s">
        <v>1321</v>
      </c>
      <c r="P915" s="258">
        <v>42590</v>
      </c>
      <c r="Q915" s="259">
        <v>370992317.45999998</v>
      </c>
      <c r="R915" s="259">
        <v>438602024.97999996</v>
      </c>
      <c r="S915" s="254">
        <v>31</v>
      </c>
      <c r="T915" s="256">
        <v>9.1769614846965331E-2</v>
      </c>
      <c r="U915" s="256">
        <v>1.1863237228456891</v>
      </c>
      <c r="V915" s="256">
        <v>8.7336673446295698E-2</v>
      </c>
      <c r="W915" s="256">
        <v>0.85619143049107704</v>
      </c>
      <c r="X915" s="256">
        <v>3.2388240756747066E-2</v>
      </c>
      <c r="Y915" s="256">
        <v>0.24560591332403914</v>
      </c>
      <c r="Z915" s="256">
        <v>0.18867388971712495</v>
      </c>
      <c r="AA915" s="256">
        <v>1.0724835550126106</v>
      </c>
      <c r="AB915" s="256">
        <v>4.2394728857163264E-2</v>
      </c>
      <c r="AC915" s="260">
        <v>-0.29512729406852045</v>
      </c>
      <c r="AD915" s="405">
        <v>24572601000137</v>
      </c>
      <c r="AE915" s="257" t="s">
        <v>2432</v>
      </c>
      <c r="AF915" s="257" t="s">
        <v>2115</v>
      </c>
      <c r="AG915" s="261" t="s">
        <v>719</v>
      </c>
      <c r="AH915" s="261" t="s">
        <v>2113</v>
      </c>
      <c r="AI915" s="261">
        <v>5000</v>
      </c>
      <c r="AJ915" s="261">
        <v>500</v>
      </c>
      <c r="AK915" s="261">
        <v>1000</v>
      </c>
      <c r="AL915" s="256">
        <v>1.9199999999999998E-2</v>
      </c>
      <c r="AM915" s="256">
        <v>0.2</v>
      </c>
      <c r="AN915" s="256" t="s">
        <v>64</v>
      </c>
      <c r="AO915" s="254" t="s">
        <v>1324</v>
      </c>
      <c r="AP915" s="257" t="s">
        <v>13</v>
      </c>
      <c r="AQ915" s="263" t="s">
        <v>668</v>
      </c>
      <c r="AR915" s="256">
        <v>5.1840000000000002E-3</v>
      </c>
      <c r="AS915" s="256">
        <v>5.1840000000000002E-3</v>
      </c>
      <c r="AT915" s="256"/>
      <c r="AX915" s="508"/>
      <c r="AY915" s="509"/>
      <c r="AZ915" s="509"/>
      <c r="BA915" s="509"/>
      <c r="BB915" s="510"/>
      <c r="BC915" s="509"/>
      <c r="BD915" s="509"/>
      <c r="BE915" s="509"/>
      <c r="BF915" s="509"/>
      <c r="BG915" s="510"/>
      <c r="BH915" s="510"/>
      <c r="BI915" s="511"/>
      <c r="BJ915" s="511"/>
      <c r="BK915" s="511"/>
      <c r="BL915" s="510"/>
      <c r="BM915" s="510"/>
      <c r="BN915" s="510"/>
      <c r="BO915" s="510"/>
      <c r="BP915" s="510"/>
      <c r="BQ915" s="510"/>
      <c r="BR915" s="510"/>
      <c r="BS915" s="510"/>
      <c r="BT915" s="513"/>
      <c r="BU915" s="514"/>
      <c r="BV915" s="512"/>
      <c r="BW915" s="515"/>
    </row>
    <row r="916" spans="2:75" ht="15.75" customHeight="1">
      <c r="B916" s="250" t="s">
        <v>544</v>
      </c>
      <c r="C916" s="251">
        <v>30568854000130</v>
      </c>
      <c r="D916" s="252" t="s">
        <v>13</v>
      </c>
      <c r="E916" s="252" t="s">
        <v>615</v>
      </c>
      <c r="F916" s="252" t="s">
        <v>619</v>
      </c>
      <c r="G916" s="253" t="s">
        <v>34</v>
      </c>
      <c r="H916" s="253" t="s">
        <v>1338</v>
      </c>
      <c r="I916" s="253" t="s">
        <v>34</v>
      </c>
      <c r="J916" s="253"/>
      <c r="K916" s="254" t="s">
        <v>48</v>
      </c>
      <c r="L916" s="255"/>
      <c r="M916" s="255" t="s">
        <v>1414</v>
      </c>
      <c r="N916" s="254">
        <v>502871</v>
      </c>
      <c r="O916" s="254" t="s">
        <v>1321</v>
      </c>
      <c r="P916" s="258">
        <v>43644</v>
      </c>
      <c r="Q916" s="259">
        <v>753252810.39999998</v>
      </c>
      <c r="R916" s="259">
        <v>1025623063.8825788</v>
      </c>
      <c r="S916" s="254">
        <v>31</v>
      </c>
      <c r="T916" s="256">
        <v>-7.8596002227564465E-2</v>
      </c>
      <c r="U916" s="256">
        <v>-1.0160258612709614</v>
      </c>
      <c r="V916" s="256">
        <v>-0.14765135656934658</v>
      </c>
      <c r="W916" s="256">
        <v>-1.4474770014316229</v>
      </c>
      <c r="X916" s="256">
        <v>-0.10092743115017822</v>
      </c>
      <c r="Y916" s="256">
        <v>-0.76535104494444406</v>
      </c>
      <c r="Z916" s="256">
        <v>-6.0410654100756078E-2</v>
      </c>
      <c r="AA916" s="256">
        <v>-0.34339374233368242</v>
      </c>
      <c r="AB916" s="256">
        <v>0.12618797076564367</v>
      </c>
      <c r="AC916" s="260">
        <v>-1.972619031809733</v>
      </c>
      <c r="AD916" s="405">
        <v>0</v>
      </c>
      <c r="AE916" s="257" t="s">
        <v>2229</v>
      </c>
      <c r="AF916" s="257" t="s">
        <v>2109</v>
      </c>
      <c r="AG916" s="261" t="s">
        <v>1432</v>
      </c>
      <c r="AH916" s="261" t="s">
        <v>2113</v>
      </c>
      <c r="AI916" s="261">
        <v>1000</v>
      </c>
      <c r="AJ916" s="261">
        <v>100</v>
      </c>
      <c r="AK916" s="261">
        <v>100</v>
      </c>
      <c r="AL916" s="256">
        <v>1.0500000000000001E-2</v>
      </c>
      <c r="AM916" s="256">
        <v>0.15</v>
      </c>
      <c r="AN916" s="256" t="s">
        <v>2127</v>
      </c>
      <c r="AO916" s="254" t="s">
        <v>1324</v>
      </c>
      <c r="AP916" s="257" t="s">
        <v>13</v>
      </c>
      <c r="AQ916" s="263" t="s">
        <v>668</v>
      </c>
      <c r="AR916" s="256">
        <v>3.49965E-3</v>
      </c>
      <c r="AS916" s="256">
        <v>3.49965E-3</v>
      </c>
      <c r="AT916" s="256"/>
      <c r="AX916" s="508"/>
      <c r="AY916" s="509"/>
      <c r="AZ916" s="509"/>
      <c r="BA916" s="509"/>
      <c r="BB916" s="510"/>
      <c r="BC916" s="509"/>
      <c r="BD916" s="509"/>
      <c r="BE916" s="509"/>
      <c r="BF916" s="509"/>
      <c r="BG916" s="510"/>
      <c r="BH916" s="510"/>
      <c r="BI916" s="511"/>
      <c r="BJ916" s="511"/>
      <c r="BK916" s="511"/>
      <c r="BL916" s="510"/>
      <c r="BM916" s="510"/>
      <c r="BN916" s="510"/>
      <c r="BO916" s="510"/>
      <c r="BP916" s="510"/>
      <c r="BQ916" s="510"/>
      <c r="BR916" s="510"/>
      <c r="BS916" s="510"/>
      <c r="BT916" s="513"/>
      <c r="BU916" s="514"/>
      <c r="BV916" s="512"/>
      <c r="BW916" s="515"/>
    </row>
    <row r="917" spans="2:75" ht="15.75" customHeight="1">
      <c r="B917" s="250" t="s">
        <v>255</v>
      </c>
      <c r="C917" s="251">
        <v>36521802000194</v>
      </c>
      <c r="D917" s="252" t="s">
        <v>13</v>
      </c>
      <c r="E917" s="252" t="s">
        <v>616</v>
      </c>
      <c r="F917" s="252" t="s">
        <v>610</v>
      </c>
      <c r="G917" s="253" t="s">
        <v>34</v>
      </c>
      <c r="H917" s="253" t="s">
        <v>1338</v>
      </c>
      <c r="I917" s="253" t="s">
        <v>34</v>
      </c>
      <c r="J917" s="253"/>
      <c r="K917" s="254" t="s">
        <v>48</v>
      </c>
      <c r="L917" s="255"/>
      <c r="M917" s="255" t="s">
        <v>34</v>
      </c>
      <c r="N917" s="254">
        <v>539457</v>
      </c>
      <c r="O917" s="254" t="s">
        <v>1321</v>
      </c>
      <c r="P917" s="258">
        <v>43980</v>
      </c>
      <c r="Q917" s="259">
        <v>8438436.1899999995</v>
      </c>
      <c r="R917" s="259">
        <v>5741659.0566269848</v>
      </c>
      <c r="S917" s="254">
        <v>31</v>
      </c>
      <c r="T917" s="256">
        <v>0.25925545394651794</v>
      </c>
      <c r="U917" s="256">
        <v>3.3514458550008048</v>
      </c>
      <c r="V917" s="256">
        <v>0.19224861906932178</v>
      </c>
      <c r="W917" s="256">
        <v>1.884679295371974</v>
      </c>
      <c r="X917" s="256">
        <v>0.18190708962337276</v>
      </c>
      <c r="Y917" s="256">
        <v>1.3794345059559672</v>
      </c>
      <c r="Z917" s="256" t="s">
        <v>1417</v>
      </c>
      <c r="AA917" s="256" t="s">
        <v>1417</v>
      </c>
      <c r="AB917" s="256">
        <v>0.10666567426682524</v>
      </c>
      <c r="AC917" s="260">
        <v>0.79105947699474599</v>
      </c>
      <c r="AD917" s="405">
        <v>36521795000120</v>
      </c>
      <c r="AE917" s="257" t="s">
        <v>2294</v>
      </c>
      <c r="AF917" s="257" t="s">
        <v>2115</v>
      </c>
      <c r="AG917" s="261" t="s">
        <v>719</v>
      </c>
      <c r="AH917" s="261" t="s">
        <v>2110</v>
      </c>
      <c r="AI917" s="261">
        <v>50000</v>
      </c>
      <c r="AJ917" s="261">
        <v>10000</v>
      </c>
      <c r="AK917" s="261">
        <v>20000</v>
      </c>
      <c r="AL917" s="256">
        <v>1.4999999999999999E-2</v>
      </c>
      <c r="AM917" s="256">
        <v>0.2</v>
      </c>
      <c r="AN917" s="256" t="s">
        <v>64</v>
      </c>
      <c r="AO917" s="254" t="s">
        <v>1324</v>
      </c>
      <c r="AP917" s="257" t="s">
        <v>13</v>
      </c>
      <c r="AQ917" s="263" t="s">
        <v>664</v>
      </c>
      <c r="AR917" s="256">
        <v>4.0000000000000001E-3</v>
      </c>
      <c r="AS917" s="256">
        <v>4.0000000000000001E-3</v>
      </c>
      <c r="AT917" s="256"/>
      <c r="AX917" s="508"/>
      <c r="AY917" s="509"/>
      <c r="AZ917" s="509"/>
      <c r="BA917" s="509"/>
      <c r="BB917" s="510"/>
      <c r="BC917" s="509"/>
      <c r="BD917" s="509"/>
      <c r="BE917" s="509"/>
      <c r="BF917" s="509"/>
      <c r="BG917" s="510"/>
      <c r="BH917" s="510"/>
      <c r="BI917" s="511"/>
      <c r="BJ917" s="511"/>
      <c r="BK917" s="511"/>
      <c r="BL917" s="510"/>
      <c r="BM917" s="510"/>
      <c r="BN917" s="510"/>
      <c r="BO917" s="510"/>
      <c r="BP917" s="510"/>
      <c r="BQ917" s="510"/>
      <c r="BR917" s="510"/>
      <c r="BS917" s="510"/>
      <c r="BT917" s="513"/>
      <c r="BU917" s="514"/>
      <c r="BV917" s="512"/>
      <c r="BW917" s="515"/>
    </row>
    <row r="918" spans="2:75" ht="15.75" customHeight="1">
      <c r="B918" s="250" t="s">
        <v>425</v>
      </c>
      <c r="C918" s="251">
        <v>19941946000180</v>
      </c>
      <c r="D918" s="252" t="s">
        <v>11</v>
      </c>
      <c r="E918" s="252" t="s">
        <v>621</v>
      </c>
      <c r="F918" s="252" t="s">
        <v>672</v>
      </c>
      <c r="G918" s="253" t="s">
        <v>866</v>
      </c>
      <c r="H918" s="253" t="s">
        <v>34</v>
      </c>
      <c r="I918" s="253"/>
      <c r="J918" s="253" t="s">
        <v>608</v>
      </c>
      <c r="K918" s="254" t="s">
        <v>48</v>
      </c>
      <c r="L918" s="255"/>
      <c r="M918" s="255" t="s">
        <v>34</v>
      </c>
      <c r="N918" s="254">
        <v>378003</v>
      </c>
      <c r="O918" s="254" t="s">
        <v>1321</v>
      </c>
      <c r="P918" s="258">
        <v>41913</v>
      </c>
      <c r="Q918" s="259">
        <v>150198864.08000001</v>
      </c>
      <c r="R918" s="259">
        <v>141571897.17638889</v>
      </c>
      <c r="S918" s="254">
        <v>31</v>
      </c>
      <c r="T918" s="256">
        <v>0.11393073657845543</v>
      </c>
      <c r="U918" s="256">
        <v>1.4728048689067181</v>
      </c>
      <c r="V918" s="256">
        <v>0.10579174452270079</v>
      </c>
      <c r="W918" s="256">
        <v>1.0371128359123407</v>
      </c>
      <c r="X918" s="256">
        <v>8.4993962284692026E-2</v>
      </c>
      <c r="Y918" s="256">
        <v>0.6445246560547464</v>
      </c>
      <c r="Z918" s="256">
        <v>0.2910997773780275</v>
      </c>
      <c r="AA918" s="256">
        <v>1.6547055057477289</v>
      </c>
      <c r="AB918" s="256">
        <v>0.10184679251755424</v>
      </c>
      <c r="AC918" s="260">
        <v>8.4372705938251344E-2</v>
      </c>
      <c r="AD918" s="405">
        <v>0</v>
      </c>
      <c r="AE918" s="257" t="s">
        <v>2425</v>
      </c>
      <c r="AF918" s="257" t="s">
        <v>2112</v>
      </c>
      <c r="AG918" s="261" t="s">
        <v>59</v>
      </c>
      <c r="AH918" s="261" t="s">
        <v>2110</v>
      </c>
      <c r="AI918" s="261">
        <v>20000</v>
      </c>
      <c r="AJ918" s="261">
        <v>10000</v>
      </c>
      <c r="AK918" s="261">
        <v>20000</v>
      </c>
      <c r="AL918" s="256">
        <v>0.02</v>
      </c>
      <c r="AM918" s="256">
        <v>0.2</v>
      </c>
      <c r="AN918" s="256" t="s">
        <v>150</v>
      </c>
      <c r="AO918" s="254" t="s">
        <v>1324</v>
      </c>
      <c r="AP918" s="257" t="s">
        <v>13</v>
      </c>
      <c r="AQ918" s="263" t="s">
        <v>664</v>
      </c>
      <c r="AR918" s="256">
        <v>4.0000000000000001E-3</v>
      </c>
      <c r="AS918" s="256">
        <v>4.0000000000000001E-3</v>
      </c>
      <c r="AT918" s="256"/>
      <c r="AX918" s="508"/>
      <c r="AY918" s="509"/>
      <c r="AZ918" s="509"/>
      <c r="BA918" s="509"/>
      <c r="BB918" s="510"/>
      <c r="BC918" s="509"/>
      <c r="BD918" s="509"/>
      <c r="BE918" s="509"/>
      <c r="BF918" s="509"/>
      <c r="BG918" s="510"/>
      <c r="BH918" s="510"/>
      <c r="BI918" s="511"/>
      <c r="BJ918" s="511"/>
      <c r="BK918" s="511"/>
      <c r="BL918" s="510"/>
      <c r="BM918" s="510"/>
      <c r="BN918" s="510"/>
      <c r="BO918" s="510"/>
      <c r="BP918" s="510"/>
      <c r="BQ918" s="510"/>
      <c r="BR918" s="510"/>
      <c r="BS918" s="510"/>
      <c r="BT918" s="513"/>
      <c r="BU918" s="514"/>
      <c r="BV918" s="512"/>
      <c r="BW918" s="515"/>
    </row>
    <row r="919" spans="2:75" ht="15.75" customHeight="1">
      <c r="B919" s="250" t="s">
        <v>1530</v>
      </c>
      <c r="C919" s="251">
        <v>23695873000161</v>
      </c>
      <c r="D919" s="252"/>
      <c r="E919" s="252"/>
      <c r="F919" s="252"/>
      <c r="G919" s="253"/>
      <c r="H919" s="253" t="s">
        <v>34</v>
      </c>
      <c r="I919" s="253"/>
      <c r="J919" s="253"/>
      <c r="K919" s="254"/>
      <c r="L919" s="255"/>
      <c r="M919" s="255"/>
      <c r="N919" s="254">
        <v>417017</v>
      </c>
      <c r="O919" s="254" t="s">
        <v>1321</v>
      </c>
      <c r="P919" s="258">
        <v>42499</v>
      </c>
      <c r="Q919" s="259" t="s">
        <v>1393</v>
      </c>
      <c r="R919" s="259" t="s">
        <v>1417</v>
      </c>
      <c r="S919" s="254">
        <v>31</v>
      </c>
      <c r="T919" s="256" t="s">
        <v>1417</v>
      </c>
      <c r="U919" s="256" t="s">
        <v>1417</v>
      </c>
      <c r="V919" s="256" t="s">
        <v>1417</v>
      </c>
      <c r="W919" s="256" t="s">
        <v>1417</v>
      </c>
      <c r="X919" s="256" t="s">
        <v>1417</v>
      </c>
      <c r="Y919" s="256" t="s">
        <v>1417</v>
      </c>
      <c r="Z919" s="256" t="s">
        <v>1417</v>
      </c>
      <c r="AA919" s="256" t="s">
        <v>1417</v>
      </c>
      <c r="AB919" s="256" t="s">
        <v>1417</v>
      </c>
      <c r="AC919" s="260" t="s">
        <v>1417</v>
      </c>
      <c r="AD919" s="405">
        <v>0</v>
      </c>
      <c r="AE919" s="257" t="s">
        <v>2123</v>
      </c>
      <c r="AF919" s="257" t="s">
        <v>2109</v>
      </c>
      <c r="AG919" s="261" t="s">
        <v>1432</v>
      </c>
      <c r="AH919" s="261" t="s">
        <v>2170</v>
      </c>
      <c r="AI919" s="261">
        <v>10000</v>
      </c>
      <c r="AJ919" s="261">
        <v>5000</v>
      </c>
      <c r="AK919" s="261">
        <v>5000</v>
      </c>
      <c r="AL919" s="256">
        <v>0</v>
      </c>
      <c r="AM919" s="256" t="s">
        <v>34</v>
      </c>
      <c r="AN919" s="256" t="s">
        <v>34</v>
      </c>
      <c r="AO919" s="254" t="s">
        <v>1324</v>
      </c>
      <c r="AP919" s="257" t="s">
        <v>13</v>
      </c>
      <c r="AQ919" s="263" t="s">
        <v>664</v>
      </c>
      <c r="AR919" s="256" t="s">
        <v>34</v>
      </c>
      <c r="AS919" s="256" t="s">
        <v>34</v>
      </c>
      <c r="AT919" s="256"/>
      <c r="AX919" s="508"/>
      <c r="AY919" s="509"/>
      <c r="AZ919" s="509"/>
      <c r="BA919" s="509"/>
      <c r="BB919" s="510"/>
      <c r="BC919" s="509"/>
      <c r="BD919" s="509"/>
      <c r="BE919" s="509"/>
      <c r="BF919" s="509"/>
      <c r="BG919" s="510"/>
      <c r="BH919" s="510"/>
      <c r="BI919" s="511"/>
      <c r="BJ919" s="511"/>
      <c r="BK919" s="511"/>
      <c r="BL919" s="510"/>
      <c r="BM919" s="510"/>
      <c r="BN919" s="510"/>
      <c r="BO919" s="510"/>
      <c r="BP919" s="510"/>
      <c r="BQ919" s="510"/>
      <c r="BR919" s="510"/>
      <c r="BS919" s="510"/>
      <c r="BT919" s="513"/>
      <c r="BU919" s="514"/>
      <c r="BV919" s="512"/>
      <c r="BW919" s="515"/>
    </row>
    <row r="920" spans="2:75" ht="15.75" customHeight="1">
      <c r="B920" s="250" t="s">
        <v>880</v>
      </c>
      <c r="C920" s="251">
        <v>36436823000101</v>
      </c>
      <c r="D920" s="252" t="s">
        <v>14</v>
      </c>
      <c r="E920" s="252" t="s">
        <v>614</v>
      </c>
      <c r="F920" s="252"/>
      <c r="G920" s="253"/>
      <c r="H920" s="253" t="s">
        <v>1338</v>
      </c>
      <c r="I920" s="253" t="s">
        <v>34</v>
      </c>
      <c r="J920" s="253" t="s">
        <v>608</v>
      </c>
      <c r="K920" s="254" t="s">
        <v>48</v>
      </c>
      <c r="L920" s="255"/>
      <c r="M920" s="255" t="s">
        <v>34</v>
      </c>
      <c r="N920" s="254">
        <v>541508</v>
      </c>
      <c r="O920" s="254" t="s">
        <v>1321</v>
      </c>
      <c r="P920" s="258">
        <v>44007</v>
      </c>
      <c r="Q920" s="259">
        <v>14170783.32</v>
      </c>
      <c r="R920" s="259">
        <v>13838791.325317459</v>
      </c>
      <c r="S920" s="254">
        <v>31</v>
      </c>
      <c r="T920" s="256">
        <v>7.5764275534832004E-2</v>
      </c>
      <c r="U920" s="256">
        <v>0.97941957761371912</v>
      </c>
      <c r="V920" s="256">
        <v>-0.13319114599793391</v>
      </c>
      <c r="W920" s="256">
        <v>-1.3057185867153462</v>
      </c>
      <c r="X920" s="256">
        <v>-0.10650914149692114</v>
      </c>
      <c r="Y920" s="256">
        <v>-0.80767816848036666</v>
      </c>
      <c r="Z920" s="256" t="s">
        <v>1417</v>
      </c>
      <c r="AA920" s="256" t="s">
        <v>1417</v>
      </c>
      <c r="AB920" s="256">
        <v>0.2072456710915436</v>
      </c>
      <c r="AC920" s="260">
        <v>-1.0546181384769684</v>
      </c>
      <c r="AD920" s="405">
        <v>36499040000177</v>
      </c>
      <c r="AE920" s="257" t="s">
        <v>2193</v>
      </c>
      <c r="AF920" s="257" t="s">
        <v>2109</v>
      </c>
      <c r="AG920" s="261" t="s">
        <v>1432</v>
      </c>
      <c r="AH920" s="261" t="s">
        <v>2113</v>
      </c>
      <c r="AI920" s="261">
        <v>100</v>
      </c>
      <c r="AJ920" s="261">
        <v>0</v>
      </c>
      <c r="AK920" s="261">
        <v>0</v>
      </c>
      <c r="AL920" s="256">
        <v>0.02</v>
      </c>
      <c r="AM920" s="256">
        <v>0.2</v>
      </c>
      <c r="AN920" s="256" t="s">
        <v>34</v>
      </c>
      <c r="AO920" s="254" t="s">
        <v>1324</v>
      </c>
      <c r="AP920" s="257" t="s">
        <v>13</v>
      </c>
      <c r="AQ920" s="263" t="s">
        <v>668</v>
      </c>
      <c r="AR920" s="256">
        <v>4.6666666666666662E-3</v>
      </c>
      <c r="AS920" s="256">
        <v>4.6666666666666662E-3</v>
      </c>
      <c r="AT920" s="256"/>
      <c r="AX920" s="508"/>
      <c r="AY920" s="509"/>
      <c r="AZ920" s="509"/>
      <c r="BA920" s="509"/>
      <c r="BB920" s="510"/>
      <c r="BC920" s="509"/>
      <c r="BD920" s="509"/>
      <c r="BE920" s="509"/>
      <c r="BF920" s="509"/>
      <c r="BG920" s="510"/>
      <c r="BH920" s="510"/>
      <c r="BI920" s="511"/>
      <c r="BJ920" s="511"/>
      <c r="BK920" s="511"/>
      <c r="BL920" s="510"/>
      <c r="BM920" s="510"/>
      <c r="BN920" s="510"/>
      <c r="BO920" s="510"/>
      <c r="BP920" s="510"/>
      <c r="BQ920" s="510"/>
      <c r="BR920" s="510"/>
      <c r="BS920" s="510"/>
      <c r="BT920" s="513"/>
      <c r="BU920" s="514"/>
      <c r="BV920" s="512"/>
      <c r="BW920" s="515"/>
    </row>
    <row r="921" spans="2:75" ht="15.75" customHeight="1">
      <c r="B921" s="250" t="s">
        <v>1535</v>
      </c>
      <c r="C921" s="251">
        <v>28345337000150</v>
      </c>
      <c r="D921" s="252" t="s">
        <v>14</v>
      </c>
      <c r="E921" s="252" t="s">
        <v>614</v>
      </c>
      <c r="F921" s="252"/>
      <c r="G921" s="253"/>
      <c r="H921" s="253" t="s">
        <v>1338</v>
      </c>
      <c r="I921" s="253" t="s">
        <v>34</v>
      </c>
      <c r="J921" s="253" t="s">
        <v>608</v>
      </c>
      <c r="K921" s="254" t="s">
        <v>48</v>
      </c>
      <c r="L921" s="255"/>
      <c r="M921" s="255"/>
      <c r="N921" s="254">
        <v>455431</v>
      </c>
      <c r="O921" s="254" t="s">
        <v>1321</v>
      </c>
      <c r="P921" s="258">
        <v>43090</v>
      </c>
      <c r="Q921" s="259">
        <v>3239243.03</v>
      </c>
      <c r="R921" s="259">
        <v>5143909.4650000026</v>
      </c>
      <c r="S921" s="254">
        <v>31</v>
      </c>
      <c r="T921" s="256">
        <v>-5.7918110382457311E-2</v>
      </c>
      <c r="U921" s="256">
        <v>-0.65145789694404066</v>
      </c>
      <c r="V921" s="256">
        <v>-0.2143104451919754</v>
      </c>
      <c r="W921" s="256">
        <v>-1.9668787756446315</v>
      </c>
      <c r="X921" s="256">
        <v>-0.13348947766085417</v>
      </c>
      <c r="Y921" s="256">
        <v>-0.9386700340320665</v>
      </c>
      <c r="Z921" s="256">
        <v>-0.28188867449211996</v>
      </c>
      <c r="AA921" s="256">
        <v>-1.5403986149425328</v>
      </c>
      <c r="AB921" s="256">
        <v>0.20413064831004868</v>
      </c>
      <c r="AC921" s="260">
        <v>-1.5856928198699753</v>
      </c>
      <c r="AD921" s="405">
        <v>28345356000186</v>
      </c>
      <c r="AE921" s="257" t="s">
        <v>2197</v>
      </c>
      <c r="AF921" s="257" t="s">
        <v>2121</v>
      </c>
      <c r="AG921" s="261" t="s">
        <v>59</v>
      </c>
      <c r="AH921" s="261" t="s">
        <v>2110</v>
      </c>
      <c r="AI921" s="261">
        <v>100000</v>
      </c>
      <c r="AJ921" s="261">
        <v>50000</v>
      </c>
      <c r="AK921" s="261">
        <v>100000</v>
      </c>
      <c r="AL921" s="256">
        <v>1.9E-2</v>
      </c>
      <c r="AM921" s="256">
        <v>0.2</v>
      </c>
      <c r="AN921" s="256" t="s">
        <v>2141</v>
      </c>
      <c r="AO921" s="254" t="s">
        <v>1324</v>
      </c>
      <c r="AP921" s="257" t="s">
        <v>13</v>
      </c>
      <c r="AQ921" s="263" t="s">
        <v>674</v>
      </c>
      <c r="AR921" s="256" t="s">
        <v>34</v>
      </c>
      <c r="AS921" s="256" t="s">
        <v>34</v>
      </c>
      <c r="AT921" s="256"/>
      <c r="AX921" s="508"/>
      <c r="AY921" s="509"/>
      <c r="AZ921" s="509"/>
      <c r="BA921" s="509"/>
      <c r="BB921" s="510"/>
      <c r="BC921" s="509"/>
      <c r="BD921" s="509"/>
      <c r="BE921" s="509"/>
      <c r="BF921" s="509"/>
      <c r="BG921" s="510"/>
      <c r="BH921" s="510"/>
      <c r="BI921" s="511"/>
      <c r="BJ921" s="511"/>
      <c r="BK921" s="511"/>
      <c r="BL921" s="510"/>
      <c r="BM921" s="510"/>
      <c r="BN921" s="510"/>
      <c r="BO921" s="510"/>
      <c r="BP921" s="510"/>
      <c r="BQ921" s="510"/>
      <c r="BR921" s="510"/>
      <c r="BS921" s="510"/>
      <c r="BT921" s="513"/>
      <c r="BU921" s="514"/>
      <c r="BV921" s="512"/>
      <c r="BW921" s="515"/>
    </row>
    <row r="922" spans="2:75" ht="15.75" customHeight="1">
      <c r="B922" s="250" t="s">
        <v>1565</v>
      </c>
      <c r="C922" s="251">
        <v>31690473000191</v>
      </c>
      <c r="D922" s="252" t="s">
        <v>14</v>
      </c>
      <c r="E922" s="252" t="s">
        <v>614</v>
      </c>
      <c r="F922" s="252"/>
      <c r="G922" s="253"/>
      <c r="H922" s="253" t="s">
        <v>1338</v>
      </c>
      <c r="I922" s="253" t="s">
        <v>34</v>
      </c>
      <c r="J922" s="253" t="s">
        <v>608</v>
      </c>
      <c r="K922" s="254" t="s">
        <v>48</v>
      </c>
      <c r="L922" s="255"/>
      <c r="M922" s="255"/>
      <c r="N922" s="254">
        <v>498701</v>
      </c>
      <c r="O922" s="254" t="s">
        <v>1321</v>
      </c>
      <c r="P922" s="258">
        <v>43637</v>
      </c>
      <c r="Q922" s="259">
        <v>439675932.95999998</v>
      </c>
      <c r="R922" s="259">
        <v>483704708.67615098</v>
      </c>
      <c r="S922" s="254">
        <v>31</v>
      </c>
      <c r="T922" s="256">
        <v>0.18173734377352413</v>
      </c>
      <c r="U922" s="256">
        <v>2.044165926496738</v>
      </c>
      <c r="V922" s="256">
        <v>-6.6285854807239808E-2</v>
      </c>
      <c r="W922" s="256">
        <v>-0.6083522472692966</v>
      </c>
      <c r="X922" s="256">
        <v>6.4730666721088959E-2</v>
      </c>
      <c r="Y922" s="256">
        <v>0.45517248399437726</v>
      </c>
      <c r="Z922" s="256">
        <v>0.43139419450781058</v>
      </c>
      <c r="AA922" s="256">
        <v>2.3573810509107815</v>
      </c>
      <c r="AB922" s="256">
        <v>0.21665716060032833</v>
      </c>
      <c r="AC922" s="260">
        <v>-0.68574340376230092</v>
      </c>
      <c r="AD922" s="405">
        <v>31844634000154</v>
      </c>
      <c r="AE922" s="257" t="s">
        <v>1547</v>
      </c>
      <c r="AF922" s="257" t="s">
        <v>2121</v>
      </c>
      <c r="AG922" s="261" t="s">
        <v>1547</v>
      </c>
      <c r="AH922" s="261" t="s">
        <v>2110</v>
      </c>
      <c r="AI922" s="261">
        <v>100000</v>
      </c>
      <c r="AJ922" s="261">
        <v>50000</v>
      </c>
      <c r="AK922" s="261">
        <v>100000</v>
      </c>
      <c r="AL922" s="256">
        <v>0</v>
      </c>
      <c r="AM922" s="256" t="s">
        <v>34</v>
      </c>
      <c r="AN922" s="256" t="s">
        <v>2122</v>
      </c>
      <c r="AO922" s="254" t="s">
        <v>1324</v>
      </c>
      <c r="AP922" s="257" t="s">
        <v>716</v>
      </c>
      <c r="AQ922" s="263" t="s">
        <v>659</v>
      </c>
      <c r="AR922" s="256" t="s">
        <v>34</v>
      </c>
      <c r="AS922" s="256" t="s">
        <v>34</v>
      </c>
      <c r="AT922" s="256"/>
      <c r="AX922" s="508"/>
      <c r="AY922" s="509"/>
      <c r="AZ922" s="509"/>
      <c r="BA922" s="509"/>
      <c r="BB922" s="510"/>
      <c r="BC922" s="509"/>
      <c r="BD922" s="509"/>
      <c r="BE922" s="509"/>
      <c r="BF922" s="509"/>
      <c r="BG922" s="510"/>
      <c r="BH922" s="510"/>
      <c r="BI922" s="511"/>
      <c r="BJ922" s="511"/>
      <c r="BK922" s="511"/>
      <c r="BL922" s="510"/>
      <c r="BM922" s="510"/>
      <c r="BN922" s="510"/>
      <c r="BO922" s="510"/>
      <c r="BP922" s="510"/>
      <c r="BQ922" s="510"/>
      <c r="BR922" s="510"/>
      <c r="BS922" s="510"/>
      <c r="BT922" s="513"/>
      <c r="BU922" s="514"/>
      <c r="BV922" s="512"/>
      <c r="BW922" s="515"/>
    </row>
    <row r="923" spans="2:75" ht="15.75" customHeight="1">
      <c r="B923" s="250" t="s">
        <v>1566</v>
      </c>
      <c r="C923" s="251">
        <v>26859392000132</v>
      </c>
      <c r="D923" s="252" t="s">
        <v>14</v>
      </c>
      <c r="E923" s="252" t="s">
        <v>607</v>
      </c>
      <c r="F923" s="252"/>
      <c r="G923" s="253"/>
      <c r="H923" s="253" t="s">
        <v>34</v>
      </c>
      <c r="I923" s="253" t="s">
        <v>34</v>
      </c>
      <c r="J923" s="253" t="s">
        <v>608</v>
      </c>
      <c r="K923" s="254" t="s">
        <v>48</v>
      </c>
      <c r="L923" s="255"/>
      <c r="M923" s="255"/>
      <c r="N923" s="254">
        <v>443093</v>
      </c>
      <c r="O923" s="254" t="s">
        <v>1321</v>
      </c>
      <c r="P923" s="258">
        <v>42888</v>
      </c>
      <c r="Q923" s="259">
        <v>140126832.49000001</v>
      </c>
      <c r="R923" s="259">
        <v>186524800.11055559</v>
      </c>
      <c r="S923" s="254">
        <v>31</v>
      </c>
      <c r="T923" s="256">
        <v>-8.9420358402565459E-3</v>
      </c>
      <c r="U923" s="256">
        <v>-0.10057924584252662</v>
      </c>
      <c r="V923" s="256">
        <v>-0.19312141902462787</v>
      </c>
      <c r="W923" s="256">
        <v>-1.772412071943831</v>
      </c>
      <c r="X923" s="256">
        <v>-7.3853598032316059E-2</v>
      </c>
      <c r="Y923" s="256">
        <v>-0.51932302525380247</v>
      </c>
      <c r="Z923" s="256">
        <v>0.15920424519342213</v>
      </c>
      <c r="AA923" s="256">
        <v>0.86998173740312623</v>
      </c>
      <c r="AB923" s="256">
        <v>0.24422375291400833</v>
      </c>
      <c r="AC923" s="260">
        <v>-1.1799812263872338</v>
      </c>
      <c r="AD923" s="405">
        <v>26859548000185</v>
      </c>
      <c r="AE923" s="257" t="s">
        <v>1547</v>
      </c>
      <c r="AF923" s="257" t="s">
        <v>2121</v>
      </c>
      <c r="AG923" s="261" t="s">
        <v>1547</v>
      </c>
      <c r="AH923" s="261" t="s">
        <v>2110</v>
      </c>
      <c r="AI923" s="261">
        <v>100000</v>
      </c>
      <c r="AJ923" s="261">
        <v>50000</v>
      </c>
      <c r="AK923" s="261">
        <v>100000</v>
      </c>
      <c r="AL923" s="256">
        <v>0</v>
      </c>
      <c r="AM923" s="256" t="s">
        <v>34</v>
      </c>
      <c r="AN923" s="256" t="s">
        <v>2122</v>
      </c>
      <c r="AO923" s="254" t="s">
        <v>1324</v>
      </c>
      <c r="AP923" s="257" t="s">
        <v>716</v>
      </c>
      <c r="AQ923" s="263" t="s">
        <v>659</v>
      </c>
      <c r="AR923" s="256" t="s">
        <v>34</v>
      </c>
      <c r="AS923" s="256" t="s">
        <v>34</v>
      </c>
      <c r="AT923" s="256"/>
      <c r="AX923" s="508"/>
      <c r="AY923" s="509"/>
      <c r="AZ923" s="509"/>
      <c r="BA923" s="509"/>
      <c r="BB923" s="510"/>
      <c r="BC923" s="509"/>
      <c r="BD923" s="509"/>
      <c r="BE923" s="509"/>
      <c r="BF923" s="509"/>
      <c r="BG923" s="510"/>
      <c r="BH923" s="510"/>
      <c r="BI923" s="511"/>
      <c r="BJ923" s="511"/>
      <c r="BK923" s="511"/>
      <c r="BL923" s="510"/>
      <c r="BM923" s="510"/>
      <c r="BN923" s="510"/>
      <c r="BO923" s="510"/>
      <c r="BP923" s="510"/>
      <c r="BQ923" s="510"/>
      <c r="BR923" s="510"/>
      <c r="BS923" s="510"/>
      <c r="BT923" s="513"/>
      <c r="BU923" s="514"/>
      <c r="BV923" s="512"/>
      <c r="BW923" s="515"/>
    </row>
    <row r="924" spans="2:75" ht="15.75" customHeight="1">
      <c r="B924" s="250" t="s">
        <v>1576</v>
      </c>
      <c r="C924" s="251">
        <v>34738254000123</v>
      </c>
      <c r="D924" s="252" t="s">
        <v>11</v>
      </c>
      <c r="E924" s="252"/>
      <c r="F924" s="252"/>
      <c r="G924" s="253"/>
      <c r="H924" s="253" t="s">
        <v>34</v>
      </c>
      <c r="I924" s="253"/>
      <c r="J924" s="253"/>
      <c r="K924" s="254"/>
      <c r="L924" s="255"/>
      <c r="M924" s="255"/>
      <c r="N924" s="254">
        <v>521574</v>
      </c>
      <c r="O924" s="254" t="s">
        <v>1321</v>
      </c>
      <c r="P924" s="258">
        <v>43818</v>
      </c>
      <c r="Q924" s="259">
        <v>547429964.03999996</v>
      </c>
      <c r="R924" s="259">
        <v>970965625.80361104</v>
      </c>
      <c r="S924" s="254">
        <v>31</v>
      </c>
      <c r="T924" s="256">
        <v>9.9615477578827605E-2</v>
      </c>
      <c r="U924" s="256">
        <v>1.1204662772671405</v>
      </c>
      <c r="V924" s="256">
        <v>0.10446959848958803</v>
      </c>
      <c r="W924" s="256">
        <v>0.95879151286920616</v>
      </c>
      <c r="X924" s="256">
        <v>0.14151631228605654</v>
      </c>
      <c r="Y924" s="256">
        <v>0.99511305308373199</v>
      </c>
      <c r="Z924" s="256" t="s">
        <v>1417</v>
      </c>
      <c r="AA924" s="256" t="s">
        <v>1417</v>
      </c>
      <c r="AB924" s="256">
        <v>3.2865313933506952E-2</v>
      </c>
      <c r="AC924" s="260">
        <v>-0.10717412777425921</v>
      </c>
      <c r="AD924" s="405">
        <v>34738232000163</v>
      </c>
      <c r="AE924" s="257" t="s">
        <v>1547</v>
      </c>
      <c r="AF924" s="257" t="s">
        <v>2121</v>
      </c>
      <c r="AG924" s="261" t="s">
        <v>59</v>
      </c>
      <c r="AH924" s="261" t="s">
        <v>2110</v>
      </c>
      <c r="AI924" s="261">
        <v>50000</v>
      </c>
      <c r="AJ924" s="261">
        <v>10000</v>
      </c>
      <c r="AK924" s="261">
        <v>50000</v>
      </c>
      <c r="AL924" s="256">
        <v>0.01</v>
      </c>
      <c r="AM924" s="256">
        <v>0.1</v>
      </c>
      <c r="AN924" s="256" t="s">
        <v>64</v>
      </c>
      <c r="AO924" s="254" t="s">
        <v>1324</v>
      </c>
      <c r="AP924" s="257" t="s">
        <v>13</v>
      </c>
      <c r="AQ924" s="263" t="s">
        <v>668</v>
      </c>
      <c r="AR924" s="256" t="s">
        <v>34</v>
      </c>
      <c r="AS924" s="256" t="s">
        <v>34</v>
      </c>
      <c r="AT924" s="256"/>
      <c r="AX924" s="508"/>
      <c r="AY924" s="509"/>
      <c r="AZ924" s="509"/>
      <c r="BA924" s="509"/>
      <c r="BB924" s="510"/>
      <c r="BC924" s="509"/>
      <c r="BD924" s="509"/>
      <c r="BE924" s="509"/>
      <c r="BF924" s="509"/>
      <c r="BG924" s="510"/>
      <c r="BH924" s="510"/>
      <c r="BI924" s="511"/>
      <c r="BJ924" s="511"/>
      <c r="BK924" s="511"/>
      <c r="BL924" s="510"/>
      <c r="BM924" s="510"/>
      <c r="BN924" s="510"/>
      <c r="BO924" s="510"/>
      <c r="BP924" s="510"/>
      <c r="BQ924" s="510"/>
      <c r="BR924" s="510"/>
      <c r="BS924" s="510"/>
      <c r="BT924" s="513"/>
      <c r="BU924" s="514"/>
      <c r="BV924" s="512"/>
      <c r="BW924" s="515"/>
    </row>
    <row r="925" spans="2:75" ht="15.75" customHeight="1">
      <c r="B925" s="250" t="s">
        <v>1583</v>
      </c>
      <c r="C925" s="251">
        <v>5586710000169</v>
      </c>
      <c r="D925" s="252" t="s">
        <v>14</v>
      </c>
      <c r="E925" s="252" t="s">
        <v>607</v>
      </c>
      <c r="F925" s="252"/>
      <c r="G925" s="253"/>
      <c r="H925" s="253" t="s">
        <v>34</v>
      </c>
      <c r="I925" s="253"/>
      <c r="J925" s="253" t="s">
        <v>608</v>
      </c>
      <c r="K925" s="254" t="s">
        <v>48</v>
      </c>
      <c r="L925" s="255"/>
      <c r="M925" s="255"/>
      <c r="N925" s="254">
        <v>147753</v>
      </c>
      <c r="O925" s="254" t="s">
        <v>1321</v>
      </c>
      <c r="P925" s="258">
        <v>38496</v>
      </c>
      <c r="Q925" s="259">
        <v>74291735.379999995</v>
      </c>
      <c r="R925" s="259">
        <v>89715417.148650795</v>
      </c>
      <c r="S925" s="254">
        <v>31</v>
      </c>
      <c r="T925" s="256">
        <v>-7.4094936144628365E-2</v>
      </c>
      <c r="U925" s="256">
        <v>-0.83341343417866232</v>
      </c>
      <c r="V925" s="256">
        <v>-0.20486764489656861</v>
      </c>
      <c r="W925" s="256">
        <v>-1.8802155079394609</v>
      </c>
      <c r="X925" s="256">
        <v>-9.4033619519052536E-2</v>
      </c>
      <c r="Y925" s="256">
        <v>-0.66122470760099183</v>
      </c>
      <c r="Z925" s="256">
        <v>-0.10554576306551144</v>
      </c>
      <c r="AA925" s="256">
        <v>-0.57676154436531457</v>
      </c>
      <c r="AB925" s="256">
        <v>0.24853822282295221</v>
      </c>
      <c r="AC925" s="260">
        <v>-1.2143918383315089</v>
      </c>
      <c r="AD925" s="405">
        <v>14781411000176</v>
      </c>
      <c r="AE925" s="257" t="s">
        <v>2219</v>
      </c>
      <c r="AF925" s="257" t="s">
        <v>2121</v>
      </c>
      <c r="AG925" s="261" t="s">
        <v>59</v>
      </c>
      <c r="AH925" s="261" t="s">
        <v>2110</v>
      </c>
      <c r="AI925" s="261">
        <v>50000</v>
      </c>
      <c r="AJ925" s="261">
        <v>50000</v>
      </c>
      <c r="AK925" s="261">
        <v>50000</v>
      </c>
      <c r="AL925" s="256">
        <v>0.02</v>
      </c>
      <c r="AM925" s="256">
        <v>0.2</v>
      </c>
      <c r="AN925" s="256" t="s">
        <v>2182</v>
      </c>
      <c r="AO925" s="254" t="s">
        <v>1324</v>
      </c>
      <c r="AP925" s="257" t="s">
        <v>716</v>
      </c>
      <c r="AQ925" s="263" t="s">
        <v>659</v>
      </c>
      <c r="AR925" s="256" t="s">
        <v>34</v>
      </c>
      <c r="AS925" s="256" t="s">
        <v>34</v>
      </c>
      <c r="AT925" s="256"/>
      <c r="AX925" s="508"/>
      <c r="AY925" s="509"/>
      <c r="AZ925" s="509"/>
      <c r="BA925" s="509"/>
      <c r="BB925" s="510"/>
      <c r="BC925" s="509"/>
      <c r="BD925" s="509"/>
      <c r="BE925" s="509"/>
      <c r="BF925" s="509"/>
      <c r="BG925" s="510"/>
      <c r="BH925" s="510"/>
      <c r="BI925" s="511"/>
      <c r="BJ925" s="511"/>
      <c r="BK925" s="511"/>
      <c r="BL925" s="510"/>
      <c r="BM925" s="510"/>
      <c r="BN925" s="510"/>
      <c r="BO925" s="510"/>
      <c r="BP925" s="510"/>
      <c r="BQ925" s="510"/>
      <c r="BR925" s="510"/>
      <c r="BS925" s="510"/>
      <c r="BT925" s="513"/>
      <c r="BU925" s="514"/>
      <c r="BV925" s="512"/>
      <c r="BW925" s="515"/>
    </row>
    <row r="926" spans="2:75" ht="15.75" customHeight="1">
      <c r="B926" s="250" t="s">
        <v>1585</v>
      </c>
      <c r="C926" s="251">
        <v>16929562000154</v>
      </c>
      <c r="D926" s="252" t="s">
        <v>14</v>
      </c>
      <c r="E926" s="252" t="s">
        <v>614</v>
      </c>
      <c r="F926" s="252"/>
      <c r="G926" s="253"/>
      <c r="H926" s="253" t="s">
        <v>1338</v>
      </c>
      <c r="I926" s="253" t="s">
        <v>34</v>
      </c>
      <c r="J926" s="253" t="s">
        <v>608</v>
      </c>
      <c r="K926" s="254" t="s">
        <v>48</v>
      </c>
      <c r="L926" s="255"/>
      <c r="M926" s="255"/>
      <c r="N926" s="254">
        <v>321303</v>
      </c>
      <c r="O926" s="254" t="s">
        <v>1321</v>
      </c>
      <c r="P926" s="258">
        <v>41261</v>
      </c>
      <c r="Q926" s="259">
        <v>30933139.09</v>
      </c>
      <c r="R926" s="259">
        <v>34927317.280674629</v>
      </c>
      <c r="S926" s="254">
        <v>31</v>
      </c>
      <c r="T926" s="256">
        <v>-8.593312534218045E-2</v>
      </c>
      <c r="U926" s="256">
        <v>-0.96656836253072465</v>
      </c>
      <c r="V926" s="256">
        <v>-0.22959686995784612</v>
      </c>
      <c r="W926" s="256">
        <v>-2.1071731248096781</v>
      </c>
      <c r="X926" s="256">
        <v>-0.12284265764463564</v>
      </c>
      <c r="Y926" s="256">
        <v>-0.86380382673183498</v>
      </c>
      <c r="Z926" s="256">
        <v>-0.12284345929860008</v>
      </c>
      <c r="AA926" s="256">
        <v>-0.67128590710231861</v>
      </c>
      <c r="AB926" s="256">
        <v>0.25868062239495998</v>
      </c>
      <c r="AC926" s="260">
        <v>-1.278981235768154</v>
      </c>
      <c r="AD926" s="405">
        <v>16929553000163</v>
      </c>
      <c r="AE926" s="257" t="s">
        <v>2219</v>
      </c>
      <c r="AF926" s="257" t="s">
        <v>2121</v>
      </c>
      <c r="AG926" s="261" t="s">
        <v>59</v>
      </c>
      <c r="AH926" s="261" t="s">
        <v>2110</v>
      </c>
      <c r="AI926" s="261">
        <v>50000</v>
      </c>
      <c r="AJ926" s="261">
        <v>50000</v>
      </c>
      <c r="AK926" s="261">
        <v>50000</v>
      </c>
      <c r="AL926" s="256">
        <v>0.02</v>
      </c>
      <c r="AM926" s="256">
        <v>0.2</v>
      </c>
      <c r="AN926" s="256" t="s">
        <v>2141</v>
      </c>
      <c r="AO926" s="254" t="s">
        <v>1324</v>
      </c>
      <c r="AP926" s="257" t="s">
        <v>716</v>
      </c>
      <c r="AQ926" s="263" t="s">
        <v>659</v>
      </c>
      <c r="AR926" s="256" t="s">
        <v>34</v>
      </c>
      <c r="AS926" s="256" t="s">
        <v>34</v>
      </c>
      <c r="AT926" s="256"/>
      <c r="AX926" s="508"/>
      <c r="AY926" s="509"/>
      <c r="AZ926" s="509"/>
      <c r="BA926" s="509"/>
      <c r="BB926" s="510"/>
      <c r="BC926" s="509"/>
      <c r="BD926" s="509"/>
      <c r="BE926" s="509"/>
      <c r="BF926" s="509"/>
      <c r="BG926" s="510"/>
      <c r="BH926" s="510"/>
      <c r="BI926" s="511"/>
      <c r="BJ926" s="511"/>
      <c r="BK926" s="511"/>
      <c r="BL926" s="510"/>
      <c r="BM926" s="510"/>
      <c r="BN926" s="510"/>
      <c r="BO926" s="510"/>
      <c r="BP926" s="510"/>
      <c r="BQ926" s="510"/>
      <c r="BR926" s="510"/>
      <c r="BS926" s="510"/>
      <c r="BT926" s="513"/>
      <c r="BU926" s="514"/>
      <c r="BV926" s="512"/>
      <c r="BW926" s="515"/>
    </row>
    <row r="927" spans="2:75" ht="15.75" customHeight="1">
      <c r="B927" s="250" t="s">
        <v>221</v>
      </c>
      <c r="C927" s="251">
        <v>8830947000131</v>
      </c>
      <c r="D927" s="252" t="s">
        <v>14</v>
      </c>
      <c r="E927" s="252" t="s">
        <v>607</v>
      </c>
      <c r="F927" s="252"/>
      <c r="G927" s="253"/>
      <c r="H927" s="253" t="s">
        <v>34</v>
      </c>
      <c r="I927" s="253" t="s">
        <v>34</v>
      </c>
      <c r="J927" s="253" t="s">
        <v>608</v>
      </c>
      <c r="K927" s="254" t="s">
        <v>48</v>
      </c>
      <c r="L927" s="255"/>
      <c r="M927" s="255" t="s">
        <v>34</v>
      </c>
      <c r="N927" s="254">
        <v>214019</v>
      </c>
      <c r="O927" s="254" t="s">
        <v>1321</v>
      </c>
      <c r="P927" s="258">
        <v>39232</v>
      </c>
      <c r="Q927" s="259">
        <v>824912634.76999998</v>
      </c>
      <c r="R927" s="259">
        <v>719546706.74575377</v>
      </c>
      <c r="S927" s="254">
        <v>31</v>
      </c>
      <c r="T927" s="256">
        <v>8.0875172344573087E-2</v>
      </c>
      <c r="U927" s="256">
        <v>1.0454891382250733</v>
      </c>
      <c r="V927" s="256">
        <v>6.967928761011466E-2</v>
      </c>
      <c r="W927" s="256">
        <v>0.68309000767229955</v>
      </c>
      <c r="X927" s="256">
        <v>0.3895435128565512</v>
      </c>
      <c r="Y927" s="256">
        <v>2.9539792226799828</v>
      </c>
      <c r="Z927" s="256">
        <v>0.79259589492646287</v>
      </c>
      <c r="AA927" s="256">
        <v>4.5053720170479963</v>
      </c>
      <c r="AB927" s="256">
        <v>0.24238484264237659</v>
      </c>
      <c r="AC927" s="260">
        <v>-1.9294849590778382E-3</v>
      </c>
      <c r="AD927" s="405">
        <v>14213077000154</v>
      </c>
      <c r="AE927" s="257" t="s">
        <v>2265</v>
      </c>
      <c r="AF927" s="257" t="s">
        <v>2109</v>
      </c>
      <c r="AG927" s="261" t="s">
        <v>1432</v>
      </c>
      <c r="AH927" s="261" t="s">
        <v>2113</v>
      </c>
      <c r="AI927" s="261">
        <v>5000</v>
      </c>
      <c r="AJ927" s="261">
        <v>1000</v>
      </c>
      <c r="AK927" s="261">
        <v>1000</v>
      </c>
      <c r="AL927" s="256">
        <v>1.9E-2</v>
      </c>
      <c r="AM927" s="256">
        <v>0.2</v>
      </c>
      <c r="AN927" s="256" t="s">
        <v>666</v>
      </c>
      <c r="AO927" s="254" t="s">
        <v>1324</v>
      </c>
      <c r="AP927" s="257" t="s">
        <v>716</v>
      </c>
      <c r="AQ927" s="263" t="s">
        <v>659</v>
      </c>
      <c r="AR927" s="256">
        <v>4.4333333333333325E-3</v>
      </c>
      <c r="AS927" s="256">
        <v>4.4333333333333325E-3</v>
      </c>
      <c r="AT927" s="256"/>
      <c r="AX927" s="508"/>
      <c r="AY927" s="509"/>
      <c r="AZ927" s="509"/>
      <c r="BA927" s="509"/>
      <c r="BB927" s="510"/>
      <c r="BC927" s="509"/>
      <c r="BD927" s="509"/>
      <c r="BE927" s="509"/>
      <c r="BF927" s="509"/>
      <c r="BG927" s="510"/>
      <c r="BH927" s="510"/>
      <c r="BI927" s="511"/>
      <c r="BJ927" s="511"/>
      <c r="BK927" s="511"/>
      <c r="BL927" s="510"/>
      <c r="BM927" s="510"/>
      <c r="BN927" s="510"/>
      <c r="BO927" s="510"/>
      <c r="BP927" s="510"/>
      <c r="BQ927" s="510"/>
      <c r="BR927" s="510"/>
      <c r="BS927" s="510"/>
      <c r="BT927" s="513"/>
      <c r="BU927" s="514"/>
      <c r="BV927" s="512"/>
      <c r="BW927" s="515"/>
    </row>
    <row r="928" spans="2:75" ht="15.75" customHeight="1">
      <c r="B928" s="250" t="s">
        <v>1147</v>
      </c>
      <c r="C928" s="251">
        <v>37098161000170</v>
      </c>
      <c r="D928" s="252" t="s">
        <v>11</v>
      </c>
      <c r="E928" s="252" t="s">
        <v>661</v>
      </c>
      <c r="F928" s="252"/>
      <c r="G928" s="253"/>
      <c r="H928" s="253" t="s">
        <v>34</v>
      </c>
      <c r="I928" s="253" t="s">
        <v>34</v>
      </c>
      <c r="J928" s="253" t="s">
        <v>696</v>
      </c>
      <c r="K928" s="254" t="s">
        <v>49</v>
      </c>
      <c r="L928" s="255"/>
      <c r="M928" s="255" t="s">
        <v>34</v>
      </c>
      <c r="N928" s="254">
        <v>570931</v>
      </c>
      <c r="O928" s="254" t="s">
        <v>1321</v>
      </c>
      <c r="P928" s="258">
        <v>44215</v>
      </c>
      <c r="Q928" s="259">
        <v>5679656</v>
      </c>
      <c r="R928" s="259">
        <v>23720142.471666712</v>
      </c>
      <c r="S928" s="254">
        <v>31</v>
      </c>
      <c r="T928" s="256">
        <v>-0.17291464821018132</v>
      </c>
      <c r="U928" s="256">
        <v>-2.2353014071306019</v>
      </c>
      <c r="V928" s="256">
        <v>-0.22920891552383282</v>
      </c>
      <c r="W928" s="256">
        <v>-2.2470137860738784</v>
      </c>
      <c r="X928" s="256" t="s">
        <v>1417</v>
      </c>
      <c r="Y928" s="256" t="s">
        <v>1417</v>
      </c>
      <c r="Z928" s="256" t="s">
        <v>1417</v>
      </c>
      <c r="AA928" s="256" t="s">
        <v>1417</v>
      </c>
      <c r="AB928" s="256">
        <v>0.1692042537397416</v>
      </c>
      <c r="AC928" s="260">
        <v>-2.0278536632413497</v>
      </c>
      <c r="AD928" s="405">
        <v>0</v>
      </c>
      <c r="AE928" s="257" t="s">
        <v>2370</v>
      </c>
      <c r="AF928" s="257" t="s">
        <v>2109</v>
      </c>
      <c r="AG928" s="261" t="s">
        <v>1432</v>
      </c>
      <c r="AH928" s="261" t="s">
        <v>2110</v>
      </c>
      <c r="AI928" s="261">
        <v>1000</v>
      </c>
      <c r="AJ928" s="261">
        <v>1000</v>
      </c>
      <c r="AK928" s="261">
        <v>1000</v>
      </c>
      <c r="AL928" s="256">
        <v>9.0000000000000011E-3</v>
      </c>
      <c r="AM928" s="256" t="s">
        <v>34</v>
      </c>
      <c r="AN928" s="256" t="s">
        <v>34</v>
      </c>
      <c r="AO928" s="254" t="s">
        <v>1324</v>
      </c>
      <c r="AP928" s="257" t="s">
        <v>13</v>
      </c>
      <c r="AQ928" s="263" t="s">
        <v>679</v>
      </c>
      <c r="AR928" s="256">
        <v>2.8001999999999997E-3</v>
      </c>
      <c r="AS928" s="256">
        <v>2.8001999999999997E-3</v>
      </c>
      <c r="AT928" s="256"/>
      <c r="AX928" s="508"/>
      <c r="AY928" s="509"/>
      <c r="AZ928" s="509"/>
      <c r="BA928" s="509"/>
      <c r="BB928" s="510"/>
      <c r="BC928" s="509"/>
      <c r="BD928" s="509"/>
      <c r="BE928" s="509"/>
      <c r="BF928" s="509"/>
      <c r="BG928" s="510"/>
      <c r="BH928" s="510"/>
      <c r="BI928" s="511"/>
      <c r="BJ928" s="511"/>
      <c r="BK928" s="511"/>
      <c r="BL928" s="510"/>
      <c r="BM928" s="510"/>
      <c r="BN928" s="510"/>
      <c r="BO928" s="510"/>
      <c r="BP928" s="510"/>
      <c r="BQ928" s="510"/>
      <c r="BR928" s="510"/>
      <c r="BS928" s="510"/>
      <c r="BT928" s="513"/>
      <c r="BU928" s="514"/>
      <c r="BV928" s="512"/>
      <c r="BW928" s="515"/>
    </row>
    <row r="929" spans="2:75" ht="15.75" customHeight="1">
      <c r="B929" s="250" t="s">
        <v>1305</v>
      </c>
      <c r="C929" s="251">
        <v>40962665000109</v>
      </c>
      <c r="D929" s="252" t="s">
        <v>14</v>
      </c>
      <c r="E929" s="252" t="s">
        <v>607</v>
      </c>
      <c r="F929" s="252"/>
      <c r="G929" s="253"/>
      <c r="H929" s="253" t="s">
        <v>34</v>
      </c>
      <c r="I929" s="253" t="s">
        <v>34</v>
      </c>
      <c r="J929" s="253" t="s">
        <v>608</v>
      </c>
      <c r="K929" s="254" t="s">
        <v>48</v>
      </c>
      <c r="L929" s="255"/>
      <c r="M929" s="255" t="s">
        <v>1414</v>
      </c>
      <c r="N929" s="254">
        <v>630144</v>
      </c>
      <c r="O929" s="254" t="s">
        <v>1321</v>
      </c>
      <c r="P929" s="258">
        <v>44551</v>
      </c>
      <c r="Q929" s="259">
        <v>2711161.59</v>
      </c>
      <c r="R929" s="259" t="s">
        <v>1417</v>
      </c>
      <c r="S929" s="254">
        <v>31</v>
      </c>
      <c r="T929" s="256">
        <v>-0.10589609252093202</v>
      </c>
      <c r="U929" s="256">
        <v>-1.3689394569622941</v>
      </c>
      <c r="V929" s="256" t="s">
        <v>1417</v>
      </c>
      <c r="W929" s="256" t="s">
        <v>1417</v>
      </c>
      <c r="X929" s="256" t="s">
        <v>1417</v>
      </c>
      <c r="Y929" s="256" t="s">
        <v>1417</v>
      </c>
      <c r="Z929" s="256" t="s">
        <v>1417</v>
      </c>
      <c r="AA929" s="256" t="s">
        <v>1417</v>
      </c>
      <c r="AB929" s="256" t="s">
        <v>1417</v>
      </c>
      <c r="AC929" s="260" t="s">
        <v>1417</v>
      </c>
      <c r="AD929" s="405">
        <v>12123799000192</v>
      </c>
      <c r="AE929" s="257" t="s">
        <v>2393</v>
      </c>
      <c r="AF929" s="257" t="s">
        <v>1429</v>
      </c>
      <c r="AG929" s="261" t="s">
        <v>1429</v>
      </c>
      <c r="AH929" s="261" t="s">
        <v>2113</v>
      </c>
      <c r="AI929" s="261">
        <v>0</v>
      </c>
      <c r="AJ929" s="261" t="s">
        <v>1427</v>
      </c>
      <c r="AK929" s="261">
        <v>0</v>
      </c>
      <c r="AL929" s="256">
        <v>2.5000000000000001E-3</v>
      </c>
      <c r="AM929" s="256" t="s">
        <v>34</v>
      </c>
      <c r="AN929" s="256" t="s">
        <v>666</v>
      </c>
      <c r="AO929" s="254" t="s">
        <v>1324</v>
      </c>
      <c r="AP929" s="257" t="s">
        <v>716</v>
      </c>
      <c r="AQ929" s="263" t="s">
        <v>659</v>
      </c>
      <c r="AR929" s="256">
        <v>2.6666666666666668E-4</v>
      </c>
      <c r="AS929" s="256">
        <v>2.6666666666666668E-4</v>
      </c>
      <c r="AT929" s="256"/>
      <c r="AX929" s="508"/>
      <c r="AY929" s="509"/>
      <c r="AZ929" s="509"/>
      <c r="BA929" s="509"/>
      <c r="BB929" s="510"/>
      <c r="BC929" s="509"/>
      <c r="BD929" s="509"/>
      <c r="BE929" s="509"/>
      <c r="BF929" s="509"/>
      <c r="BG929" s="510"/>
      <c r="BH929" s="510"/>
      <c r="BI929" s="511"/>
      <c r="BJ929" s="511"/>
      <c r="BK929" s="511"/>
      <c r="BL929" s="510"/>
      <c r="BM929" s="510"/>
      <c r="BN929" s="510"/>
      <c r="BO929" s="510"/>
      <c r="BP929" s="510"/>
      <c r="BQ929" s="510"/>
      <c r="BR929" s="510"/>
      <c r="BS929" s="510"/>
      <c r="BT929" s="513"/>
      <c r="BU929" s="514"/>
      <c r="BV929" s="512"/>
      <c r="BW929" s="515"/>
    </row>
    <row r="930" spans="2:75" ht="15.75" customHeight="1">
      <c r="B930" s="250" t="s">
        <v>1246</v>
      </c>
      <c r="C930" s="251">
        <v>30397165000100</v>
      </c>
      <c r="D930" s="252" t="s">
        <v>14</v>
      </c>
      <c r="E930" s="252" t="s">
        <v>607</v>
      </c>
      <c r="F930" s="252"/>
      <c r="G930" s="253"/>
      <c r="H930" s="253" t="s">
        <v>34</v>
      </c>
      <c r="I930" s="253" t="s">
        <v>34</v>
      </c>
      <c r="J930" s="253" t="s">
        <v>608</v>
      </c>
      <c r="K930" s="254" t="s">
        <v>48</v>
      </c>
      <c r="L930" s="255"/>
      <c r="M930" s="255" t="s">
        <v>34</v>
      </c>
      <c r="N930" s="254">
        <v>535354</v>
      </c>
      <c r="O930" s="254" t="s">
        <v>1321</v>
      </c>
      <c r="P930" s="258">
        <v>43935</v>
      </c>
      <c r="Q930" s="259">
        <v>119083793.42</v>
      </c>
      <c r="R930" s="259">
        <v>133161806.62317458</v>
      </c>
      <c r="S930" s="254">
        <v>31</v>
      </c>
      <c r="T930" s="256">
        <v>-1.1121867766096027E-2</v>
      </c>
      <c r="U930" s="256">
        <v>-0.14377455539368886</v>
      </c>
      <c r="V930" s="256">
        <v>-0.13380359855291302</v>
      </c>
      <c r="W930" s="256">
        <v>-1.3117226696333648</v>
      </c>
      <c r="X930" s="256">
        <v>1.1757653279159452E-2</v>
      </c>
      <c r="Y930" s="256">
        <v>8.9160420717626351E-2</v>
      </c>
      <c r="Z930" s="256" t="s">
        <v>1417</v>
      </c>
      <c r="AA930" s="256" t="s">
        <v>1417</v>
      </c>
      <c r="AB930" s="256">
        <v>0.26026588140729678</v>
      </c>
      <c r="AC930" s="260">
        <v>-0.79504514236740154</v>
      </c>
      <c r="AD930" s="405">
        <v>0</v>
      </c>
      <c r="AE930" s="257" t="s">
        <v>2424</v>
      </c>
      <c r="AF930" s="257" t="s">
        <v>2109</v>
      </c>
      <c r="AG930" s="261" t="s">
        <v>1432</v>
      </c>
      <c r="AH930" s="261" t="s">
        <v>2113</v>
      </c>
      <c r="AI930" s="261">
        <v>0</v>
      </c>
      <c r="AJ930" s="261">
        <v>0</v>
      </c>
      <c r="AK930" s="261">
        <v>0</v>
      </c>
      <c r="AL930" s="256">
        <v>0.02</v>
      </c>
      <c r="AM930" s="256">
        <v>0.2</v>
      </c>
      <c r="AN930" s="256" t="s">
        <v>666</v>
      </c>
      <c r="AO930" s="254" t="s">
        <v>1324</v>
      </c>
      <c r="AP930" s="257" t="s">
        <v>716</v>
      </c>
      <c r="AQ930" s="263" t="s">
        <v>670</v>
      </c>
      <c r="AR930" s="256">
        <v>6.0000000000000001E-3</v>
      </c>
      <c r="AS930" s="256">
        <v>6.0000000000000001E-3</v>
      </c>
      <c r="AT930" s="256"/>
      <c r="AX930" s="508"/>
      <c r="AY930" s="509"/>
      <c r="AZ930" s="509"/>
      <c r="BA930" s="509"/>
      <c r="BB930" s="510"/>
      <c r="BC930" s="509"/>
      <c r="BD930" s="509"/>
      <c r="BE930" s="509"/>
      <c r="BF930" s="509"/>
      <c r="BG930" s="510"/>
      <c r="BH930" s="510"/>
      <c r="BI930" s="511"/>
      <c r="BJ930" s="511"/>
      <c r="BK930" s="511"/>
      <c r="BL930" s="510"/>
      <c r="BM930" s="510"/>
      <c r="BN930" s="510"/>
      <c r="BO930" s="510"/>
      <c r="BP930" s="510"/>
      <c r="BQ930" s="510"/>
      <c r="BR930" s="510"/>
      <c r="BS930" s="510"/>
      <c r="BT930" s="513"/>
      <c r="BU930" s="514"/>
      <c r="BV930" s="512"/>
      <c r="BW930" s="515"/>
    </row>
    <row r="931" spans="2:75" ht="15.75" customHeight="1">
      <c r="B931" s="250" t="s">
        <v>427</v>
      </c>
      <c r="C931" s="251">
        <v>23243536000133</v>
      </c>
      <c r="D931" s="252" t="s">
        <v>14</v>
      </c>
      <c r="E931" s="252" t="s">
        <v>614</v>
      </c>
      <c r="F931" s="252"/>
      <c r="G931" s="253"/>
      <c r="H931" s="253" t="s">
        <v>1338</v>
      </c>
      <c r="I931" s="253" t="s">
        <v>34</v>
      </c>
      <c r="J931" s="253" t="s">
        <v>608</v>
      </c>
      <c r="K931" s="254" t="s">
        <v>48</v>
      </c>
      <c r="L931" s="255"/>
      <c r="M931" s="255" t="s">
        <v>34</v>
      </c>
      <c r="N931" s="254">
        <v>436615</v>
      </c>
      <c r="O931" s="254" t="s">
        <v>1321</v>
      </c>
      <c r="P931" s="258">
        <v>42787</v>
      </c>
      <c r="Q931" s="259">
        <v>192866952.88999999</v>
      </c>
      <c r="R931" s="259">
        <v>270781610.41603196</v>
      </c>
      <c r="S931" s="254">
        <v>31</v>
      </c>
      <c r="T931" s="256">
        <v>-9.9167460143264829E-2</v>
      </c>
      <c r="U931" s="256">
        <v>-1.2819571129125182</v>
      </c>
      <c r="V931" s="256">
        <v>-0.27523217293536084</v>
      </c>
      <c r="W931" s="256">
        <v>-2.6981955982969605</v>
      </c>
      <c r="X931" s="256">
        <v>-0.20506311974030289</v>
      </c>
      <c r="Y931" s="256">
        <v>-1.555030888869813</v>
      </c>
      <c r="Z931" s="256">
        <v>-0.10375435715676029</v>
      </c>
      <c r="AA931" s="256">
        <v>-0.58977340202379114</v>
      </c>
      <c r="AB931" s="256">
        <v>0.25964829607311707</v>
      </c>
      <c r="AC931" s="260">
        <v>-1.4839206796060214</v>
      </c>
      <c r="AD931" s="405">
        <v>16929553000163</v>
      </c>
      <c r="AE931" s="257" t="s">
        <v>2219</v>
      </c>
      <c r="AF931" s="257" t="s">
        <v>2118</v>
      </c>
      <c r="AG931" s="261" t="s">
        <v>1433</v>
      </c>
      <c r="AH931" s="261" t="s">
        <v>2113</v>
      </c>
      <c r="AI931" s="261">
        <v>10000</v>
      </c>
      <c r="AJ931" s="261">
        <v>5000</v>
      </c>
      <c r="AK931" s="261">
        <v>10000</v>
      </c>
      <c r="AL931" s="256">
        <v>0.02</v>
      </c>
      <c r="AM931" s="256">
        <v>0.2</v>
      </c>
      <c r="AN931" s="256" t="s">
        <v>666</v>
      </c>
      <c r="AO931" s="254" t="s">
        <v>1324</v>
      </c>
      <c r="AP931" s="257" t="s">
        <v>716</v>
      </c>
      <c r="AQ931" s="263" t="s">
        <v>659</v>
      </c>
      <c r="AR931" s="256">
        <v>5.0000000000000001E-3</v>
      </c>
      <c r="AS931" s="256">
        <v>5.0000000000000001E-3</v>
      </c>
      <c r="AT931" s="256"/>
      <c r="AX931" s="508"/>
      <c r="AY931" s="509"/>
      <c r="AZ931" s="509"/>
      <c r="BA931" s="509"/>
      <c r="BB931" s="510"/>
      <c r="BC931" s="509"/>
      <c r="BD931" s="509"/>
      <c r="BE931" s="509"/>
      <c r="BF931" s="509"/>
      <c r="BG931" s="510"/>
      <c r="BH931" s="510"/>
      <c r="BI931" s="511"/>
      <c r="BJ931" s="511"/>
      <c r="BK931" s="511"/>
      <c r="BL931" s="510"/>
      <c r="BM931" s="510"/>
      <c r="BN931" s="510"/>
      <c r="BO931" s="510"/>
      <c r="BP931" s="510"/>
      <c r="BQ931" s="510"/>
      <c r="BR931" s="510"/>
      <c r="BS931" s="510"/>
      <c r="BT931" s="513"/>
      <c r="BU931" s="514"/>
      <c r="BV931" s="512"/>
      <c r="BW931" s="515"/>
    </row>
    <row r="932" spans="2:75" ht="15.75" customHeight="1">
      <c r="B932" s="250" t="s">
        <v>742</v>
      </c>
      <c r="C932" s="251">
        <v>12987743000186</v>
      </c>
      <c r="D932" s="252" t="s">
        <v>14</v>
      </c>
      <c r="E932" s="252" t="s">
        <v>607</v>
      </c>
      <c r="F932" s="252" t="s">
        <v>1317</v>
      </c>
      <c r="G932" s="253"/>
      <c r="H932" s="253" t="s">
        <v>34</v>
      </c>
      <c r="I932" s="253" t="s">
        <v>34</v>
      </c>
      <c r="J932" s="253" t="s">
        <v>608</v>
      </c>
      <c r="K932" s="254" t="s">
        <v>48</v>
      </c>
      <c r="L932" s="255"/>
      <c r="M932" s="255" t="s">
        <v>34</v>
      </c>
      <c r="N932" s="254">
        <v>267163</v>
      </c>
      <c r="O932" s="254" t="s">
        <v>1321</v>
      </c>
      <c r="P932" s="258">
        <v>40567</v>
      </c>
      <c r="Q932" s="259">
        <v>1135465482.3900001</v>
      </c>
      <c r="R932" s="259">
        <v>1213880605.189285</v>
      </c>
      <c r="S932" s="254">
        <v>32</v>
      </c>
      <c r="T932" s="256">
        <v>0.15211836889172736</v>
      </c>
      <c r="U932" s="256">
        <v>1.9664638453347005</v>
      </c>
      <c r="V932" s="256">
        <v>-6.0439908736528603E-2</v>
      </c>
      <c r="W932" s="256">
        <v>-0.59251320067393087</v>
      </c>
      <c r="X932" s="256">
        <v>3.7655173915373652E-2</v>
      </c>
      <c r="Y932" s="256">
        <v>0.28554602425987841</v>
      </c>
      <c r="Z932" s="256">
        <v>-0.32041458389526256</v>
      </c>
      <c r="AA932" s="256">
        <v>-1.8213403695078811</v>
      </c>
      <c r="AB932" s="256">
        <v>0.43113002396454186</v>
      </c>
      <c r="AC932" s="260">
        <v>-0.15389593746968033</v>
      </c>
      <c r="AD932" s="405">
        <v>12055107000116</v>
      </c>
      <c r="AE932" s="257" t="s">
        <v>2135</v>
      </c>
      <c r="AF932" s="257" t="s">
        <v>2109</v>
      </c>
      <c r="AG932" s="261" t="s">
        <v>1432</v>
      </c>
      <c r="AH932" s="261" t="s">
        <v>2110</v>
      </c>
      <c r="AI932" s="261">
        <v>5000</v>
      </c>
      <c r="AJ932" s="261">
        <v>1000</v>
      </c>
      <c r="AK932" s="261">
        <v>5000</v>
      </c>
      <c r="AL932" s="519">
        <v>1.8500000000000003E-2</v>
      </c>
      <c r="AM932" s="519">
        <v>0.2</v>
      </c>
      <c r="AN932" s="256" t="s">
        <v>2127</v>
      </c>
      <c r="AO932" s="254" t="s">
        <v>1324</v>
      </c>
      <c r="AP932" s="257" t="s">
        <v>716</v>
      </c>
      <c r="AQ932" s="263" t="s">
        <v>659</v>
      </c>
      <c r="AR932" s="256">
        <v>4.6249999999999998E-3</v>
      </c>
      <c r="AS932" s="256">
        <v>4.6249999999999998E-3</v>
      </c>
      <c r="AT932" s="256"/>
      <c r="AX932" s="508"/>
      <c r="AY932" s="509"/>
      <c r="AZ932" s="509"/>
      <c r="BA932" s="509"/>
      <c r="BB932" s="510"/>
      <c r="BC932" s="509"/>
      <c r="BD932" s="509"/>
      <c r="BE932" s="509"/>
      <c r="BF932" s="509"/>
      <c r="BG932" s="510"/>
      <c r="BH932" s="510"/>
      <c r="BI932" s="511"/>
      <c r="BJ932" s="511"/>
      <c r="BK932" s="511"/>
      <c r="BL932" s="510"/>
      <c r="BM932" s="510"/>
      <c r="BN932" s="510"/>
      <c r="BO932" s="510"/>
      <c r="BP932" s="510"/>
      <c r="BQ932" s="510"/>
      <c r="BR932" s="510"/>
      <c r="BS932" s="510"/>
      <c r="BT932" s="513"/>
      <c r="BU932" s="514"/>
      <c r="BV932" s="512"/>
      <c r="BW932" s="515"/>
    </row>
    <row r="933" spans="2:75" ht="15.75" customHeight="1">
      <c r="B933" s="250" t="s">
        <v>743</v>
      </c>
      <c r="C933" s="251">
        <v>26648868000196</v>
      </c>
      <c r="D933" s="252" t="s">
        <v>14</v>
      </c>
      <c r="E933" s="252" t="s">
        <v>607</v>
      </c>
      <c r="F933" s="252" t="s">
        <v>1317</v>
      </c>
      <c r="G933" s="253"/>
      <c r="H933" s="253" t="s">
        <v>34</v>
      </c>
      <c r="I933" s="253" t="s">
        <v>34</v>
      </c>
      <c r="J933" s="253" t="s">
        <v>608</v>
      </c>
      <c r="K933" s="254" t="s">
        <v>48</v>
      </c>
      <c r="L933" s="255"/>
      <c r="M933" s="255" t="s">
        <v>34</v>
      </c>
      <c r="N933" s="254">
        <v>432105</v>
      </c>
      <c r="O933" s="254" t="s">
        <v>1321</v>
      </c>
      <c r="P933" s="258">
        <v>42738</v>
      </c>
      <c r="Q933" s="259">
        <v>284721826.33999997</v>
      </c>
      <c r="R933" s="259">
        <v>304898078.27726197</v>
      </c>
      <c r="S933" s="254">
        <v>32</v>
      </c>
      <c r="T933" s="256">
        <v>0.15305112523831954</v>
      </c>
      <c r="U933" s="256">
        <v>1.9785217686837575</v>
      </c>
      <c r="V933" s="256">
        <v>-5.9322463664989389E-2</v>
      </c>
      <c r="W933" s="256">
        <v>-0.58155850253232277</v>
      </c>
      <c r="X933" s="256">
        <v>4.3415777035420211E-2</v>
      </c>
      <c r="Y933" s="256">
        <v>0.32922972419352203</v>
      </c>
      <c r="Z933" s="256">
        <v>-0.30156591600880112</v>
      </c>
      <c r="AA933" s="256">
        <v>-1.714198430724343</v>
      </c>
      <c r="AB933" s="256">
        <v>0.43144469544343966</v>
      </c>
      <c r="AC933" s="260">
        <v>-0.15071820198453806</v>
      </c>
      <c r="AD933" s="405">
        <v>12055107000116</v>
      </c>
      <c r="AE933" s="257" t="s">
        <v>2135</v>
      </c>
      <c r="AF933" s="257" t="s">
        <v>2109</v>
      </c>
      <c r="AG933" s="261" t="s">
        <v>1432</v>
      </c>
      <c r="AH933" s="261" t="s">
        <v>2113</v>
      </c>
      <c r="AI933" s="261">
        <v>1000</v>
      </c>
      <c r="AJ933" s="261">
        <v>500</v>
      </c>
      <c r="AK933" s="261">
        <v>1000</v>
      </c>
      <c r="AL933" s="256">
        <v>1.8500000000000003E-2</v>
      </c>
      <c r="AM933" s="256">
        <v>0.2</v>
      </c>
      <c r="AN933" s="256" t="s">
        <v>34</v>
      </c>
      <c r="AO933" s="254" t="s">
        <v>1324</v>
      </c>
      <c r="AP933" s="257" t="s">
        <v>716</v>
      </c>
      <c r="AQ933" s="263" t="s">
        <v>659</v>
      </c>
      <c r="AR933" s="256">
        <v>4.6249999999999998E-3</v>
      </c>
      <c r="AS933" s="256">
        <v>4.6249999999999998E-3</v>
      </c>
      <c r="AT933" s="256"/>
      <c r="AX933" s="508"/>
      <c r="AY933" s="509"/>
      <c r="AZ933" s="509"/>
      <c r="BA933" s="509"/>
      <c r="BB933" s="510"/>
      <c r="BC933" s="509"/>
      <c r="BD933" s="509"/>
      <c r="BE933" s="509"/>
      <c r="BF933" s="509"/>
      <c r="BG933" s="510"/>
      <c r="BH933" s="510"/>
      <c r="BI933" s="511"/>
      <c r="BJ933" s="511"/>
      <c r="BK933" s="511"/>
      <c r="BL933" s="510"/>
      <c r="BM933" s="510"/>
      <c r="BN933" s="510"/>
      <c r="BO933" s="510"/>
      <c r="BP933" s="510"/>
      <c r="BQ933" s="510"/>
      <c r="BR933" s="510"/>
      <c r="BS933" s="510"/>
      <c r="BT933" s="513"/>
      <c r="BU933" s="514"/>
      <c r="BV933" s="512"/>
      <c r="BW933" s="515"/>
    </row>
    <row r="934" spans="2:75" ht="15.75" customHeight="1">
      <c r="B934" s="250" t="s">
        <v>77</v>
      </c>
      <c r="C934" s="251">
        <v>26673556000132</v>
      </c>
      <c r="D934" s="252" t="s">
        <v>14</v>
      </c>
      <c r="E934" s="252" t="s">
        <v>607</v>
      </c>
      <c r="F934" s="252" t="s">
        <v>1317</v>
      </c>
      <c r="G934" s="253"/>
      <c r="H934" s="253" t="s">
        <v>34</v>
      </c>
      <c r="I934" s="253" t="s">
        <v>34</v>
      </c>
      <c r="J934" s="253" t="s">
        <v>608</v>
      </c>
      <c r="K934" s="254" t="s">
        <v>48</v>
      </c>
      <c r="L934" s="255"/>
      <c r="M934" s="255" t="s">
        <v>34</v>
      </c>
      <c r="N934" s="254">
        <v>435325</v>
      </c>
      <c r="O934" s="254" t="s">
        <v>1321</v>
      </c>
      <c r="P934" s="258">
        <v>42787</v>
      </c>
      <c r="Q934" s="259">
        <v>1288264567.96</v>
      </c>
      <c r="R934" s="259">
        <v>1493059146.7563093</v>
      </c>
      <c r="S934" s="254">
        <v>32</v>
      </c>
      <c r="T934" s="256">
        <v>4.9396378902934801E-2</v>
      </c>
      <c r="U934" s="256">
        <v>0.63855663133104756</v>
      </c>
      <c r="V934" s="256">
        <v>2.3712261428179948E-2</v>
      </c>
      <c r="W934" s="256">
        <v>0.23245944952157871</v>
      </c>
      <c r="X934" s="256">
        <v>0.12854633099491375</v>
      </c>
      <c r="Y934" s="256">
        <v>0.97479017973160709</v>
      </c>
      <c r="Z934" s="256">
        <v>0.25428287422154727</v>
      </c>
      <c r="AA934" s="256">
        <v>1.4454262925984329</v>
      </c>
      <c r="AB934" s="256">
        <v>0.21268354652836086</v>
      </c>
      <c r="AC934" s="260">
        <v>-0.24047678260682662</v>
      </c>
      <c r="AD934" s="405">
        <v>0</v>
      </c>
      <c r="AE934" s="257" t="s">
        <v>2135</v>
      </c>
      <c r="AF934" s="257" t="s">
        <v>2109</v>
      </c>
      <c r="AG934" s="261" t="s">
        <v>1432</v>
      </c>
      <c r="AH934" s="261" t="s">
        <v>2113</v>
      </c>
      <c r="AI934" s="261">
        <v>1000</v>
      </c>
      <c r="AJ934" s="261">
        <v>500</v>
      </c>
      <c r="AK934" s="261">
        <v>1000</v>
      </c>
      <c r="AL934" s="519">
        <v>0.02</v>
      </c>
      <c r="AM934" s="519">
        <v>0.2</v>
      </c>
      <c r="AN934" s="256" t="s">
        <v>34</v>
      </c>
      <c r="AO934" s="254" t="s">
        <v>1324</v>
      </c>
      <c r="AP934" s="257" t="s">
        <v>716</v>
      </c>
      <c r="AQ934" s="263" t="s">
        <v>659</v>
      </c>
      <c r="AR934" s="256">
        <v>4.0000000000000001E-3</v>
      </c>
      <c r="AS934" s="256">
        <v>4.0000000000000001E-3</v>
      </c>
      <c r="AT934" s="256"/>
      <c r="AX934" s="508"/>
      <c r="AY934" s="509"/>
      <c r="AZ934" s="509"/>
      <c r="BA934" s="509"/>
      <c r="BB934" s="510"/>
      <c r="BC934" s="509"/>
      <c r="BD934" s="509"/>
      <c r="BE934" s="509"/>
      <c r="BF934" s="509"/>
      <c r="BG934" s="510"/>
      <c r="BH934" s="510"/>
      <c r="BI934" s="511"/>
      <c r="BJ934" s="511"/>
      <c r="BK934" s="511"/>
      <c r="BL934" s="510"/>
      <c r="BM934" s="510"/>
      <c r="BN934" s="510"/>
      <c r="BO934" s="510"/>
      <c r="BP934" s="510"/>
      <c r="BQ934" s="510"/>
      <c r="BR934" s="510"/>
      <c r="BS934" s="510"/>
      <c r="BT934" s="513"/>
      <c r="BU934" s="514"/>
      <c r="BV934" s="512"/>
      <c r="BW934" s="515"/>
    </row>
    <row r="935" spans="2:75" ht="15.75" customHeight="1">
      <c r="B935" s="250" t="s">
        <v>926</v>
      </c>
      <c r="C935" s="251">
        <v>12004203000135</v>
      </c>
      <c r="D935" s="252" t="s">
        <v>14</v>
      </c>
      <c r="E935" s="252" t="s">
        <v>607</v>
      </c>
      <c r="F935" s="252" t="s">
        <v>1317</v>
      </c>
      <c r="G935" s="253"/>
      <c r="H935" s="253" t="s">
        <v>34</v>
      </c>
      <c r="I935" s="253" t="s">
        <v>34</v>
      </c>
      <c r="J935" s="253" t="s">
        <v>608</v>
      </c>
      <c r="K935" s="254" t="s">
        <v>48</v>
      </c>
      <c r="L935" s="255"/>
      <c r="M935" s="255" t="s">
        <v>34</v>
      </c>
      <c r="N935" s="254">
        <v>251429</v>
      </c>
      <c r="O935" s="254" t="s">
        <v>1321</v>
      </c>
      <c r="P935" s="258">
        <v>40365</v>
      </c>
      <c r="Q935" s="259">
        <v>659437995.66999996</v>
      </c>
      <c r="R935" s="259">
        <v>1010467872.3116276</v>
      </c>
      <c r="S935" s="254">
        <v>32</v>
      </c>
      <c r="T935" s="256">
        <v>-9.1256740854051333E-2</v>
      </c>
      <c r="U935" s="256">
        <v>-1.1796937006358423</v>
      </c>
      <c r="V935" s="256">
        <v>-0.37494312735058077</v>
      </c>
      <c r="W935" s="256">
        <v>-3.675696358603497</v>
      </c>
      <c r="X935" s="256">
        <v>-0.32431916436956254</v>
      </c>
      <c r="Y935" s="256">
        <v>-2.4593711394121351</v>
      </c>
      <c r="Z935" s="256">
        <v>-0.36039604214708232</v>
      </c>
      <c r="AA935" s="256">
        <v>-2.0486079397307044</v>
      </c>
      <c r="AB935" s="256">
        <v>0.32590530835583947</v>
      </c>
      <c r="AC935" s="260">
        <v>-1.5754064499103442</v>
      </c>
      <c r="AD935" s="405">
        <v>11980010000157</v>
      </c>
      <c r="AE935" s="257" t="s">
        <v>2233</v>
      </c>
      <c r="AF935" s="257" t="s">
        <v>2118</v>
      </c>
      <c r="AG935" s="261" t="s">
        <v>1433</v>
      </c>
      <c r="AH935" s="261" t="s">
        <v>2113</v>
      </c>
      <c r="AI935" s="261">
        <v>5000</v>
      </c>
      <c r="AJ935" s="261">
        <v>1000</v>
      </c>
      <c r="AK935" s="261">
        <v>1000</v>
      </c>
      <c r="AL935" s="256">
        <v>0.02</v>
      </c>
      <c r="AM935" s="256">
        <v>0.2</v>
      </c>
      <c r="AN935" s="256" t="s">
        <v>666</v>
      </c>
      <c r="AO935" s="254" t="s">
        <v>1324</v>
      </c>
      <c r="AP935" s="257" t="s">
        <v>716</v>
      </c>
      <c r="AQ935" s="263" t="s">
        <v>665</v>
      </c>
      <c r="AR935" s="256">
        <v>6.0000000000000001E-3</v>
      </c>
      <c r="AS935" s="256">
        <v>6.0000000000000001E-3</v>
      </c>
      <c r="AT935" s="256"/>
      <c r="AX935" s="508"/>
      <c r="AY935" s="509"/>
      <c r="AZ935" s="509"/>
      <c r="BA935" s="509"/>
      <c r="BB935" s="510"/>
      <c r="BC935" s="509"/>
      <c r="BD935" s="509"/>
      <c r="BE935" s="509"/>
      <c r="BF935" s="509"/>
      <c r="BG935" s="510"/>
      <c r="BH935" s="510"/>
      <c r="BI935" s="511"/>
      <c r="BJ935" s="511"/>
      <c r="BK935" s="511"/>
      <c r="BL935" s="510"/>
      <c r="BM935" s="510"/>
      <c r="BN935" s="510"/>
      <c r="BO935" s="510"/>
      <c r="BP935" s="510"/>
      <c r="BQ935" s="510"/>
      <c r="BR935" s="510"/>
      <c r="BS935" s="510"/>
      <c r="BT935" s="513"/>
      <c r="BU935" s="514"/>
      <c r="BV935" s="512"/>
      <c r="BW935" s="515"/>
    </row>
    <row r="936" spans="2:75" ht="15.75" customHeight="1">
      <c r="B936" s="250" t="s">
        <v>196</v>
      </c>
      <c r="C936" s="251">
        <v>15569128000148</v>
      </c>
      <c r="D936" s="252" t="s">
        <v>14</v>
      </c>
      <c r="E936" s="252" t="s">
        <v>607</v>
      </c>
      <c r="F936" s="252" t="s">
        <v>1317</v>
      </c>
      <c r="G936" s="253"/>
      <c r="H936" s="253" t="s">
        <v>34</v>
      </c>
      <c r="I936" s="253" t="s">
        <v>34</v>
      </c>
      <c r="J936" s="253" t="s">
        <v>608</v>
      </c>
      <c r="K936" s="254" t="s">
        <v>48</v>
      </c>
      <c r="L936" s="255"/>
      <c r="M936" s="255" t="s">
        <v>34</v>
      </c>
      <c r="N936" s="254">
        <v>308374</v>
      </c>
      <c r="O936" s="254" t="s">
        <v>1321</v>
      </c>
      <c r="P936" s="258">
        <v>41103</v>
      </c>
      <c r="Q936" s="259">
        <v>163597540.87</v>
      </c>
      <c r="R936" s="259">
        <v>309716053.58051568</v>
      </c>
      <c r="S936" s="254">
        <v>32</v>
      </c>
      <c r="T936" s="256">
        <v>-4.4408501628013797E-2</v>
      </c>
      <c r="U936" s="256">
        <v>-0.57407736825743372</v>
      </c>
      <c r="V936" s="256">
        <v>-0.31356764794138026</v>
      </c>
      <c r="W936" s="256">
        <v>-3.0740114370367042</v>
      </c>
      <c r="X936" s="256">
        <v>-0.23975077460996319</v>
      </c>
      <c r="Y936" s="256">
        <v>-1.8180736771249053</v>
      </c>
      <c r="Z936" s="256">
        <v>-0.27231620541777324</v>
      </c>
      <c r="AA936" s="256">
        <v>-1.5479335933120877</v>
      </c>
      <c r="AB936" s="256">
        <v>0.29906509529202729</v>
      </c>
      <c r="AC936" s="260">
        <v>-1.432405192178251</v>
      </c>
      <c r="AD936" s="405">
        <v>15611751000111</v>
      </c>
      <c r="AE936" s="257" t="s">
        <v>2233</v>
      </c>
      <c r="AF936" s="257" t="s">
        <v>2112</v>
      </c>
      <c r="AG936" s="261" t="s">
        <v>59</v>
      </c>
      <c r="AH936" s="261" t="s">
        <v>2113</v>
      </c>
      <c r="AI936" s="261">
        <v>5000</v>
      </c>
      <c r="AJ936" s="261">
        <v>0</v>
      </c>
      <c r="AK936" s="261">
        <v>5000</v>
      </c>
      <c r="AL936" s="256">
        <v>0.02</v>
      </c>
      <c r="AM936" s="256">
        <v>0.2</v>
      </c>
      <c r="AN936" s="256" t="s">
        <v>666</v>
      </c>
      <c r="AO936" s="254" t="s">
        <v>1324</v>
      </c>
      <c r="AP936" s="257" t="s">
        <v>716</v>
      </c>
      <c r="AQ936" s="263" t="s">
        <v>659</v>
      </c>
      <c r="AR936" s="256">
        <v>8.0000000000000002E-3</v>
      </c>
      <c r="AS936" s="256">
        <v>8.0000000000000002E-3</v>
      </c>
      <c r="AT936" s="256"/>
      <c r="AX936" s="508"/>
      <c r="AY936" s="509"/>
      <c r="AZ936" s="509"/>
      <c r="BA936" s="509"/>
      <c r="BB936" s="510"/>
      <c r="BC936" s="509"/>
      <c r="BD936" s="509"/>
      <c r="BE936" s="509"/>
      <c r="BF936" s="509"/>
      <c r="BG936" s="510"/>
      <c r="BH936" s="510"/>
      <c r="BI936" s="511"/>
      <c r="BJ936" s="511"/>
      <c r="BK936" s="511"/>
      <c r="BL936" s="510"/>
      <c r="BM936" s="510"/>
      <c r="BN936" s="510"/>
      <c r="BO936" s="510"/>
      <c r="BP936" s="510"/>
      <c r="BQ936" s="510"/>
      <c r="BR936" s="510"/>
      <c r="BS936" s="510"/>
      <c r="BT936" s="513"/>
      <c r="BU936" s="514"/>
      <c r="BV936" s="512"/>
      <c r="BW936" s="515"/>
    </row>
    <row r="937" spans="2:75" ht="15.75" customHeight="1">
      <c r="B937" s="250" t="s">
        <v>197</v>
      </c>
      <c r="C937" s="251">
        <v>32893639000130</v>
      </c>
      <c r="D937" s="252" t="s">
        <v>14</v>
      </c>
      <c r="E937" s="252" t="s">
        <v>607</v>
      </c>
      <c r="F937" s="252" t="s">
        <v>1317</v>
      </c>
      <c r="G937" s="253"/>
      <c r="H937" s="253" t="s">
        <v>34</v>
      </c>
      <c r="I937" s="253" t="s">
        <v>34</v>
      </c>
      <c r="J937" s="253" t="s">
        <v>608</v>
      </c>
      <c r="K937" s="254" t="s">
        <v>48</v>
      </c>
      <c r="L937" s="255"/>
      <c r="M937" s="255" t="s">
        <v>1414</v>
      </c>
      <c r="N937" s="254">
        <v>497339</v>
      </c>
      <c r="O937" s="254" t="s">
        <v>1324</v>
      </c>
      <c r="P937" s="258">
        <v>43615</v>
      </c>
      <c r="Q937" s="259">
        <v>28158618.02</v>
      </c>
      <c r="R937" s="259">
        <v>41430935.903492108</v>
      </c>
      <c r="S937" s="254">
        <v>32</v>
      </c>
      <c r="T937" s="256">
        <v>-8.7213478161925484E-2</v>
      </c>
      <c r="U937" s="256">
        <v>-1.127425654645188</v>
      </c>
      <c r="V937" s="256">
        <v>-0.374257289252244</v>
      </c>
      <c r="W937" s="256">
        <v>-3.6689728519787419</v>
      </c>
      <c r="X937" s="256">
        <v>-0.32094473957063896</v>
      </c>
      <c r="Y937" s="256">
        <v>-2.4337822631620329</v>
      </c>
      <c r="Z937" s="256">
        <v>-0.35666178319677255</v>
      </c>
      <c r="AA937" s="256">
        <v>-2.0273812012542232</v>
      </c>
      <c r="AB937" s="256">
        <v>0.32560683465103946</v>
      </c>
      <c r="AC937" s="260">
        <v>-1.5737759823231894</v>
      </c>
      <c r="AD937" s="405">
        <v>11980010000157</v>
      </c>
      <c r="AE937" s="257" t="s">
        <v>2233</v>
      </c>
      <c r="AF937" s="257" t="s">
        <v>2112</v>
      </c>
      <c r="AG937" s="261" t="s">
        <v>59</v>
      </c>
      <c r="AH937" s="261" t="s">
        <v>2113</v>
      </c>
      <c r="AI937" s="261">
        <v>1</v>
      </c>
      <c r="AJ937" s="261">
        <v>1</v>
      </c>
      <c r="AK937" s="261">
        <v>1</v>
      </c>
      <c r="AL937" s="256">
        <v>1.1000000000000001E-2</v>
      </c>
      <c r="AM937" s="256">
        <v>0.2</v>
      </c>
      <c r="AN937" s="256" t="s">
        <v>666</v>
      </c>
      <c r="AO937" s="254" t="s">
        <v>1324</v>
      </c>
      <c r="AP937" s="257" t="s">
        <v>716</v>
      </c>
      <c r="AQ937" s="263" t="s">
        <v>665</v>
      </c>
      <c r="AR937" s="256" t="s">
        <v>34</v>
      </c>
      <c r="AS937" s="256" t="s">
        <v>34</v>
      </c>
      <c r="AT937" s="256"/>
      <c r="AX937" s="508"/>
      <c r="AY937" s="509"/>
      <c r="AZ937" s="509"/>
      <c r="BA937" s="509"/>
      <c r="BB937" s="510"/>
      <c r="BC937" s="509"/>
      <c r="BD937" s="509"/>
      <c r="BE937" s="509"/>
      <c r="BF937" s="509"/>
      <c r="BG937" s="510"/>
      <c r="BH937" s="510"/>
      <c r="BI937" s="511"/>
      <c r="BJ937" s="511"/>
      <c r="BK937" s="511"/>
      <c r="BL937" s="510"/>
      <c r="BM937" s="510"/>
      <c r="BN937" s="510"/>
      <c r="BO937" s="510"/>
      <c r="BP937" s="510"/>
      <c r="BQ937" s="510"/>
      <c r="BR937" s="510"/>
      <c r="BS937" s="510"/>
      <c r="BT937" s="513"/>
      <c r="BU937" s="514"/>
      <c r="BV937" s="512"/>
      <c r="BW937" s="515"/>
    </row>
    <row r="938" spans="2:75" ht="15.75" customHeight="1">
      <c r="B938" s="250" t="s">
        <v>1628</v>
      </c>
      <c r="C938" s="251">
        <v>34887320000127</v>
      </c>
      <c r="D938" s="252" t="s">
        <v>14</v>
      </c>
      <c r="E938" s="252" t="s">
        <v>614</v>
      </c>
      <c r="F938" s="252" t="s">
        <v>1317</v>
      </c>
      <c r="G938" s="253"/>
      <c r="H938" s="253" t="s">
        <v>865</v>
      </c>
      <c r="I938" s="253" t="s">
        <v>34</v>
      </c>
      <c r="J938" s="253" t="s">
        <v>608</v>
      </c>
      <c r="K938" s="254" t="s">
        <v>48</v>
      </c>
      <c r="L938" s="255"/>
      <c r="M938" s="255"/>
      <c r="N938" s="254">
        <v>526150</v>
      </c>
      <c r="O938" s="254" t="s">
        <v>1321</v>
      </c>
      <c r="P938" s="258">
        <v>43878</v>
      </c>
      <c r="Q938" s="259">
        <v>104536855.73</v>
      </c>
      <c r="R938" s="259">
        <v>215751891.86750004</v>
      </c>
      <c r="S938" s="254">
        <v>32</v>
      </c>
      <c r="T938" s="256">
        <v>2.5993602241048963E-2</v>
      </c>
      <c r="U938" s="256">
        <v>0.29237379013460846</v>
      </c>
      <c r="V938" s="256">
        <v>-4.2341650185989566E-2</v>
      </c>
      <c r="W938" s="256">
        <v>-0.38859931909520762</v>
      </c>
      <c r="X938" s="256">
        <v>5.0064104051469771E-2</v>
      </c>
      <c r="Y938" s="256">
        <v>0.35204028869729376</v>
      </c>
      <c r="Z938" s="256" t="s">
        <v>1417</v>
      </c>
      <c r="AA938" s="256" t="s">
        <v>1417</v>
      </c>
      <c r="AB938" s="256">
        <v>0.11050736111806855</v>
      </c>
      <c r="AC938" s="260">
        <v>-1.2724199426677734</v>
      </c>
      <c r="AD938" s="405">
        <v>34431537000128</v>
      </c>
      <c r="AE938" s="257" t="s">
        <v>2318</v>
      </c>
      <c r="AF938" s="257" t="s">
        <v>2318</v>
      </c>
      <c r="AG938" s="261" t="s">
        <v>1436</v>
      </c>
      <c r="AH938" s="261" t="s">
        <v>2113</v>
      </c>
      <c r="AI938" s="261">
        <v>1000</v>
      </c>
      <c r="AJ938" s="261">
        <v>100</v>
      </c>
      <c r="AK938" s="261">
        <v>1000</v>
      </c>
      <c r="AL938" s="256">
        <v>0</v>
      </c>
      <c r="AM938" s="256" t="s">
        <v>34</v>
      </c>
      <c r="AN938" s="256" t="s">
        <v>64</v>
      </c>
      <c r="AO938" s="254" t="s">
        <v>1324</v>
      </c>
      <c r="AP938" s="257" t="s">
        <v>13</v>
      </c>
      <c r="AQ938" s="263" t="s">
        <v>668</v>
      </c>
      <c r="AR938" s="256" t="s">
        <v>34</v>
      </c>
      <c r="AS938" s="256" t="s">
        <v>34</v>
      </c>
      <c r="AT938" s="256"/>
      <c r="AX938" s="508"/>
      <c r="AY938" s="509"/>
      <c r="AZ938" s="509"/>
      <c r="BA938" s="509"/>
      <c r="BB938" s="510"/>
      <c r="BC938" s="509"/>
      <c r="BD938" s="509"/>
      <c r="BE938" s="509"/>
      <c r="BF938" s="509"/>
      <c r="BG938" s="510"/>
      <c r="BH938" s="510"/>
      <c r="BI938" s="511"/>
      <c r="BJ938" s="511"/>
      <c r="BK938" s="511"/>
      <c r="BL938" s="510"/>
      <c r="BM938" s="510"/>
      <c r="BN938" s="510"/>
      <c r="BO938" s="510"/>
      <c r="BP938" s="510"/>
      <c r="BQ938" s="510"/>
      <c r="BR938" s="510"/>
      <c r="BS938" s="510"/>
      <c r="BT938" s="513"/>
      <c r="BU938" s="514"/>
      <c r="BV938" s="512"/>
      <c r="BW938" s="515"/>
    </row>
    <row r="939" spans="2:75" ht="15.75" customHeight="1">
      <c r="B939" s="250" t="s">
        <v>992</v>
      </c>
      <c r="C939" s="251">
        <v>12082452000149</v>
      </c>
      <c r="D939" s="252" t="s">
        <v>11</v>
      </c>
      <c r="E939" s="252" t="s">
        <v>620</v>
      </c>
      <c r="F939" s="252" t="s">
        <v>663</v>
      </c>
      <c r="G939" s="253" t="s">
        <v>738</v>
      </c>
      <c r="H939" s="253" t="s">
        <v>34</v>
      </c>
      <c r="I939" s="253"/>
      <c r="J939" s="253" t="s">
        <v>611</v>
      </c>
      <c r="K939" s="254" t="s">
        <v>48</v>
      </c>
      <c r="L939" s="255"/>
      <c r="M939" s="255" t="s">
        <v>34</v>
      </c>
      <c r="N939" s="254">
        <v>253200</v>
      </c>
      <c r="O939" s="254" t="s">
        <v>1321</v>
      </c>
      <c r="P939" s="258">
        <v>40375</v>
      </c>
      <c r="Q939" s="259">
        <v>572764233.51999998</v>
      </c>
      <c r="R939" s="259">
        <v>798694482.36726224</v>
      </c>
      <c r="S939" s="254">
        <v>32</v>
      </c>
      <c r="T939" s="256">
        <v>-0.23269274904216819</v>
      </c>
      <c r="U939" s="256">
        <v>-3.0080645841571942</v>
      </c>
      <c r="V939" s="256">
        <v>-0.26830518442745499</v>
      </c>
      <c r="W939" s="256">
        <v>-2.6302879489035349</v>
      </c>
      <c r="X939" s="256">
        <v>-0.13005254324195425</v>
      </c>
      <c r="Y939" s="256">
        <v>-0.98621206082026025</v>
      </c>
      <c r="Z939" s="256">
        <v>0.18333990564336355</v>
      </c>
      <c r="AA939" s="256">
        <v>1.0421634603223222</v>
      </c>
      <c r="AB939" s="256">
        <v>0.2365923419306418</v>
      </c>
      <c r="AC939" s="260">
        <v>-1.611974754264663</v>
      </c>
      <c r="AD939" s="405">
        <v>28246609000164</v>
      </c>
      <c r="AE939" s="257" t="s">
        <v>2282</v>
      </c>
      <c r="AF939" s="257" t="s">
        <v>2118</v>
      </c>
      <c r="AG939" s="261" t="s">
        <v>1433</v>
      </c>
      <c r="AH939" s="261" t="s">
        <v>2113</v>
      </c>
      <c r="AI939" s="261">
        <v>20000</v>
      </c>
      <c r="AJ939" s="261">
        <v>5000</v>
      </c>
      <c r="AK939" s="261">
        <v>0</v>
      </c>
      <c r="AL939" s="256">
        <v>0.02</v>
      </c>
      <c r="AM939" s="256">
        <v>0.2</v>
      </c>
      <c r="AN939" s="256" t="s">
        <v>2160</v>
      </c>
      <c r="AO939" s="254" t="s">
        <v>1324</v>
      </c>
      <c r="AP939" s="257" t="s">
        <v>716</v>
      </c>
      <c r="AQ939" s="263" t="s">
        <v>659</v>
      </c>
      <c r="AR939" s="256">
        <v>5.0000000000000001E-3</v>
      </c>
      <c r="AS939" s="256">
        <v>5.0000000000000001E-3</v>
      </c>
      <c r="AT939" s="256"/>
      <c r="AX939" s="508"/>
      <c r="AY939" s="509"/>
      <c r="AZ939" s="509"/>
      <c r="BA939" s="509"/>
      <c r="BB939" s="510"/>
      <c r="BC939" s="509"/>
      <c r="BD939" s="509"/>
      <c r="BE939" s="509"/>
      <c r="BF939" s="509"/>
      <c r="BG939" s="510"/>
      <c r="BH939" s="510"/>
      <c r="BI939" s="511"/>
      <c r="BJ939" s="511"/>
      <c r="BK939" s="511"/>
      <c r="BL939" s="510"/>
      <c r="BM939" s="510"/>
      <c r="BN939" s="510"/>
      <c r="BO939" s="510"/>
      <c r="BP939" s="510"/>
      <c r="BQ939" s="510"/>
      <c r="BR939" s="510"/>
      <c r="BS939" s="510"/>
      <c r="BT939" s="513"/>
      <c r="BU939" s="514"/>
      <c r="BV939" s="512"/>
      <c r="BW939" s="515"/>
    </row>
    <row r="940" spans="2:75" ht="15.75" customHeight="1">
      <c r="B940" s="250" t="s">
        <v>488</v>
      </c>
      <c r="C940" s="251">
        <v>37121216000115</v>
      </c>
      <c r="D940" s="252" t="s">
        <v>11</v>
      </c>
      <c r="E940" s="252" t="s">
        <v>620</v>
      </c>
      <c r="F940" s="252" t="s">
        <v>685</v>
      </c>
      <c r="G940" s="253" t="s">
        <v>738</v>
      </c>
      <c r="H940" s="253" t="s">
        <v>34</v>
      </c>
      <c r="I940" s="253" t="s">
        <v>1319</v>
      </c>
      <c r="J940" s="253" t="s">
        <v>608</v>
      </c>
      <c r="K940" s="254" t="s">
        <v>48</v>
      </c>
      <c r="L940" s="255"/>
      <c r="M940" s="255" t="s">
        <v>34</v>
      </c>
      <c r="N940" s="254">
        <v>553174</v>
      </c>
      <c r="O940" s="254" t="s">
        <v>1321</v>
      </c>
      <c r="P940" s="258">
        <v>44056</v>
      </c>
      <c r="Q940" s="259">
        <v>115565999.5</v>
      </c>
      <c r="R940" s="259">
        <v>89882909.21047622</v>
      </c>
      <c r="S940" s="254">
        <v>32</v>
      </c>
      <c r="T940" s="256">
        <v>0.14110679938666881</v>
      </c>
      <c r="U940" s="256">
        <v>1.8241151370896087</v>
      </c>
      <c r="V940" s="256">
        <v>0.19950011417450297</v>
      </c>
      <c r="W940" s="256">
        <v>1.9557681944828602</v>
      </c>
      <c r="X940" s="256">
        <v>0.38028944560909794</v>
      </c>
      <c r="Y940" s="256">
        <v>2.8838039496436001</v>
      </c>
      <c r="Z940" s="256" t="s">
        <v>1417</v>
      </c>
      <c r="AA940" s="256" t="s">
        <v>1417</v>
      </c>
      <c r="AB940" s="256">
        <v>5.3146218911845684E-2</v>
      </c>
      <c r="AC940" s="260">
        <v>1.6219590729359978</v>
      </c>
      <c r="AD940" s="405">
        <v>0</v>
      </c>
      <c r="AE940" s="257" t="s">
        <v>2272</v>
      </c>
      <c r="AF940" s="257" t="s">
        <v>928</v>
      </c>
      <c r="AG940" s="261" t="s">
        <v>928</v>
      </c>
      <c r="AH940" s="261" t="s">
        <v>726</v>
      </c>
      <c r="AI940" s="261">
        <v>1000</v>
      </c>
      <c r="AJ940" s="261">
        <v>0</v>
      </c>
      <c r="AK940" s="261">
        <v>0</v>
      </c>
      <c r="AL940" s="256">
        <v>0.01</v>
      </c>
      <c r="AM940" s="256">
        <v>0.3</v>
      </c>
      <c r="AN940" s="256" t="s">
        <v>64</v>
      </c>
      <c r="AO940" s="254" t="s">
        <v>1324</v>
      </c>
      <c r="AP940" s="257" t="s">
        <v>13</v>
      </c>
      <c r="AQ940" s="263" t="s">
        <v>679</v>
      </c>
      <c r="AR940" s="256">
        <v>1.6666666666666666E-3</v>
      </c>
      <c r="AS940" s="256">
        <v>1.6666666666666666E-3</v>
      </c>
      <c r="AT940" s="256"/>
      <c r="AX940" s="508"/>
      <c r="AY940" s="509"/>
      <c r="AZ940" s="509"/>
      <c r="BA940" s="509"/>
      <c r="BB940" s="510"/>
      <c r="BC940" s="509"/>
      <c r="BD940" s="509"/>
      <c r="BE940" s="509"/>
      <c r="BF940" s="509"/>
      <c r="BG940" s="510"/>
      <c r="BH940" s="510"/>
      <c r="BI940" s="511"/>
      <c r="BJ940" s="511"/>
      <c r="BK940" s="511"/>
      <c r="BL940" s="510"/>
      <c r="BM940" s="510"/>
      <c r="BN940" s="510"/>
      <c r="BO940" s="510"/>
      <c r="BP940" s="510"/>
      <c r="BQ940" s="510"/>
      <c r="BR940" s="510"/>
      <c r="BS940" s="510"/>
      <c r="BT940" s="513"/>
      <c r="BU940" s="514"/>
      <c r="BV940" s="512"/>
      <c r="BW940" s="515"/>
    </row>
    <row r="941" spans="2:75" ht="15.75" customHeight="1">
      <c r="B941" s="250" t="s">
        <v>1056</v>
      </c>
      <c r="C941" s="251">
        <v>39958460000162</v>
      </c>
      <c r="D941" s="252" t="s">
        <v>11</v>
      </c>
      <c r="E941" s="252" t="s">
        <v>620</v>
      </c>
      <c r="F941" s="252" t="s">
        <v>685</v>
      </c>
      <c r="G941" s="253" t="s">
        <v>738</v>
      </c>
      <c r="H941" s="253" t="s">
        <v>34</v>
      </c>
      <c r="I941" s="253" t="s">
        <v>1319</v>
      </c>
      <c r="J941" s="253" t="s">
        <v>608</v>
      </c>
      <c r="K941" s="254" t="s">
        <v>48</v>
      </c>
      <c r="L941" s="255"/>
      <c r="M941" s="255" t="s">
        <v>34</v>
      </c>
      <c r="N941" s="254">
        <v>565849</v>
      </c>
      <c r="O941" s="254" t="s">
        <v>1321</v>
      </c>
      <c r="P941" s="258">
        <v>44179</v>
      </c>
      <c r="Q941" s="259">
        <v>104589820.84999999</v>
      </c>
      <c r="R941" s="259">
        <v>82778516.889484122</v>
      </c>
      <c r="S941" s="254">
        <v>32</v>
      </c>
      <c r="T941" s="256">
        <v>8.8881815741650438E-2</v>
      </c>
      <c r="U941" s="256">
        <v>1.1489925801667036</v>
      </c>
      <c r="V941" s="256">
        <v>0.12386771775837491</v>
      </c>
      <c r="W941" s="256">
        <v>1.2143178148916112</v>
      </c>
      <c r="X941" s="256" t="s">
        <v>1417</v>
      </c>
      <c r="Y941" s="256" t="s">
        <v>1417</v>
      </c>
      <c r="Z941" s="256" t="s">
        <v>1417</v>
      </c>
      <c r="AA941" s="256" t="s">
        <v>1417</v>
      </c>
      <c r="AB941" s="256">
        <v>5.081342188749411E-3</v>
      </c>
      <c r="AC941" s="260">
        <v>3.8698234325880634</v>
      </c>
      <c r="AD941" s="405">
        <v>0</v>
      </c>
      <c r="AE941" s="257" t="s">
        <v>2314</v>
      </c>
      <c r="AF941" s="257" t="s">
        <v>2109</v>
      </c>
      <c r="AG941" s="261" t="s">
        <v>1432</v>
      </c>
      <c r="AH941" s="261" t="s">
        <v>2110</v>
      </c>
      <c r="AI941" s="261">
        <v>1000</v>
      </c>
      <c r="AJ941" s="261">
        <v>1000</v>
      </c>
      <c r="AK941" s="261">
        <v>1000</v>
      </c>
      <c r="AL941" s="256">
        <v>0.01</v>
      </c>
      <c r="AM941" s="256">
        <v>0.1</v>
      </c>
      <c r="AN941" s="256" t="s">
        <v>2127</v>
      </c>
      <c r="AO941" s="254" t="s">
        <v>1324</v>
      </c>
      <c r="AP941" s="257" t="s">
        <v>11</v>
      </c>
      <c r="AQ941" s="263" t="s">
        <v>675</v>
      </c>
      <c r="AR941" s="256">
        <v>3.3333333333333331E-3</v>
      </c>
      <c r="AS941" s="256">
        <v>3.3333333333333331E-3</v>
      </c>
      <c r="AT941" s="256"/>
      <c r="AX941" s="508"/>
      <c r="AY941" s="509"/>
      <c r="AZ941" s="509"/>
      <c r="BA941" s="509"/>
      <c r="BB941" s="510"/>
      <c r="BC941" s="509"/>
      <c r="BD941" s="509"/>
      <c r="BE941" s="509"/>
      <c r="BF941" s="509"/>
      <c r="BG941" s="510"/>
      <c r="BH941" s="510"/>
      <c r="BI941" s="511"/>
      <c r="BJ941" s="511"/>
      <c r="BK941" s="511"/>
      <c r="BL941" s="510"/>
      <c r="BM941" s="510"/>
      <c r="BN941" s="510"/>
      <c r="BO941" s="510"/>
      <c r="BP941" s="510"/>
      <c r="BQ941" s="510"/>
      <c r="BR941" s="510"/>
      <c r="BS941" s="510"/>
      <c r="BT941" s="513"/>
      <c r="BU941" s="514"/>
      <c r="BV941" s="512"/>
      <c r="BW941" s="515"/>
    </row>
    <row r="942" spans="2:75" ht="15.75" customHeight="1">
      <c r="B942" s="250" t="s">
        <v>125</v>
      </c>
      <c r="C942" s="251">
        <v>40830356000177</v>
      </c>
      <c r="D942" s="252" t="s">
        <v>13</v>
      </c>
      <c r="E942" s="252" t="s">
        <v>616</v>
      </c>
      <c r="F942" s="252" t="s">
        <v>617</v>
      </c>
      <c r="G942" s="253" t="s">
        <v>34</v>
      </c>
      <c r="H942" s="253" t="s">
        <v>865</v>
      </c>
      <c r="I942" s="253" t="s">
        <v>34</v>
      </c>
      <c r="J942" s="253" t="s">
        <v>608</v>
      </c>
      <c r="K942" s="254" t="s">
        <v>48</v>
      </c>
      <c r="L942" s="255"/>
      <c r="M942" s="255" t="s">
        <v>34</v>
      </c>
      <c r="N942" s="254">
        <v>581410</v>
      </c>
      <c r="O942" s="254" t="s">
        <v>1321</v>
      </c>
      <c r="P942" s="258">
        <v>44286</v>
      </c>
      <c r="Q942" s="259">
        <v>30007400.629999999</v>
      </c>
      <c r="R942" s="259">
        <v>19080452.155714281</v>
      </c>
      <c r="S942" s="254">
        <v>32</v>
      </c>
      <c r="T942" s="256">
        <v>0.11673475076629614</v>
      </c>
      <c r="U942" s="256">
        <v>1.50905290760426</v>
      </c>
      <c r="V942" s="256">
        <v>0.14031672344726909</v>
      </c>
      <c r="W942" s="256">
        <v>1.3755730717636316</v>
      </c>
      <c r="X942" s="256" t="s">
        <v>1417</v>
      </c>
      <c r="Y942" s="256" t="s">
        <v>1417</v>
      </c>
      <c r="Z942" s="256" t="s">
        <v>1417</v>
      </c>
      <c r="AA942" s="256" t="s">
        <v>1417</v>
      </c>
      <c r="AB942" s="256">
        <v>6.1540181325382505E-2</v>
      </c>
      <c r="AC942" s="260">
        <v>0.58616993769389925</v>
      </c>
      <c r="AD942" s="405">
        <v>40830170000118</v>
      </c>
      <c r="AE942" s="257" t="s">
        <v>2173</v>
      </c>
      <c r="AF942" s="257" t="s">
        <v>2115</v>
      </c>
      <c r="AG942" s="261" t="s">
        <v>719</v>
      </c>
      <c r="AH942" s="261" t="s">
        <v>2110</v>
      </c>
      <c r="AI942" s="261">
        <v>5000</v>
      </c>
      <c r="AJ942" s="261">
        <v>5000</v>
      </c>
      <c r="AK942" s="261">
        <v>5000</v>
      </c>
      <c r="AL942" s="256">
        <v>0.02</v>
      </c>
      <c r="AM942" s="256">
        <v>0.2</v>
      </c>
      <c r="AN942" s="256" t="s">
        <v>64</v>
      </c>
      <c r="AO942" s="254" t="s">
        <v>1324</v>
      </c>
      <c r="AP942" s="257" t="s">
        <v>13</v>
      </c>
      <c r="AQ942" s="263" t="s">
        <v>668</v>
      </c>
      <c r="AR942" s="256">
        <v>4.0000000000000001E-3</v>
      </c>
      <c r="AS942" s="256">
        <v>4.0000000000000001E-3</v>
      </c>
      <c r="AT942" s="256"/>
      <c r="AX942" s="508"/>
      <c r="AY942" s="509"/>
      <c r="AZ942" s="509"/>
      <c r="BA942" s="509"/>
      <c r="BB942" s="510"/>
      <c r="BC942" s="509"/>
      <c r="BD942" s="509"/>
      <c r="BE942" s="509"/>
      <c r="BF942" s="509"/>
      <c r="BG942" s="510"/>
      <c r="BH942" s="510"/>
      <c r="BI942" s="511"/>
      <c r="BJ942" s="511"/>
      <c r="BK942" s="511"/>
      <c r="BL942" s="510"/>
      <c r="BM942" s="510"/>
      <c r="BN942" s="510"/>
      <c r="BO942" s="510"/>
      <c r="BP942" s="510"/>
      <c r="BQ942" s="510"/>
      <c r="BR942" s="510"/>
      <c r="BS942" s="510"/>
      <c r="BT942" s="513"/>
      <c r="BU942" s="514"/>
      <c r="BV942" s="512"/>
      <c r="BW942" s="515"/>
    </row>
    <row r="943" spans="2:75" ht="15.75" customHeight="1">
      <c r="B943" s="250" t="s">
        <v>467</v>
      </c>
      <c r="C943" s="251">
        <v>41902590000125</v>
      </c>
      <c r="D943" s="252" t="s">
        <v>13</v>
      </c>
      <c r="E943" s="252" t="s">
        <v>616</v>
      </c>
      <c r="F943" s="252" t="s">
        <v>617</v>
      </c>
      <c r="G943" s="253" t="s">
        <v>34</v>
      </c>
      <c r="H943" s="253" t="s">
        <v>865</v>
      </c>
      <c r="I943" s="253" t="s">
        <v>34</v>
      </c>
      <c r="J943" s="253" t="s">
        <v>608</v>
      </c>
      <c r="K943" s="254" t="s">
        <v>48</v>
      </c>
      <c r="L943" s="255"/>
      <c r="M943" s="255" t="s">
        <v>34</v>
      </c>
      <c r="N943" s="254">
        <v>601322</v>
      </c>
      <c r="O943" s="254" t="s">
        <v>1321</v>
      </c>
      <c r="P943" s="258">
        <v>44398</v>
      </c>
      <c r="Q943" s="259">
        <v>56551214.560000002</v>
      </c>
      <c r="R943" s="259">
        <v>39268678.518690467</v>
      </c>
      <c r="S943" s="254">
        <v>32</v>
      </c>
      <c r="T943" s="256">
        <v>0.12062792168465686</v>
      </c>
      <c r="U943" s="256">
        <v>1.5593806879403349</v>
      </c>
      <c r="V943" s="256">
        <v>0.14312963781900256</v>
      </c>
      <c r="W943" s="256">
        <v>1.4031490382476808</v>
      </c>
      <c r="X943" s="256" t="s">
        <v>1417</v>
      </c>
      <c r="Y943" s="256" t="s">
        <v>1417</v>
      </c>
      <c r="Z943" s="256" t="s">
        <v>1417</v>
      </c>
      <c r="AA943" s="256" t="s">
        <v>1417</v>
      </c>
      <c r="AB943" s="256">
        <v>6.3415274646687989E-2</v>
      </c>
      <c r="AC943" s="260">
        <v>0.60954543904476666</v>
      </c>
      <c r="AD943" s="405">
        <v>41902547000160</v>
      </c>
      <c r="AE943" s="257" t="s">
        <v>2173</v>
      </c>
      <c r="AF943" s="257" t="s">
        <v>2115</v>
      </c>
      <c r="AG943" s="261" t="s">
        <v>719</v>
      </c>
      <c r="AH943" s="261" t="s">
        <v>2110</v>
      </c>
      <c r="AI943" s="261">
        <v>5000</v>
      </c>
      <c r="AJ943" s="261">
        <v>5000</v>
      </c>
      <c r="AK943" s="261">
        <v>5000</v>
      </c>
      <c r="AL943" s="256">
        <v>0.02</v>
      </c>
      <c r="AM943" s="256">
        <v>0.2</v>
      </c>
      <c r="AN943" s="256" t="s">
        <v>64</v>
      </c>
      <c r="AO943" s="254" t="s">
        <v>1324</v>
      </c>
      <c r="AP943" s="257" t="s">
        <v>716</v>
      </c>
      <c r="AQ943" s="263" t="s">
        <v>659</v>
      </c>
      <c r="AR943" s="256">
        <v>4.0000000000000001E-3</v>
      </c>
      <c r="AS943" s="256">
        <v>4.0000000000000001E-3</v>
      </c>
      <c r="AT943" s="256"/>
      <c r="AX943" s="508"/>
      <c r="AY943" s="509"/>
      <c r="AZ943" s="509"/>
      <c r="BA943" s="509"/>
      <c r="BB943" s="510"/>
      <c r="BC943" s="509"/>
      <c r="BD943" s="509"/>
      <c r="BE943" s="509"/>
      <c r="BF943" s="509"/>
      <c r="BG943" s="510"/>
      <c r="BH943" s="510"/>
      <c r="BI943" s="511"/>
      <c r="BJ943" s="511"/>
      <c r="BK943" s="511"/>
      <c r="BL943" s="510"/>
      <c r="BM943" s="510"/>
      <c r="BN943" s="510"/>
      <c r="BO943" s="510"/>
      <c r="BP943" s="510"/>
      <c r="BQ943" s="510"/>
      <c r="BR943" s="510"/>
      <c r="BS943" s="510"/>
      <c r="BT943" s="513"/>
      <c r="BU943" s="514"/>
      <c r="BV943" s="512"/>
      <c r="BW943" s="515"/>
    </row>
    <row r="944" spans="2:75" ht="15.75" customHeight="1">
      <c r="B944" s="250" t="s">
        <v>839</v>
      </c>
      <c r="C944" s="251">
        <v>14799785000119</v>
      </c>
      <c r="D944" s="252" t="s">
        <v>13</v>
      </c>
      <c r="E944" s="252" t="s">
        <v>616</v>
      </c>
      <c r="F944" s="252" t="s">
        <v>617</v>
      </c>
      <c r="G944" s="253" t="s">
        <v>34</v>
      </c>
      <c r="H944" s="253" t="s">
        <v>1338</v>
      </c>
      <c r="I944" s="253" t="s">
        <v>34</v>
      </c>
      <c r="J944" s="253" t="s">
        <v>608</v>
      </c>
      <c r="K944" s="254" t="s">
        <v>48</v>
      </c>
      <c r="L944" s="255"/>
      <c r="M944" s="255" t="s">
        <v>34</v>
      </c>
      <c r="N944" s="254">
        <v>296961</v>
      </c>
      <c r="O944" s="254" t="s">
        <v>1321</v>
      </c>
      <c r="P944" s="258">
        <v>40952</v>
      </c>
      <c r="Q944" s="259">
        <v>412341139.20999998</v>
      </c>
      <c r="R944" s="259">
        <v>569216580.71134925</v>
      </c>
      <c r="S944" s="254">
        <v>32</v>
      </c>
      <c r="T944" s="256">
        <v>0.18128283734990558</v>
      </c>
      <c r="U944" s="256">
        <v>2.3434786214544214</v>
      </c>
      <c r="V944" s="256">
        <v>2.9084951889761568E-2</v>
      </c>
      <c r="W944" s="256">
        <v>0.28512978089979357</v>
      </c>
      <c r="X944" s="256">
        <v>4.208479116171282E-2</v>
      </c>
      <c r="Y944" s="256">
        <v>0.31913661652557312</v>
      </c>
      <c r="Z944" s="256">
        <v>0.14863392129091269</v>
      </c>
      <c r="AA944" s="256">
        <v>0.84488339399022838</v>
      </c>
      <c r="AB944" s="256">
        <v>9.3521322605064711E-2</v>
      </c>
      <c r="AC944" s="260">
        <v>-0.68568034298895986</v>
      </c>
      <c r="AD944" s="405">
        <v>14816895000141</v>
      </c>
      <c r="AE944" s="257" t="s">
        <v>2144</v>
      </c>
      <c r="AF944" s="257" t="s">
        <v>2109</v>
      </c>
      <c r="AG944" s="261" t="s">
        <v>1432</v>
      </c>
      <c r="AH944" s="261" t="s">
        <v>2110</v>
      </c>
      <c r="AI944" s="261">
        <v>5000</v>
      </c>
      <c r="AJ944" s="261">
        <v>1000</v>
      </c>
      <c r="AK944" s="261">
        <v>1000</v>
      </c>
      <c r="AL944" s="256">
        <v>0.02</v>
      </c>
      <c r="AM944" s="256">
        <v>0.2</v>
      </c>
      <c r="AN944" s="256" t="s">
        <v>2127</v>
      </c>
      <c r="AO944" s="254" t="s">
        <v>1324</v>
      </c>
      <c r="AP944" s="257" t="s">
        <v>716</v>
      </c>
      <c r="AQ944" s="263" t="s">
        <v>659</v>
      </c>
      <c r="AR944" s="256">
        <v>6.9999999999999993E-3</v>
      </c>
      <c r="AS944" s="256">
        <v>6.9999999999999993E-3</v>
      </c>
      <c r="AT944" s="256"/>
      <c r="AW944" s="508"/>
      <c r="AX944" s="508"/>
      <c r="AY944" s="509"/>
      <c r="AZ944" s="509"/>
      <c r="BA944" s="509"/>
      <c r="BB944" s="510"/>
      <c r="BC944" s="509"/>
      <c r="BD944" s="509"/>
      <c r="BE944" s="509"/>
      <c r="BF944" s="509"/>
      <c r="BG944" s="510"/>
      <c r="BH944" s="510"/>
      <c r="BI944" s="511"/>
      <c r="BJ944" s="511"/>
      <c r="BK944" s="511"/>
      <c r="BL944" s="195"/>
      <c r="BM944" s="510"/>
      <c r="BN944" s="510"/>
      <c r="BO944" s="510"/>
      <c r="BP944" s="510"/>
      <c r="BQ944" s="510"/>
      <c r="BR944" s="510"/>
      <c r="BS944" s="510"/>
      <c r="BT944" s="513"/>
      <c r="BU944" s="514"/>
      <c r="BV944" s="512"/>
      <c r="BW944" s="515"/>
    </row>
    <row r="945" spans="2:75" ht="15.75" customHeight="1">
      <c r="B945" s="250" t="s">
        <v>1512</v>
      </c>
      <c r="C945" s="251">
        <v>37970310000149</v>
      </c>
      <c r="D945" s="252" t="s">
        <v>13</v>
      </c>
      <c r="E945" s="252" t="s">
        <v>616</v>
      </c>
      <c r="F945" s="252" t="s">
        <v>617</v>
      </c>
      <c r="G945" s="253" t="s">
        <v>34</v>
      </c>
      <c r="H945" s="253" t="s">
        <v>1338</v>
      </c>
      <c r="I945" s="253" t="s">
        <v>34</v>
      </c>
      <c r="J945" s="253" t="s">
        <v>608</v>
      </c>
      <c r="K945" s="254" t="s">
        <v>48</v>
      </c>
      <c r="L945" s="255"/>
      <c r="M945" s="255"/>
      <c r="N945" s="254">
        <v>551831</v>
      </c>
      <c r="O945" s="254" t="s">
        <v>1321</v>
      </c>
      <c r="P945" s="258">
        <v>44084</v>
      </c>
      <c r="Q945" s="259">
        <v>158295768.81999999</v>
      </c>
      <c r="R945" s="259">
        <v>137837999.00726187</v>
      </c>
      <c r="S945" s="254">
        <v>32</v>
      </c>
      <c r="T945" s="256">
        <v>0.197355758606093</v>
      </c>
      <c r="U945" s="256">
        <v>2.2198405058854109</v>
      </c>
      <c r="V945" s="256">
        <v>7.8769323548537606E-2</v>
      </c>
      <c r="W945" s="256">
        <v>0.72292188334880403</v>
      </c>
      <c r="X945" s="256">
        <v>6.0175788113413731E-2</v>
      </c>
      <c r="Y945" s="256">
        <v>0.4231435321054432</v>
      </c>
      <c r="Z945" s="256" t="s">
        <v>1417</v>
      </c>
      <c r="AA945" s="256" t="s">
        <v>1417</v>
      </c>
      <c r="AB945" s="256">
        <v>9.3515754177769375E-2</v>
      </c>
      <c r="AC945" s="260">
        <v>-0.24871290314288086</v>
      </c>
      <c r="AD945" s="405">
        <v>37967588000167</v>
      </c>
      <c r="AE945" s="257" t="s">
        <v>2144</v>
      </c>
      <c r="AF945" s="257" t="s">
        <v>2109</v>
      </c>
      <c r="AG945" s="261" t="s">
        <v>1432</v>
      </c>
      <c r="AH945" s="261" t="s">
        <v>2110</v>
      </c>
      <c r="AI945" s="261">
        <v>5000</v>
      </c>
      <c r="AJ945" s="261">
        <v>1000</v>
      </c>
      <c r="AK945" s="261">
        <v>1000</v>
      </c>
      <c r="AL945" s="256">
        <v>0.02</v>
      </c>
      <c r="AM945" s="256">
        <v>0.2</v>
      </c>
      <c r="AN945" s="256" t="s">
        <v>34</v>
      </c>
      <c r="AO945" s="254" t="s">
        <v>1324</v>
      </c>
      <c r="AP945" s="257" t="s">
        <v>13</v>
      </c>
      <c r="AQ945" s="263" t="s">
        <v>668</v>
      </c>
      <c r="AR945" s="256">
        <v>6.9999999999999993E-3</v>
      </c>
      <c r="AS945" s="256">
        <v>6.9999999999999993E-3</v>
      </c>
      <c r="AT945" s="256"/>
      <c r="AV945" t="s">
        <v>2602</v>
      </c>
      <c r="AX945" s="508"/>
      <c r="AY945" s="509"/>
      <c r="AZ945" s="509"/>
      <c r="BA945" s="509"/>
      <c r="BB945" s="510"/>
      <c r="BC945" s="509"/>
      <c r="BD945" s="509"/>
      <c r="BE945" s="509"/>
      <c r="BF945" s="509"/>
      <c r="BG945" s="510"/>
      <c r="BH945" s="510"/>
      <c r="BI945" s="511"/>
      <c r="BJ945" s="511"/>
      <c r="BK945" s="511"/>
      <c r="BL945" s="510"/>
      <c r="BM945" s="510"/>
      <c r="BN945" s="510"/>
      <c r="BO945" s="510"/>
      <c r="BP945" s="510"/>
      <c r="BQ945" s="510"/>
      <c r="BR945" s="510"/>
      <c r="BS945" s="510"/>
      <c r="BT945" s="513"/>
      <c r="BU945" s="514"/>
      <c r="BV945" s="512"/>
      <c r="BW945" s="515"/>
    </row>
    <row r="946" spans="2:75" ht="15.75" customHeight="1">
      <c r="B946" s="250" t="s">
        <v>993</v>
      </c>
      <c r="C946" s="251">
        <v>5936530000160</v>
      </c>
      <c r="D946" s="252" t="s">
        <v>13</v>
      </c>
      <c r="E946" s="252" t="s">
        <v>616</v>
      </c>
      <c r="F946" s="252" t="s">
        <v>617</v>
      </c>
      <c r="G946" s="253" t="s">
        <v>34</v>
      </c>
      <c r="H946" s="253" t="s">
        <v>1338</v>
      </c>
      <c r="I946" s="253" t="s">
        <v>34</v>
      </c>
      <c r="J946" s="253" t="s">
        <v>608</v>
      </c>
      <c r="K946" s="254" t="s">
        <v>48</v>
      </c>
      <c r="L946" s="255"/>
      <c r="M946" s="255" t="s">
        <v>1414</v>
      </c>
      <c r="N946" s="254">
        <v>167029</v>
      </c>
      <c r="O946" s="254" t="s">
        <v>1321</v>
      </c>
      <c r="P946" s="258">
        <v>37917</v>
      </c>
      <c r="Q946" s="259">
        <v>667902622.25</v>
      </c>
      <c r="R946" s="259">
        <v>881455206.95999968</v>
      </c>
      <c r="S946" s="254">
        <v>32</v>
      </c>
      <c r="T946" s="256">
        <v>-8.1073314634165339E-2</v>
      </c>
      <c r="U946" s="256">
        <v>-1.0480505622763154</v>
      </c>
      <c r="V946" s="256">
        <v>-9.5840211017189092E-2</v>
      </c>
      <c r="W946" s="256">
        <v>-0.93955453226452379</v>
      </c>
      <c r="X946" s="256">
        <v>2.3040135628617842E-2</v>
      </c>
      <c r="Y946" s="256">
        <v>0.17471753395551715</v>
      </c>
      <c r="Z946" s="256">
        <v>0.20969859307122007</v>
      </c>
      <c r="AA946" s="256">
        <v>1.1919947848393357</v>
      </c>
      <c r="AB946" s="256">
        <v>0.12208094108129536</v>
      </c>
      <c r="AC946" s="260">
        <v>-1.559974603452343</v>
      </c>
      <c r="AD946" s="405">
        <v>11456177000113</v>
      </c>
      <c r="AE946" s="257" t="s">
        <v>2282</v>
      </c>
      <c r="AF946" s="257" t="s">
        <v>2118</v>
      </c>
      <c r="AG946" s="261" t="s">
        <v>1433</v>
      </c>
      <c r="AH946" s="261" t="s">
        <v>2110</v>
      </c>
      <c r="AI946" s="261">
        <v>20000</v>
      </c>
      <c r="AJ946" s="261">
        <v>5000</v>
      </c>
      <c r="AK946" s="261">
        <v>0</v>
      </c>
      <c r="AL946" s="256">
        <v>0.02</v>
      </c>
      <c r="AM946" s="256">
        <v>0.2</v>
      </c>
      <c r="AN946" s="256" t="s">
        <v>64</v>
      </c>
      <c r="AO946" s="254" t="s">
        <v>1324</v>
      </c>
      <c r="AP946" s="257" t="s">
        <v>13</v>
      </c>
      <c r="AQ946" s="263" t="s">
        <v>679</v>
      </c>
      <c r="AR946" s="256">
        <v>2.7000000000000001E-3</v>
      </c>
      <c r="AS946" s="256">
        <v>2.7000000000000001E-3</v>
      </c>
      <c r="AT946" s="256"/>
      <c r="AX946" s="508"/>
      <c r="AY946" s="509"/>
      <c r="AZ946" s="509"/>
      <c r="BA946" s="509"/>
      <c r="BB946" s="510"/>
      <c r="BC946" s="509"/>
      <c r="BD946" s="509"/>
      <c r="BE946" s="509"/>
      <c r="BF946" s="509"/>
      <c r="BG946" s="510"/>
      <c r="BH946" s="510"/>
      <c r="BI946" s="511"/>
      <c r="BJ946" s="511"/>
      <c r="BK946" s="511"/>
      <c r="BL946" s="510"/>
      <c r="BM946" s="510"/>
      <c r="BN946" s="510"/>
      <c r="BO946" s="510"/>
      <c r="BP946" s="510"/>
      <c r="BQ946" s="510"/>
      <c r="BR946" s="510"/>
      <c r="BS946" s="510"/>
      <c r="BT946" s="513"/>
      <c r="BU946" s="514"/>
      <c r="BV946" s="512"/>
      <c r="BW946" s="515"/>
    </row>
    <row r="947" spans="2:75" ht="15.75" customHeight="1">
      <c r="B947" s="250" t="s">
        <v>1651</v>
      </c>
      <c r="C947" s="251">
        <v>26380695000178</v>
      </c>
      <c r="D947" s="252" t="s">
        <v>13</v>
      </c>
      <c r="E947" s="252" t="s">
        <v>616</v>
      </c>
      <c r="F947" s="252" t="s">
        <v>617</v>
      </c>
      <c r="G947" s="253" t="s">
        <v>34</v>
      </c>
      <c r="H947" s="253" t="s">
        <v>865</v>
      </c>
      <c r="I947" s="253" t="s">
        <v>34</v>
      </c>
      <c r="J947" s="253" t="s">
        <v>608</v>
      </c>
      <c r="K947" s="254" t="s">
        <v>48</v>
      </c>
      <c r="L947" s="255"/>
      <c r="M947" s="255"/>
      <c r="N947" s="254">
        <v>433411</v>
      </c>
      <c r="O947" s="254" t="s">
        <v>1321</v>
      </c>
      <c r="P947" s="258">
        <v>42726</v>
      </c>
      <c r="Q947" s="259">
        <v>380067959.24000001</v>
      </c>
      <c r="R947" s="259">
        <v>341564057.58007938</v>
      </c>
      <c r="S947" s="254">
        <v>32</v>
      </c>
      <c r="T947" s="256">
        <v>8.7049828773954507E-2</v>
      </c>
      <c r="U947" s="256">
        <v>0.97912894616112678</v>
      </c>
      <c r="V947" s="256">
        <v>9.1022968292871598E-2</v>
      </c>
      <c r="W947" s="256">
        <v>0.83538226179806852</v>
      </c>
      <c r="X947" s="256">
        <v>0.19142485315976732</v>
      </c>
      <c r="Y947" s="256">
        <v>1.3460594541134736</v>
      </c>
      <c r="Z947" s="256">
        <v>0.26644383992549714</v>
      </c>
      <c r="AA947" s="256">
        <v>1.4559993327886576</v>
      </c>
      <c r="AB947" s="256">
        <v>5.9947171469975163E-2</v>
      </c>
      <c r="AC947" s="260">
        <v>-0.24222541408021869</v>
      </c>
      <c r="AD947" s="405">
        <v>30658543000161</v>
      </c>
      <c r="AE947" s="257" t="s">
        <v>2318</v>
      </c>
      <c r="AF947" s="257" t="s">
        <v>2318</v>
      </c>
      <c r="AG947" s="261" t="s">
        <v>1436</v>
      </c>
      <c r="AH947" s="261" t="s">
        <v>2113</v>
      </c>
      <c r="AI947" s="261">
        <v>1000</v>
      </c>
      <c r="AJ947" s="261">
        <v>100</v>
      </c>
      <c r="AK947" s="261">
        <v>1000</v>
      </c>
      <c r="AL947" s="256">
        <v>0</v>
      </c>
      <c r="AM947" s="256" t="s">
        <v>34</v>
      </c>
      <c r="AN947" s="256" t="s">
        <v>64</v>
      </c>
      <c r="AO947" s="254" t="s">
        <v>1324</v>
      </c>
      <c r="AP947" s="257" t="s">
        <v>13</v>
      </c>
      <c r="AQ947" s="263" t="s">
        <v>674</v>
      </c>
      <c r="AR947" s="256" t="s">
        <v>34</v>
      </c>
      <c r="AS947" s="256" t="s">
        <v>34</v>
      </c>
      <c r="AT947" s="256"/>
      <c r="AX947" s="508"/>
      <c r="AY947" s="509"/>
      <c r="AZ947" s="509"/>
      <c r="BA947" s="509"/>
      <c r="BB947" s="510"/>
      <c r="BC947" s="509"/>
      <c r="BD947" s="509"/>
      <c r="BE947" s="509"/>
      <c r="BF947" s="509"/>
      <c r="BG947" s="510"/>
      <c r="BH947" s="510"/>
      <c r="BI947" s="511"/>
      <c r="BJ947" s="511"/>
      <c r="BK947" s="511"/>
      <c r="BL947" s="510"/>
      <c r="BM947" s="510"/>
      <c r="BN947" s="510"/>
      <c r="BO947" s="510"/>
      <c r="BP947" s="510"/>
      <c r="BQ947" s="510"/>
      <c r="BR947" s="510"/>
      <c r="BS947" s="510"/>
      <c r="BT947" s="513"/>
      <c r="BU947" s="514"/>
      <c r="BV947" s="512"/>
      <c r="BW947" s="515"/>
    </row>
    <row r="948" spans="2:75" ht="15.75" customHeight="1">
      <c r="B948" s="250" t="s">
        <v>305</v>
      </c>
      <c r="C948" s="251">
        <v>12430199000177</v>
      </c>
      <c r="D948" s="252" t="s">
        <v>13</v>
      </c>
      <c r="E948" s="252" t="s">
        <v>616</v>
      </c>
      <c r="F948" s="252" t="s">
        <v>617</v>
      </c>
      <c r="G948" s="253" t="s">
        <v>34</v>
      </c>
      <c r="H948" s="253" t="s">
        <v>1337</v>
      </c>
      <c r="I948" s="253" t="s">
        <v>34</v>
      </c>
      <c r="J948" s="253"/>
      <c r="K948" s="254" t="s">
        <v>48</v>
      </c>
      <c r="L948" s="255"/>
      <c r="M948" s="255" t="s">
        <v>34</v>
      </c>
      <c r="N948" s="254">
        <v>257885</v>
      </c>
      <c r="O948" s="254" t="s">
        <v>1321</v>
      </c>
      <c r="P948" s="258">
        <v>40450</v>
      </c>
      <c r="Q948" s="259">
        <v>314171140.32999998</v>
      </c>
      <c r="R948" s="259">
        <v>392841891.96202391</v>
      </c>
      <c r="S948" s="254">
        <v>32</v>
      </c>
      <c r="T948" s="256">
        <v>0.13306562589614068</v>
      </c>
      <c r="U948" s="256">
        <v>1.7201653178903094</v>
      </c>
      <c r="V948" s="256">
        <v>0.14653165163135218</v>
      </c>
      <c r="W948" s="256">
        <v>1.4365001490423588</v>
      </c>
      <c r="X948" s="256">
        <v>0.21587165159811827</v>
      </c>
      <c r="Y948" s="256">
        <v>1.6369939494314678</v>
      </c>
      <c r="Z948" s="256">
        <v>0.26874163100287007</v>
      </c>
      <c r="AA948" s="256">
        <v>1.5276145535027097</v>
      </c>
      <c r="AB948" s="256">
        <v>4.7031209158405633E-2</v>
      </c>
      <c r="AC948" s="260">
        <v>0.86596772412371315</v>
      </c>
      <c r="AD948" s="405">
        <v>32812338000134</v>
      </c>
      <c r="AE948" s="257" t="s">
        <v>2331</v>
      </c>
      <c r="AF948" s="257" t="s">
        <v>2115</v>
      </c>
      <c r="AG948" s="261" t="s">
        <v>719</v>
      </c>
      <c r="AH948" s="261" t="s">
        <v>2113</v>
      </c>
      <c r="AI948" s="261">
        <v>50000</v>
      </c>
      <c r="AJ948" s="261">
        <v>10000</v>
      </c>
      <c r="AK948" s="261">
        <v>10000</v>
      </c>
      <c r="AL948" s="256">
        <v>0.02</v>
      </c>
      <c r="AM948" s="256">
        <v>0.2</v>
      </c>
      <c r="AN948" s="256" t="s">
        <v>64</v>
      </c>
      <c r="AO948" s="254" t="s">
        <v>1324</v>
      </c>
      <c r="AP948" s="257" t="s">
        <v>13</v>
      </c>
      <c r="AQ948" s="263" t="s">
        <v>674</v>
      </c>
      <c r="AR948" s="256">
        <v>4.7999999999999996E-3</v>
      </c>
      <c r="AS948" s="256">
        <v>4.7999999999999996E-3</v>
      </c>
      <c r="AT948" s="256"/>
      <c r="AX948" s="508"/>
      <c r="AY948" s="509"/>
      <c r="AZ948" s="509"/>
      <c r="BA948" s="509"/>
      <c r="BB948" s="510"/>
      <c r="BC948" s="509"/>
      <c r="BD948" s="509"/>
      <c r="BE948" s="509"/>
      <c r="BF948" s="509"/>
      <c r="BG948" s="510"/>
      <c r="BH948" s="510"/>
      <c r="BI948" s="511"/>
      <c r="BJ948" s="511"/>
      <c r="BK948" s="511"/>
      <c r="BL948" s="510"/>
      <c r="BM948" s="510"/>
      <c r="BN948" s="510"/>
      <c r="BO948" s="510"/>
      <c r="BP948" s="510"/>
      <c r="BQ948" s="510"/>
      <c r="BR948" s="510"/>
      <c r="BS948" s="510"/>
      <c r="BT948" s="513"/>
      <c r="BU948" s="514"/>
      <c r="BV948" s="512"/>
      <c r="BW948" s="515"/>
    </row>
    <row r="949" spans="2:75" ht="15.75" customHeight="1">
      <c r="B949" s="250" t="s">
        <v>1085</v>
      </c>
      <c r="C949" s="251">
        <v>30910057000199</v>
      </c>
      <c r="D949" s="252" t="s">
        <v>13</v>
      </c>
      <c r="E949" s="252" t="s">
        <v>616</v>
      </c>
      <c r="F949" s="252" t="s">
        <v>617</v>
      </c>
      <c r="G949" s="253" t="s">
        <v>34</v>
      </c>
      <c r="H949" s="253" t="s">
        <v>1338</v>
      </c>
      <c r="I949" s="253" t="s">
        <v>34</v>
      </c>
      <c r="J949" s="253" t="s">
        <v>608</v>
      </c>
      <c r="K949" s="254" t="s">
        <v>48</v>
      </c>
      <c r="L949" s="255"/>
      <c r="M949" s="255" t="s">
        <v>34</v>
      </c>
      <c r="N949" s="254">
        <v>474436</v>
      </c>
      <c r="O949" s="254" t="s">
        <v>1321</v>
      </c>
      <c r="P949" s="258">
        <v>43343</v>
      </c>
      <c r="Q949" s="259">
        <v>13416814.09</v>
      </c>
      <c r="R949" s="259">
        <v>14358504.868849201</v>
      </c>
      <c r="S949" s="254">
        <v>32</v>
      </c>
      <c r="T949" s="256">
        <v>4.2335376864426344E-2</v>
      </c>
      <c r="U949" s="256">
        <v>0.54727767980321129</v>
      </c>
      <c r="V949" s="256">
        <v>1.1707487566160912E-2</v>
      </c>
      <c r="W949" s="256">
        <v>0.11477252488774475</v>
      </c>
      <c r="X949" s="256">
        <v>1.5627020525031732E-2</v>
      </c>
      <c r="Y949" s="256">
        <v>0.11850253545445749</v>
      </c>
      <c r="Z949" s="256">
        <v>-3.851204029737354E-2</v>
      </c>
      <c r="AA949" s="256">
        <v>-0.21891492220169764</v>
      </c>
      <c r="AB949" s="256">
        <v>0.19898430467450295</v>
      </c>
      <c r="AC949" s="260">
        <v>-0.33057906327837472</v>
      </c>
      <c r="AD949" s="405">
        <v>0</v>
      </c>
      <c r="AE949" s="257" t="s">
        <v>2332</v>
      </c>
      <c r="AF949" s="257" t="s">
        <v>2109</v>
      </c>
      <c r="AG949" s="261" t="s">
        <v>1432</v>
      </c>
      <c r="AH949" s="261" t="s">
        <v>2113</v>
      </c>
      <c r="AI949" s="261">
        <v>1000</v>
      </c>
      <c r="AJ949" s="261">
        <v>1000</v>
      </c>
      <c r="AK949" s="261">
        <v>100</v>
      </c>
      <c r="AL949" s="256">
        <v>0.02</v>
      </c>
      <c r="AM949" s="256">
        <v>0.2</v>
      </c>
      <c r="AN949" s="256" t="s">
        <v>64</v>
      </c>
      <c r="AO949" s="254" t="s">
        <v>1324</v>
      </c>
      <c r="AP949" s="257" t="s">
        <v>13</v>
      </c>
      <c r="AQ949" s="263" t="s">
        <v>674</v>
      </c>
      <c r="AR949" s="256">
        <v>5.3333333333333332E-3</v>
      </c>
      <c r="AS949" s="256">
        <v>5.3333333333333332E-3</v>
      </c>
      <c r="AT949" s="256"/>
      <c r="AX949" s="508"/>
      <c r="AY949" s="509"/>
      <c r="AZ949" s="509"/>
      <c r="BA949" s="509"/>
      <c r="BB949" s="510"/>
      <c r="BC949" s="509"/>
      <c r="BD949" s="509"/>
      <c r="BE949" s="509"/>
      <c r="BF949" s="509"/>
      <c r="BG949" s="510"/>
      <c r="BH949" s="510"/>
      <c r="BI949" s="511"/>
      <c r="BJ949" s="511"/>
      <c r="BK949" s="511"/>
      <c r="BL949" s="510"/>
      <c r="BM949" s="510"/>
      <c r="BN949" s="510"/>
      <c r="BO949" s="510"/>
      <c r="BP949" s="510"/>
      <c r="BQ949" s="510"/>
      <c r="BR949" s="510"/>
      <c r="BS949" s="510"/>
      <c r="BT949" s="513"/>
      <c r="BU949" s="514"/>
      <c r="BV949" s="512"/>
      <c r="BW949" s="515"/>
    </row>
    <row r="950" spans="2:75" ht="15.75" customHeight="1">
      <c r="B950" s="250" t="s">
        <v>1101</v>
      </c>
      <c r="C950" s="251">
        <v>17164789000119</v>
      </c>
      <c r="D950" s="252" t="s">
        <v>13</v>
      </c>
      <c r="E950" s="252" t="s">
        <v>616</v>
      </c>
      <c r="F950" s="252" t="s">
        <v>617</v>
      </c>
      <c r="G950" s="253" t="s">
        <v>34</v>
      </c>
      <c r="H950" s="253" t="s">
        <v>1337</v>
      </c>
      <c r="I950" s="253" t="s">
        <v>34</v>
      </c>
      <c r="J950" s="253" t="s">
        <v>608</v>
      </c>
      <c r="K950" s="254" t="s">
        <v>48</v>
      </c>
      <c r="L950" s="255"/>
      <c r="M950" s="255" t="s">
        <v>34</v>
      </c>
      <c r="N950" s="254">
        <v>333077</v>
      </c>
      <c r="O950" s="254" t="s">
        <v>1324</v>
      </c>
      <c r="P950" s="258">
        <v>41262</v>
      </c>
      <c r="Q950" s="259">
        <v>127614677.31999999</v>
      </c>
      <c r="R950" s="259">
        <v>215308425.17948407</v>
      </c>
      <c r="S950" s="254">
        <v>32</v>
      </c>
      <c r="T950" s="256">
        <v>2.0686364271326196E-2</v>
      </c>
      <c r="U950" s="256">
        <v>0.26741666852831153</v>
      </c>
      <c r="V950" s="256">
        <v>-2.398163005176035E-3</v>
      </c>
      <c r="W950" s="256">
        <v>-2.3510016273004017E-2</v>
      </c>
      <c r="X950" s="256">
        <v>-8.2937798726557821E-3</v>
      </c>
      <c r="Y950" s="256">
        <v>-6.2893239426961206E-2</v>
      </c>
      <c r="Z950" s="256">
        <v>7.3645033133563187E-2</v>
      </c>
      <c r="AA950" s="256">
        <v>0.41862224318650093</v>
      </c>
      <c r="AB950" s="256">
        <v>4.4340809640583921E-2</v>
      </c>
      <c r="AC950" s="260">
        <v>-2.2230758802736608</v>
      </c>
      <c r="AD950" s="405">
        <v>17102710000125</v>
      </c>
      <c r="AE950" s="257" t="s">
        <v>2344</v>
      </c>
      <c r="AF950" s="257" t="s">
        <v>2118</v>
      </c>
      <c r="AG950" s="261" t="s">
        <v>1433</v>
      </c>
      <c r="AH950" s="261" t="s">
        <v>2113</v>
      </c>
      <c r="AI950" s="261">
        <v>5000</v>
      </c>
      <c r="AJ950" s="261">
        <v>0</v>
      </c>
      <c r="AK950" s="261">
        <v>0</v>
      </c>
      <c r="AL950" s="256">
        <v>0.02</v>
      </c>
      <c r="AM950" s="256">
        <v>0.2</v>
      </c>
      <c r="AN950" s="256" t="s">
        <v>2127</v>
      </c>
      <c r="AO950" s="254" t="s">
        <v>1324</v>
      </c>
      <c r="AP950" s="257" t="s">
        <v>13</v>
      </c>
      <c r="AQ950" s="263" t="s">
        <v>674</v>
      </c>
      <c r="AR950" s="256">
        <v>4.6666666666666662E-3</v>
      </c>
      <c r="AS950" s="256">
        <v>4.6666666666666662E-3</v>
      </c>
      <c r="AT950" s="256"/>
      <c r="AX950" s="508"/>
      <c r="AY950" s="509"/>
      <c r="AZ950" s="509"/>
      <c r="BA950" s="509"/>
      <c r="BB950" s="510"/>
      <c r="BC950" s="509"/>
      <c r="BD950" s="509"/>
      <c r="BE950" s="509"/>
      <c r="BF950" s="509"/>
      <c r="BG950" s="510"/>
      <c r="BH950" s="510"/>
      <c r="BI950" s="511"/>
      <c r="BJ950" s="511"/>
      <c r="BK950" s="511"/>
      <c r="BL950" s="510"/>
      <c r="BM950" s="510"/>
      <c r="BN950" s="510"/>
      <c r="BO950" s="510"/>
      <c r="BP950" s="510"/>
      <c r="BQ950" s="510"/>
      <c r="BR950" s="510"/>
      <c r="BS950" s="510"/>
      <c r="BT950" s="513"/>
      <c r="BU950" s="514"/>
      <c r="BV950" s="512"/>
      <c r="BW950" s="515"/>
    </row>
    <row r="951" spans="2:75" ht="15.75" customHeight="1">
      <c r="B951" s="250" t="s">
        <v>1133</v>
      </c>
      <c r="C951" s="251">
        <v>7013315000112</v>
      </c>
      <c r="D951" s="252" t="s">
        <v>13</v>
      </c>
      <c r="E951" s="252" t="s">
        <v>616</v>
      </c>
      <c r="F951" s="252" t="s">
        <v>617</v>
      </c>
      <c r="G951" s="253" t="s">
        <v>34</v>
      </c>
      <c r="H951" s="253" t="s">
        <v>1338</v>
      </c>
      <c r="I951" s="253" t="s">
        <v>34</v>
      </c>
      <c r="J951" s="253" t="s">
        <v>608</v>
      </c>
      <c r="K951" s="254" t="s">
        <v>48</v>
      </c>
      <c r="L951" s="255"/>
      <c r="M951" s="255" t="s">
        <v>34</v>
      </c>
      <c r="N951" s="254">
        <v>132691</v>
      </c>
      <c r="O951" s="254" t="s">
        <v>1321</v>
      </c>
      <c r="P951" s="258">
        <v>38265</v>
      </c>
      <c r="Q951" s="259">
        <v>130083123.97</v>
      </c>
      <c r="R951" s="259">
        <v>164252894.8369841</v>
      </c>
      <c r="S951" s="254">
        <v>32</v>
      </c>
      <c r="T951" s="256">
        <v>1.3306461757263577E-2</v>
      </c>
      <c r="U951" s="256">
        <v>0.17201522830955551</v>
      </c>
      <c r="V951" s="256">
        <v>-1.3699901945249726E-2</v>
      </c>
      <c r="W951" s="256">
        <v>-0.13430484790909286</v>
      </c>
      <c r="X951" s="256">
        <v>2.1045557003941839E-2</v>
      </c>
      <c r="Y951" s="256">
        <v>0.15959228190834923</v>
      </c>
      <c r="Z951" s="256">
        <v>0.19567521799044285</v>
      </c>
      <c r="AA951" s="256">
        <v>1.1122813746665972</v>
      </c>
      <c r="AB951" s="256">
        <v>0.14801507337626596</v>
      </c>
      <c r="AC951" s="260">
        <v>-0.67583982825512001</v>
      </c>
      <c r="AD951" s="405">
        <v>17373839000178</v>
      </c>
      <c r="AE951" s="257" t="s">
        <v>2365</v>
      </c>
      <c r="AF951" s="257" t="s">
        <v>2118</v>
      </c>
      <c r="AG951" s="261" t="s">
        <v>1433</v>
      </c>
      <c r="AH951" s="261" t="s">
        <v>2113</v>
      </c>
      <c r="AI951" s="261">
        <v>5000</v>
      </c>
      <c r="AJ951" s="261">
        <v>5000</v>
      </c>
      <c r="AK951" s="261">
        <v>5000</v>
      </c>
      <c r="AL951" s="256">
        <v>1.8000000000000002E-2</v>
      </c>
      <c r="AM951" s="256">
        <v>0.2</v>
      </c>
      <c r="AN951" s="256" t="s">
        <v>64</v>
      </c>
      <c r="AO951" s="254" t="s">
        <v>1324</v>
      </c>
      <c r="AP951" s="257" t="s">
        <v>13</v>
      </c>
      <c r="AQ951" s="263" t="s">
        <v>674</v>
      </c>
      <c r="AR951" s="256">
        <v>4.7999999999999996E-3</v>
      </c>
      <c r="AS951" s="256">
        <v>4.7999999999999996E-3</v>
      </c>
      <c r="AT951" s="256"/>
      <c r="AW951" s="508"/>
      <c r="AX951" s="508"/>
      <c r="AY951" s="509"/>
      <c r="AZ951" s="509"/>
      <c r="BA951" s="509"/>
      <c r="BB951" s="510"/>
      <c r="BC951" s="509"/>
      <c r="BD951" s="509"/>
      <c r="BE951" s="509"/>
      <c r="BF951" s="509"/>
      <c r="BG951" s="510"/>
      <c r="BH951" s="510"/>
      <c r="BI951" s="511"/>
      <c r="BJ951" s="511"/>
      <c r="BK951" s="511"/>
      <c r="BL951" s="195"/>
      <c r="BM951" s="510"/>
      <c r="BN951" s="510"/>
      <c r="BO951" s="510"/>
      <c r="BP951" s="510"/>
      <c r="BQ951" s="510"/>
      <c r="BR951" s="510"/>
      <c r="BS951" s="510"/>
      <c r="BT951" s="513"/>
      <c r="BU951" s="514"/>
      <c r="BV951" s="512"/>
      <c r="BW951" s="515"/>
    </row>
    <row r="952" spans="2:75" ht="15.75" customHeight="1">
      <c r="B952" s="250" t="s">
        <v>412</v>
      </c>
      <c r="C952" s="251">
        <v>26262377000102</v>
      </c>
      <c r="D952" s="252" t="s">
        <v>13</v>
      </c>
      <c r="E952" s="252" t="s">
        <v>616</v>
      </c>
      <c r="F952" s="252" t="s">
        <v>617</v>
      </c>
      <c r="G952" s="253" t="s">
        <v>34</v>
      </c>
      <c r="H952" s="253" t="s">
        <v>1338</v>
      </c>
      <c r="I952" s="253" t="s">
        <v>34</v>
      </c>
      <c r="J952" s="253" t="s">
        <v>608</v>
      </c>
      <c r="K952" s="254" t="s">
        <v>48</v>
      </c>
      <c r="L952" s="255"/>
      <c r="M952" s="255" t="s">
        <v>34</v>
      </c>
      <c r="N952" s="254">
        <v>441309</v>
      </c>
      <c r="O952" s="254" t="s">
        <v>1324</v>
      </c>
      <c r="P952" s="258">
        <v>42888</v>
      </c>
      <c r="Q952" s="259">
        <v>96151258.909999996</v>
      </c>
      <c r="R952" s="259">
        <v>160958872.04813495</v>
      </c>
      <c r="S952" s="254">
        <v>32</v>
      </c>
      <c r="T952" s="256">
        <v>6.6153363436816104E-2</v>
      </c>
      <c r="U952" s="256">
        <v>0.85517744105169635</v>
      </c>
      <c r="V952" s="256">
        <v>-3.8196601969939237E-2</v>
      </c>
      <c r="W952" s="256">
        <v>-0.37445441863148565</v>
      </c>
      <c r="X952" s="256">
        <v>-4.7316353515811649E-3</v>
      </c>
      <c r="Y952" s="256">
        <v>-3.5880850422519865E-2</v>
      </c>
      <c r="Z952" s="256">
        <v>0.14864583797715336</v>
      </c>
      <c r="AA952" s="256">
        <v>0.84495113229807028</v>
      </c>
      <c r="AB952" s="256">
        <v>8.295756510399091E-2</v>
      </c>
      <c r="AC952" s="260">
        <v>-1.5991798487535664</v>
      </c>
      <c r="AD952" s="405">
        <v>26855094000174</v>
      </c>
      <c r="AE952" s="257" t="s">
        <v>2418</v>
      </c>
      <c r="AF952" s="257" t="s">
        <v>2112</v>
      </c>
      <c r="AG952" s="261" t="s">
        <v>59</v>
      </c>
      <c r="AH952" s="261" t="s">
        <v>2113</v>
      </c>
      <c r="AI952" s="261">
        <v>5000</v>
      </c>
      <c r="AJ952" s="261">
        <v>1000</v>
      </c>
      <c r="AK952" s="261">
        <v>5000</v>
      </c>
      <c r="AL952" s="256">
        <v>1.9E-2</v>
      </c>
      <c r="AM952" s="256">
        <v>0.2</v>
      </c>
      <c r="AN952" s="256" t="s">
        <v>64</v>
      </c>
      <c r="AO952" s="254" t="s">
        <v>1324</v>
      </c>
      <c r="AP952" s="257" t="s">
        <v>13</v>
      </c>
      <c r="AQ952" s="263" t="s">
        <v>674</v>
      </c>
      <c r="AR952" s="256">
        <v>3.8E-3</v>
      </c>
      <c r="AS952" s="256">
        <v>3.8E-3</v>
      </c>
      <c r="AT952" s="256"/>
      <c r="AW952" s="508"/>
      <c r="AX952" s="508"/>
      <c r="AY952" s="509"/>
      <c r="AZ952" s="509"/>
      <c r="BA952" s="509"/>
      <c r="BB952" s="510"/>
      <c r="BC952" s="509"/>
      <c r="BD952" s="509"/>
      <c r="BE952" s="509"/>
      <c r="BF952" s="509"/>
      <c r="BG952" s="510"/>
      <c r="BH952" s="510"/>
      <c r="BI952" s="511"/>
      <c r="BJ952" s="511"/>
      <c r="BK952" s="511"/>
      <c r="BL952" s="195"/>
      <c r="BM952" s="510"/>
      <c r="BN952" s="510"/>
      <c r="BO952" s="510"/>
      <c r="BP952" s="510"/>
      <c r="BQ952" s="510"/>
      <c r="BR952" s="510"/>
      <c r="BS952" s="510"/>
      <c r="BT952" s="513"/>
      <c r="BU952" s="514"/>
      <c r="BV952" s="512"/>
      <c r="BW952" s="515"/>
    </row>
    <row r="953" spans="2:75" ht="15.75" customHeight="1">
      <c r="B953" s="250" t="s">
        <v>725</v>
      </c>
      <c r="C953" s="251">
        <v>5892566000199</v>
      </c>
      <c r="D953" s="252" t="s">
        <v>13</v>
      </c>
      <c r="E953" s="252" t="s">
        <v>615</v>
      </c>
      <c r="F953" s="252" t="s">
        <v>619</v>
      </c>
      <c r="G953" s="253" t="s">
        <v>34</v>
      </c>
      <c r="H953" s="253" t="s">
        <v>865</v>
      </c>
      <c r="I953" s="253" t="s">
        <v>34</v>
      </c>
      <c r="J953" s="253"/>
      <c r="K953" s="254" t="s">
        <v>48</v>
      </c>
      <c r="L953" s="255"/>
      <c r="M953" s="255" t="s">
        <v>1414</v>
      </c>
      <c r="N953" s="254">
        <v>125466</v>
      </c>
      <c r="O953" s="254" t="s">
        <v>1321</v>
      </c>
      <c r="P953" s="258">
        <v>38037</v>
      </c>
      <c r="Q953" s="259">
        <v>80096313.579999998</v>
      </c>
      <c r="R953" s="259">
        <v>155149269.76468247</v>
      </c>
      <c r="S953" s="254">
        <v>32</v>
      </c>
      <c r="T953" s="256">
        <v>4.890663504461612E-2</v>
      </c>
      <c r="U953" s="256">
        <v>0.63222561688568579</v>
      </c>
      <c r="V953" s="256">
        <v>1.9131246781978195E-2</v>
      </c>
      <c r="W953" s="256">
        <v>0.1875501882884511</v>
      </c>
      <c r="X953" s="256">
        <v>5.8428509181801314E-2</v>
      </c>
      <c r="Y953" s="256">
        <v>0.44307399928070712</v>
      </c>
      <c r="Z953" s="256">
        <v>0.1120852533697827</v>
      </c>
      <c r="AA953" s="256">
        <v>0.63712891687737827</v>
      </c>
      <c r="AB953" s="256">
        <v>5.7738192384884493E-2</v>
      </c>
      <c r="AC953" s="260">
        <v>-1.3256437879272878</v>
      </c>
      <c r="AD953" s="405">
        <v>0</v>
      </c>
      <c r="AE953" s="257" t="s">
        <v>2123</v>
      </c>
      <c r="AF953" s="257" t="s">
        <v>2109</v>
      </c>
      <c r="AG953" s="261" t="s">
        <v>1432</v>
      </c>
      <c r="AH953" s="261" t="s">
        <v>2113</v>
      </c>
      <c r="AI953" s="261">
        <v>0</v>
      </c>
      <c r="AJ953" s="261">
        <v>0</v>
      </c>
      <c r="AK953" s="261">
        <v>0</v>
      </c>
      <c r="AL953" s="519">
        <v>3.4999999999999996E-3</v>
      </c>
      <c r="AM953" s="519">
        <v>0.1</v>
      </c>
      <c r="AN953" s="256" t="s">
        <v>34</v>
      </c>
      <c r="AO953" s="254" t="s">
        <v>1324</v>
      </c>
      <c r="AP953" s="257" t="s">
        <v>13</v>
      </c>
      <c r="AQ953" s="263" t="s">
        <v>668</v>
      </c>
      <c r="AR953" s="256">
        <v>2.8000000000000004E-3</v>
      </c>
      <c r="AS953" s="256">
        <v>2.8000000000000004E-3</v>
      </c>
      <c r="AT953" s="256"/>
      <c r="AW953" s="508"/>
      <c r="AX953" s="508"/>
      <c r="AY953" s="509"/>
      <c r="AZ953" s="509"/>
      <c r="BA953" s="509"/>
      <c r="BB953" s="510"/>
      <c r="BC953" s="509"/>
      <c r="BD953" s="509"/>
      <c r="BE953" s="509"/>
      <c r="BF953" s="509"/>
      <c r="BG953" s="510"/>
      <c r="BH953" s="510"/>
      <c r="BI953" s="511"/>
      <c r="BJ953" s="511"/>
      <c r="BK953" s="511"/>
      <c r="BL953" s="195"/>
      <c r="BM953" s="510"/>
      <c r="BN953" s="510"/>
      <c r="BO953" s="510"/>
      <c r="BP953" s="510"/>
      <c r="BQ953" s="510"/>
      <c r="BR953" s="510"/>
      <c r="BS953" s="510"/>
      <c r="BT953" s="513"/>
      <c r="BU953" s="514"/>
      <c r="BV953" s="512"/>
      <c r="BW953" s="515"/>
    </row>
    <row r="954" spans="2:75" ht="15.75" customHeight="1">
      <c r="B954" s="250" t="s">
        <v>748</v>
      </c>
      <c r="C954" s="251">
        <v>39506707000100</v>
      </c>
      <c r="D954" s="252" t="s">
        <v>13</v>
      </c>
      <c r="E954" s="252" t="s">
        <v>615</v>
      </c>
      <c r="F954" s="252" t="s">
        <v>619</v>
      </c>
      <c r="G954" s="253" t="s">
        <v>34</v>
      </c>
      <c r="H954" s="253" t="s">
        <v>1338</v>
      </c>
      <c r="I954" s="253" t="s">
        <v>34</v>
      </c>
      <c r="J954" s="253"/>
      <c r="K954" s="254" t="s">
        <v>48</v>
      </c>
      <c r="L954" s="255"/>
      <c r="M954" s="255" t="s">
        <v>34</v>
      </c>
      <c r="N954" s="254">
        <v>615307</v>
      </c>
      <c r="O954" s="254" t="s">
        <v>1321</v>
      </c>
      <c r="P954" s="258">
        <v>44469</v>
      </c>
      <c r="Q954" s="259">
        <v>400154466.10000002</v>
      </c>
      <c r="R954" s="259" t="s">
        <v>1417</v>
      </c>
      <c r="S954" s="254">
        <v>32</v>
      </c>
      <c r="T954" s="256">
        <v>0.16433491473379847</v>
      </c>
      <c r="U954" s="256">
        <v>2.1243895178772836</v>
      </c>
      <c r="V954" s="256" t="s">
        <v>1417</v>
      </c>
      <c r="W954" s="256" t="s">
        <v>1417</v>
      </c>
      <c r="X954" s="256" t="s">
        <v>1417</v>
      </c>
      <c r="Y954" s="256" t="s">
        <v>1417</v>
      </c>
      <c r="Z954" s="256" t="s">
        <v>1417</v>
      </c>
      <c r="AA954" s="256" t="s">
        <v>1417</v>
      </c>
      <c r="AB954" s="256" t="s">
        <v>1417</v>
      </c>
      <c r="AC954" s="260" t="s">
        <v>1417</v>
      </c>
      <c r="AD954" s="405">
        <v>39506634000156</v>
      </c>
      <c r="AE954" s="257" t="s">
        <v>2139</v>
      </c>
      <c r="AF954" s="257" t="s">
        <v>736</v>
      </c>
      <c r="AG954" s="261" t="s">
        <v>736</v>
      </c>
      <c r="AH954" s="261" t="s">
        <v>2110</v>
      </c>
      <c r="AI954" s="261">
        <v>5000</v>
      </c>
      <c r="AJ954" s="261" t="s">
        <v>1427</v>
      </c>
      <c r="AK954" s="261" t="s">
        <v>1427</v>
      </c>
      <c r="AL954" s="519">
        <v>1.9E-2</v>
      </c>
      <c r="AM954" s="519">
        <v>0.2</v>
      </c>
      <c r="AN954" s="256" t="s">
        <v>64</v>
      </c>
      <c r="AO954" s="254" t="s">
        <v>1324</v>
      </c>
      <c r="AP954" s="257" t="s">
        <v>13</v>
      </c>
      <c r="AQ954" s="263" t="s">
        <v>668</v>
      </c>
      <c r="AR954" s="256">
        <v>5.0666666666666664E-3</v>
      </c>
      <c r="AS954" s="256">
        <v>5.0666666666666664E-3</v>
      </c>
      <c r="AT954" s="256"/>
      <c r="AX954" s="508"/>
      <c r="AY954" s="509"/>
      <c r="AZ954" s="509"/>
      <c r="BA954" s="509"/>
      <c r="BB954" s="510"/>
      <c r="BC954" s="509"/>
      <c r="BD954" s="509"/>
      <c r="BE954" s="509"/>
      <c r="BF954" s="509"/>
      <c r="BG954" s="510"/>
      <c r="BH954" s="510"/>
      <c r="BI954" s="511"/>
      <c r="BJ954" s="511"/>
      <c r="BK954" s="511"/>
      <c r="BL954" s="510"/>
      <c r="BM954" s="510"/>
      <c r="BN954" s="510"/>
      <c r="BO954" s="510"/>
      <c r="BP954" s="510"/>
      <c r="BQ954" s="510"/>
      <c r="BR954" s="510"/>
      <c r="BS954" s="510"/>
      <c r="BT954" s="513"/>
      <c r="BU954" s="514"/>
      <c r="BV954" s="512"/>
      <c r="BW954" s="515"/>
    </row>
    <row r="955" spans="2:75" ht="15.75" customHeight="1">
      <c r="B955" s="250" t="s">
        <v>115</v>
      </c>
      <c r="C955" s="251">
        <v>39281106000146</v>
      </c>
      <c r="D955" s="252" t="s">
        <v>13</v>
      </c>
      <c r="E955" s="252" t="s">
        <v>615</v>
      </c>
      <c r="F955" s="252" t="s">
        <v>619</v>
      </c>
      <c r="G955" s="253" t="s">
        <v>34</v>
      </c>
      <c r="H955" s="253" t="s">
        <v>1338</v>
      </c>
      <c r="I955" s="253" t="s">
        <v>34</v>
      </c>
      <c r="J955" s="253"/>
      <c r="K955" s="254" t="s">
        <v>48</v>
      </c>
      <c r="L955" s="255"/>
      <c r="M955" s="255" t="s">
        <v>1414</v>
      </c>
      <c r="N955" s="254">
        <v>566241</v>
      </c>
      <c r="O955" s="254" t="s">
        <v>1321</v>
      </c>
      <c r="P955" s="258">
        <v>44182</v>
      </c>
      <c r="Q955" s="259">
        <v>37231086.640000001</v>
      </c>
      <c r="R955" s="259">
        <v>43160398.841190465</v>
      </c>
      <c r="S955" s="254">
        <v>32</v>
      </c>
      <c r="T955" s="256">
        <v>0.11734373392363229</v>
      </c>
      <c r="U955" s="256">
        <v>1.5169253517413102</v>
      </c>
      <c r="V955" s="256">
        <v>0.13207463613099213</v>
      </c>
      <c r="W955" s="256">
        <v>1.2947730567058697</v>
      </c>
      <c r="X955" s="256" t="s">
        <v>1417</v>
      </c>
      <c r="Y955" s="256" t="s">
        <v>1417</v>
      </c>
      <c r="Z955" s="256" t="s">
        <v>1417</v>
      </c>
      <c r="AA955" s="256" t="s">
        <v>1417</v>
      </c>
      <c r="AB955" s="256">
        <v>7.7937119011049494E-2</v>
      </c>
      <c r="AC955" s="260">
        <v>0.38433297203432842</v>
      </c>
      <c r="AD955" s="405">
        <v>0</v>
      </c>
      <c r="AE955" s="257" t="s">
        <v>2165</v>
      </c>
      <c r="AF955" s="257" t="s">
        <v>741</v>
      </c>
      <c r="AG955" s="261" t="s">
        <v>741</v>
      </c>
      <c r="AH955" s="261" t="s">
        <v>2113</v>
      </c>
      <c r="AI955" s="261">
        <v>0</v>
      </c>
      <c r="AJ955" s="261">
        <v>0</v>
      </c>
      <c r="AK955" s="261">
        <v>0</v>
      </c>
      <c r="AL955" s="256">
        <v>8.6999999999999994E-3</v>
      </c>
      <c r="AM955" s="256" t="s">
        <v>34</v>
      </c>
      <c r="AN955" s="256" t="s">
        <v>34</v>
      </c>
      <c r="AO955" s="254" t="s">
        <v>1324</v>
      </c>
      <c r="AP955" s="257" t="s">
        <v>13</v>
      </c>
      <c r="AQ955" s="263" t="s">
        <v>668</v>
      </c>
      <c r="AR955" s="256" t="s">
        <v>34</v>
      </c>
      <c r="AS955" s="256" t="s">
        <v>34</v>
      </c>
      <c r="AT955" s="256"/>
      <c r="AX955" s="508"/>
      <c r="AY955" s="509"/>
      <c r="AZ955" s="509"/>
      <c r="BA955" s="509"/>
      <c r="BB955" s="510"/>
      <c r="BC955" s="509"/>
      <c r="BD955" s="509"/>
      <c r="BE955" s="509"/>
      <c r="BF955" s="509"/>
      <c r="BG955" s="510"/>
      <c r="BH955" s="510"/>
      <c r="BI955" s="511"/>
      <c r="BJ955" s="511"/>
      <c r="BK955" s="511"/>
      <c r="BL955" s="510"/>
      <c r="BM955" s="510"/>
      <c r="BN955" s="510"/>
      <c r="BO955" s="510"/>
      <c r="BP955" s="510"/>
      <c r="BQ955" s="510"/>
      <c r="BR955" s="510"/>
      <c r="BS955" s="510"/>
      <c r="BT955" s="513"/>
      <c r="BU955" s="514"/>
      <c r="BV955" s="512"/>
      <c r="BW955" s="515"/>
    </row>
    <row r="956" spans="2:75" ht="15.75" customHeight="1">
      <c r="B956" s="250" t="s">
        <v>791</v>
      </c>
      <c r="C956" s="251">
        <v>24038672000154</v>
      </c>
      <c r="D956" s="252" t="s">
        <v>13</v>
      </c>
      <c r="E956" s="252" t="s">
        <v>615</v>
      </c>
      <c r="F956" s="252" t="s">
        <v>619</v>
      </c>
      <c r="G956" s="253" t="s">
        <v>34</v>
      </c>
      <c r="H956" s="253" t="s">
        <v>1337</v>
      </c>
      <c r="I956" s="253" t="s">
        <v>34</v>
      </c>
      <c r="J956" s="253"/>
      <c r="K956" s="254" t="s">
        <v>48</v>
      </c>
      <c r="L956" s="255"/>
      <c r="M956" s="255" t="s">
        <v>1414</v>
      </c>
      <c r="N956" s="254">
        <v>421162</v>
      </c>
      <c r="O956" s="254" t="s">
        <v>1321</v>
      </c>
      <c r="P956" s="258">
        <v>42550</v>
      </c>
      <c r="Q956" s="259">
        <v>22346600.550000001</v>
      </c>
      <c r="R956" s="259">
        <v>35582419.020476185</v>
      </c>
      <c r="S956" s="254">
        <v>32</v>
      </c>
      <c r="T956" s="256">
        <v>8.3438515099570898E-2</v>
      </c>
      <c r="U956" s="256">
        <v>1.0786259703356755</v>
      </c>
      <c r="V956" s="256">
        <v>7.9245641076147511E-2</v>
      </c>
      <c r="W956" s="256">
        <v>0.77687225899313161</v>
      </c>
      <c r="X956" s="256">
        <v>0.12234746609120606</v>
      </c>
      <c r="Y956" s="256">
        <v>0.92778306107758446</v>
      </c>
      <c r="Z956" s="256">
        <v>0.24272911651492879</v>
      </c>
      <c r="AA956" s="256">
        <v>1.3797509882013781</v>
      </c>
      <c r="AB956" s="256">
        <v>4.0906365264005796E-2</v>
      </c>
      <c r="AC956" s="260">
        <v>-0.49000928404972566</v>
      </c>
      <c r="AD956" s="405">
        <v>0</v>
      </c>
      <c r="AE956" s="257" t="s">
        <v>2167</v>
      </c>
      <c r="AF956" s="257" t="s">
        <v>2109</v>
      </c>
      <c r="AG956" s="261" t="s">
        <v>1432</v>
      </c>
      <c r="AH956" s="261" t="s">
        <v>2113</v>
      </c>
      <c r="AI956" s="261">
        <v>1000</v>
      </c>
      <c r="AJ956" s="261">
        <v>0</v>
      </c>
      <c r="AK956" s="261">
        <v>0</v>
      </c>
      <c r="AL956" s="256">
        <v>8.0000000000000002E-3</v>
      </c>
      <c r="AM956" s="256" t="s">
        <v>34</v>
      </c>
      <c r="AN956" s="256" t="s">
        <v>34</v>
      </c>
      <c r="AO956" s="254" t="s">
        <v>1324</v>
      </c>
      <c r="AP956" s="257" t="s">
        <v>13</v>
      </c>
      <c r="AQ956" s="263" t="s">
        <v>668</v>
      </c>
      <c r="AR956" s="256">
        <v>2.1333333333333334E-3</v>
      </c>
      <c r="AS956" s="256">
        <v>2.1333333333333334E-3</v>
      </c>
      <c r="AT956" s="256"/>
      <c r="AX956" s="508"/>
      <c r="AY956" s="509"/>
      <c r="AZ956" s="509"/>
      <c r="BA956" s="509"/>
      <c r="BB956" s="510"/>
      <c r="BC956" s="509"/>
      <c r="BD956" s="509"/>
      <c r="BE956" s="509"/>
      <c r="BF956" s="509"/>
      <c r="BG956" s="510"/>
      <c r="BH956" s="510"/>
      <c r="BI956" s="511"/>
      <c r="BJ956" s="511"/>
      <c r="BK956" s="511"/>
      <c r="BL956" s="510"/>
      <c r="BM956" s="510"/>
      <c r="BN956" s="510"/>
      <c r="BO956" s="510"/>
      <c r="BP956" s="510"/>
      <c r="BQ956" s="510"/>
      <c r="BR956" s="510"/>
      <c r="BS956" s="510"/>
      <c r="BT956" s="513"/>
      <c r="BU956" s="514"/>
      <c r="BV956" s="512"/>
      <c r="BW956" s="515"/>
    </row>
    <row r="957" spans="2:75" ht="15.75" customHeight="1">
      <c r="B957" s="250" t="s">
        <v>892</v>
      </c>
      <c r="C957" s="251">
        <v>5461732000100</v>
      </c>
      <c r="D957" s="252" t="s">
        <v>13</v>
      </c>
      <c r="E957" s="252" t="s">
        <v>615</v>
      </c>
      <c r="F957" s="252" t="s">
        <v>619</v>
      </c>
      <c r="G957" s="253" t="s">
        <v>34</v>
      </c>
      <c r="H957" s="253" t="s">
        <v>865</v>
      </c>
      <c r="I957" s="253" t="s">
        <v>34</v>
      </c>
      <c r="J957" s="253"/>
      <c r="K957" s="254" t="s">
        <v>48</v>
      </c>
      <c r="L957" s="255"/>
      <c r="M957" s="255" t="s">
        <v>1414</v>
      </c>
      <c r="N957" s="254">
        <v>125970</v>
      </c>
      <c r="O957" s="254" t="s">
        <v>1321</v>
      </c>
      <c r="P957" s="258">
        <v>37903</v>
      </c>
      <c r="Q957" s="259">
        <v>74940807.170000002</v>
      </c>
      <c r="R957" s="259">
        <v>102094524.2872619</v>
      </c>
      <c r="S957" s="254">
        <v>32</v>
      </c>
      <c r="T957" s="256">
        <v>5.3469312123658685E-2</v>
      </c>
      <c r="U957" s="256">
        <v>0.69120823403602316</v>
      </c>
      <c r="V957" s="256">
        <v>2.0711450351837746E-2</v>
      </c>
      <c r="W957" s="256">
        <v>0.20304146705552142</v>
      </c>
      <c r="X957" s="256">
        <v>6.9576272208385914E-2</v>
      </c>
      <c r="Y957" s="256">
        <v>0.52760951142005974</v>
      </c>
      <c r="Z957" s="256">
        <v>0.14515485421433794</v>
      </c>
      <c r="AA957" s="256">
        <v>0.82510724885426712</v>
      </c>
      <c r="AB957" s="256">
        <v>5.5060869402369095E-2</v>
      </c>
      <c r="AC957" s="260">
        <v>-1.364676315935391</v>
      </c>
      <c r="AD957" s="405">
        <v>0</v>
      </c>
      <c r="AE957" s="257" t="s">
        <v>2195</v>
      </c>
      <c r="AF957" s="257" t="s">
        <v>2195</v>
      </c>
      <c r="AG957" s="261" t="s">
        <v>719</v>
      </c>
      <c r="AH957" s="261" t="s">
        <v>2110</v>
      </c>
      <c r="AI957" s="261">
        <v>10000</v>
      </c>
      <c r="AJ957" s="261">
        <v>1000</v>
      </c>
      <c r="AK957" s="261">
        <v>1000</v>
      </c>
      <c r="AL957" s="256">
        <v>1.3000000000000001E-2</v>
      </c>
      <c r="AM957" s="256">
        <v>0.2</v>
      </c>
      <c r="AN957" s="256" t="s">
        <v>64</v>
      </c>
      <c r="AO957" s="254" t="s">
        <v>1324</v>
      </c>
      <c r="AP957" s="257" t="s">
        <v>13</v>
      </c>
      <c r="AQ957" s="263" t="s">
        <v>686</v>
      </c>
      <c r="AR957" s="256">
        <v>3.0333333333333328E-3</v>
      </c>
      <c r="AS957" s="256">
        <v>3.0333333333333328E-3</v>
      </c>
      <c r="AT957" s="256"/>
      <c r="AX957" s="508"/>
      <c r="AY957" s="509"/>
      <c r="AZ957" s="509"/>
      <c r="BA957" s="509"/>
      <c r="BB957" s="510"/>
      <c r="BC957" s="509"/>
      <c r="BD957" s="509"/>
      <c r="BE957" s="509"/>
      <c r="BF957" s="509"/>
      <c r="BG957" s="510"/>
      <c r="BH957" s="510"/>
      <c r="BI957" s="511"/>
      <c r="BJ957" s="511"/>
      <c r="BK957" s="511"/>
      <c r="BL957" s="510"/>
      <c r="BM957" s="510"/>
      <c r="BN957" s="510"/>
      <c r="BO957" s="510"/>
      <c r="BP957" s="510"/>
      <c r="BQ957" s="510"/>
      <c r="BR957" s="510"/>
      <c r="BS957" s="510"/>
      <c r="BT957" s="513"/>
      <c r="BU957" s="514"/>
      <c r="BV957" s="512"/>
      <c r="BW957" s="515"/>
    </row>
    <row r="958" spans="2:75" ht="15.75" customHeight="1">
      <c r="B958" s="250" t="s">
        <v>1578</v>
      </c>
      <c r="C958" s="251">
        <v>28069930000110</v>
      </c>
      <c r="D958" s="252" t="s">
        <v>13</v>
      </c>
      <c r="E958" s="252" t="s">
        <v>615</v>
      </c>
      <c r="F958" s="252" t="s">
        <v>619</v>
      </c>
      <c r="G958" s="253" t="s">
        <v>34</v>
      </c>
      <c r="H958" s="253" t="s">
        <v>1337</v>
      </c>
      <c r="I958" s="253" t="s">
        <v>34</v>
      </c>
      <c r="J958" s="253"/>
      <c r="K958" s="254" t="s">
        <v>48</v>
      </c>
      <c r="L958" s="255"/>
      <c r="M958" s="255"/>
      <c r="N958" s="254">
        <v>448842</v>
      </c>
      <c r="O958" s="254" t="s">
        <v>1321</v>
      </c>
      <c r="P958" s="258">
        <v>42997</v>
      </c>
      <c r="Q958" s="259">
        <v>778808534.53999996</v>
      </c>
      <c r="R958" s="259">
        <v>1126419846.6069441</v>
      </c>
      <c r="S958" s="254">
        <v>32</v>
      </c>
      <c r="T958" s="256">
        <v>7.6158558864280357E-2</v>
      </c>
      <c r="U958" s="256">
        <v>0.85662488407150306</v>
      </c>
      <c r="V958" s="256">
        <v>6.6868524701052756E-2</v>
      </c>
      <c r="W958" s="256">
        <v>0.61369982165523562</v>
      </c>
      <c r="X958" s="256">
        <v>0.1351344254304605</v>
      </c>
      <c r="Y958" s="256">
        <v>0.95023696204717356</v>
      </c>
      <c r="Z958" s="256">
        <v>0.19210414324153025</v>
      </c>
      <c r="AA958" s="256">
        <v>1.0497653256454165</v>
      </c>
      <c r="AB958" s="256">
        <v>4.5874662416110046E-2</v>
      </c>
      <c r="AC958" s="260">
        <v>-0.82093798676796459</v>
      </c>
      <c r="AD958" s="405">
        <v>26860879000135</v>
      </c>
      <c r="AE958" s="257" t="s">
        <v>1547</v>
      </c>
      <c r="AF958" s="257" t="s">
        <v>2121</v>
      </c>
      <c r="AG958" s="261" t="s">
        <v>59</v>
      </c>
      <c r="AH958" s="261" t="s">
        <v>726</v>
      </c>
      <c r="AI958" s="261">
        <v>50000</v>
      </c>
      <c r="AJ958" s="261">
        <v>50000</v>
      </c>
      <c r="AK958" s="261">
        <v>50000</v>
      </c>
      <c r="AL958" s="256">
        <v>0.01</v>
      </c>
      <c r="AM958" s="256">
        <v>0.1</v>
      </c>
      <c r="AN958" s="256" t="s">
        <v>64</v>
      </c>
      <c r="AO958" s="254" t="s">
        <v>1324</v>
      </c>
      <c r="AP958" s="257" t="s">
        <v>13</v>
      </c>
      <c r="AQ958" s="263" t="s">
        <v>679</v>
      </c>
      <c r="AR958" s="256" t="s">
        <v>34</v>
      </c>
      <c r="AS958" s="256" t="s">
        <v>34</v>
      </c>
      <c r="AT958" s="256"/>
      <c r="AX958" s="508"/>
      <c r="AY958" s="509"/>
      <c r="AZ958" s="509"/>
      <c r="BA958" s="509"/>
      <c r="BB958" s="510"/>
      <c r="BC958" s="509"/>
      <c r="BD958" s="509"/>
      <c r="BE958" s="509"/>
      <c r="BF958" s="509"/>
      <c r="BG958" s="510"/>
      <c r="BH958" s="510"/>
      <c r="BI958" s="511"/>
      <c r="BJ958" s="511"/>
      <c r="BK958" s="511"/>
      <c r="BL958" s="510"/>
      <c r="BM958" s="510"/>
      <c r="BN958" s="510"/>
      <c r="BO958" s="510"/>
      <c r="BP958" s="510"/>
      <c r="BQ958" s="510"/>
      <c r="BR958" s="510"/>
      <c r="BS958" s="510"/>
      <c r="BT958" s="513"/>
      <c r="BU958" s="514"/>
      <c r="BV958" s="512"/>
      <c r="BW958" s="515"/>
    </row>
    <row r="959" spans="2:75" ht="15.75" customHeight="1">
      <c r="B959" s="250" t="s">
        <v>943</v>
      </c>
      <c r="C959" s="251">
        <v>33160049000160</v>
      </c>
      <c r="D959" s="252" t="s">
        <v>13</v>
      </c>
      <c r="E959" s="252" t="s">
        <v>615</v>
      </c>
      <c r="F959" s="252" t="s">
        <v>619</v>
      </c>
      <c r="G959" s="253" t="s">
        <v>34</v>
      </c>
      <c r="H959" s="253" t="s">
        <v>1337</v>
      </c>
      <c r="I959" s="253" t="s">
        <v>34</v>
      </c>
      <c r="J959" s="253"/>
      <c r="K959" s="254" t="s">
        <v>48</v>
      </c>
      <c r="L959" s="255"/>
      <c r="M959" s="255" t="s">
        <v>34</v>
      </c>
      <c r="N959" s="254">
        <v>500712</v>
      </c>
      <c r="O959" s="254" t="s">
        <v>1321</v>
      </c>
      <c r="P959" s="258">
        <v>43647</v>
      </c>
      <c r="Q959" s="259">
        <v>52571412.93</v>
      </c>
      <c r="R959" s="259">
        <v>49113366.515912689</v>
      </c>
      <c r="S959" s="254">
        <v>32</v>
      </c>
      <c r="T959" s="256">
        <v>8.9066026916285734E-2</v>
      </c>
      <c r="U959" s="256">
        <v>1.1513739139758032</v>
      </c>
      <c r="V959" s="256">
        <v>0.11721660090599584</v>
      </c>
      <c r="W959" s="256">
        <v>1.1491146301641388</v>
      </c>
      <c r="X959" s="256">
        <v>0.13841210491109734</v>
      </c>
      <c r="Y959" s="256">
        <v>1.0496041355599421</v>
      </c>
      <c r="Z959" s="256">
        <v>0.17538631736663879</v>
      </c>
      <c r="AA959" s="256">
        <v>0.99695268609745513</v>
      </c>
      <c r="AB959" s="256">
        <v>2.2160080250435438E-2</v>
      </c>
      <c r="AC959" s="260">
        <v>0.62983672819106007</v>
      </c>
      <c r="AD959" s="405">
        <v>0</v>
      </c>
      <c r="AE959" s="257" t="s">
        <v>2248</v>
      </c>
      <c r="AF959" s="257" t="s">
        <v>2109</v>
      </c>
      <c r="AG959" s="261" t="s">
        <v>1432</v>
      </c>
      <c r="AH959" s="261" t="s">
        <v>2113</v>
      </c>
      <c r="AI959" s="261">
        <v>1000</v>
      </c>
      <c r="AJ959" s="261">
        <v>500</v>
      </c>
      <c r="AK959" s="261">
        <v>1000</v>
      </c>
      <c r="AL959" s="256">
        <v>1.47E-2</v>
      </c>
      <c r="AM959" s="256" t="s">
        <v>34</v>
      </c>
      <c r="AN959" s="256" t="s">
        <v>34</v>
      </c>
      <c r="AO959" s="254" t="s">
        <v>1324</v>
      </c>
      <c r="AP959" s="257" t="s">
        <v>13</v>
      </c>
      <c r="AQ959" s="263" t="s">
        <v>686</v>
      </c>
      <c r="AR959" s="256">
        <v>4.8999999999999998E-3</v>
      </c>
      <c r="AS959" s="256">
        <v>4.8999999999999998E-3</v>
      </c>
      <c r="AT959" s="256"/>
      <c r="AX959" s="508"/>
      <c r="AY959" s="509"/>
      <c r="AZ959" s="509"/>
      <c r="BA959" s="509"/>
      <c r="BB959" s="510"/>
      <c r="BC959" s="509"/>
      <c r="BD959" s="509"/>
      <c r="BE959" s="509"/>
      <c r="BF959" s="509"/>
      <c r="BG959" s="510"/>
      <c r="BH959" s="510"/>
      <c r="BI959" s="511"/>
      <c r="BJ959" s="511"/>
      <c r="BK959" s="511"/>
      <c r="BL959" s="510"/>
      <c r="BM959" s="510"/>
      <c r="BN959" s="510"/>
      <c r="BO959" s="510"/>
      <c r="BP959" s="510"/>
      <c r="BQ959" s="510"/>
      <c r="BR959" s="510"/>
      <c r="BS959" s="510"/>
      <c r="BT959" s="513"/>
      <c r="BU959" s="514"/>
      <c r="BV959" s="512"/>
      <c r="BW959" s="515"/>
    </row>
    <row r="960" spans="2:75" ht="15.75" customHeight="1">
      <c r="B960" s="250" t="s">
        <v>945</v>
      </c>
      <c r="C960" s="251">
        <v>38074871000122</v>
      </c>
      <c r="D960" s="252" t="s">
        <v>13</v>
      </c>
      <c r="E960" s="252" t="s">
        <v>616</v>
      </c>
      <c r="F960" s="252" t="s">
        <v>619</v>
      </c>
      <c r="G960" s="253" t="s">
        <v>34</v>
      </c>
      <c r="H960" s="253" t="s">
        <v>1337</v>
      </c>
      <c r="I960" s="253" t="s">
        <v>34</v>
      </c>
      <c r="J960" s="253" t="s">
        <v>611</v>
      </c>
      <c r="K960" s="254" t="s">
        <v>48</v>
      </c>
      <c r="L960" s="255"/>
      <c r="M960" s="255" t="s">
        <v>1414</v>
      </c>
      <c r="N960" s="254">
        <v>568651</v>
      </c>
      <c r="O960" s="254" t="s">
        <v>1321</v>
      </c>
      <c r="P960" s="258">
        <v>44188</v>
      </c>
      <c r="Q960" s="259">
        <v>11222343.470000001</v>
      </c>
      <c r="R960" s="259">
        <v>11143250.034563495</v>
      </c>
      <c r="S960" s="254">
        <v>32</v>
      </c>
      <c r="T960" s="256">
        <v>2.2322906338696935E-2</v>
      </c>
      <c r="U960" s="256">
        <v>0.2885725672557326</v>
      </c>
      <c r="V960" s="256">
        <v>1.9041133638801666E-2</v>
      </c>
      <c r="W960" s="256">
        <v>0.18666677817082392</v>
      </c>
      <c r="X960" s="256" t="s">
        <v>1417</v>
      </c>
      <c r="Y960" s="256" t="s">
        <v>1417</v>
      </c>
      <c r="Z960" s="256" t="s">
        <v>1417</v>
      </c>
      <c r="AA960" s="256" t="s">
        <v>1417</v>
      </c>
      <c r="AB960" s="256">
        <v>4.4027664002613966E-2</v>
      </c>
      <c r="AC960" s="260">
        <v>-1.7562719161869063</v>
      </c>
      <c r="AD960" s="405">
        <v>38051359000160</v>
      </c>
      <c r="AE960" s="257" t="s">
        <v>2178</v>
      </c>
      <c r="AF960" s="257" t="s">
        <v>741</v>
      </c>
      <c r="AG960" s="261" t="s">
        <v>741</v>
      </c>
      <c r="AH960" s="261" t="s">
        <v>2110</v>
      </c>
      <c r="AI960" s="261">
        <v>10000</v>
      </c>
      <c r="AJ960" s="261">
        <v>10000</v>
      </c>
      <c r="AK960" s="261">
        <v>10000</v>
      </c>
      <c r="AL960" s="256">
        <v>1.1000000000000001E-2</v>
      </c>
      <c r="AM960" s="256">
        <v>0.1</v>
      </c>
      <c r="AN960" s="256" t="s">
        <v>2122</v>
      </c>
      <c r="AO960" s="254" t="s">
        <v>1324</v>
      </c>
      <c r="AP960" s="257" t="s">
        <v>13</v>
      </c>
      <c r="AQ960" s="263" t="s">
        <v>679</v>
      </c>
      <c r="AR960" s="256">
        <v>2.5666666666666663E-3</v>
      </c>
      <c r="AS960" s="256">
        <v>2.5666666666666663E-3</v>
      </c>
      <c r="AT960" s="256"/>
      <c r="AW960" s="508"/>
      <c r="AX960" s="508"/>
      <c r="AY960" s="509"/>
      <c r="AZ960" s="509"/>
      <c r="BA960" s="509"/>
      <c r="BB960" s="510"/>
      <c r="BC960" s="509"/>
      <c r="BD960" s="509"/>
      <c r="BE960" s="509"/>
      <c r="BF960" s="509"/>
      <c r="BG960" s="510"/>
      <c r="BH960" s="510"/>
      <c r="BI960" s="511"/>
      <c r="BJ960" s="511"/>
      <c r="BK960" s="511"/>
      <c r="BL960" s="195"/>
      <c r="BM960" s="510"/>
      <c r="BN960" s="510"/>
      <c r="BO960" s="510"/>
      <c r="BP960" s="510"/>
      <c r="BQ960" s="510"/>
      <c r="BR960" s="510"/>
      <c r="BS960" s="510"/>
      <c r="BT960" s="513"/>
      <c r="BU960" s="514"/>
      <c r="BV960" s="512"/>
      <c r="BW960" s="515"/>
    </row>
    <row r="961" spans="2:75" ht="15.75" customHeight="1">
      <c r="B961" s="250" t="s">
        <v>946</v>
      </c>
      <c r="C961" s="251">
        <v>38074843000105</v>
      </c>
      <c r="D961" s="252" t="s">
        <v>13</v>
      </c>
      <c r="E961" s="252" t="s">
        <v>616</v>
      </c>
      <c r="F961" s="252" t="s">
        <v>619</v>
      </c>
      <c r="G961" s="253" t="s">
        <v>34</v>
      </c>
      <c r="H961" s="253" t="s">
        <v>1338</v>
      </c>
      <c r="I961" s="253" t="s">
        <v>34</v>
      </c>
      <c r="J961" s="253" t="s">
        <v>611</v>
      </c>
      <c r="K961" s="254" t="s">
        <v>49</v>
      </c>
      <c r="L961" s="255"/>
      <c r="M961" s="255" t="s">
        <v>1414</v>
      </c>
      <c r="N961" s="254">
        <v>568686</v>
      </c>
      <c r="O961" s="254" t="s">
        <v>1321</v>
      </c>
      <c r="P961" s="258">
        <v>44188</v>
      </c>
      <c r="Q961" s="259">
        <v>20132688</v>
      </c>
      <c r="R961" s="259">
        <v>21443329.176984128</v>
      </c>
      <c r="S961" s="254">
        <v>32</v>
      </c>
      <c r="T961" s="256">
        <v>-0.10554858942848411</v>
      </c>
      <c r="U961" s="256">
        <v>-1.3644472166600912</v>
      </c>
      <c r="V961" s="256">
        <v>-5.373394834548717E-2</v>
      </c>
      <c r="W961" s="256">
        <v>-0.52677236588529153</v>
      </c>
      <c r="X961" s="256" t="s">
        <v>1417</v>
      </c>
      <c r="Y961" s="256" t="s">
        <v>1417</v>
      </c>
      <c r="Z961" s="256" t="s">
        <v>1417</v>
      </c>
      <c r="AA961" s="256" t="s">
        <v>1417</v>
      </c>
      <c r="AB961" s="256">
        <v>0.1616564496796111</v>
      </c>
      <c r="AC961" s="260">
        <v>-0.86216460192133282</v>
      </c>
      <c r="AD961" s="405">
        <v>38051359000160</v>
      </c>
      <c r="AE961" s="257" t="s">
        <v>2178</v>
      </c>
      <c r="AF961" s="257" t="s">
        <v>741</v>
      </c>
      <c r="AG961" s="261" t="s">
        <v>741</v>
      </c>
      <c r="AH961" s="261" t="s">
        <v>2110</v>
      </c>
      <c r="AI961" s="261">
        <v>10000</v>
      </c>
      <c r="AJ961" s="261">
        <v>10000</v>
      </c>
      <c r="AK961" s="261">
        <v>10000</v>
      </c>
      <c r="AL961" s="256">
        <v>1.1000000000000001E-2</v>
      </c>
      <c r="AM961" s="256">
        <v>0.1</v>
      </c>
      <c r="AN961" s="256" t="s">
        <v>2122</v>
      </c>
      <c r="AO961" s="254" t="s">
        <v>1324</v>
      </c>
      <c r="AP961" s="257" t="s">
        <v>13</v>
      </c>
      <c r="AQ961" s="263" t="s">
        <v>679</v>
      </c>
      <c r="AR961" s="256" t="s">
        <v>34</v>
      </c>
      <c r="AS961" s="256" t="s">
        <v>34</v>
      </c>
      <c r="AT961" s="256"/>
      <c r="AW961" s="508"/>
      <c r="AX961" s="508"/>
      <c r="AY961" s="509"/>
      <c r="AZ961" s="509"/>
      <c r="BA961" s="509"/>
      <c r="BB961" s="510"/>
      <c r="BC961" s="509"/>
      <c r="BD961" s="509"/>
      <c r="BE961" s="509"/>
      <c r="BF961" s="509"/>
      <c r="BG961" s="510"/>
      <c r="BH961" s="510"/>
      <c r="BI961" s="511"/>
      <c r="BJ961" s="511"/>
      <c r="BK961" s="511"/>
      <c r="BL961" s="195"/>
      <c r="BM961" s="510"/>
      <c r="BN961" s="510"/>
      <c r="BO961" s="510"/>
      <c r="BP961" s="510"/>
      <c r="BQ961" s="510"/>
      <c r="BR961" s="510"/>
      <c r="BS961" s="510"/>
      <c r="BT961" s="513"/>
      <c r="BU961" s="514"/>
      <c r="BV961" s="512"/>
      <c r="BW961" s="515"/>
    </row>
    <row r="962" spans="2:75" ht="15.75" customHeight="1">
      <c r="B962" s="250" t="s">
        <v>1674</v>
      </c>
      <c r="C962" s="251">
        <v>27566566000131</v>
      </c>
      <c r="D962" s="252" t="s">
        <v>13</v>
      </c>
      <c r="E962" s="252" t="s">
        <v>615</v>
      </c>
      <c r="F962" s="252" t="s">
        <v>619</v>
      </c>
      <c r="G962" s="253" t="s">
        <v>34</v>
      </c>
      <c r="H962" s="253" t="s">
        <v>1337</v>
      </c>
      <c r="I962" s="253" t="s">
        <v>34</v>
      </c>
      <c r="J962" s="253"/>
      <c r="K962" s="254" t="s">
        <v>48</v>
      </c>
      <c r="L962" s="255"/>
      <c r="M962" s="255"/>
      <c r="N962" s="254">
        <v>442429</v>
      </c>
      <c r="O962" s="254" t="s">
        <v>1321</v>
      </c>
      <c r="P962" s="258">
        <v>42895</v>
      </c>
      <c r="Q962" s="259">
        <v>38573770.240000002</v>
      </c>
      <c r="R962" s="259">
        <v>45573078.224841259</v>
      </c>
      <c r="S962" s="254">
        <v>32</v>
      </c>
      <c r="T962" s="256">
        <v>0.13673396127052495</v>
      </c>
      <c r="U962" s="256">
        <v>1.5379717719020103</v>
      </c>
      <c r="V962" s="256">
        <v>0.12043841701711022</v>
      </c>
      <c r="W962" s="256">
        <v>1.105348673000943</v>
      </c>
      <c r="X962" s="256">
        <v>0.20032494030863024</v>
      </c>
      <c r="Y962" s="256">
        <v>1.4086430019204137</v>
      </c>
      <c r="Z962" s="256">
        <v>0.23149619711731617</v>
      </c>
      <c r="AA962" s="256">
        <v>1.2650257128863325</v>
      </c>
      <c r="AB962" s="256">
        <v>4.3303497419042082E-2</v>
      </c>
      <c r="AC962" s="260">
        <v>0.25943227517589085</v>
      </c>
      <c r="AD962" s="405">
        <v>26277587000174</v>
      </c>
      <c r="AE962" s="257" t="s">
        <v>2318</v>
      </c>
      <c r="AF962" s="257" t="s">
        <v>2318</v>
      </c>
      <c r="AG962" s="261" t="s">
        <v>1436</v>
      </c>
      <c r="AH962" s="261" t="s">
        <v>2113</v>
      </c>
      <c r="AI962" s="261">
        <v>1000</v>
      </c>
      <c r="AJ962" s="261">
        <v>100</v>
      </c>
      <c r="AK962" s="261">
        <v>1000</v>
      </c>
      <c r="AL962" s="256">
        <v>0</v>
      </c>
      <c r="AM962" s="256" t="s">
        <v>34</v>
      </c>
      <c r="AN962" s="256" t="s">
        <v>64</v>
      </c>
      <c r="AO962" s="254" t="s">
        <v>1324</v>
      </c>
      <c r="AP962" s="257" t="s">
        <v>13</v>
      </c>
      <c r="AQ962" s="263" t="s">
        <v>664</v>
      </c>
      <c r="AR962" s="256" t="s">
        <v>34</v>
      </c>
      <c r="AS962" s="256" t="s">
        <v>34</v>
      </c>
      <c r="AT962" s="256"/>
      <c r="AW962" s="508"/>
      <c r="AX962" s="508"/>
      <c r="AY962" s="509"/>
      <c r="AZ962" s="509"/>
      <c r="BA962" s="509"/>
      <c r="BB962" s="510"/>
      <c r="BC962" s="509"/>
      <c r="BD962" s="509"/>
      <c r="BE962" s="509"/>
      <c r="BF962" s="509"/>
      <c r="BG962" s="510"/>
      <c r="BH962" s="510"/>
      <c r="BI962" s="511"/>
      <c r="BJ962" s="511"/>
      <c r="BK962" s="511"/>
      <c r="BL962" s="195"/>
      <c r="BM962" s="510"/>
      <c r="BN962" s="510"/>
      <c r="BO962" s="510"/>
      <c r="BP962" s="510"/>
      <c r="BQ962" s="510"/>
      <c r="BR962" s="510"/>
      <c r="BS962" s="510"/>
      <c r="BT962" s="513"/>
      <c r="BU962" s="514"/>
      <c r="BV962" s="512"/>
      <c r="BW962" s="515"/>
    </row>
    <row r="963" spans="2:75" ht="15.75" customHeight="1">
      <c r="B963" s="250" t="s">
        <v>1679</v>
      </c>
      <c r="C963" s="251">
        <v>23508793000150</v>
      </c>
      <c r="D963" s="252" t="s">
        <v>13</v>
      </c>
      <c r="E963" s="252" t="s">
        <v>615</v>
      </c>
      <c r="F963" s="252" t="s">
        <v>619</v>
      </c>
      <c r="G963" s="253" t="s">
        <v>34</v>
      </c>
      <c r="H963" s="253" t="s">
        <v>1338</v>
      </c>
      <c r="I963" s="253" t="s">
        <v>34</v>
      </c>
      <c r="J963" s="253" t="s">
        <v>611</v>
      </c>
      <c r="K963" s="254" t="s">
        <v>48</v>
      </c>
      <c r="L963" s="255"/>
      <c r="M963" s="255"/>
      <c r="N963" s="254">
        <v>418935</v>
      </c>
      <c r="O963" s="254" t="s">
        <v>1324</v>
      </c>
      <c r="P963" s="258">
        <v>42535</v>
      </c>
      <c r="Q963" s="259">
        <v>32118592.16</v>
      </c>
      <c r="R963" s="259">
        <v>39541221.126785718</v>
      </c>
      <c r="S963" s="254">
        <v>32</v>
      </c>
      <c r="T963" s="256">
        <v>7.4708340401998807E-2</v>
      </c>
      <c r="U963" s="256">
        <v>0.84031295221963942</v>
      </c>
      <c r="V963" s="256">
        <v>8.3521027522784674E-2</v>
      </c>
      <c r="W963" s="256">
        <v>0.76653163688517878</v>
      </c>
      <c r="X963" s="256">
        <v>0.1088972699886559</v>
      </c>
      <c r="Y963" s="256">
        <v>0.76574278300758081</v>
      </c>
      <c r="Z963" s="256">
        <v>0.22746193762628342</v>
      </c>
      <c r="AA963" s="256">
        <v>1.242980244960024</v>
      </c>
      <c r="AB963" s="256">
        <v>5.5945358270462264E-2</v>
      </c>
      <c r="AC963" s="260">
        <v>-0.38710927918558818</v>
      </c>
      <c r="AD963" s="405">
        <v>21956674000134</v>
      </c>
      <c r="AE963" s="257" t="s">
        <v>2318</v>
      </c>
      <c r="AF963" s="257" t="s">
        <v>2318</v>
      </c>
      <c r="AG963" s="261" t="s">
        <v>1436</v>
      </c>
      <c r="AH963" s="261" t="s">
        <v>2319</v>
      </c>
      <c r="AI963" s="261">
        <v>500000</v>
      </c>
      <c r="AJ963" s="261">
        <v>100000</v>
      </c>
      <c r="AK963" s="261">
        <v>500000</v>
      </c>
      <c r="AL963" s="256">
        <v>0</v>
      </c>
      <c r="AM963" s="256" t="s">
        <v>34</v>
      </c>
      <c r="AN963" s="256" t="s">
        <v>64</v>
      </c>
      <c r="AO963" s="254" t="s">
        <v>1324</v>
      </c>
      <c r="AP963" s="257" t="s">
        <v>13</v>
      </c>
      <c r="AQ963" s="263" t="s">
        <v>679</v>
      </c>
      <c r="AR963" s="256" t="s">
        <v>34</v>
      </c>
      <c r="AS963" s="256" t="s">
        <v>34</v>
      </c>
      <c r="AT963" s="256"/>
      <c r="AX963" s="508"/>
      <c r="AY963" s="509"/>
      <c r="AZ963" s="509"/>
      <c r="BA963" s="509"/>
      <c r="BB963" s="510"/>
      <c r="BC963" s="509"/>
      <c r="BD963" s="509"/>
      <c r="BE963" s="509"/>
      <c r="BF963" s="509"/>
      <c r="BG963" s="510"/>
      <c r="BH963" s="510"/>
      <c r="BI963" s="511"/>
      <c r="BJ963" s="511"/>
      <c r="BK963" s="511"/>
      <c r="BL963" s="510"/>
      <c r="BM963" s="510"/>
      <c r="BN963" s="510"/>
      <c r="BO963" s="510"/>
      <c r="BP963" s="510"/>
      <c r="BQ963" s="510"/>
      <c r="BR963" s="510"/>
      <c r="BS963" s="510"/>
      <c r="BT963" s="513"/>
      <c r="BU963" s="514"/>
      <c r="BV963" s="512"/>
      <c r="BW963" s="515"/>
    </row>
    <row r="964" spans="2:75" ht="15.75" customHeight="1">
      <c r="B964" s="250" t="s">
        <v>286</v>
      </c>
      <c r="C964" s="251">
        <v>13143673000142</v>
      </c>
      <c r="D964" s="252" t="s">
        <v>13</v>
      </c>
      <c r="E964" s="252" t="s">
        <v>615</v>
      </c>
      <c r="F964" s="252" t="s">
        <v>619</v>
      </c>
      <c r="G964" s="253" t="s">
        <v>34</v>
      </c>
      <c r="H964" s="253" t="s">
        <v>1337</v>
      </c>
      <c r="I964" s="253" t="s">
        <v>34</v>
      </c>
      <c r="J964" s="253"/>
      <c r="K964" s="254" t="s">
        <v>48</v>
      </c>
      <c r="L964" s="255"/>
      <c r="M964" s="255" t="s">
        <v>1414</v>
      </c>
      <c r="N964" s="254">
        <v>272922</v>
      </c>
      <c r="O964" s="254" t="s">
        <v>1321</v>
      </c>
      <c r="P964" s="258">
        <v>40660</v>
      </c>
      <c r="Q964" s="259">
        <v>18854142.390000001</v>
      </c>
      <c r="R964" s="259">
        <v>17992472.482261911</v>
      </c>
      <c r="S964" s="254">
        <v>32</v>
      </c>
      <c r="T964" s="256">
        <v>5.5832906725838072E-2</v>
      </c>
      <c r="U964" s="256">
        <v>0.72176288278802392</v>
      </c>
      <c r="V964" s="256">
        <v>6.7025986454859465E-2</v>
      </c>
      <c r="W964" s="256">
        <v>0.65707878441408274</v>
      </c>
      <c r="X964" s="256">
        <v>0.15306164072596062</v>
      </c>
      <c r="Y964" s="256">
        <v>1.1606942268867821</v>
      </c>
      <c r="Z964" s="256">
        <v>0.24091301062576043</v>
      </c>
      <c r="AA964" s="256">
        <v>1.3694276535671326</v>
      </c>
      <c r="AB964" s="256">
        <v>3.2115119662256789E-2</v>
      </c>
      <c r="AC964" s="260">
        <v>-0.98876821200947551</v>
      </c>
      <c r="AD964" s="405">
        <v>0</v>
      </c>
      <c r="AE964" s="257" t="s">
        <v>2213</v>
      </c>
      <c r="AF964" s="257" t="s">
        <v>2109</v>
      </c>
      <c r="AG964" s="261" t="s">
        <v>1432</v>
      </c>
      <c r="AH964" s="261" t="s">
        <v>2110</v>
      </c>
      <c r="AI964" s="261">
        <v>0</v>
      </c>
      <c r="AJ964" s="261">
        <v>0</v>
      </c>
      <c r="AK964" s="261">
        <v>0</v>
      </c>
      <c r="AL964" s="256">
        <v>6.5000000000000006E-3</v>
      </c>
      <c r="AM964" s="256">
        <v>0.1</v>
      </c>
      <c r="AN964" s="256" t="s">
        <v>64</v>
      </c>
      <c r="AO964" s="254" t="s">
        <v>1324</v>
      </c>
      <c r="AP964" s="257" t="s">
        <v>13</v>
      </c>
      <c r="AQ964" s="263" t="s">
        <v>668</v>
      </c>
      <c r="AR964" s="256" t="s">
        <v>34</v>
      </c>
      <c r="AS964" s="256" t="s">
        <v>34</v>
      </c>
      <c r="AT964" s="256"/>
      <c r="AX964" s="508"/>
      <c r="AY964" s="509"/>
      <c r="AZ964" s="509"/>
      <c r="BA964" s="509"/>
      <c r="BB964" s="510"/>
      <c r="BC964" s="509"/>
      <c r="BD964" s="509"/>
      <c r="BE964" s="509"/>
      <c r="BF964" s="509"/>
      <c r="BG964" s="510"/>
      <c r="BH964" s="510"/>
      <c r="BI964" s="511"/>
      <c r="BJ964" s="511"/>
      <c r="BK964" s="511"/>
      <c r="BL964" s="510"/>
      <c r="BM964" s="510"/>
      <c r="BN964" s="510"/>
      <c r="BO964" s="510"/>
      <c r="BP964" s="510"/>
      <c r="BQ964" s="510"/>
      <c r="BR964" s="510"/>
      <c r="BS964" s="510"/>
      <c r="BT964" s="513"/>
      <c r="BU964" s="514"/>
      <c r="BV964" s="512"/>
      <c r="BW964" s="515"/>
    </row>
    <row r="965" spans="2:75" ht="15.75" customHeight="1">
      <c r="B965" s="250" t="s">
        <v>1102</v>
      </c>
      <c r="C965" s="251">
        <v>35342982000184</v>
      </c>
      <c r="D965" s="252" t="s">
        <v>13</v>
      </c>
      <c r="E965" s="252" t="s">
        <v>615</v>
      </c>
      <c r="F965" s="252" t="s">
        <v>619</v>
      </c>
      <c r="G965" s="253" t="s">
        <v>34</v>
      </c>
      <c r="H965" s="253" t="s">
        <v>1337</v>
      </c>
      <c r="I965" s="253" t="s">
        <v>34</v>
      </c>
      <c r="J965" s="253" t="s">
        <v>608</v>
      </c>
      <c r="K965" s="254" t="s">
        <v>48</v>
      </c>
      <c r="L965" s="255"/>
      <c r="M965" s="255" t="s">
        <v>34</v>
      </c>
      <c r="N965" s="254">
        <v>522643</v>
      </c>
      <c r="O965" s="254" t="s">
        <v>1321</v>
      </c>
      <c r="P965" s="258">
        <v>43844</v>
      </c>
      <c r="Q965" s="259">
        <v>246234221.80000001</v>
      </c>
      <c r="R965" s="259">
        <v>256874224.49206358</v>
      </c>
      <c r="S965" s="254">
        <v>32</v>
      </c>
      <c r="T965" s="256">
        <v>7.9307193868736636E-2</v>
      </c>
      <c r="U965" s="256">
        <v>1.0252195744277515</v>
      </c>
      <c r="V965" s="256">
        <v>8.6438831920282677E-2</v>
      </c>
      <c r="W965" s="256">
        <v>0.84738958139175136</v>
      </c>
      <c r="X965" s="256">
        <v>0.11082214172020577</v>
      </c>
      <c r="Y965" s="256">
        <v>0.84038443267552621</v>
      </c>
      <c r="Z965" s="256" t="s">
        <v>1417</v>
      </c>
      <c r="AA965" s="256" t="s">
        <v>1417</v>
      </c>
      <c r="AB965" s="256">
        <v>3.5134417247719138E-2</v>
      </c>
      <c r="AC965" s="260">
        <v>-0.38760138752373402</v>
      </c>
      <c r="AD965" s="405">
        <v>35618031000195</v>
      </c>
      <c r="AE965" s="257" t="s">
        <v>2123</v>
      </c>
      <c r="AF965" s="257" t="s">
        <v>2109</v>
      </c>
      <c r="AG965" s="261" t="s">
        <v>1432</v>
      </c>
      <c r="AH965" s="261" t="s">
        <v>2113</v>
      </c>
      <c r="AI965" s="261">
        <v>1000</v>
      </c>
      <c r="AJ965" s="261">
        <v>1000</v>
      </c>
      <c r="AK965" s="261">
        <v>0</v>
      </c>
      <c r="AL965" s="256">
        <v>0</v>
      </c>
      <c r="AM965" s="256" t="s">
        <v>34</v>
      </c>
      <c r="AN965" s="256" t="s">
        <v>34</v>
      </c>
      <c r="AO965" s="254" t="s">
        <v>1324</v>
      </c>
      <c r="AP965" s="257" t="s">
        <v>13</v>
      </c>
      <c r="AQ965" s="263" t="s">
        <v>668</v>
      </c>
      <c r="AR965" s="256">
        <v>5.0000000000000001E-3</v>
      </c>
      <c r="AS965" s="256">
        <v>5.0000000000000001E-3</v>
      </c>
      <c r="AT965" s="256"/>
      <c r="AX965" s="508"/>
      <c r="AY965" s="509"/>
      <c r="AZ965" s="509"/>
      <c r="BA965" s="509"/>
      <c r="BB965" s="510"/>
      <c r="BC965" s="509"/>
      <c r="BD965" s="509"/>
      <c r="BE965" s="509"/>
      <c r="BF965" s="509"/>
      <c r="BG965" s="510"/>
      <c r="BH965" s="510"/>
      <c r="BI965" s="511"/>
      <c r="BJ965" s="511"/>
      <c r="BK965" s="511"/>
      <c r="BL965" s="510"/>
      <c r="BM965" s="510"/>
      <c r="BN965" s="510"/>
      <c r="BO965" s="510"/>
      <c r="BP965" s="510"/>
      <c r="BQ965" s="510"/>
      <c r="BR965" s="510"/>
      <c r="BS965" s="510"/>
      <c r="BT965" s="513"/>
      <c r="BU965" s="514"/>
      <c r="BV965" s="512"/>
      <c r="BW965" s="515"/>
    </row>
    <row r="966" spans="2:75" ht="15.75" customHeight="1">
      <c r="B966" s="250" t="s">
        <v>362</v>
      </c>
      <c r="C966" s="251">
        <v>28289215000193</v>
      </c>
      <c r="D966" s="252" t="s">
        <v>13</v>
      </c>
      <c r="E966" s="252" t="s">
        <v>615</v>
      </c>
      <c r="F966" s="252" t="s">
        <v>619</v>
      </c>
      <c r="G966" s="253" t="s">
        <v>34</v>
      </c>
      <c r="H966" s="253" t="s">
        <v>1337</v>
      </c>
      <c r="I966" s="253" t="s">
        <v>34</v>
      </c>
      <c r="J966" s="253"/>
      <c r="K966" s="254" t="s">
        <v>48</v>
      </c>
      <c r="L966" s="255"/>
      <c r="M966" s="255" t="s">
        <v>34</v>
      </c>
      <c r="N966" s="254">
        <v>472921</v>
      </c>
      <c r="O966" s="254" t="s">
        <v>1321</v>
      </c>
      <c r="P966" s="258">
        <v>43313</v>
      </c>
      <c r="Q966" s="259">
        <v>287761693.93000001</v>
      </c>
      <c r="R966" s="259">
        <v>493958731.2935313</v>
      </c>
      <c r="S966" s="254">
        <v>32</v>
      </c>
      <c r="T966" s="256">
        <v>0.11729166216461451</v>
      </c>
      <c r="U966" s="256">
        <v>1.5162522099490503</v>
      </c>
      <c r="V966" s="256">
        <v>0.10855016686552532</v>
      </c>
      <c r="W966" s="256">
        <v>1.064154598306162</v>
      </c>
      <c r="X966" s="256">
        <v>0.1083677743166267</v>
      </c>
      <c r="Y966" s="256">
        <v>0.82177251879245394</v>
      </c>
      <c r="Z966" s="256">
        <v>0.2052298158150303</v>
      </c>
      <c r="AA966" s="256">
        <v>1.166592806190019</v>
      </c>
      <c r="AB966" s="256">
        <v>3.4280830799044024E-2</v>
      </c>
      <c r="AC966" s="260">
        <v>0.18981142577952761</v>
      </c>
      <c r="AD966" s="405">
        <v>29300722000143</v>
      </c>
      <c r="AE966" s="257" t="s">
        <v>2318</v>
      </c>
      <c r="AF966" s="257" t="s">
        <v>2318</v>
      </c>
      <c r="AG966" s="261" t="s">
        <v>1436</v>
      </c>
      <c r="AH966" s="261" t="s">
        <v>2113</v>
      </c>
      <c r="AI966" s="261">
        <v>5000</v>
      </c>
      <c r="AJ966" s="261">
        <v>500</v>
      </c>
      <c r="AK966" s="261">
        <v>100</v>
      </c>
      <c r="AL966" s="256">
        <v>0.02</v>
      </c>
      <c r="AM966" s="256">
        <v>0.2</v>
      </c>
      <c r="AN966" s="256" t="s">
        <v>64</v>
      </c>
      <c r="AO966" s="254" t="s">
        <v>1324</v>
      </c>
      <c r="AP966" s="257" t="s">
        <v>13</v>
      </c>
      <c r="AQ966" s="263" t="s">
        <v>668</v>
      </c>
      <c r="AR966" s="256">
        <v>4.0000000000000001E-3</v>
      </c>
      <c r="AS966" s="256">
        <v>4.0000000000000001E-3</v>
      </c>
      <c r="AT966" s="256"/>
      <c r="AX966" s="508"/>
      <c r="AY966" s="509"/>
      <c r="AZ966" s="509"/>
      <c r="BA966" s="509"/>
      <c r="BB966" s="510"/>
      <c r="BC966" s="509"/>
      <c r="BD966" s="509"/>
      <c r="BE966" s="509"/>
      <c r="BF966" s="509"/>
      <c r="BG966" s="510"/>
      <c r="BH966" s="510"/>
      <c r="BI966" s="511"/>
      <c r="BJ966" s="511"/>
      <c r="BK966" s="511"/>
      <c r="BL966" s="510"/>
      <c r="BM966" s="510"/>
      <c r="BN966" s="510"/>
      <c r="BO966" s="510"/>
      <c r="BP966" s="510"/>
      <c r="BQ966" s="510"/>
      <c r="BR966" s="510"/>
      <c r="BS966" s="510"/>
      <c r="BT966" s="513"/>
      <c r="BU966" s="514"/>
      <c r="BV966" s="512"/>
      <c r="BW966" s="515"/>
    </row>
    <row r="967" spans="2:75" ht="15.75" customHeight="1">
      <c r="B967" s="250" t="s">
        <v>1173</v>
      </c>
      <c r="C967" s="251">
        <v>20391600000135</v>
      </c>
      <c r="D967" s="252" t="s">
        <v>13</v>
      </c>
      <c r="E967" s="252" t="s">
        <v>615</v>
      </c>
      <c r="F967" s="252" t="s">
        <v>619</v>
      </c>
      <c r="G967" s="253" t="s">
        <v>34</v>
      </c>
      <c r="H967" s="253" t="s">
        <v>865</v>
      </c>
      <c r="I967" s="253" t="s">
        <v>34</v>
      </c>
      <c r="J967" s="253"/>
      <c r="K967" s="254" t="s">
        <v>48</v>
      </c>
      <c r="L967" s="255"/>
      <c r="M967" s="255" t="s">
        <v>1414</v>
      </c>
      <c r="N967" s="254">
        <v>383791</v>
      </c>
      <c r="O967" s="254" t="s">
        <v>1321</v>
      </c>
      <c r="P967" s="258">
        <v>41974</v>
      </c>
      <c r="Q967" s="259">
        <v>11067822.880000001</v>
      </c>
      <c r="R967" s="259">
        <v>15953776.924603179</v>
      </c>
      <c r="S967" s="254">
        <v>32</v>
      </c>
      <c r="T967" s="256">
        <v>0.15266391520410316</v>
      </c>
      <c r="U967" s="256">
        <v>1.9735162289952581</v>
      </c>
      <c r="V967" s="256">
        <v>0.13053240533892807</v>
      </c>
      <c r="W967" s="256">
        <v>1.2796540381321124</v>
      </c>
      <c r="X967" s="256">
        <v>0.14481641430603154</v>
      </c>
      <c r="Y967" s="256">
        <v>1.0981691771120945</v>
      </c>
      <c r="Z967" s="256">
        <v>0.24845397263274038</v>
      </c>
      <c r="AA967" s="256">
        <v>1.4122929263061768</v>
      </c>
      <c r="AB967" s="256">
        <v>5.3842027806971504E-2</v>
      </c>
      <c r="AC967" s="260">
        <v>0.50162673838664018</v>
      </c>
      <c r="AD967" s="405">
        <v>10347249000121</v>
      </c>
      <c r="AE967" s="257" t="s">
        <v>2318</v>
      </c>
      <c r="AF967" s="257" t="s">
        <v>2318</v>
      </c>
      <c r="AG967" s="261" t="s">
        <v>1436</v>
      </c>
      <c r="AH967" s="261" t="s">
        <v>2113</v>
      </c>
      <c r="AI967" s="261">
        <v>5000</v>
      </c>
      <c r="AJ967" s="261">
        <v>500</v>
      </c>
      <c r="AK967" s="261">
        <v>100</v>
      </c>
      <c r="AL967" s="256">
        <v>0</v>
      </c>
      <c r="AM967" s="256" t="s">
        <v>34</v>
      </c>
      <c r="AN967" s="256" t="s">
        <v>64</v>
      </c>
      <c r="AO967" s="254" t="s">
        <v>1324</v>
      </c>
      <c r="AP967" s="257" t="s">
        <v>13</v>
      </c>
      <c r="AQ967" s="263" t="s">
        <v>668</v>
      </c>
      <c r="AR967" s="256" t="s">
        <v>34</v>
      </c>
      <c r="AS967" s="256" t="s">
        <v>34</v>
      </c>
      <c r="AT967" s="256"/>
      <c r="AX967" s="508"/>
      <c r="AY967" s="509"/>
      <c r="AZ967" s="509"/>
      <c r="BA967" s="509"/>
      <c r="BB967" s="510"/>
      <c r="BC967" s="509"/>
      <c r="BD967" s="509"/>
      <c r="BE967" s="509"/>
      <c r="BF967" s="509"/>
      <c r="BG967" s="510"/>
      <c r="BH967" s="510"/>
      <c r="BI967" s="511"/>
      <c r="BJ967" s="511"/>
      <c r="BK967" s="511"/>
      <c r="BL967" s="510"/>
      <c r="BM967" s="510"/>
      <c r="BN967" s="510"/>
      <c r="BO967" s="510"/>
      <c r="BP967" s="510"/>
      <c r="BQ967" s="510"/>
      <c r="BR967" s="510"/>
      <c r="BS967" s="510"/>
      <c r="BT967" s="513"/>
      <c r="BU967" s="514"/>
      <c r="BV967" s="512"/>
      <c r="BW967" s="515"/>
    </row>
    <row r="968" spans="2:75" ht="15.75" customHeight="1">
      <c r="B968" s="250" t="s">
        <v>526</v>
      </c>
      <c r="C968" s="251">
        <v>37093442000130</v>
      </c>
      <c r="D968" s="252" t="s">
        <v>13</v>
      </c>
      <c r="E968" s="252" t="s">
        <v>615</v>
      </c>
      <c r="F968" s="252" t="s">
        <v>619</v>
      </c>
      <c r="G968" s="253" t="s">
        <v>34</v>
      </c>
      <c r="H968" s="253" t="s">
        <v>1337</v>
      </c>
      <c r="I968" s="253" t="s">
        <v>34</v>
      </c>
      <c r="J968" s="253"/>
      <c r="K968" s="254" t="s">
        <v>48</v>
      </c>
      <c r="L968" s="255"/>
      <c r="M968" s="255" t="s">
        <v>34</v>
      </c>
      <c r="N968" s="254">
        <v>559172</v>
      </c>
      <c r="O968" s="254" t="s">
        <v>1321</v>
      </c>
      <c r="P968" s="258">
        <v>44138</v>
      </c>
      <c r="Q968" s="259">
        <v>222282043.72999999</v>
      </c>
      <c r="R968" s="259">
        <v>399501205.9189285</v>
      </c>
      <c r="S968" s="254">
        <v>32</v>
      </c>
      <c r="T968" s="256">
        <v>9.5875081392100991E-2</v>
      </c>
      <c r="U968" s="256">
        <v>1.2393958901852344</v>
      </c>
      <c r="V968" s="256">
        <v>6.1992692767061985E-2</v>
      </c>
      <c r="W968" s="256">
        <v>0.60773567627192338</v>
      </c>
      <c r="X968" s="256" t="s">
        <v>1417</v>
      </c>
      <c r="Y968" s="256" t="s">
        <v>1417</v>
      </c>
      <c r="Z968" s="256" t="s">
        <v>1417</v>
      </c>
      <c r="AA968" s="256" t="s">
        <v>1417</v>
      </c>
      <c r="AB968" s="256">
        <v>2.6543429073329673E-2</v>
      </c>
      <c r="AC968" s="260">
        <v>-1.3806369249060106</v>
      </c>
      <c r="AD968" s="405">
        <v>37092411000164</v>
      </c>
      <c r="AE968" s="257" t="s">
        <v>2318</v>
      </c>
      <c r="AF968" s="257" t="s">
        <v>2318</v>
      </c>
      <c r="AG968" s="261" t="s">
        <v>1436</v>
      </c>
      <c r="AH968" s="261" t="s">
        <v>2113</v>
      </c>
      <c r="AI968" s="261">
        <v>5000</v>
      </c>
      <c r="AJ968" s="261">
        <v>0</v>
      </c>
      <c r="AK968" s="261">
        <v>0</v>
      </c>
      <c r="AL968" s="256">
        <v>0.02</v>
      </c>
      <c r="AM968" s="256">
        <v>0.2</v>
      </c>
      <c r="AN968" s="256" t="s">
        <v>64</v>
      </c>
      <c r="AO968" s="254" t="s">
        <v>1324</v>
      </c>
      <c r="AP968" s="257" t="s">
        <v>13</v>
      </c>
      <c r="AQ968" s="263" t="s">
        <v>668</v>
      </c>
      <c r="AR968" s="256">
        <v>4.0000000000000001E-3</v>
      </c>
      <c r="AS968" s="256">
        <v>4.0000000000000001E-3</v>
      </c>
      <c r="AT968" s="256"/>
      <c r="AW968" s="508"/>
      <c r="AX968" s="508"/>
      <c r="AY968" s="509"/>
      <c r="AZ968" s="509"/>
      <c r="BA968" s="509"/>
      <c r="BB968" s="510"/>
      <c r="BC968" s="509"/>
      <c r="BD968" s="509"/>
      <c r="BE968" s="509"/>
      <c r="BF968" s="509"/>
      <c r="BG968" s="510"/>
      <c r="BH968" s="510"/>
      <c r="BI968" s="511"/>
      <c r="BJ968" s="511"/>
      <c r="BK968" s="511"/>
      <c r="BL968" s="195"/>
      <c r="BM968" s="510"/>
      <c r="BN968" s="510"/>
      <c r="BO968" s="510"/>
      <c r="BP968" s="510"/>
      <c r="BQ968" s="510"/>
      <c r="BR968" s="510"/>
      <c r="BS968" s="510"/>
      <c r="BT968" s="513"/>
      <c r="BU968" s="514"/>
      <c r="BV968" s="512"/>
      <c r="BW968" s="515"/>
    </row>
    <row r="969" spans="2:75" ht="15.75" customHeight="1">
      <c r="B969" s="250" t="s">
        <v>364</v>
      </c>
      <c r="C969" s="251">
        <v>26305892000122</v>
      </c>
      <c r="D969" s="252" t="s">
        <v>13</v>
      </c>
      <c r="E969" s="252" t="s">
        <v>615</v>
      </c>
      <c r="F969" s="252" t="s">
        <v>619</v>
      </c>
      <c r="G969" s="253" t="s">
        <v>34</v>
      </c>
      <c r="H969" s="253" t="s">
        <v>1337</v>
      </c>
      <c r="I969" s="253" t="s">
        <v>34</v>
      </c>
      <c r="J969" s="253"/>
      <c r="K969" s="254" t="s">
        <v>48</v>
      </c>
      <c r="L969" s="255"/>
      <c r="M969" s="255" t="s">
        <v>34</v>
      </c>
      <c r="N969" s="254">
        <v>503746</v>
      </c>
      <c r="O969" s="254" t="s">
        <v>1321</v>
      </c>
      <c r="P969" s="258">
        <v>43678</v>
      </c>
      <c r="Q969" s="259">
        <v>375282912.88</v>
      </c>
      <c r="R969" s="259">
        <v>770396014.53658772</v>
      </c>
      <c r="S969" s="254">
        <v>32</v>
      </c>
      <c r="T969" s="256">
        <v>7.007464461691737E-2</v>
      </c>
      <c r="U969" s="256">
        <v>0.90586860822789061</v>
      </c>
      <c r="V969" s="256">
        <v>6.5289946750618721E-2</v>
      </c>
      <c r="W969" s="256">
        <v>0.64005979045529426</v>
      </c>
      <c r="X969" s="256">
        <v>6.5397245783646252E-2</v>
      </c>
      <c r="Y969" s="256">
        <v>0.49591919487702046</v>
      </c>
      <c r="Z969" s="256">
        <v>0.19651969402334979</v>
      </c>
      <c r="AA969" s="256">
        <v>1.1170816502068579</v>
      </c>
      <c r="AB969" s="256">
        <v>4.5968426462120973E-2</v>
      </c>
      <c r="AC969" s="260">
        <v>-0.71450715896953776</v>
      </c>
      <c r="AD969" s="405">
        <v>32666303000134</v>
      </c>
      <c r="AE969" s="257" t="s">
        <v>2318</v>
      </c>
      <c r="AF969" s="257" t="s">
        <v>2318</v>
      </c>
      <c r="AG969" s="261" t="s">
        <v>1436</v>
      </c>
      <c r="AH969" s="261" t="s">
        <v>2113</v>
      </c>
      <c r="AI969" s="261">
        <v>5000</v>
      </c>
      <c r="AJ969" s="261">
        <v>500</v>
      </c>
      <c r="AK969" s="261">
        <v>100</v>
      </c>
      <c r="AL969" s="256">
        <v>0.02</v>
      </c>
      <c r="AM969" s="256">
        <v>0.2</v>
      </c>
      <c r="AN969" s="256" t="s">
        <v>64</v>
      </c>
      <c r="AO969" s="254" t="s">
        <v>1324</v>
      </c>
      <c r="AP969" s="257" t="s">
        <v>13</v>
      </c>
      <c r="AQ969" s="263" t="s">
        <v>668</v>
      </c>
      <c r="AR969" s="256">
        <v>4.0000000000000001E-3</v>
      </c>
      <c r="AS969" s="256">
        <v>4.0000000000000001E-3</v>
      </c>
      <c r="AT969" s="256"/>
      <c r="AX969" s="508"/>
      <c r="AY969" s="509"/>
      <c r="AZ969" s="509"/>
      <c r="BA969" s="509"/>
      <c r="BB969" s="510"/>
      <c r="BC969" s="509"/>
      <c r="BD969" s="509"/>
      <c r="BE969" s="509"/>
      <c r="BF969" s="509"/>
      <c r="BG969" s="510"/>
      <c r="BH969" s="510"/>
      <c r="BI969" s="511"/>
      <c r="BJ969" s="511"/>
      <c r="BK969" s="511"/>
      <c r="BL969" s="510"/>
      <c r="BM969" s="510"/>
      <c r="BN969" s="510"/>
      <c r="BO969" s="510"/>
      <c r="BP969" s="510"/>
      <c r="BQ969" s="510"/>
      <c r="BR969" s="510"/>
      <c r="BS969" s="510"/>
      <c r="BT969" s="513"/>
      <c r="BU969" s="514"/>
      <c r="BV969" s="512"/>
      <c r="BW969" s="515"/>
    </row>
    <row r="970" spans="2:75" ht="15.75" customHeight="1">
      <c r="B970" s="250" t="s">
        <v>539</v>
      </c>
      <c r="C970" s="251">
        <v>42774128000152</v>
      </c>
      <c r="D970" s="252" t="s">
        <v>13</v>
      </c>
      <c r="E970" s="252" t="s">
        <v>615</v>
      </c>
      <c r="F970" s="252" t="s">
        <v>619</v>
      </c>
      <c r="G970" s="253" t="s">
        <v>34</v>
      </c>
      <c r="H970" s="253" t="s">
        <v>865</v>
      </c>
      <c r="I970" s="253" t="s">
        <v>34</v>
      </c>
      <c r="J970" s="253" t="s">
        <v>608</v>
      </c>
      <c r="K970" s="254" t="s">
        <v>48</v>
      </c>
      <c r="L970" s="255"/>
      <c r="M970" s="255" t="s">
        <v>34</v>
      </c>
      <c r="N970" s="254">
        <v>604951</v>
      </c>
      <c r="O970" s="254" t="s">
        <v>1321</v>
      </c>
      <c r="P970" s="258">
        <v>44407</v>
      </c>
      <c r="Q970" s="259">
        <v>20826902.66</v>
      </c>
      <c r="R970" s="259">
        <v>10339755.983015873</v>
      </c>
      <c r="S970" s="254">
        <v>32</v>
      </c>
      <c r="T970" s="256">
        <v>9.3558231098661127E-2</v>
      </c>
      <c r="U970" s="256">
        <v>1.2094455142359275</v>
      </c>
      <c r="V970" s="256">
        <v>9.0347482805883228E-2</v>
      </c>
      <c r="W970" s="256">
        <v>0.88570742956455106</v>
      </c>
      <c r="X970" s="256" t="s">
        <v>1417</v>
      </c>
      <c r="Y970" s="256" t="s">
        <v>1417</v>
      </c>
      <c r="Z970" s="256" t="s">
        <v>1417</v>
      </c>
      <c r="AA970" s="256" t="s">
        <v>1417</v>
      </c>
      <c r="AB970" s="256">
        <v>5.7157521986226062E-2</v>
      </c>
      <c r="AC970" s="260">
        <v>-0.15766282312984473</v>
      </c>
      <c r="AD970" s="405">
        <v>42747269000186</v>
      </c>
      <c r="AE970" s="257" t="s">
        <v>2401</v>
      </c>
      <c r="AF970" s="257" t="s">
        <v>2109</v>
      </c>
      <c r="AG970" s="261" t="s">
        <v>1432</v>
      </c>
      <c r="AH970" s="261" t="s">
        <v>2110</v>
      </c>
      <c r="AI970" s="261">
        <v>5000</v>
      </c>
      <c r="AJ970" s="261">
        <v>1000</v>
      </c>
      <c r="AK970" s="261">
        <v>5000</v>
      </c>
      <c r="AL970" s="256">
        <v>1.9E-2</v>
      </c>
      <c r="AM970" s="256">
        <v>0.2</v>
      </c>
      <c r="AN970" s="256" t="s">
        <v>34</v>
      </c>
      <c r="AO970" s="254" t="s">
        <v>1324</v>
      </c>
      <c r="AP970" s="257" t="s">
        <v>13</v>
      </c>
      <c r="AQ970" s="263" t="s">
        <v>668</v>
      </c>
      <c r="AR970" s="256">
        <v>6.3333333333333332E-3</v>
      </c>
      <c r="AS970" s="256">
        <v>6.3333333333333332E-3</v>
      </c>
      <c r="AT970" s="256"/>
      <c r="AX970" s="508"/>
      <c r="AY970" s="509"/>
      <c r="AZ970" s="509"/>
      <c r="BA970" s="509"/>
      <c r="BB970" s="510"/>
      <c r="BC970" s="509"/>
      <c r="BD970" s="509"/>
      <c r="BE970" s="509"/>
      <c r="BF970" s="509"/>
      <c r="BG970" s="510"/>
      <c r="BH970" s="510"/>
      <c r="BI970" s="511"/>
      <c r="BJ970" s="511"/>
      <c r="BK970" s="511"/>
      <c r="BL970" s="510"/>
      <c r="BM970" s="510"/>
      <c r="BN970" s="510"/>
      <c r="BO970" s="510"/>
      <c r="BP970" s="510"/>
      <c r="BQ970" s="510"/>
      <c r="BR970" s="510"/>
      <c r="BS970" s="510"/>
      <c r="BT970" s="513"/>
      <c r="BU970" s="514"/>
      <c r="BV970" s="512"/>
      <c r="BW970" s="515"/>
    </row>
    <row r="971" spans="2:75" ht="15.75" customHeight="1">
      <c r="B971" s="250" t="s">
        <v>1697</v>
      </c>
      <c r="C971" s="251">
        <v>23711497000151</v>
      </c>
      <c r="D971" s="252" t="s">
        <v>13</v>
      </c>
      <c r="E971" s="252" t="s">
        <v>615</v>
      </c>
      <c r="F971" s="252" t="s">
        <v>619</v>
      </c>
      <c r="G971" s="253"/>
      <c r="H971" s="253" t="s">
        <v>1338</v>
      </c>
      <c r="I971" s="253"/>
      <c r="J971" s="253" t="s">
        <v>608</v>
      </c>
      <c r="K971" s="254" t="s">
        <v>48</v>
      </c>
      <c r="L971" s="255"/>
      <c r="M971" s="255"/>
      <c r="N971" s="254">
        <v>416630</v>
      </c>
      <c r="O971" s="254" t="s">
        <v>1321</v>
      </c>
      <c r="P971" s="258">
        <v>42433</v>
      </c>
      <c r="Q971" s="259" t="s">
        <v>1393</v>
      </c>
      <c r="R971" s="259" t="s">
        <v>1417</v>
      </c>
      <c r="S971" s="254">
        <v>32</v>
      </c>
      <c r="T971" s="256" t="s">
        <v>1417</v>
      </c>
      <c r="U971" s="256" t="s">
        <v>1417</v>
      </c>
      <c r="V971" s="256" t="s">
        <v>1417</v>
      </c>
      <c r="W971" s="256" t="s">
        <v>1417</v>
      </c>
      <c r="X971" s="256" t="s">
        <v>1417</v>
      </c>
      <c r="Y971" s="256" t="s">
        <v>1417</v>
      </c>
      <c r="Z971" s="256" t="s">
        <v>1417</v>
      </c>
      <c r="AA971" s="256" t="s">
        <v>1417</v>
      </c>
      <c r="AB971" s="256" t="s">
        <v>1417</v>
      </c>
      <c r="AC971" s="260" t="s">
        <v>1417</v>
      </c>
      <c r="AD971" s="405">
        <v>44643074000111</v>
      </c>
      <c r="AE971" s="257" t="s">
        <v>2403</v>
      </c>
      <c r="AF971" s="257" t="s">
        <v>2118</v>
      </c>
      <c r="AG971" s="261" t="s">
        <v>1433</v>
      </c>
      <c r="AH971" s="261" t="s">
        <v>2113</v>
      </c>
      <c r="AI971" s="261">
        <v>1000</v>
      </c>
      <c r="AJ971" s="261">
        <v>500</v>
      </c>
      <c r="AK971" s="261">
        <v>500</v>
      </c>
      <c r="AL971" s="256">
        <v>1.8500000000000003E-2</v>
      </c>
      <c r="AM971" s="256">
        <v>0.2</v>
      </c>
      <c r="AN971" s="256" t="s">
        <v>64</v>
      </c>
      <c r="AO971" s="254" t="s">
        <v>1324</v>
      </c>
      <c r="AP971" s="257" t="s">
        <v>13</v>
      </c>
      <c r="AQ971" s="263" t="s">
        <v>668</v>
      </c>
      <c r="AR971" s="256">
        <v>4.933333333333333E-3</v>
      </c>
      <c r="AS971" s="256">
        <v>4.933333333333333E-3</v>
      </c>
      <c r="AT971" s="256"/>
      <c r="AX971" s="508"/>
      <c r="AY971" s="509"/>
      <c r="AZ971" s="509"/>
      <c r="BA971" s="509"/>
      <c r="BB971" s="510"/>
      <c r="BC971" s="509"/>
      <c r="BD971" s="509"/>
      <c r="BE971" s="509"/>
      <c r="BF971" s="509"/>
      <c r="BG971" s="510"/>
      <c r="BH971" s="510"/>
      <c r="BI971" s="511"/>
      <c r="BJ971" s="511"/>
      <c r="BK971" s="511"/>
      <c r="BL971" s="510"/>
      <c r="BM971" s="510"/>
      <c r="BN971" s="510"/>
      <c r="BO971" s="510"/>
      <c r="BP971" s="510"/>
      <c r="BQ971" s="510"/>
      <c r="BR971" s="510"/>
      <c r="BS971" s="510"/>
      <c r="BT971" s="513"/>
      <c r="BU971" s="514"/>
      <c r="BV971" s="512"/>
      <c r="BW971" s="515"/>
    </row>
    <row r="972" spans="2:75" ht="15.75" customHeight="1">
      <c r="B972" s="250" t="s">
        <v>568</v>
      </c>
      <c r="C972" s="251">
        <v>42747231000103</v>
      </c>
      <c r="D972" s="252" t="s">
        <v>14</v>
      </c>
      <c r="E972" s="252" t="s">
        <v>614</v>
      </c>
      <c r="F972" s="252" t="s">
        <v>610</v>
      </c>
      <c r="G972" s="253"/>
      <c r="H972" s="253" t="s">
        <v>1337</v>
      </c>
      <c r="I972" s="253" t="s">
        <v>34</v>
      </c>
      <c r="J972" s="253" t="s">
        <v>608</v>
      </c>
      <c r="K972" s="254" t="s">
        <v>48</v>
      </c>
      <c r="L972" s="255"/>
      <c r="M972" s="255" t="s">
        <v>34</v>
      </c>
      <c r="N972" s="254">
        <v>606278</v>
      </c>
      <c r="O972" s="254" t="s">
        <v>1321</v>
      </c>
      <c r="P972" s="258">
        <v>44414</v>
      </c>
      <c r="Q972" s="259">
        <v>24027742.34</v>
      </c>
      <c r="R972" s="259">
        <v>16743872.117539687</v>
      </c>
      <c r="S972" s="254">
        <v>32</v>
      </c>
      <c r="T972" s="256">
        <v>0.10470437114380693</v>
      </c>
      <c r="U972" s="256">
        <v>1.3535338421183896</v>
      </c>
      <c r="V972" s="256">
        <v>3.7737094847180686E-2</v>
      </c>
      <c r="W972" s="256">
        <v>0.36994971235826807</v>
      </c>
      <c r="X972" s="256" t="s">
        <v>1417</v>
      </c>
      <c r="Y972" s="256" t="s">
        <v>1417</v>
      </c>
      <c r="Z972" s="256" t="s">
        <v>1417</v>
      </c>
      <c r="AA972" s="256" t="s">
        <v>1417</v>
      </c>
      <c r="AB972" s="256">
        <v>8.2386412960398087E-2</v>
      </c>
      <c r="AC972" s="260">
        <v>-0.68855302180951949</v>
      </c>
      <c r="AD972" s="405">
        <v>0</v>
      </c>
      <c r="AE972" s="257" t="s">
        <v>2337</v>
      </c>
      <c r="AF972" s="257" t="s">
        <v>2109</v>
      </c>
      <c r="AG972" s="261" t="s">
        <v>1432</v>
      </c>
      <c r="AH972" s="261" t="s">
        <v>2113</v>
      </c>
      <c r="AI972" s="261">
        <v>0</v>
      </c>
      <c r="AJ972" s="261">
        <v>0</v>
      </c>
      <c r="AK972" s="261">
        <v>0</v>
      </c>
      <c r="AL972" s="256">
        <v>0.02</v>
      </c>
      <c r="AM972" s="256">
        <v>0.2</v>
      </c>
      <c r="AN972" s="256" t="s">
        <v>34</v>
      </c>
      <c r="AO972" s="254" t="s">
        <v>1324</v>
      </c>
      <c r="AP972" s="257" t="s">
        <v>716</v>
      </c>
      <c r="AQ972" s="263" t="s">
        <v>659</v>
      </c>
      <c r="AR972" s="256">
        <v>6.6666666666666662E-3</v>
      </c>
      <c r="AS972" s="256">
        <v>6.6666666666666662E-3</v>
      </c>
      <c r="AT972" s="256"/>
      <c r="AX972" s="508"/>
      <c r="AY972" s="509"/>
      <c r="AZ972" s="509"/>
      <c r="BA972" s="509"/>
      <c r="BB972" s="510"/>
      <c r="BC972" s="509"/>
      <c r="BD972" s="509"/>
      <c r="BE972" s="509"/>
      <c r="BF972" s="509"/>
      <c r="BG972" s="510"/>
      <c r="BH972" s="510"/>
      <c r="BI972" s="511"/>
      <c r="BJ972" s="511"/>
      <c r="BK972" s="511"/>
      <c r="BL972" s="510"/>
      <c r="BM972" s="510"/>
      <c r="BN972" s="510"/>
      <c r="BO972" s="510"/>
      <c r="BP972" s="510"/>
      <c r="BQ972" s="510"/>
      <c r="BR972" s="510"/>
      <c r="BS972" s="510"/>
      <c r="BT972" s="513"/>
      <c r="BU972" s="514"/>
      <c r="BV972" s="512"/>
      <c r="BW972" s="515"/>
    </row>
    <row r="973" spans="2:75" ht="15.75" customHeight="1">
      <c r="B973" s="250" t="s">
        <v>501</v>
      </c>
      <c r="C973" s="251">
        <v>34218661000100</v>
      </c>
      <c r="D973" s="252" t="s">
        <v>14</v>
      </c>
      <c r="E973" s="252" t="s">
        <v>607</v>
      </c>
      <c r="F973" s="252" t="s">
        <v>860</v>
      </c>
      <c r="G973" s="253"/>
      <c r="H973" s="253" t="s">
        <v>34</v>
      </c>
      <c r="I973" s="253" t="s">
        <v>34</v>
      </c>
      <c r="J973" s="253" t="s">
        <v>611</v>
      </c>
      <c r="K973" s="254" t="s">
        <v>48</v>
      </c>
      <c r="L973" s="255"/>
      <c r="M973" s="255" t="s">
        <v>1414</v>
      </c>
      <c r="N973" s="254">
        <v>524085</v>
      </c>
      <c r="O973" s="254" t="s">
        <v>1321</v>
      </c>
      <c r="P973" s="258">
        <v>43766</v>
      </c>
      <c r="Q973" s="259">
        <v>53591300.409999996</v>
      </c>
      <c r="R973" s="259">
        <v>100829909.52777785</v>
      </c>
      <c r="S973" s="254">
        <v>32</v>
      </c>
      <c r="T973" s="256">
        <v>-0.51952103384147086</v>
      </c>
      <c r="U973" s="256">
        <v>-6.7159498052947937</v>
      </c>
      <c r="V973" s="256">
        <v>-0.59700885988016683</v>
      </c>
      <c r="W973" s="256">
        <v>-5.8526830664206742</v>
      </c>
      <c r="X973" s="256">
        <v>-0.50578268189564968</v>
      </c>
      <c r="Y973" s="256">
        <v>-3.8354419575748344</v>
      </c>
      <c r="Z973" s="256" t="s">
        <v>1417</v>
      </c>
      <c r="AA973" s="256" t="s">
        <v>1417</v>
      </c>
      <c r="AB973" s="256">
        <v>0.41579469179806217</v>
      </c>
      <c r="AC973" s="260">
        <v>-2.2093409840185259</v>
      </c>
      <c r="AD973" s="405">
        <v>0</v>
      </c>
      <c r="AE973" s="257" t="s">
        <v>2229</v>
      </c>
      <c r="AF973" s="257" t="s">
        <v>2109</v>
      </c>
      <c r="AG973" s="261" t="s">
        <v>1432</v>
      </c>
      <c r="AH973" s="261" t="s">
        <v>2110</v>
      </c>
      <c r="AI973" s="261">
        <v>5000</v>
      </c>
      <c r="AJ973" s="261">
        <v>100</v>
      </c>
      <c r="AK973" s="261">
        <v>100</v>
      </c>
      <c r="AL973" s="256">
        <v>9.0000000000000011E-3</v>
      </c>
      <c r="AM973" s="256">
        <v>0.1</v>
      </c>
      <c r="AN973" s="256" t="s">
        <v>2127</v>
      </c>
      <c r="AO973" s="254" t="s">
        <v>1324</v>
      </c>
      <c r="AP973" s="257" t="s">
        <v>716</v>
      </c>
      <c r="AQ973" s="263" t="s">
        <v>687</v>
      </c>
      <c r="AR973" s="256">
        <v>2.9996999999999997E-3</v>
      </c>
      <c r="AS973" s="256">
        <v>2.9996999999999997E-3</v>
      </c>
      <c r="AT973" s="256"/>
      <c r="AX973" s="508"/>
      <c r="AY973" s="509"/>
      <c r="AZ973" s="509"/>
      <c r="BA973" s="509"/>
      <c r="BB973" s="510"/>
      <c r="BC973" s="509"/>
      <c r="BD973" s="509"/>
      <c r="BE973" s="509"/>
      <c r="BF973" s="509"/>
      <c r="BG973" s="510"/>
      <c r="BH973" s="510"/>
      <c r="BI973" s="511"/>
      <c r="BJ973" s="511"/>
      <c r="BK973" s="511"/>
      <c r="BL973" s="510"/>
      <c r="BM973" s="510"/>
      <c r="BN973" s="510"/>
      <c r="BO973" s="510"/>
      <c r="BP973" s="510"/>
      <c r="BQ973" s="510"/>
      <c r="BR973" s="510"/>
      <c r="BS973" s="510"/>
      <c r="BT973" s="513"/>
      <c r="BU973" s="514"/>
      <c r="BV973" s="512"/>
      <c r="BW973" s="515"/>
    </row>
    <row r="974" spans="2:75" ht="15.75" customHeight="1">
      <c r="B974" s="250" t="s">
        <v>1485</v>
      </c>
      <c r="C974" s="251">
        <v>31594616000161</v>
      </c>
      <c r="D974" s="252" t="s">
        <v>14</v>
      </c>
      <c r="E974" s="252" t="s">
        <v>614</v>
      </c>
      <c r="F974" s="252" t="s">
        <v>689</v>
      </c>
      <c r="G974" s="253"/>
      <c r="H974" s="253" t="s">
        <v>865</v>
      </c>
      <c r="I974" s="253" t="s">
        <v>34</v>
      </c>
      <c r="J974" s="253" t="s">
        <v>608</v>
      </c>
      <c r="K974" s="254" t="s">
        <v>48</v>
      </c>
      <c r="L974" s="255"/>
      <c r="M974" s="255"/>
      <c r="N974" s="254">
        <v>484350</v>
      </c>
      <c r="O974" s="254" t="s">
        <v>1321</v>
      </c>
      <c r="P974" s="258">
        <v>43462</v>
      </c>
      <c r="Q974" s="259">
        <v>366923150.20999998</v>
      </c>
      <c r="R974" s="259">
        <v>290955102.38178569</v>
      </c>
      <c r="S974" s="254">
        <v>32</v>
      </c>
      <c r="T974" s="256">
        <v>0.13147511855150662</v>
      </c>
      <c r="U974" s="256">
        <v>1.4788207637722832</v>
      </c>
      <c r="V974" s="256">
        <v>0.15511134972239815</v>
      </c>
      <c r="W974" s="256">
        <v>1.4235667391633056</v>
      </c>
      <c r="X974" s="256">
        <v>0.48402240705319488</v>
      </c>
      <c r="Y974" s="256">
        <v>3.4035441389260881</v>
      </c>
      <c r="Z974" s="256">
        <v>0.62401004935545767</v>
      </c>
      <c r="AA974" s="256">
        <v>3.4099426572181741</v>
      </c>
      <c r="AB974" s="256">
        <v>0.16500747337529631</v>
      </c>
      <c r="AC974" s="260">
        <v>0.3294653798594645</v>
      </c>
      <c r="AD974" s="405">
        <v>32071783000190</v>
      </c>
      <c r="AE974" s="257" t="s">
        <v>2117</v>
      </c>
      <c r="AF974" s="257" t="s">
        <v>2121</v>
      </c>
      <c r="AG974" s="261" t="s">
        <v>59</v>
      </c>
      <c r="AH974" s="261" t="s">
        <v>2110</v>
      </c>
      <c r="AI974" s="261">
        <v>100000</v>
      </c>
      <c r="AJ974" s="261">
        <v>50000</v>
      </c>
      <c r="AK974" s="261">
        <v>50000</v>
      </c>
      <c r="AL974" s="519">
        <v>1.9E-2</v>
      </c>
      <c r="AM974" s="519">
        <v>0.2</v>
      </c>
      <c r="AN974" s="256" t="s">
        <v>2122</v>
      </c>
      <c r="AO974" s="254" t="s">
        <v>1324</v>
      </c>
      <c r="AP974" s="257" t="s">
        <v>716</v>
      </c>
      <c r="AQ974" s="263" t="s">
        <v>659</v>
      </c>
      <c r="AR974" s="256" t="s">
        <v>34</v>
      </c>
      <c r="AS974" s="256" t="s">
        <v>34</v>
      </c>
      <c r="AT974" s="256"/>
      <c r="AX974" s="508"/>
      <c r="AY974" s="509"/>
      <c r="AZ974" s="509"/>
      <c r="BA974" s="509"/>
      <c r="BB974" s="510"/>
      <c r="BC974" s="509"/>
      <c r="BD974" s="509"/>
      <c r="BE974" s="509"/>
      <c r="BF974" s="509"/>
      <c r="BG974" s="510"/>
      <c r="BH974" s="510"/>
      <c r="BI974" s="511"/>
      <c r="BJ974" s="511"/>
      <c r="BK974" s="511"/>
      <c r="BL974" s="510"/>
      <c r="BM974" s="510"/>
      <c r="BN974" s="510"/>
      <c r="BO974" s="510"/>
      <c r="BP974" s="510"/>
      <c r="BQ974" s="510"/>
      <c r="BR974" s="510"/>
      <c r="BS974" s="510"/>
      <c r="BT974" s="513"/>
      <c r="BU974" s="514"/>
      <c r="BV974" s="512"/>
      <c r="BW974" s="515"/>
    </row>
    <row r="975" spans="2:75" ht="15.75" customHeight="1">
      <c r="B975" s="250" t="s">
        <v>749</v>
      </c>
      <c r="C975" s="251">
        <v>29562563000155</v>
      </c>
      <c r="D975" s="252" t="s">
        <v>14</v>
      </c>
      <c r="E975" s="252" t="s">
        <v>614</v>
      </c>
      <c r="F975" s="252" t="s">
        <v>689</v>
      </c>
      <c r="G975" s="253"/>
      <c r="H975" s="253" t="s">
        <v>1338</v>
      </c>
      <c r="I975" s="253" t="s">
        <v>34</v>
      </c>
      <c r="J975" s="253" t="s">
        <v>608</v>
      </c>
      <c r="K975" s="254" t="s">
        <v>48</v>
      </c>
      <c r="L975" s="255"/>
      <c r="M975" s="255" t="s">
        <v>1414</v>
      </c>
      <c r="N975" s="254">
        <v>463825</v>
      </c>
      <c r="O975" s="254" t="s">
        <v>1321</v>
      </c>
      <c r="P975" s="258">
        <v>43195</v>
      </c>
      <c r="Q975" s="259">
        <v>101647378.94</v>
      </c>
      <c r="R975" s="259">
        <v>110792208.41630948</v>
      </c>
      <c r="S975" s="254">
        <v>32</v>
      </c>
      <c r="T975" s="256">
        <v>-4.2157763065310716E-2</v>
      </c>
      <c r="U975" s="256">
        <v>-0.54498163155513935</v>
      </c>
      <c r="V975" s="256">
        <v>-0.18392347285331223</v>
      </c>
      <c r="W975" s="256">
        <v>-1.8030650253698581</v>
      </c>
      <c r="X975" s="256">
        <v>-7.5689411701537646E-2</v>
      </c>
      <c r="Y975" s="256">
        <v>-0.57396655871291125</v>
      </c>
      <c r="Z975" s="256">
        <v>8.8045255038860404E-2</v>
      </c>
      <c r="AA975" s="256">
        <v>0.50047777287912831</v>
      </c>
      <c r="AB975" s="256">
        <v>0.1840007426017328</v>
      </c>
      <c r="AC975" s="260">
        <v>-1.5402181761113742</v>
      </c>
      <c r="AD975" s="405">
        <v>29562526000147</v>
      </c>
      <c r="AE975" s="257" t="s">
        <v>2140</v>
      </c>
      <c r="AF975" s="257" t="s">
        <v>2109</v>
      </c>
      <c r="AG975" s="261" t="s">
        <v>1432</v>
      </c>
      <c r="AH975" s="261" t="s">
        <v>2113</v>
      </c>
      <c r="AI975" s="261">
        <v>1000</v>
      </c>
      <c r="AJ975" s="261">
        <v>500</v>
      </c>
      <c r="AK975" s="261">
        <v>500</v>
      </c>
      <c r="AL975" s="519">
        <v>0.02</v>
      </c>
      <c r="AM975" s="519">
        <v>0.2</v>
      </c>
      <c r="AN975" s="256" t="s">
        <v>2141</v>
      </c>
      <c r="AO975" s="254" t="s">
        <v>1324</v>
      </c>
      <c r="AP975" s="257" t="s">
        <v>13</v>
      </c>
      <c r="AQ975" s="263" t="s">
        <v>668</v>
      </c>
      <c r="AR975" s="256">
        <v>3.5737799999999999E-3</v>
      </c>
      <c r="AS975" s="256">
        <v>3.5737799999999999E-3</v>
      </c>
      <c r="AT975" s="256"/>
      <c r="AX975" s="508"/>
      <c r="AY975" s="509"/>
      <c r="AZ975" s="509"/>
      <c r="BA975" s="509"/>
      <c r="BB975" s="510"/>
      <c r="BC975" s="509"/>
      <c r="BD975" s="509"/>
      <c r="BE975" s="509"/>
      <c r="BF975" s="509"/>
      <c r="BG975" s="510"/>
      <c r="BH975" s="510"/>
      <c r="BI975" s="511"/>
      <c r="BJ975" s="511"/>
      <c r="BK975" s="511"/>
      <c r="BL975" s="510"/>
      <c r="BM975" s="510"/>
      <c r="BN975" s="510"/>
      <c r="BO975" s="510"/>
      <c r="BP975" s="510"/>
      <c r="BQ975" s="510"/>
      <c r="BR975" s="510"/>
      <c r="BS975" s="510"/>
      <c r="BT975" s="513"/>
      <c r="BU975" s="514"/>
      <c r="BV975" s="512"/>
      <c r="BW975" s="515"/>
    </row>
    <row r="976" spans="2:75" ht="15.75" customHeight="1">
      <c r="B976" s="250" t="s">
        <v>83</v>
      </c>
      <c r="C976" s="251">
        <v>15862830000103</v>
      </c>
      <c r="D976" s="252" t="s">
        <v>14</v>
      </c>
      <c r="E976" s="252" t="s">
        <v>607</v>
      </c>
      <c r="F976" s="252" t="s">
        <v>689</v>
      </c>
      <c r="G976" s="253"/>
      <c r="H976" s="253" t="s">
        <v>34</v>
      </c>
      <c r="I976" s="253" t="s">
        <v>34</v>
      </c>
      <c r="J976" s="253" t="s">
        <v>611</v>
      </c>
      <c r="K976" s="254"/>
      <c r="L976" s="255"/>
      <c r="M976" s="255" t="s">
        <v>34</v>
      </c>
      <c r="N976" s="254">
        <v>311502</v>
      </c>
      <c r="O976" s="254" t="s">
        <v>1321</v>
      </c>
      <c r="P976" s="258">
        <v>41141</v>
      </c>
      <c r="Q976" s="259">
        <v>171724275.62</v>
      </c>
      <c r="R976" s="259">
        <v>160959391.41376987</v>
      </c>
      <c r="S976" s="254">
        <v>32</v>
      </c>
      <c r="T976" s="256">
        <v>7.9050369531497466E-2</v>
      </c>
      <c r="U976" s="256">
        <v>1.0218995560929354</v>
      </c>
      <c r="V976" s="256">
        <v>-5.0467969497615339E-2</v>
      </c>
      <c r="W976" s="256">
        <v>-0.49475485260740765</v>
      </c>
      <c r="X976" s="256">
        <v>2.284114142566751E-2</v>
      </c>
      <c r="Y976" s="256">
        <v>0.17320852476514845</v>
      </c>
      <c r="Z976" s="256">
        <v>-2.5158394550847674E-2</v>
      </c>
      <c r="AA976" s="256">
        <v>-0.14300847068323302</v>
      </c>
      <c r="AB976" s="256">
        <v>0.21175033867688728</v>
      </c>
      <c r="AC976" s="260">
        <v>-0.59768408516660987</v>
      </c>
      <c r="AD976" s="405">
        <v>13950080000198</v>
      </c>
      <c r="AE976" s="257" t="s">
        <v>2143</v>
      </c>
      <c r="AF976" s="257" t="s">
        <v>2118</v>
      </c>
      <c r="AG976" s="261" t="s">
        <v>1433</v>
      </c>
      <c r="AH976" s="261" t="s">
        <v>2113</v>
      </c>
      <c r="AI976" s="261">
        <v>500</v>
      </c>
      <c r="AJ976" s="261">
        <v>100</v>
      </c>
      <c r="AK976" s="261">
        <v>100</v>
      </c>
      <c r="AL976" s="519">
        <v>1.9E-2</v>
      </c>
      <c r="AM976" s="519">
        <v>0.2</v>
      </c>
      <c r="AN976" s="256" t="s">
        <v>666</v>
      </c>
      <c r="AO976" s="254" t="s">
        <v>1324</v>
      </c>
      <c r="AP976" s="257" t="s">
        <v>716</v>
      </c>
      <c r="AQ976" s="263" t="s">
        <v>659</v>
      </c>
      <c r="AR976" s="256">
        <v>3.9899999999999996E-3</v>
      </c>
      <c r="AS976" s="256">
        <v>3.9899999999999996E-3</v>
      </c>
      <c r="AT976" s="256"/>
      <c r="AX976" s="508"/>
      <c r="AY976" s="509"/>
      <c r="AZ976" s="509"/>
      <c r="BA976" s="509"/>
      <c r="BB976" s="510"/>
      <c r="BC976" s="509"/>
      <c r="BD976" s="509"/>
      <c r="BE976" s="509"/>
      <c r="BF976" s="509"/>
      <c r="BG976" s="510"/>
      <c r="BH976" s="510"/>
      <c r="BI976" s="511"/>
      <c r="BJ976" s="511"/>
      <c r="BK976" s="511"/>
      <c r="BL976" s="510"/>
      <c r="BM976" s="510"/>
      <c r="BN976" s="510"/>
      <c r="BO976" s="510"/>
      <c r="BP976" s="510"/>
      <c r="BQ976" s="510"/>
      <c r="BR976" s="510"/>
      <c r="BS976" s="510"/>
      <c r="BT976" s="513"/>
      <c r="BU976" s="514"/>
      <c r="BV976" s="512"/>
      <c r="BW976" s="515"/>
    </row>
    <row r="977" spans="2:75" ht="15.75" customHeight="1">
      <c r="B977" s="250" t="s">
        <v>753</v>
      </c>
      <c r="C977" s="251">
        <v>38026540000117</v>
      </c>
      <c r="D977" s="252" t="s">
        <v>14</v>
      </c>
      <c r="E977" s="252" t="s">
        <v>607</v>
      </c>
      <c r="F977" s="252" t="s">
        <v>689</v>
      </c>
      <c r="G977" s="253"/>
      <c r="H977" s="253" t="s">
        <v>34</v>
      </c>
      <c r="I977" s="253" t="s">
        <v>34</v>
      </c>
      <c r="J977" s="253" t="s">
        <v>608</v>
      </c>
      <c r="K977" s="254" t="s">
        <v>48</v>
      </c>
      <c r="L977" s="255"/>
      <c r="M977" s="255" t="s">
        <v>34</v>
      </c>
      <c r="N977" s="254">
        <v>566101</v>
      </c>
      <c r="O977" s="254" t="s">
        <v>1321</v>
      </c>
      <c r="P977" s="258">
        <v>44187</v>
      </c>
      <c r="Q977" s="259">
        <v>8929270.3499999996</v>
      </c>
      <c r="R977" s="259">
        <v>8278590.0988888852</v>
      </c>
      <c r="S977" s="254">
        <v>32</v>
      </c>
      <c r="T977" s="256">
        <v>6.5627979518312785E-2</v>
      </c>
      <c r="U977" s="256">
        <v>0.84838570059205209</v>
      </c>
      <c r="V977" s="256">
        <v>-8.0259498429606335E-2</v>
      </c>
      <c r="W977" s="256">
        <v>-0.78681145112764295</v>
      </c>
      <c r="X977" s="256" t="s">
        <v>1417</v>
      </c>
      <c r="Y977" s="256" t="s">
        <v>1417</v>
      </c>
      <c r="Z977" s="256" t="s">
        <v>1417</v>
      </c>
      <c r="AA977" s="256" t="s">
        <v>1417</v>
      </c>
      <c r="AB977" s="256">
        <v>0.21508705051289226</v>
      </c>
      <c r="AC977" s="260">
        <v>-0.7332178984780684</v>
      </c>
      <c r="AD977" s="405">
        <v>38026392000130</v>
      </c>
      <c r="AE977" s="257" t="s">
        <v>2143</v>
      </c>
      <c r="AF977" s="257" t="s">
        <v>2118</v>
      </c>
      <c r="AG977" s="261" t="s">
        <v>1433</v>
      </c>
      <c r="AH977" s="261" t="s">
        <v>2113</v>
      </c>
      <c r="AI977" s="261">
        <v>500</v>
      </c>
      <c r="AJ977" s="261">
        <v>100</v>
      </c>
      <c r="AK977" s="261">
        <v>100</v>
      </c>
      <c r="AL977" s="519">
        <v>1.9E-2</v>
      </c>
      <c r="AM977" s="519">
        <v>0.2</v>
      </c>
      <c r="AN977" s="256" t="s">
        <v>34</v>
      </c>
      <c r="AO977" s="254" t="s">
        <v>1324</v>
      </c>
      <c r="AP977" s="257" t="s">
        <v>716</v>
      </c>
      <c r="AQ977" s="263" t="s">
        <v>659</v>
      </c>
      <c r="AR977" s="256">
        <v>5.0666666666666664E-3</v>
      </c>
      <c r="AS977" s="256">
        <v>5.0666666666666664E-3</v>
      </c>
      <c r="AT977" s="256"/>
      <c r="AX977" s="508"/>
      <c r="AY977" s="509"/>
      <c r="AZ977" s="509"/>
      <c r="BA977" s="509"/>
      <c r="BB977" s="510"/>
      <c r="BC977" s="509"/>
      <c r="BD977" s="509"/>
      <c r="BE977" s="509"/>
      <c r="BF977" s="509"/>
      <c r="BG977" s="510"/>
      <c r="BH977" s="510"/>
      <c r="BI977" s="511"/>
      <c r="BJ977" s="511"/>
      <c r="BK977" s="511"/>
      <c r="BL977" s="510"/>
      <c r="BM977" s="510"/>
      <c r="BN977" s="510"/>
      <c r="BO977" s="510"/>
      <c r="BP977" s="510"/>
      <c r="BQ977" s="510"/>
      <c r="BR977" s="510"/>
      <c r="BS977" s="510"/>
      <c r="BT977" s="513"/>
      <c r="BU977" s="514"/>
      <c r="BV977" s="512"/>
      <c r="BW977" s="515"/>
    </row>
    <row r="978" spans="2:75" ht="15.75" customHeight="1">
      <c r="B978" s="250" t="s">
        <v>85</v>
      </c>
      <c r="C978" s="251">
        <v>17397804000179</v>
      </c>
      <c r="D978" s="252" t="s">
        <v>14</v>
      </c>
      <c r="E978" s="252" t="s">
        <v>614</v>
      </c>
      <c r="F978" s="252" t="s">
        <v>689</v>
      </c>
      <c r="G978" s="253"/>
      <c r="H978" s="253" t="s">
        <v>865</v>
      </c>
      <c r="I978" s="253" t="s">
        <v>34</v>
      </c>
      <c r="J978" s="253" t="s">
        <v>608</v>
      </c>
      <c r="K978" s="254" t="s">
        <v>48</v>
      </c>
      <c r="L978" s="255"/>
      <c r="M978" s="255" t="s">
        <v>34</v>
      </c>
      <c r="N978" s="254">
        <v>333115</v>
      </c>
      <c r="O978" s="254" t="s">
        <v>1321</v>
      </c>
      <c r="P978" s="258">
        <v>41379</v>
      </c>
      <c r="Q978" s="259">
        <v>122909203.65000001</v>
      </c>
      <c r="R978" s="259">
        <v>145789142.53436506</v>
      </c>
      <c r="S978" s="254">
        <v>32</v>
      </c>
      <c r="T978" s="256">
        <v>0.10969568458163592</v>
      </c>
      <c r="U978" s="256">
        <v>1.41805752514059</v>
      </c>
      <c r="V978" s="256">
        <v>-3.4937616354400736E-2</v>
      </c>
      <c r="W978" s="256">
        <v>-0.34250546241398616</v>
      </c>
      <c r="X978" s="256">
        <v>-8.7610134417825836E-2</v>
      </c>
      <c r="Y978" s="256">
        <v>-0.66436356459556845</v>
      </c>
      <c r="Z978" s="256">
        <v>-8.9649020830775639E-2</v>
      </c>
      <c r="AA978" s="256">
        <v>-0.50959409756241991</v>
      </c>
      <c r="AB978" s="256">
        <v>0.14055056847822706</v>
      </c>
      <c r="AC978" s="260">
        <v>-0.87412244692915786</v>
      </c>
      <c r="AD978" s="405">
        <v>15862804000177</v>
      </c>
      <c r="AE978" s="257" t="s">
        <v>2143</v>
      </c>
      <c r="AF978" s="257" t="s">
        <v>2118</v>
      </c>
      <c r="AG978" s="261" t="s">
        <v>1433</v>
      </c>
      <c r="AH978" s="261" t="s">
        <v>2110</v>
      </c>
      <c r="AI978" s="261">
        <v>1000</v>
      </c>
      <c r="AJ978" s="261">
        <v>1000</v>
      </c>
      <c r="AK978" s="261">
        <v>1000</v>
      </c>
      <c r="AL978" s="519">
        <v>1.9E-2</v>
      </c>
      <c r="AM978" s="519">
        <v>0.2</v>
      </c>
      <c r="AN978" s="256" t="s">
        <v>64</v>
      </c>
      <c r="AO978" s="254" t="s">
        <v>1324</v>
      </c>
      <c r="AP978" s="257" t="s">
        <v>716</v>
      </c>
      <c r="AQ978" s="263" t="s">
        <v>659</v>
      </c>
      <c r="AR978" s="256">
        <v>3.9899999999999996E-3</v>
      </c>
      <c r="AS978" s="256">
        <v>3.9899999999999996E-3</v>
      </c>
      <c r="AT978" s="256"/>
      <c r="AW978" s="508"/>
      <c r="AX978" s="508"/>
      <c r="AY978" s="509"/>
      <c r="AZ978" s="509"/>
      <c r="BA978" s="509"/>
      <c r="BB978" s="510"/>
      <c r="BC978" s="509"/>
      <c r="BD978" s="509"/>
      <c r="BE978" s="509"/>
      <c r="BF978" s="509"/>
      <c r="BG978" s="510"/>
      <c r="BH978" s="510"/>
      <c r="BI978" s="511"/>
      <c r="BJ978" s="511"/>
      <c r="BK978" s="511"/>
      <c r="BL978" s="195"/>
      <c r="BM978" s="510"/>
      <c r="BN978" s="510"/>
      <c r="BO978" s="510"/>
      <c r="BP978" s="510"/>
      <c r="BQ978" s="510"/>
      <c r="BR978" s="510"/>
      <c r="BS978" s="510"/>
      <c r="BT978" s="513"/>
      <c r="BU978" s="514"/>
      <c r="BV978" s="512"/>
      <c r="BW978" s="515"/>
    </row>
    <row r="979" spans="2:75" ht="15.75" customHeight="1">
      <c r="B979" s="250" t="s">
        <v>754</v>
      </c>
      <c r="C979" s="251">
        <v>15862797000103</v>
      </c>
      <c r="D979" s="252" t="s">
        <v>14</v>
      </c>
      <c r="E979" s="252" t="s">
        <v>614</v>
      </c>
      <c r="F979" s="252" t="s">
        <v>689</v>
      </c>
      <c r="G979" s="253"/>
      <c r="H979" s="253" t="s">
        <v>865</v>
      </c>
      <c r="I979" s="253" t="s">
        <v>34</v>
      </c>
      <c r="J979" s="253" t="s">
        <v>608</v>
      </c>
      <c r="K979" s="254" t="s">
        <v>48</v>
      </c>
      <c r="L979" s="255"/>
      <c r="M979" s="255" t="s">
        <v>34</v>
      </c>
      <c r="N979" s="254">
        <v>311456</v>
      </c>
      <c r="O979" s="254" t="s">
        <v>1324</v>
      </c>
      <c r="P979" s="258">
        <v>41148</v>
      </c>
      <c r="Q979" s="259">
        <v>3782750.89</v>
      </c>
      <c r="R979" s="259">
        <v>4091295.2910714308</v>
      </c>
      <c r="S979" s="254">
        <v>32</v>
      </c>
      <c r="T979" s="256">
        <v>0.10631226997377086</v>
      </c>
      <c r="U979" s="256">
        <v>1.3743194641252265</v>
      </c>
      <c r="V979" s="256">
        <v>-3.9232768495703785E-2</v>
      </c>
      <c r="W979" s="256">
        <v>-0.38461231525055989</v>
      </c>
      <c r="X979" s="256">
        <v>-9.2493035700508042E-2</v>
      </c>
      <c r="Y979" s="256">
        <v>-0.7013914920526797</v>
      </c>
      <c r="Z979" s="256">
        <v>-9.1072414913236255E-2</v>
      </c>
      <c r="AA979" s="256">
        <v>-0.51768513097478042</v>
      </c>
      <c r="AB979" s="256">
        <v>0.14097841675039618</v>
      </c>
      <c r="AC979" s="260">
        <v>-0.90267954002703421</v>
      </c>
      <c r="AD979" s="405">
        <v>15862804000177</v>
      </c>
      <c r="AE979" s="257" t="s">
        <v>2143</v>
      </c>
      <c r="AF979" s="257" t="s">
        <v>2118</v>
      </c>
      <c r="AG979" s="261" t="s">
        <v>1433</v>
      </c>
      <c r="AH979" s="261" t="s">
        <v>2110</v>
      </c>
      <c r="AI979" s="261">
        <v>20000</v>
      </c>
      <c r="AJ979" s="261">
        <v>5000</v>
      </c>
      <c r="AK979" s="261">
        <v>20000</v>
      </c>
      <c r="AL979" s="519">
        <v>1.9E-2</v>
      </c>
      <c r="AM979" s="519">
        <v>0.2</v>
      </c>
      <c r="AN979" s="256" t="s">
        <v>2141</v>
      </c>
      <c r="AO979" s="254" t="s">
        <v>1324</v>
      </c>
      <c r="AP979" s="257" t="s">
        <v>716</v>
      </c>
      <c r="AQ979" s="263" t="s">
        <v>659</v>
      </c>
      <c r="AR979" s="256">
        <v>3.9899999999999996E-3</v>
      </c>
      <c r="AS979" s="256">
        <v>3.9899999999999996E-3</v>
      </c>
      <c r="AT979" s="256"/>
      <c r="AX979" s="508"/>
      <c r="AY979" s="509"/>
      <c r="AZ979" s="509"/>
      <c r="BA979" s="509"/>
      <c r="BB979" s="510"/>
      <c r="BC979" s="509"/>
      <c r="BD979" s="509"/>
      <c r="BE979" s="509"/>
      <c r="BF979" s="509"/>
      <c r="BG979" s="510"/>
      <c r="BH979" s="510"/>
      <c r="BI979" s="511"/>
      <c r="BJ979" s="511"/>
      <c r="BK979" s="511"/>
      <c r="BL979" s="510"/>
      <c r="BM979" s="510"/>
      <c r="BN979" s="510"/>
      <c r="BO979" s="510"/>
      <c r="BP979" s="510"/>
      <c r="BQ979" s="510"/>
      <c r="BR979" s="510"/>
      <c r="BS979" s="510"/>
      <c r="BT979" s="513"/>
      <c r="BU979" s="514"/>
      <c r="BV979" s="512"/>
      <c r="BW979" s="515"/>
    </row>
    <row r="980" spans="2:75" ht="15.75" customHeight="1">
      <c r="B980" s="250" t="s">
        <v>755</v>
      </c>
      <c r="C980" s="251">
        <v>27826024000150</v>
      </c>
      <c r="D980" s="252" t="s">
        <v>14</v>
      </c>
      <c r="E980" s="252" t="s">
        <v>614</v>
      </c>
      <c r="F980" s="252" t="s">
        <v>689</v>
      </c>
      <c r="G980" s="253"/>
      <c r="H980" s="253" t="s">
        <v>865</v>
      </c>
      <c r="I980" s="253" t="s">
        <v>34</v>
      </c>
      <c r="J980" s="253" t="s">
        <v>608</v>
      </c>
      <c r="K980" s="254" t="s">
        <v>48</v>
      </c>
      <c r="L980" s="255"/>
      <c r="M980" s="255" t="s">
        <v>34</v>
      </c>
      <c r="N980" s="254">
        <v>455482</v>
      </c>
      <c r="O980" s="254" t="s">
        <v>1324</v>
      </c>
      <c r="P980" s="258">
        <v>43090</v>
      </c>
      <c r="Q980" s="259">
        <v>43304036.030000001</v>
      </c>
      <c r="R980" s="259">
        <v>53754695.252936512</v>
      </c>
      <c r="S980" s="254">
        <v>32</v>
      </c>
      <c r="T980" s="256">
        <v>0.11336676710664118</v>
      </c>
      <c r="U980" s="256">
        <v>1.4655143254682421</v>
      </c>
      <c r="V980" s="256">
        <v>-2.8108869652416324E-2</v>
      </c>
      <c r="W980" s="256">
        <v>-0.27556091121318427</v>
      </c>
      <c r="X980" s="256">
        <v>-7.5669680347544843E-2</v>
      </c>
      <c r="Y980" s="256">
        <v>-0.57381693227117514</v>
      </c>
      <c r="Z980" s="256">
        <v>-5.9746176428544628E-2</v>
      </c>
      <c r="AA980" s="256">
        <v>-0.33961663582897056</v>
      </c>
      <c r="AB980" s="256">
        <v>0.13965192170503968</v>
      </c>
      <c r="AC980" s="260">
        <v>-0.83017087353062224</v>
      </c>
      <c r="AD980" s="405">
        <v>28888814000123</v>
      </c>
      <c r="AE980" s="257" t="s">
        <v>2143</v>
      </c>
      <c r="AF980" s="257" t="s">
        <v>2118</v>
      </c>
      <c r="AG980" s="261" t="s">
        <v>1433</v>
      </c>
      <c r="AH980" s="261" t="s">
        <v>2113</v>
      </c>
      <c r="AI980" s="261">
        <v>1000</v>
      </c>
      <c r="AJ980" s="261">
        <v>1000</v>
      </c>
      <c r="AK980" s="261">
        <v>1000</v>
      </c>
      <c r="AL980" s="519">
        <v>1.9E-2</v>
      </c>
      <c r="AM980" s="519">
        <v>0.2</v>
      </c>
      <c r="AN980" s="256" t="s">
        <v>64</v>
      </c>
      <c r="AO980" s="254" t="s">
        <v>1324</v>
      </c>
      <c r="AP980" s="257" t="s">
        <v>13</v>
      </c>
      <c r="AQ980" s="263" t="s">
        <v>668</v>
      </c>
      <c r="AR980" s="256">
        <v>4.7499999999999999E-3</v>
      </c>
      <c r="AS980" s="256">
        <v>4.7499999999999999E-3</v>
      </c>
      <c r="AT980" s="256"/>
      <c r="AX980" s="508"/>
      <c r="AY980" s="509"/>
      <c r="AZ980" s="509"/>
      <c r="BA980" s="509"/>
      <c r="BB980" s="510"/>
      <c r="BC980" s="509"/>
      <c r="BD980" s="509"/>
      <c r="BE980" s="509"/>
      <c r="BF980" s="509"/>
      <c r="BG980" s="510"/>
      <c r="BH980" s="510"/>
      <c r="BI980" s="511"/>
      <c r="BJ980" s="511"/>
      <c r="BK980" s="511"/>
      <c r="BL980" s="510"/>
      <c r="BM980" s="510"/>
      <c r="BN980" s="510"/>
      <c r="BO980" s="510"/>
      <c r="BP980" s="510"/>
      <c r="BQ980" s="510"/>
      <c r="BR980" s="510"/>
      <c r="BS980" s="510"/>
      <c r="BT980" s="513"/>
      <c r="BU980" s="514"/>
      <c r="BV980" s="512"/>
      <c r="BW980" s="515"/>
    </row>
    <row r="981" spans="2:75" ht="15.75" customHeight="1">
      <c r="B981" s="250" t="s">
        <v>86</v>
      </c>
      <c r="C981" s="251">
        <v>36352617000113</v>
      </c>
      <c r="D981" s="252" t="s">
        <v>14</v>
      </c>
      <c r="E981" s="252" t="s">
        <v>614</v>
      </c>
      <c r="F981" s="252" t="s">
        <v>689</v>
      </c>
      <c r="G981" s="253"/>
      <c r="H981" s="253" t="s">
        <v>865</v>
      </c>
      <c r="I981" s="253" t="s">
        <v>34</v>
      </c>
      <c r="J981" s="253" t="s">
        <v>608</v>
      </c>
      <c r="K981" s="254" t="s">
        <v>48</v>
      </c>
      <c r="L981" s="255"/>
      <c r="M981" s="255" t="s">
        <v>34</v>
      </c>
      <c r="N981" s="254">
        <v>534706</v>
      </c>
      <c r="O981" s="254" t="s">
        <v>1321</v>
      </c>
      <c r="P981" s="258">
        <v>43943</v>
      </c>
      <c r="Q981" s="259">
        <v>8312073.54</v>
      </c>
      <c r="R981" s="259">
        <v>7618273.849285719</v>
      </c>
      <c r="S981" s="254">
        <v>32</v>
      </c>
      <c r="T981" s="256">
        <v>0.10879273025930147</v>
      </c>
      <c r="U981" s="256">
        <v>1.4063848583759126</v>
      </c>
      <c r="V981" s="256">
        <v>-3.3482561577428571E-2</v>
      </c>
      <c r="W981" s="256">
        <v>-0.32824106028164785</v>
      </c>
      <c r="X981" s="256">
        <v>-9.3299884063242078E-2</v>
      </c>
      <c r="Y981" s="256">
        <v>-0.70750996975980918</v>
      </c>
      <c r="Z981" s="256" t="s">
        <v>1417</v>
      </c>
      <c r="AA981" s="256" t="s">
        <v>1417</v>
      </c>
      <c r="AB981" s="256">
        <v>0.13672390387012881</v>
      </c>
      <c r="AC981" s="260">
        <v>-0.89143706678612455</v>
      </c>
      <c r="AD981" s="405">
        <v>28888814000123</v>
      </c>
      <c r="AE981" s="257" t="s">
        <v>2143</v>
      </c>
      <c r="AF981" s="257" t="s">
        <v>2118</v>
      </c>
      <c r="AG981" s="261" t="s">
        <v>1433</v>
      </c>
      <c r="AH981" s="261" t="s">
        <v>2113</v>
      </c>
      <c r="AI981" s="261">
        <v>500</v>
      </c>
      <c r="AJ981" s="261">
        <v>100</v>
      </c>
      <c r="AK981" s="261">
        <v>100</v>
      </c>
      <c r="AL981" s="519">
        <v>1.9E-2</v>
      </c>
      <c r="AM981" s="519">
        <v>0.2</v>
      </c>
      <c r="AN981" s="256" t="s">
        <v>34</v>
      </c>
      <c r="AO981" s="254" t="s">
        <v>1324</v>
      </c>
      <c r="AP981" s="257" t="s">
        <v>13</v>
      </c>
      <c r="AQ981" s="263" t="s">
        <v>668</v>
      </c>
      <c r="AR981" s="256">
        <v>5.0666666666666664E-3</v>
      </c>
      <c r="AS981" s="256">
        <v>5.0666666666666664E-3</v>
      </c>
      <c r="AT981" s="256"/>
      <c r="AX981" s="508"/>
      <c r="AY981" s="509"/>
      <c r="AZ981" s="509"/>
      <c r="BA981" s="509"/>
      <c r="BB981" s="510"/>
      <c r="BC981" s="509"/>
      <c r="BD981" s="509"/>
      <c r="BE981" s="509"/>
      <c r="BF981" s="509"/>
      <c r="BG981" s="510"/>
      <c r="BH981" s="510"/>
      <c r="BI981" s="511"/>
      <c r="BJ981" s="511"/>
      <c r="BK981" s="511"/>
      <c r="BL981" s="510"/>
      <c r="BM981" s="510"/>
      <c r="BN981" s="510"/>
      <c r="BO981" s="510"/>
      <c r="BP981" s="510"/>
      <c r="BQ981" s="510"/>
      <c r="BR981" s="510"/>
      <c r="BS981" s="510"/>
      <c r="BT981" s="513"/>
      <c r="BU981" s="514"/>
      <c r="BV981" s="512"/>
      <c r="BW981" s="515"/>
    </row>
    <row r="982" spans="2:75" ht="15.75" customHeight="1">
      <c r="B982" s="250" t="s">
        <v>756</v>
      </c>
      <c r="C982" s="251">
        <v>28798135000163</v>
      </c>
      <c r="D982" s="252" t="s">
        <v>14</v>
      </c>
      <c r="E982" s="252" t="s">
        <v>614</v>
      </c>
      <c r="F982" s="252" t="s">
        <v>689</v>
      </c>
      <c r="G982" s="253"/>
      <c r="H982" s="253" t="s">
        <v>865</v>
      </c>
      <c r="I982" s="253" t="s">
        <v>34</v>
      </c>
      <c r="J982" s="253" t="s">
        <v>608</v>
      </c>
      <c r="K982" s="254" t="s">
        <v>48</v>
      </c>
      <c r="L982" s="255"/>
      <c r="M982" s="255" t="s">
        <v>34</v>
      </c>
      <c r="N982" s="254">
        <v>455539</v>
      </c>
      <c r="O982" s="254" t="s">
        <v>1324</v>
      </c>
      <c r="P982" s="258">
        <v>43090</v>
      </c>
      <c r="Q982" s="259">
        <v>30518352.489999998</v>
      </c>
      <c r="R982" s="259">
        <v>37437197.358650789</v>
      </c>
      <c r="S982" s="254">
        <v>32</v>
      </c>
      <c r="T982" s="256">
        <v>0.11245274223839075</v>
      </c>
      <c r="U982" s="256">
        <v>1.4536985475957447</v>
      </c>
      <c r="V982" s="256">
        <v>-2.4715697648679313E-2</v>
      </c>
      <c r="W982" s="256">
        <v>-0.24229647970757728</v>
      </c>
      <c r="X982" s="256">
        <v>-7.2601929654171116E-2</v>
      </c>
      <c r="Y982" s="256">
        <v>-0.5505536214740443</v>
      </c>
      <c r="Z982" s="256">
        <v>-5.6565987556592034E-2</v>
      </c>
      <c r="AA982" s="256">
        <v>-0.32153941130088748</v>
      </c>
      <c r="AB982" s="256">
        <v>0.13765911172702006</v>
      </c>
      <c r="AC982" s="260">
        <v>-0.81888168280986551</v>
      </c>
      <c r="AD982" s="405">
        <v>27826024000150</v>
      </c>
      <c r="AE982" s="257" t="s">
        <v>2123</v>
      </c>
      <c r="AF982" s="257" t="s">
        <v>2109</v>
      </c>
      <c r="AG982" s="261" t="s">
        <v>1432</v>
      </c>
      <c r="AH982" s="261" t="s">
        <v>2113</v>
      </c>
      <c r="AI982" s="261">
        <v>1000</v>
      </c>
      <c r="AJ982" s="261">
        <v>500</v>
      </c>
      <c r="AK982" s="261">
        <v>0</v>
      </c>
      <c r="AL982" s="519">
        <v>0</v>
      </c>
      <c r="AM982" s="519" t="s">
        <v>34</v>
      </c>
      <c r="AN982" s="256" t="s">
        <v>34</v>
      </c>
      <c r="AO982" s="254" t="s">
        <v>1324</v>
      </c>
      <c r="AP982" s="257" t="s">
        <v>13</v>
      </c>
      <c r="AQ982" s="263" t="s">
        <v>668</v>
      </c>
      <c r="AR982" s="256">
        <v>4.7499999999999999E-3</v>
      </c>
      <c r="AS982" s="256">
        <v>4.7499999999999999E-3</v>
      </c>
      <c r="AT982" s="256"/>
      <c r="AW982" s="508"/>
      <c r="AX982" s="508"/>
      <c r="AY982" s="509"/>
      <c r="AZ982" s="509"/>
      <c r="BA982" s="509"/>
      <c r="BB982" s="510"/>
      <c r="BC982" s="509"/>
      <c r="BD982" s="509"/>
      <c r="BE982" s="509"/>
      <c r="BF982" s="509"/>
      <c r="BG982" s="510"/>
      <c r="BH982" s="510"/>
      <c r="BI982" s="511"/>
      <c r="BJ982" s="511"/>
      <c r="BK982" s="511"/>
      <c r="BL982" s="195"/>
      <c r="BM982" s="510"/>
      <c r="BN982" s="510"/>
      <c r="BO982" s="510"/>
      <c r="BP982" s="510"/>
      <c r="BQ982" s="510"/>
      <c r="BR982" s="510"/>
      <c r="BS982" s="510"/>
      <c r="BT982" s="513"/>
      <c r="BU982" s="514"/>
      <c r="BV982" s="512"/>
      <c r="BW982" s="515"/>
    </row>
    <row r="983" spans="2:75" ht="15.75" customHeight="1">
      <c r="B983" s="250" t="s">
        <v>757</v>
      </c>
      <c r="C983" s="251">
        <v>36014075000179</v>
      </c>
      <c r="D983" s="252" t="s">
        <v>14</v>
      </c>
      <c r="E983" s="252" t="s">
        <v>614</v>
      </c>
      <c r="F983" s="252" t="s">
        <v>689</v>
      </c>
      <c r="G983" s="253"/>
      <c r="H983" s="253" t="s">
        <v>865</v>
      </c>
      <c r="I983" s="253" t="s">
        <v>34</v>
      </c>
      <c r="J983" s="253" t="s">
        <v>608</v>
      </c>
      <c r="K983" s="254" t="s">
        <v>48</v>
      </c>
      <c r="L983" s="255"/>
      <c r="M983" s="255" t="s">
        <v>34</v>
      </c>
      <c r="N983" s="254">
        <v>544965</v>
      </c>
      <c r="O983" s="254" t="s">
        <v>1321</v>
      </c>
      <c r="P983" s="258">
        <v>44007</v>
      </c>
      <c r="Q983" s="259">
        <v>1743468.48</v>
      </c>
      <c r="R983" s="259">
        <v>2180945.72793651</v>
      </c>
      <c r="S983" s="254">
        <v>32</v>
      </c>
      <c r="T983" s="256">
        <v>0.1047666816054218</v>
      </c>
      <c r="U983" s="256">
        <v>1.354339341617526</v>
      </c>
      <c r="V983" s="256">
        <v>-3.8852583414580089E-2</v>
      </c>
      <c r="W983" s="256">
        <v>-0.38088523021727405</v>
      </c>
      <c r="X983" s="256">
        <v>-8.5932527178961826E-2</v>
      </c>
      <c r="Y983" s="256">
        <v>-0.65164196414820907</v>
      </c>
      <c r="Z983" s="256" t="s">
        <v>1417</v>
      </c>
      <c r="AA983" s="256" t="s">
        <v>1417</v>
      </c>
      <c r="AB983" s="256">
        <v>0.13349589914066565</v>
      </c>
      <c r="AC983" s="260">
        <v>-0.95797373720919088</v>
      </c>
      <c r="AD983" s="405">
        <v>35618104000149</v>
      </c>
      <c r="AE983" s="257" t="s">
        <v>2123</v>
      </c>
      <c r="AF983" s="257" t="s">
        <v>2109</v>
      </c>
      <c r="AG983" s="261" t="s">
        <v>1432</v>
      </c>
      <c r="AH983" s="261" t="s">
        <v>2113</v>
      </c>
      <c r="AI983" s="261">
        <v>1000</v>
      </c>
      <c r="AJ983" s="261">
        <v>1000</v>
      </c>
      <c r="AK983" s="261">
        <v>1000</v>
      </c>
      <c r="AL983" s="519">
        <v>0</v>
      </c>
      <c r="AM983" s="519" t="s">
        <v>34</v>
      </c>
      <c r="AN983" s="256" t="s">
        <v>34</v>
      </c>
      <c r="AO983" s="254" t="s">
        <v>1324</v>
      </c>
      <c r="AP983" s="257" t="s">
        <v>13</v>
      </c>
      <c r="AQ983" s="263" t="s">
        <v>668</v>
      </c>
      <c r="AR983" s="256">
        <v>4.7499999999999999E-3</v>
      </c>
      <c r="AS983" s="256">
        <v>4.7499999999999999E-3</v>
      </c>
      <c r="AT983" s="256"/>
      <c r="AW983" s="508"/>
      <c r="AX983" s="508"/>
      <c r="AY983" s="509"/>
      <c r="AZ983" s="509"/>
      <c r="BA983" s="509"/>
      <c r="BB983" s="510"/>
      <c r="BC983" s="509"/>
      <c r="BD983" s="509"/>
      <c r="BE983" s="509"/>
      <c r="BF983" s="509"/>
      <c r="BG983" s="510"/>
      <c r="BH983" s="510"/>
      <c r="BI983" s="511"/>
      <c r="BJ983" s="511"/>
      <c r="BK983" s="511"/>
      <c r="BL983" s="195"/>
      <c r="BM983" s="510"/>
      <c r="BN983" s="510"/>
      <c r="BO983" s="510"/>
      <c r="BP983" s="510"/>
      <c r="BQ983" s="510"/>
      <c r="BR983" s="510"/>
      <c r="BS983" s="510"/>
      <c r="BT983" s="513"/>
      <c r="BU983" s="514"/>
      <c r="BV983" s="512"/>
      <c r="BW983" s="515"/>
    </row>
    <row r="984" spans="2:75" ht="15.75" customHeight="1">
      <c r="B984" s="250" t="s">
        <v>204</v>
      </c>
      <c r="C984" s="251">
        <v>21917184000129</v>
      </c>
      <c r="D984" s="252" t="s">
        <v>14</v>
      </c>
      <c r="E984" s="252" t="s">
        <v>607</v>
      </c>
      <c r="F984" s="252" t="s">
        <v>689</v>
      </c>
      <c r="G984" s="253"/>
      <c r="H984" s="253" t="s">
        <v>34</v>
      </c>
      <c r="I984" s="253" t="s">
        <v>34</v>
      </c>
      <c r="J984" s="253" t="s">
        <v>608</v>
      </c>
      <c r="K984" s="254" t="s">
        <v>48</v>
      </c>
      <c r="L984" s="255"/>
      <c r="M984" s="255" t="s">
        <v>34</v>
      </c>
      <c r="N984" s="254">
        <v>394181</v>
      </c>
      <c r="O984" s="254" t="s">
        <v>1321</v>
      </c>
      <c r="P984" s="258">
        <v>42073</v>
      </c>
      <c r="Q984" s="259">
        <v>665684292.61000001</v>
      </c>
      <c r="R984" s="259">
        <v>677083891.94674587</v>
      </c>
      <c r="S984" s="254">
        <v>32</v>
      </c>
      <c r="T984" s="256">
        <v>0.21552859777821887</v>
      </c>
      <c r="U984" s="256">
        <v>2.7861802506455966</v>
      </c>
      <c r="V984" s="256">
        <v>-7.3503415709020525E-2</v>
      </c>
      <c r="W984" s="256">
        <v>-0.72057924991366651</v>
      </c>
      <c r="X984" s="256">
        <v>-8.4533412716444878E-2</v>
      </c>
      <c r="Y984" s="256">
        <v>-0.64103222501504042</v>
      </c>
      <c r="Z984" s="256">
        <v>0.34064458661005426</v>
      </c>
      <c r="AA984" s="256">
        <v>1.9363342632681859</v>
      </c>
      <c r="AB984" s="256">
        <v>0.27224075131937275</v>
      </c>
      <c r="AC984" s="260">
        <v>-0.50119303286451167</v>
      </c>
      <c r="AD984" s="405">
        <v>21917206000150</v>
      </c>
      <c r="AE984" s="257" t="s">
        <v>2246</v>
      </c>
      <c r="AF984" s="257" t="s">
        <v>2118</v>
      </c>
      <c r="AG984" s="261" t="s">
        <v>1433</v>
      </c>
      <c r="AH984" s="261" t="s">
        <v>2113</v>
      </c>
      <c r="AI984" s="261">
        <v>10000</v>
      </c>
      <c r="AJ984" s="261">
        <v>5000</v>
      </c>
      <c r="AK984" s="261">
        <v>5000</v>
      </c>
      <c r="AL984" s="256">
        <v>0.02</v>
      </c>
      <c r="AM984" s="256">
        <v>0.2</v>
      </c>
      <c r="AN984" s="256" t="s">
        <v>666</v>
      </c>
      <c r="AO984" s="254" t="s">
        <v>1324</v>
      </c>
      <c r="AP984" s="257" t="s">
        <v>716</v>
      </c>
      <c r="AQ984" s="263" t="s">
        <v>670</v>
      </c>
      <c r="AR984" s="256">
        <v>4.4999999999999997E-3</v>
      </c>
      <c r="AS984" s="256">
        <v>4.4999999999999997E-3</v>
      </c>
      <c r="AT984" s="256"/>
      <c r="AX984" s="508"/>
      <c r="AY984" s="509"/>
      <c r="AZ984" s="509"/>
      <c r="BA984" s="509"/>
      <c r="BB984" s="510"/>
      <c r="BC984" s="509"/>
      <c r="BD984" s="509"/>
      <c r="BE984" s="509"/>
      <c r="BF984" s="509"/>
      <c r="BG984" s="510"/>
      <c r="BH984" s="510"/>
      <c r="BI984" s="511"/>
      <c r="BJ984" s="511"/>
      <c r="BK984" s="511"/>
      <c r="BL984" s="510"/>
      <c r="BM984" s="510"/>
      <c r="BN984" s="510"/>
      <c r="BO984" s="510"/>
      <c r="BP984" s="510"/>
      <c r="BQ984" s="510"/>
      <c r="BR984" s="510"/>
      <c r="BS984" s="510"/>
      <c r="BT984" s="513"/>
      <c r="BU984" s="514"/>
      <c r="BV984" s="512"/>
      <c r="BW984" s="515"/>
    </row>
    <row r="985" spans="2:75" ht="15.75" customHeight="1">
      <c r="B985" s="250" t="s">
        <v>940</v>
      </c>
      <c r="C985" s="251">
        <v>40212731000115</v>
      </c>
      <c r="D985" s="252" t="s">
        <v>14</v>
      </c>
      <c r="E985" s="252" t="s">
        <v>607</v>
      </c>
      <c r="F985" s="252" t="s">
        <v>689</v>
      </c>
      <c r="G985" s="253" t="s">
        <v>866</v>
      </c>
      <c r="H985" s="253" t="s">
        <v>34</v>
      </c>
      <c r="I985" s="253" t="s">
        <v>34</v>
      </c>
      <c r="J985" s="253" t="s">
        <v>608</v>
      </c>
      <c r="K985" s="254" t="s">
        <v>48</v>
      </c>
      <c r="L985" s="255"/>
      <c r="M985" s="255" t="s">
        <v>34</v>
      </c>
      <c r="N985" s="254">
        <v>583391</v>
      </c>
      <c r="O985" s="254" t="s">
        <v>1321</v>
      </c>
      <c r="P985" s="258">
        <v>44263</v>
      </c>
      <c r="Q985" s="259">
        <v>57363209.799999997</v>
      </c>
      <c r="R985" s="259">
        <v>26625007.251349214</v>
      </c>
      <c r="S985" s="254">
        <v>32</v>
      </c>
      <c r="T985" s="256">
        <v>-7.8769301593571317E-2</v>
      </c>
      <c r="U985" s="256">
        <v>-1.0182661360001393</v>
      </c>
      <c r="V985" s="256">
        <v>-0.21754652756007309</v>
      </c>
      <c r="W985" s="256">
        <v>-2.1326833880907974</v>
      </c>
      <c r="X985" s="256" t="s">
        <v>1417</v>
      </c>
      <c r="Y985" s="256" t="s">
        <v>1417</v>
      </c>
      <c r="Z985" s="256" t="s">
        <v>1417</v>
      </c>
      <c r="AA985" s="256" t="s">
        <v>1417</v>
      </c>
      <c r="AB985" s="256">
        <v>0.23573382218143454</v>
      </c>
      <c r="AC985" s="260">
        <v>-1.3346943368316972</v>
      </c>
      <c r="AD985" s="405">
        <v>21917206000150</v>
      </c>
      <c r="AE985" s="257" t="s">
        <v>2246</v>
      </c>
      <c r="AF985" s="257" t="s">
        <v>2118</v>
      </c>
      <c r="AG985" s="261" t="s">
        <v>1433</v>
      </c>
      <c r="AH985" s="261" t="s">
        <v>2113</v>
      </c>
      <c r="AI985" s="261">
        <v>1000</v>
      </c>
      <c r="AJ985" s="261">
        <v>100</v>
      </c>
      <c r="AK985" s="261">
        <v>1000</v>
      </c>
      <c r="AL985" s="256">
        <v>0.02</v>
      </c>
      <c r="AM985" s="256">
        <v>0.2</v>
      </c>
      <c r="AN985" s="256" t="s">
        <v>666</v>
      </c>
      <c r="AO985" s="254" t="s">
        <v>1324</v>
      </c>
      <c r="AP985" s="257" t="s">
        <v>716</v>
      </c>
      <c r="AQ985" s="263" t="s">
        <v>670</v>
      </c>
      <c r="AR985" s="256">
        <v>4.0000000000000001E-3</v>
      </c>
      <c r="AS985" s="256">
        <v>4.0000000000000001E-3</v>
      </c>
      <c r="AT985" s="256"/>
      <c r="AW985" s="508"/>
      <c r="AX985" s="508"/>
      <c r="AY985" s="509"/>
      <c r="AZ985" s="509"/>
      <c r="BA985" s="509"/>
      <c r="BB985" s="510"/>
      <c r="BC985" s="509"/>
      <c r="BD985" s="509"/>
      <c r="BE985" s="509"/>
      <c r="BF985" s="509"/>
      <c r="BG985" s="510"/>
      <c r="BH985" s="510"/>
      <c r="BI985" s="511"/>
      <c r="BJ985" s="511"/>
      <c r="BK985" s="511"/>
      <c r="BL985" s="195"/>
      <c r="BM985" s="510"/>
      <c r="BN985" s="510"/>
      <c r="BO985" s="510"/>
      <c r="BP985" s="510"/>
      <c r="BQ985" s="510"/>
      <c r="BR985" s="510"/>
      <c r="BS985" s="510"/>
      <c r="BT985" s="513"/>
      <c r="BU985" s="514"/>
      <c r="BV985" s="512"/>
      <c r="BW985" s="515"/>
    </row>
    <row r="986" spans="2:75" ht="15.75" customHeight="1">
      <c r="B986" s="250" t="s">
        <v>1700</v>
      </c>
      <c r="C986" s="251">
        <v>45274764000103</v>
      </c>
      <c r="D986" s="252" t="s">
        <v>14</v>
      </c>
      <c r="E986" s="252" t="s">
        <v>614</v>
      </c>
      <c r="F986" s="252" t="s">
        <v>689</v>
      </c>
      <c r="G986" s="253"/>
      <c r="H986" s="253" t="s">
        <v>1338</v>
      </c>
      <c r="I986" s="253" t="s">
        <v>34</v>
      </c>
      <c r="J986" s="253" t="s">
        <v>608</v>
      </c>
      <c r="K986" s="254" t="s">
        <v>48</v>
      </c>
      <c r="L986" s="255"/>
      <c r="M986" s="255"/>
      <c r="N986" s="254">
        <v>640530</v>
      </c>
      <c r="O986" s="254" t="s">
        <v>1321</v>
      </c>
      <c r="P986" s="258">
        <v>44616</v>
      </c>
      <c r="Q986" s="259">
        <v>28201774.109999999</v>
      </c>
      <c r="R986" s="259" t="s">
        <v>1417</v>
      </c>
      <c r="S986" s="254">
        <v>32</v>
      </c>
      <c r="T986" s="256" t="s">
        <v>1417</v>
      </c>
      <c r="U986" s="256" t="s">
        <v>1417</v>
      </c>
      <c r="V986" s="256" t="s">
        <v>1417</v>
      </c>
      <c r="W986" s="256" t="s">
        <v>1417</v>
      </c>
      <c r="X986" s="256" t="s">
        <v>1417</v>
      </c>
      <c r="Y986" s="256" t="s">
        <v>1417</v>
      </c>
      <c r="Z986" s="256" t="s">
        <v>1417</v>
      </c>
      <c r="AA986" s="256" t="s">
        <v>1417</v>
      </c>
      <c r="AB986" s="256" t="s">
        <v>1417</v>
      </c>
      <c r="AC986" s="260" t="s">
        <v>1417</v>
      </c>
      <c r="AD986" s="405">
        <v>0</v>
      </c>
      <c r="AE986" s="257" t="s">
        <v>2411</v>
      </c>
      <c r="AF986" s="257" t="s">
        <v>2109</v>
      </c>
      <c r="AG986" s="261" t="s">
        <v>1432</v>
      </c>
      <c r="AH986" s="261" t="s">
        <v>2113</v>
      </c>
      <c r="AI986" s="261">
        <v>1000</v>
      </c>
      <c r="AJ986" s="261">
        <v>1000</v>
      </c>
      <c r="AK986" s="261">
        <v>1000</v>
      </c>
      <c r="AL986" s="256">
        <v>7.000000000000001E-4</v>
      </c>
      <c r="AM986" s="256" t="s">
        <v>34</v>
      </c>
      <c r="AN986" s="256" t="s">
        <v>2127</v>
      </c>
      <c r="AO986" s="254" t="s">
        <v>1324</v>
      </c>
      <c r="AP986" s="257" t="s">
        <v>13</v>
      </c>
      <c r="AQ986" s="263" t="s">
        <v>668</v>
      </c>
      <c r="AR986" s="256" t="s">
        <v>34</v>
      </c>
      <c r="AS986" s="256" t="s">
        <v>34</v>
      </c>
      <c r="AT986" s="256"/>
      <c r="AW986" s="508"/>
      <c r="AX986" s="508"/>
      <c r="AY986" s="509"/>
      <c r="AZ986" s="509"/>
      <c r="BA986" s="509"/>
      <c r="BB986" s="510"/>
      <c r="BC986" s="509"/>
      <c r="BD986" s="509"/>
      <c r="BE986" s="509"/>
      <c r="BF986" s="509"/>
      <c r="BG986" s="510"/>
      <c r="BH986" s="510"/>
      <c r="BI986" s="511"/>
      <c r="BJ986" s="511"/>
      <c r="BK986" s="511"/>
      <c r="BL986" s="195"/>
      <c r="BM986" s="510"/>
      <c r="BN986" s="510"/>
      <c r="BO986" s="510"/>
      <c r="BP986" s="510"/>
      <c r="BQ986" s="510"/>
      <c r="BR986" s="510"/>
      <c r="BS986" s="510"/>
      <c r="BT986" s="513"/>
      <c r="BU986" s="514"/>
      <c r="BV986" s="512"/>
      <c r="BW986" s="515"/>
    </row>
    <row r="987" spans="2:75" ht="15.75" customHeight="1">
      <c r="B987" s="250" t="s">
        <v>58</v>
      </c>
      <c r="C987" s="251">
        <v>23657955000111</v>
      </c>
      <c r="D987" s="252" t="s">
        <v>14</v>
      </c>
      <c r="E987" s="252" t="s">
        <v>607</v>
      </c>
      <c r="F987" s="252"/>
      <c r="G987" s="253"/>
      <c r="H987" s="253" t="s">
        <v>34</v>
      </c>
      <c r="I987" s="253" t="s">
        <v>34</v>
      </c>
      <c r="J987" s="253" t="s">
        <v>611</v>
      </c>
      <c r="K987" s="254"/>
      <c r="L987" s="255"/>
      <c r="M987" s="255" t="s">
        <v>1414</v>
      </c>
      <c r="N987" s="254">
        <v>423084</v>
      </c>
      <c r="O987" s="254" t="s">
        <v>1324</v>
      </c>
      <c r="P987" s="258">
        <v>42611</v>
      </c>
      <c r="Q987" s="259">
        <v>9696255.7599999998</v>
      </c>
      <c r="R987" s="259">
        <v>8667562.9175396822</v>
      </c>
      <c r="S987" s="254">
        <v>32</v>
      </c>
      <c r="T987" s="256">
        <v>7.6972969036157135E-2</v>
      </c>
      <c r="U987" s="256">
        <v>0.9950445944198002</v>
      </c>
      <c r="V987" s="256">
        <v>8.5880201142654267E-2</v>
      </c>
      <c r="W987" s="256">
        <v>0.84191313185754602</v>
      </c>
      <c r="X987" s="256">
        <v>0.40777769648154005</v>
      </c>
      <c r="Y987" s="256">
        <v>3.0922523495400975</v>
      </c>
      <c r="Z987" s="256">
        <v>0.34180123402466012</v>
      </c>
      <c r="AA987" s="256">
        <v>1.9429090221443213</v>
      </c>
      <c r="AB987" s="256">
        <v>0.19567748880338767</v>
      </c>
      <c r="AC987" s="260">
        <v>2.1980903640125227E-2</v>
      </c>
      <c r="AD987" s="405">
        <v>0</v>
      </c>
      <c r="AE987" s="257" t="s">
        <v>2111</v>
      </c>
      <c r="AF987" s="257" t="s">
        <v>2112</v>
      </c>
      <c r="AG987" s="261" t="s">
        <v>59</v>
      </c>
      <c r="AH987" s="261" t="s">
        <v>2113</v>
      </c>
      <c r="AI987" s="261">
        <v>5000</v>
      </c>
      <c r="AJ987" s="261">
        <v>1000</v>
      </c>
      <c r="AK987" s="261">
        <v>1000</v>
      </c>
      <c r="AL987" s="519">
        <v>1.4999999999999999E-2</v>
      </c>
      <c r="AM987" s="519">
        <v>0.2</v>
      </c>
      <c r="AN987" s="256" t="s">
        <v>666</v>
      </c>
      <c r="AO987" s="254" t="s">
        <v>1324</v>
      </c>
      <c r="AP987" s="257" t="s">
        <v>716</v>
      </c>
      <c r="AQ987" s="263" t="s">
        <v>659</v>
      </c>
      <c r="AR987" s="256">
        <v>2.9999999999999996E-3</v>
      </c>
      <c r="AS987" s="256">
        <v>2.9999999999999996E-3</v>
      </c>
      <c r="AT987" s="256"/>
      <c r="AW987" s="508"/>
      <c r="AX987" s="508"/>
      <c r="AY987" s="509"/>
      <c r="AZ987" s="509"/>
      <c r="BA987" s="509"/>
      <c r="BB987" s="510"/>
      <c r="BC987" s="509"/>
      <c r="BD987" s="509"/>
      <c r="BE987" s="509"/>
      <c r="BF987" s="509"/>
      <c r="BG987" s="510"/>
      <c r="BH987" s="510"/>
      <c r="BI987" s="511"/>
      <c r="BJ987" s="511"/>
      <c r="BK987" s="511"/>
      <c r="BL987" s="195"/>
      <c r="BM987" s="510"/>
      <c r="BN987" s="510"/>
      <c r="BO987" s="510"/>
      <c r="BP987" s="510"/>
      <c r="BQ987" s="510"/>
      <c r="BR987" s="510"/>
      <c r="BS987" s="510"/>
      <c r="BT987" s="513"/>
      <c r="BU987" s="514"/>
      <c r="BV987" s="512"/>
      <c r="BW987" s="515"/>
    </row>
    <row r="988" spans="2:75" ht="15.75" customHeight="1">
      <c r="B988" s="250" t="s">
        <v>68</v>
      </c>
      <c r="C988" s="251">
        <v>18214066000140</v>
      </c>
      <c r="D988" s="252" t="s">
        <v>14</v>
      </c>
      <c r="E988" s="252" t="s">
        <v>607</v>
      </c>
      <c r="F988" s="252"/>
      <c r="G988" s="253"/>
      <c r="H988" s="253" t="s">
        <v>34</v>
      </c>
      <c r="I988" s="253" t="s">
        <v>34</v>
      </c>
      <c r="J988" s="253" t="s">
        <v>608</v>
      </c>
      <c r="K988" s="254" t="s">
        <v>48</v>
      </c>
      <c r="L988" s="255"/>
      <c r="M988" s="255" t="s">
        <v>1414</v>
      </c>
      <c r="N988" s="254">
        <v>431011</v>
      </c>
      <c r="O988" s="254" t="s">
        <v>1321</v>
      </c>
      <c r="P988" s="258">
        <v>42683</v>
      </c>
      <c r="Q988" s="259">
        <v>24444656.25</v>
      </c>
      <c r="R988" s="259">
        <v>27671284.156865079</v>
      </c>
      <c r="S988" s="254">
        <v>32</v>
      </c>
      <c r="T988" s="256">
        <v>-4.7402006992654733E-2</v>
      </c>
      <c r="U988" s="256">
        <v>-0.61277499638261934</v>
      </c>
      <c r="V988" s="256">
        <v>-6.2116915818821949E-2</v>
      </c>
      <c r="W988" s="256">
        <v>-0.60895347754817342</v>
      </c>
      <c r="X988" s="256">
        <v>5.7973542167801817E-3</v>
      </c>
      <c r="Y988" s="256">
        <v>4.3962390176399101E-2</v>
      </c>
      <c r="Z988" s="256">
        <v>-0.13906707352360503</v>
      </c>
      <c r="AA988" s="256">
        <v>-0.79050232982109714</v>
      </c>
      <c r="AB988" s="256">
        <v>0.19554355670297691</v>
      </c>
      <c r="AC988" s="260">
        <v>-0.72689597798868699</v>
      </c>
      <c r="AD988" s="405">
        <v>0</v>
      </c>
      <c r="AE988" s="257" t="s">
        <v>2125</v>
      </c>
      <c r="AF988" s="257" t="s">
        <v>2109</v>
      </c>
      <c r="AG988" s="261" t="s">
        <v>1432</v>
      </c>
      <c r="AH988" s="261" t="s">
        <v>2113</v>
      </c>
      <c r="AI988" s="261">
        <v>1000</v>
      </c>
      <c r="AJ988" s="261">
        <v>1000</v>
      </c>
      <c r="AK988" s="261">
        <v>1000</v>
      </c>
      <c r="AL988" s="519">
        <v>0.02</v>
      </c>
      <c r="AM988" s="519">
        <v>0.2</v>
      </c>
      <c r="AN988" s="256" t="s">
        <v>34</v>
      </c>
      <c r="AO988" s="254" t="s">
        <v>1324</v>
      </c>
      <c r="AP988" s="257" t="s">
        <v>716</v>
      </c>
      <c r="AQ988" s="263" t="s">
        <v>659</v>
      </c>
      <c r="AR988" s="256" t="s">
        <v>34</v>
      </c>
      <c r="AS988" s="256" t="s">
        <v>34</v>
      </c>
      <c r="AT988" s="256"/>
      <c r="AX988" s="508"/>
      <c r="AY988" s="509"/>
      <c r="AZ988" s="509"/>
      <c r="BA988" s="509"/>
      <c r="BB988" s="510"/>
      <c r="BC988" s="509"/>
      <c r="BD988" s="509"/>
      <c r="BE988" s="509"/>
      <c r="BF988" s="509"/>
      <c r="BG988" s="510"/>
      <c r="BH988" s="510"/>
      <c r="BI988" s="511"/>
      <c r="BJ988" s="511"/>
      <c r="BK988" s="511"/>
      <c r="BL988" s="510"/>
      <c r="BM988" s="510"/>
      <c r="BN988" s="510"/>
      <c r="BO988" s="510"/>
      <c r="BP988" s="510"/>
      <c r="BQ988" s="510"/>
      <c r="BR988" s="510"/>
      <c r="BS988" s="510"/>
      <c r="BT988" s="513"/>
      <c r="BU988" s="514"/>
      <c r="BV988" s="512"/>
      <c r="BW988" s="515"/>
    </row>
    <row r="989" spans="2:75" ht="15.75" customHeight="1">
      <c r="B989" s="250" t="s">
        <v>730</v>
      </c>
      <c r="C989" s="251">
        <v>26623196000164</v>
      </c>
      <c r="D989" s="252" t="s">
        <v>14</v>
      </c>
      <c r="E989" s="252" t="s">
        <v>607</v>
      </c>
      <c r="F989" s="252"/>
      <c r="G989" s="253"/>
      <c r="H989" s="253" t="s">
        <v>34</v>
      </c>
      <c r="I989" s="253" t="s">
        <v>34</v>
      </c>
      <c r="J989" s="253" t="s">
        <v>608</v>
      </c>
      <c r="K989" s="254" t="s">
        <v>48</v>
      </c>
      <c r="L989" s="255"/>
      <c r="M989" s="255" t="s">
        <v>34</v>
      </c>
      <c r="N989" s="254">
        <v>440906</v>
      </c>
      <c r="O989" s="254" t="s">
        <v>1321</v>
      </c>
      <c r="P989" s="258">
        <v>42761</v>
      </c>
      <c r="Q989" s="259">
        <v>160531226.66999999</v>
      </c>
      <c r="R989" s="259">
        <v>214221317.96603179</v>
      </c>
      <c r="S989" s="254">
        <v>32</v>
      </c>
      <c r="T989" s="256">
        <v>-4.808635516204407E-2</v>
      </c>
      <c r="U989" s="256">
        <v>-0.62162169874032724</v>
      </c>
      <c r="V989" s="256">
        <v>-0.23758081853919855</v>
      </c>
      <c r="W989" s="256">
        <v>-2.3290864290520448</v>
      </c>
      <c r="X989" s="256">
        <v>-0.14001028647087599</v>
      </c>
      <c r="Y989" s="256">
        <v>-1.0617234366542845</v>
      </c>
      <c r="Z989" s="256">
        <v>-9.0525848307289047E-3</v>
      </c>
      <c r="AA989" s="256">
        <v>-5.1457826919609824E-2</v>
      </c>
      <c r="AB989" s="256">
        <v>0.23230786670095488</v>
      </c>
      <c r="AC989" s="260">
        <v>-1.4693251630470123</v>
      </c>
      <c r="AD989" s="405">
        <v>16565058000112</v>
      </c>
      <c r="AE989" s="257" t="s">
        <v>2123</v>
      </c>
      <c r="AF989" s="257" t="s">
        <v>2109</v>
      </c>
      <c r="AG989" s="261" t="s">
        <v>1432</v>
      </c>
      <c r="AH989" s="261" t="s">
        <v>2110</v>
      </c>
      <c r="AI989" s="261">
        <v>5000</v>
      </c>
      <c r="AJ989" s="261">
        <v>1000</v>
      </c>
      <c r="AK989" s="261">
        <v>5000</v>
      </c>
      <c r="AL989" s="519">
        <v>7.4999999999999997E-3</v>
      </c>
      <c r="AM989" s="519">
        <v>0.1</v>
      </c>
      <c r="AN989" s="256" t="s">
        <v>34</v>
      </c>
      <c r="AO989" s="254" t="s">
        <v>1324</v>
      </c>
      <c r="AP989" s="257" t="s">
        <v>716</v>
      </c>
      <c r="AQ989" s="263" t="s">
        <v>659</v>
      </c>
      <c r="AR989" s="256">
        <v>6.0000000000000001E-3</v>
      </c>
      <c r="AS989" s="256">
        <v>6.0000000000000001E-3</v>
      </c>
      <c r="AT989" s="256"/>
      <c r="AX989" s="508"/>
      <c r="AY989" s="509"/>
      <c r="AZ989" s="509"/>
      <c r="BA989" s="509"/>
      <c r="BB989" s="510"/>
      <c r="BC989" s="509"/>
      <c r="BD989" s="509"/>
      <c r="BE989" s="509"/>
      <c r="BF989" s="509"/>
      <c r="BG989" s="510"/>
      <c r="BH989" s="510"/>
      <c r="BI989" s="511"/>
      <c r="BJ989" s="511"/>
      <c r="BK989" s="511"/>
      <c r="BL989" s="510"/>
      <c r="BM989" s="510"/>
      <c r="BN989" s="510"/>
      <c r="BO989" s="510"/>
      <c r="BP989" s="510"/>
      <c r="BQ989" s="510"/>
      <c r="BR989" s="510"/>
      <c r="BS989" s="510"/>
      <c r="BT989" s="513"/>
      <c r="BU989" s="514"/>
      <c r="BV989" s="512"/>
      <c r="BW989" s="515"/>
    </row>
    <row r="990" spans="2:75" ht="15.75" customHeight="1">
      <c r="B990" s="250" t="s">
        <v>1405</v>
      </c>
      <c r="C990" s="251">
        <v>47548587000131</v>
      </c>
      <c r="D990" s="252" t="s">
        <v>14</v>
      </c>
      <c r="E990" s="252" t="s">
        <v>607</v>
      </c>
      <c r="F990" s="252"/>
      <c r="G990" s="253"/>
      <c r="H990" s="253" t="s">
        <v>34</v>
      </c>
      <c r="I990" s="253" t="s">
        <v>34</v>
      </c>
      <c r="J990" s="253" t="s">
        <v>608</v>
      </c>
      <c r="K990" s="254" t="s">
        <v>48</v>
      </c>
      <c r="L990" s="255"/>
      <c r="M990" s="255" t="s">
        <v>1414</v>
      </c>
      <c r="N990" s="254">
        <v>668443</v>
      </c>
      <c r="O990" s="254" t="s">
        <v>1321</v>
      </c>
      <c r="P990" s="258">
        <v>44804</v>
      </c>
      <c r="Q990" s="259">
        <v>5060000</v>
      </c>
      <c r="R990" s="259" t="s">
        <v>1417</v>
      </c>
      <c r="S990" s="254">
        <v>32</v>
      </c>
      <c r="T990" s="256" t="s">
        <v>1417</v>
      </c>
      <c r="U990" s="256" t="s">
        <v>1417</v>
      </c>
      <c r="V990" s="256" t="s">
        <v>1417</v>
      </c>
      <c r="W990" s="256" t="s">
        <v>1417</v>
      </c>
      <c r="X990" s="256" t="s">
        <v>1417</v>
      </c>
      <c r="Y990" s="256" t="s">
        <v>1417</v>
      </c>
      <c r="Z990" s="256" t="s">
        <v>1417</v>
      </c>
      <c r="AA990" s="256" t="s">
        <v>1417</v>
      </c>
      <c r="AB990" s="256" t="s">
        <v>1417</v>
      </c>
      <c r="AC990" s="260" t="s">
        <v>1417</v>
      </c>
      <c r="AD990" s="405">
        <v>0</v>
      </c>
      <c r="AE990" s="257" t="s">
        <v>2123</v>
      </c>
      <c r="AF990" s="257" t="s">
        <v>2109</v>
      </c>
      <c r="AG990" s="261" t="s">
        <v>1432</v>
      </c>
      <c r="AH990" s="261" t="s">
        <v>2110</v>
      </c>
      <c r="AI990" s="261" t="s">
        <v>1427</v>
      </c>
      <c r="AJ990" s="261" t="s">
        <v>1427</v>
      </c>
      <c r="AK990" s="261" t="s">
        <v>1427</v>
      </c>
      <c r="AL990" s="519">
        <v>0</v>
      </c>
      <c r="AM990" s="519" t="s">
        <v>34</v>
      </c>
      <c r="AN990" s="256" t="s">
        <v>2127</v>
      </c>
      <c r="AO990" s="254" t="s">
        <v>1324</v>
      </c>
      <c r="AP990" s="257" t="s">
        <v>716</v>
      </c>
      <c r="AQ990" s="263" t="s">
        <v>659</v>
      </c>
      <c r="AR990" s="256" t="s">
        <v>34</v>
      </c>
      <c r="AS990" s="256" t="s">
        <v>34</v>
      </c>
      <c r="AT990" s="256"/>
      <c r="AX990" s="508"/>
      <c r="AY990" s="509"/>
      <c r="AZ990" s="509"/>
      <c r="BA990" s="509"/>
      <c r="BB990" s="510"/>
      <c r="BC990" s="509"/>
      <c r="BD990" s="509"/>
      <c r="BE990" s="509"/>
      <c r="BF990" s="509"/>
      <c r="BG990" s="510"/>
      <c r="BH990" s="510"/>
      <c r="BI990" s="511"/>
      <c r="BJ990" s="511"/>
      <c r="BK990" s="511"/>
      <c r="BL990" s="510"/>
      <c r="BM990" s="510"/>
      <c r="BN990" s="510"/>
      <c r="BO990" s="510"/>
      <c r="BP990" s="510"/>
      <c r="BQ990" s="510"/>
      <c r="BR990" s="510"/>
      <c r="BS990" s="510"/>
      <c r="BT990" s="513"/>
      <c r="BU990" s="514"/>
      <c r="BV990" s="512"/>
      <c r="BW990" s="515"/>
    </row>
    <row r="991" spans="2:75" ht="15.75" customHeight="1">
      <c r="B991" s="250" t="s">
        <v>746</v>
      </c>
      <c r="C991" s="251">
        <v>34839385000105</v>
      </c>
      <c r="D991" s="252" t="s">
        <v>14</v>
      </c>
      <c r="E991" s="252" t="s">
        <v>614</v>
      </c>
      <c r="F991" s="252"/>
      <c r="G991" s="253"/>
      <c r="H991" s="253" t="s">
        <v>1338</v>
      </c>
      <c r="I991" s="253" t="s">
        <v>34</v>
      </c>
      <c r="J991" s="253" t="s">
        <v>608</v>
      </c>
      <c r="K991" s="254" t="s">
        <v>48</v>
      </c>
      <c r="L991" s="255"/>
      <c r="M991" s="255" t="s">
        <v>1414</v>
      </c>
      <c r="N991" s="254">
        <v>527874</v>
      </c>
      <c r="O991" s="254" t="s">
        <v>1321</v>
      </c>
      <c r="P991" s="258">
        <v>43888</v>
      </c>
      <c r="Q991" s="259">
        <v>90934950.75</v>
      </c>
      <c r="R991" s="259">
        <v>131853489.71853176</v>
      </c>
      <c r="S991" s="254">
        <v>32</v>
      </c>
      <c r="T991" s="256">
        <v>9.931208441592343E-3</v>
      </c>
      <c r="U991" s="256">
        <v>0.12838266991131392</v>
      </c>
      <c r="V991" s="256">
        <v>-0.199410608346824</v>
      </c>
      <c r="W991" s="256">
        <v>-1.9548907380878113</v>
      </c>
      <c r="X991" s="256">
        <v>-0.15497227099763167</v>
      </c>
      <c r="Y991" s="256">
        <v>-1.1751828833230096</v>
      </c>
      <c r="Z991" s="256">
        <v>-9.1894441599409626E-2</v>
      </c>
      <c r="AA991" s="256">
        <v>-0.52235779715039299</v>
      </c>
      <c r="AB991" s="256">
        <v>0.29683657209956094</v>
      </c>
      <c r="AC991" s="260">
        <v>-0.92802334918545604</v>
      </c>
      <c r="AD991" s="405">
        <v>31690716000191</v>
      </c>
      <c r="AE991" s="257" t="s">
        <v>2138</v>
      </c>
      <c r="AF991" s="257" t="s">
        <v>2118</v>
      </c>
      <c r="AG991" s="261" t="s">
        <v>1433</v>
      </c>
      <c r="AH991" s="261" t="s">
        <v>2110</v>
      </c>
      <c r="AI991" s="261">
        <v>5000</v>
      </c>
      <c r="AJ991" s="261">
        <v>1000</v>
      </c>
      <c r="AK991" s="261">
        <v>1000</v>
      </c>
      <c r="AL991" s="519">
        <v>1.8700000000000001E-2</v>
      </c>
      <c r="AM991" s="519">
        <v>0.2</v>
      </c>
      <c r="AN991" s="256" t="s">
        <v>150</v>
      </c>
      <c r="AO991" s="254" t="s">
        <v>1324</v>
      </c>
      <c r="AP991" s="257" t="s">
        <v>716</v>
      </c>
      <c r="AQ991" s="263" t="s">
        <v>659</v>
      </c>
      <c r="AR991" s="256">
        <v>2.4666666666666665E-3</v>
      </c>
      <c r="AS991" s="256">
        <v>2.4666666666666665E-3</v>
      </c>
      <c r="AT991" s="256"/>
      <c r="AX991" s="508"/>
      <c r="AY991" s="509"/>
      <c r="AZ991" s="509"/>
      <c r="BA991" s="509"/>
      <c r="BB991" s="510"/>
      <c r="BC991" s="509"/>
      <c r="BD991" s="509"/>
      <c r="BE991" s="509"/>
      <c r="BF991" s="509"/>
      <c r="BG991" s="510"/>
      <c r="BH991" s="510"/>
      <c r="BI991" s="511"/>
      <c r="BJ991" s="511"/>
      <c r="BK991" s="511"/>
      <c r="BL991" s="510"/>
      <c r="BM991" s="510"/>
      <c r="BN991" s="510"/>
      <c r="BO991" s="510"/>
      <c r="BP991" s="510"/>
      <c r="BQ991" s="510"/>
      <c r="BR991" s="510"/>
      <c r="BS991" s="510"/>
      <c r="BT991" s="513"/>
      <c r="BU991" s="514"/>
      <c r="BV991" s="512"/>
      <c r="BW991" s="515"/>
    </row>
    <row r="992" spans="2:75" ht="15.75" customHeight="1">
      <c r="B992" s="250" t="s">
        <v>747</v>
      </c>
      <c r="C992" s="251">
        <v>36352721000108</v>
      </c>
      <c r="D992" s="252" t="s">
        <v>14</v>
      </c>
      <c r="E992" s="252" t="s">
        <v>607</v>
      </c>
      <c r="F992" s="252"/>
      <c r="G992" s="253"/>
      <c r="H992" s="253" t="s">
        <v>34</v>
      </c>
      <c r="I992" s="253" t="s">
        <v>34</v>
      </c>
      <c r="J992" s="253" t="s">
        <v>608</v>
      </c>
      <c r="K992" s="254" t="s">
        <v>48</v>
      </c>
      <c r="L992" s="255"/>
      <c r="M992" s="255" t="s">
        <v>1414</v>
      </c>
      <c r="N992" s="254">
        <v>540188</v>
      </c>
      <c r="O992" s="254" t="s">
        <v>1321</v>
      </c>
      <c r="P992" s="258">
        <v>44000</v>
      </c>
      <c r="Q992" s="259">
        <v>2807551.78</v>
      </c>
      <c r="R992" s="259">
        <v>4403306.8141666641</v>
      </c>
      <c r="S992" s="254">
        <v>32</v>
      </c>
      <c r="T992" s="256">
        <v>-6.7261803153378819E-2</v>
      </c>
      <c r="U992" s="256">
        <v>-0.86950645761448286</v>
      </c>
      <c r="V992" s="256">
        <v>-0.25963128636390265</v>
      </c>
      <c r="W992" s="256">
        <v>-2.5452547446616385</v>
      </c>
      <c r="X992" s="256">
        <v>-0.20218720655161815</v>
      </c>
      <c r="Y992" s="256">
        <v>-1.5332223167200452</v>
      </c>
      <c r="Z992" s="256" t="s">
        <v>1417</v>
      </c>
      <c r="AA992" s="256" t="s">
        <v>1417</v>
      </c>
      <c r="AB992" s="256">
        <v>0.27672402925307443</v>
      </c>
      <c r="AC992" s="260">
        <v>-1.2985988328195812</v>
      </c>
      <c r="AD992" s="405">
        <v>36352677000136</v>
      </c>
      <c r="AE992" s="257" t="s">
        <v>2138</v>
      </c>
      <c r="AF992" s="257" t="s">
        <v>2118</v>
      </c>
      <c r="AG992" s="261" t="s">
        <v>1433</v>
      </c>
      <c r="AH992" s="261" t="s">
        <v>2113</v>
      </c>
      <c r="AI992" s="261">
        <v>1000</v>
      </c>
      <c r="AJ992" s="261">
        <v>0</v>
      </c>
      <c r="AK992" s="261">
        <v>1000</v>
      </c>
      <c r="AL992" s="519">
        <v>0.02</v>
      </c>
      <c r="AM992" s="519">
        <v>0.2</v>
      </c>
      <c r="AN992" s="256" t="s">
        <v>34</v>
      </c>
      <c r="AO992" s="254" t="s">
        <v>1324</v>
      </c>
      <c r="AP992" s="257" t="s">
        <v>716</v>
      </c>
      <c r="AQ992" s="263" t="s">
        <v>659</v>
      </c>
      <c r="AR992" s="256">
        <v>2.6666666666666666E-3</v>
      </c>
      <c r="AS992" s="256">
        <v>2.6666666666666666E-3</v>
      </c>
      <c r="AT992" s="256"/>
      <c r="AX992" s="508"/>
      <c r="AY992" s="509"/>
      <c r="AZ992" s="509"/>
      <c r="BA992" s="509"/>
      <c r="BB992" s="510"/>
      <c r="BC992" s="509"/>
      <c r="BD992" s="509"/>
      <c r="BE992" s="509"/>
      <c r="BF992" s="509"/>
      <c r="BG992" s="510"/>
      <c r="BH992" s="510"/>
      <c r="BI992" s="511"/>
      <c r="BJ992" s="511"/>
      <c r="BK992" s="511"/>
      <c r="BL992" s="510"/>
      <c r="BM992" s="510"/>
      <c r="BN992" s="510"/>
      <c r="BO992" s="510"/>
      <c r="BP992" s="510"/>
      <c r="BQ992" s="510"/>
      <c r="BR992" s="510"/>
      <c r="BS992" s="510"/>
      <c r="BT992" s="513"/>
      <c r="BU992" s="514"/>
      <c r="BV992" s="512"/>
      <c r="BW992" s="515"/>
    </row>
    <row r="993" spans="2:75" ht="15.75" customHeight="1">
      <c r="B993" s="250" t="s">
        <v>762</v>
      </c>
      <c r="C993" s="251">
        <v>4812385000142</v>
      </c>
      <c r="D993" s="252" t="s">
        <v>14</v>
      </c>
      <c r="E993" s="252" t="s">
        <v>614</v>
      </c>
      <c r="F993" s="252"/>
      <c r="G993" s="253"/>
      <c r="H993" s="253" t="s">
        <v>1338</v>
      </c>
      <c r="I993" s="253" t="s">
        <v>34</v>
      </c>
      <c r="J993" s="253" t="s">
        <v>608</v>
      </c>
      <c r="K993" s="254" t="s">
        <v>48</v>
      </c>
      <c r="L993" s="255"/>
      <c r="M993" s="255" t="s">
        <v>1414</v>
      </c>
      <c r="N993" s="254">
        <v>379360</v>
      </c>
      <c r="O993" s="254" t="s">
        <v>1321</v>
      </c>
      <c r="P993" s="258">
        <v>41814</v>
      </c>
      <c r="Q993" s="259">
        <v>25196943.449999999</v>
      </c>
      <c r="R993" s="259">
        <v>28132140.824365061</v>
      </c>
      <c r="S993" s="254">
        <v>32</v>
      </c>
      <c r="T993" s="256">
        <v>-0.10739451686480272</v>
      </c>
      <c r="U993" s="256">
        <v>-1.3883098809200243</v>
      </c>
      <c r="V993" s="256">
        <v>-0.22674558972041359</v>
      </c>
      <c r="W993" s="256">
        <v>-2.2228649564909428</v>
      </c>
      <c r="X993" s="256">
        <v>-7.601683730147768E-2</v>
      </c>
      <c r="Y993" s="256">
        <v>-0.576449486517571</v>
      </c>
      <c r="Z993" s="256">
        <v>-0.1687007821060853</v>
      </c>
      <c r="AA993" s="256">
        <v>-0.95894993630440961</v>
      </c>
      <c r="AB993" s="256">
        <v>0.19283009079548843</v>
      </c>
      <c r="AC993" s="260">
        <v>-1.7405471878551948</v>
      </c>
      <c r="AD993" s="405">
        <v>0</v>
      </c>
      <c r="AE993" s="257" t="s">
        <v>2145</v>
      </c>
      <c r="AF993" s="257" t="s">
        <v>2118</v>
      </c>
      <c r="AG993" s="261" t="s">
        <v>1433</v>
      </c>
      <c r="AH993" s="261" t="s">
        <v>2113</v>
      </c>
      <c r="AI993" s="261">
        <v>100000</v>
      </c>
      <c r="AJ993" s="261">
        <v>1000</v>
      </c>
      <c r="AK993" s="261">
        <v>1000</v>
      </c>
      <c r="AL993" s="519">
        <v>0.02</v>
      </c>
      <c r="AM993" s="519">
        <v>0.1</v>
      </c>
      <c r="AN993" s="256" t="s">
        <v>2127</v>
      </c>
      <c r="AO993" s="254" t="s">
        <v>1324</v>
      </c>
      <c r="AP993" s="257" t="s">
        <v>716</v>
      </c>
      <c r="AQ993" s="263" t="s">
        <v>659</v>
      </c>
      <c r="AR993" s="256" t="s">
        <v>34</v>
      </c>
      <c r="AS993" s="256" t="s">
        <v>34</v>
      </c>
      <c r="AT993" s="256"/>
      <c r="AX993" s="508"/>
      <c r="AY993" s="509"/>
      <c r="AZ993" s="509"/>
      <c r="BA993" s="509"/>
      <c r="BB993" s="510"/>
      <c r="BC993" s="509"/>
      <c r="BD993" s="509"/>
      <c r="BE993" s="509"/>
      <c r="BF993" s="509"/>
      <c r="BG993" s="510"/>
      <c r="BH993" s="510"/>
      <c r="BI993" s="511"/>
      <c r="BJ993" s="511"/>
      <c r="BK993" s="511"/>
      <c r="BL993" s="510"/>
      <c r="BM993" s="510"/>
      <c r="BN993" s="510"/>
      <c r="BO993" s="510"/>
      <c r="BP993" s="510"/>
      <c r="BQ993" s="510"/>
      <c r="BR993" s="510"/>
      <c r="BS993" s="510"/>
      <c r="BT993" s="513"/>
      <c r="BU993" s="514"/>
      <c r="BV993" s="512"/>
      <c r="BW993" s="515"/>
    </row>
    <row r="994" spans="2:75" ht="15.75" customHeight="1">
      <c r="B994" s="250" t="s">
        <v>94</v>
      </c>
      <c r="C994" s="251">
        <v>10237480000162</v>
      </c>
      <c r="D994" s="252" t="s">
        <v>14</v>
      </c>
      <c r="E994" s="252" t="s">
        <v>607</v>
      </c>
      <c r="F994" s="252"/>
      <c r="G994" s="253"/>
      <c r="H994" s="253" t="s">
        <v>34</v>
      </c>
      <c r="I994" s="253" t="s">
        <v>34</v>
      </c>
      <c r="J994" s="253" t="s">
        <v>608</v>
      </c>
      <c r="K994" s="254" t="s">
        <v>48</v>
      </c>
      <c r="L994" s="255"/>
      <c r="M994" s="255" t="s">
        <v>34</v>
      </c>
      <c r="N994" s="254">
        <v>216542</v>
      </c>
      <c r="O994" s="254" t="s">
        <v>1321</v>
      </c>
      <c r="P994" s="258">
        <v>39696</v>
      </c>
      <c r="Q994" s="259">
        <v>27680569.469999999</v>
      </c>
      <c r="R994" s="259">
        <v>36859212.140079372</v>
      </c>
      <c r="S994" s="254">
        <v>32</v>
      </c>
      <c r="T994" s="256">
        <v>4.4582883524346695E-3</v>
      </c>
      <c r="U994" s="256">
        <v>5.7633163706742624E-2</v>
      </c>
      <c r="V994" s="256">
        <v>-0.20025123121569688</v>
      </c>
      <c r="W994" s="256">
        <v>-1.9631316530231202</v>
      </c>
      <c r="X994" s="256">
        <v>-9.1959550926308031E-2</v>
      </c>
      <c r="Y994" s="256">
        <v>-0.69734598009678361</v>
      </c>
      <c r="Z994" s="256">
        <v>-4.6877351576188109E-2</v>
      </c>
      <c r="AA994" s="256">
        <v>-0.26646606344620777</v>
      </c>
      <c r="AB994" s="256">
        <v>0.23302784699563925</v>
      </c>
      <c r="AC994" s="260">
        <v>-1.2589341967558996</v>
      </c>
      <c r="AD994" s="405">
        <v>26703040000193</v>
      </c>
      <c r="AE994" s="257" t="s">
        <v>2152</v>
      </c>
      <c r="AF994" s="257" t="s">
        <v>2118</v>
      </c>
      <c r="AG994" s="261" t="s">
        <v>1433</v>
      </c>
      <c r="AH994" s="261" t="s">
        <v>2113</v>
      </c>
      <c r="AI994" s="261">
        <v>1000</v>
      </c>
      <c r="AJ994" s="261">
        <v>1000</v>
      </c>
      <c r="AK994" s="261">
        <v>1000</v>
      </c>
      <c r="AL994" s="519">
        <v>0.02</v>
      </c>
      <c r="AM994" s="519">
        <v>0.2</v>
      </c>
      <c r="AN994" s="256" t="s">
        <v>666</v>
      </c>
      <c r="AO994" s="254" t="s">
        <v>1324</v>
      </c>
      <c r="AP994" s="257" t="s">
        <v>716</v>
      </c>
      <c r="AQ994" s="263" t="s">
        <v>659</v>
      </c>
      <c r="AR994" s="256">
        <v>4.6666666666666662E-3</v>
      </c>
      <c r="AS994" s="256">
        <v>4.6666666666666662E-3</v>
      </c>
      <c r="AT994" s="256"/>
      <c r="AX994" s="508"/>
      <c r="AY994" s="509"/>
      <c r="AZ994" s="509"/>
      <c r="BA994" s="509"/>
      <c r="BB994" s="510"/>
      <c r="BC994" s="509"/>
      <c r="BD994" s="509"/>
      <c r="BE994" s="509"/>
      <c r="BF994" s="509"/>
      <c r="BG994" s="510"/>
      <c r="BH994" s="510"/>
      <c r="BI994" s="511"/>
      <c r="BJ994" s="511"/>
      <c r="BK994" s="511"/>
      <c r="BL994" s="510"/>
      <c r="BM994" s="510"/>
      <c r="BN994" s="510"/>
      <c r="BO994" s="510"/>
      <c r="BP994" s="510"/>
      <c r="BQ994" s="510"/>
      <c r="BR994" s="510"/>
      <c r="BS994" s="510"/>
      <c r="BT994" s="513"/>
      <c r="BU994" s="514"/>
      <c r="BV994" s="512"/>
      <c r="BW994" s="515"/>
    </row>
    <row r="995" spans="2:75" ht="15.75" customHeight="1">
      <c r="B995" s="250" t="s">
        <v>565</v>
      </c>
      <c r="C995" s="251">
        <v>38597242000187</v>
      </c>
      <c r="D995" s="252" t="s">
        <v>14</v>
      </c>
      <c r="E995" s="252" t="s">
        <v>614</v>
      </c>
      <c r="F995" s="252"/>
      <c r="G995" s="253"/>
      <c r="H995" s="253" t="s">
        <v>1338</v>
      </c>
      <c r="I995" s="253" t="s">
        <v>34</v>
      </c>
      <c r="J995" s="253" t="s">
        <v>608</v>
      </c>
      <c r="K995" s="254" t="s">
        <v>48</v>
      </c>
      <c r="L995" s="255"/>
      <c r="M995" s="255" t="s">
        <v>34</v>
      </c>
      <c r="N995" s="254">
        <v>592854</v>
      </c>
      <c r="O995" s="254" t="s">
        <v>1321</v>
      </c>
      <c r="P995" s="258">
        <v>44355</v>
      </c>
      <c r="Q995" s="259">
        <v>26196110.289999999</v>
      </c>
      <c r="R995" s="259">
        <v>27358493.839007933</v>
      </c>
      <c r="S995" s="254">
        <v>32</v>
      </c>
      <c r="T995" s="256">
        <v>-7.7754293390365214E-3</v>
      </c>
      <c r="U995" s="256">
        <v>-0.10051449268466044</v>
      </c>
      <c r="V995" s="256">
        <v>-0.11182810237550156</v>
      </c>
      <c r="W995" s="256">
        <v>-1.0962893268525822</v>
      </c>
      <c r="X995" s="256" t="s">
        <v>1417</v>
      </c>
      <c r="Y995" s="256" t="s">
        <v>1417</v>
      </c>
      <c r="Z995" s="256" t="s">
        <v>1417</v>
      </c>
      <c r="AA995" s="256" t="s">
        <v>1417</v>
      </c>
      <c r="AB995" s="256">
        <v>0.20777426780730981</v>
      </c>
      <c r="AC995" s="260">
        <v>-0.93432460716485721</v>
      </c>
      <c r="AD995" s="405">
        <v>38597428000136</v>
      </c>
      <c r="AE995" s="257" t="s">
        <v>2153</v>
      </c>
      <c r="AF995" s="257" t="s">
        <v>2118</v>
      </c>
      <c r="AG995" s="261" t="s">
        <v>1433</v>
      </c>
      <c r="AH995" s="261" t="s">
        <v>2110</v>
      </c>
      <c r="AI995" s="261">
        <v>10000</v>
      </c>
      <c r="AJ995" s="261" t="s">
        <v>1427</v>
      </c>
      <c r="AK995" s="261">
        <v>5000</v>
      </c>
      <c r="AL995" s="519">
        <v>1.9E-2</v>
      </c>
      <c r="AM995" s="519">
        <v>0.2</v>
      </c>
      <c r="AN995" s="256" t="s">
        <v>34</v>
      </c>
      <c r="AO995" s="254" t="s">
        <v>1324</v>
      </c>
      <c r="AP995" s="257" t="s">
        <v>13</v>
      </c>
      <c r="AQ995" s="263" t="s">
        <v>668</v>
      </c>
      <c r="AR995" s="256">
        <v>3.7999999999999996E-3</v>
      </c>
      <c r="AS995" s="256">
        <v>3.7999999999999996E-3</v>
      </c>
      <c r="AT995" s="256"/>
      <c r="AX995" s="508"/>
      <c r="AY995" s="509"/>
      <c r="AZ995" s="509"/>
      <c r="BA995" s="509"/>
      <c r="BB995" s="510"/>
      <c r="BC995" s="509"/>
      <c r="BD995" s="509"/>
      <c r="BE995" s="509"/>
      <c r="BF995" s="509"/>
      <c r="BG995" s="510"/>
      <c r="BH995" s="510"/>
      <c r="BI995" s="511"/>
      <c r="BJ995" s="511"/>
      <c r="BK995" s="511"/>
      <c r="BL995" s="510"/>
      <c r="BM995" s="510"/>
      <c r="BN995" s="510"/>
      <c r="BO995" s="510"/>
      <c r="BP995" s="510"/>
      <c r="BQ995" s="510"/>
      <c r="BR995" s="510"/>
      <c r="BS995" s="510"/>
      <c r="BT995" s="513"/>
      <c r="BU995" s="514"/>
      <c r="BV995" s="512"/>
      <c r="BW995" s="515"/>
    </row>
    <row r="996" spans="2:75" ht="15.75" customHeight="1">
      <c r="B996" s="250" t="s">
        <v>777</v>
      </c>
      <c r="C996" s="251">
        <v>43917039000180</v>
      </c>
      <c r="D996" s="252" t="s">
        <v>14</v>
      </c>
      <c r="E996" s="252" t="s">
        <v>607</v>
      </c>
      <c r="F996" s="252"/>
      <c r="G996" s="253"/>
      <c r="H996" s="253" t="s">
        <v>34</v>
      </c>
      <c r="I996" s="253" t="s">
        <v>34</v>
      </c>
      <c r="J996" s="253" t="s">
        <v>608</v>
      </c>
      <c r="K996" s="254" t="s">
        <v>48</v>
      </c>
      <c r="L996" s="255"/>
      <c r="M996" s="255" t="s">
        <v>34</v>
      </c>
      <c r="N996" s="254">
        <v>626007</v>
      </c>
      <c r="O996" s="254" t="s">
        <v>1321</v>
      </c>
      <c r="P996" s="258">
        <v>44530</v>
      </c>
      <c r="Q996" s="259">
        <v>90032571.409999996</v>
      </c>
      <c r="R996" s="259" t="s">
        <v>1417</v>
      </c>
      <c r="S996" s="254">
        <v>32</v>
      </c>
      <c r="T996" s="256">
        <v>-9.7601733478139496E-2</v>
      </c>
      <c r="U996" s="256">
        <v>-1.2617166587117705</v>
      </c>
      <c r="V996" s="256" t="s">
        <v>1417</v>
      </c>
      <c r="W996" s="256" t="s">
        <v>1417</v>
      </c>
      <c r="X996" s="256" t="s">
        <v>1417</v>
      </c>
      <c r="Y996" s="256" t="s">
        <v>1417</v>
      </c>
      <c r="Z996" s="256" t="s">
        <v>1417</v>
      </c>
      <c r="AA996" s="256" t="s">
        <v>1417</v>
      </c>
      <c r="AB996" s="256" t="s">
        <v>1417</v>
      </c>
      <c r="AC996" s="260" t="s">
        <v>1417</v>
      </c>
      <c r="AD996" s="405">
        <v>43909011000100</v>
      </c>
      <c r="AE996" s="257" t="s">
        <v>2154</v>
      </c>
      <c r="AF996" s="257" t="s">
        <v>2109</v>
      </c>
      <c r="AG996" s="261" t="s">
        <v>1432</v>
      </c>
      <c r="AH996" s="261" t="s">
        <v>2110</v>
      </c>
      <c r="AI996" s="261">
        <v>500</v>
      </c>
      <c r="AJ996" s="261">
        <v>500</v>
      </c>
      <c r="AK996" s="261">
        <v>500</v>
      </c>
      <c r="AL996" s="519">
        <v>1.8000000000000002E-2</v>
      </c>
      <c r="AM996" s="519">
        <v>0.2</v>
      </c>
      <c r="AN996" s="256" t="s">
        <v>2127</v>
      </c>
      <c r="AO996" s="254" t="s">
        <v>1324</v>
      </c>
      <c r="AP996" s="257" t="s">
        <v>716</v>
      </c>
      <c r="AQ996" s="263" t="s">
        <v>659</v>
      </c>
      <c r="AR996" s="256">
        <v>4.8005999999999995E-3</v>
      </c>
      <c r="AS996" s="256">
        <v>4.8005999999999995E-3</v>
      </c>
      <c r="AT996" s="256"/>
      <c r="AX996" s="508"/>
      <c r="AY996" s="509"/>
      <c r="AZ996" s="509"/>
      <c r="BA996" s="509"/>
      <c r="BB996" s="510"/>
      <c r="BC996" s="509"/>
      <c r="BD996" s="509"/>
      <c r="BE996" s="509"/>
      <c r="BF996" s="509"/>
      <c r="BG996" s="510"/>
      <c r="BH996" s="510"/>
      <c r="BI996" s="511"/>
      <c r="BJ996" s="511"/>
      <c r="BK996" s="511"/>
      <c r="BL996" s="510"/>
      <c r="BM996" s="510"/>
      <c r="BN996" s="510"/>
      <c r="BO996" s="510"/>
      <c r="BP996" s="510"/>
      <c r="BQ996" s="510"/>
      <c r="BR996" s="510"/>
      <c r="BS996" s="510"/>
      <c r="BT996" s="513"/>
      <c r="BU996" s="514"/>
      <c r="BV996" s="512"/>
      <c r="BW996" s="515"/>
    </row>
    <row r="997" spans="2:75" ht="15.75" customHeight="1">
      <c r="B997" s="250" t="s">
        <v>778</v>
      </c>
      <c r="C997" s="251">
        <v>43915574000100</v>
      </c>
      <c r="D997" s="252" t="s">
        <v>14</v>
      </c>
      <c r="E997" s="252" t="s">
        <v>607</v>
      </c>
      <c r="F997" s="252"/>
      <c r="G997" s="253"/>
      <c r="H997" s="253" t="s">
        <v>34</v>
      </c>
      <c r="I997" s="253" t="s">
        <v>34</v>
      </c>
      <c r="J997" s="253" t="s">
        <v>608</v>
      </c>
      <c r="K997" s="254" t="s">
        <v>48</v>
      </c>
      <c r="L997" s="255"/>
      <c r="M997" s="255" t="s">
        <v>34</v>
      </c>
      <c r="N997" s="254">
        <v>625906</v>
      </c>
      <c r="O997" s="254" t="s">
        <v>1321</v>
      </c>
      <c r="P997" s="258">
        <v>44530</v>
      </c>
      <c r="Q997" s="259">
        <v>15750367.58</v>
      </c>
      <c r="R997" s="259" t="s">
        <v>1417</v>
      </c>
      <c r="S997" s="254">
        <v>32</v>
      </c>
      <c r="T997" s="256">
        <v>-9.6455641277228388E-2</v>
      </c>
      <c r="U997" s="256">
        <v>-1.2469009011347489</v>
      </c>
      <c r="V997" s="256" t="s">
        <v>1417</v>
      </c>
      <c r="W997" s="256" t="s">
        <v>1417</v>
      </c>
      <c r="X997" s="256" t="s">
        <v>1417</v>
      </c>
      <c r="Y997" s="256" t="s">
        <v>1417</v>
      </c>
      <c r="Z997" s="256" t="s">
        <v>1417</v>
      </c>
      <c r="AA997" s="256" t="s">
        <v>1417</v>
      </c>
      <c r="AB997" s="256" t="s">
        <v>1417</v>
      </c>
      <c r="AC997" s="260" t="s">
        <v>1417</v>
      </c>
      <c r="AD997" s="405">
        <v>43907839000110</v>
      </c>
      <c r="AE997" s="257" t="s">
        <v>2154</v>
      </c>
      <c r="AF997" s="257" t="s">
        <v>2109</v>
      </c>
      <c r="AG997" s="261" t="s">
        <v>1432</v>
      </c>
      <c r="AH997" s="261" t="s">
        <v>2113</v>
      </c>
      <c r="AI997" s="261">
        <v>500</v>
      </c>
      <c r="AJ997" s="261">
        <v>500</v>
      </c>
      <c r="AK997" s="261">
        <v>500</v>
      </c>
      <c r="AL997" s="519">
        <v>1.8000000000000002E-2</v>
      </c>
      <c r="AM997" s="519">
        <v>0.2</v>
      </c>
      <c r="AN997" s="256" t="s">
        <v>2127</v>
      </c>
      <c r="AO997" s="254" t="s">
        <v>1324</v>
      </c>
      <c r="AP997" s="257" t="s">
        <v>716</v>
      </c>
      <c r="AQ997" s="263" t="s">
        <v>659</v>
      </c>
      <c r="AR997" s="256">
        <v>4.8005999999999995E-3</v>
      </c>
      <c r="AS997" s="256">
        <v>4.8005999999999995E-3</v>
      </c>
      <c r="AT997" s="256"/>
      <c r="AX997" s="508"/>
      <c r="AY997" s="509"/>
      <c r="AZ997" s="509"/>
      <c r="BA997" s="509"/>
      <c r="BB997" s="510"/>
      <c r="BC997" s="509"/>
      <c r="BD997" s="509"/>
      <c r="BE997" s="509"/>
      <c r="BF997" s="509"/>
      <c r="BG997" s="510"/>
      <c r="BH997" s="510"/>
      <c r="BI997" s="511"/>
      <c r="BJ997" s="511"/>
      <c r="BK997" s="511"/>
      <c r="BL997" s="510"/>
      <c r="BM997" s="510"/>
      <c r="BN997" s="510"/>
      <c r="BO997" s="510"/>
      <c r="BP997" s="510"/>
      <c r="BQ997" s="510"/>
      <c r="BR997" s="510"/>
      <c r="BS997" s="510"/>
      <c r="BT997" s="513"/>
      <c r="BU997" s="514"/>
      <c r="BV997" s="512"/>
      <c r="BW997" s="515"/>
    </row>
    <row r="998" spans="2:75" ht="15.75" customHeight="1">
      <c r="B998" s="250" t="s">
        <v>96</v>
      </c>
      <c r="C998" s="251">
        <v>17249227000178</v>
      </c>
      <c r="D998" s="252" t="s">
        <v>14</v>
      </c>
      <c r="E998" s="252" t="s">
        <v>614</v>
      </c>
      <c r="F998" s="252"/>
      <c r="G998" s="253"/>
      <c r="H998" s="253" t="s">
        <v>1338</v>
      </c>
      <c r="I998" s="253" t="s">
        <v>34</v>
      </c>
      <c r="J998" s="253" t="s">
        <v>608</v>
      </c>
      <c r="K998" s="254" t="s">
        <v>48</v>
      </c>
      <c r="L998" s="255"/>
      <c r="M998" s="255" t="s">
        <v>34</v>
      </c>
      <c r="N998" s="254">
        <v>367427</v>
      </c>
      <c r="O998" s="254" t="s">
        <v>1321</v>
      </c>
      <c r="P998" s="258">
        <v>41282</v>
      </c>
      <c r="Q998" s="259">
        <v>118482032.47</v>
      </c>
      <c r="R998" s="259">
        <v>135372173.69694448</v>
      </c>
      <c r="S998" s="254">
        <v>32</v>
      </c>
      <c r="T998" s="256">
        <v>6.2429023457880373E-2</v>
      </c>
      <c r="U998" s="256">
        <v>0.80703217122222215</v>
      </c>
      <c r="V998" s="256">
        <v>-6.8007995212595707E-2</v>
      </c>
      <c r="W998" s="256">
        <v>-0.66670575381723929</v>
      </c>
      <c r="X998" s="256">
        <v>6.8926257661637402E-2</v>
      </c>
      <c r="Y998" s="256">
        <v>0.52268033303006578</v>
      </c>
      <c r="Z998" s="256">
        <v>3.1057885222488313E-2</v>
      </c>
      <c r="AA998" s="256">
        <v>0.17654308820646844</v>
      </c>
      <c r="AB998" s="256">
        <v>0.21046308547888559</v>
      </c>
      <c r="AC998" s="260">
        <v>-0.69122418669368568</v>
      </c>
      <c r="AD998" s="405">
        <v>21360513000183</v>
      </c>
      <c r="AE998" s="257" t="s">
        <v>2158</v>
      </c>
      <c r="AF998" s="257" t="s">
        <v>2109</v>
      </c>
      <c r="AG998" s="261" t="s">
        <v>1432</v>
      </c>
      <c r="AH998" s="261" t="s">
        <v>2110</v>
      </c>
      <c r="AI998" s="261">
        <v>20000</v>
      </c>
      <c r="AJ998" s="261">
        <v>1000</v>
      </c>
      <c r="AK998" s="261">
        <v>20000</v>
      </c>
      <c r="AL998" s="519">
        <v>0.02</v>
      </c>
      <c r="AM998" s="519">
        <v>0.2</v>
      </c>
      <c r="AN998" s="256" t="s">
        <v>34</v>
      </c>
      <c r="AO998" s="254" t="s">
        <v>1324</v>
      </c>
      <c r="AP998" s="257" t="s">
        <v>716</v>
      </c>
      <c r="AQ998" s="263" t="s">
        <v>659</v>
      </c>
      <c r="AR998" s="256">
        <v>5.0000000000000001E-3</v>
      </c>
      <c r="AS998" s="256">
        <v>5.0000000000000001E-3</v>
      </c>
      <c r="AT998" s="256"/>
      <c r="AX998" s="508"/>
      <c r="AY998" s="509"/>
      <c r="AZ998" s="509"/>
      <c r="BA998" s="509"/>
      <c r="BB998" s="510"/>
      <c r="BC998" s="509"/>
      <c r="BD998" s="509"/>
      <c r="BE998" s="509"/>
      <c r="BF998" s="509"/>
      <c r="BG998" s="510"/>
      <c r="BH998" s="510"/>
      <c r="BI998" s="511"/>
      <c r="BJ998" s="511"/>
      <c r="BK998" s="511"/>
      <c r="BL998" s="510"/>
      <c r="BM998" s="510"/>
      <c r="BN998" s="510"/>
      <c r="BO998" s="510"/>
      <c r="BP998" s="510"/>
      <c r="BQ998" s="510"/>
      <c r="BR998" s="510"/>
      <c r="BS998" s="510"/>
      <c r="BT998" s="513"/>
      <c r="BU998" s="514"/>
      <c r="BV998" s="512"/>
      <c r="BW998" s="515"/>
    </row>
    <row r="999" spans="2:75" ht="15.75" customHeight="1">
      <c r="B999" s="250" t="s">
        <v>97</v>
      </c>
      <c r="C999" s="251">
        <v>23186344000132</v>
      </c>
      <c r="D999" s="252" t="s">
        <v>14</v>
      </c>
      <c r="E999" s="252" t="s">
        <v>607</v>
      </c>
      <c r="F999" s="252"/>
      <c r="G999" s="253"/>
      <c r="H999" s="253" t="s">
        <v>34</v>
      </c>
      <c r="I999" s="253" t="s">
        <v>34</v>
      </c>
      <c r="J999" s="253" t="s">
        <v>608</v>
      </c>
      <c r="K999" s="254" t="s">
        <v>48</v>
      </c>
      <c r="L999" s="255"/>
      <c r="M999" s="255" t="s">
        <v>34</v>
      </c>
      <c r="N999" s="254">
        <v>407194</v>
      </c>
      <c r="O999" s="254" t="s">
        <v>1321</v>
      </c>
      <c r="P999" s="258">
        <v>42276</v>
      </c>
      <c r="Q999" s="259">
        <v>125170538.15000001</v>
      </c>
      <c r="R999" s="259">
        <v>163924574.63924611</v>
      </c>
      <c r="S999" s="254">
        <v>32</v>
      </c>
      <c r="T999" s="256">
        <v>5.7992009719739057E-2</v>
      </c>
      <c r="U999" s="256">
        <v>0.74967402860685806</v>
      </c>
      <c r="V999" s="256">
        <v>-7.786290495696635E-2</v>
      </c>
      <c r="W999" s="256">
        <v>-0.76331682152159352</v>
      </c>
      <c r="X999" s="256">
        <v>5.0209003633773008E-2</v>
      </c>
      <c r="Y999" s="256">
        <v>0.38074399555011074</v>
      </c>
      <c r="Z999" s="256">
        <v>1.8451116926078148E-2</v>
      </c>
      <c r="AA999" s="256">
        <v>0.10488213024336426</v>
      </c>
      <c r="AB999" s="256">
        <v>0.21307667717927906</v>
      </c>
      <c r="AC999" s="260">
        <v>-0.73001966594170642</v>
      </c>
      <c r="AD999" s="405">
        <v>21360513000183</v>
      </c>
      <c r="AE999" s="257" t="s">
        <v>2158</v>
      </c>
      <c r="AF999" s="257" t="s">
        <v>2109</v>
      </c>
      <c r="AG999" s="261" t="s">
        <v>1432</v>
      </c>
      <c r="AH999" s="261" t="s">
        <v>2113</v>
      </c>
      <c r="AI999" s="261">
        <v>1000</v>
      </c>
      <c r="AJ999" s="261">
        <v>0</v>
      </c>
      <c r="AK999" s="261">
        <v>0</v>
      </c>
      <c r="AL999" s="519">
        <v>0.03</v>
      </c>
      <c r="AM999" s="519" t="s">
        <v>34</v>
      </c>
      <c r="AN999" s="256" t="s">
        <v>34</v>
      </c>
      <c r="AO999" s="254" t="s">
        <v>1324</v>
      </c>
      <c r="AP999" s="257" t="s">
        <v>716</v>
      </c>
      <c r="AQ999" s="263" t="s">
        <v>659</v>
      </c>
      <c r="AR999" s="256">
        <v>1.0499999999999999E-2</v>
      </c>
      <c r="AS999" s="256">
        <v>1.0499999999999999E-2</v>
      </c>
      <c r="AT999" s="256"/>
      <c r="AX999" s="508"/>
      <c r="AY999" s="509"/>
      <c r="AZ999" s="509"/>
      <c r="BA999" s="509"/>
      <c r="BB999" s="510"/>
      <c r="BC999" s="509"/>
      <c r="BD999" s="509"/>
      <c r="BE999" s="509"/>
      <c r="BF999" s="509"/>
      <c r="BG999" s="510"/>
      <c r="BH999" s="510"/>
      <c r="BI999" s="511"/>
      <c r="BJ999" s="511"/>
      <c r="BK999" s="511"/>
      <c r="BL999" s="510"/>
      <c r="BM999" s="510"/>
      <c r="BN999" s="510"/>
      <c r="BO999" s="510"/>
      <c r="BP999" s="510"/>
      <c r="BQ999" s="510"/>
      <c r="BR999" s="510"/>
      <c r="BS999" s="510"/>
      <c r="BT999" s="513"/>
      <c r="BU999" s="514"/>
      <c r="BV999" s="512"/>
      <c r="BW999" s="515"/>
    </row>
    <row r="1000" spans="2:75" ht="15.75" customHeight="1">
      <c r="B1000" s="250" t="s">
        <v>98</v>
      </c>
      <c r="C1000" s="251">
        <v>13083227000190</v>
      </c>
      <c r="D1000" s="252" t="s">
        <v>14</v>
      </c>
      <c r="E1000" s="252" t="s">
        <v>607</v>
      </c>
      <c r="F1000" s="252"/>
      <c r="G1000" s="253"/>
      <c r="H1000" s="253" t="s">
        <v>34</v>
      </c>
      <c r="I1000" s="253" t="s">
        <v>34</v>
      </c>
      <c r="J1000" s="253" t="s">
        <v>608</v>
      </c>
      <c r="K1000" s="254" t="s">
        <v>48</v>
      </c>
      <c r="L1000" s="255"/>
      <c r="M1000" s="255" t="s">
        <v>34</v>
      </c>
      <c r="N1000" s="254">
        <v>320358</v>
      </c>
      <c r="O1000" s="254" t="s">
        <v>1321</v>
      </c>
      <c r="P1000" s="258">
        <v>40786</v>
      </c>
      <c r="Q1000" s="259">
        <v>148860186.31</v>
      </c>
      <c r="R1000" s="259">
        <v>353487325.3842063</v>
      </c>
      <c r="S1000" s="254">
        <v>32</v>
      </c>
      <c r="T1000" s="256">
        <v>-3.5711595448778666E-2</v>
      </c>
      <c r="U1000" s="256">
        <v>-0.46165076460441562</v>
      </c>
      <c r="V1000" s="256">
        <v>-0.27514354216475934</v>
      </c>
      <c r="W1000" s="256">
        <v>-2.6973267203872302</v>
      </c>
      <c r="X1000" s="256">
        <v>-0.17590820781259042</v>
      </c>
      <c r="Y1000" s="256">
        <v>-1.3339438954246363</v>
      </c>
      <c r="Z1000" s="256">
        <v>-7.5036395327889194E-2</v>
      </c>
      <c r="AA1000" s="256">
        <v>-0.42653119696234215</v>
      </c>
      <c r="AB1000" s="256">
        <v>0.25493170739256898</v>
      </c>
      <c r="AC1000" s="260">
        <v>-1.5151618026940585</v>
      </c>
      <c r="AD1000" s="405">
        <v>11046170000123</v>
      </c>
      <c r="AE1000" s="257" t="s">
        <v>2159</v>
      </c>
      <c r="AF1000" s="257" t="s">
        <v>2112</v>
      </c>
      <c r="AG1000" s="261" t="s">
        <v>59</v>
      </c>
      <c r="AH1000" s="261" t="s">
        <v>2113</v>
      </c>
      <c r="AI1000" s="261">
        <v>500</v>
      </c>
      <c r="AJ1000" s="261">
        <v>500</v>
      </c>
      <c r="AK1000" s="261">
        <v>500</v>
      </c>
      <c r="AL1000" s="519">
        <v>0.02</v>
      </c>
      <c r="AM1000" s="519">
        <v>0.2</v>
      </c>
      <c r="AN1000" s="256" t="s">
        <v>2160</v>
      </c>
      <c r="AO1000" s="254" t="s">
        <v>1324</v>
      </c>
      <c r="AP1000" s="257" t="s">
        <v>716</v>
      </c>
      <c r="AQ1000" s="263" t="s">
        <v>659</v>
      </c>
      <c r="AR1000" s="256">
        <v>4.0000000000000001E-3</v>
      </c>
      <c r="AS1000" s="256">
        <v>4.0000000000000001E-3</v>
      </c>
      <c r="AT1000" s="256"/>
      <c r="AX1000" s="508"/>
      <c r="AY1000" s="509"/>
      <c r="AZ1000" s="509"/>
      <c r="BA1000" s="509"/>
      <c r="BB1000" s="510"/>
      <c r="BC1000" s="509"/>
      <c r="BD1000" s="509"/>
      <c r="BE1000" s="509"/>
      <c r="BF1000" s="509"/>
      <c r="BG1000" s="510"/>
      <c r="BH1000" s="510"/>
      <c r="BI1000" s="511"/>
      <c r="BJ1000" s="511"/>
      <c r="BK1000" s="511"/>
      <c r="BL1000" s="510"/>
      <c r="BM1000" s="510"/>
      <c r="BN1000" s="510"/>
      <c r="BO1000" s="510"/>
      <c r="BP1000" s="510"/>
      <c r="BQ1000" s="510"/>
      <c r="BR1000" s="510"/>
      <c r="BS1000" s="510"/>
      <c r="BT1000" s="513"/>
      <c r="BU1000" s="514"/>
      <c r="BV1000" s="512"/>
      <c r="BW1000" s="515"/>
    </row>
    <row r="1001" spans="2:75" ht="15.75" customHeight="1">
      <c r="B1001" s="250" t="s">
        <v>99</v>
      </c>
      <c r="C1001" s="251">
        <v>36182298000145</v>
      </c>
      <c r="D1001" s="252" t="s">
        <v>14</v>
      </c>
      <c r="E1001" s="252" t="s">
        <v>614</v>
      </c>
      <c r="F1001" s="252"/>
      <c r="G1001" s="253"/>
      <c r="H1001" s="253" t="s">
        <v>1338</v>
      </c>
      <c r="I1001" s="253" t="s">
        <v>34</v>
      </c>
      <c r="J1001" s="253" t="s">
        <v>608</v>
      </c>
      <c r="K1001" s="254" t="s">
        <v>48</v>
      </c>
      <c r="L1001" s="255"/>
      <c r="M1001" s="255" t="s">
        <v>34</v>
      </c>
      <c r="N1001" s="254">
        <v>532339</v>
      </c>
      <c r="O1001" s="254" t="s">
        <v>1321</v>
      </c>
      <c r="P1001" s="258">
        <v>43895</v>
      </c>
      <c r="Q1001" s="259">
        <v>112052994.37</v>
      </c>
      <c r="R1001" s="259">
        <v>72175357.171944454</v>
      </c>
      <c r="S1001" s="254">
        <v>32</v>
      </c>
      <c r="T1001" s="256">
        <v>-7.156600985043593E-2</v>
      </c>
      <c r="U1001" s="256">
        <v>-0.92514777768829148</v>
      </c>
      <c r="V1001" s="256">
        <v>-0.16187544498190931</v>
      </c>
      <c r="W1001" s="256">
        <v>-1.586920629461174</v>
      </c>
      <c r="X1001" s="256">
        <v>-5.8820060540525354E-2</v>
      </c>
      <c r="Y1001" s="256">
        <v>-0.44604320436334666</v>
      </c>
      <c r="Z1001" s="256" t="s">
        <v>1417</v>
      </c>
      <c r="AA1001" s="256" t="s">
        <v>1417</v>
      </c>
      <c r="AB1001" s="256">
        <v>0.18073487795126342</v>
      </c>
      <c r="AC1001" s="260">
        <v>-1.4239529320146811</v>
      </c>
      <c r="AD1001" s="405">
        <v>0</v>
      </c>
      <c r="AE1001" s="257" t="s">
        <v>2159</v>
      </c>
      <c r="AF1001" s="257" t="s">
        <v>2112</v>
      </c>
      <c r="AG1001" s="261" t="s">
        <v>59</v>
      </c>
      <c r="AH1001" s="261" t="s">
        <v>2110</v>
      </c>
      <c r="AI1001" s="261">
        <v>500</v>
      </c>
      <c r="AJ1001" s="261">
        <v>500</v>
      </c>
      <c r="AK1001" s="261">
        <v>500</v>
      </c>
      <c r="AL1001" s="519">
        <v>0.02</v>
      </c>
      <c r="AM1001" s="519">
        <v>0.2</v>
      </c>
      <c r="AN1001" s="256" t="s">
        <v>2122</v>
      </c>
      <c r="AO1001" s="254" t="s">
        <v>1324</v>
      </c>
      <c r="AP1001" s="257" t="s">
        <v>13</v>
      </c>
      <c r="AQ1001" s="263" t="s">
        <v>668</v>
      </c>
      <c r="AR1001" s="256">
        <v>4.0000000000000001E-3</v>
      </c>
      <c r="AS1001" s="256">
        <v>4.0000000000000001E-3</v>
      </c>
      <c r="AT1001" s="256"/>
      <c r="AX1001" s="508"/>
      <c r="AY1001" s="509"/>
      <c r="AZ1001" s="509"/>
      <c r="BA1001" s="509"/>
      <c r="BB1001" s="510"/>
      <c r="BC1001" s="509"/>
      <c r="BD1001" s="509"/>
      <c r="BE1001" s="509"/>
      <c r="BF1001" s="509"/>
      <c r="BG1001" s="510"/>
      <c r="BH1001" s="510"/>
      <c r="BI1001" s="511"/>
      <c r="BJ1001" s="511"/>
      <c r="BK1001" s="511"/>
      <c r="BL1001" s="510"/>
      <c r="BM1001" s="510"/>
      <c r="BN1001" s="510"/>
      <c r="BO1001" s="510"/>
      <c r="BP1001" s="510"/>
      <c r="BQ1001" s="510"/>
      <c r="BR1001" s="510"/>
      <c r="BS1001" s="510"/>
      <c r="BT1001" s="513"/>
      <c r="BU1001" s="514"/>
      <c r="BV1001" s="512"/>
      <c r="BW1001" s="515"/>
    </row>
    <row r="1002" spans="2:75" ht="15.75" customHeight="1">
      <c r="B1002" s="250" t="s">
        <v>112</v>
      </c>
      <c r="C1002" s="251">
        <v>13974750000106</v>
      </c>
      <c r="D1002" s="252" t="s">
        <v>14</v>
      </c>
      <c r="E1002" s="252" t="s">
        <v>614</v>
      </c>
      <c r="F1002" s="252"/>
      <c r="G1002" s="253"/>
      <c r="H1002" s="253" t="s">
        <v>1337</v>
      </c>
      <c r="I1002" s="253" t="s">
        <v>34</v>
      </c>
      <c r="J1002" s="253" t="s">
        <v>608</v>
      </c>
      <c r="K1002" s="254" t="s">
        <v>48</v>
      </c>
      <c r="L1002" s="255"/>
      <c r="M1002" s="255" t="s">
        <v>34</v>
      </c>
      <c r="N1002" s="254">
        <v>288888</v>
      </c>
      <c r="O1002" s="254" t="s">
        <v>1321</v>
      </c>
      <c r="P1002" s="258">
        <v>40834</v>
      </c>
      <c r="Q1002" s="259">
        <v>317151289.69999999</v>
      </c>
      <c r="R1002" s="259">
        <v>473583705.63099241</v>
      </c>
      <c r="S1002" s="254">
        <v>32</v>
      </c>
      <c r="T1002" s="256">
        <v>-6.8009937918904084E-2</v>
      </c>
      <c r="U1002" s="256">
        <v>-0.87917774175039498</v>
      </c>
      <c r="V1002" s="256">
        <v>-5.1708139400343911E-2</v>
      </c>
      <c r="W1002" s="256">
        <v>-0.50691266445402072</v>
      </c>
      <c r="X1002" s="256">
        <v>-1.6154353609062477E-2</v>
      </c>
      <c r="Y1002" s="256">
        <v>-0.12250139802628066</v>
      </c>
      <c r="Z1002" s="256">
        <v>4.06235265324284E-2</v>
      </c>
      <c r="AA1002" s="256">
        <v>0.23091729448080314</v>
      </c>
      <c r="AB1002" s="256">
        <v>9.4618814489265846E-2</v>
      </c>
      <c r="AC1002" s="260">
        <v>-1.5406605405870206</v>
      </c>
      <c r="AD1002" s="405">
        <v>13909560000105</v>
      </c>
      <c r="AE1002" s="257" t="s">
        <v>2164</v>
      </c>
      <c r="AF1002" s="257" t="s">
        <v>2118</v>
      </c>
      <c r="AG1002" s="261" t="s">
        <v>1433</v>
      </c>
      <c r="AH1002" s="261" t="s">
        <v>2113</v>
      </c>
      <c r="AI1002" s="261">
        <v>1000</v>
      </c>
      <c r="AJ1002" s="261">
        <v>500</v>
      </c>
      <c r="AK1002" s="261">
        <v>500</v>
      </c>
      <c r="AL1002" s="256">
        <v>0.02</v>
      </c>
      <c r="AM1002" s="256">
        <v>0.2</v>
      </c>
      <c r="AN1002" s="256" t="s">
        <v>2122</v>
      </c>
      <c r="AO1002" s="254" t="s">
        <v>1324</v>
      </c>
      <c r="AP1002" s="257" t="s">
        <v>716</v>
      </c>
      <c r="AQ1002" s="263" t="s">
        <v>659</v>
      </c>
      <c r="AR1002" s="256">
        <v>5.3333333333333332E-3</v>
      </c>
      <c r="AS1002" s="256">
        <v>5.3333333333333332E-3</v>
      </c>
      <c r="AT1002" s="256"/>
      <c r="AW1002" s="508"/>
      <c r="AX1002" s="508"/>
      <c r="AY1002" s="509"/>
      <c r="AZ1002" s="509"/>
      <c r="BA1002" s="509"/>
      <c r="BB1002" s="510"/>
      <c r="BC1002" s="509"/>
      <c r="BD1002" s="509"/>
      <c r="BE1002" s="509"/>
      <c r="BF1002" s="509"/>
      <c r="BG1002" s="510"/>
      <c r="BH1002" s="510"/>
      <c r="BI1002" s="511"/>
      <c r="BJ1002" s="511"/>
      <c r="BK1002" s="511"/>
      <c r="BL1002" s="510"/>
      <c r="BM1002" s="510"/>
      <c r="BN1002" s="510"/>
      <c r="BO1002" s="510"/>
      <c r="BP1002" s="510"/>
      <c r="BQ1002" s="510"/>
      <c r="BR1002" s="510"/>
      <c r="BS1002" s="510"/>
      <c r="BT1002" s="513"/>
      <c r="BU1002" s="514"/>
      <c r="BV1002" s="512"/>
      <c r="BW1002" s="515"/>
    </row>
    <row r="1003" spans="2:75" ht="15.75" customHeight="1">
      <c r="B1003" s="250" t="s">
        <v>117</v>
      </c>
      <c r="C1003" s="251">
        <v>23732231000195</v>
      </c>
      <c r="D1003" s="252" t="s">
        <v>14</v>
      </c>
      <c r="E1003" s="252" t="s">
        <v>614</v>
      </c>
      <c r="F1003" s="252"/>
      <c r="G1003" s="253"/>
      <c r="H1003" s="253" t="s">
        <v>865</v>
      </c>
      <c r="I1003" s="253" t="s">
        <v>34</v>
      </c>
      <c r="J1003" s="253" t="s">
        <v>608</v>
      </c>
      <c r="K1003" s="254" t="s">
        <v>48</v>
      </c>
      <c r="L1003" s="255"/>
      <c r="M1003" s="255" t="s">
        <v>34</v>
      </c>
      <c r="N1003" s="254">
        <v>410314</v>
      </c>
      <c r="O1003" s="254" t="s">
        <v>1324</v>
      </c>
      <c r="P1003" s="258">
        <v>42368</v>
      </c>
      <c r="Q1003" s="259">
        <v>241484255.81</v>
      </c>
      <c r="R1003" s="259">
        <v>314485846.12476182</v>
      </c>
      <c r="S1003" s="254">
        <v>32</v>
      </c>
      <c r="T1003" s="256">
        <v>3.8275788563752355E-2</v>
      </c>
      <c r="U1003" s="256">
        <v>0.49479858948440053</v>
      </c>
      <c r="V1003" s="256">
        <v>-0.1626342189271931</v>
      </c>
      <c r="W1003" s="256">
        <v>-1.5943591512641755</v>
      </c>
      <c r="X1003" s="256">
        <v>-5.8265452673980533E-2</v>
      </c>
      <c r="Y1003" s="256">
        <v>-0.44183751216096728</v>
      </c>
      <c r="Z1003" s="256">
        <v>-2.9994508667455455E-2</v>
      </c>
      <c r="AA1003" s="256">
        <v>-0.17049851113346401</v>
      </c>
      <c r="AB1003" s="256">
        <v>0.15306688030980475</v>
      </c>
      <c r="AC1003" s="260">
        <v>-1.717390540986041</v>
      </c>
      <c r="AD1003" s="405">
        <v>23732220000105</v>
      </c>
      <c r="AE1003" s="257" t="s">
        <v>2166</v>
      </c>
      <c r="AF1003" s="257" t="s">
        <v>2115</v>
      </c>
      <c r="AG1003" s="261" t="s">
        <v>719</v>
      </c>
      <c r="AH1003" s="261" t="s">
        <v>2113</v>
      </c>
      <c r="AI1003" s="261">
        <v>20000</v>
      </c>
      <c r="AJ1003" s="261">
        <v>1000</v>
      </c>
      <c r="AK1003" s="261">
        <v>20000</v>
      </c>
      <c r="AL1003" s="256">
        <v>1.9E-2</v>
      </c>
      <c r="AM1003" s="256">
        <v>0.2</v>
      </c>
      <c r="AN1003" s="256" t="s">
        <v>64</v>
      </c>
      <c r="AO1003" s="254" t="s">
        <v>1324</v>
      </c>
      <c r="AP1003" s="257" t="s">
        <v>13</v>
      </c>
      <c r="AQ1003" s="263" t="s">
        <v>668</v>
      </c>
      <c r="AR1003" s="256">
        <v>4.7499999999999999E-3</v>
      </c>
      <c r="AS1003" s="256">
        <v>4.7499999999999999E-3</v>
      </c>
      <c r="AT1003" s="256"/>
      <c r="AW1003" s="508"/>
      <c r="AX1003" s="508"/>
      <c r="AY1003" s="509"/>
      <c r="AZ1003" s="509"/>
      <c r="BA1003" s="509"/>
      <c r="BB1003" s="510"/>
      <c r="BC1003" s="509"/>
      <c r="BD1003" s="509"/>
      <c r="BE1003" s="509"/>
      <c r="BF1003" s="509"/>
      <c r="BG1003" s="510"/>
      <c r="BH1003" s="510"/>
      <c r="BI1003" s="511"/>
      <c r="BJ1003" s="511"/>
      <c r="BK1003" s="511"/>
      <c r="BL1003" s="195"/>
      <c r="BM1003" s="510"/>
      <c r="BN1003" s="510"/>
      <c r="BO1003" s="510"/>
      <c r="BP1003" s="510"/>
      <c r="BQ1003" s="510"/>
      <c r="BR1003" s="510"/>
      <c r="BS1003" s="510"/>
      <c r="BT1003" s="513"/>
      <c r="BU1003" s="514"/>
      <c r="BV1003" s="512"/>
      <c r="BW1003" s="515"/>
    </row>
    <row r="1004" spans="2:75" ht="15.75" customHeight="1">
      <c r="B1004" s="250" t="s">
        <v>118</v>
      </c>
      <c r="C1004" s="251">
        <v>35609273000112</v>
      </c>
      <c r="D1004" s="252" t="s">
        <v>14</v>
      </c>
      <c r="E1004" s="252" t="s">
        <v>614</v>
      </c>
      <c r="F1004" s="252"/>
      <c r="G1004" s="253"/>
      <c r="H1004" s="253" t="s">
        <v>865</v>
      </c>
      <c r="I1004" s="253" t="s">
        <v>34</v>
      </c>
      <c r="J1004" s="253" t="s">
        <v>608</v>
      </c>
      <c r="K1004" s="254" t="s">
        <v>48</v>
      </c>
      <c r="L1004" s="255"/>
      <c r="M1004" s="255" t="s">
        <v>1414</v>
      </c>
      <c r="N1004" s="254">
        <v>526789</v>
      </c>
      <c r="O1004" s="254" t="s">
        <v>1321</v>
      </c>
      <c r="P1004" s="258">
        <v>43829</v>
      </c>
      <c r="Q1004" s="259">
        <v>4274455.29</v>
      </c>
      <c r="R1004" s="259">
        <v>7352445.5107936515</v>
      </c>
      <c r="S1004" s="254">
        <v>32</v>
      </c>
      <c r="T1004" s="256">
        <v>3.6499913246458959E-2</v>
      </c>
      <c r="U1004" s="256">
        <v>0.47184150263997499</v>
      </c>
      <c r="V1004" s="256">
        <v>-0.1653477530270705</v>
      </c>
      <c r="W1004" s="256">
        <v>-1.6209608587827127</v>
      </c>
      <c r="X1004" s="256">
        <v>-7.1298191240394604E-2</v>
      </c>
      <c r="Y1004" s="256">
        <v>-0.54066713624453988</v>
      </c>
      <c r="Z1004" s="256" t="s">
        <v>1417</v>
      </c>
      <c r="AA1004" s="256" t="s">
        <v>1417</v>
      </c>
      <c r="AB1004" s="256">
        <v>0.15303229032363105</v>
      </c>
      <c r="AC1004" s="260">
        <v>-1.7390089462265794</v>
      </c>
      <c r="AD1004" s="405">
        <v>23732220000105</v>
      </c>
      <c r="AE1004" s="257" t="s">
        <v>2166</v>
      </c>
      <c r="AF1004" s="257" t="s">
        <v>2115</v>
      </c>
      <c r="AG1004" s="261" t="s">
        <v>719</v>
      </c>
      <c r="AH1004" s="261" t="s">
        <v>2110</v>
      </c>
      <c r="AI1004" s="261">
        <v>20000</v>
      </c>
      <c r="AJ1004" s="261">
        <v>1000</v>
      </c>
      <c r="AK1004" s="261">
        <v>20000</v>
      </c>
      <c r="AL1004" s="256">
        <v>1.9E-2</v>
      </c>
      <c r="AM1004" s="256">
        <v>0.2</v>
      </c>
      <c r="AN1004" s="256" t="s">
        <v>2122</v>
      </c>
      <c r="AO1004" s="254" t="s">
        <v>1324</v>
      </c>
      <c r="AP1004" s="257" t="s">
        <v>13</v>
      </c>
      <c r="AQ1004" s="263" t="s">
        <v>668</v>
      </c>
      <c r="AR1004" s="256">
        <v>3.1666666666666666E-3</v>
      </c>
      <c r="AS1004" s="256">
        <v>3.1666666666666666E-3</v>
      </c>
      <c r="AT1004" s="256"/>
      <c r="AX1004" s="508"/>
      <c r="AY1004" s="509"/>
      <c r="AZ1004" s="509"/>
      <c r="BA1004" s="509"/>
      <c r="BB1004" s="510"/>
      <c r="BC1004" s="509"/>
      <c r="BD1004" s="509"/>
      <c r="BE1004" s="509"/>
      <c r="BF1004" s="509"/>
      <c r="BG1004" s="510"/>
      <c r="BH1004" s="510"/>
      <c r="BI1004" s="511"/>
      <c r="BJ1004" s="511"/>
      <c r="BK1004" s="511"/>
      <c r="BL1004" s="510"/>
      <c r="BM1004" s="510"/>
      <c r="BN1004" s="510"/>
      <c r="BO1004" s="510"/>
      <c r="BP1004" s="510"/>
      <c r="BQ1004" s="510"/>
      <c r="BR1004" s="510"/>
      <c r="BS1004" s="510"/>
      <c r="BT1004" s="513"/>
      <c r="BU1004" s="514"/>
      <c r="BV1004" s="512"/>
      <c r="BW1004" s="515"/>
    </row>
    <row r="1005" spans="2:75" ht="15.75" customHeight="1">
      <c r="B1005" s="250" t="s">
        <v>120</v>
      </c>
      <c r="C1005" s="251">
        <v>9635172000106</v>
      </c>
      <c r="D1005" s="252" t="s">
        <v>14</v>
      </c>
      <c r="E1005" s="252" t="s">
        <v>607</v>
      </c>
      <c r="F1005" s="252"/>
      <c r="G1005" s="253"/>
      <c r="H1005" s="253" t="s">
        <v>34</v>
      </c>
      <c r="I1005" s="253" t="s">
        <v>34</v>
      </c>
      <c r="J1005" s="253" t="s">
        <v>608</v>
      </c>
      <c r="K1005" s="254" t="s">
        <v>48</v>
      </c>
      <c r="L1005" s="255"/>
      <c r="M1005" s="255" t="s">
        <v>1414</v>
      </c>
      <c r="N1005" s="254">
        <v>253839</v>
      </c>
      <c r="O1005" s="254" t="s">
        <v>1321</v>
      </c>
      <c r="P1005" s="258">
        <v>40385</v>
      </c>
      <c r="Q1005" s="259">
        <v>238909378</v>
      </c>
      <c r="R1005" s="259">
        <v>475003391.96472192</v>
      </c>
      <c r="S1005" s="254">
        <v>32</v>
      </c>
      <c r="T1005" s="256">
        <v>1.0908474759208531E-2</v>
      </c>
      <c r="U1005" s="256">
        <v>0.14101598234331517</v>
      </c>
      <c r="V1005" s="256">
        <v>-0.18045127797429006</v>
      </c>
      <c r="W1005" s="256">
        <v>-1.7690259054548796</v>
      </c>
      <c r="X1005" s="256">
        <v>-6.4277110608223276E-2</v>
      </c>
      <c r="Y1005" s="256">
        <v>-0.48742500635741615</v>
      </c>
      <c r="Z1005" s="256">
        <v>-6.1579333028288774E-3</v>
      </c>
      <c r="AA1005" s="256">
        <v>-3.5003689222976912E-2</v>
      </c>
      <c r="AB1005" s="256">
        <v>0.2192906672881566</v>
      </c>
      <c r="AC1005" s="260">
        <v>-1.2405735403996185</v>
      </c>
      <c r="AD1005" s="405">
        <v>9635130000175</v>
      </c>
      <c r="AE1005" s="257" t="s">
        <v>2166</v>
      </c>
      <c r="AF1005" s="257" t="s">
        <v>2115</v>
      </c>
      <c r="AG1005" s="261" t="s">
        <v>719</v>
      </c>
      <c r="AH1005" s="261" t="s">
        <v>2113</v>
      </c>
      <c r="AI1005" s="261">
        <v>1000</v>
      </c>
      <c r="AJ1005" s="261">
        <v>1000</v>
      </c>
      <c r="AK1005" s="261">
        <v>1000</v>
      </c>
      <c r="AL1005" s="256">
        <v>1.9E-2</v>
      </c>
      <c r="AM1005" s="256">
        <v>0.2</v>
      </c>
      <c r="AN1005" s="256" t="s">
        <v>666</v>
      </c>
      <c r="AO1005" s="254" t="s">
        <v>1324</v>
      </c>
      <c r="AP1005" s="257" t="s">
        <v>716</v>
      </c>
      <c r="AQ1005" s="263" t="s">
        <v>659</v>
      </c>
      <c r="AR1005" s="256">
        <v>3.6099999999999999E-3</v>
      </c>
      <c r="AS1005" s="256">
        <v>3.6099999999999999E-3</v>
      </c>
      <c r="AT1005" s="256"/>
      <c r="AX1005" s="508"/>
      <c r="AY1005" s="509"/>
      <c r="AZ1005" s="509"/>
      <c r="BA1005" s="509"/>
      <c r="BB1005" s="510"/>
      <c r="BC1005" s="509"/>
      <c r="BD1005" s="509"/>
      <c r="BE1005" s="509"/>
      <c r="BF1005" s="509"/>
      <c r="BG1005" s="510"/>
      <c r="BH1005" s="510"/>
      <c r="BI1005" s="511"/>
      <c r="BJ1005" s="511"/>
      <c r="BK1005" s="511"/>
      <c r="BL1005" s="510"/>
      <c r="BM1005" s="510"/>
      <c r="BN1005" s="510"/>
      <c r="BO1005" s="510"/>
      <c r="BP1005" s="510"/>
      <c r="BQ1005" s="510"/>
      <c r="BR1005" s="510"/>
      <c r="BS1005" s="510"/>
      <c r="BT1005" s="513"/>
      <c r="BU1005" s="514"/>
      <c r="BV1005" s="512"/>
      <c r="BW1005" s="515"/>
    </row>
    <row r="1006" spans="2:75" ht="15.75" customHeight="1">
      <c r="B1006" s="250" t="s">
        <v>127</v>
      </c>
      <c r="C1006" s="251">
        <v>30282227000138</v>
      </c>
      <c r="D1006" s="252" t="s">
        <v>14</v>
      </c>
      <c r="E1006" s="252" t="s">
        <v>607</v>
      </c>
      <c r="F1006" s="252"/>
      <c r="G1006" s="253"/>
      <c r="H1006" s="253" t="s">
        <v>34</v>
      </c>
      <c r="I1006" s="253" t="s">
        <v>34</v>
      </c>
      <c r="J1006" s="253" t="s">
        <v>608</v>
      </c>
      <c r="K1006" s="254" t="s">
        <v>48</v>
      </c>
      <c r="L1006" s="255"/>
      <c r="M1006" s="255" t="s">
        <v>1414</v>
      </c>
      <c r="N1006" s="254">
        <v>478210</v>
      </c>
      <c r="O1006" s="254" t="s">
        <v>1321</v>
      </c>
      <c r="P1006" s="258">
        <v>43404</v>
      </c>
      <c r="Q1006" s="259">
        <v>140178269.15000001</v>
      </c>
      <c r="R1006" s="259">
        <v>203620156.62817463</v>
      </c>
      <c r="S1006" s="254">
        <v>32</v>
      </c>
      <c r="T1006" s="256">
        <v>4.4731376927314326E-2</v>
      </c>
      <c r="U1006" s="256">
        <v>0.57825124027073427</v>
      </c>
      <c r="V1006" s="256">
        <v>-0.1410142498717174</v>
      </c>
      <c r="W1006" s="256">
        <v>-1.3824111630669482</v>
      </c>
      <c r="X1006" s="256">
        <v>-6.8148042047311952E-2</v>
      </c>
      <c r="Y1006" s="256">
        <v>-0.51677898265555944</v>
      </c>
      <c r="Z1006" s="256">
        <v>-1.2395292148417059E-2</v>
      </c>
      <c r="AA1006" s="256">
        <v>-7.0458858979826414E-2</v>
      </c>
      <c r="AB1006" s="256">
        <v>0.20026253850525461</v>
      </c>
      <c r="AC1006" s="260">
        <v>-1.1438755105983729</v>
      </c>
      <c r="AD1006" s="405">
        <v>0</v>
      </c>
      <c r="AE1006" s="257" t="s">
        <v>2128</v>
      </c>
      <c r="AF1006" s="257" t="s">
        <v>728</v>
      </c>
      <c r="AG1006" s="261" t="s">
        <v>728</v>
      </c>
      <c r="AH1006" s="261" t="s">
        <v>2113</v>
      </c>
      <c r="AI1006" s="261">
        <v>1000</v>
      </c>
      <c r="AJ1006" s="261">
        <v>1000</v>
      </c>
      <c r="AK1006" s="261">
        <v>1000</v>
      </c>
      <c r="AL1006" s="256">
        <v>1.2500000000000001E-2</v>
      </c>
      <c r="AM1006" s="256">
        <v>0.1</v>
      </c>
      <c r="AN1006" s="256" t="s">
        <v>666</v>
      </c>
      <c r="AO1006" s="254" t="s">
        <v>1324</v>
      </c>
      <c r="AP1006" s="257" t="s">
        <v>716</v>
      </c>
      <c r="AQ1006" s="263" t="s">
        <v>659</v>
      </c>
      <c r="AR1006" s="256">
        <v>3.3333333333333335E-3</v>
      </c>
      <c r="AS1006" s="256">
        <v>3.3333333333333335E-3</v>
      </c>
      <c r="AT1006" s="256"/>
      <c r="AX1006" s="508"/>
      <c r="AY1006" s="509"/>
      <c r="AZ1006" s="509"/>
      <c r="BA1006" s="509"/>
      <c r="BB1006" s="510"/>
      <c r="BC1006" s="509"/>
      <c r="BD1006" s="509"/>
      <c r="BE1006" s="509"/>
      <c r="BF1006" s="509"/>
      <c r="BG1006" s="510"/>
      <c r="BH1006" s="510"/>
      <c r="BI1006" s="511"/>
      <c r="BJ1006" s="511"/>
      <c r="BK1006" s="511"/>
      <c r="BL1006" s="510"/>
      <c r="BM1006" s="510"/>
      <c r="BN1006" s="510"/>
      <c r="BO1006" s="510"/>
      <c r="BP1006" s="510"/>
      <c r="BQ1006" s="510"/>
      <c r="BR1006" s="510"/>
      <c r="BS1006" s="510"/>
      <c r="BT1006" s="513"/>
      <c r="BU1006" s="514"/>
      <c r="BV1006" s="512"/>
      <c r="BW1006" s="515"/>
    </row>
    <row r="1007" spans="2:75" ht="15.75" customHeight="1">
      <c r="B1007" s="250" t="s">
        <v>1506</v>
      </c>
      <c r="C1007" s="251">
        <v>30618435000165</v>
      </c>
      <c r="D1007" s="252" t="s">
        <v>14</v>
      </c>
      <c r="E1007" s="252" t="s">
        <v>607</v>
      </c>
      <c r="F1007" s="252"/>
      <c r="G1007" s="253"/>
      <c r="H1007" s="253" t="s">
        <v>34</v>
      </c>
      <c r="I1007" s="253" t="s">
        <v>34</v>
      </c>
      <c r="J1007" s="253" t="s">
        <v>608</v>
      </c>
      <c r="K1007" s="254" t="s">
        <v>48</v>
      </c>
      <c r="L1007" s="255"/>
      <c r="M1007" s="255"/>
      <c r="N1007" s="254">
        <v>483036</v>
      </c>
      <c r="O1007" s="254" t="s">
        <v>1321</v>
      </c>
      <c r="P1007" s="258">
        <v>43426</v>
      </c>
      <c r="Q1007" s="259">
        <v>48755728.979999997</v>
      </c>
      <c r="R1007" s="259">
        <v>53359136.763968289</v>
      </c>
      <c r="S1007" s="254">
        <v>32</v>
      </c>
      <c r="T1007" s="256">
        <v>-0.15286497513423014</v>
      </c>
      <c r="U1007" s="256">
        <v>-1.7194120208644057</v>
      </c>
      <c r="V1007" s="256">
        <v>-0.29639879422761628</v>
      </c>
      <c r="W1007" s="256">
        <v>-2.7202617071264803</v>
      </c>
      <c r="X1007" s="256">
        <v>-0.10629242516663717</v>
      </c>
      <c r="Y1007" s="256">
        <v>-0.74742606006748058</v>
      </c>
      <c r="Z1007" s="256">
        <v>1.169255760894905E-2</v>
      </c>
      <c r="AA1007" s="256">
        <v>6.3894725740265182E-2</v>
      </c>
      <c r="AB1007" s="256">
        <v>0.27677638848447295</v>
      </c>
      <c r="AC1007" s="260">
        <v>-1.5050002381890404</v>
      </c>
      <c r="AD1007" s="405">
        <v>29224691000199</v>
      </c>
      <c r="AE1007" s="257" t="s">
        <v>2176</v>
      </c>
      <c r="AF1007" s="257" t="s">
        <v>2118</v>
      </c>
      <c r="AG1007" s="261" t="s">
        <v>1433</v>
      </c>
      <c r="AH1007" s="261" t="s">
        <v>2131</v>
      </c>
      <c r="AI1007" s="261">
        <v>5000</v>
      </c>
      <c r="AJ1007" s="261">
        <v>1000</v>
      </c>
      <c r="AK1007" s="261">
        <v>5000</v>
      </c>
      <c r="AL1007" s="256">
        <v>5.9999999999999995E-4</v>
      </c>
      <c r="AM1007" s="256" t="s">
        <v>34</v>
      </c>
      <c r="AN1007" s="256" t="s">
        <v>666</v>
      </c>
      <c r="AO1007" s="254" t="s">
        <v>1324</v>
      </c>
      <c r="AP1007" s="257" t="s">
        <v>716</v>
      </c>
      <c r="AQ1007" s="263" t="s">
        <v>687</v>
      </c>
      <c r="AR1007" s="256" t="s">
        <v>34</v>
      </c>
      <c r="AS1007" s="256" t="s">
        <v>34</v>
      </c>
      <c r="AT1007" s="256"/>
      <c r="AX1007" s="508"/>
      <c r="AY1007" s="509"/>
      <c r="AZ1007" s="509"/>
      <c r="BA1007" s="509"/>
      <c r="BB1007" s="510"/>
      <c r="BC1007" s="509"/>
      <c r="BD1007" s="509"/>
      <c r="BE1007" s="509"/>
      <c r="BF1007" s="509"/>
      <c r="BG1007" s="510"/>
      <c r="BH1007" s="510"/>
      <c r="BI1007" s="511"/>
      <c r="BJ1007" s="511"/>
      <c r="BK1007" s="511"/>
      <c r="BL1007" s="510"/>
      <c r="BM1007" s="510"/>
      <c r="BN1007" s="510"/>
      <c r="BO1007" s="510"/>
      <c r="BP1007" s="510"/>
      <c r="BQ1007" s="510"/>
      <c r="BR1007" s="510"/>
      <c r="BS1007" s="510"/>
      <c r="BT1007" s="513"/>
      <c r="BU1007" s="514"/>
      <c r="BV1007" s="512"/>
      <c r="BW1007" s="515"/>
    </row>
    <row r="1008" spans="2:75" ht="15.75" customHeight="1">
      <c r="B1008" s="250" t="s">
        <v>130</v>
      </c>
      <c r="C1008" s="251">
        <v>15390811000113</v>
      </c>
      <c r="D1008" s="252" t="s">
        <v>14</v>
      </c>
      <c r="E1008" s="252" t="s">
        <v>607</v>
      </c>
      <c r="F1008" s="252"/>
      <c r="G1008" s="253"/>
      <c r="H1008" s="253" t="s">
        <v>34</v>
      </c>
      <c r="I1008" s="253" t="s">
        <v>34</v>
      </c>
      <c r="J1008" s="253" t="s">
        <v>608</v>
      </c>
      <c r="K1008" s="254" t="s">
        <v>48</v>
      </c>
      <c r="L1008" s="255"/>
      <c r="M1008" s="255" t="s">
        <v>34</v>
      </c>
      <c r="N1008" s="254">
        <v>305261</v>
      </c>
      <c r="O1008" s="254" t="s">
        <v>1324</v>
      </c>
      <c r="P1008" s="258">
        <v>41059</v>
      </c>
      <c r="Q1008" s="259">
        <v>89391370.469999999</v>
      </c>
      <c r="R1008" s="259">
        <v>116102468.65773807</v>
      </c>
      <c r="S1008" s="254">
        <v>32</v>
      </c>
      <c r="T1008" s="256">
        <v>-0.13365147982454728</v>
      </c>
      <c r="U1008" s="256">
        <v>-1.7277387659705925</v>
      </c>
      <c r="V1008" s="256">
        <v>-0.35414315902608651</v>
      </c>
      <c r="W1008" s="256">
        <v>-3.4717871194352723</v>
      </c>
      <c r="X1008" s="256">
        <v>-0.22288246110478482</v>
      </c>
      <c r="Y1008" s="256">
        <v>-1.6901581915080306</v>
      </c>
      <c r="Z1008" s="256">
        <v>-8.9059653560094154E-2</v>
      </c>
      <c r="AA1008" s="256">
        <v>-0.50624394292991504</v>
      </c>
      <c r="AB1008" s="256">
        <v>0.28381641124080759</v>
      </c>
      <c r="AC1008" s="260">
        <v>-1.739799540318764</v>
      </c>
      <c r="AD1008" s="405">
        <v>15165493000197</v>
      </c>
      <c r="AE1008" s="257" t="s">
        <v>2176</v>
      </c>
      <c r="AF1008" s="257" t="s">
        <v>2118</v>
      </c>
      <c r="AG1008" s="261" t="s">
        <v>1433</v>
      </c>
      <c r="AH1008" s="261" t="s">
        <v>2113</v>
      </c>
      <c r="AI1008" s="261">
        <v>150000</v>
      </c>
      <c r="AJ1008" s="261">
        <v>10000</v>
      </c>
      <c r="AK1008" s="261">
        <v>150000</v>
      </c>
      <c r="AL1008" s="256">
        <v>2.4E-2</v>
      </c>
      <c r="AM1008" s="256">
        <v>0.2</v>
      </c>
      <c r="AN1008" s="256" t="s">
        <v>666</v>
      </c>
      <c r="AO1008" s="254" t="s">
        <v>1324</v>
      </c>
      <c r="AP1008" s="257" t="s">
        <v>716</v>
      </c>
      <c r="AQ1008" s="263" t="s">
        <v>665</v>
      </c>
      <c r="AR1008" s="256">
        <v>4.0000000000000001E-3</v>
      </c>
      <c r="AS1008" s="256">
        <v>4.0000000000000001E-3</v>
      </c>
      <c r="AT1008" s="256"/>
      <c r="AX1008" s="508"/>
      <c r="AY1008" s="509"/>
      <c r="AZ1008" s="509"/>
      <c r="BA1008" s="509"/>
      <c r="BB1008" s="510"/>
      <c r="BC1008" s="509"/>
      <c r="BD1008" s="509"/>
      <c r="BE1008" s="509"/>
      <c r="BF1008" s="509"/>
      <c r="BG1008" s="510"/>
      <c r="BH1008" s="510"/>
      <c r="BI1008" s="511"/>
      <c r="BJ1008" s="511"/>
      <c r="BK1008" s="511"/>
      <c r="BL1008" s="510"/>
      <c r="BM1008" s="510"/>
      <c r="BN1008" s="510"/>
      <c r="BO1008" s="510"/>
      <c r="BP1008" s="510"/>
      <c r="BQ1008" s="510"/>
      <c r="BR1008" s="510"/>
      <c r="BS1008" s="510"/>
      <c r="BT1008" s="513"/>
      <c r="BU1008" s="514"/>
      <c r="BV1008" s="512"/>
      <c r="BW1008" s="515"/>
    </row>
    <row r="1009" spans="2:75" ht="15.75" customHeight="1">
      <c r="B1009" s="250" t="s">
        <v>131</v>
      </c>
      <c r="C1009" s="251">
        <v>8323402000139</v>
      </c>
      <c r="D1009" s="252" t="s">
        <v>14</v>
      </c>
      <c r="E1009" s="252" t="s">
        <v>607</v>
      </c>
      <c r="F1009" s="252"/>
      <c r="G1009" s="253"/>
      <c r="H1009" s="253" t="s">
        <v>34</v>
      </c>
      <c r="I1009" s="253" t="s">
        <v>34</v>
      </c>
      <c r="J1009" s="253" t="s">
        <v>608</v>
      </c>
      <c r="K1009" s="254" t="s">
        <v>48</v>
      </c>
      <c r="L1009" s="255"/>
      <c r="M1009" s="255" t="s">
        <v>1414</v>
      </c>
      <c r="N1009" s="254">
        <v>212962</v>
      </c>
      <c r="O1009" s="254" t="s">
        <v>1321</v>
      </c>
      <c r="P1009" s="258">
        <v>39637</v>
      </c>
      <c r="Q1009" s="259">
        <v>776566893.41999996</v>
      </c>
      <c r="R1009" s="259">
        <v>1304257432.337023</v>
      </c>
      <c r="S1009" s="254">
        <v>32</v>
      </c>
      <c r="T1009" s="256">
        <v>-0.13040532884291178</v>
      </c>
      <c r="U1009" s="256">
        <v>-1.685775138642801</v>
      </c>
      <c r="V1009" s="256">
        <v>-0.35033315901940032</v>
      </c>
      <c r="W1009" s="256">
        <v>-3.4344363797382589</v>
      </c>
      <c r="X1009" s="256">
        <v>-0.20736963724060431</v>
      </c>
      <c r="Y1009" s="256">
        <v>-1.572521630077836</v>
      </c>
      <c r="Z1009" s="256">
        <v>-6.6470713024383121E-2</v>
      </c>
      <c r="AA1009" s="256">
        <v>-0.37784108185555121</v>
      </c>
      <c r="AB1009" s="256">
        <v>0.28344950058232576</v>
      </c>
      <c r="AC1009" s="260">
        <v>-1.7217030490215228</v>
      </c>
      <c r="AD1009" s="405">
        <v>15165493000197</v>
      </c>
      <c r="AE1009" s="257" t="s">
        <v>2176</v>
      </c>
      <c r="AF1009" s="257" t="s">
        <v>2118</v>
      </c>
      <c r="AG1009" s="261" t="s">
        <v>1433</v>
      </c>
      <c r="AH1009" s="261" t="s">
        <v>2113</v>
      </c>
      <c r="AI1009" s="261">
        <v>150000</v>
      </c>
      <c r="AJ1009" s="261">
        <v>10000</v>
      </c>
      <c r="AK1009" s="261">
        <v>150000</v>
      </c>
      <c r="AL1009" s="256">
        <v>1.8000000000000002E-2</v>
      </c>
      <c r="AM1009" s="256">
        <v>0.2</v>
      </c>
      <c r="AN1009" s="256" t="s">
        <v>666</v>
      </c>
      <c r="AO1009" s="254" t="s">
        <v>1324</v>
      </c>
      <c r="AP1009" s="257" t="s">
        <v>716</v>
      </c>
      <c r="AQ1009" s="263" t="s">
        <v>665</v>
      </c>
      <c r="AR1009" s="256" t="s">
        <v>34</v>
      </c>
      <c r="AS1009" s="256" t="s">
        <v>34</v>
      </c>
      <c r="AT1009" s="256"/>
      <c r="AX1009" s="508"/>
      <c r="AY1009" s="509"/>
      <c r="AZ1009" s="509"/>
      <c r="BA1009" s="509"/>
      <c r="BB1009" s="510"/>
      <c r="BC1009" s="509"/>
      <c r="BD1009" s="509"/>
      <c r="BE1009" s="509"/>
      <c r="BF1009" s="509"/>
      <c r="BG1009" s="510"/>
      <c r="BH1009" s="510"/>
      <c r="BI1009" s="511"/>
      <c r="BJ1009" s="511"/>
      <c r="BK1009" s="511"/>
      <c r="BL1009" s="510"/>
      <c r="BM1009" s="510"/>
      <c r="BN1009" s="510"/>
      <c r="BO1009" s="510"/>
      <c r="BP1009" s="510"/>
      <c r="BQ1009" s="510"/>
      <c r="BR1009" s="510"/>
      <c r="BS1009" s="510"/>
      <c r="BT1009" s="513"/>
      <c r="BU1009" s="514"/>
      <c r="BV1009" s="512"/>
      <c r="BW1009" s="515"/>
    </row>
    <row r="1010" spans="2:75" ht="15.75" customHeight="1">
      <c r="B1010" s="250" t="s">
        <v>1507</v>
      </c>
      <c r="C1010" s="251">
        <v>38173778000175</v>
      </c>
      <c r="D1010" s="252" t="s">
        <v>14</v>
      </c>
      <c r="E1010" s="252"/>
      <c r="F1010" s="252"/>
      <c r="G1010" s="253"/>
      <c r="H1010" s="253" t="s">
        <v>34</v>
      </c>
      <c r="I1010" s="253"/>
      <c r="J1010" s="253"/>
      <c r="K1010" s="254"/>
      <c r="L1010" s="255"/>
      <c r="M1010" s="255"/>
      <c r="N1010" s="254">
        <v>602353</v>
      </c>
      <c r="O1010" s="254" t="s">
        <v>1321</v>
      </c>
      <c r="P1010" s="258">
        <v>44391</v>
      </c>
      <c r="Q1010" s="259">
        <v>48150754.390000001</v>
      </c>
      <c r="R1010" s="259">
        <v>50088779.204999961</v>
      </c>
      <c r="S1010" s="254">
        <v>32</v>
      </c>
      <c r="T1010" s="256">
        <v>-0.17767078062246211</v>
      </c>
      <c r="U1010" s="256">
        <v>-1.9984255758415237</v>
      </c>
      <c r="V1010" s="256">
        <v>-0.31662975984523423</v>
      </c>
      <c r="W1010" s="256">
        <v>-2.9059356104607028</v>
      </c>
      <c r="X1010" s="256" t="s">
        <v>1417</v>
      </c>
      <c r="Y1010" s="256" t="s">
        <v>1417</v>
      </c>
      <c r="Z1010" s="256" t="s">
        <v>1417</v>
      </c>
      <c r="AA1010" s="256" t="s">
        <v>1417</v>
      </c>
      <c r="AB1010" s="256">
        <v>0.28162906035796792</v>
      </c>
      <c r="AC1010" s="260">
        <v>-1.5777084695006449</v>
      </c>
      <c r="AD1010" s="405">
        <v>41128218000103</v>
      </c>
      <c r="AE1010" s="257" t="s">
        <v>2123</v>
      </c>
      <c r="AF1010" s="257" t="s">
        <v>2109</v>
      </c>
      <c r="AG1010" s="261" t="s">
        <v>1432</v>
      </c>
      <c r="AH1010" s="261" t="s">
        <v>2119</v>
      </c>
      <c r="AI1010" s="261">
        <v>0</v>
      </c>
      <c r="AJ1010" s="261">
        <v>0</v>
      </c>
      <c r="AK1010" s="261">
        <v>0</v>
      </c>
      <c r="AL1010" s="256">
        <v>5.0000000000000001E-3</v>
      </c>
      <c r="AM1010" s="256" t="s">
        <v>34</v>
      </c>
      <c r="AN1010" s="256" t="s">
        <v>34</v>
      </c>
      <c r="AO1010" s="254" t="s">
        <v>1321</v>
      </c>
      <c r="AP1010" s="257" t="s">
        <v>716</v>
      </c>
      <c r="AQ1010" s="263" t="s">
        <v>2120</v>
      </c>
      <c r="AR1010" s="256" t="s">
        <v>34</v>
      </c>
      <c r="AS1010" s="256" t="s">
        <v>34</v>
      </c>
      <c r="AT1010" s="256"/>
      <c r="AX1010" s="508"/>
      <c r="AY1010" s="509"/>
      <c r="AZ1010" s="509"/>
      <c r="BA1010" s="509"/>
      <c r="BB1010" s="510"/>
      <c r="BC1010" s="509"/>
      <c r="BD1010" s="509"/>
      <c r="BE1010" s="509"/>
      <c r="BF1010" s="509"/>
      <c r="BG1010" s="510"/>
      <c r="BH1010" s="510"/>
      <c r="BI1010" s="511"/>
      <c r="BJ1010" s="511"/>
      <c r="BK1010" s="511"/>
      <c r="BL1010" s="510"/>
      <c r="BM1010" s="510"/>
      <c r="BN1010" s="510"/>
      <c r="BO1010" s="510"/>
      <c r="BP1010" s="510"/>
      <c r="BQ1010" s="510"/>
      <c r="BR1010" s="510"/>
      <c r="BS1010" s="510"/>
      <c r="BT1010" s="513"/>
      <c r="BU1010" s="514"/>
      <c r="BV1010" s="512"/>
      <c r="BW1010" s="515"/>
    </row>
    <row r="1011" spans="2:75" ht="15.75" customHeight="1">
      <c r="B1011" s="250" t="s">
        <v>132</v>
      </c>
      <c r="C1011" s="251">
        <v>29286347000124</v>
      </c>
      <c r="D1011" s="252" t="s">
        <v>14</v>
      </c>
      <c r="E1011" s="252" t="s">
        <v>607</v>
      </c>
      <c r="F1011" s="252"/>
      <c r="G1011" s="253"/>
      <c r="H1011" s="253" t="s">
        <v>34</v>
      </c>
      <c r="I1011" s="253" t="s">
        <v>34</v>
      </c>
      <c r="J1011" s="253" t="s">
        <v>608</v>
      </c>
      <c r="K1011" s="254" t="s">
        <v>48</v>
      </c>
      <c r="L1011" s="255"/>
      <c r="M1011" s="255" t="s">
        <v>1414</v>
      </c>
      <c r="N1011" s="254">
        <v>463302</v>
      </c>
      <c r="O1011" s="254" t="s">
        <v>1324</v>
      </c>
      <c r="P1011" s="258">
        <v>43168</v>
      </c>
      <c r="Q1011" s="259">
        <v>465490328.38999999</v>
      </c>
      <c r="R1011" s="259">
        <v>553434836.34650826</v>
      </c>
      <c r="S1011" s="254">
        <v>32</v>
      </c>
      <c r="T1011" s="256">
        <v>-0.14126485424508062</v>
      </c>
      <c r="U1011" s="256">
        <v>-1.8261583430936617</v>
      </c>
      <c r="V1011" s="256">
        <v>-0.36137491441622582</v>
      </c>
      <c r="W1011" s="256">
        <v>-3.5426825033343663</v>
      </c>
      <c r="X1011" s="256">
        <v>-0.22241232389687648</v>
      </c>
      <c r="Y1011" s="256">
        <v>-1.6865930556550779</v>
      </c>
      <c r="Z1011" s="256">
        <v>-6.3844877139751177E-2</v>
      </c>
      <c r="AA1011" s="256">
        <v>-0.36291497942213036</v>
      </c>
      <c r="AB1011" s="256">
        <v>0.27729233664710501</v>
      </c>
      <c r="AC1011" s="260">
        <v>-1.8278357004017018</v>
      </c>
      <c r="AD1011" s="405">
        <v>29224691000199</v>
      </c>
      <c r="AE1011" s="257" t="s">
        <v>2176</v>
      </c>
      <c r="AF1011" s="257" t="s">
        <v>2118</v>
      </c>
      <c r="AG1011" s="261" t="s">
        <v>1433</v>
      </c>
      <c r="AH1011" s="261" t="s">
        <v>2110</v>
      </c>
      <c r="AI1011" s="261">
        <v>300000</v>
      </c>
      <c r="AJ1011" s="261">
        <v>10000</v>
      </c>
      <c r="AK1011" s="261">
        <v>300000</v>
      </c>
      <c r="AL1011" s="256">
        <v>1.3000000000000001E-2</v>
      </c>
      <c r="AM1011" s="256">
        <v>0.2</v>
      </c>
      <c r="AN1011" s="256" t="s">
        <v>666</v>
      </c>
      <c r="AO1011" s="254" t="s">
        <v>1324</v>
      </c>
      <c r="AP1011" s="257" t="s">
        <v>716</v>
      </c>
      <c r="AQ1011" s="263" t="s">
        <v>665</v>
      </c>
      <c r="AR1011" s="256" t="s">
        <v>34</v>
      </c>
      <c r="AS1011" s="256" t="s">
        <v>34</v>
      </c>
      <c r="AT1011" s="256"/>
      <c r="AX1011" s="508"/>
      <c r="AY1011" s="509"/>
      <c r="AZ1011" s="509"/>
      <c r="BA1011" s="509"/>
      <c r="BB1011" s="510"/>
      <c r="BC1011" s="509"/>
      <c r="BD1011" s="509"/>
      <c r="BE1011" s="509"/>
      <c r="BF1011" s="509"/>
      <c r="BG1011" s="510"/>
      <c r="BH1011" s="510"/>
      <c r="BI1011" s="511"/>
      <c r="BJ1011" s="511"/>
      <c r="BK1011" s="511"/>
      <c r="BL1011" s="510"/>
      <c r="BM1011" s="510"/>
      <c r="BN1011" s="510"/>
      <c r="BO1011" s="510"/>
      <c r="BP1011" s="510"/>
      <c r="BQ1011" s="510"/>
      <c r="BR1011" s="510"/>
      <c r="BS1011" s="510"/>
      <c r="BT1011" s="513"/>
      <c r="BU1011" s="514"/>
      <c r="BV1011" s="512"/>
      <c r="BW1011" s="515"/>
    </row>
    <row r="1012" spans="2:75" ht="15.75" customHeight="1">
      <c r="B1012" s="250" t="s">
        <v>1508</v>
      </c>
      <c r="C1012" s="251">
        <v>41063234000165</v>
      </c>
      <c r="D1012" s="252" t="s">
        <v>14</v>
      </c>
      <c r="E1012" s="252" t="s">
        <v>614</v>
      </c>
      <c r="F1012" s="252"/>
      <c r="G1012" s="253"/>
      <c r="H1012" s="253" t="s">
        <v>865</v>
      </c>
      <c r="I1012" s="253" t="s">
        <v>34</v>
      </c>
      <c r="J1012" s="253" t="s">
        <v>608</v>
      </c>
      <c r="K1012" s="254" t="s">
        <v>48</v>
      </c>
      <c r="L1012" s="255"/>
      <c r="M1012" s="255"/>
      <c r="N1012" s="254">
        <v>586625</v>
      </c>
      <c r="O1012" s="254" t="s">
        <v>1321</v>
      </c>
      <c r="P1012" s="258">
        <v>44313</v>
      </c>
      <c r="Q1012" s="259">
        <v>29495848.530000001</v>
      </c>
      <c r="R1012" s="259">
        <v>17682740.678492066</v>
      </c>
      <c r="S1012" s="254">
        <v>32</v>
      </c>
      <c r="T1012" s="256">
        <v>0.15727484039590389</v>
      </c>
      <c r="U1012" s="256">
        <v>1.7690138039717274</v>
      </c>
      <c r="V1012" s="256">
        <v>0.12172161452833796</v>
      </c>
      <c r="W1012" s="256">
        <v>1.1171254855941555</v>
      </c>
      <c r="X1012" s="256" t="s">
        <v>1417</v>
      </c>
      <c r="Y1012" s="256" t="s">
        <v>1417</v>
      </c>
      <c r="Z1012" s="256" t="s">
        <v>1417</v>
      </c>
      <c r="AA1012" s="256" t="s">
        <v>1417</v>
      </c>
      <c r="AB1012" s="256">
        <v>0.14928725484086319</v>
      </c>
      <c r="AC1012" s="260">
        <v>0.15105162310426951</v>
      </c>
      <c r="AD1012" s="405">
        <v>40386431000152</v>
      </c>
      <c r="AE1012" s="257" t="s">
        <v>2123</v>
      </c>
      <c r="AF1012" s="257" t="s">
        <v>2109</v>
      </c>
      <c r="AG1012" s="261" t="s">
        <v>1432</v>
      </c>
      <c r="AH1012" s="261" t="s">
        <v>2119</v>
      </c>
      <c r="AI1012" s="261">
        <v>10000</v>
      </c>
      <c r="AJ1012" s="261" t="s">
        <v>1427</v>
      </c>
      <c r="AK1012" s="261" t="s">
        <v>1427</v>
      </c>
      <c r="AL1012" s="256">
        <v>6.9999999999999993E-3</v>
      </c>
      <c r="AM1012" s="256" t="s">
        <v>34</v>
      </c>
      <c r="AN1012" s="256" t="s">
        <v>34</v>
      </c>
      <c r="AO1012" s="254" t="s">
        <v>1321</v>
      </c>
      <c r="AP1012" s="257" t="s">
        <v>13</v>
      </c>
      <c r="AQ1012" s="263" t="s">
        <v>2177</v>
      </c>
      <c r="AR1012" s="256" t="s">
        <v>34</v>
      </c>
      <c r="AS1012" s="256" t="s">
        <v>34</v>
      </c>
      <c r="AT1012" s="256"/>
      <c r="AX1012" s="508"/>
      <c r="AY1012" s="509"/>
      <c r="AZ1012" s="509"/>
      <c r="BA1012" s="509"/>
      <c r="BB1012" s="510"/>
      <c r="BC1012" s="509"/>
      <c r="BD1012" s="509"/>
      <c r="BE1012" s="509"/>
      <c r="BF1012" s="509"/>
      <c r="BG1012" s="510"/>
      <c r="BH1012" s="510"/>
      <c r="BI1012" s="511"/>
      <c r="BJ1012" s="511"/>
      <c r="BK1012" s="511"/>
      <c r="BL1012" s="510"/>
      <c r="BM1012" s="510"/>
      <c r="BN1012" s="510"/>
      <c r="BO1012" s="510"/>
      <c r="BP1012" s="510"/>
      <c r="BQ1012" s="510"/>
      <c r="BR1012" s="510"/>
      <c r="BS1012" s="510"/>
      <c r="BT1012" s="513"/>
      <c r="BU1012" s="514"/>
      <c r="BV1012" s="512"/>
      <c r="BW1012" s="515"/>
    </row>
    <row r="1013" spans="2:75" ht="15.75" customHeight="1">
      <c r="B1013" s="250" t="s">
        <v>468</v>
      </c>
      <c r="C1013" s="251">
        <v>41219215000185</v>
      </c>
      <c r="D1013" s="252" t="s">
        <v>14</v>
      </c>
      <c r="E1013" s="252" t="s">
        <v>607</v>
      </c>
      <c r="F1013" s="252"/>
      <c r="G1013" s="253"/>
      <c r="H1013" s="253" t="s">
        <v>34</v>
      </c>
      <c r="I1013" s="253" t="s">
        <v>34</v>
      </c>
      <c r="J1013" s="253" t="s">
        <v>608</v>
      </c>
      <c r="K1013" s="254" t="s">
        <v>48</v>
      </c>
      <c r="L1013" s="255"/>
      <c r="M1013" s="255" t="s">
        <v>1414</v>
      </c>
      <c r="N1013" s="254">
        <v>593672</v>
      </c>
      <c r="O1013" s="254" t="s">
        <v>1321</v>
      </c>
      <c r="P1013" s="258">
        <v>44347</v>
      </c>
      <c r="Q1013" s="259">
        <v>8413344.0500000007</v>
      </c>
      <c r="R1013" s="259">
        <v>8508135.8002777733</v>
      </c>
      <c r="S1013" s="254">
        <v>32</v>
      </c>
      <c r="T1013" s="256">
        <v>-4.4048791929961584E-2</v>
      </c>
      <c r="U1013" s="256">
        <v>-0.56942733078208185</v>
      </c>
      <c r="V1013" s="256">
        <v>-0.22536500916693492</v>
      </c>
      <c r="W1013" s="256">
        <v>-2.20933065077093</v>
      </c>
      <c r="X1013" s="256" t="s">
        <v>1417</v>
      </c>
      <c r="Y1013" s="256" t="s">
        <v>1417</v>
      </c>
      <c r="Z1013" s="256" t="s">
        <v>1417</v>
      </c>
      <c r="AA1013" s="256" t="s">
        <v>1417</v>
      </c>
      <c r="AB1013" s="256">
        <v>0.22709834424597317</v>
      </c>
      <c r="AC1013" s="260">
        <v>-1.4383444892316171</v>
      </c>
      <c r="AD1013" s="405">
        <v>0</v>
      </c>
      <c r="AE1013" s="257" t="s">
        <v>2179</v>
      </c>
      <c r="AF1013" s="257" t="s">
        <v>719</v>
      </c>
      <c r="AG1013" s="261" t="s">
        <v>719</v>
      </c>
      <c r="AH1013" s="261" t="s">
        <v>2113</v>
      </c>
      <c r="AI1013" s="261">
        <v>100</v>
      </c>
      <c r="AJ1013" s="261">
        <v>100</v>
      </c>
      <c r="AK1013" s="261">
        <v>100</v>
      </c>
      <c r="AL1013" s="256">
        <v>7.4999999999999997E-3</v>
      </c>
      <c r="AM1013" s="256">
        <v>0.1</v>
      </c>
      <c r="AN1013" s="256" t="s">
        <v>2122</v>
      </c>
      <c r="AO1013" s="254" t="s">
        <v>1324</v>
      </c>
      <c r="AP1013" s="257" t="s">
        <v>716</v>
      </c>
      <c r="AQ1013" s="263" t="s">
        <v>659</v>
      </c>
      <c r="AR1013" s="256">
        <v>2E-3</v>
      </c>
      <c r="AS1013" s="256">
        <v>2E-3</v>
      </c>
      <c r="AT1013" s="256"/>
      <c r="AX1013" s="508"/>
      <c r="AY1013" s="509"/>
      <c r="AZ1013" s="509"/>
      <c r="BA1013" s="509"/>
      <c r="BB1013" s="510"/>
      <c r="BC1013" s="509"/>
      <c r="BD1013" s="509"/>
      <c r="BE1013" s="509"/>
      <c r="BF1013" s="509"/>
      <c r="BG1013" s="510"/>
      <c r="BH1013" s="510"/>
      <c r="BI1013" s="511"/>
      <c r="BJ1013" s="511"/>
      <c r="BK1013" s="511"/>
      <c r="BL1013" s="510"/>
      <c r="BM1013" s="510"/>
      <c r="BN1013" s="510"/>
      <c r="BO1013" s="510"/>
      <c r="BP1013" s="510"/>
      <c r="BQ1013" s="510"/>
      <c r="BR1013" s="510"/>
      <c r="BS1013" s="510"/>
      <c r="BT1013" s="513"/>
      <c r="BU1013" s="514"/>
      <c r="BV1013" s="512"/>
      <c r="BW1013" s="515"/>
    </row>
    <row r="1014" spans="2:75" ht="15.75" customHeight="1">
      <c r="B1014" s="250" t="s">
        <v>30</v>
      </c>
      <c r="C1014" s="251">
        <v>14866273000128</v>
      </c>
      <c r="D1014" s="252" t="s">
        <v>14</v>
      </c>
      <c r="E1014" s="252" t="s">
        <v>607</v>
      </c>
      <c r="F1014" s="252"/>
      <c r="G1014" s="253"/>
      <c r="H1014" s="253" t="s">
        <v>34</v>
      </c>
      <c r="I1014" s="253" t="s">
        <v>34</v>
      </c>
      <c r="J1014" s="253" t="s">
        <v>608</v>
      </c>
      <c r="K1014" s="254" t="s">
        <v>48</v>
      </c>
      <c r="L1014" s="255"/>
      <c r="M1014" s="255" t="s">
        <v>34</v>
      </c>
      <c r="N1014" s="254">
        <v>311774</v>
      </c>
      <c r="O1014" s="254" t="s">
        <v>1321</v>
      </c>
      <c r="P1014" s="258">
        <v>41148</v>
      </c>
      <c r="Q1014" s="259">
        <v>438223882.17000002</v>
      </c>
      <c r="R1014" s="259">
        <v>597909566.93448448</v>
      </c>
      <c r="S1014" s="254">
        <v>32</v>
      </c>
      <c r="T1014" s="256">
        <v>-4.8245709805277093E-2</v>
      </c>
      <c r="U1014" s="256">
        <v>-0.62368170731645778</v>
      </c>
      <c r="V1014" s="256">
        <v>-0.23397019616668158</v>
      </c>
      <c r="W1014" s="256">
        <v>-2.2936902568359216</v>
      </c>
      <c r="X1014" s="256">
        <v>-0.13676903108723892</v>
      </c>
      <c r="Y1014" s="256">
        <v>-1.0371444082719292</v>
      </c>
      <c r="Z1014" s="256">
        <v>-7.5694239226076876E-2</v>
      </c>
      <c r="AA1014" s="256">
        <v>-0.43027059494491127</v>
      </c>
      <c r="AB1014" s="256">
        <v>0.2302674965325604</v>
      </c>
      <c r="AC1014" s="260">
        <v>-1.4638688813789009</v>
      </c>
      <c r="AD1014" s="405">
        <v>14284684000105</v>
      </c>
      <c r="AE1014" s="257" t="s">
        <v>2180</v>
      </c>
      <c r="AF1014" s="257" t="s">
        <v>2118</v>
      </c>
      <c r="AG1014" s="261" t="s">
        <v>1433</v>
      </c>
      <c r="AH1014" s="261" t="s">
        <v>2113</v>
      </c>
      <c r="AI1014" s="261">
        <v>100000</v>
      </c>
      <c r="AJ1014" s="261">
        <v>10000</v>
      </c>
      <c r="AK1014" s="261">
        <v>100000</v>
      </c>
      <c r="AL1014" s="256">
        <v>1.38E-2</v>
      </c>
      <c r="AM1014" s="256">
        <v>0.2</v>
      </c>
      <c r="AN1014" s="256" t="s">
        <v>666</v>
      </c>
      <c r="AO1014" s="254" t="s">
        <v>1324</v>
      </c>
      <c r="AP1014" s="257" t="s">
        <v>716</v>
      </c>
      <c r="AQ1014" s="263" t="s">
        <v>659</v>
      </c>
      <c r="AR1014" s="256">
        <v>4.1399999999999996E-3</v>
      </c>
      <c r="AS1014" s="256">
        <v>4.1399999999999996E-3</v>
      </c>
      <c r="AT1014" s="256"/>
      <c r="AX1014" s="508"/>
      <c r="AY1014" s="509"/>
      <c r="AZ1014" s="509"/>
      <c r="BA1014" s="509"/>
      <c r="BB1014" s="510"/>
      <c r="BC1014" s="509"/>
      <c r="BD1014" s="509"/>
      <c r="BE1014" s="509"/>
      <c r="BF1014" s="509"/>
      <c r="BG1014" s="510"/>
      <c r="BH1014" s="510"/>
      <c r="BI1014" s="511"/>
      <c r="BJ1014" s="511"/>
      <c r="BK1014" s="511"/>
      <c r="BL1014" s="510"/>
      <c r="BM1014" s="510"/>
      <c r="BN1014" s="510"/>
      <c r="BO1014" s="510"/>
      <c r="BP1014" s="510"/>
      <c r="BQ1014" s="510"/>
      <c r="BR1014" s="510"/>
      <c r="BS1014" s="510"/>
      <c r="BT1014" s="513"/>
      <c r="BU1014" s="514"/>
      <c r="BV1014" s="512"/>
      <c r="BW1014" s="515"/>
    </row>
    <row r="1015" spans="2:75" ht="15.75" customHeight="1">
      <c r="B1015" s="250" t="s">
        <v>136</v>
      </c>
      <c r="C1015" s="251">
        <v>35704552000165</v>
      </c>
      <c r="D1015" s="252" t="s">
        <v>14</v>
      </c>
      <c r="E1015" s="252" t="s">
        <v>607</v>
      </c>
      <c r="F1015" s="252"/>
      <c r="G1015" s="253"/>
      <c r="H1015" s="253" t="s">
        <v>34</v>
      </c>
      <c r="I1015" s="253" t="s">
        <v>34</v>
      </c>
      <c r="J1015" s="253" t="s">
        <v>608</v>
      </c>
      <c r="K1015" s="254" t="s">
        <v>48</v>
      </c>
      <c r="L1015" s="255"/>
      <c r="M1015" s="255" t="s">
        <v>34</v>
      </c>
      <c r="N1015" s="254">
        <v>529222</v>
      </c>
      <c r="O1015" s="254" t="s">
        <v>1321</v>
      </c>
      <c r="P1015" s="258">
        <v>43879</v>
      </c>
      <c r="Q1015" s="259">
        <v>3203406.86</v>
      </c>
      <c r="R1015" s="259">
        <v>4344004.1135714306</v>
      </c>
      <c r="S1015" s="254">
        <v>32</v>
      </c>
      <c r="T1015" s="256">
        <v>-5.0636216848350402E-2</v>
      </c>
      <c r="U1015" s="256">
        <v>-0.65458425844470136</v>
      </c>
      <c r="V1015" s="256">
        <v>-0.23207511804183001</v>
      </c>
      <c r="W1015" s="256">
        <v>-2.2751121545727671</v>
      </c>
      <c r="X1015" s="256">
        <v>-0.14660160193455241</v>
      </c>
      <c r="Y1015" s="256">
        <v>-1.1117065791973344</v>
      </c>
      <c r="Z1015" s="256" t="s">
        <v>1417</v>
      </c>
      <c r="AA1015" s="256" t="s">
        <v>1417</v>
      </c>
      <c r="AB1015" s="256">
        <v>0.22929062487373342</v>
      </c>
      <c r="AC1015" s="260">
        <v>-1.4603247797625858</v>
      </c>
      <c r="AD1015" s="405">
        <v>11176045000138</v>
      </c>
      <c r="AE1015" s="257" t="s">
        <v>2180</v>
      </c>
      <c r="AF1015" s="257" t="s">
        <v>2118</v>
      </c>
      <c r="AG1015" s="261" t="s">
        <v>1433</v>
      </c>
      <c r="AH1015" s="261" t="s">
        <v>2131</v>
      </c>
      <c r="AI1015" s="261">
        <v>100000</v>
      </c>
      <c r="AJ1015" s="261">
        <v>10000</v>
      </c>
      <c r="AK1015" s="261">
        <v>100000</v>
      </c>
      <c r="AL1015" s="256">
        <v>1.38E-2</v>
      </c>
      <c r="AM1015" s="256">
        <v>0.2</v>
      </c>
      <c r="AN1015" s="256" t="s">
        <v>34</v>
      </c>
      <c r="AO1015" s="254" t="s">
        <v>1324</v>
      </c>
      <c r="AP1015" s="257" t="s">
        <v>716</v>
      </c>
      <c r="AQ1015" s="263" t="s">
        <v>659</v>
      </c>
      <c r="AR1015" s="256">
        <v>4.1399999999999996E-3</v>
      </c>
      <c r="AS1015" s="256">
        <v>4.1399999999999996E-3</v>
      </c>
      <c r="AT1015" s="256"/>
      <c r="AX1015" s="508"/>
      <c r="AY1015" s="509"/>
      <c r="AZ1015" s="509"/>
      <c r="BA1015" s="509"/>
      <c r="BB1015" s="510"/>
      <c r="BC1015" s="509"/>
      <c r="BD1015" s="509"/>
      <c r="BE1015" s="509"/>
      <c r="BF1015" s="509"/>
      <c r="BG1015" s="510"/>
      <c r="BH1015" s="510"/>
      <c r="BI1015" s="511"/>
      <c r="BJ1015" s="511"/>
      <c r="BK1015" s="511"/>
      <c r="BL1015" s="510"/>
      <c r="BM1015" s="510"/>
      <c r="BN1015" s="510"/>
      <c r="BO1015" s="510"/>
      <c r="BP1015" s="510"/>
      <c r="BQ1015" s="510"/>
      <c r="BR1015" s="510"/>
      <c r="BS1015" s="510"/>
      <c r="BT1015" s="513"/>
      <c r="BU1015" s="514"/>
      <c r="BV1015" s="512"/>
      <c r="BW1015" s="515"/>
    </row>
    <row r="1016" spans="2:75" ht="15.75" customHeight="1">
      <c r="B1016" s="250" t="s">
        <v>140</v>
      </c>
      <c r="C1016" s="251">
        <v>6070574000112</v>
      </c>
      <c r="D1016" s="252" t="s">
        <v>14</v>
      </c>
      <c r="E1016" s="252" t="s">
        <v>607</v>
      </c>
      <c r="F1016" s="252"/>
      <c r="G1016" s="253"/>
      <c r="H1016" s="253" t="s">
        <v>34</v>
      </c>
      <c r="I1016" s="253" t="s">
        <v>34</v>
      </c>
      <c r="J1016" s="253" t="s">
        <v>608</v>
      </c>
      <c r="K1016" s="254" t="s">
        <v>48</v>
      </c>
      <c r="L1016" s="255"/>
      <c r="M1016" s="255" t="s">
        <v>34</v>
      </c>
      <c r="N1016" s="254">
        <v>129100</v>
      </c>
      <c r="O1016" s="254" t="s">
        <v>1321</v>
      </c>
      <c r="P1016" s="258">
        <v>38027</v>
      </c>
      <c r="Q1016" s="259">
        <v>258654758.94999999</v>
      </c>
      <c r="R1016" s="259">
        <v>251931938.0382143</v>
      </c>
      <c r="S1016" s="254">
        <v>32</v>
      </c>
      <c r="T1016" s="256">
        <v>7.8718854871870247E-2</v>
      </c>
      <c r="U1016" s="256">
        <v>1.0176140013824495</v>
      </c>
      <c r="V1016" s="256">
        <v>-5.1070102234132553E-2</v>
      </c>
      <c r="W1016" s="256">
        <v>-0.50065776679775853</v>
      </c>
      <c r="X1016" s="256">
        <v>-7.9907106259741068E-2</v>
      </c>
      <c r="Y1016" s="256">
        <v>-0.60595010273648053</v>
      </c>
      <c r="Z1016" s="256">
        <v>-2.6502839926050847E-2</v>
      </c>
      <c r="AA1016" s="256">
        <v>-0.15065073404929796</v>
      </c>
      <c r="AB1016" s="256">
        <v>0.14683307217679178</v>
      </c>
      <c r="AC1016" s="260">
        <v>-0.94540406241559105</v>
      </c>
      <c r="AD1016" s="405">
        <v>16993142000137</v>
      </c>
      <c r="AE1016" s="257" t="s">
        <v>2188</v>
      </c>
      <c r="AF1016" s="257" t="s">
        <v>2118</v>
      </c>
      <c r="AG1016" s="261" t="s">
        <v>1433</v>
      </c>
      <c r="AH1016" s="261" t="s">
        <v>2110</v>
      </c>
      <c r="AI1016" s="261">
        <v>10000</v>
      </c>
      <c r="AJ1016" s="261">
        <v>1000</v>
      </c>
      <c r="AK1016" s="261">
        <v>1000</v>
      </c>
      <c r="AL1016" s="256">
        <v>0.02</v>
      </c>
      <c r="AM1016" s="256">
        <v>0.15</v>
      </c>
      <c r="AN1016" s="256" t="s">
        <v>2141</v>
      </c>
      <c r="AO1016" s="254" t="s">
        <v>1324</v>
      </c>
      <c r="AP1016" s="257" t="s">
        <v>716</v>
      </c>
      <c r="AQ1016" s="263" t="s">
        <v>659</v>
      </c>
      <c r="AR1016" s="256">
        <v>4.6666666666666662E-3</v>
      </c>
      <c r="AS1016" s="256">
        <v>4.6666666666666662E-3</v>
      </c>
      <c r="AT1016" s="256"/>
      <c r="AX1016" s="508"/>
      <c r="AY1016" s="509"/>
      <c r="AZ1016" s="509"/>
      <c r="BA1016" s="509"/>
      <c r="BB1016" s="510"/>
      <c r="BC1016" s="509"/>
      <c r="BD1016" s="509"/>
      <c r="BE1016" s="509"/>
      <c r="BF1016" s="509"/>
      <c r="BG1016" s="510"/>
      <c r="BH1016" s="510"/>
      <c r="BI1016" s="511"/>
      <c r="BJ1016" s="511"/>
      <c r="BK1016" s="511"/>
      <c r="BL1016" s="510"/>
      <c r="BM1016" s="510"/>
      <c r="BN1016" s="510"/>
      <c r="BO1016" s="510"/>
      <c r="BP1016" s="510"/>
      <c r="BQ1016" s="510"/>
      <c r="BR1016" s="510"/>
      <c r="BS1016" s="510"/>
      <c r="BT1016" s="513"/>
      <c r="BU1016" s="514"/>
      <c r="BV1016" s="512"/>
      <c r="BW1016" s="515"/>
    </row>
    <row r="1017" spans="2:75" ht="15.75" customHeight="1">
      <c r="B1017" s="250" t="s">
        <v>832</v>
      </c>
      <c r="C1017" s="251">
        <v>29283812000173</v>
      </c>
      <c r="D1017" s="252" t="s">
        <v>14</v>
      </c>
      <c r="E1017" s="252" t="s">
        <v>607</v>
      </c>
      <c r="F1017" s="252"/>
      <c r="G1017" s="253"/>
      <c r="H1017" s="253" t="s">
        <v>34</v>
      </c>
      <c r="I1017" s="253" t="s">
        <v>34</v>
      </c>
      <c r="J1017" s="253" t="s">
        <v>608</v>
      </c>
      <c r="K1017" s="254" t="s">
        <v>48</v>
      </c>
      <c r="L1017" s="255"/>
      <c r="M1017" s="255" t="s">
        <v>34</v>
      </c>
      <c r="N1017" s="254">
        <v>459984</v>
      </c>
      <c r="O1017" s="254" t="s">
        <v>1321</v>
      </c>
      <c r="P1017" s="258">
        <v>43152</v>
      </c>
      <c r="Q1017" s="259">
        <v>4341754.9800000004</v>
      </c>
      <c r="R1017" s="259">
        <v>4253500.9878174616</v>
      </c>
      <c r="S1017" s="254">
        <v>32</v>
      </c>
      <c r="T1017" s="256">
        <v>7.1672057685342239E-2</v>
      </c>
      <c r="U1017" s="256">
        <v>0.92651867874868687</v>
      </c>
      <c r="V1017" s="256">
        <v>-5.9291583323064834E-2</v>
      </c>
      <c r="W1017" s="256">
        <v>-0.58125577192577305</v>
      </c>
      <c r="X1017" s="256">
        <v>-9.4843151586843866E-2</v>
      </c>
      <c r="Y1017" s="256">
        <v>-0.71921284774210847</v>
      </c>
      <c r="Z1017" s="256">
        <v>-3.4660801262406671E-2</v>
      </c>
      <c r="AA1017" s="256">
        <v>-0.19702323100045505</v>
      </c>
      <c r="AB1017" s="256">
        <v>0.14613032425102476</v>
      </c>
      <c r="AC1017" s="260">
        <v>-1.0101847322390551</v>
      </c>
      <c r="AD1017" s="405">
        <v>16993142000137</v>
      </c>
      <c r="AE1017" s="257" t="s">
        <v>2188</v>
      </c>
      <c r="AF1017" s="257" t="s">
        <v>2118</v>
      </c>
      <c r="AG1017" s="261" t="s">
        <v>1433</v>
      </c>
      <c r="AH1017" s="261" t="s">
        <v>2113</v>
      </c>
      <c r="AI1017" s="261">
        <v>5000</v>
      </c>
      <c r="AJ1017" s="261">
        <v>1000</v>
      </c>
      <c r="AK1017" s="261">
        <v>1000</v>
      </c>
      <c r="AL1017" s="256">
        <v>2.5000000000000001E-2</v>
      </c>
      <c r="AM1017" s="256">
        <v>0.2</v>
      </c>
      <c r="AN1017" s="256" t="s">
        <v>2141</v>
      </c>
      <c r="AO1017" s="254" t="s">
        <v>1324</v>
      </c>
      <c r="AP1017" s="257" t="s">
        <v>716</v>
      </c>
      <c r="AQ1017" s="263" t="s">
        <v>659</v>
      </c>
      <c r="AR1017" s="256">
        <v>5.8333333333333327E-3</v>
      </c>
      <c r="AS1017" s="256">
        <v>5.8333333333333327E-3</v>
      </c>
      <c r="AT1017" s="256"/>
      <c r="AX1017" s="508"/>
      <c r="AY1017" s="509"/>
      <c r="AZ1017" s="509"/>
      <c r="BA1017" s="509"/>
      <c r="BB1017" s="510"/>
      <c r="BC1017" s="509"/>
      <c r="BD1017" s="509"/>
      <c r="BE1017" s="509"/>
      <c r="BF1017" s="509"/>
      <c r="BG1017" s="510"/>
      <c r="BH1017" s="510"/>
      <c r="BI1017" s="511"/>
      <c r="BJ1017" s="511"/>
      <c r="BK1017" s="511"/>
      <c r="BL1017" s="510"/>
      <c r="BM1017" s="510"/>
      <c r="BN1017" s="510"/>
      <c r="BO1017" s="510"/>
      <c r="BP1017" s="510"/>
      <c r="BQ1017" s="510"/>
      <c r="BR1017" s="510"/>
      <c r="BS1017" s="510"/>
      <c r="BT1017" s="513"/>
      <c r="BU1017" s="514"/>
      <c r="BV1017" s="512"/>
      <c r="BW1017" s="515"/>
    </row>
    <row r="1018" spans="2:75" ht="15.75" customHeight="1">
      <c r="B1018" s="250" t="s">
        <v>837</v>
      </c>
      <c r="C1018" s="251">
        <v>9120774000120</v>
      </c>
      <c r="D1018" s="252" t="s">
        <v>14</v>
      </c>
      <c r="E1018" s="252" t="s">
        <v>607</v>
      </c>
      <c r="F1018" s="252"/>
      <c r="G1018" s="253"/>
      <c r="H1018" s="253" t="s">
        <v>34</v>
      </c>
      <c r="I1018" s="253" t="s">
        <v>34</v>
      </c>
      <c r="J1018" s="253" t="s">
        <v>608</v>
      </c>
      <c r="K1018" s="254" t="s">
        <v>48</v>
      </c>
      <c r="L1018" s="255"/>
      <c r="M1018" s="255" t="s">
        <v>34</v>
      </c>
      <c r="N1018" s="254">
        <v>287342</v>
      </c>
      <c r="O1018" s="254" t="s">
        <v>1321</v>
      </c>
      <c r="P1018" s="258">
        <v>39422</v>
      </c>
      <c r="Q1018" s="259">
        <v>723852841.34000003</v>
      </c>
      <c r="R1018" s="259">
        <v>1005131961.4840078</v>
      </c>
      <c r="S1018" s="254">
        <v>32</v>
      </c>
      <c r="T1018" s="256">
        <v>5.1493516729080868E-2</v>
      </c>
      <c r="U1018" s="256">
        <v>0.66566674133186765</v>
      </c>
      <c r="V1018" s="256">
        <v>-0.23155162535971729</v>
      </c>
      <c r="W1018" s="256">
        <v>-2.2699801758671057</v>
      </c>
      <c r="X1018" s="256">
        <v>-0.18540003019817475</v>
      </c>
      <c r="Y1018" s="256">
        <v>-1.4059221088641962</v>
      </c>
      <c r="Z1018" s="256">
        <v>-2.143565338441733E-2</v>
      </c>
      <c r="AA1018" s="256">
        <v>-0.12184720302425274</v>
      </c>
      <c r="AB1018" s="256">
        <v>0.2389188449511824</v>
      </c>
      <c r="AC1018" s="260">
        <v>-1.3892070412152968</v>
      </c>
      <c r="AD1018" s="405">
        <v>12976456000170</v>
      </c>
      <c r="AE1018" s="257" t="s">
        <v>2144</v>
      </c>
      <c r="AF1018" s="257" t="s">
        <v>2109</v>
      </c>
      <c r="AG1018" s="261" t="s">
        <v>1432</v>
      </c>
      <c r="AH1018" s="261" t="s">
        <v>2110</v>
      </c>
      <c r="AI1018" s="261">
        <v>5000</v>
      </c>
      <c r="AJ1018" s="261">
        <v>0</v>
      </c>
      <c r="AK1018" s="261">
        <v>0</v>
      </c>
      <c r="AL1018" s="256">
        <v>0.02</v>
      </c>
      <c r="AM1018" s="256">
        <v>0.2</v>
      </c>
      <c r="AN1018" s="256" t="s">
        <v>2127</v>
      </c>
      <c r="AO1018" s="254" t="s">
        <v>1324</v>
      </c>
      <c r="AP1018" s="257" t="s">
        <v>716</v>
      </c>
      <c r="AQ1018" s="263" t="s">
        <v>659</v>
      </c>
      <c r="AR1018" s="256">
        <v>6.9999999999999993E-3</v>
      </c>
      <c r="AS1018" s="256">
        <v>6.9999999999999993E-3</v>
      </c>
      <c r="AT1018" s="256"/>
      <c r="AX1018" s="508"/>
      <c r="AY1018" s="509"/>
      <c r="AZ1018" s="509"/>
      <c r="BA1018" s="509"/>
      <c r="BB1018" s="510"/>
      <c r="BC1018" s="509"/>
      <c r="BD1018" s="509"/>
      <c r="BE1018" s="509"/>
      <c r="BF1018" s="509"/>
      <c r="BG1018" s="510"/>
      <c r="BH1018" s="510"/>
      <c r="BI1018" s="511"/>
      <c r="BJ1018" s="511"/>
      <c r="BK1018" s="511"/>
      <c r="BL1018" s="510"/>
      <c r="BM1018" s="510"/>
      <c r="BN1018" s="510"/>
      <c r="BO1018" s="510"/>
      <c r="BP1018" s="510"/>
      <c r="BQ1018" s="510"/>
      <c r="BR1018" s="510"/>
      <c r="BS1018" s="510"/>
      <c r="BT1018" s="513"/>
      <c r="BU1018" s="514"/>
      <c r="BV1018" s="512"/>
      <c r="BW1018" s="515"/>
    </row>
    <row r="1019" spans="2:75" ht="15.75" customHeight="1">
      <c r="B1019" s="250" t="s">
        <v>146</v>
      </c>
      <c r="C1019" s="251">
        <v>22710616000199</v>
      </c>
      <c r="D1019" s="252" t="s">
        <v>14</v>
      </c>
      <c r="E1019" s="252" t="s">
        <v>607</v>
      </c>
      <c r="F1019" s="252"/>
      <c r="G1019" s="253"/>
      <c r="H1019" s="253" t="s">
        <v>34</v>
      </c>
      <c r="I1019" s="253" t="s">
        <v>34</v>
      </c>
      <c r="J1019" s="253" t="s">
        <v>611</v>
      </c>
      <c r="K1019" s="254" t="s">
        <v>48</v>
      </c>
      <c r="L1019" s="255"/>
      <c r="M1019" s="255" t="s">
        <v>34</v>
      </c>
      <c r="N1019" s="254">
        <v>407771</v>
      </c>
      <c r="O1019" s="254" t="s">
        <v>1321</v>
      </c>
      <c r="P1019" s="258">
        <v>42248</v>
      </c>
      <c r="Q1019" s="259">
        <v>4841524.9000000004</v>
      </c>
      <c r="R1019" s="259">
        <v>7776459.2526587257</v>
      </c>
      <c r="S1019" s="254">
        <v>32</v>
      </c>
      <c r="T1019" s="256">
        <v>-0.19979434256832151</v>
      </c>
      <c r="U1019" s="256">
        <v>-2.5827804625137971</v>
      </c>
      <c r="V1019" s="256">
        <v>-0.18454468255870127</v>
      </c>
      <c r="W1019" s="256">
        <v>-1.8091549576434871</v>
      </c>
      <c r="X1019" s="256">
        <v>-1.5260241672647168E-2</v>
      </c>
      <c r="Y1019" s="256">
        <v>-0.11572118478757733</v>
      </c>
      <c r="Z1019" s="256">
        <v>1.5880478287295219E-2</v>
      </c>
      <c r="AA1019" s="256">
        <v>9.0269786849648467E-2</v>
      </c>
      <c r="AB1019" s="256">
        <v>0.21482653044346731</v>
      </c>
      <c r="AC1019" s="260">
        <v>-1.2940038751790541</v>
      </c>
      <c r="AD1019" s="405">
        <v>22314799000123</v>
      </c>
      <c r="AE1019" s="257" t="s">
        <v>2144</v>
      </c>
      <c r="AF1019" s="257" t="s">
        <v>2109</v>
      </c>
      <c r="AG1019" s="261" t="s">
        <v>1432</v>
      </c>
      <c r="AH1019" s="261" t="s">
        <v>2110</v>
      </c>
      <c r="AI1019" s="261">
        <v>50000</v>
      </c>
      <c r="AJ1019" s="261">
        <v>5000</v>
      </c>
      <c r="AK1019" s="261">
        <v>5000</v>
      </c>
      <c r="AL1019" s="256">
        <v>1.4999999999999999E-2</v>
      </c>
      <c r="AM1019" s="256" t="s">
        <v>34</v>
      </c>
      <c r="AN1019" s="256" t="s">
        <v>2127</v>
      </c>
      <c r="AO1019" s="254" t="s">
        <v>1324</v>
      </c>
      <c r="AP1019" s="257" t="s">
        <v>716</v>
      </c>
      <c r="AQ1019" s="263" t="s">
        <v>687</v>
      </c>
      <c r="AR1019" s="256">
        <v>5.2499999999999995E-3</v>
      </c>
      <c r="AS1019" s="256">
        <v>5.2499999999999995E-3</v>
      </c>
      <c r="AT1019" s="256"/>
      <c r="AX1019" s="508"/>
      <c r="AY1019" s="509"/>
      <c r="AZ1019" s="509"/>
      <c r="BA1019" s="509"/>
      <c r="BB1019" s="510"/>
      <c r="BC1019" s="509"/>
      <c r="BD1019" s="509"/>
      <c r="BE1019" s="509"/>
      <c r="BF1019" s="509"/>
      <c r="BG1019" s="510"/>
      <c r="BH1019" s="510"/>
      <c r="BI1019" s="511"/>
      <c r="BJ1019" s="511"/>
      <c r="BK1019" s="511"/>
      <c r="BL1019" s="510"/>
      <c r="BM1019" s="510"/>
      <c r="BN1019" s="510"/>
      <c r="BO1019" s="510"/>
      <c r="BP1019" s="510"/>
      <c r="BQ1019" s="510"/>
      <c r="BR1019" s="510"/>
      <c r="BS1019" s="510"/>
      <c r="BT1019" s="513"/>
      <c r="BU1019" s="514"/>
      <c r="BV1019" s="512"/>
      <c r="BW1019" s="515"/>
    </row>
    <row r="1020" spans="2:75" ht="15.75" customHeight="1">
      <c r="B1020" s="250" t="s">
        <v>147</v>
      </c>
      <c r="C1020" s="251">
        <v>22353918000157</v>
      </c>
      <c r="D1020" s="252" t="s">
        <v>14</v>
      </c>
      <c r="E1020" s="252" t="s">
        <v>607</v>
      </c>
      <c r="F1020" s="252"/>
      <c r="G1020" s="253"/>
      <c r="H1020" s="253" t="s">
        <v>34</v>
      </c>
      <c r="I1020" s="253" t="s">
        <v>34</v>
      </c>
      <c r="J1020" s="253" t="s">
        <v>611</v>
      </c>
      <c r="K1020" s="254" t="s">
        <v>49</v>
      </c>
      <c r="L1020" s="255"/>
      <c r="M1020" s="255" t="s">
        <v>34</v>
      </c>
      <c r="N1020" s="254">
        <v>408565</v>
      </c>
      <c r="O1020" s="254" t="s">
        <v>1321</v>
      </c>
      <c r="P1020" s="258">
        <v>42248</v>
      </c>
      <c r="Q1020" s="259">
        <v>6755168.1900000004</v>
      </c>
      <c r="R1020" s="259">
        <v>11969525.057658734</v>
      </c>
      <c r="S1020" s="254">
        <v>32</v>
      </c>
      <c r="T1020" s="256">
        <v>-0.28747508625465756</v>
      </c>
      <c r="U1020" s="256">
        <v>-3.7162465497945649</v>
      </c>
      <c r="V1020" s="256">
        <v>-0.22626162301287789</v>
      </c>
      <c r="W1020" s="256">
        <v>-2.2181204645005321</v>
      </c>
      <c r="X1020" s="256">
        <v>-0.13206305346795855</v>
      </c>
      <c r="Y1020" s="256">
        <v>-1.0014581250944441</v>
      </c>
      <c r="Z1020" s="256">
        <v>0.17373559718750808</v>
      </c>
      <c r="AA1020" s="256">
        <v>0.98756945745516955</v>
      </c>
      <c r="AB1020" s="256">
        <v>0.2349783926819641</v>
      </c>
      <c r="AC1020" s="260">
        <v>-1.3873010036280138</v>
      </c>
      <c r="AD1020" s="405">
        <v>22690848000122</v>
      </c>
      <c r="AE1020" s="257" t="s">
        <v>2144</v>
      </c>
      <c r="AF1020" s="257" t="s">
        <v>2109</v>
      </c>
      <c r="AG1020" s="261" t="s">
        <v>1432</v>
      </c>
      <c r="AH1020" s="261" t="s">
        <v>2110</v>
      </c>
      <c r="AI1020" s="261">
        <v>50000</v>
      </c>
      <c r="AJ1020" s="261">
        <v>5000</v>
      </c>
      <c r="AK1020" s="261">
        <v>5000</v>
      </c>
      <c r="AL1020" s="256">
        <v>1.4999999999999999E-2</v>
      </c>
      <c r="AM1020" s="256">
        <v>0.2</v>
      </c>
      <c r="AN1020" s="256" t="s">
        <v>2127</v>
      </c>
      <c r="AO1020" s="254" t="s">
        <v>1324</v>
      </c>
      <c r="AP1020" s="257" t="s">
        <v>716</v>
      </c>
      <c r="AQ1020" s="263" t="s">
        <v>687</v>
      </c>
      <c r="AR1020" s="256">
        <v>5.2499999999999995E-3</v>
      </c>
      <c r="AS1020" s="256">
        <v>5.2499999999999995E-3</v>
      </c>
      <c r="AT1020" s="256"/>
      <c r="AX1020" s="508"/>
      <c r="AY1020" s="509"/>
      <c r="AZ1020" s="509"/>
      <c r="BA1020" s="509"/>
      <c r="BB1020" s="510"/>
      <c r="BC1020" s="509"/>
      <c r="BD1020" s="509"/>
      <c r="BE1020" s="509"/>
      <c r="BF1020" s="509"/>
      <c r="BG1020" s="510"/>
      <c r="BH1020" s="510"/>
      <c r="BI1020" s="511"/>
      <c r="BJ1020" s="511"/>
      <c r="BK1020" s="511"/>
      <c r="BL1020" s="510"/>
      <c r="BM1020" s="510"/>
      <c r="BN1020" s="510"/>
      <c r="BO1020" s="510"/>
      <c r="BP1020" s="510"/>
      <c r="BQ1020" s="510"/>
      <c r="BR1020" s="510"/>
      <c r="BS1020" s="510"/>
      <c r="BT1020" s="513"/>
      <c r="BU1020" s="514"/>
      <c r="BV1020" s="512"/>
      <c r="BW1020" s="515"/>
    </row>
    <row r="1021" spans="2:75" ht="15.75" customHeight="1">
      <c r="B1021" s="250" t="s">
        <v>838</v>
      </c>
      <c r="C1021" s="251">
        <v>11977794000164</v>
      </c>
      <c r="D1021" s="252" t="s">
        <v>14</v>
      </c>
      <c r="E1021" s="252" t="s">
        <v>607</v>
      </c>
      <c r="F1021" s="252"/>
      <c r="G1021" s="253"/>
      <c r="H1021" s="253" t="s">
        <v>34</v>
      </c>
      <c r="I1021" s="253" t="s">
        <v>34</v>
      </c>
      <c r="J1021" s="253" t="s">
        <v>608</v>
      </c>
      <c r="K1021" s="254" t="s">
        <v>48</v>
      </c>
      <c r="L1021" s="255"/>
      <c r="M1021" s="255" t="s">
        <v>34</v>
      </c>
      <c r="N1021" s="254">
        <v>252311</v>
      </c>
      <c r="O1021" s="254" t="s">
        <v>1321</v>
      </c>
      <c r="P1021" s="258">
        <v>40378</v>
      </c>
      <c r="Q1021" s="259">
        <v>1448736263.8599999</v>
      </c>
      <c r="R1021" s="259">
        <v>1844816188.8704364</v>
      </c>
      <c r="S1021" s="254">
        <v>32</v>
      </c>
      <c r="T1021" s="256">
        <v>-4.2403823198605695E-3</v>
      </c>
      <c r="U1021" s="256">
        <v>-5.4816249892459694E-2</v>
      </c>
      <c r="V1021" s="256">
        <v>-0.26879299757073905</v>
      </c>
      <c r="W1021" s="256">
        <v>-2.6350701488257422</v>
      </c>
      <c r="X1021" s="256">
        <v>-0.27506132164730068</v>
      </c>
      <c r="Y1021" s="256">
        <v>-2.0858399698424277</v>
      </c>
      <c r="Z1021" s="256">
        <v>-0.17821267120498852</v>
      </c>
      <c r="AA1021" s="256">
        <v>-1.0130185975853747</v>
      </c>
      <c r="AB1021" s="256">
        <v>0.25222452470589818</v>
      </c>
      <c r="AC1021" s="260">
        <v>-1.4995763241921578</v>
      </c>
      <c r="AD1021" s="405">
        <v>17009959000190</v>
      </c>
      <c r="AE1021" s="257" t="s">
        <v>2144</v>
      </c>
      <c r="AF1021" s="257" t="s">
        <v>2109</v>
      </c>
      <c r="AG1021" s="261" t="s">
        <v>1432</v>
      </c>
      <c r="AH1021" s="261" t="s">
        <v>2113</v>
      </c>
      <c r="AI1021" s="261">
        <v>5000</v>
      </c>
      <c r="AJ1021" s="261">
        <v>0</v>
      </c>
      <c r="AK1021" s="261">
        <v>0</v>
      </c>
      <c r="AL1021" s="256">
        <v>0.03</v>
      </c>
      <c r="AM1021" s="256" t="s">
        <v>34</v>
      </c>
      <c r="AN1021" s="256" t="s">
        <v>2127</v>
      </c>
      <c r="AO1021" s="254" t="s">
        <v>1324</v>
      </c>
      <c r="AP1021" s="257" t="s">
        <v>716</v>
      </c>
      <c r="AQ1021" s="263" t="s">
        <v>659</v>
      </c>
      <c r="AR1021" s="256">
        <v>1.0499999999999999E-2</v>
      </c>
      <c r="AS1021" s="256">
        <v>1.0499999999999999E-2</v>
      </c>
      <c r="AT1021" s="256"/>
      <c r="AX1021" s="508"/>
      <c r="AY1021" s="509"/>
      <c r="AZ1021" s="509"/>
      <c r="BA1021" s="509"/>
      <c r="BB1021" s="510"/>
      <c r="BC1021" s="509"/>
      <c r="BD1021" s="509"/>
      <c r="BE1021" s="509"/>
      <c r="BF1021" s="509"/>
      <c r="BG1021" s="510"/>
      <c r="BH1021" s="510"/>
      <c r="BI1021" s="511"/>
      <c r="BJ1021" s="511"/>
      <c r="BK1021" s="511"/>
      <c r="BL1021" s="510"/>
      <c r="BM1021" s="510"/>
      <c r="BN1021" s="510"/>
      <c r="BO1021" s="510"/>
      <c r="BP1021" s="510"/>
      <c r="BQ1021" s="510"/>
      <c r="BR1021" s="510"/>
      <c r="BS1021" s="510"/>
      <c r="BT1021" s="513"/>
      <c r="BU1021" s="514"/>
      <c r="BV1021" s="512"/>
      <c r="BW1021" s="515"/>
    </row>
    <row r="1022" spans="2:75" ht="15.75" customHeight="1">
      <c r="B1022" s="250" t="s">
        <v>889</v>
      </c>
      <c r="C1022" s="251">
        <v>13614709000129</v>
      </c>
      <c r="D1022" s="252" t="s">
        <v>14</v>
      </c>
      <c r="E1022" s="252" t="s">
        <v>607</v>
      </c>
      <c r="F1022" s="252"/>
      <c r="G1022" s="253"/>
      <c r="H1022" s="253" t="s">
        <v>34</v>
      </c>
      <c r="I1022" s="253" t="s">
        <v>34</v>
      </c>
      <c r="J1022" s="253" t="s">
        <v>608</v>
      </c>
      <c r="K1022" s="254" t="s">
        <v>48</v>
      </c>
      <c r="L1022" s="255"/>
      <c r="M1022" s="255" t="s">
        <v>1414</v>
      </c>
      <c r="N1022" s="254">
        <v>359890</v>
      </c>
      <c r="O1022" s="254" t="s">
        <v>1321</v>
      </c>
      <c r="P1022" s="258">
        <v>41646</v>
      </c>
      <c r="Q1022" s="259">
        <v>180992194.43000001</v>
      </c>
      <c r="R1022" s="259">
        <v>207906448.63380945</v>
      </c>
      <c r="S1022" s="254">
        <v>32</v>
      </c>
      <c r="T1022" s="256">
        <v>5.1912218003233868E-3</v>
      </c>
      <c r="U1022" s="256">
        <v>6.7107937442553098E-2</v>
      </c>
      <c r="V1022" s="256">
        <v>-0.16222116329091385</v>
      </c>
      <c r="W1022" s="256">
        <v>-1.5903098248799297</v>
      </c>
      <c r="X1022" s="256">
        <v>-6.9604808872336998E-2</v>
      </c>
      <c r="Y1022" s="256">
        <v>-0.52782591012678681</v>
      </c>
      <c r="Z1022" s="256">
        <v>-9.9886818552724632E-3</v>
      </c>
      <c r="AA1022" s="256">
        <v>-5.6778905878783259E-2</v>
      </c>
      <c r="AB1022" s="256">
        <v>0.19747970039119411</v>
      </c>
      <c r="AC1022" s="260">
        <v>-1.2893401665774873</v>
      </c>
      <c r="AD1022" s="405">
        <v>0</v>
      </c>
      <c r="AE1022" s="257" t="s">
        <v>469</v>
      </c>
      <c r="AF1022" s="257" t="s">
        <v>469</v>
      </c>
      <c r="AG1022" s="261" t="s">
        <v>469</v>
      </c>
      <c r="AH1022" s="261" t="s">
        <v>2113</v>
      </c>
      <c r="AI1022" s="261">
        <v>1000</v>
      </c>
      <c r="AJ1022" s="261">
        <v>1000</v>
      </c>
      <c r="AK1022" s="261">
        <v>1000</v>
      </c>
      <c r="AL1022" s="256">
        <v>0.01</v>
      </c>
      <c r="AM1022" s="256" t="s">
        <v>34</v>
      </c>
      <c r="AN1022" s="256" t="s">
        <v>666</v>
      </c>
      <c r="AO1022" s="254" t="s">
        <v>1324</v>
      </c>
      <c r="AP1022" s="257" t="s">
        <v>716</v>
      </c>
      <c r="AQ1022" s="263" t="s">
        <v>659</v>
      </c>
      <c r="AR1022" s="256">
        <v>2.6666666666666666E-3</v>
      </c>
      <c r="AS1022" s="256">
        <v>2.6666666666666666E-3</v>
      </c>
      <c r="AT1022" s="256"/>
      <c r="AX1022" s="508"/>
      <c r="AY1022" s="509"/>
      <c r="AZ1022" s="509"/>
      <c r="BA1022" s="509"/>
      <c r="BB1022" s="510"/>
      <c r="BC1022" s="509"/>
      <c r="BD1022" s="509"/>
      <c r="BE1022" s="509"/>
      <c r="BF1022" s="509"/>
      <c r="BG1022" s="510"/>
      <c r="BH1022" s="510"/>
      <c r="BI1022" s="511"/>
      <c r="BJ1022" s="511"/>
      <c r="BK1022" s="511"/>
      <c r="BL1022" s="510"/>
      <c r="BM1022" s="510"/>
      <c r="BN1022" s="510"/>
      <c r="BO1022" s="510"/>
      <c r="BP1022" s="510"/>
      <c r="BQ1022" s="510"/>
      <c r="BR1022" s="510"/>
      <c r="BS1022" s="510"/>
      <c r="BT1022" s="513"/>
      <c r="BU1022" s="514"/>
      <c r="BV1022" s="512"/>
      <c r="BW1022" s="515"/>
    </row>
    <row r="1023" spans="2:75" ht="15.75" customHeight="1">
      <c r="B1023" s="250" t="s">
        <v>162</v>
      </c>
      <c r="C1023" s="251">
        <v>28246652000120</v>
      </c>
      <c r="D1023" s="252" t="s">
        <v>14</v>
      </c>
      <c r="E1023" s="252" t="s">
        <v>614</v>
      </c>
      <c r="F1023" s="252"/>
      <c r="G1023" s="253"/>
      <c r="H1023" s="253" t="s">
        <v>1338</v>
      </c>
      <c r="I1023" s="253" t="s">
        <v>34</v>
      </c>
      <c r="J1023" s="253" t="s">
        <v>608</v>
      </c>
      <c r="K1023" s="254" t="s">
        <v>48</v>
      </c>
      <c r="L1023" s="255"/>
      <c r="M1023" s="255" t="s">
        <v>34</v>
      </c>
      <c r="N1023" s="254">
        <v>456217</v>
      </c>
      <c r="O1023" s="254" t="s">
        <v>1321</v>
      </c>
      <c r="P1023" s="258">
        <v>43090</v>
      </c>
      <c r="Q1023" s="259">
        <v>2354019.84</v>
      </c>
      <c r="R1023" s="259">
        <v>8065637.2043253947</v>
      </c>
      <c r="S1023" s="254">
        <v>32</v>
      </c>
      <c r="T1023" s="256">
        <v>-3.7093198759699963E-2</v>
      </c>
      <c r="U1023" s="256">
        <v>-0.47951102026791953</v>
      </c>
      <c r="V1023" s="256">
        <v>-0.25175812642836526</v>
      </c>
      <c r="W1023" s="256">
        <v>-2.4680714515306281</v>
      </c>
      <c r="X1023" s="256">
        <v>-0.15630463476798706</v>
      </c>
      <c r="Y1023" s="256">
        <v>-1.1852864398315497</v>
      </c>
      <c r="Z1023" s="256">
        <v>-0.23048753798317578</v>
      </c>
      <c r="AA1023" s="256">
        <v>-1.3101658872508206</v>
      </c>
      <c r="AB1023" s="256">
        <v>0.21082149388509758</v>
      </c>
      <c r="AC1023" s="260">
        <v>-1.7301818011050205</v>
      </c>
      <c r="AD1023" s="405">
        <v>28345356000186</v>
      </c>
      <c r="AE1023" s="257" t="s">
        <v>2197</v>
      </c>
      <c r="AF1023" s="257" t="s">
        <v>2118</v>
      </c>
      <c r="AG1023" s="261" t="s">
        <v>1433</v>
      </c>
      <c r="AH1023" s="261" t="s">
        <v>2113</v>
      </c>
      <c r="AI1023" s="261">
        <v>5000</v>
      </c>
      <c r="AJ1023" s="261">
        <v>1000</v>
      </c>
      <c r="AK1023" s="261">
        <v>1000</v>
      </c>
      <c r="AL1023" s="256">
        <v>1.9E-2</v>
      </c>
      <c r="AM1023" s="256">
        <v>0.2</v>
      </c>
      <c r="AN1023" s="256" t="s">
        <v>2141</v>
      </c>
      <c r="AO1023" s="254" t="s">
        <v>1324</v>
      </c>
      <c r="AP1023" s="257" t="s">
        <v>13</v>
      </c>
      <c r="AQ1023" s="263" t="s">
        <v>674</v>
      </c>
      <c r="AR1023" s="256">
        <v>4.7499999999999999E-3</v>
      </c>
      <c r="AS1023" s="256">
        <v>4.7499999999999999E-3</v>
      </c>
      <c r="AT1023" s="256"/>
      <c r="AX1023" s="508"/>
      <c r="AY1023" s="509"/>
      <c r="AZ1023" s="509"/>
      <c r="BA1023" s="509"/>
      <c r="BB1023" s="510"/>
      <c r="BC1023" s="509"/>
      <c r="BD1023" s="509"/>
      <c r="BE1023" s="509"/>
      <c r="BF1023" s="509"/>
      <c r="BG1023" s="510"/>
      <c r="BH1023" s="510"/>
      <c r="BI1023" s="511"/>
      <c r="BJ1023" s="511"/>
      <c r="BK1023" s="511"/>
      <c r="BL1023" s="510"/>
      <c r="BM1023" s="510"/>
      <c r="BN1023" s="510"/>
      <c r="BO1023" s="510"/>
      <c r="BP1023" s="510"/>
      <c r="BQ1023" s="510"/>
      <c r="BR1023" s="510"/>
      <c r="BS1023" s="510"/>
      <c r="BT1023" s="513"/>
      <c r="BU1023" s="514"/>
      <c r="BV1023" s="512"/>
      <c r="BW1023" s="515"/>
    </row>
    <row r="1024" spans="2:75" ht="15.75" customHeight="1">
      <c r="B1024" s="250" t="s">
        <v>1538</v>
      </c>
      <c r="C1024" s="251">
        <v>41681839000110</v>
      </c>
      <c r="D1024" s="252" t="s">
        <v>14</v>
      </c>
      <c r="E1024" s="252"/>
      <c r="F1024" s="252"/>
      <c r="G1024" s="253"/>
      <c r="H1024" s="253" t="s">
        <v>34</v>
      </c>
      <c r="I1024" s="253"/>
      <c r="J1024" s="253"/>
      <c r="K1024" s="254"/>
      <c r="L1024" s="255"/>
      <c r="M1024" s="255"/>
      <c r="N1024" s="254">
        <v>591904</v>
      </c>
      <c r="O1024" s="254" t="s">
        <v>1321</v>
      </c>
      <c r="P1024" s="258">
        <v>44336</v>
      </c>
      <c r="Q1024" s="259" t="s">
        <v>1393</v>
      </c>
      <c r="R1024" s="259" t="s">
        <v>1417</v>
      </c>
      <c r="S1024" s="254">
        <v>32</v>
      </c>
      <c r="T1024" s="256" t="s">
        <v>1417</v>
      </c>
      <c r="U1024" s="256" t="s">
        <v>1417</v>
      </c>
      <c r="V1024" s="256" t="s">
        <v>1417</v>
      </c>
      <c r="W1024" s="256" t="s">
        <v>1417</v>
      </c>
      <c r="X1024" s="256" t="s">
        <v>1417</v>
      </c>
      <c r="Y1024" s="256" t="s">
        <v>1417</v>
      </c>
      <c r="Z1024" s="256" t="s">
        <v>1417</v>
      </c>
      <c r="AA1024" s="256" t="s">
        <v>1417</v>
      </c>
      <c r="AB1024" s="256" t="s">
        <v>1417</v>
      </c>
      <c r="AC1024" s="260" t="s">
        <v>1417</v>
      </c>
      <c r="AD1024" s="405">
        <v>0</v>
      </c>
      <c r="AE1024" s="257" t="s">
        <v>2203</v>
      </c>
      <c r="AF1024" s="257" t="s">
        <v>2109</v>
      </c>
      <c r="AG1024" s="261" t="s">
        <v>1432</v>
      </c>
      <c r="AH1024" s="261" t="s">
        <v>2131</v>
      </c>
      <c r="AI1024" s="261" t="s">
        <v>1427</v>
      </c>
      <c r="AJ1024" s="261" t="s">
        <v>1427</v>
      </c>
      <c r="AK1024" s="261" t="s">
        <v>1427</v>
      </c>
      <c r="AL1024" s="256">
        <v>0.01</v>
      </c>
      <c r="AM1024" s="256">
        <v>0.1</v>
      </c>
      <c r="AN1024" s="256" t="s">
        <v>34</v>
      </c>
      <c r="AO1024" s="254" t="s">
        <v>1324</v>
      </c>
      <c r="AP1024" s="257" t="s">
        <v>716</v>
      </c>
      <c r="AQ1024" s="263" t="s">
        <v>659</v>
      </c>
      <c r="AR1024" s="256" t="s">
        <v>34</v>
      </c>
      <c r="AS1024" s="256" t="s">
        <v>34</v>
      </c>
      <c r="AT1024" s="256"/>
      <c r="AX1024" s="508"/>
      <c r="AY1024" s="509"/>
      <c r="AZ1024" s="509"/>
      <c r="BA1024" s="509"/>
      <c r="BB1024" s="510"/>
      <c r="BC1024" s="509"/>
      <c r="BD1024" s="509"/>
      <c r="BE1024" s="509"/>
      <c r="BF1024" s="509"/>
      <c r="BG1024" s="510"/>
      <c r="BH1024" s="510"/>
      <c r="BI1024" s="511"/>
      <c r="BJ1024" s="511"/>
      <c r="BK1024" s="511"/>
      <c r="BL1024" s="510"/>
      <c r="BM1024" s="510"/>
      <c r="BN1024" s="510"/>
      <c r="BO1024" s="510"/>
      <c r="BP1024" s="510"/>
      <c r="BQ1024" s="510"/>
      <c r="BR1024" s="510"/>
      <c r="BS1024" s="510"/>
      <c r="BT1024" s="513"/>
      <c r="BU1024" s="514"/>
      <c r="BV1024" s="512"/>
      <c r="BW1024" s="515"/>
    </row>
    <row r="1025" spans="2:75" ht="15.75" customHeight="1">
      <c r="B1025" s="250" t="s">
        <v>166</v>
      </c>
      <c r="C1025" s="251">
        <v>19773986000160</v>
      </c>
      <c r="D1025" s="252" t="s">
        <v>14</v>
      </c>
      <c r="E1025" s="252" t="s">
        <v>607</v>
      </c>
      <c r="F1025" s="252"/>
      <c r="G1025" s="253"/>
      <c r="H1025" s="253" t="s">
        <v>34</v>
      </c>
      <c r="I1025" s="253" t="s">
        <v>34</v>
      </c>
      <c r="J1025" s="253" t="s">
        <v>608</v>
      </c>
      <c r="K1025" s="254" t="s">
        <v>48</v>
      </c>
      <c r="L1025" s="255"/>
      <c r="M1025" s="255" t="s">
        <v>34</v>
      </c>
      <c r="N1025" s="254">
        <v>366471</v>
      </c>
      <c r="O1025" s="254" t="s">
        <v>1321</v>
      </c>
      <c r="P1025" s="258">
        <v>41764</v>
      </c>
      <c r="Q1025" s="259">
        <v>67722908.010000005</v>
      </c>
      <c r="R1025" s="259">
        <v>69333736.657579377</v>
      </c>
      <c r="S1025" s="254">
        <v>32</v>
      </c>
      <c r="T1025" s="256">
        <v>-0.11575858586787391</v>
      </c>
      <c r="U1025" s="256">
        <v>-1.4964338334331555</v>
      </c>
      <c r="V1025" s="256">
        <v>-0.30557803492319824</v>
      </c>
      <c r="W1025" s="256">
        <v>-2.9956865143074936</v>
      </c>
      <c r="X1025" s="256">
        <v>-0.1717146889666511</v>
      </c>
      <c r="Y1025" s="256">
        <v>-1.3021436802189388</v>
      </c>
      <c r="Z1025" s="256">
        <v>-0.1731874177363707</v>
      </c>
      <c r="AA1025" s="256">
        <v>-0.98445342774156086</v>
      </c>
      <c r="AB1025" s="256">
        <v>0.26770040720186183</v>
      </c>
      <c r="AC1025" s="260">
        <v>-1.5904017865109434</v>
      </c>
      <c r="AD1025" s="405">
        <v>0</v>
      </c>
      <c r="AE1025" s="257" t="s">
        <v>2145</v>
      </c>
      <c r="AF1025" s="257" t="s">
        <v>2118</v>
      </c>
      <c r="AG1025" s="261" t="s">
        <v>1433</v>
      </c>
      <c r="AH1025" s="261" t="s">
        <v>2113</v>
      </c>
      <c r="AI1025" s="261">
        <v>100000</v>
      </c>
      <c r="AJ1025" s="261">
        <v>10000</v>
      </c>
      <c r="AK1025" s="261">
        <v>10000</v>
      </c>
      <c r="AL1025" s="256">
        <v>0.02</v>
      </c>
      <c r="AM1025" s="256">
        <v>0.2</v>
      </c>
      <c r="AN1025" s="256" t="s">
        <v>2127</v>
      </c>
      <c r="AO1025" s="254" t="s">
        <v>1324</v>
      </c>
      <c r="AP1025" s="257" t="s">
        <v>716</v>
      </c>
      <c r="AQ1025" s="263" t="s">
        <v>659</v>
      </c>
      <c r="AR1025" s="256">
        <v>4.0000000000000001E-3</v>
      </c>
      <c r="AS1025" s="256">
        <v>4.0000000000000001E-3</v>
      </c>
      <c r="AT1025" s="256"/>
      <c r="AX1025" s="508"/>
      <c r="AY1025" s="509"/>
      <c r="AZ1025" s="509"/>
      <c r="BA1025" s="509"/>
      <c r="BB1025" s="510"/>
      <c r="BC1025" s="509"/>
      <c r="BD1025" s="509"/>
      <c r="BE1025" s="509"/>
      <c r="BF1025" s="509"/>
      <c r="BG1025" s="510"/>
      <c r="BH1025" s="510"/>
      <c r="BI1025" s="511"/>
      <c r="BJ1025" s="511"/>
      <c r="BK1025" s="511"/>
      <c r="BL1025" s="510"/>
      <c r="BM1025" s="510"/>
      <c r="BN1025" s="510"/>
      <c r="BO1025" s="510"/>
      <c r="BP1025" s="510"/>
      <c r="BQ1025" s="510"/>
      <c r="BR1025" s="510"/>
      <c r="BS1025" s="510"/>
      <c r="BT1025" s="513"/>
      <c r="BU1025" s="514"/>
      <c r="BV1025" s="512"/>
      <c r="BW1025" s="515"/>
    </row>
    <row r="1026" spans="2:75" ht="15.75" customHeight="1">
      <c r="B1026" s="250" t="s">
        <v>552</v>
      </c>
      <c r="C1026" s="251">
        <v>14438229000117</v>
      </c>
      <c r="D1026" s="252" t="s">
        <v>14</v>
      </c>
      <c r="E1026" s="252" t="s">
        <v>607</v>
      </c>
      <c r="F1026" s="252"/>
      <c r="G1026" s="253"/>
      <c r="H1026" s="253" t="s">
        <v>34</v>
      </c>
      <c r="I1026" s="253" t="s">
        <v>34</v>
      </c>
      <c r="J1026" s="253" t="s">
        <v>608</v>
      </c>
      <c r="K1026" s="254" t="s">
        <v>48</v>
      </c>
      <c r="L1026" s="255"/>
      <c r="M1026" s="255" t="s">
        <v>1414</v>
      </c>
      <c r="N1026" s="254">
        <v>383732</v>
      </c>
      <c r="O1026" s="254" t="s">
        <v>1321</v>
      </c>
      <c r="P1026" s="258">
        <v>41947</v>
      </c>
      <c r="Q1026" s="259">
        <v>180883282.12</v>
      </c>
      <c r="R1026" s="259">
        <v>135492277.15488091</v>
      </c>
      <c r="S1026" s="254">
        <v>32</v>
      </c>
      <c r="T1026" s="256">
        <v>0.19445534691951538</v>
      </c>
      <c r="U1026" s="256">
        <v>2.5137622236892057</v>
      </c>
      <c r="V1026" s="256">
        <v>0.2001565644537755</v>
      </c>
      <c r="W1026" s="256">
        <v>1.9622036022156979</v>
      </c>
      <c r="X1026" s="256">
        <v>0.6399221539655513</v>
      </c>
      <c r="Y1026" s="256">
        <v>4.8526459421311579</v>
      </c>
      <c r="Z1026" s="256">
        <v>1.020152969129926</v>
      </c>
      <c r="AA1026" s="256">
        <v>5.7988801981529692</v>
      </c>
      <c r="AB1026" s="256">
        <v>0.17730840923061394</v>
      </c>
      <c r="AC1026" s="260">
        <v>0.56985380405293551</v>
      </c>
      <c r="AD1026" s="405">
        <v>0</v>
      </c>
      <c r="AE1026" s="257" t="s">
        <v>2205</v>
      </c>
      <c r="AF1026" s="257" t="s">
        <v>2109</v>
      </c>
      <c r="AG1026" s="261" t="s">
        <v>1432</v>
      </c>
      <c r="AH1026" s="261" t="s">
        <v>2113</v>
      </c>
      <c r="AI1026" s="261">
        <v>5000</v>
      </c>
      <c r="AJ1026" s="261">
        <v>1000</v>
      </c>
      <c r="AK1026" s="261">
        <v>1000</v>
      </c>
      <c r="AL1026" s="256">
        <v>0.02</v>
      </c>
      <c r="AM1026" s="256">
        <v>0.2</v>
      </c>
      <c r="AN1026" s="256" t="s">
        <v>34</v>
      </c>
      <c r="AO1026" s="254" t="s">
        <v>1324</v>
      </c>
      <c r="AP1026" s="257" t="s">
        <v>716</v>
      </c>
      <c r="AQ1026" s="263" t="s">
        <v>659</v>
      </c>
      <c r="AR1026" s="256">
        <v>2.666E-3</v>
      </c>
      <c r="AS1026" s="256">
        <v>2.666E-3</v>
      </c>
      <c r="AT1026" s="256"/>
      <c r="AX1026" s="508"/>
      <c r="AY1026" s="509"/>
      <c r="AZ1026" s="509"/>
      <c r="BA1026" s="509"/>
      <c r="BB1026" s="510"/>
      <c r="BC1026" s="509"/>
      <c r="BD1026" s="509"/>
      <c r="BE1026" s="509"/>
      <c r="BF1026" s="509"/>
      <c r="BG1026" s="510"/>
      <c r="BH1026" s="510"/>
      <c r="BI1026" s="511"/>
      <c r="BJ1026" s="511"/>
      <c r="BK1026" s="511"/>
      <c r="BL1026" s="510"/>
      <c r="BM1026" s="510"/>
      <c r="BN1026" s="510"/>
      <c r="BO1026" s="510"/>
      <c r="BP1026" s="510"/>
      <c r="BQ1026" s="510"/>
      <c r="BR1026" s="510"/>
      <c r="BS1026" s="510"/>
      <c r="BT1026" s="513"/>
      <c r="BU1026" s="514"/>
      <c r="BV1026" s="512"/>
      <c r="BW1026" s="515"/>
    </row>
    <row r="1027" spans="2:75" ht="15.75" customHeight="1">
      <c r="B1027" s="250" t="s">
        <v>175</v>
      </c>
      <c r="C1027" s="251">
        <v>41969763000122</v>
      </c>
      <c r="D1027" s="252" t="s">
        <v>14</v>
      </c>
      <c r="E1027" s="252" t="s">
        <v>607</v>
      </c>
      <c r="F1027" s="252"/>
      <c r="G1027" s="253"/>
      <c r="H1027" s="253" t="s">
        <v>34</v>
      </c>
      <c r="I1027" s="253" t="s">
        <v>34</v>
      </c>
      <c r="J1027" s="253" t="s">
        <v>608</v>
      </c>
      <c r="K1027" s="254" t="s">
        <v>48</v>
      </c>
      <c r="L1027" s="255"/>
      <c r="M1027" s="255" t="s">
        <v>34</v>
      </c>
      <c r="N1027" s="254">
        <v>594482</v>
      </c>
      <c r="O1027" s="254" t="s">
        <v>1321</v>
      </c>
      <c r="P1027" s="258">
        <v>44349</v>
      </c>
      <c r="Q1027" s="259">
        <v>15849636.970000001</v>
      </c>
      <c r="R1027" s="259">
        <v>17298500.78698412</v>
      </c>
      <c r="S1027" s="254">
        <v>32</v>
      </c>
      <c r="T1027" s="256">
        <v>4.2761793121832481E-2</v>
      </c>
      <c r="U1027" s="256">
        <v>0.55279004599120896</v>
      </c>
      <c r="V1027" s="256">
        <v>-0.13964676347100802</v>
      </c>
      <c r="W1027" s="256">
        <v>-1.3690052238274555</v>
      </c>
      <c r="X1027" s="256" t="s">
        <v>1417</v>
      </c>
      <c r="Y1027" s="256" t="s">
        <v>1417</v>
      </c>
      <c r="Z1027" s="256" t="s">
        <v>1417</v>
      </c>
      <c r="AA1027" s="256" t="s">
        <v>1417</v>
      </c>
      <c r="AB1027" s="256">
        <v>0.18908779339169676</v>
      </c>
      <c r="AC1027" s="260">
        <v>-1.2146258014445284</v>
      </c>
      <c r="AD1027" s="405">
        <v>41884201000186</v>
      </c>
      <c r="AE1027" s="257" t="s">
        <v>2123</v>
      </c>
      <c r="AF1027" s="257" t="s">
        <v>2109</v>
      </c>
      <c r="AG1027" s="261" t="s">
        <v>1432</v>
      </c>
      <c r="AH1027" s="261" t="s">
        <v>2110</v>
      </c>
      <c r="AI1027" s="261">
        <v>5000</v>
      </c>
      <c r="AJ1027" s="261">
        <v>1000</v>
      </c>
      <c r="AK1027" s="261">
        <v>1000</v>
      </c>
      <c r="AL1027" s="256">
        <v>0</v>
      </c>
      <c r="AM1027" s="256" t="s">
        <v>34</v>
      </c>
      <c r="AN1027" s="256" t="s">
        <v>34</v>
      </c>
      <c r="AO1027" s="254" t="s">
        <v>1324</v>
      </c>
      <c r="AP1027" s="257" t="s">
        <v>716</v>
      </c>
      <c r="AQ1027" s="263" t="s">
        <v>659</v>
      </c>
      <c r="AR1027" s="256">
        <v>4.0000000000000001E-3</v>
      </c>
      <c r="AS1027" s="256">
        <v>4.0000000000000001E-3</v>
      </c>
      <c r="AT1027" s="256"/>
      <c r="AX1027" s="508"/>
      <c r="AY1027" s="509"/>
      <c r="AZ1027" s="509"/>
      <c r="BA1027" s="509"/>
      <c r="BB1027" s="510"/>
      <c r="BC1027" s="509"/>
      <c r="BD1027" s="509"/>
      <c r="BE1027" s="509"/>
      <c r="BF1027" s="509"/>
      <c r="BG1027" s="510"/>
      <c r="BH1027" s="510"/>
      <c r="BI1027" s="511"/>
      <c r="BJ1027" s="511"/>
      <c r="BK1027" s="511"/>
      <c r="BL1027" s="510"/>
      <c r="BM1027" s="510"/>
      <c r="BN1027" s="510"/>
      <c r="BO1027" s="510"/>
      <c r="BP1027" s="510"/>
      <c r="BQ1027" s="510"/>
      <c r="BR1027" s="510"/>
      <c r="BS1027" s="510"/>
      <c r="BT1027" s="513"/>
      <c r="BU1027" s="514"/>
      <c r="BV1027" s="512"/>
      <c r="BW1027" s="515"/>
    </row>
    <row r="1028" spans="2:75" ht="15.75" customHeight="1">
      <c r="B1028" s="250" t="s">
        <v>177</v>
      </c>
      <c r="C1028" s="251">
        <v>39800304000179</v>
      </c>
      <c r="D1028" s="252" t="s">
        <v>14</v>
      </c>
      <c r="E1028" s="252" t="s">
        <v>614</v>
      </c>
      <c r="F1028" s="252"/>
      <c r="G1028" s="253"/>
      <c r="H1028" s="253" t="s">
        <v>865</v>
      </c>
      <c r="I1028" s="253" t="s">
        <v>34</v>
      </c>
      <c r="J1028" s="253" t="s">
        <v>608</v>
      </c>
      <c r="K1028" s="254" t="s">
        <v>48</v>
      </c>
      <c r="L1028" s="255"/>
      <c r="M1028" s="255" t="s">
        <v>1414</v>
      </c>
      <c r="N1028" s="254">
        <v>566012</v>
      </c>
      <c r="O1028" s="254" t="s">
        <v>1321</v>
      </c>
      <c r="P1028" s="258">
        <v>44180</v>
      </c>
      <c r="Q1028" s="259">
        <v>21567379.52</v>
      </c>
      <c r="R1028" s="259">
        <v>20471071.381111115</v>
      </c>
      <c r="S1028" s="254">
        <v>32</v>
      </c>
      <c r="T1028" s="256">
        <v>0.10254805304468828</v>
      </c>
      <c r="U1028" s="256">
        <v>1.3256586971779662</v>
      </c>
      <c r="V1028" s="256">
        <v>-5.5317368795667399E-2</v>
      </c>
      <c r="W1028" s="256">
        <v>-0.54229518083590078</v>
      </c>
      <c r="X1028" s="256" t="s">
        <v>1417</v>
      </c>
      <c r="Y1028" s="256" t="s">
        <v>1417</v>
      </c>
      <c r="Z1028" s="256" t="s">
        <v>1417</v>
      </c>
      <c r="AA1028" s="256" t="s">
        <v>1417</v>
      </c>
      <c r="AB1028" s="256">
        <v>0.17675129305159054</v>
      </c>
      <c r="AC1028" s="260">
        <v>-0.78332599354215116</v>
      </c>
      <c r="AD1028" s="405">
        <v>39800273000156</v>
      </c>
      <c r="AE1028" s="257" t="s">
        <v>2212</v>
      </c>
      <c r="AF1028" s="257" t="s">
        <v>2109</v>
      </c>
      <c r="AG1028" s="261" t="s">
        <v>1432</v>
      </c>
      <c r="AH1028" s="261" t="s">
        <v>2110</v>
      </c>
      <c r="AI1028" s="261">
        <v>5000</v>
      </c>
      <c r="AJ1028" s="261">
        <v>1000</v>
      </c>
      <c r="AK1028" s="261">
        <v>1000</v>
      </c>
      <c r="AL1028" s="256">
        <v>1.8500000000000003E-2</v>
      </c>
      <c r="AM1028" s="256">
        <v>0.2</v>
      </c>
      <c r="AN1028" s="256" t="s">
        <v>34</v>
      </c>
      <c r="AO1028" s="254" t="s">
        <v>1324</v>
      </c>
      <c r="AP1028" s="257" t="s">
        <v>13</v>
      </c>
      <c r="AQ1028" s="263" t="s">
        <v>668</v>
      </c>
      <c r="AR1028" s="256" t="s">
        <v>34</v>
      </c>
      <c r="AS1028" s="256" t="s">
        <v>34</v>
      </c>
      <c r="AT1028" s="256"/>
      <c r="AX1028" s="508"/>
      <c r="AY1028" s="509"/>
      <c r="AZ1028" s="509"/>
      <c r="BA1028" s="509"/>
      <c r="BB1028" s="510"/>
      <c r="BC1028" s="509"/>
      <c r="BD1028" s="509"/>
      <c r="BE1028" s="509"/>
      <c r="BF1028" s="509"/>
      <c r="BG1028" s="510"/>
      <c r="BH1028" s="510"/>
      <c r="BI1028" s="511"/>
      <c r="BJ1028" s="511"/>
      <c r="BK1028" s="511"/>
      <c r="BL1028" s="510"/>
      <c r="BM1028" s="510"/>
      <c r="BN1028" s="510"/>
      <c r="BO1028" s="510"/>
      <c r="BP1028" s="510"/>
      <c r="BQ1028" s="510"/>
      <c r="BR1028" s="510"/>
      <c r="BS1028" s="510"/>
      <c r="BT1028" s="513"/>
      <c r="BU1028" s="514"/>
      <c r="BV1028" s="512"/>
      <c r="BW1028" s="515"/>
    </row>
    <row r="1029" spans="2:75" ht="15.75" customHeight="1">
      <c r="B1029" s="250" t="s">
        <v>915</v>
      </c>
      <c r="C1029" s="251">
        <v>35136553000150</v>
      </c>
      <c r="D1029" s="252" t="s">
        <v>14</v>
      </c>
      <c r="E1029" s="252" t="s">
        <v>607</v>
      </c>
      <c r="F1029" s="252"/>
      <c r="G1029" s="253"/>
      <c r="H1029" s="253" t="s">
        <v>34</v>
      </c>
      <c r="I1029" s="253" t="s">
        <v>34</v>
      </c>
      <c r="J1029" s="253" t="s">
        <v>608</v>
      </c>
      <c r="K1029" s="254" t="s">
        <v>48</v>
      </c>
      <c r="L1029" s="255"/>
      <c r="M1029" s="255" t="s">
        <v>34</v>
      </c>
      <c r="N1029" s="254">
        <v>544884</v>
      </c>
      <c r="O1029" s="254" t="s">
        <v>1321</v>
      </c>
      <c r="P1029" s="258">
        <v>44000</v>
      </c>
      <c r="Q1029" s="259">
        <v>22699160.57</v>
      </c>
      <c r="R1029" s="259">
        <v>20306740.702103168</v>
      </c>
      <c r="S1029" s="254">
        <v>32</v>
      </c>
      <c r="T1029" s="256">
        <v>1.7511213957838168E-2</v>
      </c>
      <c r="U1029" s="256">
        <v>0.22637088069566993</v>
      </c>
      <c r="V1029" s="256">
        <v>-0.16767589100097269</v>
      </c>
      <c r="W1029" s="256">
        <v>-1.6437843956040645</v>
      </c>
      <c r="X1029" s="256">
        <v>-0.16257559249106091</v>
      </c>
      <c r="Y1029" s="256">
        <v>-1.2328402514312469</v>
      </c>
      <c r="Z1029" s="256" t="s">
        <v>1417</v>
      </c>
      <c r="AA1029" s="256" t="s">
        <v>1417</v>
      </c>
      <c r="AB1029" s="256">
        <v>0.25356491887617</v>
      </c>
      <c r="AC1029" s="260">
        <v>-0.9802973974050907</v>
      </c>
      <c r="AD1029" s="405">
        <v>0</v>
      </c>
      <c r="AE1029" s="257" t="s">
        <v>2216</v>
      </c>
      <c r="AF1029" s="257" t="s">
        <v>736</v>
      </c>
      <c r="AG1029" s="261" t="s">
        <v>736</v>
      </c>
      <c r="AH1029" s="261" t="s">
        <v>2113</v>
      </c>
      <c r="AI1029" s="261">
        <v>1000</v>
      </c>
      <c r="AJ1029" s="261">
        <v>1000</v>
      </c>
      <c r="AK1029" s="261">
        <v>1000</v>
      </c>
      <c r="AL1029" s="256">
        <v>1.7500000000000002E-2</v>
      </c>
      <c r="AM1029" s="256">
        <v>0.2</v>
      </c>
      <c r="AN1029" s="256" t="s">
        <v>666</v>
      </c>
      <c r="AO1029" s="254" t="s">
        <v>1324</v>
      </c>
      <c r="AP1029" s="257" t="s">
        <v>716</v>
      </c>
      <c r="AQ1029" s="263" t="s">
        <v>659</v>
      </c>
      <c r="AR1029" s="256">
        <v>4.6672500000000004E-3</v>
      </c>
      <c r="AS1029" s="256">
        <v>4.6672500000000004E-3</v>
      </c>
      <c r="AT1029" s="256"/>
      <c r="AX1029" s="508"/>
      <c r="AY1029" s="509"/>
      <c r="AZ1029" s="509"/>
      <c r="BA1029" s="509"/>
      <c r="BB1029" s="510"/>
      <c r="BC1029" s="509"/>
      <c r="BD1029" s="509"/>
      <c r="BE1029" s="509"/>
      <c r="BF1029" s="509"/>
      <c r="BG1029" s="510"/>
      <c r="BH1029" s="510"/>
      <c r="BI1029" s="511"/>
      <c r="BJ1029" s="511"/>
      <c r="BK1029" s="511"/>
      <c r="BL1029" s="510"/>
      <c r="BM1029" s="510"/>
      <c r="BN1029" s="510"/>
      <c r="BO1029" s="510"/>
      <c r="BP1029" s="510"/>
      <c r="BQ1029" s="510"/>
      <c r="BR1029" s="510"/>
      <c r="BS1029" s="510"/>
      <c r="BT1029" s="513"/>
      <c r="BU1029" s="514"/>
      <c r="BV1029" s="512"/>
      <c r="BW1029" s="515"/>
    </row>
    <row r="1030" spans="2:75" ht="15.75" customHeight="1">
      <c r="B1030" s="250" t="s">
        <v>1546</v>
      </c>
      <c r="C1030" s="251">
        <v>31608381000110</v>
      </c>
      <c r="D1030" s="252" t="s">
        <v>14</v>
      </c>
      <c r="E1030" s="252"/>
      <c r="F1030" s="252"/>
      <c r="G1030" s="253"/>
      <c r="H1030" s="253" t="s">
        <v>34</v>
      </c>
      <c r="I1030" s="253"/>
      <c r="J1030" s="253"/>
      <c r="K1030" s="254"/>
      <c r="L1030" s="255"/>
      <c r="M1030" s="255"/>
      <c r="N1030" s="254">
        <v>487392</v>
      </c>
      <c r="O1030" s="254" t="s">
        <v>1321</v>
      </c>
      <c r="P1030" s="258">
        <v>43507</v>
      </c>
      <c r="Q1030" s="259">
        <v>29135326.949999999</v>
      </c>
      <c r="R1030" s="259">
        <v>39930531.507420644</v>
      </c>
      <c r="S1030" s="254">
        <v>32</v>
      </c>
      <c r="T1030" s="256">
        <v>3.1082070086856373E-2</v>
      </c>
      <c r="U1030" s="256">
        <v>0.34960843642412409</v>
      </c>
      <c r="V1030" s="256">
        <v>-8.0448626229330022E-2</v>
      </c>
      <c r="W1030" s="256">
        <v>-0.73833403368881656</v>
      </c>
      <c r="X1030" s="256">
        <v>-2.8008474908867265E-2</v>
      </c>
      <c r="Y1030" s="256">
        <v>-0.19694972634987301</v>
      </c>
      <c r="Z1030" s="256">
        <v>1.3745038216713024E-2</v>
      </c>
      <c r="AA1030" s="256">
        <v>7.5110636741629003E-2</v>
      </c>
      <c r="AB1030" s="256">
        <v>0.19899300574475673</v>
      </c>
      <c r="AC1030" s="260">
        <v>-0.84194500638835379</v>
      </c>
      <c r="AD1030" s="405">
        <v>26861621000153</v>
      </c>
      <c r="AE1030" s="257" t="s">
        <v>1547</v>
      </c>
      <c r="AF1030" s="257" t="s">
        <v>2121</v>
      </c>
      <c r="AG1030" s="261" t="s">
        <v>59</v>
      </c>
      <c r="AH1030" s="261" t="s">
        <v>2110</v>
      </c>
      <c r="AI1030" s="261">
        <v>50000</v>
      </c>
      <c r="AJ1030" s="261">
        <v>50000</v>
      </c>
      <c r="AK1030" s="261">
        <v>50000</v>
      </c>
      <c r="AL1030" s="256">
        <v>1.4999999999999999E-2</v>
      </c>
      <c r="AM1030" s="256">
        <v>0.15</v>
      </c>
      <c r="AN1030" s="256" t="s">
        <v>666</v>
      </c>
      <c r="AO1030" s="254" t="s">
        <v>1324</v>
      </c>
      <c r="AP1030" s="257" t="s">
        <v>716</v>
      </c>
      <c r="AQ1030" s="263" t="s">
        <v>659</v>
      </c>
      <c r="AR1030" s="256" t="s">
        <v>34</v>
      </c>
      <c r="AS1030" s="256" t="s">
        <v>34</v>
      </c>
      <c r="AT1030" s="256"/>
      <c r="AX1030" s="508"/>
      <c r="AY1030" s="509"/>
      <c r="AZ1030" s="509"/>
      <c r="BA1030" s="509"/>
      <c r="BB1030" s="510"/>
      <c r="BC1030" s="509"/>
      <c r="BD1030" s="509"/>
      <c r="BE1030" s="509"/>
      <c r="BF1030" s="509"/>
      <c r="BG1030" s="510"/>
      <c r="BH1030" s="510"/>
      <c r="BI1030" s="511"/>
      <c r="BJ1030" s="511"/>
      <c r="BK1030" s="511"/>
      <c r="BL1030" s="510"/>
      <c r="BM1030" s="510"/>
      <c r="BN1030" s="510"/>
      <c r="BO1030" s="510"/>
      <c r="BP1030" s="510"/>
      <c r="BQ1030" s="510"/>
      <c r="BR1030" s="510"/>
      <c r="BS1030" s="510"/>
      <c r="BT1030" s="513"/>
      <c r="BU1030" s="514"/>
      <c r="BV1030" s="512"/>
      <c r="BW1030" s="515"/>
    </row>
    <row r="1031" spans="2:75" ht="15.75" customHeight="1">
      <c r="B1031" s="250" t="s">
        <v>1549</v>
      </c>
      <c r="C1031" s="251">
        <v>31594501000177</v>
      </c>
      <c r="D1031" s="252" t="s">
        <v>14</v>
      </c>
      <c r="E1031" s="252" t="s">
        <v>614</v>
      </c>
      <c r="F1031" s="252"/>
      <c r="G1031" s="253"/>
      <c r="H1031" s="253" t="s">
        <v>865</v>
      </c>
      <c r="I1031" s="253" t="s">
        <v>34</v>
      </c>
      <c r="J1031" s="253" t="s">
        <v>608</v>
      </c>
      <c r="K1031" s="254" t="s">
        <v>48</v>
      </c>
      <c r="L1031" s="255"/>
      <c r="M1031" s="255"/>
      <c r="N1031" s="254">
        <v>483540</v>
      </c>
      <c r="O1031" s="254" t="s">
        <v>1324</v>
      </c>
      <c r="P1031" s="258">
        <v>43441</v>
      </c>
      <c r="Q1031" s="259" t="s">
        <v>1393</v>
      </c>
      <c r="R1031" s="259" t="s">
        <v>1417</v>
      </c>
      <c r="S1031" s="254">
        <v>32</v>
      </c>
      <c r="T1031" s="256" t="s">
        <v>1417</v>
      </c>
      <c r="U1031" s="256" t="s">
        <v>1417</v>
      </c>
      <c r="V1031" s="256" t="s">
        <v>1417</v>
      </c>
      <c r="W1031" s="256" t="s">
        <v>1417</v>
      </c>
      <c r="X1031" s="256" t="s">
        <v>1417</v>
      </c>
      <c r="Y1031" s="256" t="s">
        <v>1417</v>
      </c>
      <c r="Z1031" s="256" t="s">
        <v>1417</v>
      </c>
      <c r="AA1031" s="256" t="s">
        <v>1417</v>
      </c>
      <c r="AB1031" s="256" t="s">
        <v>1417</v>
      </c>
      <c r="AC1031" s="260" t="s">
        <v>1417</v>
      </c>
      <c r="AD1031" s="405">
        <v>23732231000195</v>
      </c>
      <c r="AE1031" s="257" t="s">
        <v>1547</v>
      </c>
      <c r="AF1031" s="257" t="s">
        <v>2121</v>
      </c>
      <c r="AG1031" s="261" t="s">
        <v>1547</v>
      </c>
      <c r="AH1031" s="261" t="s">
        <v>2110</v>
      </c>
      <c r="AI1031" s="261">
        <v>100000</v>
      </c>
      <c r="AJ1031" s="261">
        <v>50000</v>
      </c>
      <c r="AK1031" s="261">
        <v>100000</v>
      </c>
      <c r="AL1031" s="256">
        <v>0</v>
      </c>
      <c r="AM1031" s="256" t="s">
        <v>34</v>
      </c>
      <c r="AN1031" s="256" t="s">
        <v>666</v>
      </c>
      <c r="AO1031" s="254" t="s">
        <v>1324</v>
      </c>
      <c r="AP1031" s="257" t="s">
        <v>13</v>
      </c>
      <c r="AQ1031" s="263" t="s">
        <v>668</v>
      </c>
      <c r="AR1031" s="256" t="s">
        <v>34</v>
      </c>
      <c r="AS1031" s="256" t="s">
        <v>34</v>
      </c>
      <c r="AT1031" s="256"/>
      <c r="AX1031" s="508"/>
      <c r="AY1031" s="509"/>
      <c r="AZ1031" s="509"/>
      <c r="BA1031" s="509"/>
      <c r="BB1031" s="510"/>
      <c r="BC1031" s="509"/>
      <c r="BD1031" s="509"/>
      <c r="BE1031" s="509"/>
      <c r="BF1031" s="509"/>
      <c r="BG1031" s="510"/>
      <c r="BH1031" s="510"/>
      <c r="BI1031" s="511"/>
      <c r="BJ1031" s="511"/>
      <c r="BK1031" s="511"/>
      <c r="BL1031" s="510"/>
      <c r="BM1031" s="510"/>
      <c r="BN1031" s="510"/>
      <c r="BO1031" s="510"/>
      <c r="BP1031" s="510"/>
      <c r="BQ1031" s="510"/>
      <c r="BR1031" s="510"/>
      <c r="BS1031" s="510"/>
      <c r="BT1031" s="513"/>
      <c r="BU1031" s="514"/>
      <c r="BV1031" s="512"/>
      <c r="BW1031" s="515"/>
    </row>
    <row r="1032" spans="2:75" ht="15.75" customHeight="1">
      <c r="B1032" s="250" t="s">
        <v>1550</v>
      </c>
      <c r="C1032" s="251">
        <v>31556604000142</v>
      </c>
      <c r="D1032" s="252" t="s">
        <v>14</v>
      </c>
      <c r="E1032" s="252"/>
      <c r="F1032" s="252"/>
      <c r="G1032" s="253"/>
      <c r="H1032" s="253" t="s">
        <v>34</v>
      </c>
      <c r="I1032" s="253"/>
      <c r="J1032" s="253"/>
      <c r="K1032" s="254"/>
      <c r="L1032" s="255"/>
      <c r="M1032" s="255"/>
      <c r="N1032" s="254">
        <v>524621</v>
      </c>
      <c r="O1032" s="254" t="s">
        <v>1321</v>
      </c>
      <c r="P1032" s="258">
        <v>43861</v>
      </c>
      <c r="Q1032" s="259">
        <v>16406387.109999999</v>
      </c>
      <c r="R1032" s="259">
        <v>24709886.38055557</v>
      </c>
      <c r="S1032" s="254">
        <v>32</v>
      </c>
      <c r="T1032" s="256">
        <v>-4.9207191738122047E-2</v>
      </c>
      <c r="U1032" s="256">
        <v>-0.55347823733470181</v>
      </c>
      <c r="V1032" s="256">
        <v>-0.18169717531644147</v>
      </c>
      <c r="W1032" s="256">
        <v>-1.6675636943610432</v>
      </c>
      <c r="X1032" s="256">
        <v>-6.2492755252222532E-2</v>
      </c>
      <c r="Y1032" s="256">
        <v>-0.43943595950232267</v>
      </c>
      <c r="Z1032" s="256" t="s">
        <v>1417</v>
      </c>
      <c r="AA1032" s="256" t="s">
        <v>1417</v>
      </c>
      <c r="AB1032" s="256">
        <v>0.22885277131319065</v>
      </c>
      <c r="AC1032" s="260">
        <v>-1.2137104914344765</v>
      </c>
      <c r="AD1032" s="405">
        <v>34839814000136</v>
      </c>
      <c r="AE1032" s="257" t="s">
        <v>1547</v>
      </c>
      <c r="AF1032" s="257" t="s">
        <v>2121</v>
      </c>
      <c r="AG1032" s="261" t="s">
        <v>1547</v>
      </c>
      <c r="AH1032" s="261" t="s">
        <v>2110</v>
      </c>
      <c r="AI1032" s="261">
        <v>100000</v>
      </c>
      <c r="AJ1032" s="261">
        <v>50000</v>
      </c>
      <c r="AK1032" s="261">
        <v>100000</v>
      </c>
      <c r="AL1032" s="256">
        <v>0</v>
      </c>
      <c r="AM1032" s="256" t="s">
        <v>34</v>
      </c>
      <c r="AN1032" s="256" t="s">
        <v>666</v>
      </c>
      <c r="AO1032" s="254" t="s">
        <v>1324</v>
      </c>
      <c r="AP1032" s="257" t="s">
        <v>716</v>
      </c>
      <c r="AQ1032" s="263" t="s">
        <v>659</v>
      </c>
      <c r="AR1032" s="256" t="s">
        <v>34</v>
      </c>
      <c r="AS1032" s="256" t="s">
        <v>34</v>
      </c>
      <c r="AT1032" s="256"/>
      <c r="AX1032" s="508"/>
      <c r="AY1032" s="509"/>
      <c r="AZ1032" s="509"/>
      <c r="BA1032" s="509"/>
      <c r="BB1032" s="510"/>
      <c r="BC1032" s="509"/>
      <c r="BD1032" s="509"/>
      <c r="BE1032" s="509"/>
      <c r="BF1032" s="509"/>
      <c r="BG1032" s="510"/>
      <c r="BH1032" s="510"/>
      <c r="BI1032" s="511"/>
      <c r="BJ1032" s="511"/>
      <c r="BK1032" s="511"/>
      <c r="BL1032" s="510"/>
      <c r="BM1032" s="510"/>
      <c r="BN1032" s="510"/>
      <c r="BO1032" s="510"/>
      <c r="BP1032" s="510"/>
      <c r="BQ1032" s="510"/>
      <c r="BR1032" s="510"/>
      <c r="BS1032" s="510"/>
      <c r="BT1032" s="513"/>
      <c r="BU1032" s="514"/>
      <c r="BV1032" s="512"/>
      <c r="BW1032" s="515"/>
    </row>
    <row r="1033" spans="2:75" ht="15.75" customHeight="1">
      <c r="B1033" s="250" t="s">
        <v>1551</v>
      </c>
      <c r="C1033" s="251">
        <v>28076506000101</v>
      </c>
      <c r="D1033" s="252" t="s">
        <v>14</v>
      </c>
      <c r="E1033" s="252"/>
      <c r="F1033" s="252"/>
      <c r="G1033" s="253"/>
      <c r="H1033" s="253" t="s">
        <v>34</v>
      </c>
      <c r="I1033" s="253"/>
      <c r="J1033" s="253"/>
      <c r="K1033" s="254"/>
      <c r="L1033" s="255"/>
      <c r="M1033" s="255"/>
      <c r="N1033" s="254">
        <v>452688</v>
      </c>
      <c r="O1033" s="254" t="s">
        <v>1324</v>
      </c>
      <c r="P1033" s="258">
        <v>43031</v>
      </c>
      <c r="Q1033" s="259">
        <v>9889303.1199999992</v>
      </c>
      <c r="R1033" s="259">
        <v>20369646.7934127</v>
      </c>
      <c r="S1033" s="254">
        <v>32</v>
      </c>
      <c r="T1033" s="256">
        <v>-0.11677184263621887</v>
      </c>
      <c r="U1033" s="256">
        <v>-1.3134395877858762</v>
      </c>
      <c r="V1033" s="256">
        <v>-0.31645574720477543</v>
      </c>
      <c r="W1033" s="256">
        <v>-2.9043385731865481</v>
      </c>
      <c r="X1033" s="256">
        <v>-0.24262278732803777</v>
      </c>
      <c r="Y1033" s="256">
        <v>-1.7060725985966583</v>
      </c>
      <c r="Z1033" s="256">
        <v>-0.38456911395319038</v>
      </c>
      <c r="AA1033" s="256">
        <v>-2.1015024159820634</v>
      </c>
      <c r="AB1033" s="256">
        <v>0.31604177353219365</v>
      </c>
      <c r="AC1033" s="260">
        <v>-1.3720479443516984</v>
      </c>
      <c r="AD1033" s="405">
        <v>12004203000135</v>
      </c>
      <c r="AE1033" s="257" t="s">
        <v>1547</v>
      </c>
      <c r="AF1033" s="257" t="s">
        <v>2121</v>
      </c>
      <c r="AG1033" s="261" t="s">
        <v>1547</v>
      </c>
      <c r="AH1033" s="261" t="s">
        <v>2110</v>
      </c>
      <c r="AI1033" s="261">
        <v>100000</v>
      </c>
      <c r="AJ1033" s="261">
        <v>50000</v>
      </c>
      <c r="AK1033" s="261">
        <v>100000</v>
      </c>
      <c r="AL1033" s="256">
        <v>0</v>
      </c>
      <c r="AM1033" s="256" t="s">
        <v>34</v>
      </c>
      <c r="AN1033" s="256" t="s">
        <v>666</v>
      </c>
      <c r="AO1033" s="254" t="s">
        <v>1324</v>
      </c>
      <c r="AP1033" s="257" t="s">
        <v>716</v>
      </c>
      <c r="AQ1033" s="263" t="s">
        <v>659</v>
      </c>
      <c r="AR1033" s="256" t="s">
        <v>34</v>
      </c>
      <c r="AS1033" s="256" t="s">
        <v>34</v>
      </c>
      <c r="AT1033" s="256"/>
      <c r="AX1033" s="508"/>
      <c r="AY1033" s="509"/>
      <c r="AZ1033" s="509"/>
      <c r="BA1033" s="509"/>
      <c r="BB1033" s="510"/>
      <c r="BC1033" s="509"/>
      <c r="BD1033" s="509"/>
      <c r="BE1033" s="509"/>
      <c r="BF1033" s="509"/>
      <c r="BG1033" s="510"/>
      <c r="BH1033" s="510"/>
      <c r="BI1033" s="511"/>
      <c r="BJ1033" s="511"/>
      <c r="BK1033" s="511"/>
      <c r="BL1033" s="510"/>
      <c r="BM1033" s="510"/>
      <c r="BN1033" s="510"/>
      <c r="BO1033" s="510"/>
      <c r="BP1033" s="510"/>
      <c r="BQ1033" s="510"/>
      <c r="BR1033" s="510"/>
      <c r="BS1033" s="510"/>
      <c r="BT1033" s="513"/>
      <c r="BU1033" s="514"/>
      <c r="BV1033" s="512"/>
      <c r="BW1033" s="515"/>
    </row>
    <row r="1034" spans="2:75" ht="15.75" customHeight="1">
      <c r="B1034" s="250" t="s">
        <v>1553</v>
      </c>
      <c r="C1034" s="251">
        <v>34839747000150</v>
      </c>
      <c r="D1034" s="252" t="s">
        <v>14</v>
      </c>
      <c r="E1034" s="252"/>
      <c r="F1034" s="252"/>
      <c r="G1034" s="253"/>
      <c r="H1034" s="253" t="s">
        <v>34</v>
      </c>
      <c r="I1034" s="253"/>
      <c r="J1034" s="253"/>
      <c r="K1034" s="254"/>
      <c r="L1034" s="255"/>
      <c r="M1034" s="255"/>
      <c r="N1034" s="254">
        <v>524638</v>
      </c>
      <c r="O1034" s="254" t="s">
        <v>1321</v>
      </c>
      <c r="P1034" s="258">
        <v>43861</v>
      </c>
      <c r="Q1034" s="259">
        <v>7884023.6299999999</v>
      </c>
      <c r="R1034" s="259">
        <v>10180510.180317458</v>
      </c>
      <c r="S1034" s="254">
        <v>32</v>
      </c>
      <c r="T1034" s="256">
        <v>5.8500607805962446E-2</v>
      </c>
      <c r="U1034" s="256">
        <v>0.65800977759045964</v>
      </c>
      <c r="V1034" s="256">
        <v>-9.3081086953296976E-2</v>
      </c>
      <c r="W1034" s="256">
        <v>-0.85427107474100583</v>
      </c>
      <c r="X1034" s="256">
        <v>-3.1319663440428469E-2</v>
      </c>
      <c r="Y1034" s="256">
        <v>-0.22023331024031023</v>
      </c>
      <c r="Z1034" s="256" t="s">
        <v>1417</v>
      </c>
      <c r="AA1034" s="256" t="s">
        <v>1417</v>
      </c>
      <c r="AB1034" s="256">
        <v>0.22544241311014296</v>
      </c>
      <c r="AC1034" s="260">
        <v>-0.77965038003272746</v>
      </c>
      <c r="AD1034" s="405">
        <v>34839714000100</v>
      </c>
      <c r="AE1034" s="257" t="s">
        <v>1547</v>
      </c>
      <c r="AF1034" s="257" t="s">
        <v>2121</v>
      </c>
      <c r="AG1034" s="261" t="s">
        <v>1547</v>
      </c>
      <c r="AH1034" s="261" t="s">
        <v>2110</v>
      </c>
      <c r="AI1034" s="261">
        <v>100000</v>
      </c>
      <c r="AJ1034" s="261">
        <v>50000</v>
      </c>
      <c r="AK1034" s="261">
        <v>100000</v>
      </c>
      <c r="AL1034" s="256">
        <v>0</v>
      </c>
      <c r="AM1034" s="256" t="s">
        <v>34</v>
      </c>
      <c r="AN1034" s="256" t="s">
        <v>666</v>
      </c>
      <c r="AO1034" s="254" t="s">
        <v>1324</v>
      </c>
      <c r="AP1034" s="257" t="s">
        <v>716</v>
      </c>
      <c r="AQ1034" s="263" t="s">
        <v>659</v>
      </c>
      <c r="AR1034" s="256" t="s">
        <v>34</v>
      </c>
      <c r="AS1034" s="256" t="s">
        <v>34</v>
      </c>
      <c r="AT1034" s="256"/>
      <c r="AX1034" s="508"/>
      <c r="AY1034" s="509"/>
      <c r="AZ1034" s="509"/>
      <c r="BA1034" s="509"/>
      <c r="BB1034" s="510"/>
      <c r="BC1034" s="509"/>
      <c r="BD1034" s="509"/>
      <c r="BE1034" s="509"/>
      <c r="BF1034" s="509"/>
      <c r="BG1034" s="510"/>
      <c r="BH1034" s="510"/>
      <c r="BI1034" s="511"/>
      <c r="BJ1034" s="511"/>
      <c r="BK1034" s="511"/>
      <c r="BL1034" s="510"/>
      <c r="BM1034" s="510"/>
      <c r="BN1034" s="510"/>
      <c r="BO1034" s="510"/>
      <c r="BP1034" s="510"/>
      <c r="BQ1034" s="510"/>
      <c r="BR1034" s="510"/>
      <c r="BS1034" s="510"/>
      <c r="BT1034" s="513"/>
      <c r="BU1034" s="514"/>
      <c r="BV1034" s="512"/>
      <c r="BW1034" s="515"/>
    </row>
    <row r="1035" spans="2:75" ht="15.75" customHeight="1">
      <c r="B1035" s="250" t="s">
        <v>1555</v>
      </c>
      <c r="C1035" s="251">
        <v>28075830000105</v>
      </c>
      <c r="D1035" s="252" t="s">
        <v>14</v>
      </c>
      <c r="E1035" s="252" t="s">
        <v>614</v>
      </c>
      <c r="F1035" s="252"/>
      <c r="G1035" s="253"/>
      <c r="H1035" s="253" t="s">
        <v>865</v>
      </c>
      <c r="I1035" s="253" t="s">
        <v>34</v>
      </c>
      <c r="J1035" s="253" t="s">
        <v>608</v>
      </c>
      <c r="K1035" s="254" t="s">
        <v>48</v>
      </c>
      <c r="L1035" s="255"/>
      <c r="M1035" s="255"/>
      <c r="N1035" s="254">
        <v>447951</v>
      </c>
      <c r="O1035" s="254" t="s">
        <v>1321</v>
      </c>
      <c r="P1035" s="258">
        <v>42969</v>
      </c>
      <c r="Q1035" s="259">
        <v>526654460.62</v>
      </c>
      <c r="R1035" s="259">
        <v>588206469.1336509</v>
      </c>
      <c r="S1035" s="254">
        <v>32</v>
      </c>
      <c r="T1035" s="256">
        <v>8.5431919117490152E-2</v>
      </c>
      <c r="U1035" s="256">
        <v>0.96093083825868097</v>
      </c>
      <c r="V1035" s="256">
        <v>-8.3473425001574952E-2</v>
      </c>
      <c r="W1035" s="256">
        <v>-0.766094754825834</v>
      </c>
      <c r="X1035" s="256">
        <v>2.1422788437028606E-2</v>
      </c>
      <c r="Y1035" s="256">
        <v>0.15064055911834878</v>
      </c>
      <c r="Z1035" s="256">
        <v>4.6127211317972927E-2</v>
      </c>
      <c r="AA1035" s="256">
        <v>0.25206508403853345</v>
      </c>
      <c r="AB1035" s="256">
        <v>0.16693723707356387</v>
      </c>
      <c r="AC1035" s="260">
        <v>-1.0585522552925322</v>
      </c>
      <c r="AD1035" s="405">
        <v>28069955000114</v>
      </c>
      <c r="AE1035" s="257" t="s">
        <v>1547</v>
      </c>
      <c r="AF1035" s="257" t="s">
        <v>2121</v>
      </c>
      <c r="AG1035" s="261" t="s">
        <v>1547</v>
      </c>
      <c r="AH1035" s="261" t="s">
        <v>2110</v>
      </c>
      <c r="AI1035" s="261">
        <v>100000</v>
      </c>
      <c r="AJ1035" s="261">
        <v>50000</v>
      </c>
      <c r="AK1035" s="261">
        <v>100000</v>
      </c>
      <c r="AL1035" s="256">
        <v>0</v>
      </c>
      <c r="AM1035" s="256" t="s">
        <v>34</v>
      </c>
      <c r="AN1035" s="256" t="s">
        <v>2141</v>
      </c>
      <c r="AO1035" s="254" t="s">
        <v>1324</v>
      </c>
      <c r="AP1035" s="257" t="s">
        <v>13</v>
      </c>
      <c r="AQ1035" s="263" t="s">
        <v>668</v>
      </c>
      <c r="AR1035" s="256" t="s">
        <v>34</v>
      </c>
      <c r="AS1035" s="256" t="s">
        <v>34</v>
      </c>
      <c r="AT1035" s="256"/>
      <c r="AW1035" s="508"/>
      <c r="AX1035" s="508"/>
      <c r="AY1035" s="509"/>
      <c r="AZ1035" s="509"/>
      <c r="BA1035" s="509"/>
      <c r="BB1035" s="510"/>
      <c r="BC1035" s="509"/>
      <c r="BD1035" s="509"/>
      <c r="BE1035" s="509"/>
      <c r="BF1035" s="509"/>
      <c r="BG1035" s="510"/>
      <c r="BH1035" s="510"/>
      <c r="BI1035" s="511"/>
      <c r="BJ1035" s="511"/>
      <c r="BK1035" s="511"/>
      <c r="BL1035" s="195"/>
      <c r="BM1035" s="510"/>
      <c r="BN1035" s="510"/>
      <c r="BO1035" s="510"/>
      <c r="BP1035" s="510"/>
      <c r="BQ1035" s="510"/>
      <c r="BR1035" s="510"/>
      <c r="BS1035" s="510"/>
      <c r="BT1035" s="513"/>
      <c r="BU1035" s="514"/>
      <c r="BV1035" s="512"/>
      <c r="BW1035" s="515"/>
    </row>
    <row r="1036" spans="2:75" ht="15.75" customHeight="1">
      <c r="B1036" s="250" t="s">
        <v>1556</v>
      </c>
      <c r="C1036" s="251">
        <v>28075715000122</v>
      </c>
      <c r="D1036" s="252" t="s">
        <v>14</v>
      </c>
      <c r="E1036" s="252"/>
      <c r="F1036" s="252"/>
      <c r="G1036" s="253"/>
      <c r="H1036" s="253" t="s">
        <v>34</v>
      </c>
      <c r="I1036" s="253"/>
      <c r="J1036" s="253"/>
      <c r="K1036" s="254"/>
      <c r="L1036" s="255"/>
      <c r="M1036" s="255"/>
      <c r="N1036" s="254">
        <v>460532</v>
      </c>
      <c r="O1036" s="254" t="s">
        <v>1321</v>
      </c>
      <c r="P1036" s="258">
        <v>43178</v>
      </c>
      <c r="Q1036" s="259">
        <v>134099369.34</v>
      </c>
      <c r="R1036" s="259">
        <v>144897945.67551589</v>
      </c>
      <c r="S1036" s="254">
        <v>32</v>
      </c>
      <c r="T1036" s="256">
        <v>6.6893825227150705E-2</v>
      </c>
      <c r="U1036" s="256">
        <v>0.75241596131598265</v>
      </c>
      <c r="V1036" s="256">
        <v>-9.4004305749578632E-2</v>
      </c>
      <c r="W1036" s="256">
        <v>-0.86274410765387188</v>
      </c>
      <c r="X1036" s="256">
        <v>9.8390788016893049E-2</v>
      </c>
      <c r="Y1036" s="256">
        <v>0.69186340342795727</v>
      </c>
      <c r="Z1036" s="256">
        <v>2.736806856788343E-3</v>
      </c>
      <c r="AA1036" s="256">
        <v>1.495545537314533E-2</v>
      </c>
      <c r="AB1036" s="256">
        <v>0.19080076474905433</v>
      </c>
      <c r="AC1036" s="260">
        <v>-0.96423252383722335</v>
      </c>
      <c r="AD1036" s="405">
        <v>28069948000112</v>
      </c>
      <c r="AE1036" s="257" t="s">
        <v>1547</v>
      </c>
      <c r="AF1036" s="257" t="s">
        <v>2121</v>
      </c>
      <c r="AG1036" s="261" t="s">
        <v>1547</v>
      </c>
      <c r="AH1036" s="261" t="s">
        <v>2110</v>
      </c>
      <c r="AI1036" s="261">
        <v>100000</v>
      </c>
      <c r="AJ1036" s="261">
        <v>50000</v>
      </c>
      <c r="AK1036" s="261">
        <v>100000</v>
      </c>
      <c r="AL1036" s="256">
        <v>0</v>
      </c>
      <c r="AM1036" s="256" t="s">
        <v>34</v>
      </c>
      <c r="AN1036" s="256" t="s">
        <v>666</v>
      </c>
      <c r="AO1036" s="254" t="s">
        <v>1324</v>
      </c>
      <c r="AP1036" s="257" t="s">
        <v>716</v>
      </c>
      <c r="AQ1036" s="263" t="s">
        <v>659</v>
      </c>
      <c r="AR1036" s="256" t="s">
        <v>34</v>
      </c>
      <c r="AS1036" s="256" t="s">
        <v>34</v>
      </c>
      <c r="AT1036" s="256"/>
      <c r="AW1036" s="508"/>
      <c r="AX1036" s="508"/>
      <c r="AY1036" s="509"/>
      <c r="AZ1036" s="509"/>
      <c r="BA1036" s="509"/>
      <c r="BB1036" s="510"/>
      <c r="BC1036" s="509"/>
      <c r="BD1036" s="509"/>
      <c r="BE1036" s="509"/>
      <c r="BF1036" s="509"/>
      <c r="BG1036" s="510"/>
      <c r="BH1036" s="510"/>
      <c r="BI1036" s="511"/>
      <c r="BJ1036" s="511"/>
      <c r="BK1036" s="511"/>
      <c r="BL1036" s="195"/>
      <c r="BM1036" s="510"/>
      <c r="BN1036" s="510"/>
      <c r="BO1036" s="510"/>
      <c r="BP1036" s="510"/>
      <c r="BQ1036" s="510"/>
      <c r="BR1036" s="510"/>
      <c r="BS1036" s="510"/>
      <c r="BT1036" s="513"/>
      <c r="BU1036" s="514"/>
      <c r="BV1036" s="512"/>
      <c r="BW1036" s="515"/>
    </row>
    <row r="1037" spans="2:75" ht="15.75" customHeight="1">
      <c r="B1037" s="250" t="s">
        <v>1558</v>
      </c>
      <c r="C1037" s="251">
        <v>31608459000104</v>
      </c>
      <c r="D1037" s="252" t="s">
        <v>14</v>
      </c>
      <c r="E1037" s="252" t="s">
        <v>614</v>
      </c>
      <c r="F1037" s="252"/>
      <c r="G1037" s="253"/>
      <c r="H1037" s="253" t="s">
        <v>1338</v>
      </c>
      <c r="I1037" s="253" t="s">
        <v>34</v>
      </c>
      <c r="J1037" s="253" t="s">
        <v>608</v>
      </c>
      <c r="K1037" s="254" t="s">
        <v>48</v>
      </c>
      <c r="L1037" s="255"/>
      <c r="M1037" s="255"/>
      <c r="N1037" s="254">
        <v>487597</v>
      </c>
      <c r="O1037" s="254" t="s">
        <v>1321</v>
      </c>
      <c r="P1037" s="258">
        <v>43523</v>
      </c>
      <c r="Q1037" s="259">
        <v>34414841.530000001</v>
      </c>
      <c r="R1037" s="259">
        <v>39999059.48912701</v>
      </c>
      <c r="S1037" s="254">
        <v>32</v>
      </c>
      <c r="T1037" s="256">
        <v>0.19558416381876453</v>
      </c>
      <c r="U1037" s="256">
        <v>2.1999137609213766</v>
      </c>
      <c r="V1037" s="256">
        <v>6.3117797709387302E-2</v>
      </c>
      <c r="W1037" s="256">
        <v>0.57927674299224352</v>
      </c>
      <c r="X1037" s="256">
        <v>0.36345558880385354</v>
      </c>
      <c r="Y1037" s="256">
        <v>2.5557435379171061</v>
      </c>
      <c r="Z1037" s="256">
        <v>0.33163885406900873</v>
      </c>
      <c r="AA1037" s="256">
        <v>1.8122616397747846</v>
      </c>
      <c r="AB1037" s="256">
        <v>0.18843732464597876</v>
      </c>
      <c r="AC1037" s="260">
        <v>-0.13020808942374815</v>
      </c>
      <c r="AD1037" s="405">
        <v>32041623000107</v>
      </c>
      <c r="AE1037" s="257" t="s">
        <v>1547</v>
      </c>
      <c r="AF1037" s="257" t="s">
        <v>2121</v>
      </c>
      <c r="AG1037" s="261" t="s">
        <v>1547</v>
      </c>
      <c r="AH1037" s="261" t="s">
        <v>2110</v>
      </c>
      <c r="AI1037" s="261">
        <v>100000</v>
      </c>
      <c r="AJ1037" s="261">
        <v>50000</v>
      </c>
      <c r="AK1037" s="261">
        <v>100000</v>
      </c>
      <c r="AL1037" s="256">
        <v>0</v>
      </c>
      <c r="AM1037" s="256" t="s">
        <v>34</v>
      </c>
      <c r="AN1037" s="256" t="s">
        <v>2218</v>
      </c>
      <c r="AO1037" s="254" t="s">
        <v>1324</v>
      </c>
      <c r="AP1037" s="257" t="s">
        <v>716</v>
      </c>
      <c r="AQ1037" s="263" t="s">
        <v>659</v>
      </c>
      <c r="AR1037" s="256" t="s">
        <v>34</v>
      </c>
      <c r="AS1037" s="256" t="s">
        <v>34</v>
      </c>
      <c r="AT1037" s="256"/>
      <c r="AW1037" s="508"/>
      <c r="AX1037" s="508"/>
      <c r="AY1037" s="509"/>
      <c r="AZ1037" s="509"/>
      <c r="BA1037" s="509"/>
      <c r="BB1037" s="510"/>
      <c r="BC1037" s="509"/>
      <c r="BD1037" s="509"/>
      <c r="BE1037" s="509"/>
      <c r="BF1037" s="509"/>
      <c r="BG1037" s="510"/>
      <c r="BH1037" s="510"/>
      <c r="BI1037" s="511"/>
      <c r="BJ1037" s="511"/>
      <c r="BK1037" s="511"/>
      <c r="BL1037" s="195"/>
      <c r="BM1037" s="510"/>
      <c r="BN1037" s="510"/>
      <c r="BO1037" s="510"/>
      <c r="BP1037" s="510"/>
      <c r="BQ1037" s="510"/>
      <c r="BR1037" s="510"/>
      <c r="BS1037" s="510"/>
      <c r="BT1037" s="513"/>
      <c r="BU1037" s="514"/>
      <c r="BV1037" s="512"/>
      <c r="BW1037" s="515"/>
    </row>
    <row r="1038" spans="2:75" ht="15.75" customHeight="1">
      <c r="B1038" s="250" t="s">
        <v>1564</v>
      </c>
      <c r="C1038" s="251">
        <v>31552388000167</v>
      </c>
      <c r="D1038" s="252" t="s">
        <v>14</v>
      </c>
      <c r="E1038" s="252" t="s">
        <v>614</v>
      </c>
      <c r="F1038" s="252"/>
      <c r="G1038" s="253"/>
      <c r="H1038" s="253" t="s">
        <v>1338</v>
      </c>
      <c r="I1038" s="253" t="s">
        <v>34</v>
      </c>
      <c r="J1038" s="253" t="s">
        <v>608</v>
      </c>
      <c r="K1038" s="254" t="s">
        <v>48</v>
      </c>
      <c r="L1038" s="255"/>
      <c r="M1038" s="255"/>
      <c r="N1038" s="254">
        <v>478156</v>
      </c>
      <c r="O1038" s="254" t="s">
        <v>1324</v>
      </c>
      <c r="P1038" s="258">
        <v>43404</v>
      </c>
      <c r="Q1038" s="259">
        <v>169642679.19</v>
      </c>
      <c r="R1038" s="259">
        <v>216656658.04015887</v>
      </c>
      <c r="S1038" s="254">
        <v>32</v>
      </c>
      <c r="T1038" s="256">
        <v>0.15340045975034089</v>
      </c>
      <c r="U1038" s="256">
        <v>1.7254351055188224</v>
      </c>
      <c r="V1038" s="256">
        <v>-6.708681526327398E-2</v>
      </c>
      <c r="W1038" s="256">
        <v>-0.61570322878442085</v>
      </c>
      <c r="X1038" s="256">
        <v>8.18470360387058E-2</v>
      </c>
      <c r="Y1038" s="256">
        <v>0.57553120628027887</v>
      </c>
      <c r="Z1038" s="256">
        <v>3.8089654928925354E-2</v>
      </c>
      <c r="AA1038" s="256">
        <v>0.20814334524743672</v>
      </c>
      <c r="AB1038" s="256">
        <v>0.25596631269045023</v>
      </c>
      <c r="AC1038" s="260">
        <v>-0.54780703002326925</v>
      </c>
      <c r="AD1038" s="405">
        <v>31493876000140</v>
      </c>
      <c r="AE1038" s="257" t="s">
        <v>1547</v>
      </c>
      <c r="AF1038" s="257" t="s">
        <v>2121</v>
      </c>
      <c r="AG1038" s="261" t="s">
        <v>1547</v>
      </c>
      <c r="AH1038" s="261" t="s">
        <v>2110</v>
      </c>
      <c r="AI1038" s="261">
        <v>100000</v>
      </c>
      <c r="AJ1038" s="261">
        <v>50000</v>
      </c>
      <c r="AK1038" s="261">
        <v>100000</v>
      </c>
      <c r="AL1038" s="256">
        <v>0</v>
      </c>
      <c r="AM1038" s="256" t="s">
        <v>34</v>
      </c>
      <c r="AN1038" s="256" t="s">
        <v>666</v>
      </c>
      <c r="AO1038" s="254" t="s">
        <v>1324</v>
      </c>
      <c r="AP1038" s="257" t="s">
        <v>716</v>
      </c>
      <c r="AQ1038" s="263" t="s">
        <v>659</v>
      </c>
      <c r="AR1038" s="256" t="s">
        <v>34</v>
      </c>
      <c r="AS1038" s="256" t="s">
        <v>34</v>
      </c>
      <c r="AT1038" s="256"/>
      <c r="AW1038" s="508"/>
      <c r="AX1038" s="508"/>
      <c r="AY1038" s="509"/>
      <c r="AZ1038" s="509"/>
      <c r="BA1038" s="509"/>
      <c r="BB1038" s="510"/>
      <c r="BC1038" s="509"/>
      <c r="BD1038" s="509"/>
      <c r="BE1038" s="509"/>
      <c r="BF1038" s="509"/>
      <c r="BG1038" s="510"/>
      <c r="BH1038" s="510"/>
      <c r="BI1038" s="511"/>
      <c r="BJ1038" s="511"/>
      <c r="BK1038" s="511"/>
      <c r="BL1038" s="195"/>
      <c r="BM1038" s="510"/>
      <c r="BN1038" s="510"/>
      <c r="BO1038" s="510"/>
      <c r="BP1038" s="510"/>
      <c r="BQ1038" s="510"/>
      <c r="BR1038" s="510"/>
      <c r="BS1038" s="510"/>
      <c r="BT1038" s="513"/>
      <c r="BU1038" s="514"/>
      <c r="BV1038" s="512"/>
      <c r="BW1038" s="515"/>
    </row>
    <row r="1039" spans="2:75" ht="15.75" customHeight="1">
      <c r="B1039" s="250" t="s">
        <v>1577</v>
      </c>
      <c r="C1039" s="251">
        <v>34735784000118</v>
      </c>
      <c r="D1039" s="252" t="s">
        <v>14</v>
      </c>
      <c r="E1039" s="252" t="s">
        <v>614</v>
      </c>
      <c r="F1039" s="252"/>
      <c r="G1039" s="253"/>
      <c r="H1039" s="253" t="s">
        <v>1338</v>
      </c>
      <c r="I1039" s="253" t="s">
        <v>34</v>
      </c>
      <c r="J1039" s="253" t="s">
        <v>608</v>
      </c>
      <c r="K1039" s="254" t="s">
        <v>48</v>
      </c>
      <c r="L1039" s="255"/>
      <c r="M1039" s="255"/>
      <c r="N1039" s="254">
        <v>520152</v>
      </c>
      <c r="O1039" s="254" t="s">
        <v>1321</v>
      </c>
      <c r="P1039" s="258">
        <v>43829</v>
      </c>
      <c r="Q1039" s="259">
        <v>14083264.58</v>
      </c>
      <c r="R1039" s="259">
        <v>46836030.074007943</v>
      </c>
      <c r="S1039" s="254">
        <v>32</v>
      </c>
      <c r="T1039" s="256">
        <v>1.3719957602171151E-2</v>
      </c>
      <c r="U1039" s="256">
        <v>0.15432089663579607</v>
      </c>
      <c r="V1039" s="256">
        <v>-5.7585681847774906E-2</v>
      </c>
      <c r="W1039" s="256">
        <v>-0.52850459671227368</v>
      </c>
      <c r="X1039" s="256">
        <v>-4.0751466473873288E-2</v>
      </c>
      <c r="Y1039" s="256">
        <v>-0.28655577272593313</v>
      </c>
      <c r="Z1039" s="256" t="s">
        <v>1417</v>
      </c>
      <c r="AA1039" s="256" t="s">
        <v>1417</v>
      </c>
      <c r="AB1039" s="256">
        <v>0.14760421755818329</v>
      </c>
      <c r="AC1039" s="260">
        <v>-1.0289479803879518</v>
      </c>
      <c r="AD1039" s="405">
        <v>32683857000140</v>
      </c>
      <c r="AE1039" s="257" t="s">
        <v>1547</v>
      </c>
      <c r="AF1039" s="257" t="s">
        <v>2121</v>
      </c>
      <c r="AG1039" s="261" t="s">
        <v>59</v>
      </c>
      <c r="AH1039" s="261" t="s">
        <v>2110</v>
      </c>
      <c r="AI1039" s="261">
        <v>50000</v>
      </c>
      <c r="AJ1039" s="261">
        <v>50000</v>
      </c>
      <c r="AK1039" s="261">
        <v>50000</v>
      </c>
      <c r="AL1039" s="256">
        <v>0.02</v>
      </c>
      <c r="AM1039" s="256">
        <v>0.2</v>
      </c>
      <c r="AN1039" s="256" t="s">
        <v>2141</v>
      </c>
      <c r="AO1039" s="254" t="s">
        <v>1324</v>
      </c>
      <c r="AP1039" s="257" t="s">
        <v>13</v>
      </c>
      <c r="AQ1039" s="263" t="s">
        <v>668</v>
      </c>
      <c r="AR1039" s="256" t="s">
        <v>34</v>
      </c>
      <c r="AS1039" s="256" t="s">
        <v>34</v>
      </c>
      <c r="AT1039" s="256"/>
      <c r="AX1039" s="508"/>
      <c r="AY1039" s="509"/>
      <c r="AZ1039" s="509"/>
      <c r="BA1039" s="509"/>
      <c r="BB1039" s="510"/>
      <c r="BC1039" s="509"/>
      <c r="BD1039" s="509"/>
      <c r="BE1039" s="509"/>
      <c r="BF1039" s="509"/>
      <c r="BG1039" s="510"/>
      <c r="BH1039" s="510"/>
      <c r="BI1039" s="511"/>
      <c r="BJ1039" s="511"/>
      <c r="BK1039" s="511"/>
      <c r="BL1039" s="510"/>
      <c r="BM1039" s="510"/>
      <c r="BN1039" s="510"/>
      <c r="BO1039" s="510"/>
      <c r="BP1039" s="510"/>
      <c r="BQ1039" s="510"/>
      <c r="BR1039" s="510"/>
      <c r="BS1039" s="510"/>
      <c r="BT1039" s="513"/>
      <c r="BU1039" s="514"/>
      <c r="BV1039" s="512"/>
      <c r="BW1039" s="515"/>
    </row>
    <row r="1040" spans="2:75" ht="15.75" customHeight="1">
      <c r="B1040" s="250" t="s">
        <v>187</v>
      </c>
      <c r="C1040" s="251">
        <v>37681308000150</v>
      </c>
      <c r="D1040" s="252" t="s">
        <v>14</v>
      </c>
      <c r="E1040" s="252" t="s">
        <v>607</v>
      </c>
      <c r="F1040" s="252"/>
      <c r="G1040" s="253"/>
      <c r="H1040" s="253" t="s">
        <v>34</v>
      </c>
      <c r="I1040" s="253" t="s">
        <v>34</v>
      </c>
      <c r="J1040" s="253" t="s">
        <v>608</v>
      </c>
      <c r="K1040" s="254" t="s">
        <v>48</v>
      </c>
      <c r="L1040" s="255"/>
      <c r="M1040" s="255" t="s">
        <v>1414</v>
      </c>
      <c r="N1040" s="254">
        <v>554588</v>
      </c>
      <c r="O1040" s="254" t="s">
        <v>1321</v>
      </c>
      <c r="P1040" s="258">
        <v>44103</v>
      </c>
      <c r="Q1040" s="259">
        <v>24066195.260000002</v>
      </c>
      <c r="R1040" s="259">
        <v>24583404.761388902</v>
      </c>
      <c r="S1040" s="254">
        <v>32</v>
      </c>
      <c r="T1040" s="256">
        <v>-1.3209175316808985E-2</v>
      </c>
      <c r="U1040" s="256">
        <v>-0.17075758750529849</v>
      </c>
      <c r="V1040" s="256">
        <v>-0.20190233642661792</v>
      </c>
      <c r="W1040" s="256">
        <v>-1.9793180049489127</v>
      </c>
      <c r="X1040" s="256" t="s">
        <v>1417</v>
      </c>
      <c r="Y1040" s="256" t="s">
        <v>1417</v>
      </c>
      <c r="Z1040" s="256" t="s">
        <v>1417</v>
      </c>
      <c r="AA1040" s="256" t="s">
        <v>1417</v>
      </c>
      <c r="AB1040" s="256">
        <v>0.2386851277156179</v>
      </c>
      <c r="AC1040" s="260">
        <v>-1.2323755090138728</v>
      </c>
      <c r="AD1040" s="405">
        <v>37681117000198</v>
      </c>
      <c r="AE1040" s="257" t="s">
        <v>2225</v>
      </c>
      <c r="AF1040" s="257" t="s">
        <v>2109</v>
      </c>
      <c r="AG1040" s="261" t="s">
        <v>1432</v>
      </c>
      <c r="AH1040" s="261" t="s">
        <v>2113</v>
      </c>
      <c r="AI1040" s="261">
        <v>5000</v>
      </c>
      <c r="AJ1040" s="261">
        <v>1000</v>
      </c>
      <c r="AK1040" s="261">
        <v>1000</v>
      </c>
      <c r="AL1040" s="256">
        <v>0.02</v>
      </c>
      <c r="AM1040" s="256">
        <v>0.2</v>
      </c>
      <c r="AN1040" s="256" t="s">
        <v>34</v>
      </c>
      <c r="AO1040" s="254" t="s">
        <v>1324</v>
      </c>
      <c r="AP1040" s="257" t="s">
        <v>716</v>
      </c>
      <c r="AQ1040" s="263" t="s">
        <v>659</v>
      </c>
      <c r="AR1040" s="256">
        <v>3.3333333333333331E-3</v>
      </c>
      <c r="AS1040" s="256">
        <v>3.3333333333333331E-3</v>
      </c>
      <c r="AT1040" s="256"/>
      <c r="AX1040" s="508"/>
      <c r="AY1040" s="509"/>
      <c r="AZ1040" s="509"/>
      <c r="BA1040" s="509"/>
      <c r="BB1040" s="510"/>
      <c r="BC1040" s="509"/>
      <c r="BD1040" s="509"/>
      <c r="BE1040" s="509"/>
      <c r="BF1040" s="509"/>
      <c r="BG1040" s="510"/>
      <c r="BH1040" s="510"/>
      <c r="BI1040" s="511"/>
      <c r="BJ1040" s="511"/>
      <c r="BK1040" s="511"/>
      <c r="BL1040" s="510"/>
      <c r="BM1040" s="510"/>
      <c r="BN1040" s="510"/>
      <c r="BO1040" s="510"/>
      <c r="BP1040" s="510"/>
      <c r="BQ1040" s="510"/>
      <c r="BR1040" s="510"/>
      <c r="BS1040" s="510"/>
      <c r="BT1040" s="513"/>
      <c r="BU1040" s="514"/>
      <c r="BV1040" s="512"/>
      <c r="BW1040" s="515"/>
    </row>
    <row r="1041" spans="2:75" ht="15.75" customHeight="1">
      <c r="B1041" s="250" t="s">
        <v>1589</v>
      </c>
      <c r="C1041" s="251">
        <v>34429929000152</v>
      </c>
      <c r="D1041" s="252" t="s">
        <v>14</v>
      </c>
      <c r="E1041" s="252"/>
      <c r="F1041" s="252"/>
      <c r="G1041" s="253"/>
      <c r="H1041" s="253" t="s">
        <v>34</v>
      </c>
      <c r="I1041" s="253"/>
      <c r="J1041" s="253"/>
      <c r="K1041" s="254"/>
      <c r="L1041" s="255"/>
      <c r="M1041" s="255"/>
      <c r="N1041" s="254">
        <v>564540</v>
      </c>
      <c r="O1041" s="254" t="s">
        <v>1321</v>
      </c>
      <c r="P1041" s="258">
        <v>44155</v>
      </c>
      <c r="Q1041" s="259" t="s">
        <v>1393</v>
      </c>
      <c r="R1041" s="259" t="s">
        <v>1417</v>
      </c>
      <c r="S1041" s="254">
        <v>32</v>
      </c>
      <c r="T1041" s="256" t="s">
        <v>1417</v>
      </c>
      <c r="U1041" s="256" t="s">
        <v>1417</v>
      </c>
      <c r="V1041" s="256" t="s">
        <v>1417</v>
      </c>
      <c r="W1041" s="256" t="s">
        <v>1417</v>
      </c>
      <c r="X1041" s="256" t="s">
        <v>1417</v>
      </c>
      <c r="Y1041" s="256" t="s">
        <v>1417</v>
      </c>
      <c r="Z1041" s="256" t="s">
        <v>1417</v>
      </c>
      <c r="AA1041" s="256" t="s">
        <v>1417</v>
      </c>
      <c r="AB1041" s="256" t="s">
        <v>1417</v>
      </c>
      <c r="AC1041" s="260" t="s">
        <v>1417</v>
      </c>
      <c r="AD1041" s="405">
        <v>0</v>
      </c>
      <c r="AE1041" s="257" t="s">
        <v>2203</v>
      </c>
      <c r="AF1041" s="257" t="s">
        <v>2109</v>
      </c>
      <c r="AG1041" s="261" t="s">
        <v>1432</v>
      </c>
      <c r="AH1041" s="261" t="s">
        <v>726</v>
      </c>
      <c r="AI1041" s="261">
        <v>0</v>
      </c>
      <c r="AJ1041" s="261">
        <v>0</v>
      </c>
      <c r="AK1041" s="261">
        <v>0</v>
      </c>
      <c r="AL1041" s="256">
        <v>2.3999999999999998E-3</v>
      </c>
      <c r="AM1041" s="256" t="s">
        <v>34</v>
      </c>
      <c r="AN1041" s="256" t="s">
        <v>34</v>
      </c>
      <c r="AO1041" s="254" t="s">
        <v>1324</v>
      </c>
      <c r="AP1041" s="257" t="s">
        <v>716</v>
      </c>
      <c r="AQ1041" s="263" t="s">
        <v>687</v>
      </c>
      <c r="AR1041" s="256" t="s">
        <v>34</v>
      </c>
      <c r="AS1041" s="256" t="s">
        <v>34</v>
      </c>
      <c r="AT1041" s="256"/>
      <c r="AX1041" s="508"/>
      <c r="AY1041" s="509"/>
      <c r="AZ1041" s="509"/>
      <c r="BA1041" s="509"/>
      <c r="BB1041" s="510"/>
      <c r="BC1041" s="509"/>
      <c r="BD1041" s="509"/>
      <c r="BE1041" s="509"/>
      <c r="BF1041" s="509"/>
      <c r="BG1041" s="510"/>
      <c r="BH1041" s="510"/>
      <c r="BI1041" s="511"/>
      <c r="BJ1041" s="511"/>
      <c r="BK1041" s="511"/>
      <c r="BL1041" s="510"/>
      <c r="BM1041" s="510"/>
      <c r="BN1041" s="510"/>
      <c r="BO1041" s="510"/>
      <c r="BP1041" s="510"/>
      <c r="BQ1041" s="510"/>
      <c r="BR1041" s="510"/>
      <c r="BS1041" s="510"/>
      <c r="BT1041" s="513"/>
      <c r="BU1041" s="514"/>
      <c r="BV1041" s="512"/>
      <c r="BW1041" s="515"/>
    </row>
    <row r="1042" spans="2:75" ht="15.75" customHeight="1">
      <c r="B1042" s="250" t="s">
        <v>1293</v>
      </c>
      <c r="C1042" s="251">
        <v>37751366000102</v>
      </c>
      <c r="D1042" s="252" t="s">
        <v>14</v>
      </c>
      <c r="E1042" s="252" t="s">
        <v>607</v>
      </c>
      <c r="F1042" s="252"/>
      <c r="G1042" s="253"/>
      <c r="H1042" s="253" t="s">
        <v>34</v>
      </c>
      <c r="I1042" s="253" t="s">
        <v>34</v>
      </c>
      <c r="J1042" s="253" t="s">
        <v>608</v>
      </c>
      <c r="K1042" s="254" t="s">
        <v>48</v>
      </c>
      <c r="L1042" s="255"/>
      <c r="M1042" s="255" t="s">
        <v>34</v>
      </c>
      <c r="N1042" s="254">
        <v>573256</v>
      </c>
      <c r="O1042" s="254" t="s">
        <v>1321</v>
      </c>
      <c r="P1042" s="258">
        <v>44225</v>
      </c>
      <c r="Q1042" s="259">
        <v>9729746.9399999995</v>
      </c>
      <c r="R1042" s="259">
        <v>8869551.4065873045</v>
      </c>
      <c r="S1042" s="254">
        <v>32</v>
      </c>
      <c r="T1042" s="256">
        <v>1.8983160932477539E-2</v>
      </c>
      <c r="U1042" s="256">
        <v>0.24539902653345727</v>
      </c>
      <c r="V1042" s="256">
        <v>-0.15901447200381369</v>
      </c>
      <c r="W1042" s="256">
        <v>-1.5588735279395176</v>
      </c>
      <c r="X1042" s="256" t="s">
        <v>1417</v>
      </c>
      <c r="Y1042" s="256" t="s">
        <v>1417</v>
      </c>
      <c r="Z1042" s="256" t="s">
        <v>1417</v>
      </c>
      <c r="AA1042" s="256" t="s">
        <v>1417</v>
      </c>
      <c r="AB1042" s="256">
        <v>0.23214726999024049</v>
      </c>
      <c r="AC1042" s="260">
        <v>-1.0481991745065422</v>
      </c>
      <c r="AD1042" s="405">
        <v>37487612000160</v>
      </c>
      <c r="AE1042" s="257" t="s">
        <v>2230</v>
      </c>
      <c r="AF1042" s="257" t="s">
        <v>736</v>
      </c>
      <c r="AG1042" s="261" t="s">
        <v>736</v>
      </c>
      <c r="AH1042" s="261" t="s">
        <v>2113</v>
      </c>
      <c r="AI1042" s="261">
        <v>500</v>
      </c>
      <c r="AJ1042" s="261">
        <v>100</v>
      </c>
      <c r="AK1042" s="261">
        <v>500</v>
      </c>
      <c r="AL1042" s="256">
        <v>1.8799999999999997E-2</v>
      </c>
      <c r="AM1042" s="256">
        <v>0.2</v>
      </c>
      <c r="AN1042" s="256" t="s">
        <v>666</v>
      </c>
      <c r="AO1042" s="254" t="s">
        <v>1324</v>
      </c>
      <c r="AP1042" s="257" t="s">
        <v>716</v>
      </c>
      <c r="AQ1042" s="263" t="s">
        <v>659</v>
      </c>
      <c r="AR1042" s="256">
        <v>5.0133333333333332E-3</v>
      </c>
      <c r="AS1042" s="256">
        <v>5.0133333333333332E-3</v>
      </c>
      <c r="AT1042" s="256"/>
      <c r="AX1042" s="508"/>
      <c r="AY1042" s="509"/>
      <c r="AZ1042" s="509"/>
      <c r="BA1042" s="509"/>
      <c r="BB1042" s="510"/>
      <c r="BC1042" s="509"/>
      <c r="BD1042" s="509"/>
      <c r="BE1042" s="509"/>
      <c r="BF1042" s="509"/>
      <c r="BG1042" s="510"/>
      <c r="BH1042" s="510"/>
      <c r="BI1042" s="511"/>
      <c r="BJ1042" s="511"/>
      <c r="BK1042" s="511"/>
      <c r="BL1042" s="510"/>
      <c r="BM1042" s="510"/>
      <c r="BN1042" s="510"/>
      <c r="BO1042" s="510"/>
      <c r="BP1042" s="510"/>
      <c r="BQ1042" s="510"/>
      <c r="BR1042" s="510"/>
      <c r="BS1042" s="510"/>
      <c r="BT1042" s="513"/>
      <c r="BU1042" s="514"/>
      <c r="BV1042" s="512"/>
      <c r="BW1042" s="515"/>
    </row>
    <row r="1043" spans="2:75" ht="15.75" customHeight="1">
      <c r="B1043" s="250" t="s">
        <v>1294</v>
      </c>
      <c r="C1043" s="251">
        <v>37487351000189</v>
      </c>
      <c r="D1043" s="252" t="s">
        <v>14</v>
      </c>
      <c r="E1043" s="252" t="s">
        <v>614</v>
      </c>
      <c r="F1043" s="252"/>
      <c r="G1043" s="253"/>
      <c r="H1043" s="253" t="s">
        <v>1338</v>
      </c>
      <c r="I1043" s="253" t="s">
        <v>34</v>
      </c>
      <c r="J1043" s="253" t="s">
        <v>608</v>
      </c>
      <c r="K1043" s="254" t="s">
        <v>48</v>
      </c>
      <c r="L1043" s="255"/>
      <c r="M1043" s="255" t="s">
        <v>34</v>
      </c>
      <c r="N1043" s="254">
        <v>573231</v>
      </c>
      <c r="O1043" s="254" t="s">
        <v>1321</v>
      </c>
      <c r="P1043" s="258">
        <v>44225</v>
      </c>
      <c r="Q1043" s="259">
        <v>42037477.75</v>
      </c>
      <c r="R1043" s="259">
        <v>40715862.456865042</v>
      </c>
      <c r="S1043" s="254">
        <v>32</v>
      </c>
      <c r="T1043" s="256">
        <v>6.9532400501634894E-2</v>
      </c>
      <c r="U1043" s="256">
        <v>0.89885891271368579</v>
      </c>
      <c r="V1043" s="256">
        <v>-0.14087636045302354</v>
      </c>
      <c r="W1043" s="256">
        <v>-1.3810593856980327</v>
      </c>
      <c r="X1043" s="256" t="s">
        <v>1417</v>
      </c>
      <c r="Y1043" s="256" t="s">
        <v>1417</v>
      </c>
      <c r="Z1043" s="256" t="s">
        <v>1417</v>
      </c>
      <c r="AA1043" s="256" t="s">
        <v>1417</v>
      </c>
      <c r="AB1043" s="256">
        <v>0.24241962706624132</v>
      </c>
      <c r="AC1043" s="260">
        <v>-0.90569334727007511</v>
      </c>
      <c r="AD1043" s="405">
        <v>37467645000149</v>
      </c>
      <c r="AE1043" s="257" t="s">
        <v>2230</v>
      </c>
      <c r="AF1043" s="257" t="s">
        <v>736</v>
      </c>
      <c r="AG1043" s="261" t="s">
        <v>736</v>
      </c>
      <c r="AH1043" s="261" t="s">
        <v>2113</v>
      </c>
      <c r="AI1043" s="261">
        <v>500</v>
      </c>
      <c r="AJ1043" s="261">
        <v>100</v>
      </c>
      <c r="AK1043" s="261">
        <v>500</v>
      </c>
      <c r="AL1043" s="256">
        <v>1.8799999999999997E-2</v>
      </c>
      <c r="AM1043" s="256">
        <v>0.2</v>
      </c>
      <c r="AN1043" s="256" t="s">
        <v>64</v>
      </c>
      <c r="AO1043" s="254" t="s">
        <v>1324</v>
      </c>
      <c r="AP1043" s="257" t="s">
        <v>13</v>
      </c>
      <c r="AQ1043" s="263" t="s">
        <v>668</v>
      </c>
      <c r="AR1043" s="256">
        <v>5.0133333333333332E-3</v>
      </c>
      <c r="AS1043" s="256">
        <v>5.0133333333333332E-3</v>
      </c>
      <c r="AT1043" s="256"/>
      <c r="AX1043" s="508"/>
      <c r="AY1043" s="509"/>
      <c r="AZ1043" s="509"/>
      <c r="BA1043" s="509"/>
      <c r="BB1043" s="510"/>
      <c r="BC1043" s="509"/>
      <c r="BD1043" s="509"/>
      <c r="BE1043" s="509"/>
      <c r="BF1043" s="509"/>
      <c r="BG1043" s="510"/>
      <c r="BH1043" s="510"/>
      <c r="BI1043" s="511"/>
      <c r="BJ1043" s="511"/>
      <c r="BK1043" s="511"/>
      <c r="BL1043" s="510"/>
      <c r="BM1043" s="510"/>
      <c r="BN1043" s="510"/>
      <c r="BO1043" s="510"/>
      <c r="BP1043" s="510"/>
      <c r="BQ1043" s="510"/>
      <c r="BR1043" s="510"/>
      <c r="BS1043" s="510"/>
      <c r="BT1043" s="513"/>
      <c r="BU1043" s="514"/>
      <c r="BV1043" s="512"/>
      <c r="BW1043" s="515"/>
    </row>
    <row r="1044" spans="2:75" ht="15.75" customHeight="1">
      <c r="B1044" s="250" t="s">
        <v>194</v>
      </c>
      <c r="C1044" s="251">
        <v>40102191000117</v>
      </c>
      <c r="D1044" s="252" t="s">
        <v>14</v>
      </c>
      <c r="E1044" s="252" t="s">
        <v>614</v>
      </c>
      <c r="F1044" s="252"/>
      <c r="G1044" s="253"/>
      <c r="H1044" s="253" t="s">
        <v>1338</v>
      </c>
      <c r="I1044" s="253" t="s">
        <v>34</v>
      </c>
      <c r="J1044" s="253" t="s">
        <v>608</v>
      </c>
      <c r="K1044" s="254" t="s">
        <v>48</v>
      </c>
      <c r="L1044" s="255"/>
      <c r="M1044" s="255" t="s">
        <v>34</v>
      </c>
      <c r="N1044" s="254">
        <v>568007</v>
      </c>
      <c r="O1044" s="254" t="s">
        <v>1321</v>
      </c>
      <c r="P1044" s="258">
        <v>44193</v>
      </c>
      <c r="Q1044" s="259">
        <v>32380270.629999999</v>
      </c>
      <c r="R1044" s="259">
        <v>47915669.180476241</v>
      </c>
      <c r="S1044" s="254">
        <v>32</v>
      </c>
      <c r="T1044" s="256">
        <v>-5.2087141218953525E-2</v>
      </c>
      <c r="U1044" s="256">
        <v>-0.6733406409768915</v>
      </c>
      <c r="V1044" s="256">
        <v>-0.15977682161317863</v>
      </c>
      <c r="W1044" s="256">
        <v>-1.5663471032065885</v>
      </c>
      <c r="X1044" s="256" t="s">
        <v>1417</v>
      </c>
      <c r="Y1044" s="256" t="s">
        <v>1417</v>
      </c>
      <c r="Z1044" s="256" t="s">
        <v>1417</v>
      </c>
      <c r="AA1044" s="256" t="s">
        <v>1417</v>
      </c>
      <c r="AB1044" s="256">
        <v>0.18723532529553599</v>
      </c>
      <c r="AC1044" s="260">
        <v>-1.3549603430399848</v>
      </c>
      <c r="AD1044" s="405">
        <v>40102156000106</v>
      </c>
      <c r="AE1044" s="257" t="s">
        <v>2214</v>
      </c>
      <c r="AF1044" s="257" t="s">
        <v>2109</v>
      </c>
      <c r="AG1044" s="261" t="s">
        <v>1432</v>
      </c>
      <c r="AH1044" s="261" t="s">
        <v>2113</v>
      </c>
      <c r="AI1044" s="261">
        <v>500</v>
      </c>
      <c r="AJ1044" s="261">
        <v>100</v>
      </c>
      <c r="AK1044" s="261">
        <v>500</v>
      </c>
      <c r="AL1044" s="256">
        <v>1.9199999999999998E-2</v>
      </c>
      <c r="AM1044" s="256">
        <v>0.2</v>
      </c>
      <c r="AN1044" s="256" t="s">
        <v>34</v>
      </c>
      <c r="AO1044" s="254" t="s">
        <v>1324</v>
      </c>
      <c r="AP1044" s="257" t="s">
        <v>13</v>
      </c>
      <c r="AQ1044" s="263" t="s">
        <v>668</v>
      </c>
      <c r="AR1044" s="256">
        <v>6.3999999999999994E-3</v>
      </c>
      <c r="AS1044" s="256">
        <v>6.3999999999999994E-3</v>
      </c>
      <c r="AT1044" s="256"/>
      <c r="AX1044" s="508"/>
      <c r="AY1044" s="509"/>
      <c r="AZ1044" s="509"/>
      <c r="BA1044" s="509"/>
      <c r="BB1044" s="510"/>
      <c r="BC1044" s="509"/>
      <c r="BD1044" s="509"/>
      <c r="BE1044" s="509"/>
      <c r="BF1044" s="509"/>
      <c r="BG1044" s="510"/>
      <c r="BH1044" s="510"/>
      <c r="BI1044" s="511"/>
      <c r="BJ1044" s="511"/>
      <c r="BK1044" s="511"/>
      <c r="BL1044" s="510"/>
      <c r="BM1044" s="510"/>
      <c r="BN1044" s="510"/>
      <c r="BO1044" s="510"/>
      <c r="BP1044" s="510"/>
      <c r="BQ1044" s="510"/>
      <c r="BR1044" s="510"/>
      <c r="BS1044" s="510"/>
      <c r="BT1044" s="513"/>
      <c r="BU1044" s="514"/>
      <c r="BV1044" s="512"/>
      <c r="BW1044" s="515"/>
    </row>
    <row r="1045" spans="2:75" ht="15.75" customHeight="1">
      <c r="B1045" s="250" t="s">
        <v>925</v>
      </c>
      <c r="C1045" s="251">
        <v>26406529000101</v>
      </c>
      <c r="D1045" s="252" t="s">
        <v>14</v>
      </c>
      <c r="E1045" s="252" t="s">
        <v>614</v>
      </c>
      <c r="F1045" s="252"/>
      <c r="G1045" s="253"/>
      <c r="H1045" s="253" t="s">
        <v>1338</v>
      </c>
      <c r="I1045" s="253" t="s">
        <v>34</v>
      </c>
      <c r="J1045" s="253" t="s">
        <v>608</v>
      </c>
      <c r="K1045" s="254" t="s">
        <v>48</v>
      </c>
      <c r="L1045" s="255"/>
      <c r="M1045" s="255" t="s">
        <v>34</v>
      </c>
      <c r="N1045" s="254">
        <v>464635</v>
      </c>
      <c r="O1045" s="254" t="s">
        <v>1321</v>
      </c>
      <c r="P1045" s="258">
        <v>43188</v>
      </c>
      <c r="Q1045" s="259">
        <v>23732833.73</v>
      </c>
      <c r="R1045" s="259">
        <v>42224769.477023803</v>
      </c>
      <c r="S1045" s="254">
        <v>32</v>
      </c>
      <c r="T1045" s="256">
        <v>-5.682876566896311E-2</v>
      </c>
      <c r="U1045" s="256">
        <v>-0.73463654571891224</v>
      </c>
      <c r="V1045" s="256">
        <v>-0.16355307718802614</v>
      </c>
      <c r="W1045" s="256">
        <v>-1.6033670346391353</v>
      </c>
      <c r="X1045" s="256">
        <v>-5.4421161985921951E-2</v>
      </c>
      <c r="Y1045" s="256">
        <v>-0.41268555751745867</v>
      </c>
      <c r="Z1045" s="256">
        <v>0.14322551656831006</v>
      </c>
      <c r="AA1045" s="256">
        <v>0.81414026820562557</v>
      </c>
      <c r="AB1045" s="256">
        <v>0.19018264749097719</v>
      </c>
      <c r="AC1045" s="260">
        <v>-1.3547078440016085</v>
      </c>
      <c r="AD1045" s="405">
        <v>26470533000120</v>
      </c>
      <c r="AE1045" s="257" t="s">
        <v>2214</v>
      </c>
      <c r="AF1045" s="257" t="s">
        <v>2109</v>
      </c>
      <c r="AG1045" s="261" t="s">
        <v>1432</v>
      </c>
      <c r="AH1045" s="261" t="s">
        <v>2110</v>
      </c>
      <c r="AI1045" s="261">
        <v>500</v>
      </c>
      <c r="AJ1045" s="261">
        <v>500</v>
      </c>
      <c r="AK1045" s="261">
        <v>500</v>
      </c>
      <c r="AL1045" s="256">
        <v>1.9199999999999998E-2</v>
      </c>
      <c r="AM1045" s="256">
        <v>0.2</v>
      </c>
      <c r="AN1045" s="256" t="s">
        <v>34</v>
      </c>
      <c r="AO1045" s="254" t="s">
        <v>1324</v>
      </c>
      <c r="AP1045" s="257" t="s">
        <v>716</v>
      </c>
      <c r="AQ1045" s="263" t="s">
        <v>659</v>
      </c>
      <c r="AR1045" s="256">
        <v>6.3999999999999994E-3</v>
      </c>
      <c r="AS1045" s="256">
        <v>6.3999999999999994E-3</v>
      </c>
      <c r="AT1045" s="256"/>
      <c r="AX1045" s="508"/>
      <c r="AY1045" s="509"/>
      <c r="AZ1045" s="509"/>
      <c r="BA1045" s="509"/>
      <c r="BB1045" s="510"/>
      <c r="BC1045" s="509"/>
      <c r="BD1045" s="509"/>
      <c r="BE1045" s="509"/>
      <c r="BF1045" s="509"/>
      <c r="BG1045" s="510"/>
      <c r="BH1045" s="510"/>
      <c r="BI1045" s="511"/>
      <c r="BJ1045" s="511"/>
      <c r="BK1045" s="511"/>
      <c r="BL1045" s="510"/>
      <c r="BM1045" s="510"/>
      <c r="BN1045" s="510"/>
      <c r="BO1045" s="510"/>
      <c r="BP1045" s="510"/>
      <c r="BQ1045" s="510"/>
      <c r="BR1045" s="510"/>
      <c r="BS1045" s="510"/>
      <c r="BT1045" s="513"/>
      <c r="BU1045" s="514"/>
      <c r="BV1045" s="512"/>
      <c r="BW1045" s="515"/>
    </row>
    <row r="1046" spans="2:75" ht="15.75" customHeight="1">
      <c r="B1046" s="250" t="s">
        <v>554</v>
      </c>
      <c r="C1046" s="251">
        <v>35502496000186</v>
      </c>
      <c r="D1046" s="252" t="s">
        <v>14</v>
      </c>
      <c r="E1046" s="252" t="s">
        <v>607</v>
      </c>
      <c r="F1046" s="252"/>
      <c r="G1046" s="253"/>
      <c r="H1046" s="253" t="s">
        <v>34</v>
      </c>
      <c r="I1046" s="253" t="s">
        <v>34</v>
      </c>
      <c r="J1046" s="253" t="s">
        <v>608</v>
      </c>
      <c r="K1046" s="254" t="s">
        <v>48</v>
      </c>
      <c r="L1046" s="255"/>
      <c r="M1046" s="255" t="s">
        <v>34</v>
      </c>
      <c r="N1046" s="254">
        <v>606979</v>
      </c>
      <c r="O1046" s="254" t="s">
        <v>1321</v>
      </c>
      <c r="P1046" s="258">
        <v>44410</v>
      </c>
      <c r="Q1046" s="259">
        <v>34834997.420000002</v>
      </c>
      <c r="R1046" s="259">
        <v>42345958.083968252</v>
      </c>
      <c r="S1046" s="254">
        <v>32</v>
      </c>
      <c r="T1046" s="256">
        <v>-1.5264725792889844E-2</v>
      </c>
      <c r="U1046" s="256">
        <v>-0.19733008971474969</v>
      </c>
      <c r="V1046" s="256">
        <v>-0.10101374997847956</v>
      </c>
      <c r="W1046" s="256">
        <v>-0.9902725130299852</v>
      </c>
      <c r="X1046" s="256" t="s">
        <v>1417</v>
      </c>
      <c r="Y1046" s="256" t="s">
        <v>1417</v>
      </c>
      <c r="Z1046" s="256" t="s">
        <v>1417</v>
      </c>
      <c r="AA1046" s="256" t="s">
        <v>1417</v>
      </c>
      <c r="AB1046" s="256">
        <v>0.24082252854585262</v>
      </c>
      <c r="AC1046" s="260">
        <v>-0.72550595744602664</v>
      </c>
      <c r="AD1046" s="405">
        <v>0</v>
      </c>
      <c r="AE1046" s="257" t="s">
        <v>2234</v>
      </c>
      <c r="AF1046" s="257" t="s">
        <v>2112</v>
      </c>
      <c r="AG1046" s="261" t="s">
        <v>59</v>
      </c>
      <c r="AH1046" s="261" t="s">
        <v>2113</v>
      </c>
      <c r="AI1046" s="261">
        <v>1000</v>
      </c>
      <c r="AJ1046" s="261">
        <v>1000</v>
      </c>
      <c r="AK1046" s="261">
        <v>1000</v>
      </c>
      <c r="AL1046" s="256">
        <v>0.02</v>
      </c>
      <c r="AM1046" s="256">
        <v>0.2</v>
      </c>
      <c r="AN1046" s="256" t="s">
        <v>666</v>
      </c>
      <c r="AO1046" s="254" t="s">
        <v>1324</v>
      </c>
      <c r="AP1046" s="257" t="s">
        <v>716</v>
      </c>
      <c r="AQ1046" s="263" t="s">
        <v>659</v>
      </c>
      <c r="AR1046" s="256">
        <v>4.0000000000000001E-3</v>
      </c>
      <c r="AS1046" s="256">
        <v>4.0000000000000001E-3</v>
      </c>
      <c r="AT1046" s="256"/>
      <c r="AX1046" s="508"/>
      <c r="AY1046" s="509"/>
      <c r="AZ1046" s="509"/>
      <c r="BA1046" s="509"/>
      <c r="BB1046" s="510"/>
      <c r="BC1046" s="509"/>
      <c r="BD1046" s="509"/>
      <c r="BE1046" s="509"/>
      <c r="BF1046" s="509"/>
      <c r="BG1046" s="510"/>
      <c r="BH1046" s="510"/>
      <c r="BI1046" s="511"/>
      <c r="BJ1046" s="511"/>
      <c r="BK1046" s="511"/>
      <c r="BL1046" s="510"/>
      <c r="BM1046" s="510"/>
      <c r="BN1046" s="510"/>
      <c r="BO1046" s="510"/>
      <c r="BP1046" s="510"/>
      <c r="BQ1046" s="510"/>
      <c r="BR1046" s="510"/>
      <c r="BS1046" s="510"/>
      <c r="BT1046" s="513"/>
      <c r="BU1046" s="514"/>
      <c r="BV1046" s="512"/>
      <c r="BW1046" s="515"/>
    </row>
    <row r="1047" spans="2:75" ht="15.75" customHeight="1">
      <c r="B1047" s="250" t="s">
        <v>51</v>
      </c>
      <c r="C1047" s="251">
        <v>35725802000143</v>
      </c>
      <c r="D1047" s="252" t="s">
        <v>14</v>
      </c>
      <c r="E1047" s="252" t="s">
        <v>607</v>
      </c>
      <c r="F1047" s="252"/>
      <c r="G1047" s="253"/>
      <c r="H1047" s="253" t="s">
        <v>34</v>
      </c>
      <c r="I1047" s="253" t="s">
        <v>34</v>
      </c>
      <c r="J1047" s="253" t="s">
        <v>700</v>
      </c>
      <c r="K1047" s="254" t="s">
        <v>48</v>
      </c>
      <c r="L1047" s="255"/>
      <c r="M1047" s="255" t="s">
        <v>34</v>
      </c>
      <c r="N1047" s="254">
        <v>526908</v>
      </c>
      <c r="O1047" s="254" t="s">
        <v>1324</v>
      </c>
      <c r="P1047" s="258">
        <v>43873</v>
      </c>
      <c r="Q1047" s="259">
        <v>12590936.220000001</v>
      </c>
      <c r="R1047" s="259">
        <v>13136103.912103171</v>
      </c>
      <c r="S1047" s="254">
        <v>32</v>
      </c>
      <c r="T1047" s="256">
        <v>1.2245479169467721E-2</v>
      </c>
      <c r="U1047" s="256">
        <v>0.15829969931308557</v>
      </c>
      <c r="V1047" s="256">
        <v>3.7619878676882212E-2</v>
      </c>
      <c r="W1047" s="256">
        <v>0.36880060194949749</v>
      </c>
      <c r="X1047" s="256">
        <v>0.62972247158106032</v>
      </c>
      <c r="Y1047" s="256">
        <v>4.7752998977296519</v>
      </c>
      <c r="Z1047" s="256" t="s">
        <v>1417</v>
      </c>
      <c r="AA1047" s="256" t="s">
        <v>1417</v>
      </c>
      <c r="AB1047" s="256">
        <v>0.25058000535507646</v>
      </c>
      <c r="AC1047" s="260">
        <v>-0.1154199539992409</v>
      </c>
      <c r="AD1047" s="405">
        <v>36016436000116</v>
      </c>
      <c r="AE1047" s="257" t="s">
        <v>2237</v>
      </c>
      <c r="AF1047" s="257" t="s">
        <v>2109</v>
      </c>
      <c r="AG1047" s="261" t="s">
        <v>1432</v>
      </c>
      <c r="AH1047" s="261" t="s">
        <v>2113</v>
      </c>
      <c r="AI1047" s="261">
        <v>5000</v>
      </c>
      <c r="AJ1047" s="261">
        <v>1000</v>
      </c>
      <c r="AK1047" s="261">
        <v>5000</v>
      </c>
      <c r="AL1047" s="256">
        <v>2.5000000000000001E-2</v>
      </c>
      <c r="AM1047" s="256">
        <v>0.2</v>
      </c>
      <c r="AN1047" s="256" t="s">
        <v>34</v>
      </c>
      <c r="AO1047" s="254" t="s">
        <v>1324</v>
      </c>
      <c r="AP1047" s="257" t="s">
        <v>716</v>
      </c>
      <c r="AQ1047" s="263" t="s">
        <v>659</v>
      </c>
      <c r="AR1047" s="256">
        <v>4.0000000000000001E-3</v>
      </c>
      <c r="AS1047" s="256">
        <v>4.0000000000000001E-3</v>
      </c>
      <c r="AT1047" s="256"/>
      <c r="AX1047" s="508"/>
      <c r="AY1047" s="509"/>
      <c r="AZ1047" s="509"/>
      <c r="BA1047" s="509"/>
      <c r="BB1047" s="510"/>
      <c r="BC1047" s="509"/>
      <c r="BD1047" s="509"/>
      <c r="BE1047" s="509"/>
      <c r="BF1047" s="509"/>
      <c r="BG1047" s="510"/>
      <c r="BH1047" s="510"/>
      <c r="BI1047" s="511"/>
      <c r="BJ1047" s="511"/>
      <c r="BK1047" s="511"/>
      <c r="BL1047" s="510"/>
      <c r="BM1047" s="510"/>
      <c r="BN1047" s="510"/>
      <c r="BO1047" s="510"/>
      <c r="BP1047" s="510"/>
      <c r="BQ1047" s="510"/>
      <c r="BR1047" s="510"/>
      <c r="BS1047" s="510"/>
      <c r="BT1047" s="513"/>
      <c r="BU1047" s="514"/>
      <c r="BV1047" s="512"/>
      <c r="BW1047" s="515"/>
    </row>
    <row r="1048" spans="2:75" ht="15.75" customHeight="1">
      <c r="B1048" s="250" t="s">
        <v>932</v>
      </c>
      <c r="C1048" s="251">
        <v>42773832000190</v>
      </c>
      <c r="D1048" s="252" t="s">
        <v>14</v>
      </c>
      <c r="E1048" s="252" t="s">
        <v>607</v>
      </c>
      <c r="F1048" s="252"/>
      <c r="G1048" s="253"/>
      <c r="H1048" s="253" t="s">
        <v>34</v>
      </c>
      <c r="I1048" s="253" t="s">
        <v>34</v>
      </c>
      <c r="J1048" s="253" t="s">
        <v>608</v>
      </c>
      <c r="K1048" s="254" t="s">
        <v>48</v>
      </c>
      <c r="L1048" s="255"/>
      <c r="M1048" s="255" t="s">
        <v>34</v>
      </c>
      <c r="N1048" s="254">
        <v>625566</v>
      </c>
      <c r="O1048" s="254" t="s">
        <v>1321</v>
      </c>
      <c r="P1048" s="258">
        <v>44529</v>
      </c>
      <c r="Q1048" s="259">
        <v>4316815.4400000004</v>
      </c>
      <c r="R1048" s="259" t="s">
        <v>1417</v>
      </c>
      <c r="S1048" s="254">
        <v>32</v>
      </c>
      <c r="T1048" s="256">
        <v>-7.9611272229283658E-2</v>
      </c>
      <c r="U1048" s="256">
        <v>-1.0291504547449732</v>
      </c>
      <c r="V1048" s="256" t="s">
        <v>1417</v>
      </c>
      <c r="W1048" s="256" t="s">
        <v>1417</v>
      </c>
      <c r="X1048" s="256" t="s">
        <v>1417</v>
      </c>
      <c r="Y1048" s="256" t="s">
        <v>1417</v>
      </c>
      <c r="Z1048" s="256" t="s">
        <v>1417</v>
      </c>
      <c r="AA1048" s="256" t="s">
        <v>1417</v>
      </c>
      <c r="AB1048" s="256" t="s">
        <v>1417</v>
      </c>
      <c r="AC1048" s="260" t="s">
        <v>1417</v>
      </c>
      <c r="AD1048" s="405">
        <v>29275418000193</v>
      </c>
      <c r="AE1048" s="257" t="s">
        <v>2238</v>
      </c>
      <c r="AF1048" s="257" t="s">
        <v>2109</v>
      </c>
      <c r="AG1048" s="261" t="s">
        <v>1432</v>
      </c>
      <c r="AH1048" s="261" t="s">
        <v>2110</v>
      </c>
      <c r="AI1048" s="261">
        <v>5000</v>
      </c>
      <c r="AJ1048" s="261">
        <v>1000</v>
      </c>
      <c r="AK1048" s="261">
        <v>5000</v>
      </c>
      <c r="AL1048" s="256">
        <v>1.9E-2</v>
      </c>
      <c r="AM1048" s="256">
        <v>0.2</v>
      </c>
      <c r="AN1048" s="256" t="s">
        <v>2127</v>
      </c>
      <c r="AO1048" s="254" t="s">
        <v>1324</v>
      </c>
      <c r="AP1048" s="257" t="s">
        <v>716</v>
      </c>
      <c r="AQ1048" s="263" t="s">
        <v>659</v>
      </c>
      <c r="AR1048" s="256">
        <v>5.0672999999999994E-3</v>
      </c>
      <c r="AS1048" s="256">
        <v>5.0672999999999994E-3</v>
      </c>
      <c r="AT1048" s="256"/>
      <c r="AX1048" s="508"/>
      <c r="AY1048" s="509"/>
      <c r="AZ1048" s="509"/>
      <c r="BA1048" s="509"/>
      <c r="BB1048" s="510"/>
      <c r="BC1048" s="509"/>
      <c r="BD1048" s="509"/>
      <c r="BE1048" s="509"/>
      <c r="BF1048" s="509"/>
      <c r="BG1048" s="510"/>
      <c r="BH1048" s="510"/>
      <c r="BI1048" s="511"/>
      <c r="BJ1048" s="511"/>
      <c r="BK1048" s="511"/>
      <c r="BL1048" s="510"/>
      <c r="BM1048" s="510"/>
      <c r="BN1048" s="510"/>
      <c r="BO1048" s="510"/>
      <c r="BP1048" s="510"/>
      <c r="BQ1048" s="510"/>
      <c r="BR1048" s="510"/>
      <c r="BS1048" s="510"/>
      <c r="BT1048" s="513"/>
      <c r="BU1048" s="514"/>
      <c r="BV1048" s="512"/>
      <c r="BW1048" s="515"/>
    </row>
    <row r="1049" spans="2:75" ht="15.75" customHeight="1">
      <c r="B1049" s="250" t="s">
        <v>555</v>
      </c>
      <c r="C1049" s="251">
        <v>13476201000101</v>
      </c>
      <c r="D1049" s="252" t="s">
        <v>14</v>
      </c>
      <c r="E1049" s="252" t="s">
        <v>607</v>
      </c>
      <c r="F1049" s="252"/>
      <c r="G1049" s="253"/>
      <c r="H1049" s="253" t="s">
        <v>34</v>
      </c>
      <c r="I1049" s="253" t="s">
        <v>34</v>
      </c>
      <c r="J1049" s="253" t="s">
        <v>608</v>
      </c>
      <c r="K1049" s="254" t="s">
        <v>48</v>
      </c>
      <c r="L1049" s="255"/>
      <c r="M1049" s="255" t="s">
        <v>34</v>
      </c>
      <c r="N1049" s="254">
        <v>275591</v>
      </c>
      <c r="O1049" s="254" t="s">
        <v>1321</v>
      </c>
      <c r="P1049" s="258">
        <v>40700</v>
      </c>
      <c r="Q1049" s="259">
        <v>9808129.0800000001</v>
      </c>
      <c r="R1049" s="259">
        <v>64941027.163809456</v>
      </c>
      <c r="S1049" s="254">
        <v>32</v>
      </c>
      <c r="T1049" s="256">
        <v>-0.32559887510762942</v>
      </c>
      <c r="U1049" s="256">
        <v>-4.2090802093501942</v>
      </c>
      <c r="V1049" s="256">
        <v>-0.55109759300667438</v>
      </c>
      <c r="W1049" s="256">
        <v>-5.4025991359370558</v>
      </c>
      <c r="X1049" s="256">
        <v>-0.58701640248919718</v>
      </c>
      <c r="Y1049" s="256">
        <v>-4.4514520177980579</v>
      </c>
      <c r="Z1049" s="256">
        <v>-0.34758637394115655</v>
      </c>
      <c r="AA1049" s="256">
        <v>-1.9757936329041443</v>
      </c>
      <c r="AB1049" s="256">
        <v>0.43072308415263172</v>
      </c>
      <c r="AC1049" s="260">
        <v>-1.8668030414108259</v>
      </c>
      <c r="AD1049" s="405">
        <v>0</v>
      </c>
      <c r="AE1049" s="257" t="s">
        <v>2241</v>
      </c>
      <c r="AF1049" s="257" t="s">
        <v>2109</v>
      </c>
      <c r="AG1049" s="261" t="s">
        <v>1432</v>
      </c>
      <c r="AH1049" s="261" t="s">
        <v>2113</v>
      </c>
      <c r="AI1049" s="261">
        <v>1000</v>
      </c>
      <c r="AJ1049" s="261">
        <v>1000</v>
      </c>
      <c r="AK1049" s="261">
        <v>1000</v>
      </c>
      <c r="AL1049" s="256">
        <v>1.4999999999999999E-2</v>
      </c>
      <c r="AM1049" s="256">
        <v>0.2</v>
      </c>
      <c r="AN1049" s="256" t="s">
        <v>2127</v>
      </c>
      <c r="AO1049" s="254" t="s">
        <v>1324</v>
      </c>
      <c r="AP1049" s="257" t="s">
        <v>716</v>
      </c>
      <c r="AQ1049" s="263" t="s">
        <v>659</v>
      </c>
      <c r="AR1049" s="256">
        <v>4.0000000000000001E-3</v>
      </c>
      <c r="AS1049" s="256">
        <v>4.0000000000000001E-3</v>
      </c>
      <c r="AT1049" s="256"/>
      <c r="AX1049" s="508"/>
      <c r="AY1049" s="509"/>
      <c r="AZ1049" s="509"/>
      <c r="BA1049" s="509"/>
      <c r="BB1049" s="510"/>
      <c r="BC1049" s="509"/>
      <c r="BD1049" s="509"/>
      <c r="BE1049" s="509"/>
      <c r="BF1049" s="509"/>
      <c r="BG1049" s="510"/>
      <c r="BH1049" s="510"/>
      <c r="BI1049" s="511"/>
      <c r="BJ1049" s="511"/>
      <c r="BK1049" s="511"/>
      <c r="BL1049" s="510"/>
      <c r="BM1049" s="510"/>
      <c r="BN1049" s="510"/>
      <c r="BO1049" s="510"/>
      <c r="BP1049" s="510"/>
      <c r="BQ1049" s="510"/>
      <c r="BR1049" s="510"/>
      <c r="BS1049" s="510"/>
      <c r="BT1049" s="513"/>
      <c r="BU1049" s="514"/>
      <c r="BV1049" s="512"/>
      <c r="BW1049" s="515"/>
    </row>
    <row r="1050" spans="2:75" ht="15.75" customHeight="1">
      <c r="B1050" s="250" t="s">
        <v>206</v>
      </c>
      <c r="C1050" s="251">
        <v>41065292000128</v>
      </c>
      <c r="D1050" s="252" t="s">
        <v>14</v>
      </c>
      <c r="E1050" s="252" t="s">
        <v>614</v>
      </c>
      <c r="F1050" s="252"/>
      <c r="G1050" s="253"/>
      <c r="H1050" s="253" t="s">
        <v>865</v>
      </c>
      <c r="I1050" s="253" t="s">
        <v>34</v>
      </c>
      <c r="J1050" s="253" t="s">
        <v>608</v>
      </c>
      <c r="K1050" s="254" t="s">
        <v>48</v>
      </c>
      <c r="L1050" s="255"/>
      <c r="M1050" s="255" t="s">
        <v>34</v>
      </c>
      <c r="N1050" s="254">
        <v>585084</v>
      </c>
      <c r="O1050" s="254" t="s">
        <v>1321</v>
      </c>
      <c r="P1050" s="258">
        <v>44286</v>
      </c>
      <c r="Q1050" s="259">
        <v>15079300.6</v>
      </c>
      <c r="R1050" s="259">
        <v>16506972.087261897</v>
      </c>
      <c r="S1050" s="254">
        <v>32</v>
      </c>
      <c r="T1050" s="256">
        <v>3.7788398709997617E-2</v>
      </c>
      <c r="U1050" s="256">
        <v>0.48849800571549462</v>
      </c>
      <c r="V1050" s="256">
        <v>-7.0157566843769947E-2</v>
      </c>
      <c r="W1050" s="256">
        <v>-0.68777874340127487</v>
      </c>
      <c r="X1050" s="256" t="s">
        <v>1417</v>
      </c>
      <c r="Y1050" s="256" t="s">
        <v>1417</v>
      </c>
      <c r="Z1050" s="256" t="s">
        <v>1417</v>
      </c>
      <c r="AA1050" s="256" t="s">
        <v>1417</v>
      </c>
      <c r="AB1050" s="256">
        <v>0.13597894166301894</v>
      </c>
      <c r="AC1050" s="260">
        <v>-1.1814728863686514</v>
      </c>
      <c r="AD1050" s="405">
        <v>40933928000143</v>
      </c>
      <c r="AE1050" s="257" t="s">
        <v>2249</v>
      </c>
      <c r="AF1050" s="257" t="s">
        <v>2112</v>
      </c>
      <c r="AG1050" s="261" t="s">
        <v>59</v>
      </c>
      <c r="AH1050" s="261" t="s">
        <v>2110</v>
      </c>
      <c r="AI1050" s="261">
        <v>5000</v>
      </c>
      <c r="AJ1050" s="261">
        <v>1000</v>
      </c>
      <c r="AK1050" s="261">
        <v>1000</v>
      </c>
      <c r="AL1050" s="256">
        <v>0.02</v>
      </c>
      <c r="AM1050" s="256">
        <v>0.2</v>
      </c>
      <c r="AN1050" s="256" t="s">
        <v>2122</v>
      </c>
      <c r="AO1050" s="254" t="s">
        <v>1324</v>
      </c>
      <c r="AP1050" s="257" t="s">
        <v>716</v>
      </c>
      <c r="AQ1050" s="263" t="s">
        <v>659</v>
      </c>
      <c r="AR1050" s="256">
        <v>5.3340000000000002E-3</v>
      </c>
      <c r="AS1050" s="256">
        <v>5.3340000000000002E-3</v>
      </c>
      <c r="AT1050" s="256"/>
      <c r="AX1050" s="508"/>
      <c r="AY1050" s="509"/>
      <c r="AZ1050" s="509"/>
      <c r="BA1050" s="509"/>
      <c r="BB1050" s="510"/>
      <c r="BC1050" s="509"/>
      <c r="BD1050" s="509"/>
      <c r="BE1050" s="509"/>
      <c r="BF1050" s="509"/>
      <c r="BG1050" s="510"/>
      <c r="BH1050" s="510"/>
      <c r="BI1050" s="511"/>
      <c r="BJ1050" s="511"/>
      <c r="BK1050" s="511"/>
      <c r="BL1050" s="510"/>
      <c r="BM1050" s="510"/>
      <c r="BN1050" s="510"/>
      <c r="BO1050" s="510"/>
      <c r="BP1050" s="510"/>
      <c r="BQ1050" s="510"/>
      <c r="BR1050" s="510"/>
      <c r="BS1050" s="510"/>
      <c r="BT1050" s="513"/>
      <c r="BU1050" s="514"/>
      <c r="BV1050" s="512"/>
      <c r="BW1050" s="515"/>
    </row>
    <row r="1051" spans="2:75" ht="15.75" customHeight="1">
      <c r="B1051" s="250" t="s">
        <v>556</v>
      </c>
      <c r="C1051" s="251">
        <v>18832871000137</v>
      </c>
      <c r="D1051" s="252" t="s">
        <v>14</v>
      </c>
      <c r="E1051" s="252" t="s">
        <v>607</v>
      </c>
      <c r="F1051" s="252"/>
      <c r="G1051" s="253"/>
      <c r="H1051" s="253" t="s">
        <v>34</v>
      </c>
      <c r="I1051" s="253" t="s">
        <v>34</v>
      </c>
      <c r="J1051" s="253" t="s">
        <v>608</v>
      </c>
      <c r="K1051" s="254" t="s">
        <v>48</v>
      </c>
      <c r="L1051" s="255"/>
      <c r="M1051" s="255" t="s">
        <v>34</v>
      </c>
      <c r="N1051" s="254">
        <v>349232</v>
      </c>
      <c r="O1051" s="254" t="s">
        <v>1321</v>
      </c>
      <c r="P1051" s="258">
        <v>41551</v>
      </c>
      <c r="Q1051" s="259">
        <v>13343595.279999999</v>
      </c>
      <c r="R1051" s="259">
        <v>12474840.599246033</v>
      </c>
      <c r="S1051" s="254">
        <v>32</v>
      </c>
      <c r="T1051" s="256">
        <v>0.1128758834949759</v>
      </c>
      <c r="U1051" s="256">
        <v>1.4591685772089102</v>
      </c>
      <c r="V1051" s="256">
        <v>-6.2589373130477521E-2</v>
      </c>
      <c r="W1051" s="256">
        <v>-0.61358513897458544</v>
      </c>
      <c r="X1051" s="256">
        <v>7.105987175122741E-2</v>
      </c>
      <c r="Y1051" s="256">
        <v>0.53885991626493557</v>
      </c>
      <c r="Z1051" s="256">
        <v>0.17050161128341745</v>
      </c>
      <c r="AA1051" s="256">
        <v>0.96918643315604747</v>
      </c>
      <c r="AB1051" s="256">
        <v>0.19061734329672403</v>
      </c>
      <c r="AC1051" s="260">
        <v>-0.75349618776146554</v>
      </c>
      <c r="AD1051" s="405">
        <v>41569841000100</v>
      </c>
      <c r="AE1051" s="257" t="s">
        <v>2249</v>
      </c>
      <c r="AF1051" s="257" t="s">
        <v>2112</v>
      </c>
      <c r="AG1051" s="261" t="s">
        <v>59</v>
      </c>
      <c r="AH1051" s="261" t="s">
        <v>2110</v>
      </c>
      <c r="AI1051" s="261">
        <v>5000</v>
      </c>
      <c r="AJ1051" s="261">
        <v>1000</v>
      </c>
      <c r="AK1051" s="261">
        <v>1000</v>
      </c>
      <c r="AL1051" s="256">
        <v>0.03</v>
      </c>
      <c r="AM1051" s="256" t="s">
        <v>34</v>
      </c>
      <c r="AN1051" s="256" t="s">
        <v>666</v>
      </c>
      <c r="AO1051" s="254" t="s">
        <v>1324</v>
      </c>
      <c r="AP1051" s="257" t="s">
        <v>716</v>
      </c>
      <c r="AQ1051" s="263" t="s">
        <v>659</v>
      </c>
      <c r="AR1051" s="256">
        <v>8.0009999999999994E-3</v>
      </c>
      <c r="AS1051" s="256">
        <v>8.0009999999999994E-3</v>
      </c>
      <c r="AT1051" s="256"/>
      <c r="AW1051" s="508"/>
      <c r="AX1051" s="508"/>
      <c r="AY1051" s="509"/>
      <c r="AZ1051" s="509"/>
      <c r="BA1051" s="509"/>
      <c r="BB1051" s="510"/>
      <c r="BC1051" s="509"/>
      <c r="BD1051" s="509"/>
      <c r="BE1051" s="509"/>
      <c r="BF1051" s="509"/>
      <c r="BG1051" s="510"/>
      <c r="BH1051" s="510"/>
      <c r="BI1051" s="511"/>
      <c r="BJ1051" s="511"/>
      <c r="BK1051" s="511"/>
      <c r="BL1051" s="195"/>
      <c r="BM1051" s="510"/>
      <c r="BN1051" s="510"/>
      <c r="BO1051" s="510"/>
      <c r="BP1051" s="510"/>
      <c r="BQ1051" s="510"/>
      <c r="BR1051" s="510"/>
      <c r="BS1051" s="510"/>
      <c r="BT1051" s="513"/>
      <c r="BU1051" s="514"/>
      <c r="BV1051" s="512"/>
      <c r="BW1051" s="515"/>
    </row>
    <row r="1052" spans="2:75" ht="15.75" customHeight="1">
      <c r="B1052" s="250" t="s">
        <v>951</v>
      </c>
      <c r="C1052" s="251">
        <v>30995018000131</v>
      </c>
      <c r="D1052" s="252" t="s">
        <v>14</v>
      </c>
      <c r="E1052" s="252" t="s">
        <v>614</v>
      </c>
      <c r="F1052" s="252"/>
      <c r="G1052" s="253"/>
      <c r="H1052" s="253" t="s">
        <v>865</v>
      </c>
      <c r="I1052" s="253" t="s">
        <v>34</v>
      </c>
      <c r="J1052" s="253" t="s">
        <v>608</v>
      </c>
      <c r="K1052" s="254" t="s">
        <v>48</v>
      </c>
      <c r="L1052" s="255"/>
      <c r="M1052" s="255" t="s">
        <v>34</v>
      </c>
      <c r="N1052" s="254">
        <v>483788</v>
      </c>
      <c r="O1052" s="254" t="s">
        <v>1321</v>
      </c>
      <c r="P1052" s="258">
        <v>43460</v>
      </c>
      <c r="Q1052" s="259">
        <v>32169636.949999999</v>
      </c>
      <c r="R1052" s="259">
        <v>31099717.561071422</v>
      </c>
      <c r="S1052" s="254">
        <v>32</v>
      </c>
      <c r="T1052" s="256">
        <v>9.2948877465464763E-2</v>
      </c>
      <c r="U1052" s="256">
        <v>1.2015682808851225</v>
      </c>
      <c r="V1052" s="256">
        <v>8.0717337526796662E-3</v>
      </c>
      <c r="W1052" s="256">
        <v>7.9129980517285592E-2</v>
      </c>
      <c r="X1052" s="256">
        <v>-2.0136386603911149E-2</v>
      </c>
      <c r="Y1052" s="256">
        <v>-0.15269787760452169</v>
      </c>
      <c r="Z1052" s="256">
        <v>0.18259386502286401</v>
      </c>
      <c r="AA1052" s="256">
        <v>1.0379227235777904</v>
      </c>
      <c r="AB1052" s="256">
        <v>0.17818467585656081</v>
      </c>
      <c r="AC1052" s="260">
        <v>-0.41098387320134078</v>
      </c>
      <c r="AD1052" s="405">
        <v>30994978000187</v>
      </c>
      <c r="AE1052" s="257" t="s">
        <v>2252</v>
      </c>
      <c r="AF1052" s="257" t="s">
        <v>2112</v>
      </c>
      <c r="AG1052" s="261" t="s">
        <v>59</v>
      </c>
      <c r="AH1052" s="261" t="s">
        <v>2110</v>
      </c>
      <c r="AI1052" s="261">
        <v>500</v>
      </c>
      <c r="AJ1052" s="261">
        <v>100</v>
      </c>
      <c r="AK1052" s="261">
        <v>500</v>
      </c>
      <c r="AL1052" s="256">
        <v>1.89E-2</v>
      </c>
      <c r="AM1052" s="256">
        <v>0.2</v>
      </c>
      <c r="AN1052" s="256" t="s">
        <v>64</v>
      </c>
      <c r="AO1052" s="254" t="s">
        <v>1324</v>
      </c>
      <c r="AP1052" s="257" t="s">
        <v>716</v>
      </c>
      <c r="AQ1052" s="263" t="s">
        <v>659</v>
      </c>
      <c r="AR1052" s="256">
        <v>4.725E-3</v>
      </c>
      <c r="AS1052" s="256">
        <v>4.725E-3</v>
      </c>
      <c r="AT1052" s="256"/>
      <c r="AW1052" s="508"/>
      <c r="AX1052" s="508"/>
      <c r="AY1052" s="509"/>
      <c r="AZ1052" s="509"/>
      <c r="BA1052" s="509"/>
      <c r="BB1052" s="510"/>
      <c r="BC1052" s="509"/>
      <c r="BD1052" s="509"/>
      <c r="BE1052" s="509"/>
      <c r="BF1052" s="509"/>
      <c r="BG1052" s="510"/>
      <c r="BH1052" s="510"/>
      <c r="BI1052" s="511"/>
      <c r="BJ1052" s="511"/>
      <c r="BK1052" s="511"/>
      <c r="BL1052" s="195"/>
      <c r="BM1052" s="510"/>
      <c r="BN1052" s="510"/>
      <c r="BO1052" s="510"/>
      <c r="BP1052" s="510"/>
      <c r="BQ1052" s="510"/>
      <c r="BR1052" s="510"/>
      <c r="BS1052" s="510"/>
      <c r="BT1052" s="513"/>
      <c r="BU1052" s="514"/>
      <c r="BV1052" s="512"/>
      <c r="BW1052" s="515"/>
    </row>
    <row r="1053" spans="2:75" ht="15.75" customHeight="1">
      <c r="B1053" s="250" t="s">
        <v>213</v>
      </c>
      <c r="C1053" s="251">
        <v>41673124000115</v>
      </c>
      <c r="D1053" s="252" t="s">
        <v>14</v>
      </c>
      <c r="E1053" s="252" t="s">
        <v>607</v>
      </c>
      <c r="F1053" s="252"/>
      <c r="G1053" s="253"/>
      <c r="H1053" s="253" t="s">
        <v>34</v>
      </c>
      <c r="I1053" s="253" t="s">
        <v>34</v>
      </c>
      <c r="J1053" s="253" t="s">
        <v>608</v>
      </c>
      <c r="K1053" s="254" t="s">
        <v>48</v>
      </c>
      <c r="L1053" s="255"/>
      <c r="M1053" s="255" t="s">
        <v>34</v>
      </c>
      <c r="N1053" s="254">
        <v>592366</v>
      </c>
      <c r="O1053" s="254" t="s">
        <v>1321</v>
      </c>
      <c r="P1053" s="258">
        <v>44337</v>
      </c>
      <c r="Q1053" s="259">
        <v>8954229.8100000005</v>
      </c>
      <c r="R1053" s="259">
        <v>8583705.5467063449</v>
      </c>
      <c r="S1053" s="254">
        <v>32</v>
      </c>
      <c r="T1053" s="256">
        <v>1.9169304851962554E-2</v>
      </c>
      <c r="U1053" s="256">
        <v>0.2478053453124649</v>
      </c>
      <c r="V1053" s="256">
        <v>-0.14274185354850211</v>
      </c>
      <c r="W1053" s="256">
        <v>-1.3993474557488248</v>
      </c>
      <c r="X1053" s="256" t="s">
        <v>1417</v>
      </c>
      <c r="Y1053" s="256" t="s">
        <v>1417</v>
      </c>
      <c r="Z1053" s="256" t="s">
        <v>1417</v>
      </c>
      <c r="AA1053" s="256" t="s">
        <v>1417</v>
      </c>
      <c r="AB1053" s="256">
        <v>0.24498321883218285</v>
      </c>
      <c r="AC1053" s="260">
        <v>-0.90267575341608552</v>
      </c>
      <c r="AD1053" s="405">
        <v>0</v>
      </c>
      <c r="AE1053" s="257" t="s">
        <v>2260</v>
      </c>
      <c r="AF1053" s="257" t="s">
        <v>2109</v>
      </c>
      <c r="AG1053" s="261" t="s">
        <v>1432</v>
      </c>
      <c r="AH1053" s="261" t="s">
        <v>2110</v>
      </c>
      <c r="AI1053" s="261">
        <v>100000</v>
      </c>
      <c r="AJ1053" s="261">
        <v>250</v>
      </c>
      <c r="AK1053" s="261">
        <v>100000</v>
      </c>
      <c r="AL1053" s="256">
        <v>0.02</v>
      </c>
      <c r="AM1053" s="256">
        <v>0.2</v>
      </c>
      <c r="AN1053" s="256" t="s">
        <v>34</v>
      </c>
      <c r="AO1053" s="254" t="s">
        <v>1324</v>
      </c>
      <c r="AP1053" s="257" t="s">
        <v>716</v>
      </c>
      <c r="AQ1053" s="263" t="s">
        <v>659</v>
      </c>
      <c r="AR1053" s="256">
        <v>5.3333333333333332E-3</v>
      </c>
      <c r="AS1053" s="256">
        <v>5.3333333333333332E-3</v>
      </c>
      <c r="AT1053" s="256"/>
      <c r="AX1053" s="508"/>
      <c r="AY1053" s="509"/>
      <c r="AZ1053" s="509"/>
      <c r="BA1053" s="509"/>
      <c r="BB1053" s="510"/>
      <c r="BC1053" s="509"/>
      <c r="BD1053" s="509"/>
      <c r="BE1053" s="509"/>
      <c r="BF1053" s="509"/>
      <c r="BG1053" s="510"/>
      <c r="BH1053" s="510"/>
      <c r="BI1053" s="511"/>
      <c r="BJ1053" s="511"/>
      <c r="BK1053" s="511"/>
      <c r="BL1053" s="510"/>
      <c r="BM1053" s="510"/>
      <c r="BN1053" s="510"/>
      <c r="BO1053" s="510"/>
      <c r="BP1053" s="510"/>
      <c r="BQ1053" s="510"/>
      <c r="BR1053" s="510"/>
      <c r="BS1053" s="510"/>
      <c r="BT1053" s="513"/>
      <c r="BU1053" s="514"/>
      <c r="BV1053" s="512"/>
      <c r="BW1053" s="515"/>
    </row>
    <row r="1054" spans="2:75" ht="15.75" customHeight="1">
      <c r="B1054" s="250" t="s">
        <v>566</v>
      </c>
      <c r="C1054" s="251">
        <v>37495438000106</v>
      </c>
      <c r="D1054" s="252" t="s">
        <v>14</v>
      </c>
      <c r="E1054" s="252" t="s">
        <v>614</v>
      </c>
      <c r="F1054" s="252"/>
      <c r="G1054" s="253"/>
      <c r="H1054" s="253" t="s">
        <v>1338</v>
      </c>
      <c r="I1054" s="253" t="s">
        <v>34</v>
      </c>
      <c r="J1054" s="253" t="s">
        <v>608</v>
      </c>
      <c r="K1054" s="254" t="s">
        <v>48</v>
      </c>
      <c r="L1054" s="255"/>
      <c r="M1054" s="255" t="s">
        <v>34</v>
      </c>
      <c r="N1054" s="254">
        <v>579459</v>
      </c>
      <c r="O1054" s="254" t="s">
        <v>1321</v>
      </c>
      <c r="P1054" s="258">
        <v>44260</v>
      </c>
      <c r="Q1054" s="259">
        <v>130773702.94</v>
      </c>
      <c r="R1054" s="259">
        <v>97612334.087658703</v>
      </c>
      <c r="S1054" s="254">
        <v>32</v>
      </c>
      <c r="T1054" s="256">
        <v>8.6994280073156238E-2</v>
      </c>
      <c r="U1054" s="256">
        <v>1.1245920381682852</v>
      </c>
      <c r="V1054" s="256">
        <v>-3.6528979402226658E-2</v>
      </c>
      <c r="W1054" s="256">
        <v>-0.35810614137946722</v>
      </c>
      <c r="X1054" s="256" t="s">
        <v>1417</v>
      </c>
      <c r="Y1054" s="256" t="s">
        <v>1417</v>
      </c>
      <c r="Z1054" s="256" t="s">
        <v>1417</v>
      </c>
      <c r="AA1054" s="256" t="s">
        <v>1417</v>
      </c>
      <c r="AB1054" s="256">
        <v>0.1955944687709367</v>
      </c>
      <c r="AC1054" s="260">
        <v>-0.58926299254662251</v>
      </c>
      <c r="AD1054" s="405">
        <v>37495407000147</v>
      </c>
      <c r="AE1054" s="257" t="s">
        <v>2262</v>
      </c>
      <c r="AF1054" s="257" t="s">
        <v>736</v>
      </c>
      <c r="AG1054" s="261" t="s">
        <v>736</v>
      </c>
      <c r="AH1054" s="261" t="s">
        <v>2110</v>
      </c>
      <c r="AI1054" s="261">
        <v>1000</v>
      </c>
      <c r="AJ1054" s="261">
        <v>1000</v>
      </c>
      <c r="AK1054" s="261">
        <v>1000</v>
      </c>
      <c r="AL1054" s="256">
        <v>1.9E-2</v>
      </c>
      <c r="AM1054" s="256">
        <v>0.2</v>
      </c>
      <c r="AN1054" s="256" t="s">
        <v>2141</v>
      </c>
      <c r="AO1054" s="254" t="s">
        <v>1324</v>
      </c>
      <c r="AP1054" s="257" t="s">
        <v>13</v>
      </c>
      <c r="AQ1054" s="263" t="s">
        <v>668</v>
      </c>
      <c r="AR1054" s="256">
        <v>5.0672999999999994E-3</v>
      </c>
      <c r="AS1054" s="256">
        <v>5.0672999999999994E-3</v>
      </c>
      <c r="AT1054" s="256"/>
      <c r="AX1054" s="508"/>
      <c r="AY1054" s="509"/>
      <c r="AZ1054" s="509"/>
      <c r="BA1054" s="509"/>
      <c r="BB1054" s="510"/>
      <c r="BC1054" s="509"/>
      <c r="BD1054" s="509"/>
      <c r="BE1054" s="509"/>
      <c r="BF1054" s="509"/>
      <c r="BG1054" s="510"/>
      <c r="BH1054" s="510"/>
      <c r="BI1054" s="511"/>
      <c r="BJ1054" s="511"/>
      <c r="BK1054" s="511"/>
      <c r="BL1054" s="510"/>
      <c r="BM1054" s="510"/>
      <c r="BN1054" s="510"/>
      <c r="BO1054" s="510"/>
      <c r="BP1054" s="510"/>
      <c r="BQ1054" s="510"/>
      <c r="BR1054" s="510"/>
      <c r="BS1054" s="510"/>
      <c r="BT1054" s="513"/>
      <c r="BU1054" s="514"/>
      <c r="BV1054" s="512"/>
      <c r="BW1054" s="515"/>
    </row>
    <row r="1055" spans="2:75" ht="15.75" customHeight="1">
      <c r="B1055" s="250" t="s">
        <v>218</v>
      </c>
      <c r="C1055" s="251">
        <v>8156502000118</v>
      </c>
      <c r="D1055" s="252" t="s">
        <v>14</v>
      </c>
      <c r="E1055" s="252" t="s">
        <v>607</v>
      </c>
      <c r="F1055" s="252"/>
      <c r="G1055" s="253"/>
      <c r="H1055" s="253" t="s">
        <v>34</v>
      </c>
      <c r="I1055" s="253" t="s">
        <v>34</v>
      </c>
      <c r="J1055" s="253" t="s">
        <v>608</v>
      </c>
      <c r="K1055" s="254" t="s">
        <v>48</v>
      </c>
      <c r="L1055" s="255"/>
      <c r="M1055" s="255" t="s">
        <v>34</v>
      </c>
      <c r="N1055" s="254">
        <v>176400</v>
      </c>
      <c r="O1055" s="254" t="s">
        <v>1321</v>
      </c>
      <c r="P1055" s="258">
        <v>39084</v>
      </c>
      <c r="Q1055" s="259">
        <v>84267277.049999997</v>
      </c>
      <c r="R1055" s="259">
        <v>73235947.078730255</v>
      </c>
      <c r="S1055" s="254">
        <v>32</v>
      </c>
      <c r="T1055" s="256">
        <v>0.10492297621132907</v>
      </c>
      <c r="U1055" s="256">
        <v>1.3563597924938844</v>
      </c>
      <c r="V1055" s="256">
        <v>9.3859639240105652E-2</v>
      </c>
      <c r="W1055" s="256">
        <v>0.92013830634135463</v>
      </c>
      <c r="X1055" s="256">
        <v>0.43837738827714268</v>
      </c>
      <c r="Y1055" s="256">
        <v>3.3242953711829908</v>
      </c>
      <c r="Z1055" s="256">
        <v>0.88240362766695468</v>
      </c>
      <c r="AA1055" s="256">
        <v>5.0158682845577811</v>
      </c>
      <c r="AB1055" s="256">
        <v>0.24873571766759375</v>
      </c>
      <c r="AC1055" s="260">
        <v>9.4208459305920089E-2</v>
      </c>
      <c r="AD1055" s="405">
        <v>12987189000137</v>
      </c>
      <c r="AE1055" s="257" t="s">
        <v>2265</v>
      </c>
      <c r="AF1055" s="257" t="s">
        <v>2109</v>
      </c>
      <c r="AG1055" s="261" t="s">
        <v>1432</v>
      </c>
      <c r="AH1055" s="261" t="s">
        <v>2110</v>
      </c>
      <c r="AI1055" s="261">
        <v>5000</v>
      </c>
      <c r="AJ1055" s="261">
        <v>1000</v>
      </c>
      <c r="AK1055" s="261">
        <v>1000</v>
      </c>
      <c r="AL1055" s="256">
        <v>1.9E-2</v>
      </c>
      <c r="AM1055" s="256">
        <v>0.2</v>
      </c>
      <c r="AN1055" s="256" t="s">
        <v>64</v>
      </c>
      <c r="AO1055" s="254" t="s">
        <v>1324</v>
      </c>
      <c r="AP1055" s="257" t="s">
        <v>716</v>
      </c>
      <c r="AQ1055" s="263" t="s">
        <v>659</v>
      </c>
      <c r="AR1055" s="256">
        <v>4.4333333333333325E-3</v>
      </c>
      <c r="AS1055" s="256">
        <v>4.4333333333333325E-3</v>
      </c>
      <c r="AT1055" s="256"/>
      <c r="AX1055" s="508"/>
      <c r="AY1055" s="509"/>
      <c r="AZ1055" s="509"/>
      <c r="BA1055" s="509"/>
      <c r="BB1055" s="510"/>
      <c r="BC1055" s="509"/>
      <c r="BD1055" s="509"/>
      <c r="BE1055" s="509"/>
      <c r="BF1055" s="509"/>
      <c r="BG1055" s="510"/>
      <c r="BH1055" s="510"/>
      <c r="BI1055" s="511"/>
      <c r="BJ1055" s="511"/>
      <c r="BK1055" s="511"/>
      <c r="BL1055" s="510"/>
      <c r="BM1055" s="510"/>
      <c r="BN1055" s="510"/>
      <c r="BO1055" s="510"/>
      <c r="BP1055" s="510"/>
      <c r="BQ1055" s="510"/>
      <c r="BR1055" s="510"/>
      <c r="BS1055" s="510"/>
      <c r="BT1055" s="513"/>
      <c r="BU1055" s="514"/>
      <c r="BV1055" s="512"/>
      <c r="BW1055" s="515"/>
    </row>
    <row r="1056" spans="2:75" ht="15.75" customHeight="1">
      <c r="B1056" s="250" t="s">
        <v>226</v>
      </c>
      <c r="C1056" s="251">
        <v>37069950000182</v>
      </c>
      <c r="D1056" s="252" t="s">
        <v>14</v>
      </c>
      <c r="E1056" s="252" t="s">
        <v>607</v>
      </c>
      <c r="F1056" s="252"/>
      <c r="G1056" s="253"/>
      <c r="H1056" s="253" t="s">
        <v>34</v>
      </c>
      <c r="I1056" s="253" t="s">
        <v>34</v>
      </c>
      <c r="J1056" s="253" t="s">
        <v>608</v>
      </c>
      <c r="K1056" s="254" t="s">
        <v>48</v>
      </c>
      <c r="L1056" s="255"/>
      <c r="M1056" s="255" t="s">
        <v>1414</v>
      </c>
      <c r="N1056" s="254">
        <v>545661</v>
      </c>
      <c r="O1056" s="254" t="s">
        <v>1321</v>
      </c>
      <c r="P1056" s="258">
        <v>44046</v>
      </c>
      <c r="Q1056" s="259">
        <v>1450139.48</v>
      </c>
      <c r="R1056" s="259">
        <v>1452597.9788095229</v>
      </c>
      <c r="S1056" s="254">
        <v>32</v>
      </c>
      <c r="T1056" s="256">
        <v>-4.0105910200296413E-2</v>
      </c>
      <c r="U1056" s="256">
        <v>-0.51845692908565022</v>
      </c>
      <c r="V1056" s="256">
        <v>-0.17255444796656227</v>
      </c>
      <c r="W1056" s="256">
        <v>-1.6916105664699472</v>
      </c>
      <c r="X1056" s="256">
        <v>-8.304329350030859E-2</v>
      </c>
      <c r="Y1056" s="256">
        <v>-0.62973238030320278</v>
      </c>
      <c r="Z1056" s="256" t="s">
        <v>1417</v>
      </c>
      <c r="AA1056" s="256" t="s">
        <v>1417</v>
      </c>
      <c r="AB1056" s="256">
        <v>0.20534918846612848</v>
      </c>
      <c r="AC1056" s="260">
        <v>-1.2928035334096726</v>
      </c>
      <c r="AD1056" s="405">
        <v>0</v>
      </c>
      <c r="AE1056" s="257" t="s">
        <v>2264</v>
      </c>
      <c r="AF1056" s="257" t="s">
        <v>2118</v>
      </c>
      <c r="AG1056" s="261" t="s">
        <v>1433</v>
      </c>
      <c r="AH1056" s="261" t="s">
        <v>2113</v>
      </c>
      <c r="AI1056" s="261">
        <v>5000</v>
      </c>
      <c r="AJ1056" s="261">
        <v>1000</v>
      </c>
      <c r="AK1056" s="261">
        <v>5000</v>
      </c>
      <c r="AL1056" s="256">
        <v>1.4999999999999999E-2</v>
      </c>
      <c r="AM1056" s="256">
        <v>0.2</v>
      </c>
      <c r="AN1056" s="256" t="s">
        <v>2127</v>
      </c>
      <c r="AO1056" s="254" t="s">
        <v>1324</v>
      </c>
      <c r="AP1056" s="257" t="s">
        <v>13</v>
      </c>
      <c r="AQ1056" s="263" t="s">
        <v>674</v>
      </c>
      <c r="AR1056" s="256">
        <v>2.9999999999999996E-3</v>
      </c>
      <c r="AS1056" s="256">
        <v>2.9999999999999996E-3</v>
      </c>
      <c r="AT1056" s="256"/>
      <c r="AX1056" s="508"/>
      <c r="AY1056" s="509"/>
      <c r="AZ1056" s="509"/>
      <c r="BA1056" s="509"/>
      <c r="BB1056" s="510"/>
      <c r="BC1056" s="509"/>
      <c r="BD1056" s="509"/>
      <c r="BE1056" s="509"/>
      <c r="BF1056" s="509"/>
      <c r="BG1056" s="510"/>
      <c r="BH1056" s="510"/>
      <c r="BI1056" s="511"/>
      <c r="BJ1056" s="511"/>
      <c r="BK1056" s="511"/>
      <c r="BL1056" s="510"/>
      <c r="BM1056" s="510"/>
      <c r="BN1056" s="510"/>
      <c r="BO1056" s="510"/>
      <c r="BP1056" s="510"/>
      <c r="BQ1056" s="510"/>
      <c r="BR1056" s="510"/>
      <c r="BS1056" s="510"/>
      <c r="BT1056" s="513"/>
      <c r="BU1056" s="514"/>
      <c r="BV1056" s="512"/>
      <c r="BW1056" s="515"/>
    </row>
    <row r="1057" spans="2:75" ht="15.75" customHeight="1">
      <c r="B1057" s="250" t="s">
        <v>228</v>
      </c>
      <c r="C1057" s="251">
        <v>26243348000101</v>
      </c>
      <c r="D1057" s="252" t="s">
        <v>14</v>
      </c>
      <c r="E1057" s="252" t="s">
        <v>607</v>
      </c>
      <c r="F1057" s="252"/>
      <c r="G1057" s="253"/>
      <c r="H1057" s="253" t="s">
        <v>34</v>
      </c>
      <c r="I1057" s="253" t="s">
        <v>34</v>
      </c>
      <c r="J1057" s="253" t="s">
        <v>608</v>
      </c>
      <c r="K1057" s="254" t="s">
        <v>48</v>
      </c>
      <c r="L1057" s="255"/>
      <c r="M1057" s="255" t="s">
        <v>34</v>
      </c>
      <c r="N1057" s="254">
        <v>432814</v>
      </c>
      <c r="O1057" s="254" t="s">
        <v>1321</v>
      </c>
      <c r="P1057" s="258">
        <v>42754</v>
      </c>
      <c r="Q1057" s="259">
        <v>136698094.31</v>
      </c>
      <c r="R1057" s="259">
        <v>70369151.532103211</v>
      </c>
      <c r="S1057" s="254">
        <v>32</v>
      </c>
      <c r="T1057" s="256">
        <v>0.15839559621264754</v>
      </c>
      <c r="U1057" s="256">
        <v>2.0476107881100516</v>
      </c>
      <c r="V1057" s="256">
        <v>4.9391072690208038E-3</v>
      </c>
      <c r="W1057" s="256">
        <v>4.8419766303695419E-2</v>
      </c>
      <c r="X1057" s="256">
        <v>0.14034325206530318</v>
      </c>
      <c r="Y1057" s="256">
        <v>1.0642483752435388</v>
      </c>
      <c r="Z1057" s="256">
        <v>0.22925957968549193</v>
      </c>
      <c r="AA1057" s="256">
        <v>1.3031857741971187</v>
      </c>
      <c r="AB1057" s="256">
        <v>0.20634978018392336</v>
      </c>
      <c r="AC1057" s="260">
        <v>-0.34390493187669874</v>
      </c>
      <c r="AD1057" s="405">
        <v>13396819000161</v>
      </c>
      <c r="AE1057" s="257" t="s">
        <v>2274</v>
      </c>
      <c r="AF1057" s="257" t="s">
        <v>2115</v>
      </c>
      <c r="AG1057" s="261" t="s">
        <v>719</v>
      </c>
      <c r="AH1057" s="261" t="s">
        <v>2113</v>
      </c>
      <c r="AI1057" s="261">
        <v>20000</v>
      </c>
      <c r="AJ1057" s="261">
        <v>10000</v>
      </c>
      <c r="AK1057" s="261">
        <v>20000</v>
      </c>
      <c r="AL1057" s="256">
        <v>1.9574999999999999E-2</v>
      </c>
      <c r="AM1057" s="256">
        <v>0.2</v>
      </c>
      <c r="AN1057" s="256" t="s">
        <v>2160</v>
      </c>
      <c r="AO1057" s="254" t="s">
        <v>1324</v>
      </c>
      <c r="AP1057" s="257" t="s">
        <v>716</v>
      </c>
      <c r="AQ1057" s="263" t="s">
        <v>659</v>
      </c>
      <c r="AR1057" s="256">
        <v>4.8937499999999997E-3</v>
      </c>
      <c r="AS1057" s="256">
        <v>4.8937499999999997E-3</v>
      </c>
      <c r="AT1057" s="256"/>
      <c r="AX1057" s="508"/>
      <c r="AY1057" s="509"/>
      <c r="AZ1057" s="509"/>
      <c r="BA1057" s="509"/>
      <c r="BB1057" s="510"/>
      <c r="BC1057" s="509"/>
      <c r="BD1057" s="509"/>
      <c r="BE1057" s="509"/>
      <c r="BF1057" s="509"/>
      <c r="BG1057" s="510"/>
      <c r="BH1057" s="510"/>
      <c r="BI1057" s="511"/>
      <c r="BJ1057" s="511"/>
      <c r="BK1057" s="511"/>
      <c r="BL1057" s="510"/>
      <c r="BM1057" s="510"/>
      <c r="BN1057" s="510"/>
      <c r="BO1057" s="510"/>
      <c r="BP1057" s="510"/>
      <c r="BQ1057" s="510"/>
      <c r="BR1057" s="510"/>
      <c r="BS1057" s="510"/>
      <c r="BT1057" s="513"/>
      <c r="BU1057" s="514"/>
      <c r="BV1057" s="512"/>
      <c r="BW1057" s="515"/>
    </row>
    <row r="1058" spans="2:75" ht="15.75" customHeight="1">
      <c r="B1058" s="250" t="s">
        <v>231</v>
      </c>
      <c r="C1058" s="251">
        <v>17554200000199</v>
      </c>
      <c r="D1058" s="252" t="s">
        <v>14</v>
      </c>
      <c r="E1058" s="252" t="s">
        <v>614</v>
      </c>
      <c r="F1058" s="252"/>
      <c r="G1058" s="253"/>
      <c r="H1058" s="253" t="s">
        <v>865</v>
      </c>
      <c r="I1058" s="253" t="s">
        <v>34</v>
      </c>
      <c r="J1058" s="253" t="s">
        <v>608</v>
      </c>
      <c r="K1058" s="254" t="s">
        <v>48</v>
      </c>
      <c r="L1058" s="255"/>
      <c r="M1058" s="255" t="s">
        <v>34</v>
      </c>
      <c r="N1058" s="254">
        <v>337250</v>
      </c>
      <c r="O1058" s="254" t="s">
        <v>1321</v>
      </c>
      <c r="P1058" s="258">
        <v>41414</v>
      </c>
      <c r="Q1058" s="259">
        <v>193633092.33000001</v>
      </c>
      <c r="R1058" s="259">
        <v>221980518.01424617</v>
      </c>
      <c r="S1058" s="254">
        <v>32</v>
      </c>
      <c r="T1058" s="256">
        <v>0.16211841339280064</v>
      </c>
      <c r="U1058" s="256">
        <v>2.0957363724224409</v>
      </c>
      <c r="V1058" s="256">
        <v>7.7932232791253719E-2</v>
      </c>
      <c r="W1058" s="256">
        <v>0.76399646611153604</v>
      </c>
      <c r="X1058" s="256">
        <v>0.2760709709814666</v>
      </c>
      <c r="Y1058" s="256">
        <v>2.0934963241568609</v>
      </c>
      <c r="Z1058" s="256">
        <v>0.35817195358974341</v>
      </c>
      <c r="AA1058" s="256">
        <v>2.0359654993473852</v>
      </c>
      <c r="AB1058" s="256">
        <v>0.17277087458405732</v>
      </c>
      <c r="AC1058" s="260">
        <v>-4.1616961376276462E-2</v>
      </c>
      <c r="AD1058" s="405">
        <v>17554210000124</v>
      </c>
      <c r="AE1058" s="257" t="s">
        <v>2274</v>
      </c>
      <c r="AF1058" s="257" t="s">
        <v>2115</v>
      </c>
      <c r="AG1058" s="261" t="s">
        <v>719</v>
      </c>
      <c r="AH1058" s="261" t="s">
        <v>2113</v>
      </c>
      <c r="AI1058" s="261">
        <v>20000</v>
      </c>
      <c r="AJ1058" s="261">
        <v>10000</v>
      </c>
      <c r="AK1058" s="261">
        <v>30000</v>
      </c>
      <c r="AL1058" s="256">
        <v>1.9574999999999999E-2</v>
      </c>
      <c r="AM1058" s="256">
        <v>0.2</v>
      </c>
      <c r="AN1058" s="256" t="s">
        <v>2122</v>
      </c>
      <c r="AO1058" s="254" t="s">
        <v>1324</v>
      </c>
      <c r="AP1058" s="257" t="s">
        <v>13</v>
      </c>
      <c r="AQ1058" s="263" t="s">
        <v>668</v>
      </c>
      <c r="AR1058" s="256">
        <v>4.8937499999999997E-3</v>
      </c>
      <c r="AS1058" s="256">
        <v>4.8937499999999997E-3</v>
      </c>
      <c r="AT1058" s="256"/>
      <c r="AW1058" s="508"/>
      <c r="AX1058" s="508"/>
      <c r="AY1058" s="509"/>
      <c r="AZ1058" s="509"/>
      <c r="BA1058" s="509"/>
      <c r="BB1058" s="510"/>
      <c r="BC1058" s="509"/>
      <c r="BD1058" s="509"/>
      <c r="BE1058" s="509"/>
      <c r="BF1058" s="509"/>
      <c r="BG1058" s="510"/>
      <c r="BH1058" s="510"/>
      <c r="BI1058" s="511"/>
      <c r="BJ1058" s="511"/>
      <c r="BK1058" s="511"/>
      <c r="BL1058" s="195"/>
      <c r="BM1058" s="510"/>
      <c r="BN1058" s="510"/>
      <c r="BO1058" s="510"/>
      <c r="BP1058" s="510"/>
      <c r="BQ1058" s="510"/>
      <c r="BR1058" s="510"/>
      <c r="BS1058" s="510"/>
      <c r="BT1058" s="513"/>
      <c r="BU1058" s="514"/>
      <c r="BV1058" s="512"/>
      <c r="BW1058" s="515"/>
    </row>
    <row r="1059" spans="2:75" ht="15.75" customHeight="1">
      <c r="B1059" s="250" t="s">
        <v>557</v>
      </c>
      <c r="C1059" s="251">
        <v>35646163000120</v>
      </c>
      <c r="D1059" s="252" t="s">
        <v>14</v>
      </c>
      <c r="E1059" s="252" t="s">
        <v>607</v>
      </c>
      <c r="F1059" s="252"/>
      <c r="G1059" s="253"/>
      <c r="H1059" s="253" t="s">
        <v>34</v>
      </c>
      <c r="I1059" s="253" t="s">
        <v>34</v>
      </c>
      <c r="J1059" s="253" t="s">
        <v>608</v>
      </c>
      <c r="K1059" s="254" t="s">
        <v>48</v>
      </c>
      <c r="L1059" s="255"/>
      <c r="M1059" s="255" t="s">
        <v>34</v>
      </c>
      <c r="N1059" s="254">
        <v>518204</v>
      </c>
      <c r="O1059" s="254" t="s">
        <v>1321</v>
      </c>
      <c r="P1059" s="258">
        <v>43826</v>
      </c>
      <c r="Q1059" s="259">
        <v>7056778.9699999997</v>
      </c>
      <c r="R1059" s="259">
        <v>10986053.775436513</v>
      </c>
      <c r="S1059" s="254">
        <v>32</v>
      </c>
      <c r="T1059" s="256">
        <v>-0.13951400148622994</v>
      </c>
      <c r="U1059" s="256">
        <v>-1.8035247277461623</v>
      </c>
      <c r="V1059" s="256">
        <v>-0.3215962707340142</v>
      </c>
      <c r="W1059" s="256">
        <v>-3.152718785993903</v>
      </c>
      <c r="X1059" s="256">
        <v>-0.29104503801889514</v>
      </c>
      <c r="Y1059" s="256">
        <v>-2.2070473946989337</v>
      </c>
      <c r="Z1059" s="256" t="s">
        <v>1417</v>
      </c>
      <c r="AA1059" s="256" t="s">
        <v>1417</v>
      </c>
      <c r="AB1059" s="256">
        <v>0.29157564633009447</v>
      </c>
      <c r="AC1059" s="260">
        <v>-1.5171690844161985</v>
      </c>
      <c r="AD1059" s="405">
        <v>35646113000143</v>
      </c>
      <c r="AE1059" s="257" t="s">
        <v>2277</v>
      </c>
      <c r="AF1059" s="257" t="s">
        <v>2109</v>
      </c>
      <c r="AG1059" s="261" t="s">
        <v>1432</v>
      </c>
      <c r="AH1059" s="261" t="s">
        <v>2110</v>
      </c>
      <c r="AI1059" s="261">
        <v>5000</v>
      </c>
      <c r="AJ1059" s="261">
        <v>1000</v>
      </c>
      <c r="AK1059" s="261">
        <v>1000</v>
      </c>
      <c r="AL1059" s="256">
        <v>1.34E-2</v>
      </c>
      <c r="AM1059" s="256">
        <v>0.2</v>
      </c>
      <c r="AN1059" s="256" t="s">
        <v>636</v>
      </c>
      <c r="AO1059" s="254" t="s">
        <v>1324</v>
      </c>
      <c r="AP1059" s="257" t="s">
        <v>716</v>
      </c>
      <c r="AQ1059" s="263" t="s">
        <v>659</v>
      </c>
      <c r="AR1059" s="256">
        <v>4.0003466666666664E-3</v>
      </c>
      <c r="AS1059" s="256">
        <v>4.0003466666666664E-3</v>
      </c>
      <c r="AT1059" s="256"/>
      <c r="AX1059" s="508"/>
      <c r="AY1059" s="509"/>
      <c r="AZ1059" s="509"/>
      <c r="BA1059" s="509"/>
      <c r="BB1059" s="510"/>
      <c r="BC1059" s="509"/>
      <c r="BD1059" s="509"/>
      <c r="BE1059" s="509"/>
      <c r="BF1059" s="509"/>
      <c r="BG1059" s="510"/>
      <c r="BH1059" s="510"/>
      <c r="BI1059" s="511"/>
      <c r="BJ1059" s="511"/>
      <c r="BK1059" s="511"/>
      <c r="BL1059" s="510"/>
      <c r="BM1059" s="510"/>
      <c r="BN1059" s="510"/>
      <c r="BO1059" s="510"/>
      <c r="BP1059" s="510"/>
      <c r="BQ1059" s="510"/>
      <c r="BR1059" s="510"/>
      <c r="BS1059" s="510"/>
      <c r="BT1059" s="513"/>
      <c r="BU1059" s="514"/>
      <c r="BV1059" s="512"/>
      <c r="BW1059" s="515"/>
    </row>
    <row r="1060" spans="2:75" ht="15.75" customHeight="1">
      <c r="B1060" s="250" t="s">
        <v>235</v>
      </c>
      <c r="C1060" s="251">
        <v>17335646000122</v>
      </c>
      <c r="D1060" s="252" t="s">
        <v>14</v>
      </c>
      <c r="E1060" s="252" t="s">
        <v>607</v>
      </c>
      <c r="F1060" s="252"/>
      <c r="G1060" s="253"/>
      <c r="H1060" s="253" t="s">
        <v>34</v>
      </c>
      <c r="I1060" s="253" t="s">
        <v>34</v>
      </c>
      <c r="J1060" s="253" t="s">
        <v>608</v>
      </c>
      <c r="K1060" s="254" t="s">
        <v>48</v>
      </c>
      <c r="L1060" s="255"/>
      <c r="M1060" s="255" t="s">
        <v>34</v>
      </c>
      <c r="N1060" s="254">
        <v>325325</v>
      </c>
      <c r="O1060" s="254" t="s">
        <v>1321</v>
      </c>
      <c r="P1060" s="258">
        <v>41271</v>
      </c>
      <c r="Q1060" s="259">
        <v>553693988.28999996</v>
      </c>
      <c r="R1060" s="259">
        <v>863639162.65071452</v>
      </c>
      <c r="S1060" s="254">
        <v>32</v>
      </c>
      <c r="T1060" s="256">
        <v>-0.11714005836567554</v>
      </c>
      <c r="U1060" s="256">
        <v>-1.5142923980499292</v>
      </c>
      <c r="V1060" s="256">
        <v>-0.30205578909539654</v>
      </c>
      <c r="W1060" s="256">
        <v>-2.9611567277373516</v>
      </c>
      <c r="X1060" s="256">
        <v>-0.25591177005701615</v>
      </c>
      <c r="Y1060" s="256">
        <v>-1.9406254414152277</v>
      </c>
      <c r="Z1060" s="256">
        <v>-0.11046252298079373</v>
      </c>
      <c r="AA1060" s="256">
        <v>-0.62790479127621979</v>
      </c>
      <c r="AB1060" s="256">
        <v>0.28954347398099922</v>
      </c>
      <c r="AC1060" s="260">
        <v>-1.431895472424296</v>
      </c>
      <c r="AD1060" s="405">
        <v>17335645000188</v>
      </c>
      <c r="AE1060" s="257" t="s">
        <v>2277</v>
      </c>
      <c r="AF1060" s="257" t="s">
        <v>2109</v>
      </c>
      <c r="AG1060" s="261" t="s">
        <v>1432</v>
      </c>
      <c r="AH1060" s="261" t="s">
        <v>2113</v>
      </c>
      <c r="AI1060" s="261">
        <v>5000</v>
      </c>
      <c r="AJ1060" s="261">
        <v>1000</v>
      </c>
      <c r="AK1060" s="261">
        <v>1000</v>
      </c>
      <c r="AL1060" s="256">
        <v>1.34E-2</v>
      </c>
      <c r="AM1060" s="256">
        <v>0.2</v>
      </c>
      <c r="AN1060" s="256" t="s">
        <v>2160</v>
      </c>
      <c r="AO1060" s="254" t="s">
        <v>1324</v>
      </c>
      <c r="AP1060" s="257" t="s">
        <v>716</v>
      </c>
      <c r="AQ1060" s="263" t="s">
        <v>659</v>
      </c>
      <c r="AR1060" s="256">
        <v>4.6899999999999997E-3</v>
      </c>
      <c r="AS1060" s="256">
        <v>4.6899999999999997E-3</v>
      </c>
      <c r="AT1060" s="256"/>
      <c r="AX1060" s="508"/>
      <c r="AY1060" s="509"/>
      <c r="AZ1060" s="509"/>
      <c r="BA1060" s="509"/>
      <c r="BB1060" s="510"/>
      <c r="BC1060" s="509"/>
      <c r="BD1060" s="509"/>
      <c r="BE1060" s="509"/>
      <c r="BF1060" s="509"/>
      <c r="BG1060" s="510"/>
      <c r="BH1060" s="510"/>
      <c r="BI1060" s="511"/>
      <c r="BJ1060" s="511"/>
      <c r="BK1060" s="511"/>
      <c r="BL1060" s="510"/>
      <c r="BM1060" s="510"/>
      <c r="BN1060" s="510"/>
      <c r="BO1060" s="510"/>
      <c r="BP1060" s="510"/>
      <c r="BQ1060" s="510"/>
      <c r="BR1060" s="510"/>
      <c r="BS1060" s="510"/>
      <c r="BT1060" s="513"/>
      <c r="BU1060" s="514"/>
      <c r="BV1060" s="512"/>
      <c r="BW1060" s="515"/>
    </row>
    <row r="1061" spans="2:75" ht="15.75" customHeight="1">
      <c r="B1061" s="250" t="s">
        <v>1006</v>
      </c>
      <c r="C1061" s="251">
        <v>19628842000110</v>
      </c>
      <c r="D1061" s="252" t="s">
        <v>14</v>
      </c>
      <c r="E1061" s="252" t="s">
        <v>614</v>
      </c>
      <c r="F1061" s="252"/>
      <c r="G1061" s="253"/>
      <c r="H1061" s="253" t="s">
        <v>1338</v>
      </c>
      <c r="I1061" s="253" t="s">
        <v>34</v>
      </c>
      <c r="J1061" s="253" t="s">
        <v>611</v>
      </c>
      <c r="K1061" s="254" t="s">
        <v>48</v>
      </c>
      <c r="L1061" s="255"/>
      <c r="M1061" s="255" t="s">
        <v>34</v>
      </c>
      <c r="N1061" s="254">
        <v>374296</v>
      </c>
      <c r="O1061" s="254" t="s">
        <v>1321</v>
      </c>
      <c r="P1061" s="258">
        <v>41739</v>
      </c>
      <c r="Q1061" s="259">
        <v>163765640.47</v>
      </c>
      <c r="R1061" s="259">
        <v>181108552.00809506</v>
      </c>
      <c r="S1061" s="254">
        <v>32</v>
      </c>
      <c r="T1061" s="256">
        <v>-6.6502767482635394E-2</v>
      </c>
      <c r="U1061" s="256">
        <v>-0.859694255349162</v>
      </c>
      <c r="V1061" s="256">
        <v>-0.18027352355299309</v>
      </c>
      <c r="W1061" s="256">
        <v>-1.7672833177624372</v>
      </c>
      <c r="X1061" s="256">
        <v>-0.14577174702054407</v>
      </c>
      <c r="Y1061" s="256">
        <v>-1.1054136386325093</v>
      </c>
      <c r="Z1061" s="256">
        <v>5.7937695465212435E-2</v>
      </c>
      <c r="AA1061" s="256">
        <v>0.32933664374508925</v>
      </c>
      <c r="AB1061" s="256">
        <v>0.25216649986797479</v>
      </c>
      <c r="AC1061" s="260">
        <v>-1.0475063357566277</v>
      </c>
      <c r="AD1061" s="405">
        <v>19601993000185</v>
      </c>
      <c r="AE1061" s="257" t="s">
        <v>2285</v>
      </c>
      <c r="AF1061" s="257" t="s">
        <v>2118</v>
      </c>
      <c r="AG1061" s="261" t="s">
        <v>1433</v>
      </c>
      <c r="AH1061" s="261" t="s">
        <v>2110</v>
      </c>
      <c r="AI1061" s="261">
        <v>20000</v>
      </c>
      <c r="AJ1061" s="261">
        <v>10000</v>
      </c>
      <c r="AK1061" s="261">
        <v>20000</v>
      </c>
      <c r="AL1061" s="256">
        <v>0.02</v>
      </c>
      <c r="AM1061" s="256">
        <v>0.2</v>
      </c>
      <c r="AN1061" s="256" t="s">
        <v>666</v>
      </c>
      <c r="AO1061" s="254" t="s">
        <v>1324</v>
      </c>
      <c r="AP1061" s="257" t="s">
        <v>716</v>
      </c>
      <c r="AQ1061" s="263" t="s">
        <v>659</v>
      </c>
      <c r="AR1061" s="256">
        <v>5.3333333333333332E-3</v>
      </c>
      <c r="AS1061" s="256">
        <v>5.3333333333333332E-3</v>
      </c>
      <c r="AT1061" s="256"/>
      <c r="AX1061" s="508"/>
      <c r="AY1061" s="509"/>
      <c r="AZ1061" s="509"/>
      <c r="BA1061" s="509"/>
      <c r="BB1061" s="510"/>
      <c r="BC1061" s="509"/>
      <c r="BD1061" s="509"/>
      <c r="BE1061" s="509"/>
      <c r="BF1061" s="509"/>
      <c r="BG1061" s="510"/>
      <c r="BH1061" s="510"/>
      <c r="BI1061" s="511"/>
      <c r="BJ1061" s="511"/>
      <c r="BK1061" s="511"/>
      <c r="BL1061" s="510"/>
      <c r="BM1061" s="510"/>
      <c r="BN1061" s="510"/>
      <c r="BO1061" s="510"/>
      <c r="BP1061" s="510"/>
      <c r="BQ1061" s="510"/>
      <c r="BR1061" s="510"/>
      <c r="BS1061" s="510"/>
      <c r="BT1061" s="513"/>
      <c r="BU1061" s="514"/>
      <c r="BV1061" s="512"/>
      <c r="BW1061" s="515"/>
    </row>
    <row r="1062" spans="2:75" ht="15.75" customHeight="1">
      <c r="B1062" s="250" t="s">
        <v>1011</v>
      </c>
      <c r="C1062" s="251">
        <v>13106980000153</v>
      </c>
      <c r="D1062" s="252" t="s">
        <v>14</v>
      </c>
      <c r="E1062" s="252" t="s">
        <v>607</v>
      </c>
      <c r="F1062" s="252"/>
      <c r="G1062" s="253"/>
      <c r="H1062" s="253" t="s">
        <v>34</v>
      </c>
      <c r="I1062" s="253" t="s">
        <v>34</v>
      </c>
      <c r="J1062" s="253" t="s">
        <v>608</v>
      </c>
      <c r="K1062" s="254" t="s">
        <v>48</v>
      </c>
      <c r="L1062" s="255"/>
      <c r="M1062" s="255" t="s">
        <v>1414</v>
      </c>
      <c r="N1062" s="254">
        <v>271012</v>
      </c>
      <c r="O1062" s="254" t="s">
        <v>1321</v>
      </c>
      <c r="P1062" s="258">
        <v>40633</v>
      </c>
      <c r="Q1062" s="259">
        <v>111106900.06999999</v>
      </c>
      <c r="R1062" s="259">
        <v>133314124.32376979</v>
      </c>
      <c r="S1062" s="254">
        <v>32</v>
      </c>
      <c r="T1062" s="256">
        <v>-1.2605202711515773E-2</v>
      </c>
      <c r="U1062" s="256">
        <v>-0.16294991575247378</v>
      </c>
      <c r="V1062" s="256">
        <v>-0.15638023423583103</v>
      </c>
      <c r="W1062" s="256">
        <v>-1.5330491896194924</v>
      </c>
      <c r="X1062" s="256">
        <v>-3.7577481285791525E-2</v>
      </c>
      <c r="Y1062" s="256">
        <v>-0.28495686693607136</v>
      </c>
      <c r="Z1062" s="256">
        <v>0.1246581502498203</v>
      </c>
      <c r="AA1062" s="256">
        <v>0.70859733872910513</v>
      </c>
      <c r="AB1062" s="256">
        <v>0.23681512695351406</v>
      </c>
      <c r="AC1062" s="260">
        <v>-1.0099009611013892</v>
      </c>
      <c r="AD1062" s="405">
        <v>13136966000100</v>
      </c>
      <c r="AE1062" s="257" t="s">
        <v>2288</v>
      </c>
      <c r="AF1062" s="257" t="s">
        <v>2118</v>
      </c>
      <c r="AG1062" s="261" t="s">
        <v>1433</v>
      </c>
      <c r="AH1062" s="261" t="s">
        <v>2110</v>
      </c>
      <c r="AI1062" s="261">
        <v>100000</v>
      </c>
      <c r="AJ1062" s="261">
        <v>50000</v>
      </c>
      <c r="AK1062" s="261">
        <v>100000</v>
      </c>
      <c r="AL1062" s="256">
        <v>1.8500000000000003E-2</v>
      </c>
      <c r="AM1062" s="256">
        <v>0.2</v>
      </c>
      <c r="AN1062" s="256" t="s">
        <v>2141</v>
      </c>
      <c r="AO1062" s="254" t="s">
        <v>1324</v>
      </c>
      <c r="AP1062" s="257" t="s">
        <v>716</v>
      </c>
      <c r="AQ1062" s="263" t="s">
        <v>659</v>
      </c>
      <c r="AR1062" s="256">
        <v>2.4666666666666665E-3</v>
      </c>
      <c r="AS1062" s="256">
        <v>2.4666666666666665E-3</v>
      </c>
      <c r="AT1062" s="256"/>
      <c r="AX1062" s="508"/>
      <c r="AY1062" s="509"/>
      <c r="AZ1062" s="509"/>
      <c r="BA1062" s="509"/>
      <c r="BB1062" s="510"/>
      <c r="BC1062" s="509"/>
      <c r="BD1062" s="509"/>
      <c r="BE1062" s="509"/>
      <c r="BF1062" s="509"/>
      <c r="BG1062" s="510"/>
      <c r="BH1062" s="510"/>
      <c r="BI1062" s="511"/>
      <c r="BJ1062" s="511"/>
      <c r="BK1062" s="511"/>
      <c r="BL1062" s="510"/>
      <c r="BM1062" s="510"/>
      <c r="BN1062" s="510"/>
      <c r="BO1062" s="510"/>
      <c r="BP1062" s="510"/>
      <c r="BQ1062" s="510"/>
      <c r="BR1062" s="510"/>
      <c r="BS1062" s="510"/>
      <c r="BT1062" s="513"/>
      <c r="BU1062" s="514"/>
      <c r="BV1062" s="512"/>
      <c r="BW1062" s="515"/>
    </row>
    <row r="1063" spans="2:75" ht="15.75" customHeight="1">
      <c r="B1063" s="250" t="s">
        <v>245</v>
      </c>
      <c r="C1063" s="251">
        <v>35956906000169</v>
      </c>
      <c r="D1063" s="252" t="s">
        <v>14</v>
      </c>
      <c r="E1063" s="252" t="s">
        <v>607</v>
      </c>
      <c r="F1063" s="252"/>
      <c r="G1063" s="253"/>
      <c r="H1063" s="253" t="s">
        <v>34</v>
      </c>
      <c r="I1063" s="253" t="s">
        <v>34</v>
      </c>
      <c r="J1063" s="253" t="s">
        <v>608</v>
      </c>
      <c r="K1063" s="254" t="s">
        <v>48</v>
      </c>
      <c r="L1063" s="255"/>
      <c r="M1063" s="255" t="s">
        <v>1414</v>
      </c>
      <c r="N1063" s="254">
        <v>535818</v>
      </c>
      <c r="O1063" s="254" t="s">
        <v>1321</v>
      </c>
      <c r="P1063" s="258">
        <v>43957</v>
      </c>
      <c r="Q1063" s="259">
        <v>12995439.09</v>
      </c>
      <c r="R1063" s="259">
        <v>29650488.771031778</v>
      </c>
      <c r="S1063" s="254">
        <v>32</v>
      </c>
      <c r="T1063" s="256">
        <v>-5.82663913805892E-2</v>
      </c>
      <c r="U1063" s="256">
        <v>-0.75322101389085572</v>
      </c>
      <c r="V1063" s="256">
        <v>-0.20546142285599911</v>
      </c>
      <c r="W1063" s="256">
        <v>-2.0142089525997533</v>
      </c>
      <c r="X1063" s="256">
        <v>-0.10069391404327099</v>
      </c>
      <c r="Y1063" s="256">
        <v>-0.76358024230192056</v>
      </c>
      <c r="Z1063" s="256" t="s">
        <v>1417</v>
      </c>
      <c r="AA1063" s="256" t="s">
        <v>1417</v>
      </c>
      <c r="AB1063" s="256">
        <v>0.23278069842650817</v>
      </c>
      <c r="AC1063" s="260">
        <v>-1.2889670534823185</v>
      </c>
      <c r="AD1063" s="405">
        <v>35400868000163</v>
      </c>
      <c r="AE1063" s="257" t="s">
        <v>2288</v>
      </c>
      <c r="AF1063" s="257" t="s">
        <v>2118</v>
      </c>
      <c r="AG1063" s="261" t="s">
        <v>1433</v>
      </c>
      <c r="AH1063" s="261" t="s">
        <v>2113</v>
      </c>
      <c r="AI1063" s="261">
        <v>100000</v>
      </c>
      <c r="AJ1063" s="261">
        <v>50000</v>
      </c>
      <c r="AK1063" s="261">
        <v>100000</v>
      </c>
      <c r="AL1063" s="256">
        <v>1.8500000000000003E-2</v>
      </c>
      <c r="AM1063" s="256">
        <v>0.2</v>
      </c>
      <c r="AN1063" s="256" t="s">
        <v>34</v>
      </c>
      <c r="AO1063" s="254" t="s">
        <v>1324</v>
      </c>
      <c r="AP1063" s="257" t="s">
        <v>716</v>
      </c>
      <c r="AQ1063" s="263" t="s">
        <v>682</v>
      </c>
      <c r="AR1063" s="256">
        <v>2.4666666666666665E-3</v>
      </c>
      <c r="AS1063" s="256">
        <v>2.4666666666666665E-3</v>
      </c>
      <c r="AT1063" s="256"/>
      <c r="AX1063" s="508"/>
      <c r="AY1063" s="509"/>
      <c r="AZ1063" s="509"/>
      <c r="BA1063" s="509"/>
      <c r="BB1063" s="510"/>
      <c r="BC1063" s="509"/>
      <c r="BD1063" s="509"/>
      <c r="BE1063" s="509"/>
      <c r="BF1063" s="509"/>
      <c r="BG1063" s="510"/>
      <c r="BH1063" s="510"/>
      <c r="BI1063" s="511"/>
      <c r="BJ1063" s="511"/>
      <c r="BK1063" s="511"/>
      <c r="BL1063" s="510"/>
      <c r="BM1063" s="510"/>
      <c r="BN1063" s="510"/>
      <c r="BO1063" s="510"/>
      <c r="BP1063" s="510"/>
      <c r="BQ1063" s="510"/>
      <c r="BR1063" s="510"/>
      <c r="BS1063" s="510"/>
      <c r="BT1063" s="513"/>
      <c r="BU1063" s="514"/>
      <c r="BV1063" s="512"/>
      <c r="BW1063" s="515"/>
    </row>
    <row r="1064" spans="2:75" ht="15.75" customHeight="1">
      <c r="B1064" s="250" t="s">
        <v>1012</v>
      </c>
      <c r="C1064" s="251">
        <v>37888003000113</v>
      </c>
      <c r="D1064" s="252" t="s">
        <v>14</v>
      </c>
      <c r="E1064" s="252" t="s">
        <v>607</v>
      </c>
      <c r="F1064" s="252"/>
      <c r="G1064" s="253"/>
      <c r="H1064" s="253" t="s">
        <v>34</v>
      </c>
      <c r="I1064" s="253" t="s">
        <v>34</v>
      </c>
      <c r="J1064" s="253" t="s">
        <v>608</v>
      </c>
      <c r="K1064" s="254" t="s">
        <v>48</v>
      </c>
      <c r="L1064" s="255"/>
      <c r="M1064" s="255" t="s">
        <v>1414</v>
      </c>
      <c r="N1064" s="254">
        <v>552704</v>
      </c>
      <c r="O1064" s="254" t="s">
        <v>1321</v>
      </c>
      <c r="P1064" s="258">
        <v>44095</v>
      </c>
      <c r="Q1064" s="259">
        <v>3043985.91</v>
      </c>
      <c r="R1064" s="259">
        <v>3626693.6547619007</v>
      </c>
      <c r="S1064" s="254">
        <v>32</v>
      </c>
      <c r="T1064" s="256">
        <v>-6.4198574444582324E-2</v>
      </c>
      <c r="U1064" s="256">
        <v>-0.82990750221070064</v>
      </c>
      <c r="V1064" s="256">
        <v>-0.2155086358981726</v>
      </c>
      <c r="W1064" s="256">
        <v>-2.1127052356338991</v>
      </c>
      <c r="X1064" s="256" t="s">
        <v>1417</v>
      </c>
      <c r="Y1064" s="256" t="s">
        <v>1417</v>
      </c>
      <c r="Z1064" s="256" t="s">
        <v>1417</v>
      </c>
      <c r="AA1064" s="256" t="s">
        <v>1417</v>
      </c>
      <c r="AB1064" s="256">
        <v>0.2327190184225178</v>
      </c>
      <c r="AC1064" s="260">
        <v>-1.3440018504105755</v>
      </c>
      <c r="AD1064" s="405">
        <v>36352709000101</v>
      </c>
      <c r="AE1064" s="257" t="s">
        <v>2288</v>
      </c>
      <c r="AF1064" s="257" t="s">
        <v>2118</v>
      </c>
      <c r="AG1064" s="261" t="s">
        <v>1433</v>
      </c>
      <c r="AH1064" s="261" t="s">
        <v>2113</v>
      </c>
      <c r="AI1064" s="261">
        <v>100000</v>
      </c>
      <c r="AJ1064" s="261">
        <v>50000</v>
      </c>
      <c r="AK1064" s="261">
        <v>100000</v>
      </c>
      <c r="AL1064" s="256">
        <v>1.8500000000000003E-2</v>
      </c>
      <c r="AM1064" s="256">
        <v>0.2</v>
      </c>
      <c r="AN1064" s="256" t="s">
        <v>34</v>
      </c>
      <c r="AO1064" s="254" t="s">
        <v>1324</v>
      </c>
      <c r="AP1064" s="257" t="s">
        <v>716</v>
      </c>
      <c r="AQ1064" s="263" t="s">
        <v>682</v>
      </c>
      <c r="AR1064" s="256">
        <v>2.4666666666666665E-3</v>
      </c>
      <c r="AS1064" s="256">
        <v>2.4666666666666665E-3</v>
      </c>
      <c r="AT1064" s="256"/>
      <c r="AX1064" s="508"/>
      <c r="AY1064" s="509"/>
      <c r="AZ1064" s="509"/>
      <c r="BA1064" s="509"/>
      <c r="BB1064" s="510"/>
      <c r="BC1064" s="509"/>
      <c r="BD1064" s="509"/>
      <c r="BE1064" s="509"/>
      <c r="BF1064" s="509"/>
      <c r="BG1064" s="510"/>
      <c r="BH1064" s="510"/>
      <c r="BI1064" s="511"/>
      <c r="BJ1064" s="511"/>
      <c r="BK1064" s="511"/>
      <c r="BL1064" s="510"/>
      <c r="BM1064" s="510"/>
      <c r="BN1064" s="510"/>
      <c r="BO1064" s="510"/>
      <c r="BP1064" s="510"/>
      <c r="BQ1064" s="510"/>
      <c r="BR1064" s="510"/>
      <c r="BS1064" s="510"/>
      <c r="BT1064" s="513"/>
      <c r="BU1064" s="514"/>
      <c r="BV1064" s="512"/>
      <c r="BW1064" s="515"/>
    </row>
    <row r="1065" spans="2:75" ht="15.75" customHeight="1">
      <c r="B1065" s="250" t="s">
        <v>1014</v>
      </c>
      <c r="C1065" s="251">
        <v>11175745000108</v>
      </c>
      <c r="D1065" s="252" t="s">
        <v>14</v>
      </c>
      <c r="E1065" s="252" t="s">
        <v>607</v>
      </c>
      <c r="F1065" s="252"/>
      <c r="G1065" s="253"/>
      <c r="H1065" s="253" t="s">
        <v>34</v>
      </c>
      <c r="I1065" s="253" t="s">
        <v>34</v>
      </c>
      <c r="J1065" s="253" t="s">
        <v>608</v>
      </c>
      <c r="K1065" s="254" t="s">
        <v>48</v>
      </c>
      <c r="L1065" s="255"/>
      <c r="M1065" s="255" t="s">
        <v>34</v>
      </c>
      <c r="N1065" s="254">
        <v>249181</v>
      </c>
      <c r="O1065" s="254" t="s">
        <v>1321</v>
      </c>
      <c r="P1065" s="258">
        <v>40323</v>
      </c>
      <c r="Q1065" s="259">
        <v>28423130.43</v>
      </c>
      <c r="R1065" s="259">
        <v>74591020.194682494</v>
      </c>
      <c r="S1065" s="254">
        <v>32</v>
      </c>
      <c r="T1065" s="256">
        <v>-5.1689705589786805E-2</v>
      </c>
      <c r="U1065" s="256">
        <v>-0.66820291302662349</v>
      </c>
      <c r="V1065" s="256">
        <v>-0.23418956084548925</v>
      </c>
      <c r="W1065" s="256">
        <v>-2.2958407641856557</v>
      </c>
      <c r="X1065" s="256">
        <v>-0.15333655630135035</v>
      </c>
      <c r="Y1065" s="256">
        <v>-1.1627789616362771</v>
      </c>
      <c r="Z1065" s="256">
        <v>-3.0610334867038458E-2</v>
      </c>
      <c r="AA1065" s="256">
        <v>-0.17399906689551939</v>
      </c>
      <c r="AB1065" s="256">
        <v>0.24961265939353142</v>
      </c>
      <c r="AC1065" s="260">
        <v>-1.3330308950174119</v>
      </c>
      <c r="AD1065" s="405">
        <v>0</v>
      </c>
      <c r="AE1065" s="257" t="s">
        <v>2288</v>
      </c>
      <c r="AF1065" s="257" t="s">
        <v>2118</v>
      </c>
      <c r="AG1065" s="261" t="s">
        <v>1433</v>
      </c>
      <c r="AH1065" s="261" t="s">
        <v>2210</v>
      </c>
      <c r="AI1065" s="261">
        <v>100000</v>
      </c>
      <c r="AJ1065" s="261">
        <v>50000</v>
      </c>
      <c r="AK1065" s="261">
        <v>100000</v>
      </c>
      <c r="AL1065" s="256">
        <v>2.75E-2</v>
      </c>
      <c r="AM1065" s="256" t="s">
        <v>34</v>
      </c>
      <c r="AN1065" s="256" t="s">
        <v>34</v>
      </c>
      <c r="AO1065" s="254" t="s">
        <v>1324</v>
      </c>
      <c r="AP1065" s="257" t="s">
        <v>716</v>
      </c>
      <c r="AQ1065" s="263" t="s">
        <v>659</v>
      </c>
      <c r="AR1065" s="256">
        <v>5.4999999999999997E-3</v>
      </c>
      <c r="AS1065" s="256">
        <v>5.4999999999999997E-3</v>
      </c>
      <c r="AT1065" s="256"/>
      <c r="AW1065" s="508"/>
      <c r="AX1065" s="508"/>
      <c r="AY1065" s="509"/>
      <c r="AZ1065" s="509"/>
      <c r="BA1065" s="509"/>
      <c r="BB1065" s="510"/>
      <c r="BC1065" s="509"/>
      <c r="BD1065" s="509"/>
      <c r="BE1065" s="509"/>
      <c r="BF1065" s="509"/>
      <c r="BG1065" s="510"/>
      <c r="BH1065" s="510"/>
      <c r="BI1065" s="511"/>
      <c r="BJ1065" s="511"/>
      <c r="BK1065" s="511"/>
      <c r="BL1065" s="510"/>
      <c r="BM1065" s="510"/>
      <c r="BN1065" s="510"/>
      <c r="BO1065" s="510"/>
      <c r="BP1065" s="510"/>
      <c r="BQ1065" s="510"/>
      <c r="BR1065" s="510"/>
      <c r="BS1065" s="510"/>
      <c r="BT1065" s="513"/>
      <c r="BU1065" s="514"/>
      <c r="BV1065" s="512"/>
      <c r="BW1065" s="515"/>
    </row>
    <row r="1066" spans="2:75" ht="15.75" customHeight="1">
      <c r="B1066" s="250" t="s">
        <v>1030</v>
      </c>
      <c r="C1066" s="251">
        <v>28747685000153</v>
      </c>
      <c r="D1066" s="252" t="s">
        <v>14</v>
      </c>
      <c r="E1066" s="252" t="s">
        <v>607</v>
      </c>
      <c r="F1066" s="252"/>
      <c r="G1066" s="253"/>
      <c r="H1066" s="253" t="s">
        <v>34</v>
      </c>
      <c r="I1066" s="253" t="s">
        <v>34</v>
      </c>
      <c r="J1066" s="253" t="s">
        <v>608</v>
      </c>
      <c r="K1066" s="254" t="s">
        <v>48</v>
      </c>
      <c r="L1066" s="255"/>
      <c r="M1066" s="255" t="s">
        <v>34</v>
      </c>
      <c r="N1066" s="254">
        <v>452637</v>
      </c>
      <c r="O1066" s="254" t="s">
        <v>1321</v>
      </c>
      <c r="P1066" s="258">
        <v>43045</v>
      </c>
      <c r="Q1066" s="259">
        <v>209011885.75999999</v>
      </c>
      <c r="R1066" s="259">
        <v>282773213.15853161</v>
      </c>
      <c r="S1066" s="254">
        <v>32</v>
      </c>
      <c r="T1066" s="256">
        <v>-5.3700310328465672E-2</v>
      </c>
      <c r="U1066" s="256">
        <v>-0.69419439291610863</v>
      </c>
      <c r="V1066" s="256">
        <v>-0.11738000586178088</v>
      </c>
      <c r="W1066" s="256">
        <v>-1.15071654511375</v>
      </c>
      <c r="X1066" s="256">
        <v>2.9895884181625698E-2</v>
      </c>
      <c r="Y1066" s="256">
        <v>0.22670592065202783</v>
      </c>
      <c r="Z1066" s="256">
        <v>3.5871433245764361E-2</v>
      </c>
      <c r="AA1066" s="256">
        <v>0.20390485566653926</v>
      </c>
      <c r="AB1066" s="256">
        <v>0.22621942878995935</v>
      </c>
      <c r="AC1066" s="260">
        <v>-0.86850141679555948</v>
      </c>
      <c r="AD1066" s="405">
        <v>28747676000162</v>
      </c>
      <c r="AE1066" s="257" t="s">
        <v>2294</v>
      </c>
      <c r="AF1066" s="257" t="s">
        <v>2115</v>
      </c>
      <c r="AG1066" s="261" t="s">
        <v>719</v>
      </c>
      <c r="AH1066" s="261" t="s">
        <v>2110</v>
      </c>
      <c r="AI1066" s="261">
        <v>50000</v>
      </c>
      <c r="AJ1066" s="261">
        <v>10000</v>
      </c>
      <c r="AK1066" s="261">
        <v>20000</v>
      </c>
      <c r="AL1066" s="256">
        <v>0.02</v>
      </c>
      <c r="AM1066" s="256">
        <v>0.2</v>
      </c>
      <c r="AN1066" s="256" t="s">
        <v>666</v>
      </c>
      <c r="AO1066" s="254" t="s">
        <v>1324</v>
      </c>
      <c r="AP1066" s="257" t="s">
        <v>716</v>
      </c>
      <c r="AQ1066" s="263" t="s">
        <v>659</v>
      </c>
      <c r="AR1066" s="256">
        <v>4.0000000000000001E-3</v>
      </c>
      <c r="AS1066" s="256">
        <v>4.0000000000000001E-3</v>
      </c>
      <c r="AT1066" s="256"/>
      <c r="AX1066" s="508"/>
      <c r="AY1066" s="509"/>
      <c r="AZ1066" s="509"/>
      <c r="BA1066" s="509"/>
      <c r="BB1066" s="510"/>
      <c r="BC1066" s="509"/>
      <c r="BD1066" s="509"/>
      <c r="BE1066" s="509"/>
      <c r="BF1066" s="509"/>
      <c r="BG1066" s="510"/>
      <c r="BH1066" s="510"/>
      <c r="BI1066" s="511"/>
      <c r="BJ1066" s="511"/>
      <c r="BK1066" s="511"/>
      <c r="BL1066" s="510"/>
      <c r="BM1066" s="510"/>
      <c r="BN1066" s="510"/>
      <c r="BO1066" s="510"/>
      <c r="BP1066" s="510"/>
      <c r="BQ1066" s="510"/>
      <c r="BR1066" s="510"/>
      <c r="BS1066" s="510"/>
      <c r="BT1066" s="513"/>
      <c r="BU1066" s="514"/>
      <c r="BV1066" s="512"/>
      <c r="BW1066" s="515"/>
    </row>
    <row r="1067" spans="2:75" ht="15.75" customHeight="1">
      <c r="B1067" s="250" t="s">
        <v>261</v>
      </c>
      <c r="C1067" s="251">
        <v>25213366000170</v>
      </c>
      <c r="D1067" s="252" t="s">
        <v>14</v>
      </c>
      <c r="E1067" s="252" t="s">
        <v>607</v>
      </c>
      <c r="F1067" s="252"/>
      <c r="G1067" s="253"/>
      <c r="H1067" s="253" t="s">
        <v>34</v>
      </c>
      <c r="I1067" s="253" t="s">
        <v>34</v>
      </c>
      <c r="J1067" s="253" t="s">
        <v>608</v>
      </c>
      <c r="K1067" s="254" t="s">
        <v>48</v>
      </c>
      <c r="L1067" s="255"/>
      <c r="M1067" s="255" t="s">
        <v>34</v>
      </c>
      <c r="N1067" s="254">
        <v>422967</v>
      </c>
      <c r="O1067" s="254" t="s">
        <v>1321</v>
      </c>
      <c r="P1067" s="258">
        <v>42621</v>
      </c>
      <c r="Q1067" s="259">
        <v>376997779.49000001</v>
      </c>
      <c r="R1067" s="259">
        <v>509425700.38627011</v>
      </c>
      <c r="S1067" s="254">
        <v>32</v>
      </c>
      <c r="T1067" s="256">
        <v>4.901623339395722E-2</v>
      </c>
      <c r="U1067" s="256">
        <v>0.63364241613917394</v>
      </c>
      <c r="V1067" s="256">
        <v>-0.1586348560927231</v>
      </c>
      <c r="W1067" s="256">
        <v>-1.5551520226757101</v>
      </c>
      <c r="X1067" s="256">
        <v>-0.1105078283184685</v>
      </c>
      <c r="Y1067" s="256">
        <v>-0.83800093705180723</v>
      </c>
      <c r="Z1067" s="256">
        <v>3.5104854360685112E-2</v>
      </c>
      <c r="AA1067" s="256">
        <v>0.19954737276787204</v>
      </c>
      <c r="AB1067" s="256">
        <v>0.23020978456494212</v>
      </c>
      <c r="AC1067" s="260">
        <v>-1.0571720745312176</v>
      </c>
      <c r="AD1067" s="405">
        <v>28408139000198</v>
      </c>
      <c r="AE1067" s="257" t="s">
        <v>2297</v>
      </c>
      <c r="AF1067" s="257" t="s">
        <v>2118</v>
      </c>
      <c r="AG1067" s="261" t="s">
        <v>1433</v>
      </c>
      <c r="AH1067" s="261" t="s">
        <v>2110</v>
      </c>
      <c r="AI1067" s="261">
        <v>200000</v>
      </c>
      <c r="AJ1067" s="261">
        <v>10000</v>
      </c>
      <c r="AK1067" s="261">
        <v>10000</v>
      </c>
      <c r="AL1067" s="256">
        <v>1.8000000000000002E-2</v>
      </c>
      <c r="AM1067" s="256">
        <v>0.2</v>
      </c>
      <c r="AN1067" s="256" t="s">
        <v>666</v>
      </c>
      <c r="AO1067" s="254" t="s">
        <v>1324</v>
      </c>
      <c r="AP1067" s="257" t="s">
        <v>716</v>
      </c>
      <c r="AQ1067" s="263" t="s">
        <v>659</v>
      </c>
      <c r="AR1067" s="256">
        <v>4.7999999999999996E-3</v>
      </c>
      <c r="AS1067" s="256">
        <v>4.7999999999999996E-3</v>
      </c>
      <c r="AT1067" s="256"/>
      <c r="AX1067" s="508"/>
      <c r="AY1067" s="509"/>
      <c r="AZ1067" s="509"/>
      <c r="BA1067" s="509"/>
      <c r="BB1067" s="510"/>
      <c r="BC1067" s="509"/>
      <c r="BD1067" s="509"/>
      <c r="BE1067" s="509"/>
      <c r="BF1067" s="509"/>
      <c r="BG1067" s="510"/>
      <c r="BH1067" s="510"/>
      <c r="BI1067" s="511"/>
      <c r="BJ1067" s="511"/>
      <c r="BK1067" s="511"/>
      <c r="BL1067" s="510"/>
      <c r="BM1067" s="510"/>
      <c r="BN1067" s="510"/>
      <c r="BO1067" s="510"/>
      <c r="BP1067" s="510"/>
      <c r="BQ1067" s="510"/>
      <c r="BR1067" s="510"/>
      <c r="BS1067" s="510"/>
      <c r="BT1067" s="513"/>
      <c r="BU1067" s="514"/>
      <c r="BV1067" s="512"/>
      <c r="BW1067" s="515"/>
    </row>
    <row r="1068" spans="2:75" ht="15.75" customHeight="1">
      <c r="B1068" s="250" t="s">
        <v>262</v>
      </c>
      <c r="C1068" s="251">
        <v>28626275000154</v>
      </c>
      <c r="D1068" s="252" t="s">
        <v>14</v>
      </c>
      <c r="E1068" s="252" t="s">
        <v>607</v>
      </c>
      <c r="F1068" s="252"/>
      <c r="G1068" s="253"/>
      <c r="H1068" s="253" t="s">
        <v>34</v>
      </c>
      <c r="I1068" s="253" t="s">
        <v>34</v>
      </c>
      <c r="J1068" s="253" t="s">
        <v>608</v>
      </c>
      <c r="K1068" s="254" t="s">
        <v>48</v>
      </c>
      <c r="L1068" s="255"/>
      <c r="M1068" s="255" t="s">
        <v>34</v>
      </c>
      <c r="N1068" s="254">
        <v>452556</v>
      </c>
      <c r="O1068" s="254" t="s">
        <v>1321</v>
      </c>
      <c r="P1068" s="258">
        <v>43039</v>
      </c>
      <c r="Q1068" s="259">
        <v>4520385.67</v>
      </c>
      <c r="R1068" s="259">
        <v>11197121.047738096</v>
      </c>
      <c r="S1068" s="254">
        <v>32</v>
      </c>
      <c r="T1068" s="256">
        <v>4.5734105081980392E-2</v>
      </c>
      <c r="U1068" s="256">
        <v>0.59121370283995556</v>
      </c>
      <c r="V1068" s="256">
        <v>-0.16170229678233594</v>
      </c>
      <c r="W1068" s="256">
        <v>-1.5852231981436091</v>
      </c>
      <c r="X1068" s="256">
        <v>-0.12079861482318832</v>
      </c>
      <c r="Y1068" s="256">
        <v>-0.91603784054703286</v>
      </c>
      <c r="Z1068" s="256">
        <v>1.8601843638579751E-2</v>
      </c>
      <c r="AA1068" s="256">
        <v>0.1057389097410544</v>
      </c>
      <c r="AB1068" s="256">
        <v>0.22997441780573596</v>
      </c>
      <c r="AC1068" s="260">
        <v>-1.0743610099285827</v>
      </c>
      <c r="AD1068" s="405">
        <v>28408139000198</v>
      </c>
      <c r="AE1068" s="257" t="s">
        <v>2297</v>
      </c>
      <c r="AF1068" s="257" t="s">
        <v>2118</v>
      </c>
      <c r="AG1068" s="261" t="s">
        <v>1433</v>
      </c>
      <c r="AH1068" s="261" t="s">
        <v>2110</v>
      </c>
      <c r="AI1068" s="261">
        <v>1000</v>
      </c>
      <c r="AJ1068" s="261">
        <v>1000</v>
      </c>
      <c r="AK1068" s="261">
        <v>1000</v>
      </c>
      <c r="AL1068" s="256">
        <v>1.8000000000000002E-2</v>
      </c>
      <c r="AM1068" s="256">
        <v>0.2</v>
      </c>
      <c r="AN1068" s="256" t="s">
        <v>64</v>
      </c>
      <c r="AO1068" s="254" t="s">
        <v>1324</v>
      </c>
      <c r="AP1068" s="257" t="s">
        <v>716</v>
      </c>
      <c r="AQ1068" s="263" t="s">
        <v>659</v>
      </c>
      <c r="AR1068" s="256">
        <v>4.7999999999999996E-3</v>
      </c>
      <c r="AS1068" s="256">
        <v>4.7999999999999996E-3</v>
      </c>
      <c r="AT1068" s="256"/>
      <c r="AW1068" s="508"/>
      <c r="AX1068" s="508"/>
      <c r="AY1068" s="509"/>
      <c r="AZ1068" s="509"/>
      <c r="BA1068" s="509"/>
      <c r="BB1068" s="510"/>
      <c r="BC1068" s="509"/>
      <c r="BD1068" s="509"/>
      <c r="BE1068" s="509"/>
      <c r="BF1068" s="509"/>
      <c r="BG1068" s="510"/>
      <c r="BH1068" s="510"/>
      <c r="BI1068" s="511"/>
      <c r="BJ1068" s="511"/>
      <c r="BK1068" s="511"/>
      <c r="BL1068" s="195"/>
      <c r="BM1068" s="510"/>
      <c r="BN1068" s="510"/>
      <c r="BO1068" s="510"/>
      <c r="BP1068" s="510"/>
      <c r="BQ1068" s="510"/>
      <c r="BR1068" s="510"/>
      <c r="BS1068" s="510"/>
      <c r="BT1068" s="513"/>
      <c r="BU1068" s="514"/>
      <c r="BV1068" s="512"/>
      <c r="BW1068" s="515"/>
    </row>
    <row r="1069" spans="2:75" ht="15.75" customHeight="1">
      <c r="B1069" s="250" t="s">
        <v>263</v>
      </c>
      <c r="C1069" s="251">
        <v>29054793000103</v>
      </c>
      <c r="D1069" s="252" t="s">
        <v>14</v>
      </c>
      <c r="E1069" s="252" t="s">
        <v>607</v>
      </c>
      <c r="F1069" s="252"/>
      <c r="G1069" s="253"/>
      <c r="H1069" s="253" t="s">
        <v>34</v>
      </c>
      <c r="I1069" s="253" t="s">
        <v>34</v>
      </c>
      <c r="J1069" s="253" t="s">
        <v>608</v>
      </c>
      <c r="K1069" s="254" t="s">
        <v>48</v>
      </c>
      <c r="L1069" s="255"/>
      <c r="M1069" s="255" t="s">
        <v>34</v>
      </c>
      <c r="N1069" s="254">
        <v>472311</v>
      </c>
      <c r="O1069" s="254" t="s">
        <v>1321</v>
      </c>
      <c r="P1069" s="258">
        <v>43181</v>
      </c>
      <c r="Q1069" s="259">
        <v>50372876.520000003</v>
      </c>
      <c r="R1069" s="259">
        <v>80424925.128928512</v>
      </c>
      <c r="S1069" s="254">
        <v>32</v>
      </c>
      <c r="T1069" s="256">
        <v>9.8200212046626989E-2</v>
      </c>
      <c r="U1069" s="256">
        <v>1.269453307978474</v>
      </c>
      <c r="V1069" s="256">
        <v>-9.0766614396723067E-2</v>
      </c>
      <c r="W1069" s="256">
        <v>-0.88981632061987426</v>
      </c>
      <c r="X1069" s="256">
        <v>-5.4524151782824659E-2</v>
      </c>
      <c r="Y1069" s="256">
        <v>-0.41346654785655507</v>
      </c>
      <c r="Z1069" s="256">
        <v>6.6382177351897775E-2</v>
      </c>
      <c r="AA1069" s="256">
        <v>0.37733781639091868</v>
      </c>
      <c r="AB1069" s="256">
        <v>0.22985579873074644</v>
      </c>
      <c r="AC1069" s="260">
        <v>-0.72184058348348079</v>
      </c>
      <c r="AD1069" s="405">
        <v>0</v>
      </c>
      <c r="AE1069" s="257" t="s">
        <v>2297</v>
      </c>
      <c r="AF1069" s="257" t="s">
        <v>2118</v>
      </c>
      <c r="AG1069" s="261" t="s">
        <v>1433</v>
      </c>
      <c r="AH1069" s="261" t="s">
        <v>2113</v>
      </c>
      <c r="AI1069" s="261">
        <v>200000</v>
      </c>
      <c r="AJ1069" s="261">
        <v>10000</v>
      </c>
      <c r="AK1069" s="261">
        <v>10000</v>
      </c>
      <c r="AL1069" s="256">
        <v>0.02</v>
      </c>
      <c r="AM1069" s="256">
        <v>0.2</v>
      </c>
      <c r="AN1069" s="256" t="s">
        <v>2160</v>
      </c>
      <c r="AO1069" s="254" t="s">
        <v>1324</v>
      </c>
      <c r="AP1069" s="257" t="s">
        <v>716</v>
      </c>
      <c r="AQ1069" s="263" t="s">
        <v>670</v>
      </c>
      <c r="AR1069" s="256">
        <v>5.3333333333333332E-3</v>
      </c>
      <c r="AS1069" s="256">
        <v>5.3333333333333332E-3</v>
      </c>
      <c r="AT1069" s="256"/>
      <c r="AX1069" s="508"/>
      <c r="AY1069" s="509"/>
      <c r="AZ1069" s="509"/>
      <c r="BA1069" s="509"/>
      <c r="BB1069" s="510"/>
      <c r="BC1069" s="509"/>
      <c r="BD1069" s="509"/>
      <c r="BE1069" s="509"/>
      <c r="BF1069" s="509"/>
      <c r="BG1069" s="510"/>
      <c r="BH1069" s="510"/>
      <c r="BI1069" s="511"/>
      <c r="BJ1069" s="511"/>
      <c r="BK1069" s="511"/>
      <c r="BL1069" s="510"/>
      <c r="BM1069" s="510"/>
      <c r="BN1069" s="510"/>
      <c r="BO1069" s="510"/>
      <c r="BP1069" s="510"/>
      <c r="BQ1069" s="510"/>
      <c r="BR1069" s="510"/>
      <c r="BS1069" s="510"/>
      <c r="BT1069" s="513"/>
      <c r="BU1069" s="514"/>
      <c r="BV1069" s="512"/>
      <c r="BW1069" s="515"/>
    </row>
    <row r="1070" spans="2:75" ht="15.75" customHeight="1">
      <c r="B1070" s="250" t="s">
        <v>559</v>
      </c>
      <c r="C1070" s="251">
        <v>41881117000109</v>
      </c>
      <c r="D1070" s="252" t="s">
        <v>14</v>
      </c>
      <c r="E1070" s="252" t="s">
        <v>607</v>
      </c>
      <c r="F1070" s="252"/>
      <c r="G1070" s="253"/>
      <c r="H1070" s="253" t="s">
        <v>34</v>
      </c>
      <c r="I1070" s="253" t="s">
        <v>34</v>
      </c>
      <c r="J1070" s="253" t="s">
        <v>608</v>
      </c>
      <c r="K1070" s="254" t="s">
        <v>48</v>
      </c>
      <c r="L1070" s="255"/>
      <c r="M1070" s="255" t="s">
        <v>1414</v>
      </c>
      <c r="N1070" s="254">
        <v>592463</v>
      </c>
      <c r="O1070" s="254" t="s">
        <v>1324</v>
      </c>
      <c r="P1070" s="258">
        <v>44340</v>
      </c>
      <c r="Q1070" s="259">
        <v>2846634.01</v>
      </c>
      <c r="R1070" s="259">
        <v>4711287.0884126993</v>
      </c>
      <c r="S1070" s="254">
        <v>32</v>
      </c>
      <c r="T1070" s="256">
        <v>-0.57227629504367683</v>
      </c>
      <c r="U1070" s="256">
        <v>-7.397927363699762</v>
      </c>
      <c r="V1070" s="256">
        <v>-0.64547639341783891</v>
      </c>
      <c r="W1070" s="256">
        <v>-6.3278269576923174</v>
      </c>
      <c r="X1070" s="256" t="s">
        <v>1417</v>
      </c>
      <c r="Y1070" s="256" t="s">
        <v>1417</v>
      </c>
      <c r="Z1070" s="256" t="s">
        <v>1417</v>
      </c>
      <c r="AA1070" s="256" t="s">
        <v>1417</v>
      </c>
      <c r="AB1070" s="256">
        <v>0.69626415926196461</v>
      </c>
      <c r="AC1070" s="260">
        <v>-1.2807900214077801</v>
      </c>
      <c r="AD1070" s="405">
        <v>0</v>
      </c>
      <c r="AE1070" s="257" t="s">
        <v>2123</v>
      </c>
      <c r="AF1070" s="257" t="s">
        <v>2109</v>
      </c>
      <c r="AG1070" s="261" t="s">
        <v>1432</v>
      </c>
      <c r="AH1070" s="261" t="s">
        <v>2131</v>
      </c>
      <c r="AI1070" s="261">
        <v>5000</v>
      </c>
      <c r="AJ1070" s="261">
        <v>5000</v>
      </c>
      <c r="AK1070" s="261">
        <v>5000</v>
      </c>
      <c r="AL1070" s="256">
        <v>1.2999999999999999E-3</v>
      </c>
      <c r="AM1070" s="256" t="s">
        <v>34</v>
      </c>
      <c r="AN1070" s="256" t="s">
        <v>34</v>
      </c>
      <c r="AO1070" s="254" t="s">
        <v>1324</v>
      </c>
      <c r="AP1070" s="257" t="s">
        <v>716</v>
      </c>
      <c r="AQ1070" s="263" t="s">
        <v>659</v>
      </c>
      <c r="AR1070" s="256">
        <v>2.5999999999999998E-4</v>
      </c>
      <c r="AS1070" s="256">
        <v>2.5999999999999998E-4</v>
      </c>
      <c r="AT1070" s="256"/>
      <c r="AX1070" s="508"/>
      <c r="AY1070" s="509"/>
      <c r="AZ1070" s="509"/>
      <c r="BA1070" s="509"/>
      <c r="BB1070" s="510"/>
      <c r="BC1070" s="509"/>
      <c r="BD1070" s="509"/>
      <c r="BE1070" s="509"/>
      <c r="BF1070" s="509"/>
      <c r="BG1070" s="510"/>
      <c r="BH1070" s="510"/>
      <c r="BI1070" s="511"/>
      <c r="BJ1070" s="511"/>
      <c r="BK1070" s="511"/>
      <c r="BL1070" s="510"/>
      <c r="BM1070" s="510"/>
      <c r="BN1070" s="510"/>
      <c r="BO1070" s="510"/>
      <c r="BP1070" s="510"/>
      <c r="BQ1070" s="510"/>
      <c r="BR1070" s="510"/>
      <c r="BS1070" s="510"/>
      <c r="BT1070" s="513"/>
      <c r="BU1070" s="514"/>
      <c r="BV1070" s="512"/>
      <c r="BW1070" s="515"/>
    </row>
    <row r="1071" spans="2:75" ht="15.75" customHeight="1">
      <c r="B1071" s="250" t="s">
        <v>269</v>
      </c>
      <c r="C1071" s="251">
        <v>37429375000181</v>
      </c>
      <c r="D1071" s="252" t="s">
        <v>14</v>
      </c>
      <c r="E1071" s="252" t="s">
        <v>607</v>
      </c>
      <c r="F1071" s="252"/>
      <c r="G1071" s="253"/>
      <c r="H1071" s="253" t="s">
        <v>34</v>
      </c>
      <c r="I1071" s="253" t="s">
        <v>34</v>
      </c>
      <c r="J1071" s="253" t="s">
        <v>608</v>
      </c>
      <c r="K1071" s="254" t="s">
        <v>48</v>
      </c>
      <c r="L1071" s="255"/>
      <c r="M1071" s="255" t="s">
        <v>1414</v>
      </c>
      <c r="N1071" s="254">
        <v>544310</v>
      </c>
      <c r="O1071" s="254" t="s">
        <v>1321</v>
      </c>
      <c r="P1071" s="258">
        <v>44028</v>
      </c>
      <c r="Q1071" s="259">
        <v>14760598.890000001</v>
      </c>
      <c r="R1071" s="259">
        <v>18211631.524682537</v>
      </c>
      <c r="S1071" s="254">
        <v>32</v>
      </c>
      <c r="T1071" s="256">
        <v>-0.39614352892382987</v>
      </c>
      <c r="U1071" s="256">
        <v>-5.1210247182342554</v>
      </c>
      <c r="V1071" s="256">
        <v>-0.4432010030081347</v>
      </c>
      <c r="W1071" s="256">
        <v>-4.34485177631539</v>
      </c>
      <c r="X1071" s="256">
        <v>-0.30847700801382372</v>
      </c>
      <c r="Y1071" s="256">
        <v>-2.3392371898717323</v>
      </c>
      <c r="Z1071" s="256" t="s">
        <v>1417</v>
      </c>
      <c r="AA1071" s="256" t="s">
        <v>1417</v>
      </c>
      <c r="AB1071" s="256">
        <v>0.43690165474919029</v>
      </c>
      <c r="AC1071" s="260">
        <v>-1.3439656797418666</v>
      </c>
      <c r="AD1071" s="405">
        <v>0</v>
      </c>
      <c r="AE1071" s="257" t="s">
        <v>2303</v>
      </c>
      <c r="AF1071" s="257" t="s">
        <v>2109</v>
      </c>
      <c r="AG1071" s="261" t="s">
        <v>1432</v>
      </c>
      <c r="AH1071" s="261" t="s">
        <v>726</v>
      </c>
      <c r="AI1071" s="261">
        <v>50000</v>
      </c>
      <c r="AJ1071" s="261">
        <v>1000</v>
      </c>
      <c r="AK1071" s="261">
        <v>1000</v>
      </c>
      <c r="AL1071" s="256">
        <v>5.0000000000000001E-3</v>
      </c>
      <c r="AM1071" s="256">
        <v>0.2</v>
      </c>
      <c r="AN1071" s="256" t="s">
        <v>34</v>
      </c>
      <c r="AO1071" s="254" t="s">
        <v>1324</v>
      </c>
      <c r="AP1071" s="257" t="s">
        <v>716</v>
      </c>
      <c r="AQ1071" s="263" t="s">
        <v>687</v>
      </c>
      <c r="AR1071" s="256" t="s">
        <v>34</v>
      </c>
      <c r="AS1071" s="256" t="s">
        <v>34</v>
      </c>
      <c r="AT1071" s="256"/>
      <c r="AW1071" s="508"/>
      <c r="AX1071" s="508"/>
      <c r="AY1071" s="509"/>
      <c r="AZ1071" s="509"/>
      <c r="BA1071" s="509"/>
      <c r="BB1071" s="510"/>
      <c r="BC1071" s="509"/>
      <c r="BD1071" s="509"/>
      <c r="BE1071" s="509"/>
      <c r="BF1071" s="509"/>
      <c r="BG1071" s="510"/>
      <c r="BH1071" s="510"/>
      <c r="BI1071" s="511"/>
      <c r="BJ1071" s="511"/>
      <c r="BK1071" s="511"/>
      <c r="BL1071" s="195"/>
      <c r="BM1071" s="510"/>
      <c r="BN1071" s="510"/>
      <c r="BO1071" s="510"/>
      <c r="BP1071" s="510"/>
      <c r="BQ1071" s="510"/>
      <c r="BR1071" s="510"/>
      <c r="BS1071" s="510"/>
      <c r="BT1071" s="513"/>
      <c r="BU1071" s="514"/>
      <c r="BV1071" s="512"/>
      <c r="BW1071" s="515"/>
    </row>
    <row r="1072" spans="2:75" ht="15.75" customHeight="1">
      <c r="B1072" s="250" t="s">
        <v>1051</v>
      </c>
      <c r="C1072" s="251">
        <v>34579122000104</v>
      </c>
      <c r="D1072" s="252" t="s">
        <v>14</v>
      </c>
      <c r="E1072" s="252" t="s">
        <v>614</v>
      </c>
      <c r="F1072" s="252"/>
      <c r="G1072" s="253"/>
      <c r="H1072" s="253" t="s">
        <v>1338</v>
      </c>
      <c r="I1072" s="253" t="s">
        <v>34</v>
      </c>
      <c r="J1072" s="253" t="s">
        <v>608</v>
      </c>
      <c r="K1072" s="254" t="s">
        <v>48</v>
      </c>
      <c r="L1072" s="255"/>
      <c r="M1072" s="255" t="s">
        <v>34</v>
      </c>
      <c r="N1072" s="254">
        <v>507075</v>
      </c>
      <c r="O1072" s="254" t="s">
        <v>1321</v>
      </c>
      <c r="P1072" s="258">
        <v>43719</v>
      </c>
      <c r="Q1072" s="259">
        <v>101441651.3</v>
      </c>
      <c r="R1072" s="259">
        <v>115523452.4132937</v>
      </c>
      <c r="S1072" s="254">
        <v>32</v>
      </c>
      <c r="T1072" s="256">
        <v>5.3198102621707877E-2</v>
      </c>
      <c r="U1072" s="256">
        <v>0.68770225586926337</v>
      </c>
      <c r="V1072" s="256">
        <v>-6.276159607833165E-2</v>
      </c>
      <c r="W1072" s="256">
        <v>-0.61527349973150491</v>
      </c>
      <c r="X1072" s="256">
        <v>4.4228587845435374E-2</v>
      </c>
      <c r="Y1072" s="256">
        <v>0.33539341622152574</v>
      </c>
      <c r="Z1072" s="256" t="s">
        <v>1417</v>
      </c>
      <c r="AA1072" s="256" t="s">
        <v>1417</v>
      </c>
      <c r="AB1072" s="256">
        <v>0.30114070586547231</v>
      </c>
      <c r="AC1072" s="260">
        <v>-0.38734357577290596</v>
      </c>
      <c r="AD1072" s="405">
        <v>34337443000194</v>
      </c>
      <c r="AE1072" s="257" t="s">
        <v>2309</v>
      </c>
      <c r="AF1072" s="257" t="s">
        <v>2109</v>
      </c>
      <c r="AG1072" s="261" t="s">
        <v>1432</v>
      </c>
      <c r="AH1072" s="261" t="s">
        <v>2110</v>
      </c>
      <c r="AI1072" s="261">
        <v>10000</v>
      </c>
      <c r="AJ1072" s="261">
        <v>5000</v>
      </c>
      <c r="AK1072" s="261">
        <v>5000</v>
      </c>
      <c r="AL1072" s="256">
        <v>1.8700000000000001E-2</v>
      </c>
      <c r="AM1072" s="256">
        <v>0.2</v>
      </c>
      <c r="AN1072" s="256" t="s">
        <v>34</v>
      </c>
      <c r="AO1072" s="254" t="s">
        <v>1324</v>
      </c>
      <c r="AP1072" s="257" t="s">
        <v>716</v>
      </c>
      <c r="AQ1072" s="263" t="s">
        <v>659</v>
      </c>
      <c r="AR1072" s="256">
        <v>3.7399999999999998E-3</v>
      </c>
      <c r="AS1072" s="256">
        <v>3.7399999999999998E-3</v>
      </c>
      <c r="AT1072" s="256"/>
      <c r="AX1072" s="508"/>
      <c r="AY1072" s="509"/>
      <c r="AZ1072" s="509"/>
      <c r="BA1072" s="509"/>
      <c r="BB1072" s="510"/>
      <c r="BC1072" s="509"/>
      <c r="BD1072" s="509"/>
      <c r="BE1072" s="509"/>
      <c r="BF1072" s="509"/>
      <c r="BG1072" s="510"/>
      <c r="BH1072" s="510"/>
      <c r="BI1072" s="511"/>
      <c r="BJ1072" s="511"/>
      <c r="BK1072" s="511"/>
      <c r="BL1072" s="510"/>
      <c r="BM1072" s="510"/>
      <c r="BN1072" s="510"/>
      <c r="BO1072" s="510"/>
      <c r="BP1072" s="510"/>
      <c r="BQ1072" s="510"/>
      <c r="BR1072" s="510"/>
      <c r="BS1072" s="510"/>
      <c r="BT1072" s="513"/>
      <c r="BU1072" s="514"/>
      <c r="BV1072" s="512"/>
      <c r="BW1072" s="515"/>
    </row>
    <row r="1073" spans="2:75" ht="15.75" customHeight="1">
      <c r="B1073" s="250" t="s">
        <v>275</v>
      </c>
      <c r="C1073" s="251">
        <v>32295931000150</v>
      </c>
      <c r="D1073" s="252" t="s">
        <v>14</v>
      </c>
      <c r="E1073" s="252" t="s">
        <v>614</v>
      </c>
      <c r="F1073" s="252"/>
      <c r="G1073" s="253"/>
      <c r="H1073" s="253" t="s">
        <v>1338</v>
      </c>
      <c r="I1073" s="253" t="s">
        <v>34</v>
      </c>
      <c r="J1073" s="253" t="s">
        <v>608</v>
      </c>
      <c r="K1073" s="254" t="s">
        <v>48</v>
      </c>
      <c r="L1073" s="255"/>
      <c r="M1073" s="255" t="s">
        <v>34</v>
      </c>
      <c r="N1073" s="254">
        <v>483257</v>
      </c>
      <c r="O1073" s="254" t="s">
        <v>1321</v>
      </c>
      <c r="P1073" s="258">
        <v>43462</v>
      </c>
      <c r="Q1073" s="259">
        <v>20968911.5</v>
      </c>
      <c r="R1073" s="259">
        <v>21692765.142579358</v>
      </c>
      <c r="S1073" s="254">
        <v>32</v>
      </c>
      <c r="T1073" s="256">
        <v>5.8103403427203437E-2</v>
      </c>
      <c r="U1073" s="256">
        <v>0.75111403680522626</v>
      </c>
      <c r="V1073" s="256">
        <v>-6.0103676077090995E-2</v>
      </c>
      <c r="W1073" s="256">
        <v>-0.58921699633843228</v>
      </c>
      <c r="X1073" s="256">
        <v>4.7207684156321594E-2</v>
      </c>
      <c r="Y1073" s="256">
        <v>0.35798444473124996</v>
      </c>
      <c r="Z1073" s="256">
        <v>0.28582742438341668</v>
      </c>
      <c r="AA1073" s="256">
        <v>1.6247357420914048</v>
      </c>
      <c r="AB1073" s="256">
        <v>0.30333834865226789</v>
      </c>
      <c r="AC1073" s="260">
        <v>-0.37302329993376115</v>
      </c>
      <c r="AD1073" s="405">
        <v>32041670000142</v>
      </c>
      <c r="AE1073" s="257" t="s">
        <v>2309</v>
      </c>
      <c r="AF1073" s="257" t="s">
        <v>2109</v>
      </c>
      <c r="AG1073" s="261" t="s">
        <v>1432</v>
      </c>
      <c r="AH1073" s="261" t="s">
        <v>2110</v>
      </c>
      <c r="AI1073" s="261">
        <v>10000</v>
      </c>
      <c r="AJ1073" s="261">
        <v>5000</v>
      </c>
      <c r="AK1073" s="261">
        <v>5000</v>
      </c>
      <c r="AL1073" s="256">
        <v>1.8700000000000001E-2</v>
      </c>
      <c r="AM1073" s="256">
        <v>0.2</v>
      </c>
      <c r="AN1073" s="256" t="s">
        <v>34</v>
      </c>
      <c r="AO1073" s="254" t="s">
        <v>1324</v>
      </c>
      <c r="AP1073" s="257" t="s">
        <v>13</v>
      </c>
      <c r="AQ1073" s="263" t="s">
        <v>668</v>
      </c>
      <c r="AR1073" s="256">
        <v>3.7399999999999998E-3</v>
      </c>
      <c r="AS1073" s="256">
        <v>3.7399999999999998E-3</v>
      </c>
      <c r="AT1073" s="256"/>
      <c r="AX1073" s="508"/>
      <c r="AY1073" s="509"/>
      <c r="AZ1073" s="509"/>
      <c r="BA1073" s="509"/>
      <c r="BB1073" s="510"/>
      <c r="BC1073" s="509"/>
      <c r="BD1073" s="509"/>
      <c r="BE1073" s="509"/>
      <c r="BF1073" s="509"/>
      <c r="BG1073" s="510"/>
      <c r="BH1073" s="510"/>
      <c r="BI1073" s="511"/>
      <c r="BJ1073" s="511"/>
      <c r="BK1073" s="511"/>
      <c r="BL1073" s="510"/>
      <c r="BM1073" s="510"/>
      <c r="BN1073" s="510"/>
      <c r="BO1073" s="510"/>
      <c r="BP1073" s="510"/>
      <c r="BQ1073" s="510"/>
      <c r="BR1073" s="510"/>
      <c r="BS1073" s="510"/>
      <c r="BT1073" s="513"/>
      <c r="BU1073" s="514"/>
      <c r="BV1073" s="512"/>
      <c r="BW1073" s="515"/>
    </row>
    <row r="1074" spans="2:75" ht="15.75" customHeight="1">
      <c r="B1074" s="250" t="s">
        <v>276</v>
      </c>
      <c r="C1074" s="251">
        <v>11182072000113</v>
      </c>
      <c r="D1074" s="252" t="s">
        <v>14</v>
      </c>
      <c r="E1074" s="252" t="s">
        <v>614</v>
      </c>
      <c r="F1074" s="252"/>
      <c r="G1074" s="253"/>
      <c r="H1074" s="253" t="s">
        <v>1338</v>
      </c>
      <c r="I1074" s="253" t="s">
        <v>34</v>
      </c>
      <c r="J1074" s="253" t="s">
        <v>608</v>
      </c>
      <c r="K1074" s="254" t="s">
        <v>48</v>
      </c>
      <c r="L1074" s="255"/>
      <c r="M1074" s="255" t="s">
        <v>34</v>
      </c>
      <c r="N1074" s="254">
        <v>304425</v>
      </c>
      <c r="O1074" s="254" t="s">
        <v>1321</v>
      </c>
      <c r="P1074" s="258">
        <v>40204</v>
      </c>
      <c r="Q1074" s="259">
        <v>164788746.68000001</v>
      </c>
      <c r="R1074" s="259">
        <v>169105503.35257939</v>
      </c>
      <c r="S1074" s="254">
        <v>32</v>
      </c>
      <c r="T1074" s="256">
        <v>5.6704094139168104E-2</v>
      </c>
      <c r="U1074" s="256">
        <v>0.73302489251969238</v>
      </c>
      <c r="V1074" s="256">
        <v>-0.14478058297889684</v>
      </c>
      <c r="W1074" s="256">
        <v>-1.4193338211382427</v>
      </c>
      <c r="X1074" s="256">
        <v>-2.0591472837334535E-2</v>
      </c>
      <c r="Y1074" s="256">
        <v>-0.15614887918378664</v>
      </c>
      <c r="Z1074" s="256">
        <v>-3.2607830233526203E-2</v>
      </c>
      <c r="AA1074" s="256">
        <v>-0.18535347812318778</v>
      </c>
      <c r="AB1074" s="256">
        <v>0.57710350910803176</v>
      </c>
      <c r="AC1074" s="260">
        <v>-0.15054553753947747</v>
      </c>
      <c r="AD1074" s="405">
        <v>15559384000154</v>
      </c>
      <c r="AE1074" s="257" t="s">
        <v>2309</v>
      </c>
      <c r="AF1074" s="257" t="s">
        <v>2109</v>
      </c>
      <c r="AG1074" s="261" t="s">
        <v>1432</v>
      </c>
      <c r="AH1074" s="261" t="s">
        <v>2113</v>
      </c>
      <c r="AI1074" s="261">
        <v>10000</v>
      </c>
      <c r="AJ1074" s="261">
        <v>1000</v>
      </c>
      <c r="AK1074" s="261">
        <v>1000</v>
      </c>
      <c r="AL1074" s="256">
        <v>1.8700000000000001E-2</v>
      </c>
      <c r="AM1074" s="256">
        <v>0.2</v>
      </c>
      <c r="AN1074" s="256" t="s">
        <v>2127</v>
      </c>
      <c r="AO1074" s="254" t="s">
        <v>1324</v>
      </c>
      <c r="AP1074" s="257" t="s">
        <v>13</v>
      </c>
      <c r="AQ1074" s="263" t="s">
        <v>668</v>
      </c>
      <c r="AR1074" s="256">
        <v>3.7399999999999998E-3</v>
      </c>
      <c r="AS1074" s="256">
        <v>3.7399999999999998E-3</v>
      </c>
      <c r="AT1074" s="256"/>
      <c r="AX1074" s="508"/>
      <c r="AY1074" s="509"/>
      <c r="AZ1074" s="509"/>
      <c r="BA1074" s="509"/>
      <c r="BB1074" s="510"/>
      <c r="BC1074" s="509"/>
      <c r="BD1074" s="509"/>
      <c r="BE1074" s="509"/>
      <c r="BF1074" s="509"/>
      <c r="BG1074" s="510"/>
      <c r="BH1074" s="510"/>
      <c r="BI1074" s="511"/>
      <c r="BJ1074" s="511"/>
      <c r="BK1074" s="511"/>
      <c r="BL1074" s="510"/>
      <c r="BM1074" s="510"/>
      <c r="BN1074" s="510"/>
      <c r="BO1074" s="510"/>
      <c r="BP1074" s="510"/>
      <c r="BQ1074" s="510"/>
      <c r="BR1074" s="510"/>
      <c r="BS1074" s="510"/>
      <c r="BT1074" s="513"/>
      <c r="BU1074" s="514"/>
      <c r="BV1074" s="512"/>
      <c r="BW1074" s="515"/>
    </row>
    <row r="1075" spans="2:75" ht="15.75" customHeight="1">
      <c r="B1075" s="250" t="s">
        <v>1609</v>
      </c>
      <c r="C1075" s="251">
        <v>44360367000191</v>
      </c>
      <c r="D1075" s="252" t="s">
        <v>14</v>
      </c>
      <c r="E1075" s="252"/>
      <c r="F1075" s="252"/>
      <c r="G1075" s="253"/>
      <c r="H1075" s="253" t="s">
        <v>34</v>
      </c>
      <c r="I1075" s="253"/>
      <c r="J1075" s="253"/>
      <c r="K1075" s="254"/>
      <c r="L1075" s="255"/>
      <c r="M1075" s="255"/>
      <c r="N1075" s="254">
        <v>627054</v>
      </c>
      <c r="O1075" s="254" t="s">
        <v>1321</v>
      </c>
      <c r="P1075" s="258">
        <v>44540</v>
      </c>
      <c r="Q1075" s="259">
        <v>28913953.149999999</v>
      </c>
      <c r="R1075" s="259" t="s">
        <v>1417</v>
      </c>
      <c r="S1075" s="254">
        <v>32</v>
      </c>
      <c r="T1075" s="256">
        <v>8.7056419505060045E-2</v>
      </c>
      <c r="U1075" s="256">
        <v>0.97920307813464913</v>
      </c>
      <c r="V1075" s="256" t="s">
        <v>1417</v>
      </c>
      <c r="W1075" s="256" t="s">
        <v>1417</v>
      </c>
      <c r="X1075" s="256" t="s">
        <v>1417</v>
      </c>
      <c r="Y1075" s="256" t="s">
        <v>1417</v>
      </c>
      <c r="Z1075" s="256" t="s">
        <v>1417</v>
      </c>
      <c r="AA1075" s="256" t="s">
        <v>1417</v>
      </c>
      <c r="AB1075" s="256" t="s">
        <v>1417</v>
      </c>
      <c r="AC1075" s="260" t="s">
        <v>1417</v>
      </c>
      <c r="AD1075" s="405">
        <v>0</v>
      </c>
      <c r="AE1075" s="257" t="s">
        <v>2316</v>
      </c>
      <c r="AF1075" s="257" t="s">
        <v>2109</v>
      </c>
      <c r="AG1075" s="261" t="s">
        <v>1432</v>
      </c>
      <c r="AH1075" s="261" t="s">
        <v>2110</v>
      </c>
      <c r="AI1075" s="261">
        <v>5000</v>
      </c>
      <c r="AJ1075" s="261">
        <v>5000</v>
      </c>
      <c r="AK1075" s="261">
        <v>5000</v>
      </c>
      <c r="AL1075" s="256">
        <v>1.8500000000000003E-2</v>
      </c>
      <c r="AM1075" s="256">
        <v>0.2</v>
      </c>
      <c r="AN1075" s="256" t="s">
        <v>64</v>
      </c>
      <c r="AO1075" s="254" t="s">
        <v>1324</v>
      </c>
      <c r="AP1075" s="257" t="s">
        <v>716</v>
      </c>
      <c r="AQ1075" s="263" t="s">
        <v>659</v>
      </c>
      <c r="AR1075" s="256" t="s">
        <v>34</v>
      </c>
      <c r="AS1075" s="256" t="s">
        <v>34</v>
      </c>
      <c r="AT1075" s="256"/>
      <c r="AX1075" s="508"/>
      <c r="AY1075" s="509"/>
      <c r="AZ1075" s="509"/>
      <c r="BA1075" s="509"/>
      <c r="BB1075" s="510"/>
      <c r="BC1075" s="509"/>
      <c r="BD1075" s="509"/>
      <c r="BE1075" s="509"/>
      <c r="BF1075" s="509"/>
      <c r="BG1075" s="510"/>
      <c r="BH1075" s="510"/>
      <c r="BI1075" s="511"/>
      <c r="BJ1075" s="511"/>
      <c r="BK1075" s="511"/>
      <c r="BL1075" s="510"/>
      <c r="BM1075" s="510"/>
      <c r="BN1075" s="510"/>
      <c r="BO1075" s="510"/>
      <c r="BP1075" s="510"/>
      <c r="BQ1075" s="510"/>
      <c r="BR1075" s="510"/>
      <c r="BS1075" s="510"/>
      <c r="BT1075" s="513"/>
      <c r="BU1075" s="514"/>
      <c r="BV1075" s="512"/>
      <c r="BW1075" s="515"/>
    </row>
    <row r="1076" spans="2:75" ht="15.75" customHeight="1">
      <c r="B1076" s="250" t="s">
        <v>1619</v>
      </c>
      <c r="C1076" s="251">
        <v>34897039000175</v>
      </c>
      <c r="D1076" s="252" t="s">
        <v>14</v>
      </c>
      <c r="E1076" s="252"/>
      <c r="F1076" s="252"/>
      <c r="G1076" s="253"/>
      <c r="H1076" s="253" t="s">
        <v>34</v>
      </c>
      <c r="I1076" s="253"/>
      <c r="J1076" s="253"/>
      <c r="K1076" s="254"/>
      <c r="L1076" s="255"/>
      <c r="M1076" s="255"/>
      <c r="N1076" s="254">
        <v>513822</v>
      </c>
      <c r="O1076" s="254" t="s">
        <v>1324</v>
      </c>
      <c r="P1076" s="258">
        <v>43780</v>
      </c>
      <c r="Q1076" s="259">
        <v>19357042.809999999</v>
      </c>
      <c r="R1076" s="259">
        <v>22173665.093253966</v>
      </c>
      <c r="S1076" s="254">
        <v>32</v>
      </c>
      <c r="T1076" s="256">
        <v>1.5663526709143616E-2</v>
      </c>
      <c r="U1076" s="256">
        <v>0.17618199387520447</v>
      </c>
      <c r="V1076" s="256">
        <v>-9.3081977372669544E-2</v>
      </c>
      <c r="W1076" s="256">
        <v>-0.85427924675037181</v>
      </c>
      <c r="X1076" s="256">
        <v>-6.794304831957354E-2</v>
      </c>
      <c r="Y1076" s="256">
        <v>-0.4777612782365302</v>
      </c>
      <c r="Z1076" s="256" t="s">
        <v>1417</v>
      </c>
      <c r="AA1076" s="256" t="s">
        <v>1417</v>
      </c>
      <c r="AB1076" s="256">
        <v>0.2894452907446492</v>
      </c>
      <c r="AC1076" s="260">
        <v>-0.55040754660911906</v>
      </c>
      <c r="AD1076" s="405">
        <v>34839385000105</v>
      </c>
      <c r="AE1076" s="257" t="s">
        <v>2318</v>
      </c>
      <c r="AF1076" s="257" t="s">
        <v>2318</v>
      </c>
      <c r="AG1076" s="261" t="s">
        <v>1436</v>
      </c>
      <c r="AH1076" s="261" t="s">
        <v>2110</v>
      </c>
      <c r="AI1076" s="261" t="s">
        <v>1427</v>
      </c>
      <c r="AJ1076" s="261" t="s">
        <v>1427</v>
      </c>
      <c r="AK1076" s="261" t="s">
        <v>1427</v>
      </c>
      <c r="AL1076" s="256">
        <v>0</v>
      </c>
      <c r="AM1076" s="256" t="s">
        <v>34</v>
      </c>
      <c r="AN1076" s="256" t="s">
        <v>64</v>
      </c>
      <c r="AO1076" s="254" t="s">
        <v>1324</v>
      </c>
      <c r="AP1076" s="257" t="s">
        <v>716</v>
      </c>
      <c r="AQ1076" s="263" t="s">
        <v>659</v>
      </c>
      <c r="AR1076" s="256" t="s">
        <v>34</v>
      </c>
      <c r="AS1076" s="256" t="s">
        <v>34</v>
      </c>
      <c r="AT1076" s="256"/>
      <c r="AX1076" s="508"/>
      <c r="AY1076" s="509"/>
      <c r="AZ1076" s="509"/>
      <c r="BA1076" s="509"/>
      <c r="BB1076" s="510"/>
      <c r="BC1076" s="509"/>
      <c r="BD1076" s="509"/>
      <c r="BE1076" s="509"/>
      <c r="BF1076" s="509"/>
      <c r="BG1076" s="510"/>
      <c r="BH1076" s="510"/>
      <c r="BI1076" s="511"/>
      <c r="BJ1076" s="511"/>
      <c r="BK1076" s="511"/>
      <c r="BL1076" s="510"/>
      <c r="BM1076" s="510"/>
      <c r="BN1076" s="510"/>
      <c r="BO1076" s="510"/>
      <c r="BP1076" s="510"/>
      <c r="BQ1076" s="510"/>
      <c r="BR1076" s="510"/>
      <c r="BS1076" s="510"/>
      <c r="BT1076" s="513"/>
      <c r="BU1076" s="514"/>
      <c r="BV1076" s="512"/>
      <c r="BW1076" s="515"/>
    </row>
    <row r="1077" spans="2:75" ht="15.75" customHeight="1">
      <c r="B1077" s="250" t="s">
        <v>1620</v>
      </c>
      <c r="C1077" s="251">
        <v>18205277000116</v>
      </c>
      <c r="D1077" s="252" t="s">
        <v>14</v>
      </c>
      <c r="E1077" s="252"/>
      <c r="F1077" s="252"/>
      <c r="G1077" s="253"/>
      <c r="H1077" s="253" t="s">
        <v>34</v>
      </c>
      <c r="I1077" s="253"/>
      <c r="J1077" s="253"/>
      <c r="K1077" s="254"/>
      <c r="L1077" s="255"/>
      <c r="M1077" s="255"/>
      <c r="N1077" s="254">
        <v>342823</v>
      </c>
      <c r="O1077" s="254" t="s">
        <v>1324</v>
      </c>
      <c r="P1077" s="258">
        <v>41478</v>
      </c>
      <c r="Q1077" s="259">
        <v>13389138.810000001</v>
      </c>
      <c r="R1077" s="259">
        <v>20305888.755515873</v>
      </c>
      <c r="S1077" s="254">
        <v>32</v>
      </c>
      <c r="T1077" s="256">
        <v>0.13853338886737188</v>
      </c>
      <c r="U1077" s="256">
        <v>1.558211577900585</v>
      </c>
      <c r="V1077" s="256">
        <v>1.5798872122356089E-2</v>
      </c>
      <c r="W1077" s="256">
        <v>0.14499744157943353</v>
      </c>
      <c r="X1077" s="256">
        <v>6.2266404061284142E-4</v>
      </c>
      <c r="Y1077" s="256">
        <v>4.3784430535980566E-3</v>
      </c>
      <c r="Z1077" s="256">
        <v>-7.1849584949323697E-2</v>
      </c>
      <c r="AA1077" s="256">
        <v>-0.39262663297679945</v>
      </c>
      <c r="AB1077" s="256">
        <v>0.14119030066315819</v>
      </c>
      <c r="AC1077" s="260">
        <v>-0.55122193900630045</v>
      </c>
      <c r="AD1077" s="405">
        <v>34284218000137</v>
      </c>
      <c r="AE1077" s="257" t="s">
        <v>2318</v>
      </c>
      <c r="AF1077" s="257" t="s">
        <v>2318</v>
      </c>
      <c r="AG1077" s="261" t="s">
        <v>1436</v>
      </c>
      <c r="AH1077" s="261" t="s">
        <v>2319</v>
      </c>
      <c r="AI1077" s="261">
        <v>20000</v>
      </c>
      <c r="AJ1077" s="261">
        <v>5000</v>
      </c>
      <c r="AK1077" s="261">
        <v>0</v>
      </c>
      <c r="AL1077" s="256">
        <v>0</v>
      </c>
      <c r="AM1077" s="256" t="s">
        <v>34</v>
      </c>
      <c r="AN1077" s="256" t="s">
        <v>2122</v>
      </c>
      <c r="AO1077" s="254" t="s">
        <v>1324</v>
      </c>
      <c r="AP1077" s="257" t="s">
        <v>716</v>
      </c>
      <c r="AQ1077" s="263" t="s">
        <v>659</v>
      </c>
      <c r="AR1077" s="256" t="s">
        <v>34</v>
      </c>
      <c r="AS1077" s="256" t="s">
        <v>34</v>
      </c>
      <c r="AT1077" s="256"/>
      <c r="AX1077" s="508"/>
      <c r="AY1077" s="509"/>
      <c r="AZ1077" s="509"/>
      <c r="BA1077" s="509"/>
      <c r="BB1077" s="510"/>
      <c r="BC1077" s="509"/>
      <c r="BD1077" s="509"/>
      <c r="BE1077" s="509"/>
      <c r="BF1077" s="509"/>
      <c r="BG1077" s="510"/>
      <c r="BH1077" s="510"/>
      <c r="BI1077" s="511"/>
      <c r="BJ1077" s="511"/>
      <c r="BK1077" s="511"/>
      <c r="BL1077" s="510"/>
      <c r="BM1077" s="510"/>
      <c r="BN1077" s="510"/>
      <c r="BO1077" s="510"/>
      <c r="BP1077" s="510"/>
      <c r="BQ1077" s="510"/>
      <c r="BR1077" s="510"/>
      <c r="BS1077" s="510"/>
      <c r="BT1077" s="513"/>
      <c r="BU1077" s="514"/>
      <c r="BV1077" s="512"/>
      <c r="BW1077" s="515"/>
    </row>
    <row r="1078" spans="2:75" ht="15.75" customHeight="1">
      <c r="B1078" s="250" t="s">
        <v>1623</v>
      </c>
      <c r="C1078" s="251">
        <v>27783036000145</v>
      </c>
      <c r="D1078" s="252" t="s">
        <v>14</v>
      </c>
      <c r="E1078" s="252"/>
      <c r="F1078" s="252"/>
      <c r="G1078" s="253"/>
      <c r="H1078" s="253" t="s">
        <v>34</v>
      </c>
      <c r="I1078" s="253"/>
      <c r="J1078" s="253"/>
      <c r="K1078" s="254"/>
      <c r="L1078" s="255"/>
      <c r="M1078" s="255"/>
      <c r="N1078" s="254">
        <v>459021</v>
      </c>
      <c r="O1078" s="254" t="s">
        <v>1321</v>
      </c>
      <c r="P1078" s="258">
        <v>43004</v>
      </c>
      <c r="Q1078" s="259">
        <v>119464698.63</v>
      </c>
      <c r="R1078" s="259">
        <v>191155610.68519849</v>
      </c>
      <c r="S1078" s="254">
        <v>32</v>
      </c>
      <c r="T1078" s="256">
        <v>-4.4889947930753515E-2</v>
      </c>
      <c r="U1078" s="256">
        <v>-0.50491825233569432</v>
      </c>
      <c r="V1078" s="256">
        <v>-0.17653642934381686</v>
      </c>
      <c r="W1078" s="256">
        <v>-1.6201998726352465</v>
      </c>
      <c r="X1078" s="256">
        <v>-5.75466825674944E-2</v>
      </c>
      <c r="Y1078" s="256">
        <v>-0.40465621283873743</v>
      </c>
      <c r="Z1078" s="256">
        <v>-8.3221222898014369E-2</v>
      </c>
      <c r="AA1078" s="256">
        <v>-0.45476767279456171</v>
      </c>
      <c r="AB1078" s="256">
        <v>0.22577197906299087</v>
      </c>
      <c r="AC1078" s="260">
        <v>-1.2055481885389996</v>
      </c>
      <c r="AD1078" s="405">
        <v>28386376000103</v>
      </c>
      <c r="AE1078" s="257" t="s">
        <v>2318</v>
      </c>
      <c r="AF1078" s="257" t="s">
        <v>2318</v>
      </c>
      <c r="AG1078" s="261" t="s">
        <v>1436</v>
      </c>
      <c r="AH1078" s="261" t="s">
        <v>2110</v>
      </c>
      <c r="AI1078" s="261">
        <v>100000</v>
      </c>
      <c r="AJ1078" s="261">
        <v>10000</v>
      </c>
      <c r="AK1078" s="261">
        <v>100000</v>
      </c>
      <c r="AL1078" s="256">
        <v>0</v>
      </c>
      <c r="AM1078" s="256" t="s">
        <v>34</v>
      </c>
      <c r="AN1078" s="256" t="s">
        <v>666</v>
      </c>
      <c r="AO1078" s="254" t="s">
        <v>1324</v>
      </c>
      <c r="AP1078" s="257" t="s">
        <v>716</v>
      </c>
      <c r="AQ1078" s="263" t="s">
        <v>659</v>
      </c>
      <c r="AR1078" s="256" t="s">
        <v>34</v>
      </c>
      <c r="AS1078" s="256" t="s">
        <v>34</v>
      </c>
      <c r="AT1078" s="256"/>
      <c r="AX1078" s="508"/>
      <c r="AY1078" s="509"/>
      <c r="AZ1078" s="509"/>
      <c r="BA1078" s="509"/>
      <c r="BB1078" s="510"/>
      <c r="BC1078" s="509"/>
      <c r="BD1078" s="509"/>
      <c r="BE1078" s="509"/>
      <c r="BF1078" s="509"/>
      <c r="BG1078" s="510"/>
      <c r="BH1078" s="510"/>
      <c r="BI1078" s="511"/>
      <c r="BJ1078" s="511"/>
      <c r="BK1078" s="511"/>
      <c r="BL1078" s="510"/>
      <c r="BM1078" s="510"/>
      <c r="BN1078" s="510"/>
      <c r="BO1078" s="510"/>
      <c r="BP1078" s="510"/>
      <c r="BQ1078" s="510"/>
      <c r="BR1078" s="510"/>
      <c r="BS1078" s="510"/>
      <c r="BT1078" s="513"/>
      <c r="BU1078" s="514"/>
      <c r="BV1078" s="512"/>
      <c r="BW1078" s="515"/>
    </row>
    <row r="1079" spans="2:75" ht="15.75" customHeight="1">
      <c r="B1079" s="250" t="s">
        <v>1630</v>
      </c>
      <c r="C1079" s="251">
        <v>34887351000188</v>
      </c>
      <c r="D1079" s="252" t="s">
        <v>14</v>
      </c>
      <c r="E1079" s="252"/>
      <c r="F1079" s="252"/>
      <c r="G1079" s="253"/>
      <c r="H1079" s="253" t="s">
        <v>34</v>
      </c>
      <c r="I1079" s="253"/>
      <c r="J1079" s="253"/>
      <c r="K1079" s="254"/>
      <c r="L1079" s="255"/>
      <c r="M1079" s="255"/>
      <c r="N1079" s="254">
        <v>521752</v>
      </c>
      <c r="O1079" s="254" t="s">
        <v>1324</v>
      </c>
      <c r="P1079" s="258">
        <v>43822</v>
      </c>
      <c r="Q1079" s="259">
        <v>11330568.9</v>
      </c>
      <c r="R1079" s="259">
        <v>21111249.006190468</v>
      </c>
      <c r="S1079" s="254">
        <v>32</v>
      </c>
      <c r="T1079" s="256">
        <v>-0.12099518196823433</v>
      </c>
      <c r="U1079" s="256">
        <v>-1.3609433433667764</v>
      </c>
      <c r="V1079" s="256">
        <v>-0.32263474446028007</v>
      </c>
      <c r="W1079" s="256">
        <v>-2.96104760827689</v>
      </c>
      <c r="X1079" s="256">
        <v>-0.25048234205354969</v>
      </c>
      <c r="Y1079" s="256">
        <v>-1.7613393404474027</v>
      </c>
      <c r="Z1079" s="256" t="s">
        <v>1417</v>
      </c>
      <c r="AA1079" s="256" t="s">
        <v>1417</v>
      </c>
      <c r="AB1079" s="256">
        <v>0.31861268365922346</v>
      </c>
      <c r="AC1079" s="260">
        <v>-1.3868523833673938</v>
      </c>
      <c r="AD1079" s="405">
        <v>12004203000135</v>
      </c>
      <c r="AE1079" s="257" t="s">
        <v>2318</v>
      </c>
      <c r="AF1079" s="257" t="s">
        <v>2318</v>
      </c>
      <c r="AG1079" s="261" t="s">
        <v>1436</v>
      </c>
      <c r="AH1079" s="261" t="s">
        <v>2319</v>
      </c>
      <c r="AI1079" s="261">
        <v>1000</v>
      </c>
      <c r="AJ1079" s="261">
        <v>100</v>
      </c>
      <c r="AK1079" s="261">
        <v>1000</v>
      </c>
      <c r="AL1079" s="256">
        <v>0</v>
      </c>
      <c r="AM1079" s="256" t="s">
        <v>34</v>
      </c>
      <c r="AN1079" s="256" t="s">
        <v>666</v>
      </c>
      <c r="AO1079" s="254" t="s">
        <v>1324</v>
      </c>
      <c r="AP1079" s="257" t="s">
        <v>716</v>
      </c>
      <c r="AQ1079" s="263" t="s">
        <v>665</v>
      </c>
      <c r="AR1079" s="256" t="s">
        <v>34</v>
      </c>
      <c r="AS1079" s="256" t="s">
        <v>34</v>
      </c>
      <c r="AT1079" s="256"/>
      <c r="AX1079" s="508"/>
      <c r="AY1079" s="509"/>
      <c r="AZ1079" s="509"/>
      <c r="BA1079" s="509"/>
      <c r="BB1079" s="510"/>
      <c r="BC1079" s="509"/>
      <c r="BD1079" s="509"/>
      <c r="BE1079" s="509"/>
      <c r="BF1079" s="509"/>
      <c r="BG1079" s="510"/>
      <c r="BH1079" s="510"/>
      <c r="BI1079" s="511"/>
      <c r="BJ1079" s="511"/>
      <c r="BK1079" s="511"/>
      <c r="BL1079" s="510"/>
      <c r="BM1079" s="510"/>
      <c r="BN1079" s="510"/>
      <c r="BO1079" s="510"/>
      <c r="BP1079" s="510"/>
      <c r="BQ1079" s="510"/>
      <c r="BR1079" s="510"/>
      <c r="BS1079" s="510"/>
      <c r="BT1079" s="513"/>
      <c r="BU1079" s="514"/>
      <c r="BV1079" s="512"/>
      <c r="BW1079" s="515"/>
    </row>
    <row r="1080" spans="2:75" ht="15.75" customHeight="1">
      <c r="B1080" s="250" t="s">
        <v>1638</v>
      </c>
      <c r="C1080" s="251">
        <v>31006892000161</v>
      </c>
      <c r="D1080" s="252" t="s">
        <v>14</v>
      </c>
      <c r="E1080" s="252" t="s">
        <v>614</v>
      </c>
      <c r="F1080" s="252"/>
      <c r="G1080" s="253"/>
      <c r="H1080" s="253" t="s">
        <v>1338</v>
      </c>
      <c r="I1080" s="253" t="s">
        <v>34</v>
      </c>
      <c r="J1080" s="253" t="s">
        <v>608</v>
      </c>
      <c r="K1080" s="254" t="s">
        <v>48</v>
      </c>
      <c r="L1080" s="255"/>
      <c r="M1080" s="255"/>
      <c r="N1080" s="254">
        <v>484113</v>
      </c>
      <c r="O1080" s="254" t="s">
        <v>1321</v>
      </c>
      <c r="P1080" s="258">
        <v>43455</v>
      </c>
      <c r="Q1080" s="259">
        <v>23243794.68</v>
      </c>
      <c r="R1080" s="259">
        <v>44797358.96797616</v>
      </c>
      <c r="S1080" s="254">
        <v>32</v>
      </c>
      <c r="T1080" s="256">
        <v>-2.4427970958749157E-3</v>
      </c>
      <c r="U1080" s="256">
        <v>-2.7476370486384034E-2</v>
      </c>
      <c r="V1080" s="256">
        <v>-0.11013277252079523</v>
      </c>
      <c r="W1080" s="256">
        <v>-1.0107664728147439</v>
      </c>
      <c r="X1080" s="256">
        <v>2.5490258774347963E-2</v>
      </c>
      <c r="Y1080" s="256">
        <v>0.17924215818712402</v>
      </c>
      <c r="Z1080" s="256">
        <v>0.1225765764008957</v>
      </c>
      <c r="AA1080" s="256">
        <v>0.66982750851033412</v>
      </c>
      <c r="AB1080" s="256">
        <v>0.23233788495180496</v>
      </c>
      <c r="AC1080" s="260">
        <v>-0.83141336877890304</v>
      </c>
      <c r="AD1080" s="405">
        <v>32072964000131</v>
      </c>
      <c r="AE1080" s="257" t="s">
        <v>2318</v>
      </c>
      <c r="AF1080" s="257" t="s">
        <v>2318</v>
      </c>
      <c r="AG1080" s="261" t="s">
        <v>1436</v>
      </c>
      <c r="AH1080" s="261" t="s">
        <v>2113</v>
      </c>
      <c r="AI1080" s="261">
        <v>20000</v>
      </c>
      <c r="AJ1080" s="261">
        <v>1000</v>
      </c>
      <c r="AK1080" s="261">
        <v>20000</v>
      </c>
      <c r="AL1080" s="256">
        <v>0</v>
      </c>
      <c r="AM1080" s="256" t="s">
        <v>34</v>
      </c>
      <c r="AN1080" s="256" t="s">
        <v>64</v>
      </c>
      <c r="AO1080" s="254" t="s">
        <v>1324</v>
      </c>
      <c r="AP1080" s="257" t="s">
        <v>13</v>
      </c>
      <c r="AQ1080" s="263" t="s">
        <v>671</v>
      </c>
      <c r="AR1080" s="256" t="s">
        <v>34</v>
      </c>
      <c r="AS1080" s="256" t="s">
        <v>34</v>
      </c>
      <c r="AT1080" s="256"/>
      <c r="AX1080" s="508"/>
      <c r="AY1080" s="509"/>
      <c r="AZ1080" s="509"/>
      <c r="BA1080" s="509"/>
      <c r="BB1080" s="510"/>
      <c r="BC1080" s="509"/>
      <c r="BD1080" s="509"/>
      <c r="BE1080" s="509"/>
      <c r="BF1080" s="509"/>
      <c r="BG1080" s="510"/>
      <c r="BH1080" s="510"/>
      <c r="BI1080" s="511"/>
      <c r="BJ1080" s="511"/>
      <c r="BK1080" s="511"/>
      <c r="BL1080" s="510"/>
      <c r="BM1080" s="510"/>
      <c r="BN1080" s="510"/>
      <c r="BO1080" s="510"/>
      <c r="BP1080" s="510"/>
      <c r="BQ1080" s="510"/>
      <c r="BR1080" s="510"/>
      <c r="BS1080" s="510"/>
      <c r="BT1080" s="513"/>
      <c r="BU1080" s="514"/>
      <c r="BV1080" s="512"/>
      <c r="BW1080" s="515"/>
    </row>
    <row r="1081" spans="2:75" ht="15.75" customHeight="1">
      <c r="B1081" s="250" t="s">
        <v>1641</v>
      </c>
      <c r="C1081" s="251">
        <v>33840487000170</v>
      </c>
      <c r="D1081" s="252" t="s">
        <v>14</v>
      </c>
      <c r="E1081" s="252" t="s">
        <v>607</v>
      </c>
      <c r="F1081" s="252"/>
      <c r="G1081" s="253"/>
      <c r="H1081" s="253" t="s">
        <v>34</v>
      </c>
      <c r="I1081" s="253" t="s">
        <v>34</v>
      </c>
      <c r="J1081" s="253" t="s">
        <v>608</v>
      </c>
      <c r="K1081" s="254" t="s">
        <v>48</v>
      </c>
      <c r="L1081" s="255"/>
      <c r="M1081" s="255"/>
      <c r="N1081" s="254">
        <v>503551</v>
      </c>
      <c r="O1081" s="254" t="s">
        <v>1321</v>
      </c>
      <c r="P1081" s="258">
        <v>43672</v>
      </c>
      <c r="Q1081" s="259">
        <v>11488236.85</v>
      </c>
      <c r="R1081" s="259">
        <v>18387783.266388886</v>
      </c>
      <c r="S1081" s="254">
        <v>32</v>
      </c>
      <c r="T1081" s="256">
        <v>-0.12161440982308125</v>
      </c>
      <c r="U1081" s="256">
        <v>-1.3679083647285561</v>
      </c>
      <c r="V1081" s="256">
        <v>-0.1553486082052199</v>
      </c>
      <c r="W1081" s="256">
        <v>-1.4257442283369468</v>
      </c>
      <c r="X1081" s="256">
        <v>5.8242940913349139E-2</v>
      </c>
      <c r="Y1081" s="256">
        <v>0.40955215562502217</v>
      </c>
      <c r="Z1081" s="256">
        <v>-7.5262265077041035E-2</v>
      </c>
      <c r="AA1081" s="256">
        <v>-0.41127544088456319</v>
      </c>
      <c r="AB1081" s="256">
        <v>0.22381108740607258</v>
      </c>
      <c r="AC1081" s="260">
        <v>-1.1046497856638187</v>
      </c>
      <c r="AD1081" s="405">
        <v>28747685000153</v>
      </c>
      <c r="AE1081" s="257" t="s">
        <v>2318</v>
      </c>
      <c r="AF1081" s="257" t="s">
        <v>2318</v>
      </c>
      <c r="AG1081" s="261" t="s">
        <v>1436</v>
      </c>
      <c r="AH1081" s="261" t="s">
        <v>2110</v>
      </c>
      <c r="AI1081" s="261">
        <v>1000</v>
      </c>
      <c r="AJ1081" s="261">
        <v>100</v>
      </c>
      <c r="AK1081" s="261">
        <v>1000</v>
      </c>
      <c r="AL1081" s="256">
        <v>0</v>
      </c>
      <c r="AM1081" s="256" t="s">
        <v>34</v>
      </c>
      <c r="AN1081" s="256" t="s">
        <v>666</v>
      </c>
      <c r="AO1081" s="254" t="s">
        <v>1324</v>
      </c>
      <c r="AP1081" s="257" t="s">
        <v>716</v>
      </c>
      <c r="AQ1081" s="263" t="s">
        <v>659</v>
      </c>
      <c r="AR1081" s="256" t="s">
        <v>34</v>
      </c>
      <c r="AS1081" s="256" t="s">
        <v>34</v>
      </c>
      <c r="AT1081" s="256"/>
      <c r="AX1081" s="508"/>
      <c r="AY1081" s="509"/>
      <c r="AZ1081" s="509"/>
      <c r="BA1081" s="509"/>
      <c r="BB1081" s="510"/>
      <c r="BC1081" s="509"/>
      <c r="BD1081" s="509"/>
      <c r="BE1081" s="509"/>
      <c r="BF1081" s="509"/>
      <c r="BG1081" s="510"/>
      <c r="BH1081" s="510"/>
      <c r="BI1081" s="511"/>
      <c r="BJ1081" s="511"/>
      <c r="BK1081" s="511"/>
      <c r="BL1081" s="510"/>
      <c r="BM1081" s="510"/>
      <c r="BN1081" s="510"/>
      <c r="BO1081" s="510"/>
      <c r="BP1081" s="510"/>
      <c r="BQ1081" s="510"/>
      <c r="BR1081" s="510"/>
      <c r="BS1081" s="510"/>
      <c r="BT1081" s="513"/>
      <c r="BU1081" s="514"/>
      <c r="BV1081" s="512"/>
      <c r="BW1081" s="515"/>
    </row>
    <row r="1082" spans="2:75" ht="15.75" customHeight="1">
      <c r="B1082" s="250" t="s">
        <v>1644</v>
      </c>
      <c r="C1082" s="251">
        <v>34674588000180</v>
      </c>
      <c r="D1082" s="252" t="s">
        <v>14</v>
      </c>
      <c r="E1082" s="252"/>
      <c r="F1082" s="252"/>
      <c r="G1082" s="253"/>
      <c r="H1082" s="253" t="s">
        <v>34</v>
      </c>
      <c r="I1082" s="253"/>
      <c r="J1082" s="253"/>
      <c r="K1082" s="254"/>
      <c r="L1082" s="255"/>
      <c r="M1082" s="255"/>
      <c r="N1082" s="254">
        <v>513237</v>
      </c>
      <c r="O1082" s="254" t="s">
        <v>1321</v>
      </c>
      <c r="P1082" s="258">
        <v>43770</v>
      </c>
      <c r="Q1082" s="259">
        <v>35218216.420000002</v>
      </c>
      <c r="R1082" s="259">
        <v>59710147.656507924</v>
      </c>
      <c r="S1082" s="254">
        <v>32</v>
      </c>
      <c r="T1082" s="256">
        <v>6.173314943392838E-2</v>
      </c>
      <c r="U1082" s="256">
        <v>0.69436912627833725</v>
      </c>
      <c r="V1082" s="256">
        <v>-8.7486272229715389E-2</v>
      </c>
      <c r="W1082" s="256">
        <v>-0.80292349658811069</v>
      </c>
      <c r="X1082" s="256">
        <v>-1.9380798260379195E-2</v>
      </c>
      <c r="Y1082" s="256">
        <v>-0.1362817120976241</v>
      </c>
      <c r="Z1082" s="256" t="s">
        <v>1417</v>
      </c>
      <c r="AA1082" s="256" t="s">
        <v>1417</v>
      </c>
      <c r="AB1082" s="256">
        <v>0.22288177140342275</v>
      </c>
      <c r="AC1082" s="260">
        <v>-0.76359686238862523</v>
      </c>
      <c r="AD1082" s="405">
        <v>25213366000170</v>
      </c>
      <c r="AE1082" s="257" t="s">
        <v>2318</v>
      </c>
      <c r="AF1082" s="257" t="s">
        <v>2318</v>
      </c>
      <c r="AG1082" s="261" t="s">
        <v>1436</v>
      </c>
      <c r="AH1082" s="261" t="s">
        <v>2110</v>
      </c>
      <c r="AI1082" s="261">
        <v>5000</v>
      </c>
      <c r="AJ1082" s="261">
        <v>5000</v>
      </c>
      <c r="AK1082" s="261">
        <v>0</v>
      </c>
      <c r="AL1082" s="256">
        <v>0</v>
      </c>
      <c r="AM1082" s="256" t="s">
        <v>34</v>
      </c>
      <c r="AN1082" s="256" t="s">
        <v>666</v>
      </c>
      <c r="AO1082" s="254" t="s">
        <v>1324</v>
      </c>
      <c r="AP1082" s="257" t="s">
        <v>716</v>
      </c>
      <c r="AQ1082" s="263" t="s">
        <v>659</v>
      </c>
      <c r="AR1082" s="256" t="s">
        <v>34</v>
      </c>
      <c r="AS1082" s="256" t="s">
        <v>34</v>
      </c>
      <c r="AT1082" s="256"/>
      <c r="AX1082" s="508"/>
      <c r="AY1082" s="509"/>
      <c r="AZ1082" s="509"/>
      <c r="BA1082" s="509"/>
      <c r="BB1082" s="510"/>
      <c r="BC1082" s="509"/>
      <c r="BD1082" s="509"/>
      <c r="BE1082" s="509"/>
      <c r="BF1082" s="509"/>
      <c r="BG1082" s="510"/>
      <c r="BH1082" s="510"/>
      <c r="BI1082" s="511"/>
      <c r="BJ1082" s="511"/>
      <c r="BK1082" s="511"/>
      <c r="BL1082" s="510"/>
      <c r="BM1082" s="510"/>
      <c r="BN1082" s="510"/>
      <c r="BO1082" s="510"/>
      <c r="BP1082" s="510"/>
      <c r="BQ1082" s="510"/>
      <c r="BR1082" s="510"/>
      <c r="BS1082" s="510"/>
      <c r="BT1082" s="513"/>
      <c r="BU1082" s="514"/>
      <c r="BV1082" s="512"/>
      <c r="BW1082" s="515"/>
    </row>
    <row r="1083" spans="2:75" ht="15.75" customHeight="1">
      <c r="B1083" s="250" t="s">
        <v>1648</v>
      </c>
      <c r="C1083" s="251">
        <v>34200609000126</v>
      </c>
      <c r="D1083" s="252" t="s">
        <v>14</v>
      </c>
      <c r="E1083" s="252"/>
      <c r="F1083" s="252"/>
      <c r="G1083" s="253"/>
      <c r="H1083" s="253" t="s">
        <v>34</v>
      </c>
      <c r="I1083" s="253"/>
      <c r="J1083" s="253"/>
      <c r="K1083" s="254"/>
      <c r="L1083" s="255"/>
      <c r="M1083" s="255"/>
      <c r="N1083" s="254">
        <v>508063</v>
      </c>
      <c r="O1083" s="254" t="s">
        <v>1321</v>
      </c>
      <c r="P1083" s="258">
        <v>43711</v>
      </c>
      <c r="Q1083" s="259">
        <v>5380790.29</v>
      </c>
      <c r="R1083" s="259">
        <v>7952653.0825396832</v>
      </c>
      <c r="S1083" s="254">
        <v>32</v>
      </c>
      <c r="T1083" s="256">
        <v>7.2083855142741404E-2</v>
      </c>
      <c r="U1083" s="256">
        <v>0.81079296898354403</v>
      </c>
      <c r="V1083" s="256">
        <v>-8.2860286764733337E-2</v>
      </c>
      <c r="W1083" s="256">
        <v>-0.76046755087177731</v>
      </c>
      <c r="X1083" s="256">
        <v>0.11323722119126489</v>
      </c>
      <c r="Y1083" s="256">
        <v>0.79626041042238282</v>
      </c>
      <c r="Z1083" s="256">
        <v>1.7524754771485185E-2</v>
      </c>
      <c r="AA1083" s="256">
        <v>9.5765138581181117E-2</v>
      </c>
      <c r="AB1083" s="256">
        <v>0.18589685016881927</v>
      </c>
      <c r="AC1083" s="260">
        <v>-0.92888908900606626</v>
      </c>
      <c r="AD1083" s="405">
        <v>29206165000104</v>
      </c>
      <c r="AE1083" s="257" t="s">
        <v>2318</v>
      </c>
      <c r="AF1083" s="257" t="s">
        <v>2318</v>
      </c>
      <c r="AG1083" s="261" t="s">
        <v>1436</v>
      </c>
      <c r="AH1083" s="261" t="s">
        <v>2113</v>
      </c>
      <c r="AI1083" s="261">
        <v>5000</v>
      </c>
      <c r="AJ1083" s="261">
        <v>1000</v>
      </c>
      <c r="AK1083" s="261">
        <v>5000</v>
      </c>
      <c r="AL1083" s="256">
        <v>0</v>
      </c>
      <c r="AM1083" s="256" t="s">
        <v>34</v>
      </c>
      <c r="AN1083" s="256" t="s">
        <v>666</v>
      </c>
      <c r="AO1083" s="254" t="s">
        <v>1324</v>
      </c>
      <c r="AP1083" s="257" t="s">
        <v>716</v>
      </c>
      <c r="AQ1083" s="263" t="s">
        <v>659</v>
      </c>
      <c r="AR1083" s="256" t="s">
        <v>34</v>
      </c>
      <c r="AS1083" s="256" t="s">
        <v>34</v>
      </c>
      <c r="AT1083" s="256"/>
      <c r="AX1083" s="508"/>
      <c r="AY1083" s="509"/>
      <c r="AZ1083" s="509"/>
      <c r="BA1083" s="509"/>
      <c r="BB1083" s="510"/>
      <c r="BC1083" s="509"/>
      <c r="BD1083" s="509"/>
      <c r="BE1083" s="509"/>
      <c r="BF1083" s="509"/>
      <c r="BG1083" s="510"/>
      <c r="BH1083" s="510"/>
      <c r="BI1083" s="511"/>
      <c r="BJ1083" s="511"/>
      <c r="BK1083" s="511"/>
      <c r="BL1083" s="510"/>
      <c r="BM1083" s="510"/>
      <c r="BN1083" s="510"/>
      <c r="BO1083" s="510"/>
      <c r="BP1083" s="510"/>
      <c r="BQ1083" s="510"/>
      <c r="BR1083" s="510"/>
      <c r="BS1083" s="510"/>
      <c r="BT1083" s="513"/>
      <c r="BU1083" s="514"/>
      <c r="BV1083" s="512"/>
      <c r="BW1083" s="515"/>
    </row>
    <row r="1084" spans="2:75" ht="15.75" customHeight="1">
      <c r="B1084" s="250" t="s">
        <v>1668</v>
      </c>
      <c r="C1084" s="251">
        <v>14476715000120</v>
      </c>
      <c r="D1084" s="252" t="s">
        <v>14</v>
      </c>
      <c r="E1084" s="252"/>
      <c r="F1084" s="252"/>
      <c r="G1084" s="253"/>
      <c r="H1084" s="253" t="s">
        <v>34</v>
      </c>
      <c r="I1084" s="253"/>
      <c r="J1084" s="253"/>
      <c r="K1084" s="254"/>
      <c r="L1084" s="255"/>
      <c r="M1084" s="255"/>
      <c r="N1084" s="254">
        <v>307092</v>
      </c>
      <c r="O1084" s="254" t="s">
        <v>1321</v>
      </c>
      <c r="P1084" s="258">
        <v>41089</v>
      </c>
      <c r="Q1084" s="259">
        <v>22877207.079999998</v>
      </c>
      <c r="R1084" s="259">
        <v>47328875.38543652</v>
      </c>
      <c r="S1084" s="254">
        <v>32</v>
      </c>
      <c r="T1084" s="256">
        <v>-0.12279092442044526</v>
      </c>
      <c r="U1084" s="256">
        <v>-1.3811416991771688</v>
      </c>
      <c r="V1084" s="256">
        <v>-0.19998059360784093</v>
      </c>
      <c r="W1084" s="256">
        <v>-1.8353635762164189</v>
      </c>
      <c r="X1084" s="256">
        <v>-0.12679279354251716</v>
      </c>
      <c r="Y1084" s="256">
        <v>-0.8915803546100548</v>
      </c>
      <c r="Z1084" s="256">
        <v>2.2373595743927943E-2</v>
      </c>
      <c r="AA1084" s="256">
        <v>0.12226193889245515</v>
      </c>
      <c r="AB1084" s="256">
        <v>0.18546238429444972</v>
      </c>
      <c r="AC1084" s="260">
        <v>-1.6677075226712412</v>
      </c>
      <c r="AD1084" s="405">
        <v>12282747000169</v>
      </c>
      <c r="AE1084" s="257" t="s">
        <v>2318</v>
      </c>
      <c r="AF1084" s="257" t="s">
        <v>2318</v>
      </c>
      <c r="AG1084" s="261" t="s">
        <v>1436</v>
      </c>
      <c r="AH1084" s="261" t="s">
        <v>2319</v>
      </c>
      <c r="AI1084" s="261">
        <v>50000</v>
      </c>
      <c r="AJ1084" s="261">
        <v>10000</v>
      </c>
      <c r="AK1084" s="261">
        <v>50000</v>
      </c>
      <c r="AL1084" s="256">
        <v>0</v>
      </c>
      <c r="AM1084" s="256" t="s">
        <v>34</v>
      </c>
      <c r="AN1084" s="256" t="s">
        <v>666</v>
      </c>
      <c r="AO1084" s="254" t="s">
        <v>1324</v>
      </c>
      <c r="AP1084" s="257" t="s">
        <v>716</v>
      </c>
      <c r="AQ1084" s="263" t="s">
        <v>659</v>
      </c>
      <c r="AR1084" s="256" t="s">
        <v>34</v>
      </c>
      <c r="AS1084" s="256" t="s">
        <v>34</v>
      </c>
      <c r="AT1084" s="256"/>
      <c r="AX1084" s="508"/>
      <c r="AY1084" s="509"/>
      <c r="AZ1084" s="509"/>
      <c r="BA1084" s="509"/>
      <c r="BB1084" s="510"/>
      <c r="BC1084" s="509"/>
      <c r="BD1084" s="509"/>
      <c r="BE1084" s="509"/>
      <c r="BF1084" s="509"/>
      <c r="BG1084" s="510"/>
      <c r="BH1084" s="510"/>
      <c r="BI1084" s="511"/>
      <c r="BJ1084" s="511"/>
      <c r="BK1084" s="511"/>
      <c r="BL1084" s="510"/>
      <c r="BM1084" s="510"/>
      <c r="BN1084" s="510"/>
      <c r="BO1084" s="510"/>
      <c r="BP1084" s="510"/>
      <c r="BQ1084" s="510"/>
      <c r="BR1084" s="510"/>
      <c r="BS1084" s="510"/>
      <c r="BT1084" s="513"/>
      <c r="BU1084" s="514"/>
      <c r="BV1084" s="512"/>
      <c r="BW1084" s="515"/>
    </row>
    <row r="1085" spans="2:75" ht="15.75" customHeight="1">
      <c r="B1085" s="250" t="s">
        <v>1670</v>
      </c>
      <c r="C1085" s="251">
        <v>31006632000196</v>
      </c>
      <c r="D1085" s="252" t="s">
        <v>14</v>
      </c>
      <c r="E1085" s="252" t="s">
        <v>614</v>
      </c>
      <c r="F1085" s="252"/>
      <c r="G1085" s="253"/>
      <c r="H1085" s="253" t="s">
        <v>1338</v>
      </c>
      <c r="I1085" s="253" t="s">
        <v>34</v>
      </c>
      <c r="J1085" s="253" t="s">
        <v>608</v>
      </c>
      <c r="K1085" s="254" t="s">
        <v>48</v>
      </c>
      <c r="L1085" s="255"/>
      <c r="M1085" s="255"/>
      <c r="N1085" s="254">
        <v>487449</v>
      </c>
      <c r="O1085" s="254" t="s">
        <v>1321</v>
      </c>
      <c r="P1085" s="258">
        <v>43515</v>
      </c>
      <c r="Q1085" s="259">
        <v>48783105.509999998</v>
      </c>
      <c r="R1085" s="259">
        <v>77385040.868730158</v>
      </c>
      <c r="S1085" s="254">
        <v>32</v>
      </c>
      <c r="T1085" s="256">
        <v>0.14999269027968021</v>
      </c>
      <c r="U1085" s="256">
        <v>1.6871048092096541</v>
      </c>
      <c r="V1085" s="256">
        <v>-6.2790196491447792E-2</v>
      </c>
      <c r="W1085" s="256">
        <v>-0.57627011453853771</v>
      </c>
      <c r="X1085" s="256">
        <v>8.8530524392726795E-2</v>
      </c>
      <c r="Y1085" s="256">
        <v>0.62252809585280844</v>
      </c>
      <c r="Z1085" s="256">
        <v>4.4962915213801136E-2</v>
      </c>
      <c r="AA1085" s="256">
        <v>0.24570271382454548</v>
      </c>
      <c r="AB1085" s="256">
        <v>0.25092516217759242</v>
      </c>
      <c r="AC1085" s="260">
        <v>-0.54558709510952497</v>
      </c>
      <c r="AD1085" s="405">
        <v>31493876000140</v>
      </c>
      <c r="AE1085" s="257" t="s">
        <v>2318</v>
      </c>
      <c r="AF1085" s="257" t="s">
        <v>2318</v>
      </c>
      <c r="AG1085" s="261" t="s">
        <v>1436</v>
      </c>
      <c r="AH1085" s="261" t="s">
        <v>2110</v>
      </c>
      <c r="AI1085" s="261">
        <v>30000</v>
      </c>
      <c r="AJ1085" s="261">
        <v>30000</v>
      </c>
      <c r="AK1085" s="261">
        <v>30000</v>
      </c>
      <c r="AL1085" s="256">
        <v>0</v>
      </c>
      <c r="AM1085" s="256" t="s">
        <v>34</v>
      </c>
      <c r="AN1085" s="256" t="s">
        <v>666</v>
      </c>
      <c r="AO1085" s="254" t="s">
        <v>1324</v>
      </c>
      <c r="AP1085" s="257" t="s">
        <v>716</v>
      </c>
      <c r="AQ1085" s="263" t="s">
        <v>659</v>
      </c>
      <c r="AR1085" s="256" t="s">
        <v>34</v>
      </c>
      <c r="AS1085" s="256" t="s">
        <v>34</v>
      </c>
      <c r="AT1085" s="256"/>
      <c r="AX1085" s="508"/>
      <c r="AY1085" s="509"/>
      <c r="AZ1085" s="509"/>
      <c r="BA1085" s="509"/>
      <c r="BB1085" s="510"/>
      <c r="BC1085" s="509"/>
      <c r="BD1085" s="509"/>
      <c r="BE1085" s="509"/>
      <c r="BF1085" s="509"/>
      <c r="BG1085" s="510"/>
      <c r="BH1085" s="510"/>
      <c r="BI1085" s="511"/>
      <c r="BJ1085" s="511"/>
      <c r="BK1085" s="511"/>
      <c r="BL1085" s="510"/>
      <c r="BM1085" s="510"/>
      <c r="BN1085" s="510"/>
      <c r="BO1085" s="510"/>
      <c r="BP1085" s="510"/>
      <c r="BQ1085" s="510"/>
      <c r="BR1085" s="510"/>
      <c r="BS1085" s="510"/>
      <c r="BT1085" s="513"/>
      <c r="BU1085" s="514"/>
      <c r="BV1085" s="512"/>
      <c r="BW1085" s="515"/>
    </row>
    <row r="1086" spans="2:75" ht="15.75" customHeight="1">
      <c r="B1086" s="250" t="s">
        <v>1671</v>
      </c>
      <c r="C1086" s="251">
        <v>28021609000166</v>
      </c>
      <c r="D1086" s="252" t="s">
        <v>14</v>
      </c>
      <c r="E1086" s="252" t="s">
        <v>614</v>
      </c>
      <c r="F1086" s="252"/>
      <c r="G1086" s="253"/>
      <c r="H1086" s="253" t="s">
        <v>1338</v>
      </c>
      <c r="I1086" s="253" t="s">
        <v>34</v>
      </c>
      <c r="J1086" s="253" t="s">
        <v>608</v>
      </c>
      <c r="K1086" s="254" t="s">
        <v>48</v>
      </c>
      <c r="L1086" s="255"/>
      <c r="M1086" s="255"/>
      <c r="N1086" s="254">
        <v>445940</v>
      </c>
      <c r="O1086" s="254" t="s">
        <v>1321</v>
      </c>
      <c r="P1086" s="258">
        <v>42947</v>
      </c>
      <c r="Q1086" s="259">
        <v>88925101.829999998</v>
      </c>
      <c r="R1086" s="259">
        <v>149911180.58730164</v>
      </c>
      <c r="S1086" s="254">
        <v>32</v>
      </c>
      <c r="T1086" s="256">
        <v>0.17606504396492562</v>
      </c>
      <c r="U1086" s="256">
        <v>1.9803643887783229</v>
      </c>
      <c r="V1086" s="256">
        <v>-7.3270293358825955E-2</v>
      </c>
      <c r="W1086" s="256">
        <v>-0.67245338771815844</v>
      </c>
      <c r="X1086" s="256">
        <v>5.7836127358225742E-2</v>
      </c>
      <c r="Y1086" s="256">
        <v>0.40669152795365954</v>
      </c>
      <c r="Z1086" s="256">
        <v>0.42196390390359451</v>
      </c>
      <c r="AA1086" s="256">
        <v>2.3058486272991829</v>
      </c>
      <c r="AB1086" s="256">
        <v>0.21687923652978153</v>
      </c>
      <c r="AC1086" s="260">
        <v>-0.71942303821891651</v>
      </c>
      <c r="AD1086" s="405">
        <v>26491334000107</v>
      </c>
      <c r="AE1086" s="257" t="s">
        <v>2318</v>
      </c>
      <c r="AF1086" s="257" t="s">
        <v>2318</v>
      </c>
      <c r="AG1086" s="261" t="s">
        <v>1436</v>
      </c>
      <c r="AH1086" s="261" t="s">
        <v>2110</v>
      </c>
      <c r="AI1086" s="261">
        <v>1000</v>
      </c>
      <c r="AJ1086" s="261">
        <v>100</v>
      </c>
      <c r="AK1086" s="261">
        <v>1000</v>
      </c>
      <c r="AL1086" s="256">
        <v>0</v>
      </c>
      <c r="AM1086" s="256" t="s">
        <v>34</v>
      </c>
      <c r="AN1086" s="256" t="s">
        <v>64</v>
      </c>
      <c r="AO1086" s="254" t="s">
        <v>1324</v>
      </c>
      <c r="AP1086" s="257" t="s">
        <v>13</v>
      </c>
      <c r="AQ1086" s="263" t="s">
        <v>668</v>
      </c>
      <c r="AR1086" s="256" t="s">
        <v>34</v>
      </c>
      <c r="AS1086" s="256" t="s">
        <v>34</v>
      </c>
      <c r="AT1086" s="256"/>
      <c r="AX1086" s="508"/>
      <c r="AY1086" s="509"/>
      <c r="AZ1086" s="509"/>
      <c r="BA1086" s="509"/>
      <c r="BB1086" s="510"/>
      <c r="BC1086" s="509"/>
      <c r="BD1086" s="509"/>
      <c r="BE1086" s="509"/>
      <c r="BF1086" s="509"/>
      <c r="BG1086" s="510"/>
      <c r="BH1086" s="510"/>
      <c r="BI1086" s="511"/>
      <c r="BJ1086" s="511"/>
      <c r="BK1086" s="511"/>
      <c r="BL1086" s="510"/>
      <c r="BM1086" s="510"/>
      <c r="BN1086" s="510"/>
      <c r="BO1086" s="510"/>
      <c r="BP1086" s="510"/>
      <c r="BQ1086" s="510"/>
      <c r="BR1086" s="510"/>
      <c r="BS1086" s="510"/>
      <c r="BT1086" s="513"/>
      <c r="BU1086" s="514"/>
      <c r="BV1086" s="512"/>
      <c r="BW1086" s="515"/>
    </row>
    <row r="1087" spans="2:75" ht="15.75" customHeight="1">
      <c r="B1087" s="250" t="s">
        <v>1672</v>
      </c>
      <c r="C1087" s="251">
        <v>32669660000156</v>
      </c>
      <c r="D1087" s="252" t="s">
        <v>14</v>
      </c>
      <c r="E1087" s="252" t="s">
        <v>614</v>
      </c>
      <c r="F1087" s="252"/>
      <c r="G1087" s="253"/>
      <c r="H1087" s="253" t="s">
        <v>1338</v>
      </c>
      <c r="I1087" s="253" t="s">
        <v>34</v>
      </c>
      <c r="J1087" s="253" t="s">
        <v>608</v>
      </c>
      <c r="K1087" s="254" t="s">
        <v>48</v>
      </c>
      <c r="L1087" s="255"/>
      <c r="M1087" s="255"/>
      <c r="N1087" s="254">
        <v>500313</v>
      </c>
      <c r="O1087" s="254" t="s">
        <v>1321</v>
      </c>
      <c r="P1087" s="258">
        <v>43644</v>
      </c>
      <c r="Q1087" s="259">
        <v>150272350.38</v>
      </c>
      <c r="R1087" s="259">
        <v>265441829.85261923</v>
      </c>
      <c r="S1087" s="254">
        <v>32</v>
      </c>
      <c r="T1087" s="256">
        <v>0.1754747926307243</v>
      </c>
      <c r="U1087" s="256">
        <v>1.9737252928149354</v>
      </c>
      <c r="V1087" s="256">
        <v>-7.2367751849021666E-2</v>
      </c>
      <c r="W1087" s="256">
        <v>-0.66417012491133565</v>
      </c>
      <c r="X1087" s="256">
        <v>5.803641467316667E-2</v>
      </c>
      <c r="Y1087" s="256">
        <v>0.40809990638187871</v>
      </c>
      <c r="Z1087" s="256">
        <v>0.42192134040543849</v>
      </c>
      <c r="AA1087" s="256">
        <v>2.3056160363526867</v>
      </c>
      <c r="AB1087" s="256">
        <v>0.21565485104240104</v>
      </c>
      <c r="AC1087" s="260">
        <v>-0.72022636488778624</v>
      </c>
      <c r="AD1087" s="405">
        <v>31943995000158</v>
      </c>
      <c r="AE1087" s="257" t="s">
        <v>2318</v>
      </c>
      <c r="AF1087" s="257" t="s">
        <v>2318</v>
      </c>
      <c r="AG1087" s="261" t="s">
        <v>1436</v>
      </c>
      <c r="AH1087" s="261" t="s">
        <v>2110</v>
      </c>
      <c r="AI1087" s="261">
        <v>1000</v>
      </c>
      <c r="AJ1087" s="261">
        <v>100</v>
      </c>
      <c r="AK1087" s="261">
        <v>1000</v>
      </c>
      <c r="AL1087" s="256">
        <v>0</v>
      </c>
      <c r="AM1087" s="256" t="s">
        <v>34</v>
      </c>
      <c r="AN1087" s="256" t="s">
        <v>64</v>
      </c>
      <c r="AO1087" s="254" t="s">
        <v>1324</v>
      </c>
      <c r="AP1087" s="257" t="s">
        <v>13</v>
      </c>
      <c r="AQ1087" s="263" t="s">
        <v>668</v>
      </c>
      <c r="AR1087" s="256" t="s">
        <v>34</v>
      </c>
      <c r="AS1087" s="256" t="s">
        <v>34</v>
      </c>
      <c r="AT1087" s="256"/>
      <c r="AX1087" s="508"/>
      <c r="AY1087" s="509"/>
      <c r="AZ1087" s="509"/>
      <c r="BA1087" s="509"/>
      <c r="BB1087" s="510"/>
      <c r="BC1087" s="509"/>
      <c r="BD1087" s="509"/>
      <c r="BE1087" s="509"/>
      <c r="BF1087" s="509"/>
      <c r="BG1087" s="510"/>
      <c r="BH1087" s="510"/>
      <c r="BI1087" s="511"/>
      <c r="BJ1087" s="511"/>
      <c r="BK1087" s="511"/>
      <c r="BL1087" s="510"/>
      <c r="BM1087" s="510"/>
      <c r="BN1087" s="510"/>
      <c r="BO1087" s="510"/>
      <c r="BP1087" s="510"/>
      <c r="BQ1087" s="510"/>
      <c r="BR1087" s="510"/>
      <c r="BS1087" s="510"/>
      <c r="BT1087" s="513"/>
      <c r="BU1087" s="514"/>
      <c r="BV1087" s="512"/>
      <c r="BW1087" s="515"/>
    </row>
    <row r="1088" spans="2:75" ht="15.75" customHeight="1">
      <c r="B1088" s="250" t="s">
        <v>1675</v>
      </c>
      <c r="C1088" s="251">
        <v>36988916000149</v>
      </c>
      <c r="D1088" s="252" t="s">
        <v>14</v>
      </c>
      <c r="E1088" s="252" t="s">
        <v>607</v>
      </c>
      <c r="F1088" s="252"/>
      <c r="G1088" s="253"/>
      <c r="H1088" s="253" t="s">
        <v>34</v>
      </c>
      <c r="I1088" s="253" t="s">
        <v>34</v>
      </c>
      <c r="J1088" s="253" t="s">
        <v>608</v>
      </c>
      <c r="K1088" s="254" t="s">
        <v>48</v>
      </c>
      <c r="L1088" s="255"/>
      <c r="M1088" s="255"/>
      <c r="N1088" s="254">
        <v>546836</v>
      </c>
      <c r="O1088" s="254" t="s">
        <v>1321</v>
      </c>
      <c r="P1088" s="258">
        <v>44042</v>
      </c>
      <c r="Q1088" s="259">
        <v>16532864.119999999</v>
      </c>
      <c r="R1088" s="259">
        <v>31578304.647103183</v>
      </c>
      <c r="S1088" s="254">
        <v>32</v>
      </c>
      <c r="T1088" s="256">
        <v>-1.1070614786241939E-2</v>
      </c>
      <c r="U1088" s="256">
        <v>-0.124521317751886</v>
      </c>
      <c r="V1088" s="256">
        <v>-0.19257339293343456</v>
      </c>
      <c r="W1088" s="256">
        <v>-1.7673824482766223</v>
      </c>
      <c r="X1088" s="256">
        <v>-7.5678425665252402E-2</v>
      </c>
      <c r="Y1088" s="256">
        <v>-0.53215483077380654</v>
      </c>
      <c r="Z1088" s="256" t="s">
        <v>1417</v>
      </c>
      <c r="AA1088" s="256" t="s">
        <v>1417</v>
      </c>
      <c r="AB1088" s="256">
        <v>0.23898426038519341</v>
      </c>
      <c r="AC1088" s="260">
        <v>-1.208298437967257</v>
      </c>
      <c r="AD1088" s="405">
        <v>35727340000101</v>
      </c>
      <c r="AE1088" s="257" t="s">
        <v>2318</v>
      </c>
      <c r="AF1088" s="257" t="s">
        <v>2318</v>
      </c>
      <c r="AG1088" s="261" t="s">
        <v>1436</v>
      </c>
      <c r="AH1088" s="261" t="s">
        <v>2319</v>
      </c>
      <c r="AI1088" s="261">
        <v>1000</v>
      </c>
      <c r="AJ1088" s="261" t="s">
        <v>1427</v>
      </c>
      <c r="AK1088" s="261">
        <v>1000</v>
      </c>
      <c r="AL1088" s="256">
        <v>0</v>
      </c>
      <c r="AM1088" s="256" t="s">
        <v>34</v>
      </c>
      <c r="AN1088" s="256" t="s">
        <v>666</v>
      </c>
      <c r="AO1088" s="254" t="s">
        <v>1324</v>
      </c>
      <c r="AP1088" s="257" t="s">
        <v>716</v>
      </c>
      <c r="AQ1088" s="263" t="s">
        <v>659</v>
      </c>
      <c r="AR1088" s="256" t="s">
        <v>34</v>
      </c>
      <c r="AS1088" s="256" t="s">
        <v>34</v>
      </c>
      <c r="AT1088" s="256"/>
      <c r="AX1088" s="508"/>
      <c r="AY1088" s="509"/>
      <c r="AZ1088" s="509"/>
      <c r="BA1088" s="509"/>
      <c r="BB1088" s="510"/>
      <c r="BC1088" s="509"/>
      <c r="BD1088" s="509"/>
      <c r="BE1088" s="509"/>
      <c r="BF1088" s="509"/>
      <c r="BG1088" s="510"/>
      <c r="BH1088" s="510"/>
      <c r="BI1088" s="511"/>
      <c r="BJ1088" s="511"/>
      <c r="BK1088" s="511"/>
      <c r="BL1088" s="510"/>
      <c r="BM1088" s="510"/>
      <c r="BN1088" s="510"/>
      <c r="BO1088" s="510"/>
      <c r="BP1088" s="510"/>
      <c r="BQ1088" s="510"/>
      <c r="BR1088" s="510"/>
      <c r="BS1088" s="510"/>
      <c r="BT1088" s="513"/>
      <c r="BU1088" s="514"/>
      <c r="BV1088" s="512"/>
      <c r="BW1088" s="515"/>
    </row>
    <row r="1089" spans="2:75" ht="15.75" customHeight="1">
      <c r="B1089" s="250" t="s">
        <v>1069</v>
      </c>
      <c r="C1089" s="251">
        <v>38049303000171</v>
      </c>
      <c r="D1089" s="252" t="s">
        <v>14</v>
      </c>
      <c r="E1089" s="252" t="s">
        <v>614</v>
      </c>
      <c r="F1089" s="252"/>
      <c r="G1089" s="253"/>
      <c r="H1089" s="253" t="s">
        <v>865</v>
      </c>
      <c r="I1089" s="253" t="s">
        <v>34</v>
      </c>
      <c r="J1089" s="253" t="s">
        <v>608</v>
      </c>
      <c r="K1089" s="254" t="s">
        <v>48</v>
      </c>
      <c r="L1089" s="255"/>
      <c r="M1089" s="255" t="s">
        <v>34</v>
      </c>
      <c r="N1089" s="254">
        <v>550159</v>
      </c>
      <c r="O1089" s="254" t="s">
        <v>1321</v>
      </c>
      <c r="P1089" s="258">
        <v>44067</v>
      </c>
      <c r="Q1089" s="259">
        <v>579945377.60000002</v>
      </c>
      <c r="R1089" s="259">
        <v>667930731.12932587</v>
      </c>
      <c r="S1089" s="254">
        <v>32</v>
      </c>
      <c r="T1089" s="256">
        <v>6.3042034968304739E-2</v>
      </c>
      <c r="U1089" s="256">
        <v>0.81495669066590315</v>
      </c>
      <c r="V1089" s="256">
        <v>-0.12489436961169587</v>
      </c>
      <c r="W1089" s="256">
        <v>-1.2243824359061923</v>
      </c>
      <c r="X1089" s="256">
        <v>6.3773756821761785E-2</v>
      </c>
      <c r="Y1089" s="256">
        <v>0.48360798315515302</v>
      </c>
      <c r="Z1089" s="256" t="s">
        <v>1417</v>
      </c>
      <c r="AA1089" s="256" t="s">
        <v>1417</v>
      </c>
      <c r="AB1089" s="256">
        <v>0.16942379859669371</v>
      </c>
      <c r="AC1089" s="260">
        <v>-1.2760802922530652</v>
      </c>
      <c r="AD1089" s="405">
        <v>22222944000146</v>
      </c>
      <c r="AE1089" s="257" t="s">
        <v>2322</v>
      </c>
      <c r="AF1089" s="257" t="s">
        <v>2109</v>
      </c>
      <c r="AG1089" s="261" t="s">
        <v>1432</v>
      </c>
      <c r="AH1089" s="261" t="s">
        <v>2113</v>
      </c>
      <c r="AI1089" s="261">
        <v>1000</v>
      </c>
      <c r="AJ1089" s="261">
        <v>1000</v>
      </c>
      <c r="AK1089" s="261">
        <v>1000</v>
      </c>
      <c r="AL1089" s="256">
        <v>1.8500000000000003E-2</v>
      </c>
      <c r="AM1089" s="256">
        <v>0.2</v>
      </c>
      <c r="AN1089" s="256" t="s">
        <v>34</v>
      </c>
      <c r="AO1089" s="254" t="s">
        <v>1324</v>
      </c>
      <c r="AP1089" s="257" t="s">
        <v>13</v>
      </c>
      <c r="AQ1089" s="263" t="s">
        <v>668</v>
      </c>
      <c r="AR1089" s="256">
        <v>4.933333333333333E-3</v>
      </c>
      <c r="AS1089" s="256">
        <v>4.933333333333333E-3</v>
      </c>
      <c r="AT1089" s="256"/>
      <c r="AX1089" s="508"/>
      <c r="AY1089" s="509"/>
      <c r="AZ1089" s="509"/>
      <c r="BA1089" s="509"/>
      <c r="BB1089" s="510"/>
      <c r="BC1089" s="509"/>
      <c r="BD1089" s="509"/>
      <c r="BE1089" s="509"/>
      <c r="BF1089" s="509"/>
      <c r="BG1089" s="510"/>
      <c r="BH1089" s="510"/>
      <c r="BI1089" s="511"/>
      <c r="BJ1089" s="511"/>
      <c r="BK1089" s="511"/>
      <c r="BL1089" s="510"/>
      <c r="BM1089" s="510"/>
      <c r="BN1089" s="510"/>
      <c r="BO1089" s="510"/>
      <c r="BP1089" s="510"/>
      <c r="BQ1089" s="510"/>
      <c r="BR1089" s="510"/>
      <c r="BS1089" s="510"/>
      <c r="BT1089" s="513"/>
      <c r="BU1089" s="514"/>
      <c r="BV1089" s="512"/>
      <c r="BW1089" s="515"/>
    </row>
    <row r="1090" spans="2:75" ht="15.75" customHeight="1">
      <c r="B1090" s="250" t="s">
        <v>1072</v>
      </c>
      <c r="C1090" s="251">
        <v>31340883000102</v>
      </c>
      <c r="D1090" s="252" t="s">
        <v>14</v>
      </c>
      <c r="E1090" s="252" t="s">
        <v>614</v>
      </c>
      <c r="F1090" s="252"/>
      <c r="G1090" s="253"/>
      <c r="H1090" s="253" t="s">
        <v>865</v>
      </c>
      <c r="I1090" s="253" t="s">
        <v>34</v>
      </c>
      <c r="J1090" s="253" t="s">
        <v>608</v>
      </c>
      <c r="K1090" s="254" t="s">
        <v>48</v>
      </c>
      <c r="L1090" s="255"/>
      <c r="M1090" s="255" t="s">
        <v>34</v>
      </c>
      <c r="N1090" s="254">
        <v>482633</v>
      </c>
      <c r="O1090" s="254" t="s">
        <v>1321</v>
      </c>
      <c r="P1090" s="258">
        <v>43454</v>
      </c>
      <c r="Q1090" s="259">
        <v>28463134.760000002</v>
      </c>
      <c r="R1090" s="259">
        <v>35769761.215476185</v>
      </c>
      <c r="S1090" s="254">
        <v>32</v>
      </c>
      <c r="T1090" s="256">
        <v>9.3033746104046244E-2</v>
      </c>
      <c r="U1090" s="256">
        <v>1.2026653943408423</v>
      </c>
      <c r="V1090" s="256">
        <v>-0.11458738386639122</v>
      </c>
      <c r="W1090" s="256">
        <v>-1.1233395117702054</v>
      </c>
      <c r="X1090" s="256">
        <v>-4.7782218318495273E-2</v>
      </c>
      <c r="Y1090" s="256">
        <v>-0.3623412416532048</v>
      </c>
      <c r="Z1090" s="256">
        <v>6.19000516935444E-2</v>
      </c>
      <c r="AA1090" s="256">
        <v>0.3518599610963089</v>
      </c>
      <c r="AB1090" s="256">
        <v>0.15960845806472096</v>
      </c>
      <c r="AC1090" s="260">
        <v>-1.2914994506622957</v>
      </c>
      <c r="AD1090" s="405">
        <v>32075594000196</v>
      </c>
      <c r="AE1090" s="257" t="s">
        <v>2123</v>
      </c>
      <c r="AF1090" s="257" t="s">
        <v>2109</v>
      </c>
      <c r="AG1090" s="261" t="s">
        <v>1432</v>
      </c>
      <c r="AH1090" s="261" t="s">
        <v>2110</v>
      </c>
      <c r="AI1090" s="261">
        <v>1000</v>
      </c>
      <c r="AJ1090" s="261">
        <v>1000</v>
      </c>
      <c r="AK1090" s="261">
        <v>1000</v>
      </c>
      <c r="AL1090" s="256">
        <v>0</v>
      </c>
      <c r="AM1090" s="256" t="s">
        <v>34</v>
      </c>
      <c r="AN1090" s="256" t="s">
        <v>34</v>
      </c>
      <c r="AO1090" s="254" t="s">
        <v>1324</v>
      </c>
      <c r="AP1090" s="257" t="s">
        <v>13</v>
      </c>
      <c r="AQ1090" s="263" t="s">
        <v>668</v>
      </c>
      <c r="AR1090" s="256">
        <v>3.7999999999999996E-3</v>
      </c>
      <c r="AS1090" s="256">
        <v>3.7999999999999996E-3</v>
      </c>
      <c r="AT1090" s="256"/>
      <c r="AX1090" s="508"/>
      <c r="AY1090" s="509"/>
      <c r="AZ1090" s="509"/>
      <c r="BA1090" s="509"/>
      <c r="BB1090" s="510"/>
      <c r="BC1090" s="509"/>
      <c r="BD1090" s="509"/>
      <c r="BE1090" s="509"/>
      <c r="BF1090" s="509"/>
      <c r="BG1090" s="510"/>
      <c r="BH1090" s="510"/>
      <c r="BI1090" s="511"/>
      <c r="BJ1090" s="511"/>
      <c r="BK1090" s="511"/>
      <c r="BL1090" s="510"/>
      <c r="BM1090" s="510"/>
      <c r="BN1090" s="510"/>
      <c r="BO1090" s="510"/>
      <c r="BP1090" s="510"/>
      <c r="BQ1090" s="510"/>
      <c r="BR1090" s="510"/>
      <c r="BS1090" s="510"/>
      <c r="BT1090" s="513"/>
      <c r="BU1090" s="514"/>
      <c r="BV1090" s="512"/>
      <c r="BW1090" s="515"/>
    </row>
    <row r="1091" spans="2:75" ht="15.75" customHeight="1">
      <c r="B1091" s="250" t="s">
        <v>288</v>
      </c>
      <c r="C1091" s="251">
        <v>28386218000145</v>
      </c>
      <c r="D1091" s="252" t="s">
        <v>14</v>
      </c>
      <c r="E1091" s="252" t="s">
        <v>614</v>
      </c>
      <c r="F1091" s="252"/>
      <c r="G1091" s="253"/>
      <c r="H1091" s="253" t="s">
        <v>865</v>
      </c>
      <c r="I1091" s="253" t="s">
        <v>34</v>
      </c>
      <c r="J1091" s="253" t="s">
        <v>608</v>
      </c>
      <c r="K1091" s="254" t="s">
        <v>48</v>
      </c>
      <c r="L1091" s="255"/>
      <c r="M1091" s="255" t="s">
        <v>34</v>
      </c>
      <c r="N1091" s="254">
        <v>450308</v>
      </c>
      <c r="O1091" s="254" t="s">
        <v>1321</v>
      </c>
      <c r="P1091" s="258">
        <v>43003</v>
      </c>
      <c r="Q1091" s="259">
        <v>31109050.370000001</v>
      </c>
      <c r="R1091" s="259">
        <v>32658299.744722217</v>
      </c>
      <c r="S1091" s="254">
        <v>32</v>
      </c>
      <c r="T1091" s="256">
        <v>9.1972053384704155E-2</v>
      </c>
      <c r="U1091" s="256">
        <v>1.1889406853352698</v>
      </c>
      <c r="V1091" s="256">
        <v>-0.11743610456430398</v>
      </c>
      <c r="W1091" s="256">
        <v>-1.151266499977688</v>
      </c>
      <c r="X1091" s="256">
        <v>-5.0820036927360257E-2</v>
      </c>
      <c r="Y1091" s="256">
        <v>-0.38537757201602696</v>
      </c>
      <c r="Z1091" s="256">
        <v>5.9256027841050773E-2</v>
      </c>
      <c r="AA1091" s="256">
        <v>0.33683047235723662</v>
      </c>
      <c r="AB1091" s="256">
        <v>0.16043322724957976</v>
      </c>
      <c r="AC1091" s="260">
        <v>-1.3041144618361666</v>
      </c>
      <c r="AD1091" s="405">
        <v>28069937000132</v>
      </c>
      <c r="AE1091" s="257" t="s">
        <v>2324</v>
      </c>
      <c r="AF1091" s="257" t="s">
        <v>2118</v>
      </c>
      <c r="AG1091" s="261" t="s">
        <v>1433</v>
      </c>
      <c r="AH1091" s="261" t="s">
        <v>2110</v>
      </c>
      <c r="AI1091" s="261">
        <v>5000</v>
      </c>
      <c r="AJ1091" s="261">
        <v>1000</v>
      </c>
      <c r="AK1091" s="261">
        <v>1000</v>
      </c>
      <c r="AL1091" s="256">
        <v>1.9E-2</v>
      </c>
      <c r="AM1091" s="256">
        <v>0.2</v>
      </c>
      <c r="AN1091" s="256" t="s">
        <v>2141</v>
      </c>
      <c r="AO1091" s="254" t="s">
        <v>1324</v>
      </c>
      <c r="AP1091" s="257" t="s">
        <v>13</v>
      </c>
      <c r="AQ1091" s="263" t="s">
        <v>668</v>
      </c>
      <c r="AR1091" s="256">
        <v>3.7999999999999996E-3</v>
      </c>
      <c r="AS1091" s="256">
        <v>3.7999999999999996E-3</v>
      </c>
      <c r="AT1091" s="256"/>
      <c r="AX1091" s="508"/>
      <c r="AY1091" s="509"/>
      <c r="AZ1091" s="509"/>
      <c r="BA1091" s="509"/>
      <c r="BB1091" s="510"/>
      <c r="BC1091" s="509"/>
      <c r="BD1091" s="509"/>
      <c r="BE1091" s="509"/>
      <c r="BF1091" s="509"/>
      <c r="BG1091" s="510"/>
      <c r="BH1091" s="510"/>
      <c r="BI1091" s="511"/>
      <c r="BJ1091" s="511"/>
      <c r="BK1091" s="511"/>
      <c r="BL1091" s="510"/>
      <c r="BM1091" s="510"/>
      <c r="BN1091" s="510"/>
      <c r="BO1091" s="510"/>
      <c r="BP1091" s="510"/>
      <c r="BQ1091" s="510"/>
      <c r="BR1091" s="510"/>
      <c r="BS1091" s="510"/>
      <c r="BT1091" s="513"/>
      <c r="BU1091" s="514"/>
      <c r="BV1091" s="512"/>
      <c r="BW1091" s="515"/>
    </row>
    <row r="1092" spans="2:75" ht="15.75" customHeight="1">
      <c r="B1092" s="250" t="s">
        <v>289</v>
      </c>
      <c r="C1092" s="251">
        <v>33953430000187</v>
      </c>
      <c r="D1092" s="252" t="s">
        <v>14</v>
      </c>
      <c r="E1092" s="252" t="s">
        <v>614</v>
      </c>
      <c r="F1092" s="252"/>
      <c r="G1092" s="253"/>
      <c r="H1092" s="253" t="s">
        <v>1338</v>
      </c>
      <c r="I1092" s="253" t="s">
        <v>34</v>
      </c>
      <c r="J1092" s="253" t="s">
        <v>608</v>
      </c>
      <c r="K1092" s="254" t="s">
        <v>48</v>
      </c>
      <c r="L1092" s="255"/>
      <c r="M1092" s="255" t="s">
        <v>34</v>
      </c>
      <c r="N1092" s="254">
        <v>516961</v>
      </c>
      <c r="O1092" s="254" t="s">
        <v>1321</v>
      </c>
      <c r="P1092" s="258">
        <v>43707</v>
      </c>
      <c r="Q1092" s="259">
        <v>177468262.62</v>
      </c>
      <c r="R1092" s="259">
        <v>183261500.49865079</v>
      </c>
      <c r="S1092" s="254">
        <v>32</v>
      </c>
      <c r="T1092" s="256">
        <v>9.1644191978289546E-2</v>
      </c>
      <c r="U1092" s="256">
        <v>1.1847023569421102</v>
      </c>
      <c r="V1092" s="256">
        <v>-0.10814212337096951</v>
      </c>
      <c r="W1092" s="256">
        <v>-1.0601544076700811</v>
      </c>
      <c r="X1092" s="256">
        <v>5.3561306436049394E-2</v>
      </c>
      <c r="Y1092" s="256">
        <v>0.40616511668094307</v>
      </c>
      <c r="Z1092" s="256" t="s">
        <v>1417</v>
      </c>
      <c r="AA1092" s="256" t="s">
        <v>1417</v>
      </c>
      <c r="AB1092" s="256">
        <v>0.18529473917703607</v>
      </c>
      <c r="AC1092" s="260">
        <v>-1.0493497201125079</v>
      </c>
      <c r="AD1092" s="405">
        <v>28069983000131</v>
      </c>
      <c r="AE1092" s="257" t="s">
        <v>2324</v>
      </c>
      <c r="AF1092" s="257" t="s">
        <v>736</v>
      </c>
      <c r="AG1092" s="261" t="s">
        <v>736</v>
      </c>
      <c r="AH1092" s="261" t="s">
        <v>2113</v>
      </c>
      <c r="AI1092" s="261">
        <v>5000</v>
      </c>
      <c r="AJ1092" s="261">
        <v>1000</v>
      </c>
      <c r="AK1092" s="261">
        <v>5000</v>
      </c>
      <c r="AL1092" s="256">
        <v>1.9E-2</v>
      </c>
      <c r="AM1092" s="256">
        <v>0.2</v>
      </c>
      <c r="AN1092" s="256" t="s">
        <v>666</v>
      </c>
      <c r="AO1092" s="254" t="s">
        <v>1324</v>
      </c>
      <c r="AP1092" s="257" t="s">
        <v>716</v>
      </c>
      <c r="AQ1092" s="263" t="s">
        <v>659</v>
      </c>
      <c r="AR1092" s="256">
        <v>3.7999999999999996E-3</v>
      </c>
      <c r="AS1092" s="256">
        <v>3.7999999999999996E-3</v>
      </c>
      <c r="AT1092" s="256"/>
      <c r="AX1092" s="508"/>
      <c r="AY1092" s="509"/>
      <c r="AZ1092" s="509"/>
      <c r="BA1092" s="509"/>
      <c r="BB1092" s="510"/>
      <c r="BC1092" s="509"/>
      <c r="BD1092" s="509"/>
      <c r="BE1092" s="509"/>
      <c r="BF1092" s="509"/>
      <c r="BG1092" s="510"/>
      <c r="BH1092" s="510"/>
      <c r="BI1092" s="511"/>
      <c r="BJ1092" s="511"/>
      <c r="BK1092" s="511"/>
      <c r="BL1092" s="510"/>
      <c r="BM1092" s="510"/>
      <c r="BN1092" s="510"/>
      <c r="BO1092" s="510"/>
      <c r="BP1092" s="510"/>
      <c r="BQ1092" s="510"/>
      <c r="BR1092" s="510"/>
      <c r="BS1092" s="510"/>
      <c r="BT1092" s="513"/>
      <c r="BU1092" s="514"/>
      <c r="BV1092" s="512"/>
      <c r="BW1092" s="515"/>
    </row>
    <row r="1093" spans="2:75" ht="15.75" customHeight="1">
      <c r="B1093" s="250" t="s">
        <v>290</v>
      </c>
      <c r="C1093" s="251">
        <v>28407875000121</v>
      </c>
      <c r="D1093" s="252" t="s">
        <v>14</v>
      </c>
      <c r="E1093" s="252" t="s">
        <v>607</v>
      </c>
      <c r="F1093" s="252"/>
      <c r="G1093" s="253"/>
      <c r="H1093" s="253" t="s">
        <v>34</v>
      </c>
      <c r="I1093" s="253" t="s">
        <v>34</v>
      </c>
      <c r="J1093" s="253" t="s">
        <v>608</v>
      </c>
      <c r="K1093" s="254" t="s">
        <v>48</v>
      </c>
      <c r="L1093" s="255"/>
      <c r="M1093" s="255" t="s">
        <v>34</v>
      </c>
      <c r="N1093" s="254">
        <v>460672</v>
      </c>
      <c r="O1093" s="254" t="s">
        <v>1321</v>
      </c>
      <c r="P1093" s="258">
        <v>43178</v>
      </c>
      <c r="Q1093" s="259">
        <v>22306012.890000001</v>
      </c>
      <c r="R1093" s="259">
        <v>50942630.244880959</v>
      </c>
      <c r="S1093" s="254">
        <v>32</v>
      </c>
      <c r="T1093" s="256">
        <v>8.4229008591035326E-2</v>
      </c>
      <c r="U1093" s="256">
        <v>1.0888448339894372</v>
      </c>
      <c r="V1093" s="256">
        <v>-0.1180225399853424</v>
      </c>
      <c r="W1093" s="256">
        <v>-1.1570155279886789</v>
      </c>
      <c r="X1093" s="256">
        <v>3.5365441485136984E-2</v>
      </c>
      <c r="Y1093" s="256">
        <v>0.26818256728734136</v>
      </c>
      <c r="Z1093" s="256">
        <v>2.9286761639420122E-2</v>
      </c>
      <c r="AA1093" s="256">
        <v>0.16647544758283192</v>
      </c>
      <c r="AB1093" s="256">
        <v>0.18615898602916026</v>
      </c>
      <c r="AC1093" s="260">
        <v>-1.1034310769177527</v>
      </c>
      <c r="AD1093" s="405">
        <v>28069983000131</v>
      </c>
      <c r="AE1093" s="257" t="s">
        <v>2324</v>
      </c>
      <c r="AF1093" s="257" t="s">
        <v>2118</v>
      </c>
      <c r="AG1093" s="261" t="s">
        <v>1433</v>
      </c>
      <c r="AH1093" s="261" t="s">
        <v>2113</v>
      </c>
      <c r="AI1093" s="261">
        <v>5000</v>
      </c>
      <c r="AJ1093" s="261">
        <v>1000</v>
      </c>
      <c r="AK1093" s="261">
        <v>5000</v>
      </c>
      <c r="AL1093" s="256">
        <v>2.8999999999999998E-2</v>
      </c>
      <c r="AM1093" s="256" t="s">
        <v>34</v>
      </c>
      <c r="AN1093" s="256" t="s">
        <v>34</v>
      </c>
      <c r="AO1093" s="254" t="s">
        <v>1324</v>
      </c>
      <c r="AP1093" s="257" t="s">
        <v>716</v>
      </c>
      <c r="AQ1093" s="263" t="s">
        <v>659</v>
      </c>
      <c r="AR1093" s="256">
        <v>5.7999999999999996E-3</v>
      </c>
      <c r="AS1093" s="256">
        <v>5.7999999999999996E-3</v>
      </c>
      <c r="AT1093" s="256"/>
      <c r="AX1093" s="508"/>
      <c r="AY1093" s="509"/>
      <c r="AZ1093" s="509"/>
      <c r="BA1093" s="509"/>
      <c r="BB1093" s="510"/>
      <c r="BC1093" s="509"/>
      <c r="BD1093" s="509"/>
      <c r="BE1093" s="509"/>
      <c r="BF1093" s="509"/>
      <c r="BG1093" s="510"/>
      <c r="BH1093" s="510"/>
      <c r="BI1093" s="511"/>
      <c r="BJ1093" s="511"/>
      <c r="BK1093" s="511"/>
      <c r="BL1093" s="510"/>
      <c r="BM1093" s="510"/>
      <c r="BN1093" s="510"/>
      <c r="BO1093" s="510"/>
      <c r="BP1093" s="510"/>
      <c r="BQ1093" s="510"/>
      <c r="BR1093" s="510"/>
      <c r="BS1093" s="510"/>
      <c r="BT1093" s="513"/>
      <c r="BU1093" s="514"/>
      <c r="BV1093" s="512"/>
      <c r="BW1093" s="515"/>
    </row>
    <row r="1094" spans="2:75" ht="15.75" customHeight="1">
      <c r="B1094" s="250" t="s">
        <v>1076</v>
      </c>
      <c r="C1094" s="251">
        <v>17321731000131</v>
      </c>
      <c r="D1094" s="252" t="s">
        <v>14</v>
      </c>
      <c r="E1094" s="252" t="s">
        <v>607</v>
      </c>
      <c r="F1094" s="252"/>
      <c r="G1094" s="253"/>
      <c r="H1094" s="253" t="s">
        <v>34</v>
      </c>
      <c r="I1094" s="253" t="s">
        <v>34</v>
      </c>
      <c r="J1094" s="253" t="s">
        <v>608</v>
      </c>
      <c r="K1094" s="254" t="s">
        <v>48</v>
      </c>
      <c r="L1094" s="255"/>
      <c r="M1094" s="255" t="s">
        <v>1414</v>
      </c>
      <c r="N1094" s="254">
        <v>340944</v>
      </c>
      <c r="O1094" s="254" t="s">
        <v>1321</v>
      </c>
      <c r="P1094" s="258">
        <v>41471</v>
      </c>
      <c r="Q1094" s="259">
        <v>39003479.380000003</v>
      </c>
      <c r="R1094" s="259">
        <v>32739605.566190463</v>
      </c>
      <c r="S1094" s="254">
        <v>32</v>
      </c>
      <c r="T1094" s="256">
        <v>-0.11834335089336845</v>
      </c>
      <c r="U1094" s="256">
        <v>-1.5298475954156971</v>
      </c>
      <c r="V1094" s="256">
        <v>-0.27119980877366789</v>
      </c>
      <c r="W1094" s="256">
        <v>-2.658664946354008</v>
      </c>
      <c r="X1094" s="256">
        <v>-8.3614229725551215E-2</v>
      </c>
      <c r="Y1094" s="256">
        <v>-0.63406189341580621</v>
      </c>
      <c r="Z1094" s="256">
        <v>-2.1485653992151965E-2</v>
      </c>
      <c r="AA1094" s="256">
        <v>-0.12213142268822655</v>
      </c>
      <c r="AB1094" s="256">
        <v>0.22650440398617105</v>
      </c>
      <c r="AC1094" s="260">
        <v>-1.7116143520467864</v>
      </c>
      <c r="AD1094" s="405">
        <v>0</v>
      </c>
      <c r="AE1094" s="257" t="s">
        <v>2327</v>
      </c>
      <c r="AF1094" s="257" t="s">
        <v>2118</v>
      </c>
      <c r="AG1094" s="261" t="s">
        <v>1433</v>
      </c>
      <c r="AH1094" s="261" t="s">
        <v>2113</v>
      </c>
      <c r="AI1094" s="261">
        <v>1000000</v>
      </c>
      <c r="AJ1094" s="261">
        <v>0</v>
      </c>
      <c r="AK1094" s="261">
        <v>0</v>
      </c>
      <c r="AL1094" s="256">
        <v>0.02</v>
      </c>
      <c r="AM1094" s="256">
        <v>0.2</v>
      </c>
      <c r="AN1094" s="256" t="s">
        <v>34</v>
      </c>
      <c r="AO1094" s="254" t="s">
        <v>1324</v>
      </c>
      <c r="AP1094" s="257" t="s">
        <v>716</v>
      </c>
      <c r="AQ1094" s="263" t="s">
        <v>665</v>
      </c>
      <c r="AR1094" s="256">
        <v>3.06705E-3</v>
      </c>
      <c r="AS1094" s="256">
        <v>3.06705E-3</v>
      </c>
      <c r="AT1094" s="256"/>
      <c r="AX1094" s="508"/>
      <c r="AY1094" s="509"/>
      <c r="AZ1094" s="509"/>
      <c r="BA1094" s="509"/>
      <c r="BB1094" s="510"/>
      <c r="BC1094" s="509"/>
      <c r="BD1094" s="509"/>
      <c r="BE1094" s="509"/>
      <c r="BF1094" s="509"/>
      <c r="BG1094" s="510"/>
      <c r="BH1094" s="510"/>
      <c r="BI1094" s="511"/>
      <c r="BJ1094" s="511"/>
      <c r="BK1094" s="511"/>
      <c r="BL1094" s="510"/>
      <c r="BM1094" s="510"/>
      <c r="BN1094" s="510"/>
      <c r="BO1094" s="510"/>
      <c r="BP1094" s="510"/>
      <c r="BQ1094" s="510"/>
      <c r="BR1094" s="510"/>
      <c r="BS1094" s="510"/>
      <c r="BT1094" s="513"/>
      <c r="BU1094" s="514"/>
      <c r="BV1094" s="512"/>
      <c r="BW1094" s="515"/>
    </row>
    <row r="1095" spans="2:75" ht="15.75" customHeight="1">
      <c r="B1095" s="250" t="s">
        <v>1077</v>
      </c>
      <c r="C1095" s="251">
        <v>19186860000190</v>
      </c>
      <c r="D1095" s="252" t="s">
        <v>14</v>
      </c>
      <c r="E1095" s="252" t="s">
        <v>607</v>
      </c>
      <c r="F1095" s="252"/>
      <c r="G1095" s="253"/>
      <c r="H1095" s="253" t="s">
        <v>34</v>
      </c>
      <c r="I1095" s="253" t="s">
        <v>34</v>
      </c>
      <c r="J1095" s="253" t="s">
        <v>611</v>
      </c>
      <c r="K1095" s="254"/>
      <c r="L1095" s="255"/>
      <c r="M1095" s="255" t="s">
        <v>34</v>
      </c>
      <c r="N1095" s="254">
        <v>355739</v>
      </c>
      <c r="O1095" s="254" t="s">
        <v>1321</v>
      </c>
      <c r="P1095" s="258">
        <v>41627</v>
      </c>
      <c r="Q1095" s="259">
        <v>87497726.840000004</v>
      </c>
      <c r="R1095" s="259">
        <v>94605055.695277825</v>
      </c>
      <c r="S1095" s="254">
        <v>32</v>
      </c>
      <c r="T1095" s="256">
        <v>-5.4590426429703465E-2</v>
      </c>
      <c r="U1095" s="256">
        <v>-0.70570109749088794</v>
      </c>
      <c r="V1095" s="256">
        <v>-0.20621364531948827</v>
      </c>
      <c r="W1095" s="256">
        <v>-2.0215832479747466</v>
      </c>
      <c r="X1095" s="256">
        <v>-0.13374957785800679</v>
      </c>
      <c r="Y1095" s="256">
        <v>-1.0142473459191279</v>
      </c>
      <c r="Z1095" s="256">
        <v>-2.2749216249262072E-2</v>
      </c>
      <c r="AA1095" s="256">
        <v>-0.12931392018969301</v>
      </c>
      <c r="AB1095" s="256">
        <v>0.22279660961424544</v>
      </c>
      <c r="AC1095" s="260">
        <v>-1.3610136940011326</v>
      </c>
      <c r="AD1095" s="405">
        <v>18981190000130</v>
      </c>
      <c r="AE1095" s="257" t="s">
        <v>2327</v>
      </c>
      <c r="AF1095" s="257" t="s">
        <v>2118</v>
      </c>
      <c r="AG1095" s="261" t="s">
        <v>1433</v>
      </c>
      <c r="AH1095" s="261" t="s">
        <v>2110</v>
      </c>
      <c r="AI1095" s="261">
        <v>5000</v>
      </c>
      <c r="AJ1095" s="261">
        <v>1000</v>
      </c>
      <c r="AK1095" s="261">
        <v>5000</v>
      </c>
      <c r="AL1095" s="256">
        <v>0.02</v>
      </c>
      <c r="AM1095" s="256">
        <v>0.1</v>
      </c>
      <c r="AN1095" s="256" t="s">
        <v>635</v>
      </c>
      <c r="AO1095" s="254" t="s">
        <v>1324</v>
      </c>
      <c r="AP1095" s="257" t="s">
        <v>716</v>
      </c>
      <c r="AQ1095" s="263" t="s">
        <v>665</v>
      </c>
      <c r="AR1095" s="256">
        <v>6.0000000000000001E-3</v>
      </c>
      <c r="AS1095" s="256">
        <v>6.0000000000000001E-3</v>
      </c>
      <c r="AT1095" s="256"/>
      <c r="AX1095" s="508"/>
      <c r="AY1095" s="509"/>
      <c r="AZ1095" s="509"/>
      <c r="BA1095" s="509"/>
      <c r="BB1095" s="510"/>
      <c r="BC1095" s="509"/>
      <c r="BD1095" s="509"/>
      <c r="BE1095" s="509"/>
      <c r="BF1095" s="509"/>
      <c r="BG1095" s="510"/>
      <c r="BH1095" s="510"/>
      <c r="BI1095" s="511"/>
      <c r="BJ1095" s="511"/>
      <c r="BK1095" s="511"/>
      <c r="BL1095" s="510"/>
      <c r="BM1095" s="510"/>
      <c r="BN1095" s="510"/>
      <c r="BO1095" s="510"/>
      <c r="BP1095" s="510"/>
      <c r="BQ1095" s="510"/>
      <c r="BR1095" s="510"/>
      <c r="BS1095" s="510"/>
      <c r="BT1095" s="513"/>
      <c r="BU1095" s="514"/>
      <c r="BV1095" s="512"/>
      <c r="BW1095" s="515"/>
    </row>
    <row r="1096" spans="2:75" ht="15.75" customHeight="1">
      <c r="B1096" s="250" t="s">
        <v>300</v>
      </c>
      <c r="C1096" s="251">
        <v>8869576000100</v>
      </c>
      <c r="D1096" s="252" t="s">
        <v>14</v>
      </c>
      <c r="E1096" s="252" t="s">
        <v>607</v>
      </c>
      <c r="F1096" s="252"/>
      <c r="G1096" s="253"/>
      <c r="H1096" s="253" t="s">
        <v>34</v>
      </c>
      <c r="I1096" s="253" t="s">
        <v>34</v>
      </c>
      <c r="J1096" s="253" t="s">
        <v>608</v>
      </c>
      <c r="K1096" s="254" t="s">
        <v>48</v>
      </c>
      <c r="L1096" s="255"/>
      <c r="M1096" s="255" t="s">
        <v>34</v>
      </c>
      <c r="N1096" s="254">
        <v>187003</v>
      </c>
      <c r="O1096" s="254" t="s">
        <v>1321</v>
      </c>
      <c r="P1096" s="258">
        <v>39260</v>
      </c>
      <c r="Q1096" s="259">
        <v>217053271.25</v>
      </c>
      <c r="R1096" s="259">
        <v>219732980.20750001</v>
      </c>
      <c r="S1096" s="254">
        <v>32</v>
      </c>
      <c r="T1096" s="256">
        <v>-5.4988358974605855E-4</v>
      </c>
      <c r="U1096" s="256">
        <v>-7.1084524916785966E-3</v>
      </c>
      <c r="V1096" s="256">
        <v>-0.11186644231818066</v>
      </c>
      <c r="W1096" s="256">
        <v>-1.0966651864894568</v>
      </c>
      <c r="X1096" s="256">
        <v>-0.14637283845658988</v>
      </c>
      <c r="Y1096" s="256">
        <v>-1.1099718241866454</v>
      </c>
      <c r="Z1096" s="256">
        <v>7.4100397096406034E-3</v>
      </c>
      <c r="AA1096" s="256">
        <v>4.2121067957495158E-2</v>
      </c>
      <c r="AB1096" s="256">
        <v>0.2634757605843181</v>
      </c>
      <c r="AC1096" s="260">
        <v>-0.6876747122836645</v>
      </c>
      <c r="AD1096" s="405">
        <v>0</v>
      </c>
      <c r="AE1096" s="257" t="s">
        <v>2329</v>
      </c>
      <c r="AF1096" s="257" t="s">
        <v>2118</v>
      </c>
      <c r="AG1096" s="261" t="s">
        <v>1433</v>
      </c>
      <c r="AH1096" s="261" t="s">
        <v>2110</v>
      </c>
      <c r="AI1096" s="261">
        <v>5000</v>
      </c>
      <c r="AJ1096" s="261">
        <v>5000</v>
      </c>
      <c r="AK1096" s="261">
        <v>5000</v>
      </c>
      <c r="AL1096" s="256">
        <v>0.02</v>
      </c>
      <c r="AM1096" s="256">
        <v>0.2</v>
      </c>
      <c r="AN1096" s="256" t="s">
        <v>2141</v>
      </c>
      <c r="AO1096" s="254" t="s">
        <v>1324</v>
      </c>
      <c r="AP1096" s="257" t="s">
        <v>716</v>
      </c>
      <c r="AQ1096" s="263" t="s">
        <v>665</v>
      </c>
      <c r="AR1096" s="256">
        <v>5.3333333333333332E-3</v>
      </c>
      <c r="AS1096" s="256">
        <v>5.3333333333333332E-3</v>
      </c>
      <c r="AT1096" s="256"/>
      <c r="AX1096" s="508"/>
      <c r="AY1096" s="509"/>
      <c r="AZ1096" s="509"/>
      <c r="BA1096" s="509"/>
      <c r="BB1096" s="510"/>
      <c r="BC1096" s="509"/>
      <c r="BD1096" s="509"/>
      <c r="BE1096" s="509"/>
      <c r="BF1096" s="509"/>
      <c r="BG1096" s="510"/>
      <c r="BH1096" s="510"/>
      <c r="BI1096" s="511"/>
      <c r="BJ1096" s="511"/>
      <c r="BK1096" s="511"/>
      <c r="BL1096" s="510"/>
      <c r="BM1096" s="510"/>
      <c r="BN1096" s="510"/>
      <c r="BO1096" s="510"/>
      <c r="BP1096" s="510"/>
      <c r="BQ1096" s="510"/>
      <c r="BR1096" s="510"/>
      <c r="BS1096" s="510"/>
      <c r="BT1096" s="513"/>
      <c r="BU1096" s="514"/>
      <c r="BV1096" s="512"/>
      <c r="BW1096" s="515"/>
    </row>
    <row r="1097" spans="2:75" ht="15.75" customHeight="1">
      <c r="B1097" s="250" t="s">
        <v>562</v>
      </c>
      <c r="C1097" s="251">
        <v>39959357000137</v>
      </c>
      <c r="D1097" s="252" t="s">
        <v>14</v>
      </c>
      <c r="E1097" s="252" t="s">
        <v>607</v>
      </c>
      <c r="F1097" s="252"/>
      <c r="G1097" s="253"/>
      <c r="H1097" s="253" t="s">
        <v>34</v>
      </c>
      <c r="I1097" s="253" t="s">
        <v>34</v>
      </c>
      <c r="J1097" s="253" t="s">
        <v>608</v>
      </c>
      <c r="K1097" s="254" t="s">
        <v>48</v>
      </c>
      <c r="L1097" s="255"/>
      <c r="M1097" s="255" t="s">
        <v>34</v>
      </c>
      <c r="N1097" s="254">
        <v>603430</v>
      </c>
      <c r="O1097" s="254" t="s">
        <v>1321</v>
      </c>
      <c r="P1097" s="258">
        <v>44403</v>
      </c>
      <c r="Q1097" s="259">
        <v>6157808.9800000004</v>
      </c>
      <c r="R1097" s="259">
        <v>7268936.3979761917</v>
      </c>
      <c r="S1097" s="254">
        <v>32</v>
      </c>
      <c r="T1097" s="256">
        <v>-5.2031577990402367E-3</v>
      </c>
      <c r="U1097" s="256">
        <v>-6.7262236427650376E-2</v>
      </c>
      <c r="V1097" s="256">
        <v>-0.11736963858223848</v>
      </c>
      <c r="W1097" s="256">
        <v>-1.150614911108796</v>
      </c>
      <c r="X1097" s="256" t="s">
        <v>1417</v>
      </c>
      <c r="Y1097" s="256" t="s">
        <v>1417</v>
      </c>
      <c r="Z1097" s="256" t="s">
        <v>1417</v>
      </c>
      <c r="AA1097" s="256" t="s">
        <v>1417</v>
      </c>
      <c r="AB1097" s="256">
        <v>0.26251586627813206</v>
      </c>
      <c r="AC1097" s="260">
        <v>-0.71480582753506083</v>
      </c>
      <c r="AD1097" s="405">
        <v>0</v>
      </c>
      <c r="AE1097" s="257" t="s">
        <v>2329</v>
      </c>
      <c r="AF1097" s="257" t="s">
        <v>2118</v>
      </c>
      <c r="AG1097" s="261" t="s">
        <v>1433</v>
      </c>
      <c r="AH1097" s="261" t="s">
        <v>2113</v>
      </c>
      <c r="AI1097" s="261">
        <v>500</v>
      </c>
      <c r="AJ1097" s="261">
        <v>500</v>
      </c>
      <c r="AK1097" s="261">
        <v>500</v>
      </c>
      <c r="AL1097" s="256">
        <v>0.02</v>
      </c>
      <c r="AM1097" s="256">
        <v>0.2</v>
      </c>
      <c r="AN1097" s="256" t="s">
        <v>2141</v>
      </c>
      <c r="AO1097" s="254" t="s">
        <v>1324</v>
      </c>
      <c r="AP1097" s="257" t="s">
        <v>716</v>
      </c>
      <c r="AQ1097" s="263" t="s">
        <v>665</v>
      </c>
      <c r="AR1097" s="256">
        <v>5.3340000000000002E-3</v>
      </c>
      <c r="AS1097" s="256">
        <v>5.3340000000000002E-3</v>
      </c>
      <c r="AT1097" s="256"/>
      <c r="AX1097" s="508"/>
      <c r="AY1097" s="509"/>
      <c r="AZ1097" s="509"/>
      <c r="BA1097" s="509"/>
      <c r="BB1097" s="510"/>
      <c r="BC1097" s="509"/>
      <c r="BD1097" s="509"/>
      <c r="BE1097" s="509"/>
      <c r="BF1097" s="509"/>
      <c r="BG1097" s="510"/>
      <c r="BH1097" s="510"/>
      <c r="BI1097" s="511"/>
      <c r="BJ1097" s="511"/>
      <c r="BK1097" s="511"/>
      <c r="BL1097" s="510"/>
      <c r="BM1097" s="510"/>
      <c r="BN1097" s="510"/>
      <c r="BO1097" s="510"/>
      <c r="BP1097" s="510"/>
      <c r="BQ1097" s="510"/>
      <c r="BR1097" s="510"/>
      <c r="BS1097" s="510"/>
      <c r="BT1097" s="513"/>
      <c r="BU1097" s="514"/>
      <c r="BV1097" s="512"/>
      <c r="BW1097" s="515"/>
    </row>
    <row r="1098" spans="2:75" ht="15.75" customHeight="1">
      <c r="B1098" s="250" t="s">
        <v>302</v>
      </c>
      <c r="C1098" s="251">
        <v>34791444000104</v>
      </c>
      <c r="D1098" s="252" t="s">
        <v>14</v>
      </c>
      <c r="E1098" s="252" t="s">
        <v>607</v>
      </c>
      <c r="F1098" s="252"/>
      <c r="G1098" s="253"/>
      <c r="H1098" s="253" t="s">
        <v>34</v>
      </c>
      <c r="I1098" s="253" t="s">
        <v>34</v>
      </c>
      <c r="J1098" s="253" t="s">
        <v>608</v>
      </c>
      <c r="K1098" s="254" t="s">
        <v>48</v>
      </c>
      <c r="L1098" s="255"/>
      <c r="M1098" s="255" t="s">
        <v>1414</v>
      </c>
      <c r="N1098" s="254">
        <v>520780</v>
      </c>
      <c r="O1098" s="254" t="s">
        <v>1321</v>
      </c>
      <c r="P1098" s="258">
        <v>43822</v>
      </c>
      <c r="Q1098" s="259">
        <v>47383471.450000003</v>
      </c>
      <c r="R1098" s="259">
        <v>52856821.291031726</v>
      </c>
      <c r="S1098" s="254">
        <v>32</v>
      </c>
      <c r="T1098" s="256">
        <v>9.1929557100007608E-2</v>
      </c>
      <c r="U1098" s="256">
        <v>1.1883913275685145</v>
      </c>
      <c r="V1098" s="256">
        <v>-3.0753628747344885E-2</v>
      </c>
      <c r="W1098" s="256">
        <v>-0.30148839371781144</v>
      </c>
      <c r="X1098" s="256">
        <v>0.15676276737440187</v>
      </c>
      <c r="Y1098" s="256">
        <v>1.1887605426106143</v>
      </c>
      <c r="Z1098" s="256" t="s">
        <v>1417</v>
      </c>
      <c r="AA1098" s="256" t="s">
        <v>1417</v>
      </c>
      <c r="AB1098" s="256">
        <v>0.19679500426497687</v>
      </c>
      <c r="AC1098" s="260">
        <v>-0.55401249986488488</v>
      </c>
      <c r="AD1098" s="405">
        <v>34791421000108</v>
      </c>
      <c r="AE1098" s="257" t="s">
        <v>2331</v>
      </c>
      <c r="AF1098" s="257" t="s">
        <v>2115</v>
      </c>
      <c r="AG1098" s="261" t="s">
        <v>719</v>
      </c>
      <c r="AH1098" s="261" t="s">
        <v>2113</v>
      </c>
      <c r="AI1098" s="261">
        <v>10000</v>
      </c>
      <c r="AJ1098" s="261">
        <v>5000</v>
      </c>
      <c r="AK1098" s="261">
        <v>5000</v>
      </c>
      <c r="AL1098" s="256">
        <v>0.02</v>
      </c>
      <c r="AM1098" s="256">
        <v>0.2</v>
      </c>
      <c r="AN1098" s="256" t="s">
        <v>666</v>
      </c>
      <c r="AO1098" s="254" t="s">
        <v>1324</v>
      </c>
      <c r="AP1098" s="257" t="s">
        <v>716</v>
      </c>
      <c r="AQ1098" s="263" t="s">
        <v>659</v>
      </c>
      <c r="AR1098" s="256">
        <v>3.3333333333333331E-3</v>
      </c>
      <c r="AS1098" s="256">
        <v>3.3333333333333331E-3</v>
      </c>
      <c r="AT1098" s="256"/>
      <c r="AX1098" s="508"/>
      <c r="AY1098" s="509"/>
      <c r="AZ1098" s="509"/>
      <c r="BA1098" s="509"/>
      <c r="BB1098" s="510"/>
      <c r="BC1098" s="509"/>
      <c r="BD1098" s="509"/>
      <c r="BE1098" s="509"/>
      <c r="BF1098" s="509"/>
      <c r="BG1098" s="510"/>
      <c r="BH1098" s="510"/>
      <c r="BI1098" s="511"/>
      <c r="BJ1098" s="511"/>
      <c r="BK1098" s="511"/>
      <c r="BL1098" s="510"/>
      <c r="BM1098" s="510"/>
      <c r="BN1098" s="510"/>
      <c r="BO1098" s="510"/>
      <c r="BP1098" s="510"/>
      <c r="BQ1098" s="510"/>
      <c r="BR1098" s="510"/>
      <c r="BS1098" s="510"/>
      <c r="BT1098" s="513"/>
      <c r="BU1098" s="514"/>
      <c r="BV1098" s="512"/>
      <c r="BW1098" s="515"/>
    </row>
    <row r="1099" spans="2:75" ht="15.75" customHeight="1">
      <c r="B1099" s="250" t="s">
        <v>303</v>
      </c>
      <c r="C1099" s="251">
        <v>14113340000133</v>
      </c>
      <c r="D1099" s="252" t="s">
        <v>14</v>
      </c>
      <c r="E1099" s="252" t="s">
        <v>607</v>
      </c>
      <c r="F1099" s="252"/>
      <c r="G1099" s="253"/>
      <c r="H1099" s="253" t="s">
        <v>34</v>
      </c>
      <c r="I1099" s="253" t="s">
        <v>34</v>
      </c>
      <c r="J1099" s="253" t="s">
        <v>608</v>
      </c>
      <c r="K1099" s="254" t="s">
        <v>48</v>
      </c>
      <c r="L1099" s="255"/>
      <c r="M1099" s="255" t="s">
        <v>1414</v>
      </c>
      <c r="N1099" s="254">
        <v>287989</v>
      </c>
      <c r="O1099" s="254" t="s">
        <v>1324</v>
      </c>
      <c r="P1099" s="258">
        <v>40816</v>
      </c>
      <c r="Q1099" s="259">
        <v>800397164.78999996</v>
      </c>
      <c r="R1099" s="259">
        <v>859392665.79698408</v>
      </c>
      <c r="S1099" s="254">
        <v>32</v>
      </c>
      <c r="T1099" s="256">
        <v>9.7378310238932952E-2</v>
      </c>
      <c r="U1099" s="256">
        <v>1.258828422890494</v>
      </c>
      <c r="V1099" s="256">
        <v>-8.0654699159541376E-3</v>
      </c>
      <c r="W1099" s="256">
        <v>-7.9068573972763484E-2</v>
      </c>
      <c r="X1099" s="256">
        <v>0.16430796740848019</v>
      </c>
      <c r="Y1099" s="256">
        <v>1.2459771651342175</v>
      </c>
      <c r="Z1099" s="256">
        <v>0.25983419310781541</v>
      </c>
      <c r="AA1099" s="256">
        <v>1.4769817888204051</v>
      </c>
      <c r="AB1099" s="256">
        <v>0.20319550761773877</v>
      </c>
      <c r="AC1099" s="260">
        <v>-0.41639684595114917</v>
      </c>
      <c r="AD1099" s="405">
        <v>32812291000109</v>
      </c>
      <c r="AE1099" s="257" t="s">
        <v>2331</v>
      </c>
      <c r="AF1099" s="257" t="s">
        <v>2115</v>
      </c>
      <c r="AG1099" s="261" t="s">
        <v>719</v>
      </c>
      <c r="AH1099" s="261" t="s">
        <v>2113</v>
      </c>
      <c r="AI1099" s="261">
        <v>10000</v>
      </c>
      <c r="AJ1099" s="261">
        <v>5000</v>
      </c>
      <c r="AK1099" s="261">
        <v>5000</v>
      </c>
      <c r="AL1099" s="256">
        <v>1.4999999999999999E-2</v>
      </c>
      <c r="AM1099" s="256">
        <v>0.2</v>
      </c>
      <c r="AN1099" s="256" t="s">
        <v>666</v>
      </c>
      <c r="AO1099" s="254" t="s">
        <v>1324</v>
      </c>
      <c r="AP1099" s="257" t="s">
        <v>716</v>
      </c>
      <c r="AQ1099" s="263" t="s">
        <v>659</v>
      </c>
      <c r="AR1099" s="256">
        <v>3.1499999999999996E-3</v>
      </c>
      <c r="AS1099" s="256">
        <v>3.1499999999999996E-3</v>
      </c>
      <c r="AT1099" s="256"/>
      <c r="AX1099" s="508"/>
      <c r="AY1099" s="509"/>
      <c r="AZ1099" s="509"/>
      <c r="BA1099" s="509"/>
      <c r="BB1099" s="510"/>
      <c r="BC1099" s="509"/>
      <c r="BD1099" s="509"/>
      <c r="BE1099" s="509"/>
      <c r="BF1099" s="509"/>
      <c r="BG1099" s="510"/>
      <c r="BH1099" s="510"/>
      <c r="BI1099" s="511"/>
      <c r="BJ1099" s="511"/>
      <c r="BK1099" s="511"/>
      <c r="BL1099" s="510"/>
      <c r="BM1099" s="510"/>
      <c r="BN1099" s="510"/>
      <c r="BO1099" s="510"/>
      <c r="BP1099" s="510"/>
      <c r="BQ1099" s="510"/>
      <c r="BR1099" s="510"/>
      <c r="BS1099" s="510"/>
      <c r="BT1099" s="513"/>
      <c r="BU1099" s="514"/>
      <c r="BV1099" s="512"/>
      <c r="BW1099" s="515"/>
    </row>
    <row r="1100" spans="2:75" ht="15.75" customHeight="1">
      <c r="B1100" s="250" t="s">
        <v>306</v>
      </c>
      <c r="C1100" s="251">
        <v>17759778000181</v>
      </c>
      <c r="D1100" s="252" t="s">
        <v>14</v>
      </c>
      <c r="E1100" s="252" t="s">
        <v>607</v>
      </c>
      <c r="F1100" s="252"/>
      <c r="G1100" s="253"/>
      <c r="H1100" s="253" t="s">
        <v>34</v>
      </c>
      <c r="I1100" s="253" t="s">
        <v>34</v>
      </c>
      <c r="J1100" s="253" t="s">
        <v>608</v>
      </c>
      <c r="K1100" s="254" t="s">
        <v>48</v>
      </c>
      <c r="L1100" s="255"/>
      <c r="M1100" s="255" t="s">
        <v>34</v>
      </c>
      <c r="N1100" s="254">
        <v>395951</v>
      </c>
      <c r="O1100" s="254" t="s">
        <v>1321</v>
      </c>
      <c r="P1100" s="258">
        <v>41402</v>
      </c>
      <c r="Q1100" s="259">
        <v>57694633.909999996</v>
      </c>
      <c r="R1100" s="259">
        <v>77813250.066547647</v>
      </c>
      <c r="S1100" s="254">
        <v>32</v>
      </c>
      <c r="T1100" s="256">
        <v>3.5133665956920579E-2</v>
      </c>
      <c r="U1100" s="256">
        <v>0.45417975726209731</v>
      </c>
      <c r="V1100" s="256">
        <v>-1.7173289307878203E-2</v>
      </c>
      <c r="W1100" s="256">
        <v>-0.16835565815076275</v>
      </c>
      <c r="X1100" s="256">
        <v>1.3015620271548567E-2</v>
      </c>
      <c r="Y1100" s="256">
        <v>9.869981294388859E-2</v>
      </c>
      <c r="Z1100" s="256">
        <v>0.14387483931707856</v>
      </c>
      <c r="AA1100" s="256">
        <v>0.81783122921243945</v>
      </c>
      <c r="AB1100" s="256">
        <v>0.18049383608507524</v>
      </c>
      <c r="AC1100" s="260">
        <v>-0.54430494512162397</v>
      </c>
      <c r="AD1100" s="405">
        <v>0</v>
      </c>
      <c r="AE1100" s="257" t="s">
        <v>2332</v>
      </c>
      <c r="AF1100" s="257" t="s">
        <v>2109</v>
      </c>
      <c r="AG1100" s="261" t="s">
        <v>1432</v>
      </c>
      <c r="AH1100" s="261" t="s">
        <v>2113</v>
      </c>
      <c r="AI1100" s="261">
        <v>1000</v>
      </c>
      <c r="AJ1100" s="261">
        <v>1000</v>
      </c>
      <c r="AK1100" s="261">
        <v>100</v>
      </c>
      <c r="AL1100" s="256">
        <v>0.02</v>
      </c>
      <c r="AM1100" s="256">
        <v>0.2</v>
      </c>
      <c r="AN1100" s="256" t="s">
        <v>34</v>
      </c>
      <c r="AO1100" s="254" t="s">
        <v>1324</v>
      </c>
      <c r="AP1100" s="257" t="s">
        <v>716</v>
      </c>
      <c r="AQ1100" s="263" t="s">
        <v>659</v>
      </c>
      <c r="AR1100" s="256">
        <v>6.0000000000000001E-3</v>
      </c>
      <c r="AS1100" s="256">
        <v>6.0000000000000001E-3</v>
      </c>
      <c r="AT1100" s="256"/>
      <c r="AX1100" s="508"/>
      <c r="AY1100" s="509"/>
      <c r="AZ1100" s="509"/>
      <c r="BA1100" s="509"/>
      <c r="BB1100" s="510"/>
      <c r="BC1100" s="509"/>
      <c r="BD1100" s="509"/>
      <c r="BE1100" s="509"/>
      <c r="BF1100" s="509"/>
      <c r="BG1100" s="510"/>
      <c r="BH1100" s="510"/>
      <c r="BI1100" s="511"/>
      <c r="BJ1100" s="511"/>
      <c r="BK1100" s="511"/>
      <c r="BL1100" s="510"/>
      <c r="BM1100" s="510"/>
      <c r="BN1100" s="510"/>
      <c r="BO1100" s="510"/>
      <c r="BP1100" s="510"/>
      <c r="BQ1100" s="510"/>
      <c r="BR1100" s="510"/>
      <c r="BS1100" s="510"/>
      <c r="BT1100" s="513"/>
      <c r="BU1100" s="514"/>
      <c r="BV1100" s="512"/>
      <c r="BW1100" s="515"/>
    </row>
    <row r="1101" spans="2:75" ht="15.75" customHeight="1">
      <c r="B1101" s="250" t="s">
        <v>308</v>
      </c>
      <c r="C1101" s="251">
        <v>26218614000138</v>
      </c>
      <c r="D1101" s="252" t="s">
        <v>14</v>
      </c>
      <c r="E1101" s="252" t="s">
        <v>607</v>
      </c>
      <c r="F1101" s="252"/>
      <c r="G1101" s="253"/>
      <c r="H1101" s="253" t="s">
        <v>34</v>
      </c>
      <c r="I1101" s="253" t="s">
        <v>34</v>
      </c>
      <c r="J1101" s="253" t="s">
        <v>608</v>
      </c>
      <c r="K1101" s="254" t="s">
        <v>48</v>
      </c>
      <c r="L1101" s="255"/>
      <c r="M1101" s="255" t="s">
        <v>34</v>
      </c>
      <c r="N1101" s="254">
        <v>436607</v>
      </c>
      <c r="O1101" s="254" t="s">
        <v>1321</v>
      </c>
      <c r="P1101" s="258">
        <v>42782</v>
      </c>
      <c r="Q1101" s="259">
        <v>84918167.019999996</v>
      </c>
      <c r="R1101" s="259">
        <v>124127540.21392851</v>
      </c>
      <c r="S1101" s="254">
        <v>32</v>
      </c>
      <c r="T1101" s="256">
        <v>-4.2937196868663152E-2</v>
      </c>
      <c r="U1101" s="256">
        <v>-0.55505752446203227</v>
      </c>
      <c r="V1101" s="256">
        <v>-0.27454965365167083</v>
      </c>
      <c r="W1101" s="256">
        <v>-2.6915046271529817</v>
      </c>
      <c r="X1101" s="256">
        <v>-0.16357765460006868</v>
      </c>
      <c r="Y1101" s="256">
        <v>-1.2404390704390067</v>
      </c>
      <c r="Z1101" s="256">
        <v>-9.7388807880545714E-2</v>
      </c>
      <c r="AA1101" s="256">
        <v>-0.55358955630142825</v>
      </c>
      <c r="AB1101" s="256">
        <v>0.26594225935909688</v>
      </c>
      <c r="AC1101" s="260">
        <v>-1.4389252753129429</v>
      </c>
      <c r="AD1101" s="405">
        <v>39150853000145</v>
      </c>
      <c r="AE1101" s="257" t="s">
        <v>2334</v>
      </c>
      <c r="AF1101" s="257" t="s">
        <v>2112</v>
      </c>
      <c r="AG1101" s="261" t="s">
        <v>59</v>
      </c>
      <c r="AH1101" s="261" t="s">
        <v>2113</v>
      </c>
      <c r="AI1101" s="261">
        <v>25000</v>
      </c>
      <c r="AJ1101" s="261">
        <v>1000</v>
      </c>
      <c r="AK1101" s="261">
        <v>1000</v>
      </c>
      <c r="AL1101" s="256">
        <v>0.02</v>
      </c>
      <c r="AM1101" s="256">
        <v>0.2</v>
      </c>
      <c r="AN1101" s="256" t="s">
        <v>666</v>
      </c>
      <c r="AO1101" s="254" t="s">
        <v>1324</v>
      </c>
      <c r="AP1101" s="257" t="s">
        <v>716</v>
      </c>
      <c r="AQ1101" s="263" t="s">
        <v>665</v>
      </c>
      <c r="AR1101" s="256">
        <v>5.3333333333333332E-3</v>
      </c>
      <c r="AS1101" s="256">
        <v>5.3333333333333332E-3</v>
      </c>
      <c r="AT1101" s="256"/>
      <c r="AX1101" s="508"/>
      <c r="AY1101" s="509"/>
      <c r="AZ1101" s="509"/>
      <c r="BA1101" s="509"/>
      <c r="BB1101" s="510"/>
      <c r="BC1101" s="509"/>
      <c r="BD1101" s="509"/>
      <c r="BE1101" s="509"/>
      <c r="BF1101" s="509"/>
      <c r="BG1101" s="510"/>
      <c r="BH1101" s="510"/>
      <c r="BI1101" s="511"/>
      <c r="BJ1101" s="511"/>
      <c r="BK1101" s="511"/>
      <c r="BL1101" s="510"/>
      <c r="BM1101" s="510"/>
      <c r="BN1101" s="510"/>
      <c r="BO1101" s="510"/>
      <c r="BP1101" s="510"/>
      <c r="BQ1101" s="510"/>
      <c r="BR1101" s="510"/>
      <c r="BS1101" s="510"/>
      <c r="BT1101" s="513"/>
      <c r="BU1101" s="514"/>
      <c r="BV1101" s="512"/>
      <c r="BW1101" s="515"/>
    </row>
    <row r="1102" spans="2:75" ht="15.75" customHeight="1">
      <c r="B1102" s="250" t="s">
        <v>309</v>
      </c>
      <c r="C1102" s="251">
        <v>11961199000130</v>
      </c>
      <c r="D1102" s="252" t="s">
        <v>14</v>
      </c>
      <c r="E1102" s="252" t="s">
        <v>607</v>
      </c>
      <c r="F1102" s="252"/>
      <c r="G1102" s="253"/>
      <c r="H1102" s="253" t="s">
        <v>34</v>
      </c>
      <c r="I1102" s="253" t="s">
        <v>34</v>
      </c>
      <c r="J1102" s="253" t="s">
        <v>608</v>
      </c>
      <c r="K1102" s="254" t="s">
        <v>48</v>
      </c>
      <c r="L1102" s="255"/>
      <c r="M1102" s="255" t="s">
        <v>1414</v>
      </c>
      <c r="N1102" s="254">
        <v>303593</v>
      </c>
      <c r="O1102" s="254" t="s">
        <v>1321</v>
      </c>
      <c r="P1102" s="258">
        <v>41037</v>
      </c>
      <c r="Q1102" s="259">
        <v>289396763.73000002</v>
      </c>
      <c r="R1102" s="259">
        <v>394200097.52424622</v>
      </c>
      <c r="S1102" s="254">
        <v>32</v>
      </c>
      <c r="T1102" s="256">
        <v>-3.8487678970362538E-2</v>
      </c>
      <c r="U1102" s="256">
        <v>-0.49753773812770979</v>
      </c>
      <c r="V1102" s="256">
        <v>-0.27001371132820196</v>
      </c>
      <c r="W1102" s="256">
        <v>-2.6470372253925523</v>
      </c>
      <c r="X1102" s="256">
        <v>-0.15272168749952431</v>
      </c>
      <c r="Y1102" s="256">
        <v>-1.1581162998146255</v>
      </c>
      <c r="Z1102" s="256">
        <v>-7.6653964596920199E-2</v>
      </c>
      <c r="AA1102" s="256">
        <v>-0.43572598508448507</v>
      </c>
      <c r="AB1102" s="256">
        <v>0.26638335724013601</v>
      </c>
      <c r="AC1102" s="260">
        <v>-1.4127384849244429</v>
      </c>
      <c r="AD1102" s="405">
        <v>20889133000178</v>
      </c>
      <c r="AE1102" s="257" t="s">
        <v>2334</v>
      </c>
      <c r="AF1102" s="257" t="s">
        <v>2112</v>
      </c>
      <c r="AG1102" s="261" t="s">
        <v>59</v>
      </c>
      <c r="AH1102" s="261" t="s">
        <v>2113</v>
      </c>
      <c r="AI1102" s="261">
        <v>25000</v>
      </c>
      <c r="AJ1102" s="261">
        <v>1000</v>
      </c>
      <c r="AK1102" s="261">
        <v>1000</v>
      </c>
      <c r="AL1102" s="256">
        <v>1.3000000000000001E-2</v>
      </c>
      <c r="AM1102" s="256">
        <v>0.2</v>
      </c>
      <c r="AN1102" s="256" t="s">
        <v>666</v>
      </c>
      <c r="AO1102" s="254" t="s">
        <v>1324</v>
      </c>
      <c r="AP1102" s="257" t="s">
        <v>716</v>
      </c>
      <c r="AQ1102" s="263" t="s">
        <v>665</v>
      </c>
      <c r="AR1102" s="256" t="s">
        <v>34</v>
      </c>
      <c r="AS1102" s="256" t="s">
        <v>34</v>
      </c>
      <c r="AT1102" s="256"/>
      <c r="AX1102" s="508"/>
      <c r="AY1102" s="509"/>
      <c r="AZ1102" s="509"/>
      <c r="BA1102" s="509"/>
      <c r="BB1102" s="510"/>
      <c r="BC1102" s="509"/>
      <c r="BD1102" s="509"/>
      <c r="BE1102" s="509"/>
      <c r="BF1102" s="509"/>
      <c r="BG1102" s="510"/>
      <c r="BH1102" s="510"/>
      <c r="BI1102" s="511"/>
      <c r="BJ1102" s="511"/>
      <c r="BK1102" s="511"/>
      <c r="BL1102" s="510"/>
      <c r="BM1102" s="510"/>
      <c r="BN1102" s="510"/>
      <c r="BO1102" s="510"/>
      <c r="BP1102" s="510"/>
      <c r="BQ1102" s="510"/>
      <c r="BR1102" s="510"/>
      <c r="BS1102" s="510"/>
      <c r="BT1102" s="513"/>
      <c r="BU1102" s="514"/>
      <c r="BV1102" s="512"/>
      <c r="BW1102" s="515"/>
    </row>
    <row r="1103" spans="2:75" ht="15.75" customHeight="1">
      <c r="B1103" s="250" t="s">
        <v>1092</v>
      </c>
      <c r="C1103" s="251">
        <v>39471486000181</v>
      </c>
      <c r="D1103" s="252" t="s">
        <v>14</v>
      </c>
      <c r="E1103" s="252" t="s">
        <v>607</v>
      </c>
      <c r="F1103" s="252"/>
      <c r="G1103" s="253"/>
      <c r="H1103" s="253" t="s">
        <v>34</v>
      </c>
      <c r="I1103" s="253" t="s">
        <v>34</v>
      </c>
      <c r="J1103" s="253" t="s">
        <v>608</v>
      </c>
      <c r="K1103" s="254" t="s">
        <v>48</v>
      </c>
      <c r="L1103" s="255"/>
      <c r="M1103" s="255" t="s">
        <v>1414</v>
      </c>
      <c r="N1103" s="254">
        <v>605875</v>
      </c>
      <c r="O1103" s="254" t="s">
        <v>1321</v>
      </c>
      <c r="P1103" s="258">
        <v>44407</v>
      </c>
      <c r="Q1103" s="259">
        <v>14952363.15</v>
      </c>
      <c r="R1103" s="259">
        <v>14376214.244325392</v>
      </c>
      <c r="S1103" s="254">
        <v>32</v>
      </c>
      <c r="T1103" s="256">
        <v>3.8160802553423467E-2</v>
      </c>
      <c r="U1103" s="256">
        <v>0.4933121428857522</v>
      </c>
      <c r="V1103" s="256">
        <v>-0.10645840919035876</v>
      </c>
      <c r="W1103" s="256">
        <v>-1.0436483788055666</v>
      </c>
      <c r="X1103" s="256" t="s">
        <v>1417</v>
      </c>
      <c r="Y1103" s="256" t="s">
        <v>1417</v>
      </c>
      <c r="Z1103" s="256" t="s">
        <v>1417</v>
      </c>
      <c r="AA1103" s="256" t="s">
        <v>1417</v>
      </c>
      <c r="AB1103" s="256">
        <v>0.21420385578257309</v>
      </c>
      <c r="AC1103" s="260">
        <v>-0.8718129375443926</v>
      </c>
      <c r="AD1103" s="405">
        <v>39471368000173</v>
      </c>
      <c r="AE1103" s="257" t="s">
        <v>2340</v>
      </c>
      <c r="AF1103" s="257" t="s">
        <v>736</v>
      </c>
      <c r="AG1103" s="261" t="s">
        <v>736</v>
      </c>
      <c r="AH1103" s="261" t="s">
        <v>2113</v>
      </c>
      <c r="AI1103" s="261">
        <v>10000</v>
      </c>
      <c r="AJ1103" s="261">
        <v>1000</v>
      </c>
      <c r="AK1103" s="261">
        <v>1000</v>
      </c>
      <c r="AL1103" s="256">
        <v>1.8000000000000002E-2</v>
      </c>
      <c r="AM1103" s="256">
        <v>0.2</v>
      </c>
      <c r="AN1103" s="256" t="s">
        <v>666</v>
      </c>
      <c r="AO1103" s="254" t="s">
        <v>1324</v>
      </c>
      <c r="AP1103" s="257" t="s">
        <v>716</v>
      </c>
      <c r="AQ1103" s="263" t="s">
        <v>659</v>
      </c>
      <c r="AR1103" s="256">
        <v>3.5999999999999999E-3</v>
      </c>
      <c r="AS1103" s="256">
        <v>3.5999999999999999E-3</v>
      </c>
      <c r="AT1103" s="256"/>
      <c r="AX1103" s="508"/>
      <c r="AY1103" s="509"/>
      <c r="AZ1103" s="509"/>
      <c r="BA1103" s="509"/>
      <c r="BB1103" s="510"/>
      <c r="BC1103" s="509"/>
      <c r="BD1103" s="509"/>
      <c r="BE1103" s="509"/>
      <c r="BF1103" s="509"/>
      <c r="BG1103" s="510"/>
      <c r="BH1103" s="510"/>
      <c r="BI1103" s="511"/>
      <c r="BJ1103" s="511"/>
      <c r="BK1103" s="511"/>
      <c r="BL1103" s="510"/>
      <c r="BM1103" s="510"/>
      <c r="BN1103" s="510"/>
      <c r="BO1103" s="510"/>
      <c r="BP1103" s="510"/>
      <c r="BQ1103" s="510"/>
      <c r="BR1103" s="510"/>
      <c r="BS1103" s="510"/>
      <c r="BT1103" s="513"/>
      <c r="BU1103" s="514"/>
      <c r="BV1103" s="512"/>
      <c r="BW1103" s="515"/>
    </row>
    <row r="1104" spans="2:75" ht="15.75" customHeight="1">
      <c r="B1104" s="250" t="s">
        <v>1094</v>
      </c>
      <c r="C1104" s="251">
        <v>39435574000128</v>
      </c>
      <c r="D1104" s="252" t="s">
        <v>14</v>
      </c>
      <c r="E1104" s="252" t="s">
        <v>607</v>
      </c>
      <c r="F1104" s="252"/>
      <c r="G1104" s="253"/>
      <c r="H1104" s="253" t="s">
        <v>34</v>
      </c>
      <c r="I1104" s="253" t="s">
        <v>34</v>
      </c>
      <c r="J1104" s="253" t="s">
        <v>608</v>
      </c>
      <c r="K1104" s="254" t="s">
        <v>48</v>
      </c>
      <c r="L1104" s="255"/>
      <c r="M1104" s="255" t="s">
        <v>1414</v>
      </c>
      <c r="N1104" s="254">
        <v>604054</v>
      </c>
      <c r="O1104" s="254" t="s">
        <v>1321</v>
      </c>
      <c r="P1104" s="258">
        <v>44407</v>
      </c>
      <c r="Q1104" s="259">
        <v>15667883.51</v>
      </c>
      <c r="R1104" s="259">
        <v>14538107.363928586</v>
      </c>
      <c r="S1104" s="254">
        <v>32</v>
      </c>
      <c r="T1104" s="256">
        <v>-1.8848078389341882E-3</v>
      </c>
      <c r="U1104" s="256">
        <v>-2.4365278813274705E-2</v>
      </c>
      <c r="V1104" s="256">
        <v>-9.5028288738746913E-2</v>
      </c>
      <c r="W1104" s="256">
        <v>-0.9315949790826128</v>
      </c>
      <c r="X1104" s="256" t="s">
        <v>1417</v>
      </c>
      <c r="Y1104" s="256" t="s">
        <v>1417</v>
      </c>
      <c r="Z1104" s="256" t="s">
        <v>1417</v>
      </c>
      <c r="AA1104" s="256" t="s">
        <v>1417</v>
      </c>
      <c r="AB1104" s="256">
        <v>0.19562806820562104</v>
      </c>
      <c r="AC1104" s="260">
        <v>-0.90913892469891022</v>
      </c>
      <c r="AD1104" s="405">
        <v>39433090000140</v>
      </c>
      <c r="AE1104" s="257" t="s">
        <v>2340</v>
      </c>
      <c r="AF1104" s="257" t="s">
        <v>736</v>
      </c>
      <c r="AG1104" s="261" t="s">
        <v>736</v>
      </c>
      <c r="AH1104" s="261" t="s">
        <v>2110</v>
      </c>
      <c r="AI1104" s="261">
        <v>10000</v>
      </c>
      <c r="AJ1104" s="261" t="s">
        <v>1427</v>
      </c>
      <c r="AK1104" s="261" t="s">
        <v>1427</v>
      </c>
      <c r="AL1104" s="256">
        <v>1.8000000000000002E-2</v>
      </c>
      <c r="AM1104" s="256">
        <v>0.2</v>
      </c>
      <c r="AN1104" s="256" t="s">
        <v>666</v>
      </c>
      <c r="AO1104" s="254" t="s">
        <v>1324</v>
      </c>
      <c r="AP1104" s="257" t="s">
        <v>716</v>
      </c>
      <c r="AQ1104" s="263" t="s">
        <v>659</v>
      </c>
      <c r="AR1104" s="256">
        <v>3.5999999999999999E-3</v>
      </c>
      <c r="AS1104" s="256">
        <v>3.5999999999999999E-3</v>
      </c>
      <c r="AT1104" s="256"/>
      <c r="AX1104" s="508"/>
      <c r="AY1104" s="509"/>
      <c r="AZ1104" s="509"/>
      <c r="BA1104" s="509"/>
      <c r="BB1104" s="510"/>
      <c r="BC1104" s="509"/>
      <c r="BD1104" s="509"/>
      <c r="BE1104" s="509"/>
      <c r="BF1104" s="509"/>
      <c r="BG1104" s="510"/>
      <c r="BH1104" s="510"/>
      <c r="BI1104" s="511"/>
      <c r="BJ1104" s="511"/>
      <c r="BK1104" s="511"/>
      <c r="BL1104" s="510"/>
      <c r="BM1104" s="510"/>
      <c r="BN1104" s="510"/>
      <c r="BO1104" s="510"/>
      <c r="BP1104" s="510"/>
      <c r="BQ1104" s="510"/>
      <c r="BR1104" s="510"/>
      <c r="BS1104" s="510"/>
      <c r="BT1104" s="513"/>
      <c r="BU1104" s="514"/>
      <c r="BV1104" s="512"/>
      <c r="BW1104" s="515"/>
    </row>
    <row r="1105" spans="2:75" ht="15.75" customHeight="1">
      <c r="B1105" s="250" t="s">
        <v>1681</v>
      </c>
      <c r="C1105" s="251">
        <v>21312739000109</v>
      </c>
      <c r="D1105" s="252" t="s">
        <v>14</v>
      </c>
      <c r="E1105" s="252" t="s">
        <v>607</v>
      </c>
      <c r="F1105" s="252"/>
      <c r="G1105" s="253"/>
      <c r="H1105" s="253" t="s">
        <v>34</v>
      </c>
      <c r="I1105" s="253" t="s">
        <v>34</v>
      </c>
      <c r="J1105" s="253" t="s">
        <v>608</v>
      </c>
      <c r="K1105" s="254" t="s">
        <v>48</v>
      </c>
      <c r="L1105" s="255"/>
      <c r="M1105" s="255"/>
      <c r="N1105" s="254">
        <v>388483</v>
      </c>
      <c r="O1105" s="254" t="s">
        <v>1321</v>
      </c>
      <c r="P1105" s="258">
        <v>42006</v>
      </c>
      <c r="Q1105" s="259" t="s">
        <v>1393</v>
      </c>
      <c r="R1105" s="259" t="s">
        <v>1417</v>
      </c>
      <c r="S1105" s="254">
        <v>32</v>
      </c>
      <c r="T1105" s="256" t="s">
        <v>1417</v>
      </c>
      <c r="U1105" s="256" t="s">
        <v>1417</v>
      </c>
      <c r="V1105" s="256" t="s">
        <v>1417</v>
      </c>
      <c r="W1105" s="256" t="s">
        <v>1417</v>
      </c>
      <c r="X1105" s="256" t="s">
        <v>1417</v>
      </c>
      <c r="Y1105" s="256" t="s">
        <v>1417</v>
      </c>
      <c r="Z1105" s="256" t="s">
        <v>1417</v>
      </c>
      <c r="AA1105" s="256" t="s">
        <v>1417</v>
      </c>
      <c r="AB1105" s="256" t="s">
        <v>1417</v>
      </c>
      <c r="AC1105" s="260" t="s">
        <v>1417</v>
      </c>
      <c r="AD1105" s="405">
        <v>21293631000116</v>
      </c>
      <c r="AE1105" s="257" t="s">
        <v>2341</v>
      </c>
      <c r="AF1105" s="257" t="s">
        <v>2112</v>
      </c>
      <c r="AG1105" s="261" t="s">
        <v>59</v>
      </c>
      <c r="AH1105" s="261" t="s">
        <v>2113</v>
      </c>
      <c r="AI1105" s="261">
        <v>5000</v>
      </c>
      <c r="AJ1105" s="261">
        <v>1000</v>
      </c>
      <c r="AK1105" s="261">
        <v>5000</v>
      </c>
      <c r="AL1105" s="256">
        <v>1.9E-2</v>
      </c>
      <c r="AM1105" s="256">
        <v>0.2</v>
      </c>
      <c r="AN1105" s="256" t="s">
        <v>2122</v>
      </c>
      <c r="AO1105" s="254" t="s">
        <v>1324</v>
      </c>
      <c r="AP1105" s="257" t="s">
        <v>13</v>
      </c>
      <c r="AQ1105" s="263" t="s">
        <v>659</v>
      </c>
      <c r="AR1105" s="256">
        <v>6.6674166666666661E-3</v>
      </c>
      <c r="AS1105" s="256">
        <v>6.6674166666666661E-3</v>
      </c>
      <c r="AT1105" s="256"/>
      <c r="AX1105" s="508"/>
      <c r="AY1105" s="509"/>
      <c r="AZ1105" s="509"/>
      <c r="BA1105" s="509"/>
      <c r="BB1105" s="510"/>
      <c r="BC1105" s="509"/>
      <c r="BD1105" s="509"/>
      <c r="BE1105" s="509"/>
      <c r="BF1105" s="509"/>
      <c r="BG1105" s="510"/>
      <c r="BH1105" s="510"/>
      <c r="BI1105" s="511"/>
      <c r="BJ1105" s="511"/>
      <c r="BK1105" s="511"/>
      <c r="BL1105" s="510"/>
      <c r="BM1105" s="510"/>
      <c r="BN1105" s="510"/>
      <c r="BO1105" s="510"/>
      <c r="BP1105" s="510"/>
      <c r="BQ1105" s="510"/>
      <c r="BR1105" s="510"/>
      <c r="BS1105" s="510"/>
      <c r="BT1105" s="513"/>
      <c r="BU1105" s="514"/>
      <c r="BV1105" s="512"/>
      <c r="BW1105" s="515"/>
    </row>
    <row r="1106" spans="2:75" ht="15.75" customHeight="1">
      <c r="B1106" s="250" t="s">
        <v>313</v>
      </c>
      <c r="C1106" s="251">
        <v>30995398000104</v>
      </c>
      <c r="D1106" s="252" t="s">
        <v>14</v>
      </c>
      <c r="E1106" s="252" t="s">
        <v>614</v>
      </c>
      <c r="F1106" s="252"/>
      <c r="G1106" s="253"/>
      <c r="H1106" s="253" t="s">
        <v>1338</v>
      </c>
      <c r="I1106" s="253" t="s">
        <v>34</v>
      </c>
      <c r="J1106" s="253" t="s">
        <v>608</v>
      </c>
      <c r="K1106" s="254" t="s">
        <v>48</v>
      </c>
      <c r="L1106" s="255"/>
      <c r="M1106" s="255" t="s">
        <v>34</v>
      </c>
      <c r="N1106" s="254">
        <v>483583</v>
      </c>
      <c r="O1106" s="254" t="s">
        <v>1321</v>
      </c>
      <c r="P1106" s="258">
        <v>43462</v>
      </c>
      <c r="Q1106" s="259">
        <v>14338647.039999999</v>
      </c>
      <c r="R1106" s="259">
        <v>25555762.39654763</v>
      </c>
      <c r="S1106" s="254">
        <v>32</v>
      </c>
      <c r="T1106" s="256">
        <v>0.22346978386031946</v>
      </c>
      <c r="U1106" s="256">
        <v>2.8888375131004742</v>
      </c>
      <c r="V1106" s="256">
        <v>2.8089193331655382E-2</v>
      </c>
      <c r="W1106" s="256">
        <v>0.27536801747731887</v>
      </c>
      <c r="X1106" s="256">
        <v>-0.13870237732051705</v>
      </c>
      <c r="Y1106" s="256">
        <v>-1.0518053239716172</v>
      </c>
      <c r="Z1106" s="256">
        <v>-4.0935339516272373E-2</v>
      </c>
      <c r="AA1106" s="256">
        <v>-0.23268974056708172</v>
      </c>
      <c r="AB1106" s="256">
        <v>0.21062500303066539</v>
      </c>
      <c r="AC1106" s="260">
        <v>-0.22475608676627645</v>
      </c>
      <c r="AD1106" s="405">
        <v>30994058000169</v>
      </c>
      <c r="AE1106" s="257" t="s">
        <v>2341</v>
      </c>
      <c r="AF1106" s="257" t="s">
        <v>2112</v>
      </c>
      <c r="AG1106" s="261" t="s">
        <v>59</v>
      </c>
      <c r="AH1106" s="261" t="s">
        <v>2113</v>
      </c>
      <c r="AI1106" s="261">
        <v>5000</v>
      </c>
      <c r="AJ1106" s="261">
        <v>1000</v>
      </c>
      <c r="AK1106" s="261">
        <v>5000</v>
      </c>
      <c r="AL1106" s="256">
        <v>1.9E-2</v>
      </c>
      <c r="AM1106" s="256">
        <v>0.2</v>
      </c>
      <c r="AN1106" s="256" t="s">
        <v>64</v>
      </c>
      <c r="AO1106" s="254" t="s">
        <v>1324</v>
      </c>
      <c r="AP1106" s="257" t="s">
        <v>13</v>
      </c>
      <c r="AQ1106" s="263" t="s">
        <v>668</v>
      </c>
      <c r="AR1106" s="256">
        <v>6.6674166666666661E-3</v>
      </c>
      <c r="AS1106" s="256">
        <v>6.6674166666666661E-3</v>
      </c>
      <c r="AT1106" s="256"/>
      <c r="AX1106" s="508"/>
      <c r="AY1106" s="509"/>
      <c r="AZ1106" s="509"/>
      <c r="BA1106" s="509"/>
      <c r="BB1106" s="510"/>
      <c r="BC1106" s="509"/>
      <c r="BD1106" s="509"/>
      <c r="BE1106" s="509"/>
      <c r="BF1106" s="509"/>
      <c r="BG1106" s="510"/>
      <c r="BH1106" s="510"/>
      <c r="BI1106" s="511"/>
      <c r="BJ1106" s="511"/>
      <c r="BK1106" s="511"/>
      <c r="BL1106" s="510"/>
      <c r="BM1106" s="510"/>
      <c r="BN1106" s="510"/>
      <c r="BO1106" s="510"/>
      <c r="BP1106" s="510"/>
      <c r="BQ1106" s="510"/>
      <c r="BR1106" s="510"/>
      <c r="BS1106" s="510"/>
      <c r="BT1106" s="513"/>
      <c r="BU1106" s="514"/>
      <c r="BV1106" s="512"/>
      <c r="BW1106" s="515"/>
    </row>
    <row r="1107" spans="2:75" ht="15.75" customHeight="1">
      <c r="B1107" s="250" t="s">
        <v>28</v>
      </c>
      <c r="C1107" s="251">
        <v>18525868000170</v>
      </c>
      <c r="D1107" s="252" t="s">
        <v>14</v>
      </c>
      <c r="E1107" s="252" t="s">
        <v>614</v>
      </c>
      <c r="F1107" s="252"/>
      <c r="G1107" s="253"/>
      <c r="H1107" s="253" t="s">
        <v>865</v>
      </c>
      <c r="I1107" s="253" t="s">
        <v>34</v>
      </c>
      <c r="J1107" s="253" t="s">
        <v>608</v>
      </c>
      <c r="K1107" s="254" t="s">
        <v>48</v>
      </c>
      <c r="L1107" s="255"/>
      <c r="M1107" s="255" t="s">
        <v>34</v>
      </c>
      <c r="N1107" s="254">
        <v>368091</v>
      </c>
      <c r="O1107" s="254" t="s">
        <v>1321</v>
      </c>
      <c r="P1107" s="258">
        <v>41519</v>
      </c>
      <c r="Q1107" s="259">
        <v>96595930.980000004</v>
      </c>
      <c r="R1107" s="259">
        <v>155775472.21250004</v>
      </c>
      <c r="S1107" s="254">
        <v>32</v>
      </c>
      <c r="T1107" s="256">
        <v>-1.2494112508795507E-2</v>
      </c>
      <c r="U1107" s="256">
        <v>-0.16151383101917116</v>
      </c>
      <c r="V1107" s="256">
        <v>-9.960757498158801E-2</v>
      </c>
      <c r="W1107" s="256">
        <v>-0.97648729618348273</v>
      </c>
      <c r="X1107" s="256">
        <v>-0.10622182663082891</v>
      </c>
      <c r="Y1107" s="256">
        <v>-0.80549940765701267</v>
      </c>
      <c r="Z1107" s="256">
        <v>4.7614848628267259E-2</v>
      </c>
      <c r="AA1107" s="256">
        <v>0.27065823577811354</v>
      </c>
      <c r="AB1107" s="256">
        <v>0.12901758527421467</v>
      </c>
      <c r="AC1107" s="260">
        <v>-1.5016489952109202</v>
      </c>
      <c r="AD1107" s="405">
        <v>18525753000186</v>
      </c>
      <c r="AE1107" s="257" t="s">
        <v>2344</v>
      </c>
      <c r="AF1107" s="257" t="s">
        <v>2118</v>
      </c>
      <c r="AG1107" s="261" t="s">
        <v>1433</v>
      </c>
      <c r="AH1107" s="261" t="s">
        <v>2113</v>
      </c>
      <c r="AI1107" s="261">
        <v>5000</v>
      </c>
      <c r="AJ1107" s="261">
        <v>0</v>
      </c>
      <c r="AK1107" s="261">
        <v>0</v>
      </c>
      <c r="AL1107" s="256">
        <v>0.02</v>
      </c>
      <c r="AM1107" s="256">
        <v>0.2</v>
      </c>
      <c r="AN1107" s="256" t="s">
        <v>2127</v>
      </c>
      <c r="AO1107" s="254" t="s">
        <v>1324</v>
      </c>
      <c r="AP1107" s="257" t="s">
        <v>13</v>
      </c>
      <c r="AQ1107" s="263" t="s">
        <v>674</v>
      </c>
      <c r="AR1107" s="256">
        <v>4.6666666666666662E-3</v>
      </c>
      <c r="AS1107" s="256">
        <v>4.6666666666666662E-3</v>
      </c>
      <c r="AT1107" s="256"/>
      <c r="AX1107" s="508"/>
      <c r="AY1107" s="509"/>
      <c r="AZ1107" s="509"/>
      <c r="BA1107" s="509"/>
      <c r="BB1107" s="510"/>
      <c r="BC1107" s="509"/>
      <c r="BD1107" s="509"/>
      <c r="BE1107" s="509"/>
      <c r="BF1107" s="509"/>
      <c r="BG1107" s="510"/>
      <c r="BH1107" s="510"/>
      <c r="BI1107" s="511"/>
      <c r="BJ1107" s="511"/>
      <c r="BK1107" s="511"/>
      <c r="BL1107" s="510"/>
      <c r="BM1107" s="510"/>
      <c r="BN1107" s="510"/>
      <c r="BO1107" s="510"/>
      <c r="BP1107" s="510"/>
      <c r="BQ1107" s="510"/>
      <c r="BR1107" s="510"/>
      <c r="BS1107" s="510"/>
      <c r="BT1107" s="513"/>
      <c r="BU1107" s="514"/>
      <c r="BV1107" s="512"/>
      <c r="BW1107" s="515"/>
    </row>
    <row r="1108" spans="2:75" ht="15.75" customHeight="1">
      <c r="B1108" s="250" t="s">
        <v>319</v>
      </c>
      <c r="C1108" s="251">
        <v>36014054000153</v>
      </c>
      <c r="D1108" s="252" t="s">
        <v>14</v>
      </c>
      <c r="E1108" s="252" t="s">
        <v>607</v>
      </c>
      <c r="F1108" s="252"/>
      <c r="G1108" s="253"/>
      <c r="H1108" s="253" t="s">
        <v>34</v>
      </c>
      <c r="I1108" s="253" t="s">
        <v>34</v>
      </c>
      <c r="J1108" s="253" t="s">
        <v>608</v>
      </c>
      <c r="K1108" s="254" t="s">
        <v>48</v>
      </c>
      <c r="L1108" s="255"/>
      <c r="M1108" s="255" t="s">
        <v>1414</v>
      </c>
      <c r="N1108" s="254">
        <v>531162</v>
      </c>
      <c r="O1108" s="254" t="s">
        <v>1321</v>
      </c>
      <c r="P1108" s="258">
        <v>43899</v>
      </c>
      <c r="Q1108" s="259">
        <v>12047043.529999999</v>
      </c>
      <c r="R1108" s="259">
        <v>11592256.543055551</v>
      </c>
      <c r="S1108" s="254">
        <v>32</v>
      </c>
      <c r="T1108" s="256">
        <v>5.9194289701752556E-2</v>
      </c>
      <c r="U1108" s="256">
        <v>0.76521613659699816</v>
      </c>
      <c r="V1108" s="256">
        <v>-6.6624069924104412E-2</v>
      </c>
      <c r="W1108" s="256">
        <v>-0.65313865851019448</v>
      </c>
      <c r="X1108" s="256">
        <v>4.5928808331853199E-2</v>
      </c>
      <c r="Y1108" s="256">
        <v>0.34828649703302061</v>
      </c>
      <c r="Z1108" s="256" t="s">
        <v>1417</v>
      </c>
      <c r="AA1108" s="256" t="s">
        <v>1417</v>
      </c>
      <c r="AB1108" s="256">
        <v>0.22415509919723173</v>
      </c>
      <c r="AC1108" s="260">
        <v>-0.62920882841852699</v>
      </c>
      <c r="AD1108" s="405">
        <v>35916259000161</v>
      </c>
      <c r="AE1108" s="257" t="s">
        <v>2123</v>
      </c>
      <c r="AF1108" s="257" t="s">
        <v>2109</v>
      </c>
      <c r="AG1108" s="261" t="s">
        <v>1432</v>
      </c>
      <c r="AH1108" s="261" t="s">
        <v>2113</v>
      </c>
      <c r="AI1108" s="261">
        <v>1000</v>
      </c>
      <c r="AJ1108" s="261">
        <v>1000</v>
      </c>
      <c r="AK1108" s="261">
        <v>0</v>
      </c>
      <c r="AL1108" s="256">
        <v>0</v>
      </c>
      <c r="AM1108" s="256" t="s">
        <v>34</v>
      </c>
      <c r="AN1108" s="256" t="s">
        <v>34</v>
      </c>
      <c r="AO1108" s="254" t="s">
        <v>1324</v>
      </c>
      <c r="AP1108" s="257" t="s">
        <v>716</v>
      </c>
      <c r="AQ1108" s="263" t="s">
        <v>659</v>
      </c>
      <c r="AR1108" s="256">
        <v>3.3333333333333331E-3</v>
      </c>
      <c r="AS1108" s="256">
        <v>3.3333333333333331E-3</v>
      </c>
      <c r="AT1108" s="256"/>
      <c r="AX1108" s="508"/>
      <c r="AY1108" s="509"/>
      <c r="AZ1108" s="509"/>
      <c r="BA1108" s="509"/>
      <c r="BB1108" s="510"/>
      <c r="BC1108" s="509"/>
      <c r="BD1108" s="509"/>
      <c r="BE1108" s="509"/>
      <c r="BF1108" s="509"/>
      <c r="BG1108" s="510"/>
      <c r="BH1108" s="510"/>
      <c r="BI1108" s="511"/>
      <c r="BJ1108" s="511"/>
      <c r="BK1108" s="511"/>
      <c r="BL1108" s="510"/>
      <c r="BM1108" s="510"/>
      <c r="BN1108" s="510"/>
      <c r="BO1108" s="510"/>
      <c r="BP1108" s="510"/>
      <c r="BQ1108" s="510"/>
      <c r="BR1108" s="510"/>
      <c r="BS1108" s="510"/>
      <c r="BT1108" s="513"/>
      <c r="BU1108" s="514"/>
      <c r="BV1108" s="512"/>
      <c r="BW1108" s="515"/>
    </row>
    <row r="1109" spans="2:75" ht="15.75" customHeight="1">
      <c r="B1109" s="250" t="s">
        <v>1683</v>
      </c>
      <c r="C1109" s="251">
        <v>17157131000180</v>
      </c>
      <c r="D1109" s="252" t="s">
        <v>14</v>
      </c>
      <c r="E1109" s="252" t="s">
        <v>607</v>
      </c>
      <c r="F1109" s="252"/>
      <c r="G1109" s="253"/>
      <c r="H1109" s="253" t="s">
        <v>34</v>
      </c>
      <c r="I1109" s="253" t="s">
        <v>34</v>
      </c>
      <c r="J1109" s="253" t="s">
        <v>608</v>
      </c>
      <c r="K1109" s="254" t="s">
        <v>48</v>
      </c>
      <c r="L1109" s="255"/>
      <c r="M1109" s="255"/>
      <c r="N1109" s="254">
        <v>321141</v>
      </c>
      <c r="O1109" s="254" t="s">
        <v>1324</v>
      </c>
      <c r="P1109" s="258">
        <v>41264</v>
      </c>
      <c r="Q1109" s="259">
        <v>439327729.38999999</v>
      </c>
      <c r="R1109" s="259">
        <v>467541879.54650772</v>
      </c>
      <c r="S1109" s="254">
        <v>32</v>
      </c>
      <c r="T1109" s="256">
        <v>6.8798747103575142E-2</v>
      </c>
      <c r="U1109" s="256">
        <v>0.77384235784831901</v>
      </c>
      <c r="V1109" s="256">
        <v>4.5405486419987096E-3</v>
      </c>
      <c r="W1109" s="256">
        <v>4.167183146733399E-2</v>
      </c>
      <c r="X1109" s="256">
        <v>0.1302202201283873</v>
      </c>
      <c r="Y1109" s="256">
        <v>0.9156813001405697</v>
      </c>
      <c r="Z1109" s="256">
        <v>9.1476227154313472E-2</v>
      </c>
      <c r="AA1109" s="256">
        <v>0.4998776693052705</v>
      </c>
      <c r="AB1109" s="256">
        <v>0.2287523685382184</v>
      </c>
      <c r="AC1109" s="260">
        <v>-0.31838263595085614</v>
      </c>
      <c r="AD1109" s="405">
        <v>27227810000131</v>
      </c>
      <c r="AE1109" s="257" t="s">
        <v>2345</v>
      </c>
      <c r="AF1109" s="257" t="s">
        <v>2118</v>
      </c>
      <c r="AG1109" s="261" t="s">
        <v>1433</v>
      </c>
      <c r="AH1109" s="261" t="s">
        <v>2113</v>
      </c>
      <c r="AI1109" s="261">
        <v>50000</v>
      </c>
      <c r="AJ1109" s="261">
        <v>10000</v>
      </c>
      <c r="AK1109" s="261">
        <v>10000</v>
      </c>
      <c r="AL1109" s="256">
        <v>0.02</v>
      </c>
      <c r="AM1109" s="256">
        <v>0.2</v>
      </c>
      <c r="AN1109" s="256" t="s">
        <v>2127</v>
      </c>
      <c r="AO1109" s="254" t="s">
        <v>1324</v>
      </c>
      <c r="AP1109" s="257" t="s">
        <v>716</v>
      </c>
      <c r="AQ1109" s="263" t="s">
        <v>665</v>
      </c>
      <c r="AR1109" s="256">
        <v>3.3333333333333331E-3</v>
      </c>
      <c r="AS1109" s="256">
        <v>3.3333333333333331E-3</v>
      </c>
      <c r="AT1109" s="256"/>
      <c r="AX1109" s="508"/>
      <c r="AY1109" s="509"/>
      <c r="AZ1109" s="509"/>
      <c r="BA1109" s="509"/>
      <c r="BB1109" s="510"/>
      <c r="BC1109" s="509"/>
      <c r="BD1109" s="509"/>
      <c r="BE1109" s="509"/>
      <c r="BF1109" s="509"/>
      <c r="BG1109" s="510"/>
      <c r="BH1109" s="510"/>
      <c r="BI1109" s="511"/>
      <c r="BJ1109" s="511"/>
      <c r="BK1109" s="511"/>
      <c r="BL1109" s="510"/>
      <c r="BM1109" s="510"/>
      <c r="BN1109" s="510"/>
      <c r="BO1109" s="510"/>
      <c r="BP1109" s="510"/>
      <c r="BQ1109" s="510"/>
      <c r="BR1109" s="510"/>
      <c r="BS1109" s="510"/>
      <c r="BT1109" s="513"/>
      <c r="BU1109" s="514"/>
      <c r="BV1109" s="512"/>
      <c r="BW1109" s="515"/>
    </row>
    <row r="1110" spans="2:75" ht="15.75" customHeight="1">
      <c r="B1110" s="250" t="s">
        <v>1103</v>
      </c>
      <c r="C1110" s="251">
        <v>39846732000132</v>
      </c>
      <c r="D1110" s="252" t="s">
        <v>14</v>
      </c>
      <c r="E1110" s="252" t="s">
        <v>607</v>
      </c>
      <c r="F1110" s="252"/>
      <c r="G1110" s="253"/>
      <c r="H1110" s="253" t="s">
        <v>34</v>
      </c>
      <c r="I1110" s="253" t="s">
        <v>34</v>
      </c>
      <c r="J1110" s="253" t="s">
        <v>608</v>
      </c>
      <c r="K1110" s="254" t="s">
        <v>48</v>
      </c>
      <c r="L1110" s="255"/>
      <c r="M1110" s="255" t="s">
        <v>1414</v>
      </c>
      <c r="N1110" s="254">
        <v>567795</v>
      </c>
      <c r="O1110" s="254" t="s">
        <v>1321</v>
      </c>
      <c r="P1110" s="258">
        <v>44193</v>
      </c>
      <c r="Q1110" s="259">
        <v>17267009.969999999</v>
      </c>
      <c r="R1110" s="259">
        <v>16213828.455357144</v>
      </c>
      <c r="S1110" s="254">
        <v>32</v>
      </c>
      <c r="T1110" s="256">
        <v>1.6144458076958745E-2</v>
      </c>
      <c r="U1110" s="256">
        <v>0.20870256065825907</v>
      </c>
      <c r="V1110" s="256">
        <v>-0.18112152224995659</v>
      </c>
      <c r="W1110" s="256">
        <v>-1.7755965404758511</v>
      </c>
      <c r="X1110" s="256" t="s">
        <v>1417</v>
      </c>
      <c r="Y1110" s="256" t="s">
        <v>1417</v>
      </c>
      <c r="Z1110" s="256" t="s">
        <v>1417</v>
      </c>
      <c r="AA1110" s="256" t="s">
        <v>1417</v>
      </c>
      <c r="AB1110" s="256">
        <v>0.21930681372506836</v>
      </c>
      <c r="AC1110" s="260">
        <v>-1.2443429283693872</v>
      </c>
      <c r="AD1110" s="405">
        <v>0</v>
      </c>
      <c r="AE1110" s="257" t="s">
        <v>2346</v>
      </c>
      <c r="AF1110" s="257" t="s">
        <v>2109</v>
      </c>
      <c r="AG1110" s="261" t="s">
        <v>1432</v>
      </c>
      <c r="AH1110" s="261" t="s">
        <v>2110</v>
      </c>
      <c r="AI1110" s="261">
        <v>5000</v>
      </c>
      <c r="AJ1110" s="261">
        <v>5000</v>
      </c>
      <c r="AK1110" s="261">
        <v>5000</v>
      </c>
      <c r="AL1110" s="256">
        <v>0.01</v>
      </c>
      <c r="AM1110" s="256">
        <v>0.1</v>
      </c>
      <c r="AN1110" s="256" t="s">
        <v>34</v>
      </c>
      <c r="AO1110" s="254" t="s">
        <v>1324</v>
      </c>
      <c r="AP1110" s="257" t="s">
        <v>716</v>
      </c>
      <c r="AQ1110" s="263" t="s">
        <v>659</v>
      </c>
      <c r="AR1110" s="256">
        <v>3.3333333333333331E-3</v>
      </c>
      <c r="AS1110" s="256">
        <v>3.3333333333333331E-3</v>
      </c>
      <c r="AT1110" s="256"/>
      <c r="AX1110" s="508"/>
      <c r="AY1110" s="509"/>
      <c r="AZ1110" s="509"/>
      <c r="BA1110" s="509"/>
      <c r="BB1110" s="510"/>
      <c r="BC1110" s="509"/>
      <c r="BD1110" s="509"/>
      <c r="BE1110" s="509"/>
      <c r="BF1110" s="509"/>
      <c r="BG1110" s="510"/>
      <c r="BH1110" s="510"/>
      <c r="BI1110" s="511"/>
      <c r="BJ1110" s="511"/>
      <c r="BK1110" s="511"/>
      <c r="BL1110" s="510"/>
      <c r="BM1110" s="510"/>
      <c r="BN1110" s="510"/>
      <c r="BO1110" s="510"/>
      <c r="BP1110" s="510"/>
      <c r="BQ1110" s="510"/>
      <c r="BR1110" s="510"/>
      <c r="BS1110" s="510"/>
      <c r="BT1110" s="513"/>
      <c r="BU1110" s="514"/>
      <c r="BV1110" s="512"/>
      <c r="BW1110" s="515"/>
    </row>
    <row r="1111" spans="2:75" ht="15.75" customHeight="1">
      <c r="B1111" s="250" t="s">
        <v>324</v>
      </c>
      <c r="C1111" s="251">
        <v>17400251000166</v>
      </c>
      <c r="D1111" s="252" t="s">
        <v>14</v>
      </c>
      <c r="E1111" s="252" t="s">
        <v>607</v>
      </c>
      <c r="F1111" s="252"/>
      <c r="G1111" s="253"/>
      <c r="H1111" s="253" t="s">
        <v>34</v>
      </c>
      <c r="I1111" s="253" t="s">
        <v>34</v>
      </c>
      <c r="J1111" s="253" t="s">
        <v>608</v>
      </c>
      <c r="K1111" s="254" t="s">
        <v>48</v>
      </c>
      <c r="L1111" s="255"/>
      <c r="M1111" s="255" t="s">
        <v>1414</v>
      </c>
      <c r="N1111" s="254">
        <v>327794</v>
      </c>
      <c r="O1111" s="254" t="s">
        <v>1321</v>
      </c>
      <c r="P1111" s="258">
        <v>41327</v>
      </c>
      <c r="Q1111" s="259">
        <v>149979202.63</v>
      </c>
      <c r="R1111" s="259">
        <v>117391555.34202389</v>
      </c>
      <c r="S1111" s="254">
        <v>32</v>
      </c>
      <c r="T1111" s="256">
        <v>0.10724635959721218</v>
      </c>
      <c r="U1111" s="256">
        <v>1.3863946230043431</v>
      </c>
      <c r="V1111" s="256">
        <v>7.7330184014161585E-2</v>
      </c>
      <c r="W1111" s="256">
        <v>0.75809437500428911</v>
      </c>
      <c r="X1111" s="256">
        <v>0.98612706390019267</v>
      </c>
      <c r="Y1111" s="256">
        <v>7.4779806659398593</v>
      </c>
      <c r="Z1111" s="256">
        <v>0.82488809499932825</v>
      </c>
      <c r="AA1111" s="256">
        <v>4.6889313510143946</v>
      </c>
      <c r="AB1111" s="256">
        <v>0.24417229062461918</v>
      </c>
      <c r="AC1111" s="260">
        <v>2.8899117916461374E-2</v>
      </c>
      <c r="AD1111" s="405">
        <v>38251507000190</v>
      </c>
      <c r="AE1111" s="257" t="s">
        <v>2351</v>
      </c>
      <c r="AF1111" s="257" t="s">
        <v>2109</v>
      </c>
      <c r="AG1111" s="261" t="s">
        <v>1432</v>
      </c>
      <c r="AH1111" s="261" t="s">
        <v>2110</v>
      </c>
      <c r="AI1111" s="261">
        <v>10000</v>
      </c>
      <c r="AJ1111" s="261">
        <v>1000</v>
      </c>
      <c r="AK1111" s="261">
        <v>5000</v>
      </c>
      <c r="AL1111" s="256">
        <v>1.8000000000000002E-2</v>
      </c>
      <c r="AM1111" s="256">
        <v>0.15</v>
      </c>
      <c r="AN1111" s="256" t="s">
        <v>2127</v>
      </c>
      <c r="AO1111" s="254" t="s">
        <v>1324</v>
      </c>
      <c r="AP1111" s="257" t="s">
        <v>716</v>
      </c>
      <c r="AQ1111" s="263" t="s">
        <v>659</v>
      </c>
      <c r="AR1111" s="256">
        <v>3.5999999999999999E-3</v>
      </c>
      <c r="AS1111" s="256">
        <v>3.5999999999999999E-3</v>
      </c>
      <c r="AT1111" s="256"/>
      <c r="AX1111" s="508"/>
      <c r="AY1111" s="509"/>
      <c r="AZ1111" s="509"/>
      <c r="BA1111" s="509"/>
      <c r="BB1111" s="510"/>
      <c r="BC1111" s="509"/>
      <c r="BD1111" s="509"/>
      <c r="BE1111" s="509"/>
      <c r="BF1111" s="509"/>
      <c r="BG1111" s="510"/>
      <c r="BH1111" s="510"/>
      <c r="BI1111" s="511"/>
      <c r="BJ1111" s="511"/>
      <c r="BK1111" s="511"/>
      <c r="BL1111" s="510"/>
      <c r="BM1111" s="510"/>
      <c r="BN1111" s="510"/>
      <c r="BO1111" s="510"/>
      <c r="BP1111" s="510"/>
      <c r="BQ1111" s="510"/>
      <c r="BR1111" s="510"/>
      <c r="BS1111" s="510"/>
      <c r="BT1111" s="513"/>
      <c r="BU1111" s="514"/>
      <c r="BV1111" s="512"/>
      <c r="BW1111" s="515"/>
    </row>
    <row r="1112" spans="2:75" ht="15.75" customHeight="1">
      <c r="B1112" s="250" t="s">
        <v>1113</v>
      </c>
      <c r="C1112" s="251">
        <v>20331359000159</v>
      </c>
      <c r="D1112" s="252" t="s">
        <v>14</v>
      </c>
      <c r="E1112" s="252" t="s">
        <v>607</v>
      </c>
      <c r="F1112" s="252"/>
      <c r="G1112" s="253"/>
      <c r="H1112" s="253" t="s">
        <v>34</v>
      </c>
      <c r="I1112" s="253" t="s">
        <v>34</v>
      </c>
      <c r="J1112" s="253" t="s">
        <v>608</v>
      </c>
      <c r="K1112" s="254" t="s">
        <v>48</v>
      </c>
      <c r="L1112" s="255"/>
      <c r="M1112" s="255" t="s">
        <v>34</v>
      </c>
      <c r="N1112" s="254">
        <v>387894</v>
      </c>
      <c r="O1112" s="254" t="s">
        <v>1321</v>
      </c>
      <c r="P1112" s="258">
        <v>41879</v>
      </c>
      <c r="Q1112" s="259">
        <v>74578693.269999996</v>
      </c>
      <c r="R1112" s="259">
        <v>79946604.37845242</v>
      </c>
      <c r="S1112" s="254">
        <v>32</v>
      </c>
      <c r="T1112" s="256">
        <v>-1.7997365610992078E-2</v>
      </c>
      <c r="U1112" s="256">
        <v>-0.23265545800373527</v>
      </c>
      <c r="V1112" s="256">
        <v>-0.23988096082847943</v>
      </c>
      <c r="W1112" s="256">
        <v>-2.3516355145539491</v>
      </c>
      <c r="X1112" s="256">
        <v>-0.22904707712613692</v>
      </c>
      <c r="Y1112" s="256">
        <v>-1.7369055946654799</v>
      </c>
      <c r="Z1112" s="256">
        <v>-9.8574985863461917E-2</v>
      </c>
      <c r="AA1112" s="256">
        <v>-0.56033217650130318</v>
      </c>
      <c r="AB1112" s="256">
        <v>0.28440942048546058</v>
      </c>
      <c r="AC1112" s="260">
        <v>-1.1635227708810318</v>
      </c>
      <c r="AD1112" s="405">
        <v>43310020000171</v>
      </c>
      <c r="AE1112" s="257" t="s">
        <v>2352</v>
      </c>
      <c r="AF1112" s="257" t="s">
        <v>2115</v>
      </c>
      <c r="AG1112" s="261" t="s">
        <v>719</v>
      </c>
      <c r="AH1112" s="261" t="s">
        <v>2110</v>
      </c>
      <c r="AI1112" s="261">
        <v>1000</v>
      </c>
      <c r="AJ1112" s="261">
        <v>100</v>
      </c>
      <c r="AK1112" s="261">
        <v>1000</v>
      </c>
      <c r="AL1112" s="256">
        <v>0.02</v>
      </c>
      <c r="AM1112" s="256">
        <v>0.2</v>
      </c>
      <c r="AN1112" s="256" t="s">
        <v>2141</v>
      </c>
      <c r="AO1112" s="254" t="s">
        <v>1324</v>
      </c>
      <c r="AP1112" s="257" t="s">
        <v>716</v>
      </c>
      <c r="AQ1112" s="263" t="s">
        <v>659</v>
      </c>
      <c r="AR1112" s="256">
        <v>4.0000000000000001E-3</v>
      </c>
      <c r="AS1112" s="256">
        <v>4.0000000000000001E-3</v>
      </c>
      <c r="AT1112" s="256"/>
      <c r="AX1112" s="508"/>
      <c r="AY1112" s="509"/>
      <c r="AZ1112" s="509"/>
      <c r="BA1112" s="509"/>
      <c r="BB1112" s="510"/>
      <c r="BC1112" s="509"/>
      <c r="BD1112" s="509"/>
      <c r="BE1112" s="509"/>
      <c r="BF1112" s="509"/>
      <c r="BG1112" s="510"/>
      <c r="BH1112" s="510"/>
      <c r="BI1112" s="511"/>
      <c r="BJ1112" s="511"/>
      <c r="BK1112" s="511"/>
      <c r="BL1112" s="510"/>
      <c r="BM1112" s="510"/>
      <c r="BN1112" s="510"/>
      <c r="BO1112" s="510"/>
      <c r="BP1112" s="510"/>
      <c r="BQ1112" s="510"/>
      <c r="BR1112" s="510"/>
      <c r="BS1112" s="510"/>
      <c r="BT1112" s="513"/>
      <c r="BU1112" s="514"/>
      <c r="BV1112" s="512"/>
      <c r="BW1112" s="515"/>
    </row>
    <row r="1113" spans="2:75" ht="15.75" customHeight="1">
      <c r="B1113" s="250" t="s">
        <v>1114</v>
      </c>
      <c r="C1113" s="251">
        <v>28788359000194</v>
      </c>
      <c r="D1113" s="252" t="s">
        <v>14</v>
      </c>
      <c r="E1113" s="252" t="s">
        <v>607</v>
      </c>
      <c r="F1113" s="252"/>
      <c r="G1113" s="253"/>
      <c r="H1113" s="253" t="s">
        <v>34</v>
      </c>
      <c r="I1113" s="253" t="s">
        <v>34</v>
      </c>
      <c r="J1113" s="253" t="s">
        <v>608</v>
      </c>
      <c r="K1113" s="254" t="s">
        <v>48</v>
      </c>
      <c r="L1113" s="255"/>
      <c r="M1113" s="255" t="s">
        <v>34</v>
      </c>
      <c r="N1113" s="254">
        <v>454109</v>
      </c>
      <c r="O1113" s="254" t="s">
        <v>1321</v>
      </c>
      <c r="P1113" s="258">
        <v>43075</v>
      </c>
      <c r="Q1113" s="259">
        <v>9047713.5199999996</v>
      </c>
      <c r="R1113" s="259">
        <v>11456191.911349211</v>
      </c>
      <c r="S1113" s="254">
        <v>32</v>
      </c>
      <c r="T1113" s="256">
        <v>-2.0727329057011912E-2</v>
      </c>
      <c r="U1113" s="256">
        <v>-0.26794622830843368</v>
      </c>
      <c r="V1113" s="256">
        <v>-0.24137040277325106</v>
      </c>
      <c r="W1113" s="256">
        <v>-2.3662370259123087</v>
      </c>
      <c r="X1113" s="256">
        <v>-0.24866270999676199</v>
      </c>
      <c r="Y1113" s="256">
        <v>-1.8856545021100837</v>
      </c>
      <c r="Z1113" s="256">
        <v>-0.19984515866892594</v>
      </c>
      <c r="AA1113" s="256">
        <v>-1.135984669328918</v>
      </c>
      <c r="AB1113" s="256">
        <v>0.2830552238808266</v>
      </c>
      <c r="AC1113" s="260">
        <v>-1.1773774938264383</v>
      </c>
      <c r="AD1113" s="405">
        <v>28788379000165</v>
      </c>
      <c r="AE1113" s="257" t="s">
        <v>2352</v>
      </c>
      <c r="AF1113" s="257" t="s">
        <v>2115</v>
      </c>
      <c r="AG1113" s="261" t="s">
        <v>719</v>
      </c>
      <c r="AH1113" s="261" t="s">
        <v>2113</v>
      </c>
      <c r="AI1113" s="261">
        <v>1000</v>
      </c>
      <c r="AJ1113" s="261">
        <v>1000</v>
      </c>
      <c r="AK1113" s="261">
        <v>1000</v>
      </c>
      <c r="AL1113" s="256">
        <v>1.9699999999999999E-2</v>
      </c>
      <c r="AM1113" s="256">
        <v>0.2</v>
      </c>
      <c r="AN1113" s="256" t="s">
        <v>666</v>
      </c>
      <c r="AO1113" s="254" t="s">
        <v>1324</v>
      </c>
      <c r="AP1113" s="257" t="s">
        <v>716</v>
      </c>
      <c r="AQ1113" s="263" t="s">
        <v>659</v>
      </c>
      <c r="AR1113" s="256">
        <v>3.9399999999999991E-3</v>
      </c>
      <c r="AS1113" s="256">
        <v>3.9399999999999991E-3</v>
      </c>
      <c r="AT1113" s="256"/>
      <c r="AX1113" s="508"/>
      <c r="AY1113" s="509"/>
      <c r="AZ1113" s="509"/>
      <c r="BA1113" s="509"/>
      <c r="BB1113" s="510"/>
      <c r="BC1113" s="509"/>
      <c r="BD1113" s="509"/>
      <c r="BE1113" s="509"/>
      <c r="BF1113" s="509"/>
      <c r="BG1113" s="510"/>
      <c r="BH1113" s="510"/>
      <c r="BI1113" s="511"/>
      <c r="BJ1113" s="511"/>
      <c r="BK1113" s="511"/>
      <c r="BL1113" s="510"/>
      <c r="BM1113" s="510"/>
      <c r="BN1113" s="510"/>
      <c r="BO1113" s="510"/>
      <c r="BP1113" s="510"/>
      <c r="BQ1113" s="510"/>
      <c r="BR1113" s="510"/>
      <c r="BS1113" s="510"/>
      <c r="BT1113" s="513"/>
      <c r="BU1113" s="514"/>
      <c r="BV1113" s="512"/>
      <c r="BW1113" s="515"/>
    </row>
    <row r="1114" spans="2:75" ht="15.75" customHeight="1">
      <c r="B1114" s="250" t="s">
        <v>1118</v>
      </c>
      <c r="C1114" s="251">
        <v>17002861000101</v>
      </c>
      <c r="D1114" s="252" t="s">
        <v>14</v>
      </c>
      <c r="E1114" s="252" t="s">
        <v>614</v>
      </c>
      <c r="F1114" s="252"/>
      <c r="G1114" s="253"/>
      <c r="H1114" s="253" t="s">
        <v>1338</v>
      </c>
      <c r="I1114" s="253" t="s">
        <v>34</v>
      </c>
      <c r="J1114" s="253" t="s">
        <v>608</v>
      </c>
      <c r="K1114" s="254" t="s">
        <v>48</v>
      </c>
      <c r="L1114" s="255"/>
      <c r="M1114" s="255" t="s">
        <v>34</v>
      </c>
      <c r="N1114" s="254">
        <v>337625</v>
      </c>
      <c r="O1114" s="254" t="s">
        <v>1321</v>
      </c>
      <c r="P1114" s="258">
        <v>41263</v>
      </c>
      <c r="Q1114" s="259">
        <v>196046341.84999999</v>
      </c>
      <c r="R1114" s="259">
        <v>276934254.52158731</v>
      </c>
      <c r="S1114" s="254">
        <v>32</v>
      </c>
      <c r="T1114" s="256">
        <v>0.10372656897973043</v>
      </c>
      <c r="U1114" s="256">
        <v>1.3408936026946086</v>
      </c>
      <c r="V1114" s="256">
        <v>-0.10618831631855896</v>
      </c>
      <c r="W1114" s="256">
        <v>-1.0410005655428609</v>
      </c>
      <c r="X1114" s="256">
        <v>-2.8223724426325481E-2</v>
      </c>
      <c r="Y1114" s="256">
        <v>-0.21402562946212561</v>
      </c>
      <c r="Z1114" s="256">
        <v>0.11224416424867734</v>
      </c>
      <c r="AA1114" s="256">
        <v>0.63803221783005715</v>
      </c>
      <c r="AB1114" s="256">
        <v>0.21180186200538639</v>
      </c>
      <c r="AC1114" s="260">
        <v>-0.88285691256591747</v>
      </c>
      <c r="AD1114" s="405">
        <v>17039320000158</v>
      </c>
      <c r="AE1114" s="257" t="s">
        <v>2354</v>
      </c>
      <c r="AF1114" s="257" t="s">
        <v>2118</v>
      </c>
      <c r="AG1114" s="261" t="s">
        <v>1433</v>
      </c>
      <c r="AH1114" s="261" t="s">
        <v>2113</v>
      </c>
      <c r="AI1114" s="261">
        <v>50000</v>
      </c>
      <c r="AJ1114" s="261">
        <v>5000</v>
      </c>
      <c r="AK1114" s="261">
        <v>5000</v>
      </c>
      <c r="AL1114" s="256">
        <v>1.9299999999999998E-2</v>
      </c>
      <c r="AM1114" s="256">
        <v>0.2</v>
      </c>
      <c r="AN1114" s="256" t="s">
        <v>2141</v>
      </c>
      <c r="AO1114" s="254" t="s">
        <v>1324</v>
      </c>
      <c r="AP1114" s="257" t="s">
        <v>13</v>
      </c>
      <c r="AQ1114" s="263" t="s">
        <v>668</v>
      </c>
      <c r="AR1114" s="256">
        <v>4.8250000000000003E-3</v>
      </c>
      <c r="AS1114" s="256">
        <v>4.8250000000000003E-3</v>
      </c>
      <c r="AT1114" s="256"/>
      <c r="AX1114" s="508"/>
      <c r="AY1114" s="509"/>
      <c r="AZ1114" s="509"/>
      <c r="BA1114" s="509"/>
      <c r="BB1114" s="510"/>
      <c r="BC1114" s="509"/>
      <c r="BD1114" s="509"/>
      <c r="BE1114" s="509"/>
      <c r="BF1114" s="509"/>
      <c r="BG1114" s="510"/>
      <c r="BH1114" s="510"/>
      <c r="BI1114" s="511"/>
      <c r="BJ1114" s="511"/>
      <c r="BK1114" s="511"/>
      <c r="BL1114" s="510"/>
      <c r="BM1114" s="510"/>
      <c r="BN1114" s="510"/>
      <c r="BO1114" s="510"/>
      <c r="BP1114" s="510"/>
      <c r="BQ1114" s="510"/>
      <c r="BR1114" s="510"/>
      <c r="BS1114" s="510"/>
      <c r="BT1114" s="513"/>
      <c r="BU1114" s="514"/>
      <c r="BV1114" s="512"/>
      <c r="BW1114" s="515"/>
    </row>
    <row r="1115" spans="2:75" ht="15.75" customHeight="1">
      <c r="B1115" s="250" t="s">
        <v>331</v>
      </c>
      <c r="C1115" s="251">
        <v>34096132000180</v>
      </c>
      <c r="D1115" s="252" t="s">
        <v>14</v>
      </c>
      <c r="E1115" s="252" t="s">
        <v>614</v>
      </c>
      <c r="F1115" s="252"/>
      <c r="G1115" s="253"/>
      <c r="H1115" s="253" t="s">
        <v>865</v>
      </c>
      <c r="I1115" s="253" t="s">
        <v>34</v>
      </c>
      <c r="J1115" s="253" t="s">
        <v>608</v>
      </c>
      <c r="K1115" s="254" t="s">
        <v>48</v>
      </c>
      <c r="L1115" s="255"/>
      <c r="M1115" s="255" t="s">
        <v>34</v>
      </c>
      <c r="N1115" s="254">
        <v>501883</v>
      </c>
      <c r="O1115" s="254" t="s">
        <v>1321</v>
      </c>
      <c r="P1115" s="258">
        <v>43670</v>
      </c>
      <c r="Q1115" s="259">
        <v>43120885.420000002</v>
      </c>
      <c r="R1115" s="259">
        <v>62681102.796190478</v>
      </c>
      <c r="S1115" s="254">
        <v>32</v>
      </c>
      <c r="T1115" s="256">
        <v>-5.1430114252101866E-2</v>
      </c>
      <c r="U1115" s="256">
        <v>-0.66484712513697786</v>
      </c>
      <c r="V1115" s="256">
        <v>-0.12193600019047934</v>
      </c>
      <c r="W1115" s="256">
        <v>-1.1953805235740267</v>
      </c>
      <c r="X1115" s="256">
        <v>1.116636836289131E-2</v>
      </c>
      <c r="Y1115" s="256">
        <v>8.4676599784421991E-2</v>
      </c>
      <c r="Z1115" s="256">
        <v>0.11909356788483283</v>
      </c>
      <c r="AA1115" s="256">
        <v>0.67696644859422839</v>
      </c>
      <c r="AB1115" s="256">
        <v>0.13704929887228276</v>
      </c>
      <c r="AC1115" s="260">
        <v>-1.5890835535082604</v>
      </c>
      <c r="AD1115" s="405">
        <v>33601025000108</v>
      </c>
      <c r="AE1115" s="257" t="s">
        <v>2356</v>
      </c>
      <c r="AF1115" s="257" t="s">
        <v>2109</v>
      </c>
      <c r="AG1115" s="261" t="s">
        <v>1432</v>
      </c>
      <c r="AH1115" s="261" t="s">
        <v>2113</v>
      </c>
      <c r="AI1115" s="261">
        <v>500</v>
      </c>
      <c r="AJ1115" s="261">
        <v>100</v>
      </c>
      <c r="AK1115" s="261">
        <v>500</v>
      </c>
      <c r="AL1115" s="256">
        <v>1.3999999999999999E-2</v>
      </c>
      <c r="AM1115" s="256">
        <v>0.2</v>
      </c>
      <c r="AN1115" s="256" t="s">
        <v>34</v>
      </c>
      <c r="AO1115" s="254" t="s">
        <v>1324</v>
      </c>
      <c r="AP1115" s="257" t="s">
        <v>13</v>
      </c>
      <c r="AQ1115" s="263" t="s">
        <v>668</v>
      </c>
      <c r="AR1115" s="256">
        <v>4.6666666666666662E-3</v>
      </c>
      <c r="AS1115" s="256">
        <v>4.6666666666666662E-3</v>
      </c>
      <c r="AT1115" s="256"/>
      <c r="AX1115" s="508"/>
      <c r="AY1115" s="509"/>
      <c r="AZ1115" s="509"/>
      <c r="BA1115" s="509"/>
      <c r="BB1115" s="510"/>
      <c r="BC1115" s="509"/>
      <c r="BD1115" s="509"/>
      <c r="BE1115" s="509"/>
      <c r="BF1115" s="509"/>
      <c r="BG1115" s="510"/>
      <c r="BH1115" s="510"/>
      <c r="BI1115" s="511"/>
      <c r="BJ1115" s="511"/>
      <c r="BK1115" s="511"/>
      <c r="BL1115" s="510"/>
      <c r="BM1115" s="510"/>
      <c r="BN1115" s="510"/>
      <c r="BO1115" s="510"/>
      <c r="BP1115" s="510"/>
      <c r="BQ1115" s="510"/>
      <c r="BR1115" s="510"/>
      <c r="BS1115" s="510"/>
      <c r="BT1115" s="513"/>
      <c r="BU1115" s="514"/>
      <c r="BV1115" s="512"/>
      <c r="BW1115" s="515"/>
    </row>
    <row r="1116" spans="2:75" ht="15.75" customHeight="1">
      <c r="B1116" s="250" t="s">
        <v>332</v>
      </c>
      <c r="C1116" s="251">
        <v>1745808000160</v>
      </c>
      <c r="D1116" s="252" t="s">
        <v>14</v>
      </c>
      <c r="E1116" s="252" t="s">
        <v>607</v>
      </c>
      <c r="F1116" s="252"/>
      <c r="G1116" s="253"/>
      <c r="H1116" s="253" t="s">
        <v>34</v>
      </c>
      <c r="I1116" s="253" t="s">
        <v>34</v>
      </c>
      <c r="J1116" s="253" t="s">
        <v>608</v>
      </c>
      <c r="K1116" s="254" t="s">
        <v>48</v>
      </c>
      <c r="L1116" s="255"/>
      <c r="M1116" s="255" t="s">
        <v>1414</v>
      </c>
      <c r="N1116" s="254">
        <v>44253</v>
      </c>
      <c r="O1116" s="254" t="s">
        <v>1321</v>
      </c>
      <c r="P1116" s="258">
        <v>35528</v>
      </c>
      <c r="Q1116" s="259">
        <v>149982924.03</v>
      </c>
      <c r="R1116" s="259">
        <v>159759570.94710317</v>
      </c>
      <c r="S1116" s="254">
        <v>32</v>
      </c>
      <c r="T1116" s="256">
        <v>-2.5529921608921202E-2</v>
      </c>
      <c r="U1116" s="256">
        <v>-0.33003027960354941</v>
      </c>
      <c r="V1116" s="256">
        <v>-9.7923199984913611E-2</v>
      </c>
      <c r="W1116" s="256">
        <v>-0.95997478911195044</v>
      </c>
      <c r="X1116" s="256">
        <v>-4.3988635977971979E-2</v>
      </c>
      <c r="Y1116" s="256">
        <v>-0.3335738176207626</v>
      </c>
      <c r="Z1116" s="256">
        <v>0.17542417978510039</v>
      </c>
      <c r="AA1116" s="256">
        <v>0.99716790835854252</v>
      </c>
      <c r="AB1116" s="256">
        <v>0.22447705055459971</v>
      </c>
      <c r="AC1116" s="260">
        <v>-0.77983191075738978</v>
      </c>
      <c r="AD1116" s="405">
        <v>0</v>
      </c>
      <c r="AE1116" s="257" t="s">
        <v>2360</v>
      </c>
      <c r="AF1116" s="257" t="s">
        <v>2109</v>
      </c>
      <c r="AG1116" s="261" t="s">
        <v>1432</v>
      </c>
      <c r="AH1116" s="261" t="s">
        <v>2113</v>
      </c>
      <c r="AI1116" s="261">
        <v>20000</v>
      </c>
      <c r="AJ1116" s="261">
        <v>5000</v>
      </c>
      <c r="AK1116" s="261">
        <v>5000</v>
      </c>
      <c r="AL1116" s="256">
        <v>0.02</v>
      </c>
      <c r="AM1116" s="256">
        <v>0.15</v>
      </c>
      <c r="AN1116" s="256" t="s">
        <v>2122</v>
      </c>
      <c r="AO1116" s="254" t="s">
        <v>1324</v>
      </c>
      <c r="AP1116" s="257" t="s">
        <v>716</v>
      </c>
      <c r="AQ1116" s="263" t="s">
        <v>659</v>
      </c>
      <c r="AR1116" s="256" t="s">
        <v>34</v>
      </c>
      <c r="AS1116" s="256" t="s">
        <v>34</v>
      </c>
      <c r="AT1116" s="256"/>
      <c r="AX1116" s="508"/>
      <c r="AY1116" s="509"/>
      <c r="AZ1116" s="509"/>
      <c r="BA1116" s="509"/>
      <c r="BB1116" s="510"/>
      <c r="BC1116" s="509"/>
      <c r="BD1116" s="509"/>
      <c r="BE1116" s="509"/>
      <c r="BF1116" s="509"/>
      <c r="BG1116" s="510"/>
      <c r="BH1116" s="510"/>
      <c r="BI1116" s="511"/>
      <c r="BJ1116" s="511"/>
      <c r="BK1116" s="511"/>
      <c r="BL1116" s="510"/>
      <c r="BM1116" s="510"/>
      <c r="BN1116" s="510"/>
      <c r="BO1116" s="510"/>
      <c r="BP1116" s="510"/>
      <c r="BQ1116" s="510"/>
      <c r="BR1116" s="510"/>
      <c r="BS1116" s="510"/>
      <c r="BT1116" s="513"/>
      <c r="BU1116" s="514"/>
      <c r="BV1116" s="512"/>
      <c r="BW1116" s="515"/>
    </row>
    <row r="1117" spans="2:75" ht="15.75" customHeight="1">
      <c r="B1117" s="250" t="s">
        <v>335</v>
      </c>
      <c r="C1117" s="251">
        <v>10608762000129</v>
      </c>
      <c r="D1117" s="252" t="s">
        <v>14</v>
      </c>
      <c r="E1117" s="252" t="s">
        <v>607</v>
      </c>
      <c r="F1117" s="252"/>
      <c r="G1117" s="253"/>
      <c r="H1117" s="253" t="s">
        <v>34</v>
      </c>
      <c r="I1117" s="253" t="s">
        <v>34</v>
      </c>
      <c r="J1117" s="253" t="s">
        <v>608</v>
      </c>
      <c r="K1117" s="254" t="s">
        <v>48</v>
      </c>
      <c r="L1117" s="255"/>
      <c r="M1117" s="255" t="s">
        <v>34</v>
      </c>
      <c r="N1117" s="254">
        <v>301116</v>
      </c>
      <c r="O1117" s="254" t="s">
        <v>1321</v>
      </c>
      <c r="P1117" s="258">
        <v>39966</v>
      </c>
      <c r="Q1117" s="259">
        <v>173539870.44999999</v>
      </c>
      <c r="R1117" s="259">
        <v>203140175.33313489</v>
      </c>
      <c r="S1117" s="254">
        <v>32</v>
      </c>
      <c r="T1117" s="256">
        <v>1.6251473156225993E-2</v>
      </c>
      <c r="U1117" s="256">
        <v>0.21008596547529637</v>
      </c>
      <c r="V1117" s="256">
        <v>-0.19427871852441703</v>
      </c>
      <c r="W1117" s="256">
        <v>-1.9045810581471039</v>
      </c>
      <c r="X1117" s="256">
        <v>-0.22889878121079965</v>
      </c>
      <c r="Y1117" s="256">
        <v>-1.7357810397999598</v>
      </c>
      <c r="Z1117" s="256">
        <v>-0.12408219869086512</v>
      </c>
      <c r="AA1117" s="256">
        <v>-0.70532344335126884</v>
      </c>
      <c r="AB1117" s="256">
        <v>0.21165449088464117</v>
      </c>
      <c r="AC1117" s="260">
        <v>-1.3733705476152378</v>
      </c>
      <c r="AD1117" s="405">
        <v>11952800000129</v>
      </c>
      <c r="AE1117" s="257" t="s">
        <v>2361</v>
      </c>
      <c r="AF1117" s="257" t="s">
        <v>2115</v>
      </c>
      <c r="AG1117" s="261" t="s">
        <v>719</v>
      </c>
      <c r="AH1117" s="261" t="s">
        <v>2113</v>
      </c>
      <c r="AI1117" s="261">
        <v>5000</v>
      </c>
      <c r="AJ1117" s="261">
        <v>1000</v>
      </c>
      <c r="AK1117" s="261">
        <v>1000</v>
      </c>
      <c r="AL1117" s="256">
        <v>1.8500000000000003E-2</v>
      </c>
      <c r="AM1117" s="256">
        <v>0.2</v>
      </c>
      <c r="AN1117" s="256" t="s">
        <v>666</v>
      </c>
      <c r="AO1117" s="254" t="s">
        <v>1324</v>
      </c>
      <c r="AP1117" s="257" t="s">
        <v>716</v>
      </c>
      <c r="AQ1117" s="263" t="s">
        <v>659</v>
      </c>
      <c r="AR1117" s="256">
        <v>4.4399999999999995E-3</v>
      </c>
      <c r="AS1117" s="256">
        <v>4.4399999999999995E-3</v>
      </c>
      <c r="AT1117" s="256"/>
      <c r="AX1117" s="508"/>
      <c r="AY1117" s="509"/>
      <c r="AZ1117" s="509"/>
      <c r="BA1117" s="509"/>
      <c r="BB1117" s="510"/>
      <c r="BC1117" s="509"/>
      <c r="BD1117" s="509"/>
      <c r="BE1117" s="509"/>
      <c r="BF1117" s="509"/>
      <c r="BG1117" s="510"/>
      <c r="BH1117" s="510"/>
      <c r="BI1117" s="511"/>
      <c r="BJ1117" s="511"/>
      <c r="BK1117" s="511"/>
      <c r="BL1117" s="510"/>
      <c r="BM1117" s="510"/>
      <c r="BN1117" s="510"/>
      <c r="BO1117" s="510"/>
      <c r="BP1117" s="510"/>
      <c r="BQ1117" s="510"/>
      <c r="BR1117" s="510"/>
      <c r="BS1117" s="510"/>
      <c r="BT1117" s="513"/>
      <c r="BU1117" s="514"/>
      <c r="BV1117" s="512"/>
      <c r="BW1117" s="515"/>
    </row>
    <row r="1118" spans="2:75" ht="15.75" customHeight="1">
      <c r="B1118" s="250" t="s">
        <v>1302</v>
      </c>
      <c r="C1118" s="251">
        <v>40226121000170</v>
      </c>
      <c r="D1118" s="252" t="s">
        <v>14</v>
      </c>
      <c r="E1118" s="252" t="s">
        <v>607</v>
      </c>
      <c r="F1118" s="252"/>
      <c r="G1118" s="253"/>
      <c r="H1118" s="253" t="s">
        <v>34</v>
      </c>
      <c r="I1118" s="253" t="s">
        <v>34</v>
      </c>
      <c r="J1118" s="253" t="s">
        <v>608</v>
      </c>
      <c r="K1118" s="254" t="s">
        <v>48</v>
      </c>
      <c r="L1118" s="255"/>
      <c r="M1118" s="255" t="s">
        <v>34</v>
      </c>
      <c r="N1118" s="254">
        <v>652271</v>
      </c>
      <c r="O1118" s="254" t="s">
        <v>1321</v>
      </c>
      <c r="P1118" s="258">
        <v>44712</v>
      </c>
      <c r="Q1118" s="259">
        <v>10807614.119999999</v>
      </c>
      <c r="R1118" s="259" t="s">
        <v>1417</v>
      </c>
      <c r="S1118" s="254">
        <v>32</v>
      </c>
      <c r="T1118" s="256" t="s">
        <v>1417</v>
      </c>
      <c r="U1118" s="256" t="s">
        <v>1417</v>
      </c>
      <c r="V1118" s="256" t="s">
        <v>1417</v>
      </c>
      <c r="W1118" s="256" t="s">
        <v>1417</v>
      </c>
      <c r="X1118" s="256" t="s">
        <v>1417</v>
      </c>
      <c r="Y1118" s="256" t="s">
        <v>1417</v>
      </c>
      <c r="Z1118" s="256" t="s">
        <v>1417</v>
      </c>
      <c r="AA1118" s="256" t="s">
        <v>1417</v>
      </c>
      <c r="AB1118" s="256" t="s">
        <v>1417</v>
      </c>
      <c r="AC1118" s="260" t="s">
        <v>1417</v>
      </c>
      <c r="AD1118" s="405">
        <v>39344972000139</v>
      </c>
      <c r="AE1118" s="257" t="s">
        <v>2361</v>
      </c>
      <c r="AF1118" s="257" t="s">
        <v>2115</v>
      </c>
      <c r="AG1118" s="261" t="s">
        <v>719</v>
      </c>
      <c r="AH1118" s="261" t="s">
        <v>2110</v>
      </c>
      <c r="AI1118" s="261">
        <v>5000</v>
      </c>
      <c r="AJ1118" s="261">
        <v>1000</v>
      </c>
      <c r="AK1118" s="261">
        <v>1000</v>
      </c>
      <c r="AL1118" s="256">
        <v>1.3500000000000002E-2</v>
      </c>
      <c r="AM1118" s="256">
        <v>0.2</v>
      </c>
      <c r="AN1118" s="256" t="s">
        <v>2141</v>
      </c>
      <c r="AO1118" s="254" t="s">
        <v>1324</v>
      </c>
      <c r="AP1118" s="257" t="s">
        <v>13</v>
      </c>
      <c r="AQ1118" s="263" t="s">
        <v>668</v>
      </c>
      <c r="AR1118" s="256">
        <v>4.3166666666666657E-3</v>
      </c>
      <c r="AS1118" s="256">
        <v>4.3166666666666657E-3</v>
      </c>
      <c r="AT1118" s="256"/>
      <c r="AX1118" s="508"/>
      <c r="AY1118" s="509"/>
      <c r="AZ1118" s="509"/>
      <c r="BA1118" s="509"/>
      <c r="BB1118" s="510"/>
      <c r="BC1118" s="509"/>
      <c r="BD1118" s="509"/>
      <c r="BE1118" s="509"/>
      <c r="BF1118" s="509"/>
      <c r="BG1118" s="510"/>
      <c r="BH1118" s="510"/>
      <c r="BI1118" s="511"/>
      <c r="BJ1118" s="511"/>
      <c r="BK1118" s="511"/>
      <c r="BL1118" s="510"/>
      <c r="BM1118" s="510"/>
      <c r="BN1118" s="510"/>
      <c r="BO1118" s="510"/>
      <c r="BP1118" s="510"/>
      <c r="BQ1118" s="510"/>
      <c r="BR1118" s="510"/>
      <c r="BS1118" s="510"/>
      <c r="BT1118" s="513"/>
      <c r="BU1118" s="514"/>
      <c r="BV1118" s="512"/>
      <c r="BW1118" s="515"/>
    </row>
    <row r="1119" spans="2:75" ht="15.75" customHeight="1">
      <c r="B1119" s="250" t="s">
        <v>564</v>
      </c>
      <c r="C1119" s="251">
        <v>39703177000190</v>
      </c>
      <c r="D1119" s="252" t="s">
        <v>14</v>
      </c>
      <c r="E1119" s="252" t="s">
        <v>607</v>
      </c>
      <c r="F1119" s="252"/>
      <c r="G1119" s="253"/>
      <c r="H1119" s="253" t="s">
        <v>34</v>
      </c>
      <c r="I1119" s="253" t="s">
        <v>34</v>
      </c>
      <c r="J1119" s="253" t="s">
        <v>608</v>
      </c>
      <c r="K1119" s="254" t="s">
        <v>48</v>
      </c>
      <c r="L1119" s="255"/>
      <c r="M1119" s="255" t="s">
        <v>1414</v>
      </c>
      <c r="N1119" s="254">
        <v>568546</v>
      </c>
      <c r="O1119" s="254" t="s">
        <v>1321</v>
      </c>
      <c r="P1119" s="258">
        <v>44186</v>
      </c>
      <c r="Q1119" s="259">
        <v>56637076.280000001</v>
      </c>
      <c r="R1119" s="259">
        <v>55963470.553769864</v>
      </c>
      <c r="S1119" s="254">
        <v>32</v>
      </c>
      <c r="T1119" s="256">
        <v>0.19985464601568914</v>
      </c>
      <c r="U1119" s="256">
        <v>2.5835600169480277</v>
      </c>
      <c r="V1119" s="256">
        <v>0.14614778962782893</v>
      </c>
      <c r="W1119" s="256">
        <v>1.4327370178749019</v>
      </c>
      <c r="X1119" s="256" t="s">
        <v>1417</v>
      </c>
      <c r="Y1119" s="256" t="s">
        <v>1417</v>
      </c>
      <c r="Z1119" s="256" t="s">
        <v>1417</v>
      </c>
      <c r="AA1119" s="256" t="s">
        <v>1417</v>
      </c>
      <c r="AB1119" s="256">
        <v>0.1838813781164178</v>
      </c>
      <c r="AC1119" s="260">
        <v>0.30525537567700811</v>
      </c>
      <c r="AD1119" s="405">
        <v>39344972000139</v>
      </c>
      <c r="AE1119" s="257" t="s">
        <v>2361</v>
      </c>
      <c r="AF1119" s="257" t="s">
        <v>2115</v>
      </c>
      <c r="AG1119" s="261" t="s">
        <v>719</v>
      </c>
      <c r="AH1119" s="261" t="s">
        <v>2110</v>
      </c>
      <c r="AI1119" s="261">
        <v>5000</v>
      </c>
      <c r="AJ1119" s="261">
        <v>1000</v>
      </c>
      <c r="AK1119" s="261">
        <v>1000</v>
      </c>
      <c r="AL1119" s="256">
        <v>6.9999999999999993E-3</v>
      </c>
      <c r="AM1119" s="256">
        <v>0.1</v>
      </c>
      <c r="AN1119" s="256" t="s">
        <v>2141</v>
      </c>
      <c r="AO1119" s="254" t="s">
        <v>1324</v>
      </c>
      <c r="AP1119" s="257" t="s">
        <v>716</v>
      </c>
      <c r="AQ1119" s="263" t="s">
        <v>659</v>
      </c>
      <c r="AR1119" s="256">
        <v>1.9833333333333335E-3</v>
      </c>
      <c r="AS1119" s="256">
        <v>1.9833333333333335E-3</v>
      </c>
      <c r="AT1119" s="256"/>
      <c r="AX1119" s="508"/>
      <c r="AY1119" s="509"/>
      <c r="AZ1119" s="509"/>
      <c r="BA1119" s="509"/>
      <c r="BB1119" s="510"/>
      <c r="BC1119" s="509"/>
      <c r="BD1119" s="509"/>
      <c r="BE1119" s="509"/>
      <c r="BF1119" s="509"/>
      <c r="BG1119" s="510"/>
      <c r="BH1119" s="510"/>
      <c r="BI1119" s="511"/>
      <c r="BJ1119" s="511"/>
      <c r="BK1119" s="511"/>
      <c r="BL1119" s="510"/>
      <c r="BM1119" s="510"/>
      <c r="BN1119" s="510"/>
      <c r="BO1119" s="510"/>
      <c r="BP1119" s="510"/>
      <c r="BQ1119" s="510"/>
      <c r="BR1119" s="510"/>
      <c r="BS1119" s="510"/>
      <c r="BT1119" s="513"/>
      <c r="BU1119" s="514"/>
      <c r="BV1119" s="512"/>
      <c r="BW1119" s="515"/>
    </row>
    <row r="1120" spans="2:75" ht="15.75" customHeight="1">
      <c r="B1120" s="250" t="s">
        <v>1124</v>
      </c>
      <c r="C1120" s="251">
        <v>44417598000194</v>
      </c>
      <c r="D1120" s="252" t="s">
        <v>14</v>
      </c>
      <c r="E1120" s="252" t="s">
        <v>614</v>
      </c>
      <c r="F1120" s="252"/>
      <c r="G1120" s="253"/>
      <c r="H1120" s="253" t="s">
        <v>1338</v>
      </c>
      <c r="I1120" s="253" t="s">
        <v>34</v>
      </c>
      <c r="J1120" s="253" t="s">
        <v>608</v>
      </c>
      <c r="K1120" s="254" t="s">
        <v>48</v>
      </c>
      <c r="L1120" s="255"/>
      <c r="M1120" s="255" t="s">
        <v>34</v>
      </c>
      <c r="N1120" s="254">
        <v>640581</v>
      </c>
      <c r="O1120" s="254" t="s">
        <v>1321</v>
      </c>
      <c r="P1120" s="258">
        <v>44617</v>
      </c>
      <c r="Q1120" s="259">
        <v>12644658.140000001</v>
      </c>
      <c r="R1120" s="259" t="s">
        <v>1417</v>
      </c>
      <c r="S1120" s="254">
        <v>32</v>
      </c>
      <c r="T1120" s="256" t="s">
        <v>1417</v>
      </c>
      <c r="U1120" s="256" t="s">
        <v>1417</v>
      </c>
      <c r="V1120" s="256" t="s">
        <v>1417</v>
      </c>
      <c r="W1120" s="256" t="s">
        <v>1417</v>
      </c>
      <c r="X1120" s="256" t="s">
        <v>1417</v>
      </c>
      <c r="Y1120" s="256" t="s">
        <v>1417</v>
      </c>
      <c r="Z1120" s="256" t="s">
        <v>1417</v>
      </c>
      <c r="AA1120" s="256" t="s">
        <v>1417</v>
      </c>
      <c r="AB1120" s="256" t="s">
        <v>1417</v>
      </c>
      <c r="AC1120" s="260" t="s">
        <v>1417</v>
      </c>
      <c r="AD1120" s="405">
        <v>44967401000190</v>
      </c>
      <c r="AE1120" s="257" t="s">
        <v>2362</v>
      </c>
      <c r="AF1120" s="257" t="s">
        <v>2109</v>
      </c>
      <c r="AG1120" s="261" t="s">
        <v>1432</v>
      </c>
      <c r="AH1120" s="261" t="s">
        <v>2113</v>
      </c>
      <c r="AI1120" s="261">
        <v>100</v>
      </c>
      <c r="AJ1120" s="261">
        <v>50</v>
      </c>
      <c r="AK1120" s="261">
        <v>100</v>
      </c>
      <c r="AL1120" s="256">
        <v>1.84E-2</v>
      </c>
      <c r="AM1120" s="256">
        <v>0.2</v>
      </c>
      <c r="AN1120" s="256" t="s">
        <v>2127</v>
      </c>
      <c r="AO1120" s="254" t="s">
        <v>1324</v>
      </c>
      <c r="AP1120" s="257" t="s">
        <v>13</v>
      </c>
      <c r="AQ1120" s="263" t="s">
        <v>668</v>
      </c>
      <c r="AR1120" s="256">
        <v>4.9680000000000002E-3</v>
      </c>
      <c r="AS1120" s="256">
        <v>4.9680000000000002E-3</v>
      </c>
      <c r="AT1120" s="256"/>
      <c r="AX1120" s="508"/>
      <c r="AY1120" s="509"/>
      <c r="AZ1120" s="509"/>
      <c r="BA1120" s="509"/>
      <c r="BB1120" s="510"/>
      <c r="BC1120" s="509"/>
      <c r="BD1120" s="509"/>
      <c r="BE1120" s="509"/>
      <c r="BF1120" s="509"/>
      <c r="BG1120" s="510"/>
      <c r="BH1120" s="510"/>
      <c r="BI1120" s="511"/>
      <c r="BJ1120" s="511"/>
      <c r="BK1120" s="511"/>
      <c r="BL1120" s="510"/>
      <c r="BM1120" s="510"/>
      <c r="BN1120" s="510"/>
      <c r="BO1120" s="510"/>
      <c r="BP1120" s="510"/>
      <c r="BQ1120" s="510"/>
      <c r="BR1120" s="510"/>
      <c r="BS1120" s="510"/>
      <c r="BT1120" s="513"/>
      <c r="BU1120" s="514"/>
      <c r="BV1120" s="512"/>
      <c r="BW1120" s="515"/>
    </row>
    <row r="1121" spans="2:75" ht="15.75" customHeight="1">
      <c r="B1121" s="250" t="s">
        <v>1132</v>
      </c>
      <c r="C1121" s="251">
        <v>27347332000101</v>
      </c>
      <c r="D1121" s="252" t="s">
        <v>14</v>
      </c>
      <c r="E1121" s="252" t="s">
        <v>614</v>
      </c>
      <c r="F1121" s="252"/>
      <c r="G1121" s="253"/>
      <c r="H1121" s="253" t="s">
        <v>1338</v>
      </c>
      <c r="I1121" s="253" t="s">
        <v>34</v>
      </c>
      <c r="J1121" s="253" t="s">
        <v>608</v>
      </c>
      <c r="K1121" s="254" t="s">
        <v>48</v>
      </c>
      <c r="L1121" s="255"/>
      <c r="M1121" s="255" t="s">
        <v>34</v>
      </c>
      <c r="N1121" s="254">
        <v>451584</v>
      </c>
      <c r="O1121" s="254" t="s">
        <v>1321</v>
      </c>
      <c r="P1121" s="258">
        <v>43012</v>
      </c>
      <c r="Q1121" s="259">
        <v>56493212.030000001</v>
      </c>
      <c r="R1121" s="259">
        <v>72311968.954404801</v>
      </c>
      <c r="S1121" s="254">
        <v>32</v>
      </c>
      <c r="T1121" s="256">
        <v>-1.1755728786904229E-2</v>
      </c>
      <c r="U1121" s="256">
        <v>-0.15196860052753766</v>
      </c>
      <c r="V1121" s="256">
        <v>-0.16925702024451594</v>
      </c>
      <c r="W1121" s="256">
        <v>-1.6592847490684428</v>
      </c>
      <c r="X1121" s="256">
        <v>-6.1047659251238895E-2</v>
      </c>
      <c r="Y1121" s="256">
        <v>-0.46293549005349416</v>
      </c>
      <c r="Z1121" s="256">
        <v>0.14208082472903039</v>
      </c>
      <c r="AA1121" s="256">
        <v>0.80763346869550157</v>
      </c>
      <c r="AB1121" s="256">
        <v>0.25597484912364082</v>
      </c>
      <c r="AC1121" s="260">
        <v>-0.97573182931168234</v>
      </c>
      <c r="AD1121" s="405">
        <v>32772397000126</v>
      </c>
      <c r="AE1121" s="257" t="s">
        <v>2365</v>
      </c>
      <c r="AF1121" s="257" t="s">
        <v>2118</v>
      </c>
      <c r="AG1121" s="261" t="s">
        <v>1433</v>
      </c>
      <c r="AH1121" s="261" t="s">
        <v>2113</v>
      </c>
      <c r="AI1121" s="261">
        <v>50000</v>
      </c>
      <c r="AJ1121" s="261">
        <v>25000</v>
      </c>
      <c r="AK1121" s="261">
        <v>25000</v>
      </c>
      <c r="AL1121" s="256">
        <v>1.8000000000000002E-2</v>
      </c>
      <c r="AM1121" s="256">
        <v>0.2</v>
      </c>
      <c r="AN1121" s="256" t="s">
        <v>2127</v>
      </c>
      <c r="AO1121" s="254" t="s">
        <v>1324</v>
      </c>
      <c r="AP1121" s="257" t="s">
        <v>13</v>
      </c>
      <c r="AQ1121" s="263" t="s">
        <v>668</v>
      </c>
      <c r="AR1121" s="256">
        <v>4.7999999999999996E-3</v>
      </c>
      <c r="AS1121" s="256">
        <v>4.7999999999999996E-3</v>
      </c>
      <c r="AT1121" s="256"/>
      <c r="AX1121" s="508"/>
      <c r="AY1121" s="509"/>
      <c r="AZ1121" s="509"/>
      <c r="BA1121" s="509"/>
      <c r="BB1121" s="510"/>
      <c r="BC1121" s="509"/>
      <c r="BD1121" s="509"/>
      <c r="BE1121" s="509"/>
      <c r="BF1121" s="509"/>
      <c r="BG1121" s="510"/>
      <c r="BH1121" s="510"/>
      <c r="BI1121" s="511"/>
      <c r="BJ1121" s="511"/>
      <c r="BK1121" s="511"/>
      <c r="BL1121" s="510"/>
      <c r="BM1121" s="510"/>
      <c r="BN1121" s="510"/>
      <c r="BO1121" s="510"/>
      <c r="BP1121" s="510"/>
      <c r="BQ1121" s="510"/>
      <c r="BR1121" s="510"/>
      <c r="BS1121" s="510"/>
      <c r="BT1121" s="513"/>
      <c r="BU1121" s="514"/>
      <c r="BV1121" s="512"/>
      <c r="BW1121" s="515"/>
    </row>
    <row r="1122" spans="2:75" ht="15.75" customHeight="1">
      <c r="B1122" s="250" t="s">
        <v>1141</v>
      </c>
      <c r="C1122" s="251">
        <v>16987508000165</v>
      </c>
      <c r="D1122" s="252" t="s">
        <v>14</v>
      </c>
      <c r="E1122" s="252" t="s">
        <v>607</v>
      </c>
      <c r="F1122" s="252"/>
      <c r="G1122" s="253"/>
      <c r="H1122" s="253" t="s">
        <v>34</v>
      </c>
      <c r="I1122" s="253" t="s">
        <v>34</v>
      </c>
      <c r="J1122" s="253" t="s">
        <v>608</v>
      </c>
      <c r="K1122" s="254" t="s">
        <v>48</v>
      </c>
      <c r="L1122" s="255"/>
      <c r="M1122" s="255" t="s">
        <v>34</v>
      </c>
      <c r="N1122" s="254">
        <v>345865</v>
      </c>
      <c r="O1122" s="254" t="s">
        <v>1321</v>
      </c>
      <c r="P1122" s="258">
        <v>41519</v>
      </c>
      <c r="Q1122" s="259">
        <v>129520444.29000001</v>
      </c>
      <c r="R1122" s="259">
        <v>157433043.76559526</v>
      </c>
      <c r="S1122" s="254">
        <v>32</v>
      </c>
      <c r="T1122" s="256">
        <v>-0.1428139590266283</v>
      </c>
      <c r="U1122" s="256">
        <v>-1.846183922961119</v>
      </c>
      <c r="V1122" s="256">
        <v>-0.29976545080340578</v>
      </c>
      <c r="W1122" s="256">
        <v>-2.9387037541908625</v>
      </c>
      <c r="X1122" s="256">
        <v>-0.29107679360319016</v>
      </c>
      <c r="Y1122" s="256">
        <v>-2.20728820306338</v>
      </c>
      <c r="Z1122" s="256">
        <v>-0.27130867388664393</v>
      </c>
      <c r="AA1122" s="256">
        <v>-1.5422064574592522</v>
      </c>
      <c r="AB1122" s="256">
        <v>0.23609299380875737</v>
      </c>
      <c r="AC1122" s="260">
        <v>-1.8019506178287126</v>
      </c>
      <c r="AD1122" s="405">
        <v>0</v>
      </c>
      <c r="AE1122" s="257" t="s">
        <v>2368</v>
      </c>
      <c r="AF1122" s="257" t="s">
        <v>2118</v>
      </c>
      <c r="AG1122" s="261" t="s">
        <v>1433</v>
      </c>
      <c r="AH1122" s="261" t="s">
        <v>2110</v>
      </c>
      <c r="AI1122" s="261">
        <v>1000</v>
      </c>
      <c r="AJ1122" s="261">
        <v>100</v>
      </c>
      <c r="AK1122" s="261">
        <v>1000</v>
      </c>
      <c r="AL1122" s="256">
        <v>0.02</v>
      </c>
      <c r="AM1122" s="256">
        <v>0.2</v>
      </c>
      <c r="AN1122" s="256" t="s">
        <v>2127</v>
      </c>
      <c r="AO1122" s="254" t="s">
        <v>1324</v>
      </c>
      <c r="AP1122" s="257" t="s">
        <v>716</v>
      </c>
      <c r="AQ1122" s="263" t="s">
        <v>665</v>
      </c>
      <c r="AR1122" s="256">
        <v>5.3333333333333332E-3</v>
      </c>
      <c r="AS1122" s="256">
        <v>5.3333333333333332E-3</v>
      </c>
      <c r="AT1122" s="256"/>
      <c r="AX1122" s="508"/>
      <c r="AY1122" s="509"/>
      <c r="AZ1122" s="509"/>
      <c r="BA1122" s="509"/>
      <c r="BB1122" s="510"/>
      <c r="BC1122" s="509"/>
      <c r="BD1122" s="509"/>
      <c r="BE1122" s="509"/>
      <c r="BF1122" s="509"/>
      <c r="BG1122" s="510"/>
      <c r="BH1122" s="510"/>
      <c r="BI1122" s="511"/>
      <c r="BJ1122" s="511"/>
      <c r="BK1122" s="511"/>
      <c r="BL1122" s="510"/>
      <c r="BM1122" s="510"/>
      <c r="BN1122" s="510"/>
      <c r="BO1122" s="510"/>
      <c r="BP1122" s="510"/>
      <c r="BQ1122" s="510"/>
      <c r="BR1122" s="510"/>
      <c r="BS1122" s="510"/>
      <c r="BT1122" s="513"/>
      <c r="BU1122" s="514"/>
      <c r="BV1122" s="512"/>
      <c r="BW1122" s="515"/>
    </row>
    <row r="1123" spans="2:75" ht="15.75" customHeight="1">
      <c r="B1123" s="250" t="s">
        <v>1142</v>
      </c>
      <c r="C1123" s="251">
        <v>42870843000199</v>
      </c>
      <c r="D1123" s="252" t="s">
        <v>14</v>
      </c>
      <c r="E1123" s="252" t="s">
        <v>607</v>
      </c>
      <c r="F1123" s="252"/>
      <c r="G1123" s="253"/>
      <c r="H1123" s="253" t="s">
        <v>34</v>
      </c>
      <c r="I1123" s="253" t="s">
        <v>34</v>
      </c>
      <c r="J1123" s="253" t="s">
        <v>608</v>
      </c>
      <c r="K1123" s="254" t="s">
        <v>48</v>
      </c>
      <c r="L1123" s="255"/>
      <c r="M1123" s="255" t="s">
        <v>34</v>
      </c>
      <c r="N1123" s="254">
        <v>619922</v>
      </c>
      <c r="O1123" s="254" t="s">
        <v>1321</v>
      </c>
      <c r="P1123" s="258">
        <v>44497</v>
      </c>
      <c r="Q1123" s="259">
        <v>20923115.079999998</v>
      </c>
      <c r="R1123" s="259" t="s">
        <v>1417</v>
      </c>
      <c r="S1123" s="254">
        <v>32</v>
      </c>
      <c r="T1123" s="256">
        <v>-4.0802011973824825E-2</v>
      </c>
      <c r="U1123" s="256">
        <v>-0.52745557257814846</v>
      </c>
      <c r="V1123" s="256" t="s">
        <v>1417</v>
      </c>
      <c r="W1123" s="256" t="s">
        <v>1417</v>
      </c>
      <c r="X1123" s="256" t="s">
        <v>1417</v>
      </c>
      <c r="Y1123" s="256" t="s">
        <v>1417</v>
      </c>
      <c r="Z1123" s="256" t="s">
        <v>1417</v>
      </c>
      <c r="AA1123" s="256" t="s">
        <v>1417</v>
      </c>
      <c r="AB1123" s="256" t="s">
        <v>1417</v>
      </c>
      <c r="AC1123" s="260" t="s">
        <v>1417</v>
      </c>
      <c r="AD1123" s="405">
        <v>0</v>
      </c>
      <c r="AE1123" s="257" t="s">
        <v>2368</v>
      </c>
      <c r="AF1123" s="257" t="s">
        <v>2118</v>
      </c>
      <c r="AG1123" s="261" t="s">
        <v>1433</v>
      </c>
      <c r="AH1123" s="261" t="s">
        <v>2113</v>
      </c>
      <c r="AI1123" s="261">
        <v>1000</v>
      </c>
      <c r="AJ1123" s="261">
        <v>100</v>
      </c>
      <c r="AK1123" s="261">
        <v>1000</v>
      </c>
      <c r="AL1123" s="256">
        <v>0.02</v>
      </c>
      <c r="AM1123" s="256">
        <v>0.2</v>
      </c>
      <c r="AN1123" s="256" t="s">
        <v>2127</v>
      </c>
      <c r="AO1123" s="254" t="s">
        <v>1324</v>
      </c>
      <c r="AP1123" s="257" t="s">
        <v>716</v>
      </c>
      <c r="AQ1123" s="263" t="s">
        <v>659</v>
      </c>
      <c r="AR1123" s="256">
        <v>6.0000000000000001E-3</v>
      </c>
      <c r="AS1123" s="256">
        <v>6.0000000000000001E-3</v>
      </c>
      <c r="AT1123" s="256"/>
      <c r="AX1123" s="508"/>
      <c r="AY1123" s="509"/>
      <c r="AZ1123" s="509"/>
      <c r="BA1123" s="509"/>
      <c r="BB1123" s="510"/>
      <c r="BC1123" s="509"/>
      <c r="BD1123" s="509"/>
      <c r="BE1123" s="509"/>
      <c r="BF1123" s="509"/>
      <c r="BG1123" s="510"/>
      <c r="BH1123" s="510"/>
      <c r="BI1123" s="511"/>
      <c r="BJ1123" s="511"/>
      <c r="BK1123" s="511"/>
      <c r="BL1123" s="510"/>
      <c r="BM1123" s="510"/>
      <c r="BN1123" s="510"/>
      <c r="BO1123" s="510"/>
      <c r="BP1123" s="510"/>
      <c r="BQ1123" s="510"/>
      <c r="BR1123" s="510"/>
      <c r="BS1123" s="510"/>
      <c r="BT1123" s="513"/>
      <c r="BU1123" s="514"/>
      <c r="BV1123" s="512"/>
      <c r="BW1123" s="515"/>
    </row>
    <row r="1124" spans="2:75" ht="15.75" customHeight="1">
      <c r="B1124" s="250" t="s">
        <v>344</v>
      </c>
      <c r="C1124" s="251">
        <v>35726581000128</v>
      </c>
      <c r="D1124" s="252" t="s">
        <v>14</v>
      </c>
      <c r="E1124" s="252" t="s">
        <v>607</v>
      </c>
      <c r="F1124" s="252"/>
      <c r="G1124" s="253"/>
      <c r="H1124" s="253" t="s">
        <v>34</v>
      </c>
      <c r="I1124" s="253" t="s">
        <v>34</v>
      </c>
      <c r="J1124" s="253" t="s">
        <v>608</v>
      </c>
      <c r="K1124" s="254" t="s">
        <v>48</v>
      </c>
      <c r="L1124" s="255"/>
      <c r="M1124" s="255" t="s">
        <v>1414</v>
      </c>
      <c r="N1124" s="254">
        <v>520101</v>
      </c>
      <c r="O1124" s="254" t="s">
        <v>1321</v>
      </c>
      <c r="P1124" s="258">
        <v>43829</v>
      </c>
      <c r="Q1124" s="259">
        <v>8193661.5</v>
      </c>
      <c r="R1124" s="259">
        <v>9921374.5008730125</v>
      </c>
      <c r="S1124" s="254">
        <v>32</v>
      </c>
      <c r="T1124" s="256">
        <v>-1.9538891982216255E-2</v>
      </c>
      <c r="U1124" s="256">
        <v>-0.25258307028177618</v>
      </c>
      <c r="V1124" s="256">
        <v>-0.14866011540720114</v>
      </c>
      <c r="W1124" s="256">
        <v>-1.4573662110651258</v>
      </c>
      <c r="X1124" s="256">
        <v>4.2734010649797094E-2</v>
      </c>
      <c r="Y1124" s="256">
        <v>0.32405976584128543</v>
      </c>
      <c r="Z1124" s="256" t="s">
        <v>1417</v>
      </c>
      <c r="AA1124" s="256" t="s">
        <v>1417</v>
      </c>
      <c r="AB1124" s="256">
        <v>0.25309431880507899</v>
      </c>
      <c r="AC1124" s="260">
        <v>-0.89308700590134971</v>
      </c>
      <c r="AD1124" s="405">
        <v>41867101000141</v>
      </c>
      <c r="AE1124" s="257" t="s">
        <v>59</v>
      </c>
      <c r="AF1124" s="257" t="s">
        <v>2112</v>
      </c>
      <c r="AG1124" s="261" t="s">
        <v>59</v>
      </c>
      <c r="AH1124" s="261" t="s">
        <v>2113</v>
      </c>
      <c r="AI1124" s="261">
        <v>100</v>
      </c>
      <c r="AJ1124" s="261">
        <v>100</v>
      </c>
      <c r="AK1124" s="261">
        <v>100</v>
      </c>
      <c r="AL1124" s="256">
        <v>0.02</v>
      </c>
      <c r="AM1124" s="256">
        <v>0.2</v>
      </c>
      <c r="AN1124" s="256" t="s">
        <v>2122</v>
      </c>
      <c r="AO1124" s="254" t="s">
        <v>1324</v>
      </c>
      <c r="AP1124" s="257" t="s">
        <v>716</v>
      </c>
      <c r="AQ1124" s="263" t="s">
        <v>659</v>
      </c>
      <c r="AR1124" s="256">
        <v>3.3333333333333331E-3</v>
      </c>
      <c r="AS1124" s="256">
        <v>3.3333333333333331E-3</v>
      </c>
      <c r="AT1124" s="256"/>
      <c r="AX1124" s="508"/>
      <c r="AY1124" s="509"/>
      <c r="AZ1124" s="509"/>
      <c r="BA1124" s="509"/>
      <c r="BB1124" s="510"/>
      <c r="BC1124" s="509"/>
      <c r="BD1124" s="509"/>
      <c r="BE1124" s="509"/>
      <c r="BF1124" s="509"/>
      <c r="BG1124" s="510"/>
      <c r="BH1124" s="510"/>
      <c r="BI1124" s="511"/>
      <c r="BJ1124" s="511"/>
      <c r="BK1124" s="511"/>
      <c r="BL1124" s="510"/>
      <c r="BM1124" s="510"/>
      <c r="BN1124" s="510"/>
      <c r="BO1124" s="510"/>
      <c r="BP1124" s="510"/>
      <c r="BQ1124" s="510"/>
      <c r="BR1124" s="510"/>
      <c r="BS1124" s="510"/>
      <c r="BT1124" s="513"/>
      <c r="BU1124" s="514"/>
      <c r="BV1124" s="512"/>
      <c r="BW1124" s="515"/>
    </row>
    <row r="1125" spans="2:75" ht="15.75" customHeight="1">
      <c r="B1125" s="250" t="s">
        <v>1148</v>
      </c>
      <c r="C1125" s="251">
        <v>21732619000160</v>
      </c>
      <c r="D1125" s="252" t="s">
        <v>11</v>
      </c>
      <c r="E1125" s="252" t="s">
        <v>620</v>
      </c>
      <c r="F1125" s="252"/>
      <c r="G1125" s="253"/>
      <c r="H1125" s="253" t="s">
        <v>34</v>
      </c>
      <c r="I1125" s="253" t="s">
        <v>34</v>
      </c>
      <c r="J1125" s="253" t="s">
        <v>700</v>
      </c>
      <c r="K1125" s="254" t="s">
        <v>48</v>
      </c>
      <c r="L1125" s="255"/>
      <c r="M1125" s="255" t="s">
        <v>34</v>
      </c>
      <c r="N1125" s="254">
        <v>395102</v>
      </c>
      <c r="O1125" s="254" t="s">
        <v>1321</v>
      </c>
      <c r="P1125" s="258">
        <v>42130</v>
      </c>
      <c r="Q1125" s="259">
        <v>44459939.899999999</v>
      </c>
      <c r="R1125" s="259">
        <v>69385433.221944451</v>
      </c>
      <c r="S1125" s="254">
        <v>32</v>
      </c>
      <c r="T1125" s="256">
        <v>-1.5744526588225005E-3</v>
      </c>
      <c r="U1125" s="256">
        <v>-2.0353256824422294E-2</v>
      </c>
      <c r="V1125" s="256">
        <v>-1.9861141477815036E-2</v>
      </c>
      <c r="W1125" s="256">
        <v>-0.19470559688230682</v>
      </c>
      <c r="X1125" s="256">
        <v>0.18332929038453738</v>
      </c>
      <c r="Y1125" s="256">
        <v>1.3902193126856508</v>
      </c>
      <c r="Z1125" s="256">
        <v>0.17906195832545513</v>
      </c>
      <c r="AA1125" s="256">
        <v>1.0178462209070229</v>
      </c>
      <c r="AB1125" s="256">
        <v>3.9438768350297103E-2</v>
      </c>
      <c r="AC1125" s="260">
        <v>-2.952342931281716</v>
      </c>
      <c r="AD1125" s="405">
        <v>0</v>
      </c>
      <c r="AE1125" s="257" t="s">
        <v>2370</v>
      </c>
      <c r="AF1125" s="257" t="s">
        <v>2109</v>
      </c>
      <c r="AG1125" s="261" t="s">
        <v>1432</v>
      </c>
      <c r="AH1125" s="261" t="s">
        <v>2110</v>
      </c>
      <c r="AI1125" s="261">
        <v>500</v>
      </c>
      <c r="AJ1125" s="261">
        <v>500</v>
      </c>
      <c r="AK1125" s="261">
        <v>500</v>
      </c>
      <c r="AL1125" s="256">
        <v>0.01</v>
      </c>
      <c r="AM1125" s="256">
        <v>0.2</v>
      </c>
      <c r="AN1125" s="256" t="s">
        <v>34</v>
      </c>
      <c r="AO1125" s="254" t="s">
        <v>1324</v>
      </c>
      <c r="AP1125" s="257" t="s">
        <v>13</v>
      </c>
      <c r="AQ1125" s="263" t="s">
        <v>679</v>
      </c>
      <c r="AR1125" s="256">
        <v>3.1113333333333331E-3</v>
      </c>
      <c r="AS1125" s="256">
        <v>3.1113333333333331E-3</v>
      </c>
      <c r="AT1125" s="256"/>
      <c r="AW1125" s="508"/>
      <c r="AX1125" s="508"/>
      <c r="AY1125" s="509"/>
      <c r="AZ1125" s="509"/>
      <c r="BA1125" s="509"/>
      <c r="BB1125" s="510"/>
      <c r="BC1125" s="509"/>
      <c r="BD1125" s="509"/>
      <c r="BE1125" s="509"/>
      <c r="BF1125" s="509"/>
      <c r="BG1125" s="510"/>
      <c r="BH1125" s="510"/>
      <c r="BI1125" s="511"/>
      <c r="BJ1125" s="511"/>
      <c r="BK1125" s="511"/>
      <c r="BL1125" s="195"/>
      <c r="BM1125" s="510"/>
      <c r="BN1125" s="510"/>
      <c r="BO1125" s="510"/>
      <c r="BP1125" s="510"/>
      <c r="BQ1125" s="510"/>
      <c r="BR1125" s="510"/>
      <c r="BS1125" s="510"/>
      <c r="BT1125" s="513"/>
      <c r="BU1125" s="514"/>
      <c r="BV1125" s="512"/>
      <c r="BW1125" s="515"/>
    </row>
    <row r="1126" spans="2:75" ht="15.75" customHeight="1">
      <c r="B1126" s="250" t="s">
        <v>1152</v>
      </c>
      <c r="C1126" s="251">
        <v>45560944000151</v>
      </c>
      <c r="D1126" s="252" t="s">
        <v>14</v>
      </c>
      <c r="E1126" s="252" t="s">
        <v>607</v>
      </c>
      <c r="F1126" s="252"/>
      <c r="G1126" s="253"/>
      <c r="H1126" s="253" t="s">
        <v>34</v>
      </c>
      <c r="I1126" s="253" t="s">
        <v>34</v>
      </c>
      <c r="J1126" s="253" t="s">
        <v>611</v>
      </c>
      <c r="K1126" s="254" t="s">
        <v>48</v>
      </c>
      <c r="L1126" s="255"/>
      <c r="M1126" s="255" t="s">
        <v>1414</v>
      </c>
      <c r="N1126" s="254">
        <v>646547</v>
      </c>
      <c r="O1126" s="254" t="s">
        <v>1321</v>
      </c>
      <c r="P1126" s="258">
        <v>44673</v>
      </c>
      <c r="Q1126" s="259">
        <v>7905837.8700000001</v>
      </c>
      <c r="R1126" s="259" t="s">
        <v>1417</v>
      </c>
      <c r="S1126" s="254">
        <v>32</v>
      </c>
      <c r="T1126" s="256" t="s">
        <v>1417</v>
      </c>
      <c r="U1126" s="256" t="s">
        <v>1417</v>
      </c>
      <c r="V1126" s="256" t="s">
        <v>1417</v>
      </c>
      <c r="W1126" s="256" t="s">
        <v>1417</v>
      </c>
      <c r="X1126" s="256" t="s">
        <v>1417</v>
      </c>
      <c r="Y1126" s="256" t="s">
        <v>1417</v>
      </c>
      <c r="Z1126" s="256" t="s">
        <v>1417</v>
      </c>
      <c r="AA1126" s="256" t="s">
        <v>1417</v>
      </c>
      <c r="AB1126" s="256" t="s">
        <v>1417</v>
      </c>
      <c r="AC1126" s="260" t="s">
        <v>1417</v>
      </c>
      <c r="AD1126" s="405">
        <v>0</v>
      </c>
      <c r="AE1126" s="257" t="s">
        <v>2374</v>
      </c>
      <c r="AF1126" s="257" t="s">
        <v>2109</v>
      </c>
      <c r="AG1126" s="261" t="s">
        <v>1432</v>
      </c>
      <c r="AH1126" s="261" t="s">
        <v>2110</v>
      </c>
      <c r="AI1126" s="261">
        <v>50000</v>
      </c>
      <c r="AJ1126" s="261">
        <v>0</v>
      </c>
      <c r="AK1126" s="261">
        <v>0</v>
      </c>
      <c r="AL1126" s="256">
        <v>1.6299999999999999E-2</v>
      </c>
      <c r="AM1126" s="256">
        <v>0.2</v>
      </c>
      <c r="AN1126" s="256" t="s">
        <v>2127</v>
      </c>
      <c r="AO1126" s="254" t="s">
        <v>1324</v>
      </c>
      <c r="AP1126" s="257" t="s">
        <v>716</v>
      </c>
      <c r="AQ1126" s="263" t="s">
        <v>694</v>
      </c>
      <c r="AR1126" s="256" t="s">
        <v>34</v>
      </c>
      <c r="AS1126" s="256" t="s">
        <v>34</v>
      </c>
      <c r="AT1126" s="256"/>
      <c r="AW1126" s="508"/>
      <c r="AX1126" s="508"/>
      <c r="AY1126" s="509"/>
      <c r="AZ1126" s="509"/>
      <c r="BA1126" s="509"/>
      <c r="BB1126" s="510"/>
      <c r="BC1126" s="509"/>
      <c r="BD1126" s="509"/>
      <c r="BE1126" s="509"/>
      <c r="BF1126" s="509"/>
      <c r="BG1126" s="510"/>
      <c r="BH1126" s="510"/>
      <c r="BI1126" s="511"/>
      <c r="BJ1126" s="511"/>
      <c r="BK1126" s="511"/>
      <c r="BL1126" s="195"/>
      <c r="BM1126" s="510"/>
      <c r="BN1126" s="510"/>
      <c r="BO1126" s="510"/>
      <c r="BP1126" s="510"/>
      <c r="BQ1126" s="510"/>
      <c r="BR1126" s="510"/>
      <c r="BS1126" s="510"/>
      <c r="BT1126" s="513"/>
      <c r="BU1126" s="514"/>
      <c r="BV1126" s="512"/>
      <c r="BW1126" s="515"/>
    </row>
    <row r="1127" spans="2:75" ht="15.75" customHeight="1">
      <c r="B1127" s="250" t="s">
        <v>350</v>
      </c>
      <c r="C1127" s="251">
        <v>20468028000165</v>
      </c>
      <c r="D1127" s="252" t="s">
        <v>14</v>
      </c>
      <c r="E1127" s="252" t="s">
        <v>607</v>
      </c>
      <c r="F1127" s="252"/>
      <c r="G1127" s="253"/>
      <c r="H1127" s="253" t="s">
        <v>34</v>
      </c>
      <c r="I1127" s="253" t="s">
        <v>34</v>
      </c>
      <c r="J1127" s="253" t="s">
        <v>608</v>
      </c>
      <c r="K1127" s="254" t="s">
        <v>48</v>
      </c>
      <c r="L1127" s="255"/>
      <c r="M1127" s="255" t="s">
        <v>34</v>
      </c>
      <c r="N1127" s="254">
        <v>383872</v>
      </c>
      <c r="O1127" s="254" t="s">
        <v>1321</v>
      </c>
      <c r="P1127" s="258">
        <v>41974</v>
      </c>
      <c r="Q1127" s="259">
        <v>72016689.989999995</v>
      </c>
      <c r="R1127" s="259">
        <v>81074422.520158708</v>
      </c>
      <c r="S1127" s="254">
        <v>32</v>
      </c>
      <c r="T1127" s="256">
        <v>7.9949631324609971E-2</v>
      </c>
      <c r="U1127" s="256">
        <v>1.0335244888116477</v>
      </c>
      <c r="V1127" s="256">
        <v>-0.12331271674780087</v>
      </c>
      <c r="W1127" s="256">
        <v>-1.208876949211519</v>
      </c>
      <c r="X1127" s="256">
        <v>7.427713003581804E-3</v>
      </c>
      <c r="Y1127" s="256">
        <v>5.6325697028589541E-2</v>
      </c>
      <c r="Z1127" s="256">
        <v>0.1070211745367935</v>
      </c>
      <c r="AA1127" s="256">
        <v>0.60834305107575004</v>
      </c>
      <c r="AB1127" s="256">
        <v>0.23520647107346157</v>
      </c>
      <c r="AC1127" s="260">
        <v>-0.85490860027481397</v>
      </c>
      <c r="AD1127" s="405">
        <v>0</v>
      </c>
      <c r="AE1127" s="257" t="s">
        <v>2375</v>
      </c>
      <c r="AF1127" s="257" t="s">
        <v>2109</v>
      </c>
      <c r="AG1127" s="261" t="s">
        <v>1432</v>
      </c>
      <c r="AH1127" s="261" t="s">
        <v>2113</v>
      </c>
      <c r="AI1127" s="261">
        <v>1000</v>
      </c>
      <c r="AJ1127" s="261">
        <v>1000</v>
      </c>
      <c r="AK1127" s="261">
        <v>1000</v>
      </c>
      <c r="AL1127" s="256">
        <v>1.66E-2</v>
      </c>
      <c r="AM1127" s="256">
        <v>0.2</v>
      </c>
      <c r="AN1127" s="256" t="s">
        <v>2127</v>
      </c>
      <c r="AO1127" s="254" t="s">
        <v>1324</v>
      </c>
      <c r="AP1127" s="257" t="s">
        <v>716</v>
      </c>
      <c r="AQ1127" s="263" t="s">
        <v>659</v>
      </c>
      <c r="AR1127" s="256">
        <v>3.8733333333333328E-3</v>
      </c>
      <c r="AS1127" s="256">
        <v>3.8733333333333328E-3</v>
      </c>
      <c r="AT1127" s="256"/>
      <c r="AX1127" s="508"/>
      <c r="AY1127" s="509"/>
      <c r="AZ1127" s="509"/>
      <c r="BA1127" s="509"/>
      <c r="BB1127" s="510"/>
      <c r="BC1127" s="509"/>
      <c r="BD1127" s="509"/>
      <c r="BE1127" s="509"/>
      <c r="BF1127" s="509"/>
      <c r="BG1127" s="510"/>
      <c r="BH1127" s="510"/>
      <c r="BI1127" s="511"/>
      <c r="BJ1127" s="511"/>
      <c r="BK1127" s="511"/>
      <c r="BL1127" s="510"/>
      <c r="BM1127" s="510"/>
      <c r="BN1127" s="510"/>
      <c r="BO1127" s="510"/>
      <c r="BP1127" s="510"/>
      <c r="BQ1127" s="510"/>
      <c r="BR1127" s="510"/>
      <c r="BS1127" s="510"/>
      <c r="BT1127" s="513"/>
      <c r="BU1127" s="514"/>
      <c r="BV1127" s="512"/>
      <c r="BW1127" s="515"/>
    </row>
    <row r="1128" spans="2:75" ht="15.75" customHeight="1">
      <c r="B1128" s="250" t="s">
        <v>351</v>
      </c>
      <c r="C1128" s="251">
        <v>26362460000153</v>
      </c>
      <c r="D1128" s="252" t="s">
        <v>14</v>
      </c>
      <c r="E1128" s="252" t="s">
        <v>614</v>
      </c>
      <c r="F1128" s="252"/>
      <c r="G1128" s="253"/>
      <c r="H1128" s="253" t="s">
        <v>1338</v>
      </c>
      <c r="I1128" s="253" t="s">
        <v>34</v>
      </c>
      <c r="J1128" s="253" t="s">
        <v>608</v>
      </c>
      <c r="K1128" s="254" t="s">
        <v>48</v>
      </c>
      <c r="L1128" s="255"/>
      <c r="M1128" s="255" t="s">
        <v>34</v>
      </c>
      <c r="N1128" s="254">
        <v>432369</v>
      </c>
      <c r="O1128" s="254" t="s">
        <v>1321</v>
      </c>
      <c r="P1128" s="258">
        <v>42733</v>
      </c>
      <c r="Q1128" s="259">
        <v>116831634.79000001</v>
      </c>
      <c r="R1128" s="259">
        <v>127195395.57642861</v>
      </c>
      <c r="S1128" s="254">
        <v>32</v>
      </c>
      <c r="T1128" s="256">
        <v>0.13328984886626372</v>
      </c>
      <c r="U1128" s="256">
        <v>1.7230638919892358</v>
      </c>
      <c r="V1128" s="256">
        <v>-6.9926117857120995E-2</v>
      </c>
      <c r="W1128" s="256">
        <v>-0.68550976942796993</v>
      </c>
      <c r="X1128" s="256">
        <v>7.2893527541111114E-2</v>
      </c>
      <c r="Y1128" s="256">
        <v>0.55276486122254276</v>
      </c>
      <c r="Z1128" s="256">
        <v>0.30849861117317556</v>
      </c>
      <c r="AA1128" s="256">
        <v>1.7536061175370468</v>
      </c>
      <c r="AB1128" s="256">
        <v>0.22415385410609492</v>
      </c>
      <c r="AC1128" s="260">
        <v>-0.64487752304811041</v>
      </c>
      <c r="AD1128" s="405">
        <v>34719644000156</v>
      </c>
      <c r="AE1128" s="257" t="s">
        <v>2375</v>
      </c>
      <c r="AF1128" s="257" t="s">
        <v>2109</v>
      </c>
      <c r="AG1128" s="261" t="s">
        <v>1432</v>
      </c>
      <c r="AH1128" s="261" t="s">
        <v>2110</v>
      </c>
      <c r="AI1128" s="261">
        <v>10000</v>
      </c>
      <c r="AJ1128" s="261">
        <v>1000</v>
      </c>
      <c r="AK1128" s="261">
        <v>10000</v>
      </c>
      <c r="AL1128" s="256">
        <v>0.02</v>
      </c>
      <c r="AM1128" s="256">
        <v>0.2</v>
      </c>
      <c r="AN1128" s="256" t="s">
        <v>34</v>
      </c>
      <c r="AO1128" s="254" t="s">
        <v>1324</v>
      </c>
      <c r="AP1128" s="257" t="s">
        <v>716</v>
      </c>
      <c r="AQ1128" s="263" t="s">
        <v>659</v>
      </c>
      <c r="AR1128" s="256">
        <v>4.6666666666666662E-3</v>
      </c>
      <c r="AS1128" s="256">
        <v>4.6666666666666662E-3</v>
      </c>
      <c r="AT1128" s="256"/>
      <c r="AW1128" s="508"/>
      <c r="AX1128" s="508"/>
      <c r="AY1128" s="509"/>
      <c r="AZ1128" s="509"/>
      <c r="BA1128" s="509"/>
      <c r="BB1128" s="510"/>
      <c r="BC1128" s="509"/>
      <c r="BD1128" s="509"/>
      <c r="BE1128" s="509"/>
      <c r="BF1128" s="509"/>
      <c r="BG1128" s="510"/>
      <c r="BH1128" s="510"/>
      <c r="BI1128" s="511"/>
      <c r="BJ1128" s="511"/>
      <c r="BK1128" s="511"/>
      <c r="BL1128" s="195"/>
      <c r="BM1128" s="510"/>
      <c r="BN1128" s="510"/>
      <c r="BO1128" s="510"/>
      <c r="BP1128" s="510"/>
      <c r="BQ1128" s="510"/>
      <c r="BR1128" s="510"/>
      <c r="BS1128" s="510"/>
      <c r="BT1128" s="513"/>
      <c r="BU1128" s="514"/>
      <c r="BV1128" s="512"/>
      <c r="BW1128" s="515"/>
    </row>
    <row r="1129" spans="2:75" ht="15.75" customHeight="1">
      <c r="B1129" s="250" t="s">
        <v>1162</v>
      </c>
      <c r="C1129" s="251">
        <v>27783868000161</v>
      </c>
      <c r="D1129" s="252" t="s">
        <v>14</v>
      </c>
      <c r="E1129" s="252" t="s">
        <v>607</v>
      </c>
      <c r="F1129" s="252"/>
      <c r="G1129" s="253"/>
      <c r="H1129" s="253" t="s">
        <v>34</v>
      </c>
      <c r="I1129" s="253" t="s">
        <v>34</v>
      </c>
      <c r="J1129" s="253" t="s">
        <v>608</v>
      </c>
      <c r="K1129" s="254" t="s">
        <v>48</v>
      </c>
      <c r="L1129" s="255"/>
      <c r="M1129" s="255" t="s">
        <v>34</v>
      </c>
      <c r="N1129" s="254">
        <v>450456</v>
      </c>
      <c r="O1129" s="254" t="s">
        <v>1321</v>
      </c>
      <c r="P1129" s="258">
        <v>43007</v>
      </c>
      <c r="Q1129" s="259">
        <v>84432420.489999995</v>
      </c>
      <c r="R1129" s="259">
        <v>102881529.43563496</v>
      </c>
      <c r="S1129" s="254">
        <v>32</v>
      </c>
      <c r="T1129" s="256">
        <v>0.12423600323645845</v>
      </c>
      <c r="U1129" s="256">
        <v>1.6060230623907672</v>
      </c>
      <c r="V1129" s="256">
        <v>-5.2857539331716885E-2</v>
      </c>
      <c r="W1129" s="256">
        <v>-0.5181806270705922</v>
      </c>
      <c r="X1129" s="256">
        <v>0.16594488076088232</v>
      </c>
      <c r="Y1129" s="256">
        <v>1.2583901764480627</v>
      </c>
      <c r="Z1129" s="256">
        <v>0.14968509439251587</v>
      </c>
      <c r="AA1129" s="256">
        <v>0.85085860267772229</v>
      </c>
      <c r="AB1129" s="256">
        <v>0.2206302899339129</v>
      </c>
      <c r="AC1129" s="260">
        <v>-0.57621328118300774</v>
      </c>
      <c r="AD1129" s="405">
        <v>28589709000193</v>
      </c>
      <c r="AE1129" s="257" t="s">
        <v>2381</v>
      </c>
      <c r="AF1129" s="257" t="s">
        <v>2109</v>
      </c>
      <c r="AG1129" s="261" t="s">
        <v>1432</v>
      </c>
      <c r="AH1129" s="261" t="s">
        <v>2113</v>
      </c>
      <c r="AI1129" s="261">
        <v>500</v>
      </c>
      <c r="AJ1129" s="261">
        <v>500</v>
      </c>
      <c r="AK1129" s="261">
        <v>500</v>
      </c>
      <c r="AL1129" s="256">
        <v>1.7000000000000001E-2</v>
      </c>
      <c r="AM1129" s="256">
        <v>0.2</v>
      </c>
      <c r="AN1129" s="256" t="s">
        <v>2160</v>
      </c>
      <c r="AO1129" s="254" t="s">
        <v>1324</v>
      </c>
      <c r="AP1129" s="257" t="s">
        <v>716</v>
      </c>
      <c r="AQ1129" s="263" t="s">
        <v>670</v>
      </c>
      <c r="AR1129" s="256">
        <v>4.5333333333333337E-3</v>
      </c>
      <c r="AS1129" s="256">
        <v>4.5333333333333337E-3</v>
      </c>
      <c r="AT1129" s="256"/>
      <c r="AW1129" s="508"/>
      <c r="AX1129" s="508"/>
      <c r="AY1129" s="509"/>
      <c r="AZ1129" s="509"/>
      <c r="BA1129" s="509"/>
      <c r="BB1129" s="510"/>
      <c r="BC1129" s="509"/>
      <c r="BD1129" s="509"/>
      <c r="BE1129" s="509"/>
      <c r="BF1129" s="509"/>
      <c r="BG1129" s="510"/>
      <c r="BH1129" s="510"/>
      <c r="BI1129" s="511"/>
      <c r="BJ1129" s="511"/>
      <c r="BK1129" s="511"/>
      <c r="BL1129" s="195"/>
      <c r="BM1129" s="510"/>
      <c r="BN1129" s="510"/>
      <c r="BO1129" s="510"/>
      <c r="BP1129" s="510"/>
      <c r="BQ1129" s="510"/>
      <c r="BR1129" s="510"/>
      <c r="BS1129" s="510"/>
      <c r="BT1129" s="513"/>
      <c r="BU1129" s="514"/>
      <c r="BV1129" s="512"/>
      <c r="BW1129" s="515"/>
    </row>
    <row r="1130" spans="2:75" ht="15.75" customHeight="1">
      <c r="B1130" s="250" t="s">
        <v>1164</v>
      </c>
      <c r="C1130" s="251">
        <v>32041623000107</v>
      </c>
      <c r="D1130" s="252" t="s">
        <v>14</v>
      </c>
      <c r="E1130" s="252" t="s">
        <v>614</v>
      </c>
      <c r="F1130" s="252"/>
      <c r="G1130" s="253"/>
      <c r="H1130" s="253" t="s">
        <v>1338</v>
      </c>
      <c r="I1130" s="253" t="s">
        <v>34</v>
      </c>
      <c r="J1130" s="253" t="s">
        <v>608</v>
      </c>
      <c r="K1130" s="254" t="s">
        <v>48</v>
      </c>
      <c r="L1130" s="255"/>
      <c r="M1130" s="255" t="s">
        <v>34</v>
      </c>
      <c r="N1130" s="254">
        <v>483303</v>
      </c>
      <c r="O1130" s="254" t="s">
        <v>1321</v>
      </c>
      <c r="P1130" s="258">
        <v>43462</v>
      </c>
      <c r="Q1130" s="259">
        <v>56668510.539999999</v>
      </c>
      <c r="R1130" s="259">
        <v>58833114.625793599</v>
      </c>
      <c r="S1130" s="254">
        <v>32</v>
      </c>
      <c r="T1130" s="256">
        <v>0.18451588871736835</v>
      </c>
      <c r="U1130" s="256">
        <v>2.3852729075130017</v>
      </c>
      <c r="V1130" s="256">
        <v>1.6166222684269149E-2</v>
      </c>
      <c r="W1130" s="256">
        <v>0.15848303787518223</v>
      </c>
      <c r="X1130" s="256">
        <v>0.23983066070639603</v>
      </c>
      <c r="Y1130" s="256">
        <v>1.8186794679063076</v>
      </c>
      <c r="Z1130" s="256">
        <v>0.34757280393208556</v>
      </c>
      <c r="AA1130" s="256">
        <v>1.9757164965733474</v>
      </c>
      <c r="AB1130" s="256">
        <v>0.18625243250941836</v>
      </c>
      <c r="AC1130" s="260">
        <v>-0.34267926383690539</v>
      </c>
      <c r="AD1130" s="405">
        <v>32041557000167</v>
      </c>
      <c r="AE1130" s="257" t="s">
        <v>2381</v>
      </c>
      <c r="AF1130" s="257" t="s">
        <v>2109</v>
      </c>
      <c r="AG1130" s="261" t="s">
        <v>1432</v>
      </c>
      <c r="AH1130" s="261" t="s">
        <v>2110</v>
      </c>
      <c r="AI1130" s="261">
        <v>500</v>
      </c>
      <c r="AJ1130" s="261">
        <v>100</v>
      </c>
      <c r="AK1130" s="261">
        <v>100</v>
      </c>
      <c r="AL1130" s="256">
        <v>1.7000000000000001E-2</v>
      </c>
      <c r="AM1130" s="256">
        <v>0.2</v>
      </c>
      <c r="AN1130" s="256" t="s">
        <v>34</v>
      </c>
      <c r="AO1130" s="254" t="s">
        <v>1324</v>
      </c>
      <c r="AP1130" s="257" t="s">
        <v>716</v>
      </c>
      <c r="AQ1130" s="263" t="s">
        <v>659</v>
      </c>
      <c r="AR1130" s="256">
        <v>4.5333333333333337E-3</v>
      </c>
      <c r="AS1130" s="256">
        <v>7.9333333333333339E-3</v>
      </c>
      <c r="AT1130" s="256"/>
      <c r="AW1130" s="508"/>
      <c r="AX1130" s="508"/>
      <c r="AY1130" s="509"/>
      <c r="AZ1130" s="509"/>
      <c r="BA1130" s="509"/>
      <c r="BB1130" s="510"/>
      <c r="BC1130" s="509"/>
      <c r="BD1130" s="509"/>
      <c r="BE1130" s="509"/>
      <c r="BF1130" s="509"/>
      <c r="BG1130" s="510"/>
      <c r="BH1130" s="510"/>
      <c r="BI1130" s="511"/>
      <c r="BJ1130" s="511"/>
      <c r="BK1130" s="511"/>
      <c r="BL1130" s="195"/>
      <c r="BM1130" s="510"/>
      <c r="BN1130" s="510"/>
      <c r="BO1130" s="510"/>
      <c r="BP1130" s="510"/>
      <c r="BQ1130" s="510"/>
      <c r="BR1130" s="510"/>
      <c r="BS1130" s="510"/>
      <c r="BT1130" s="513"/>
      <c r="BU1130" s="514"/>
      <c r="BV1130" s="512"/>
      <c r="BW1130" s="515"/>
    </row>
    <row r="1131" spans="2:75" ht="15.75" customHeight="1">
      <c r="B1131" s="250" t="s">
        <v>1165</v>
      </c>
      <c r="C1131" s="251">
        <v>41081041000137</v>
      </c>
      <c r="D1131" s="252" t="s">
        <v>14</v>
      </c>
      <c r="E1131" s="252" t="s">
        <v>614</v>
      </c>
      <c r="F1131" s="252"/>
      <c r="G1131" s="253"/>
      <c r="H1131" s="253" t="s">
        <v>1337</v>
      </c>
      <c r="I1131" s="253" t="s">
        <v>34</v>
      </c>
      <c r="J1131" s="253" t="s">
        <v>608</v>
      </c>
      <c r="K1131" s="254" t="s">
        <v>48</v>
      </c>
      <c r="L1131" s="255"/>
      <c r="M1131" s="255" t="s">
        <v>1414</v>
      </c>
      <c r="N1131" s="254">
        <v>588741</v>
      </c>
      <c r="O1131" s="254" t="s">
        <v>1324</v>
      </c>
      <c r="P1131" s="258">
        <v>44323</v>
      </c>
      <c r="Q1131" s="259">
        <v>18192401.260000002</v>
      </c>
      <c r="R1131" s="259">
        <v>32063902.354047611</v>
      </c>
      <c r="S1131" s="254">
        <v>32</v>
      </c>
      <c r="T1131" s="256">
        <v>0.11181559669270635</v>
      </c>
      <c r="U1131" s="256">
        <v>1.4454620427677434</v>
      </c>
      <c r="V1131" s="256">
        <v>5.2638251971544925E-2</v>
      </c>
      <c r="W1131" s="256">
        <v>0.5160308777020215</v>
      </c>
      <c r="X1131" s="256" t="s">
        <v>1417</v>
      </c>
      <c r="Y1131" s="256" t="s">
        <v>1417</v>
      </c>
      <c r="Z1131" s="256" t="s">
        <v>1417</v>
      </c>
      <c r="AA1131" s="256" t="s">
        <v>1417</v>
      </c>
      <c r="AB1131" s="256">
        <v>9.4440749703169152E-2</v>
      </c>
      <c r="AC1131" s="260">
        <v>-0.43841060085352856</v>
      </c>
      <c r="AD1131" s="405">
        <v>18611600000151</v>
      </c>
      <c r="AE1131" s="257" t="s">
        <v>2381</v>
      </c>
      <c r="AF1131" s="257" t="s">
        <v>2109</v>
      </c>
      <c r="AG1131" s="261" t="s">
        <v>1432</v>
      </c>
      <c r="AH1131" s="261" t="s">
        <v>2110</v>
      </c>
      <c r="AI1131" s="261">
        <v>500</v>
      </c>
      <c r="AJ1131" s="261">
        <v>100</v>
      </c>
      <c r="AK1131" s="261">
        <v>100</v>
      </c>
      <c r="AL1131" s="256">
        <v>1.7000000000000001E-2</v>
      </c>
      <c r="AM1131" s="256">
        <v>0.2</v>
      </c>
      <c r="AN1131" s="256" t="s">
        <v>34</v>
      </c>
      <c r="AO1131" s="254" t="s">
        <v>1324</v>
      </c>
      <c r="AP1131" s="257" t="s">
        <v>13</v>
      </c>
      <c r="AQ1131" s="263" t="s">
        <v>668</v>
      </c>
      <c r="AR1131" s="256">
        <v>2.8338999999999999E-3</v>
      </c>
      <c r="AS1131" s="256">
        <v>2.8338999999999999E-3</v>
      </c>
      <c r="AT1131" s="256"/>
      <c r="AX1131" s="508"/>
      <c r="AY1131" s="509"/>
      <c r="AZ1131" s="509"/>
      <c r="BA1131" s="509"/>
      <c r="BB1131" s="510"/>
      <c r="BC1131" s="509"/>
      <c r="BD1131" s="509"/>
      <c r="BE1131" s="509"/>
      <c r="BF1131" s="509"/>
      <c r="BG1131" s="510"/>
      <c r="BH1131" s="510"/>
      <c r="BI1131" s="511"/>
      <c r="BJ1131" s="511"/>
      <c r="BK1131" s="511"/>
      <c r="BL1131" s="510"/>
      <c r="BM1131" s="510"/>
      <c r="BN1131" s="510"/>
      <c r="BO1131" s="510"/>
      <c r="BP1131" s="510"/>
      <c r="BQ1131" s="510"/>
      <c r="BR1131" s="510"/>
      <c r="BS1131" s="510"/>
      <c r="BT1131" s="513"/>
      <c r="BU1131" s="514"/>
      <c r="BV1131" s="512"/>
      <c r="BW1131" s="515"/>
    </row>
    <row r="1132" spans="2:75" ht="15.75" customHeight="1">
      <c r="B1132" s="250" t="s">
        <v>1166</v>
      </c>
      <c r="C1132" s="251">
        <v>19211696000123</v>
      </c>
      <c r="D1132" s="252" t="s">
        <v>14</v>
      </c>
      <c r="E1132" s="252" t="s">
        <v>614</v>
      </c>
      <c r="F1132" s="252"/>
      <c r="G1132" s="253"/>
      <c r="H1132" s="253" t="s">
        <v>1337</v>
      </c>
      <c r="I1132" s="253" t="s">
        <v>34</v>
      </c>
      <c r="J1132" s="253" t="s">
        <v>608</v>
      </c>
      <c r="K1132" s="254" t="s">
        <v>48</v>
      </c>
      <c r="L1132" s="255"/>
      <c r="M1132" s="255" t="s">
        <v>1414</v>
      </c>
      <c r="N1132" s="254">
        <v>364010</v>
      </c>
      <c r="O1132" s="254" t="s">
        <v>1321</v>
      </c>
      <c r="P1132" s="258">
        <v>41690</v>
      </c>
      <c r="Q1132" s="259">
        <v>514562721.61000001</v>
      </c>
      <c r="R1132" s="259">
        <v>302730966.00912714</v>
      </c>
      <c r="S1132" s="254">
        <v>32</v>
      </c>
      <c r="T1132" s="256">
        <v>0.11006394420766474</v>
      </c>
      <c r="U1132" s="256">
        <v>1.4228180892036821</v>
      </c>
      <c r="V1132" s="256">
        <v>4.8663176229937877E-2</v>
      </c>
      <c r="W1132" s="256">
        <v>0.4770618438332227</v>
      </c>
      <c r="X1132" s="256">
        <v>0.18831593402391622</v>
      </c>
      <c r="Y1132" s="256">
        <v>1.4280339372794864</v>
      </c>
      <c r="Z1132" s="256">
        <v>0.30867809058211249</v>
      </c>
      <c r="AA1132" s="256">
        <v>1.7546263366825618</v>
      </c>
      <c r="AB1132" s="256">
        <v>9.4243990886898873E-2</v>
      </c>
      <c r="AC1132" s="260">
        <v>-0.47967344768812759</v>
      </c>
      <c r="AD1132" s="405">
        <v>18611600000151</v>
      </c>
      <c r="AE1132" s="257" t="s">
        <v>2381</v>
      </c>
      <c r="AF1132" s="257" t="s">
        <v>2109</v>
      </c>
      <c r="AG1132" s="261" t="s">
        <v>1432</v>
      </c>
      <c r="AH1132" s="261" t="s">
        <v>2110</v>
      </c>
      <c r="AI1132" s="261">
        <v>50000500</v>
      </c>
      <c r="AJ1132" s="261">
        <v>100</v>
      </c>
      <c r="AK1132" s="261">
        <v>100</v>
      </c>
      <c r="AL1132" s="256">
        <v>1.7000000000000001E-2</v>
      </c>
      <c r="AM1132" s="256">
        <v>0.2</v>
      </c>
      <c r="AN1132" s="256" t="s">
        <v>34</v>
      </c>
      <c r="AO1132" s="254" t="s">
        <v>1324</v>
      </c>
      <c r="AP1132" s="257" t="s">
        <v>13</v>
      </c>
      <c r="AQ1132" s="263" t="s">
        <v>668</v>
      </c>
      <c r="AR1132" s="256">
        <v>1.1333333333333334E-3</v>
      </c>
      <c r="AS1132" s="256">
        <v>1.1333333333333334E-3</v>
      </c>
      <c r="AT1132" s="256"/>
      <c r="AX1132" s="508"/>
      <c r="AY1132" s="509"/>
      <c r="AZ1132" s="509"/>
      <c r="BA1132" s="509"/>
      <c r="BB1132" s="510"/>
      <c r="BC1132" s="509"/>
      <c r="BD1132" s="509"/>
      <c r="BE1132" s="509"/>
      <c r="BF1132" s="509"/>
      <c r="BG1132" s="510"/>
      <c r="BH1132" s="510"/>
      <c r="BI1132" s="511"/>
      <c r="BJ1132" s="511"/>
      <c r="BK1132" s="511"/>
      <c r="BL1132" s="510"/>
      <c r="BM1132" s="510"/>
      <c r="BN1132" s="510"/>
      <c r="BO1132" s="510"/>
      <c r="BP1132" s="510"/>
      <c r="BQ1132" s="510"/>
      <c r="BR1132" s="510"/>
      <c r="BS1132" s="510"/>
      <c r="BT1132" s="513"/>
      <c r="BU1132" s="514"/>
      <c r="BV1132" s="512"/>
      <c r="BW1132" s="515"/>
    </row>
    <row r="1133" spans="2:75" ht="15.75" customHeight="1">
      <c r="B1133" s="250" t="s">
        <v>547</v>
      </c>
      <c r="C1133" s="251">
        <v>43584490000123</v>
      </c>
      <c r="D1133" s="252" t="s">
        <v>14</v>
      </c>
      <c r="E1133" s="252" t="s">
        <v>614</v>
      </c>
      <c r="F1133" s="252"/>
      <c r="G1133" s="253"/>
      <c r="H1133" s="253" t="s">
        <v>1338</v>
      </c>
      <c r="I1133" s="253" t="s">
        <v>34</v>
      </c>
      <c r="J1133" s="253" t="s">
        <v>608</v>
      </c>
      <c r="K1133" s="254" t="s">
        <v>48</v>
      </c>
      <c r="L1133" s="255"/>
      <c r="M1133" s="255" t="s">
        <v>1414</v>
      </c>
      <c r="N1133" s="254">
        <v>619868</v>
      </c>
      <c r="O1133" s="254" t="s">
        <v>1321</v>
      </c>
      <c r="P1133" s="258">
        <v>44495</v>
      </c>
      <c r="Q1133" s="259">
        <v>19332553.890000001</v>
      </c>
      <c r="R1133" s="259" t="s">
        <v>1417</v>
      </c>
      <c r="S1133" s="254">
        <v>32</v>
      </c>
      <c r="T1133" s="256">
        <v>0.1005170107165847</v>
      </c>
      <c r="U1133" s="256">
        <v>1.2994030165809511</v>
      </c>
      <c r="V1133" s="256" t="s">
        <v>1417</v>
      </c>
      <c r="W1133" s="256" t="s">
        <v>1417</v>
      </c>
      <c r="X1133" s="256" t="s">
        <v>1417</v>
      </c>
      <c r="Y1133" s="256" t="s">
        <v>1417</v>
      </c>
      <c r="Z1133" s="256" t="s">
        <v>1417</v>
      </c>
      <c r="AA1133" s="256" t="s">
        <v>1417</v>
      </c>
      <c r="AB1133" s="256" t="s">
        <v>1417</v>
      </c>
      <c r="AC1133" s="260" t="s">
        <v>1417</v>
      </c>
      <c r="AD1133" s="405">
        <v>43508900000157</v>
      </c>
      <c r="AE1133" s="257" t="s">
        <v>2381</v>
      </c>
      <c r="AF1133" s="257" t="s">
        <v>2109</v>
      </c>
      <c r="AG1133" s="261" t="s">
        <v>1432</v>
      </c>
      <c r="AH1133" s="261" t="s">
        <v>2110</v>
      </c>
      <c r="AI1133" s="261">
        <v>500</v>
      </c>
      <c r="AJ1133" s="261">
        <v>100</v>
      </c>
      <c r="AK1133" s="261">
        <v>100</v>
      </c>
      <c r="AL1133" s="256">
        <v>1.7000000000000001E-2</v>
      </c>
      <c r="AM1133" s="256">
        <v>0.2</v>
      </c>
      <c r="AN1133" s="256" t="s">
        <v>2127</v>
      </c>
      <c r="AO1133" s="254" t="s">
        <v>1324</v>
      </c>
      <c r="AP1133" s="257" t="s">
        <v>13</v>
      </c>
      <c r="AQ1133" s="263" t="s">
        <v>668</v>
      </c>
      <c r="AR1133" s="256">
        <v>2.8338999999999999E-3</v>
      </c>
      <c r="AS1133" s="256">
        <v>2.8338999999999999E-3</v>
      </c>
      <c r="AT1133" s="256"/>
      <c r="AX1133" s="508"/>
      <c r="AY1133" s="509"/>
      <c r="AZ1133" s="509"/>
      <c r="BA1133" s="509"/>
      <c r="BB1133" s="510"/>
      <c r="BC1133" s="509"/>
      <c r="BD1133" s="509"/>
      <c r="BE1133" s="509"/>
      <c r="BF1133" s="509"/>
      <c r="BG1133" s="510"/>
      <c r="BH1133" s="510"/>
      <c r="BI1133" s="511"/>
      <c r="BJ1133" s="511"/>
      <c r="BK1133" s="511"/>
      <c r="BL1133" s="510"/>
      <c r="BM1133" s="510"/>
      <c r="BN1133" s="510"/>
      <c r="BO1133" s="510"/>
      <c r="BP1133" s="510"/>
      <c r="BQ1133" s="510"/>
      <c r="BR1133" s="510"/>
      <c r="BS1133" s="510"/>
      <c r="BT1133" s="513"/>
      <c r="BU1133" s="514"/>
      <c r="BV1133" s="512"/>
      <c r="BW1133" s="515"/>
    </row>
    <row r="1134" spans="2:75" ht="15.75" customHeight="1">
      <c r="B1134" s="250" t="s">
        <v>360</v>
      </c>
      <c r="C1134" s="251">
        <v>41514301000110</v>
      </c>
      <c r="D1134" s="252" t="s">
        <v>14</v>
      </c>
      <c r="E1134" s="252" t="s">
        <v>614</v>
      </c>
      <c r="F1134" s="252"/>
      <c r="G1134" s="253"/>
      <c r="H1134" s="253" t="s">
        <v>1338</v>
      </c>
      <c r="I1134" s="253" t="s">
        <v>34</v>
      </c>
      <c r="J1134" s="253" t="s">
        <v>611</v>
      </c>
      <c r="K1134" s="254" t="s">
        <v>48</v>
      </c>
      <c r="L1134" s="255"/>
      <c r="M1134" s="255" t="s">
        <v>34</v>
      </c>
      <c r="N1134" s="254">
        <v>589268</v>
      </c>
      <c r="O1134" s="254" t="s">
        <v>1321</v>
      </c>
      <c r="P1134" s="258">
        <v>44327</v>
      </c>
      <c r="Q1134" s="259">
        <v>414398323.24000001</v>
      </c>
      <c r="R1134" s="259">
        <v>371832850.23952419</v>
      </c>
      <c r="S1134" s="254">
        <v>32</v>
      </c>
      <c r="T1134" s="256">
        <v>2.5147085977539341E-4</v>
      </c>
      <c r="U1134" s="256">
        <v>3.2508128867429383E-3</v>
      </c>
      <c r="V1134" s="256">
        <v>-0.12057076398459843</v>
      </c>
      <c r="W1134" s="256">
        <v>-1.1819966437679088</v>
      </c>
      <c r="X1134" s="256" t="s">
        <v>1417</v>
      </c>
      <c r="Y1134" s="256" t="s">
        <v>1417</v>
      </c>
      <c r="Z1134" s="256" t="s">
        <v>1417</v>
      </c>
      <c r="AA1134" s="256" t="s">
        <v>1417</v>
      </c>
      <c r="AB1134" s="256">
        <v>0.18025062888666105</v>
      </c>
      <c r="AC1134" s="260">
        <v>-1.1617287028485699</v>
      </c>
      <c r="AD1134" s="405">
        <v>41673022000108</v>
      </c>
      <c r="AE1134" s="257" t="s">
        <v>2382</v>
      </c>
      <c r="AF1134" s="257" t="s">
        <v>2109</v>
      </c>
      <c r="AG1134" s="261" t="s">
        <v>1432</v>
      </c>
      <c r="AH1134" s="261" t="s">
        <v>2113</v>
      </c>
      <c r="AI1134" s="261">
        <v>5000</v>
      </c>
      <c r="AJ1134" s="261">
        <v>1000</v>
      </c>
      <c r="AK1134" s="261">
        <v>5000</v>
      </c>
      <c r="AL1134" s="256">
        <v>1.8700000000000001E-2</v>
      </c>
      <c r="AM1134" s="256">
        <v>0.2</v>
      </c>
      <c r="AN1134" s="256" t="s">
        <v>34</v>
      </c>
      <c r="AO1134" s="254" t="s">
        <v>1324</v>
      </c>
      <c r="AP1134" s="257" t="s">
        <v>13</v>
      </c>
      <c r="AQ1134" s="263" t="s">
        <v>668</v>
      </c>
      <c r="AR1134" s="256">
        <v>4.3633333333333328E-3</v>
      </c>
      <c r="AS1134" s="256">
        <v>4.3633333333333328E-3</v>
      </c>
      <c r="AT1134" s="256"/>
      <c r="AX1134" s="508"/>
      <c r="AY1134" s="509"/>
      <c r="AZ1134" s="509"/>
      <c r="BA1134" s="509"/>
      <c r="BB1134" s="510"/>
      <c r="BC1134" s="509"/>
      <c r="BD1134" s="509"/>
      <c r="BE1134" s="509"/>
      <c r="BF1134" s="509"/>
      <c r="BG1134" s="510"/>
      <c r="BH1134" s="510"/>
      <c r="BI1134" s="511"/>
      <c r="BJ1134" s="511"/>
      <c r="BK1134" s="511"/>
      <c r="BL1134" s="510"/>
      <c r="BM1134" s="510"/>
      <c r="BN1134" s="510"/>
      <c r="BO1134" s="510"/>
      <c r="BP1134" s="510"/>
      <c r="BQ1134" s="510"/>
      <c r="BR1134" s="510"/>
      <c r="BS1134" s="510"/>
      <c r="BT1134" s="513"/>
      <c r="BU1134" s="514"/>
      <c r="BV1134" s="512"/>
      <c r="BW1134" s="515"/>
    </row>
    <row r="1135" spans="2:75" ht="15.75" customHeight="1">
      <c r="B1135" s="250" t="s">
        <v>571</v>
      </c>
      <c r="C1135" s="251">
        <v>43214564000130</v>
      </c>
      <c r="D1135" s="252" t="s">
        <v>14</v>
      </c>
      <c r="E1135" s="252" t="s">
        <v>614</v>
      </c>
      <c r="F1135" s="252"/>
      <c r="G1135" s="253"/>
      <c r="H1135" s="253" t="s">
        <v>1338</v>
      </c>
      <c r="I1135" s="253" t="s">
        <v>34</v>
      </c>
      <c r="J1135" s="253" t="s">
        <v>608</v>
      </c>
      <c r="K1135" s="254" t="s">
        <v>48</v>
      </c>
      <c r="L1135" s="255"/>
      <c r="M1135" s="255" t="s">
        <v>34</v>
      </c>
      <c r="N1135" s="254">
        <v>613509</v>
      </c>
      <c r="O1135" s="254" t="s">
        <v>1321</v>
      </c>
      <c r="P1135" s="258">
        <v>44455</v>
      </c>
      <c r="Q1135" s="259">
        <v>264376750.08000001</v>
      </c>
      <c r="R1135" s="259" t="s">
        <v>1417</v>
      </c>
      <c r="S1135" s="254">
        <v>32</v>
      </c>
      <c r="T1135" s="256">
        <v>3.0498970479464482E-4</v>
      </c>
      <c r="U1135" s="256">
        <v>3.9426614421881872E-3</v>
      </c>
      <c r="V1135" s="256" t="s">
        <v>1417</v>
      </c>
      <c r="W1135" s="256" t="s">
        <v>1417</v>
      </c>
      <c r="X1135" s="256" t="s">
        <v>1417</v>
      </c>
      <c r="Y1135" s="256" t="s">
        <v>1417</v>
      </c>
      <c r="Z1135" s="256" t="s">
        <v>1417</v>
      </c>
      <c r="AA1135" s="256" t="s">
        <v>1417</v>
      </c>
      <c r="AB1135" s="256" t="s">
        <v>1417</v>
      </c>
      <c r="AC1135" s="260" t="s">
        <v>1417</v>
      </c>
      <c r="AD1135" s="405">
        <v>41514301000110</v>
      </c>
      <c r="AE1135" s="257" t="s">
        <v>2123</v>
      </c>
      <c r="AF1135" s="257" t="s">
        <v>2109</v>
      </c>
      <c r="AG1135" s="261" t="s">
        <v>1432</v>
      </c>
      <c r="AH1135" s="261" t="s">
        <v>2113</v>
      </c>
      <c r="AI1135" s="261">
        <v>5000</v>
      </c>
      <c r="AJ1135" s="261">
        <v>1000</v>
      </c>
      <c r="AK1135" s="261">
        <v>5000</v>
      </c>
      <c r="AL1135" s="256">
        <v>0</v>
      </c>
      <c r="AM1135" s="256" t="s">
        <v>34</v>
      </c>
      <c r="AN1135" s="256" t="s">
        <v>2127</v>
      </c>
      <c r="AO1135" s="254" t="s">
        <v>1324</v>
      </c>
      <c r="AP1135" s="257" t="s">
        <v>13</v>
      </c>
      <c r="AQ1135" s="263" t="s">
        <v>668</v>
      </c>
      <c r="AR1135" s="256">
        <v>4.3627100000000005E-3</v>
      </c>
      <c r="AS1135" s="256">
        <v>4.3627100000000005E-3</v>
      </c>
      <c r="AT1135" s="256"/>
      <c r="AX1135" s="508"/>
      <c r="AY1135" s="509"/>
      <c r="AZ1135" s="509"/>
      <c r="BA1135" s="509"/>
      <c r="BB1135" s="510"/>
      <c r="BC1135" s="509"/>
      <c r="BD1135" s="509"/>
      <c r="BE1135" s="509"/>
      <c r="BF1135" s="509"/>
      <c r="BG1135" s="510"/>
      <c r="BH1135" s="510"/>
      <c r="BI1135" s="511"/>
      <c r="BJ1135" s="511"/>
      <c r="BK1135" s="511"/>
      <c r="BL1135" s="510"/>
      <c r="BM1135" s="510"/>
      <c r="BN1135" s="510"/>
      <c r="BO1135" s="510"/>
      <c r="BP1135" s="510"/>
      <c r="BQ1135" s="510"/>
      <c r="BR1135" s="510"/>
      <c r="BS1135" s="510"/>
      <c r="BT1135" s="513"/>
      <c r="BU1135" s="514"/>
      <c r="BV1135" s="512"/>
      <c r="BW1135" s="515"/>
    </row>
    <row r="1136" spans="2:75" ht="15.75" customHeight="1">
      <c r="B1136" s="250" t="s">
        <v>361</v>
      </c>
      <c r="C1136" s="251">
        <v>41574597000165</v>
      </c>
      <c r="D1136" s="252" t="s">
        <v>14</v>
      </c>
      <c r="E1136" s="252" t="s">
        <v>614</v>
      </c>
      <c r="F1136" s="252"/>
      <c r="G1136" s="253"/>
      <c r="H1136" s="253" t="s">
        <v>1338</v>
      </c>
      <c r="I1136" s="253" t="s">
        <v>34</v>
      </c>
      <c r="J1136" s="253" t="s">
        <v>608</v>
      </c>
      <c r="K1136" s="254" t="s">
        <v>48</v>
      </c>
      <c r="L1136" s="255"/>
      <c r="M1136" s="255" t="s">
        <v>34</v>
      </c>
      <c r="N1136" s="254">
        <v>589403</v>
      </c>
      <c r="O1136" s="254" t="s">
        <v>1321</v>
      </c>
      <c r="P1136" s="258">
        <v>44327</v>
      </c>
      <c r="Q1136" s="259">
        <v>410135882.73000002</v>
      </c>
      <c r="R1136" s="259">
        <v>344790576.55932546</v>
      </c>
      <c r="S1136" s="254">
        <v>32</v>
      </c>
      <c r="T1136" s="256">
        <v>2.9426662603393439E-4</v>
      </c>
      <c r="U1136" s="256">
        <v>3.8040421101033011E-3</v>
      </c>
      <c r="V1136" s="256">
        <v>-0.17055438346059215</v>
      </c>
      <c r="W1136" s="256">
        <v>-1.6720032466251631</v>
      </c>
      <c r="X1136" s="256" t="s">
        <v>1417</v>
      </c>
      <c r="Y1136" s="256" t="s">
        <v>1417</v>
      </c>
      <c r="Z1136" s="256" t="s">
        <v>1417</v>
      </c>
      <c r="AA1136" s="256" t="s">
        <v>1417</v>
      </c>
      <c r="AB1136" s="256">
        <v>0.23541372486709411</v>
      </c>
      <c r="AC1136" s="260">
        <v>-1.0892780703143234</v>
      </c>
      <c r="AD1136" s="405">
        <v>41673204000170</v>
      </c>
      <c r="AE1136" s="257" t="s">
        <v>2382</v>
      </c>
      <c r="AF1136" s="257" t="s">
        <v>2109</v>
      </c>
      <c r="AG1136" s="261" t="s">
        <v>1432</v>
      </c>
      <c r="AH1136" s="261" t="s">
        <v>2113</v>
      </c>
      <c r="AI1136" s="261">
        <v>5000</v>
      </c>
      <c r="AJ1136" s="261">
        <v>1000</v>
      </c>
      <c r="AK1136" s="261">
        <v>5000</v>
      </c>
      <c r="AL1136" s="256">
        <v>1.8700000000000001E-2</v>
      </c>
      <c r="AM1136" s="256">
        <v>0.2</v>
      </c>
      <c r="AN1136" s="256" t="s">
        <v>34</v>
      </c>
      <c r="AO1136" s="254" t="s">
        <v>1324</v>
      </c>
      <c r="AP1136" s="257" t="s">
        <v>716</v>
      </c>
      <c r="AQ1136" s="263" t="s">
        <v>659</v>
      </c>
      <c r="AR1136" s="256">
        <v>4.3633333333333328E-3</v>
      </c>
      <c r="AS1136" s="256">
        <v>4.3633333333333328E-3</v>
      </c>
      <c r="AT1136" s="256"/>
      <c r="AX1136" s="508"/>
      <c r="AY1136" s="509"/>
      <c r="AZ1136" s="509"/>
      <c r="BA1136" s="509"/>
      <c r="BB1136" s="510"/>
      <c r="BC1136" s="509"/>
      <c r="BD1136" s="509"/>
      <c r="BE1136" s="509"/>
      <c r="BF1136" s="509"/>
      <c r="BG1136" s="510"/>
      <c r="BH1136" s="510"/>
      <c r="BI1136" s="511"/>
      <c r="BJ1136" s="511"/>
      <c r="BK1136" s="511"/>
      <c r="BL1136" s="510"/>
      <c r="BM1136" s="510"/>
      <c r="BN1136" s="510"/>
      <c r="BO1136" s="510"/>
      <c r="BP1136" s="510"/>
      <c r="BQ1136" s="510"/>
      <c r="BR1136" s="510"/>
      <c r="BS1136" s="510"/>
      <c r="BT1136" s="513"/>
      <c r="BU1136" s="514"/>
      <c r="BV1136" s="512"/>
      <c r="BW1136" s="515"/>
    </row>
    <row r="1137" spans="2:75" ht="15.75" customHeight="1">
      <c r="B1137" s="250" t="s">
        <v>591</v>
      </c>
      <c r="C1137" s="251">
        <v>43214636000149</v>
      </c>
      <c r="D1137" s="252" t="s">
        <v>14</v>
      </c>
      <c r="E1137" s="252" t="s">
        <v>607</v>
      </c>
      <c r="F1137" s="252"/>
      <c r="G1137" s="253"/>
      <c r="H1137" s="253" t="s">
        <v>34</v>
      </c>
      <c r="I1137" s="253" t="s">
        <v>34</v>
      </c>
      <c r="J1137" s="253" t="s">
        <v>608</v>
      </c>
      <c r="K1137" s="254" t="s">
        <v>48</v>
      </c>
      <c r="L1137" s="255"/>
      <c r="M1137" s="255" t="s">
        <v>34</v>
      </c>
      <c r="N1137" s="254">
        <v>613517</v>
      </c>
      <c r="O1137" s="254" t="s">
        <v>1321</v>
      </c>
      <c r="P1137" s="258">
        <v>44455</v>
      </c>
      <c r="Q1137" s="259">
        <v>95667818.969999999</v>
      </c>
      <c r="R1137" s="259" t="s">
        <v>1417</v>
      </c>
      <c r="S1137" s="254">
        <v>32</v>
      </c>
      <c r="T1137" s="256">
        <v>5.4954209115676278E-4</v>
      </c>
      <c r="U1137" s="256">
        <v>7.1040378727606083E-3</v>
      </c>
      <c r="V1137" s="256" t="s">
        <v>1417</v>
      </c>
      <c r="W1137" s="256" t="s">
        <v>1417</v>
      </c>
      <c r="X1137" s="256" t="s">
        <v>1417</v>
      </c>
      <c r="Y1137" s="256" t="s">
        <v>1417</v>
      </c>
      <c r="Z1137" s="256" t="s">
        <v>1417</v>
      </c>
      <c r="AA1137" s="256" t="s">
        <v>1417</v>
      </c>
      <c r="AB1137" s="256" t="s">
        <v>1417</v>
      </c>
      <c r="AC1137" s="260" t="s">
        <v>1417</v>
      </c>
      <c r="AD1137" s="405">
        <v>41574597000165</v>
      </c>
      <c r="AE1137" s="257" t="s">
        <v>2123</v>
      </c>
      <c r="AF1137" s="257" t="s">
        <v>2109</v>
      </c>
      <c r="AG1137" s="261" t="s">
        <v>1432</v>
      </c>
      <c r="AH1137" s="261" t="s">
        <v>2113</v>
      </c>
      <c r="AI1137" s="261">
        <v>5000</v>
      </c>
      <c r="AJ1137" s="261">
        <v>1000</v>
      </c>
      <c r="AK1137" s="261">
        <v>5000</v>
      </c>
      <c r="AL1137" s="256">
        <v>0</v>
      </c>
      <c r="AM1137" s="256" t="s">
        <v>34</v>
      </c>
      <c r="AN1137" s="256" t="s">
        <v>2127</v>
      </c>
      <c r="AO1137" s="254" t="s">
        <v>1324</v>
      </c>
      <c r="AP1137" s="257" t="s">
        <v>716</v>
      </c>
      <c r="AQ1137" s="263" t="s">
        <v>659</v>
      </c>
      <c r="AR1137" s="256">
        <v>4.3633333333333328E-3</v>
      </c>
      <c r="AS1137" s="256">
        <v>4.3633333333333328E-3</v>
      </c>
      <c r="AT1137" s="256"/>
      <c r="AX1137" s="508"/>
      <c r="AY1137" s="509"/>
      <c r="AZ1137" s="509"/>
      <c r="BA1137" s="509"/>
      <c r="BB1137" s="510"/>
      <c r="BC1137" s="509"/>
      <c r="BD1137" s="509"/>
      <c r="BE1137" s="509"/>
      <c r="BF1137" s="509"/>
      <c r="BG1137" s="510"/>
      <c r="BH1137" s="510"/>
      <c r="BI1137" s="511"/>
      <c r="BJ1137" s="511"/>
      <c r="BK1137" s="511"/>
      <c r="BL1137" s="510"/>
      <c r="BM1137" s="510"/>
      <c r="BN1137" s="510"/>
      <c r="BO1137" s="510"/>
      <c r="BP1137" s="510"/>
      <c r="BQ1137" s="510"/>
      <c r="BR1137" s="510"/>
      <c r="BS1137" s="510"/>
      <c r="BT1137" s="513"/>
      <c r="BU1137" s="514"/>
      <c r="BV1137" s="512"/>
      <c r="BW1137" s="515"/>
    </row>
    <row r="1138" spans="2:75" ht="15.75" customHeight="1">
      <c r="B1138" s="250" t="s">
        <v>45</v>
      </c>
      <c r="C1138" s="251">
        <v>12565159000132</v>
      </c>
      <c r="D1138" s="252" t="s">
        <v>14</v>
      </c>
      <c r="E1138" s="252" t="s">
        <v>607</v>
      </c>
      <c r="F1138" s="252"/>
      <c r="G1138" s="253"/>
      <c r="H1138" s="253" t="s">
        <v>34</v>
      </c>
      <c r="I1138" s="253" t="s">
        <v>34</v>
      </c>
      <c r="J1138" s="253" t="s">
        <v>608</v>
      </c>
      <c r="K1138" s="254" t="s">
        <v>48</v>
      </c>
      <c r="L1138" s="255"/>
      <c r="M1138" s="255" t="s">
        <v>34</v>
      </c>
      <c r="N1138" s="254">
        <v>263117</v>
      </c>
      <c r="O1138" s="254" t="s">
        <v>1321</v>
      </c>
      <c r="P1138" s="258">
        <v>40515</v>
      </c>
      <c r="Q1138" s="259">
        <v>669097183.50999999</v>
      </c>
      <c r="R1138" s="259">
        <v>740888263.96039701</v>
      </c>
      <c r="S1138" s="254">
        <v>32</v>
      </c>
      <c r="T1138" s="256">
        <v>2.799221039790023E-3</v>
      </c>
      <c r="U1138" s="256">
        <v>3.6186076737157562E-2</v>
      </c>
      <c r="V1138" s="256">
        <v>-0.17263405540909926</v>
      </c>
      <c r="W1138" s="256">
        <v>-1.692390985593025</v>
      </c>
      <c r="X1138" s="256">
        <v>-0.10923116369475594</v>
      </c>
      <c r="Y1138" s="256">
        <v>-0.82831975729059726</v>
      </c>
      <c r="Z1138" s="256">
        <v>6.5586202309206199E-2</v>
      </c>
      <c r="AA1138" s="256">
        <v>0.37281323620249374</v>
      </c>
      <c r="AB1138" s="256">
        <v>0.21608378728683425</v>
      </c>
      <c r="AC1138" s="260">
        <v>-1.2185096296615268</v>
      </c>
      <c r="AD1138" s="405">
        <v>13549298000135</v>
      </c>
      <c r="AE1138" s="257" t="s">
        <v>2391</v>
      </c>
      <c r="AF1138" s="257" t="s">
        <v>2109</v>
      </c>
      <c r="AG1138" s="261" t="s">
        <v>1432</v>
      </c>
      <c r="AH1138" s="261" t="s">
        <v>2110</v>
      </c>
      <c r="AI1138" s="261">
        <v>20000</v>
      </c>
      <c r="AJ1138" s="261">
        <v>5000</v>
      </c>
      <c r="AK1138" s="261">
        <v>5000</v>
      </c>
      <c r="AL1138" s="256">
        <v>1.95E-2</v>
      </c>
      <c r="AM1138" s="256">
        <v>0.2</v>
      </c>
      <c r="AN1138" s="256" t="s">
        <v>2141</v>
      </c>
      <c r="AO1138" s="254" t="s">
        <v>1324</v>
      </c>
      <c r="AP1138" s="257" t="s">
        <v>716</v>
      </c>
      <c r="AQ1138" s="263" t="s">
        <v>659</v>
      </c>
      <c r="AR1138" s="256">
        <v>3.8999999999999998E-3</v>
      </c>
      <c r="AS1138" s="256">
        <v>3.8999999999999998E-3</v>
      </c>
      <c r="AT1138" s="256"/>
      <c r="AX1138" s="508"/>
      <c r="AY1138" s="509"/>
      <c r="AZ1138" s="509"/>
      <c r="BA1138" s="509"/>
      <c r="BB1138" s="510"/>
      <c r="BC1138" s="509"/>
      <c r="BD1138" s="509"/>
      <c r="BE1138" s="509"/>
      <c r="BF1138" s="509"/>
      <c r="BG1138" s="510"/>
      <c r="BH1138" s="510"/>
      <c r="BI1138" s="511"/>
      <c r="BJ1138" s="511"/>
      <c r="BK1138" s="511"/>
      <c r="BL1138" s="510"/>
      <c r="BM1138" s="510"/>
      <c r="BN1138" s="510"/>
      <c r="BO1138" s="510"/>
      <c r="BP1138" s="510"/>
      <c r="BQ1138" s="510"/>
      <c r="BR1138" s="510"/>
      <c r="BS1138" s="510"/>
      <c r="BT1138" s="513"/>
      <c r="BU1138" s="514"/>
      <c r="BV1138" s="512"/>
      <c r="BW1138" s="515"/>
    </row>
    <row r="1139" spans="2:75" ht="15.75" customHeight="1">
      <c r="B1139" s="250" t="s">
        <v>370</v>
      </c>
      <c r="C1139" s="251">
        <v>17898650000107</v>
      </c>
      <c r="D1139" s="252" t="s">
        <v>14</v>
      </c>
      <c r="E1139" s="252" t="s">
        <v>607</v>
      </c>
      <c r="F1139" s="252"/>
      <c r="G1139" s="253"/>
      <c r="H1139" s="253" t="s">
        <v>34</v>
      </c>
      <c r="I1139" s="253" t="s">
        <v>34</v>
      </c>
      <c r="J1139" s="253" t="s">
        <v>608</v>
      </c>
      <c r="K1139" s="254" t="s">
        <v>48</v>
      </c>
      <c r="L1139" s="255"/>
      <c r="M1139" s="255" t="s">
        <v>34</v>
      </c>
      <c r="N1139" s="254">
        <v>342191</v>
      </c>
      <c r="O1139" s="254" t="s">
        <v>1321</v>
      </c>
      <c r="P1139" s="258">
        <v>41479</v>
      </c>
      <c r="Q1139" s="259">
        <v>477228965.67000002</v>
      </c>
      <c r="R1139" s="259">
        <v>506282354.97805536</v>
      </c>
      <c r="S1139" s="254">
        <v>32</v>
      </c>
      <c r="T1139" s="256">
        <v>6.2834255327707034E-2</v>
      </c>
      <c r="U1139" s="256">
        <v>0.81227068269718206</v>
      </c>
      <c r="V1139" s="256">
        <v>-0.10751079347618997</v>
      </c>
      <c r="W1139" s="256">
        <v>-1.0539652637011909</v>
      </c>
      <c r="X1139" s="256">
        <v>-4.9577862456670951E-2</v>
      </c>
      <c r="Y1139" s="256">
        <v>-0.37595793735069255</v>
      </c>
      <c r="Z1139" s="256">
        <v>6.2826870435625626E-2</v>
      </c>
      <c r="AA1139" s="256">
        <v>0.35712829929005618</v>
      </c>
      <c r="AB1139" s="256">
        <v>0.20744669448207567</v>
      </c>
      <c r="AC1139" s="260">
        <v>-0.91295321072259572</v>
      </c>
      <c r="AD1139" s="405">
        <v>0</v>
      </c>
      <c r="AE1139" s="257" t="s">
        <v>2391</v>
      </c>
      <c r="AF1139" s="257" t="s">
        <v>2118</v>
      </c>
      <c r="AG1139" s="261" t="s">
        <v>1433</v>
      </c>
      <c r="AH1139" s="261" t="s">
        <v>2113</v>
      </c>
      <c r="AI1139" s="261">
        <v>20000</v>
      </c>
      <c r="AJ1139" s="261">
        <v>5000</v>
      </c>
      <c r="AK1139" s="261">
        <v>5000</v>
      </c>
      <c r="AL1139" s="256">
        <v>0.03</v>
      </c>
      <c r="AM1139" s="256" t="s">
        <v>34</v>
      </c>
      <c r="AN1139" s="256" t="s">
        <v>2182</v>
      </c>
      <c r="AO1139" s="254" t="s">
        <v>1324</v>
      </c>
      <c r="AP1139" s="257" t="s">
        <v>716</v>
      </c>
      <c r="AQ1139" s="263" t="s">
        <v>659</v>
      </c>
      <c r="AR1139" s="256">
        <v>5.9999999999999993E-3</v>
      </c>
      <c r="AS1139" s="256">
        <v>5.9999999999999993E-3</v>
      </c>
      <c r="AT1139" s="256"/>
      <c r="AX1139" s="508"/>
      <c r="AY1139" s="509"/>
      <c r="AZ1139" s="509"/>
      <c r="BA1139" s="509"/>
      <c r="BB1139" s="510"/>
      <c r="BC1139" s="509"/>
      <c r="BD1139" s="509"/>
      <c r="BE1139" s="509"/>
      <c r="BF1139" s="509"/>
      <c r="BG1139" s="510"/>
      <c r="BH1139" s="510"/>
      <c r="BI1139" s="511"/>
      <c r="BJ1139" s="511"/>
      <c r="BK1139" s="511"/>
      <c r="BL1139" s="510"/>
      <c r="BM1139" s="510"/>
      <c r="BN1139" s="510"/>
      <c r="BO1139" s="510"/>
      <c r="BP1139" s="510"/>
      <c r="BQ1139" s="510"/>
      <c r="BR1139" s="510"/>
      <c r="BS1139" s="510"/>
      <c r="BT1139" s="513"/>
      <c r="BU1139" s="514"/>
      <c r="BV1139" s="512"/>
      <c r="BW1139" s="515"/>
    </row>
    <row r="1140" spans="2:75" ht="15.75" customHeight="1">
      <c r="B1140" s="250" t="s">
        <v>592</v>
      </c>
      <c r="C1140" s="251">
        <v>38029012000111</v>
      </c>
      <c r="D1140" s="252" t="s">
        <v>14</v>
      </c>
      <c r="E1140" s="252" t="s">
        <v>607</v>
      </c>
      <c r="F1140" s="252"/>
      <c r="G1140" s="253"/>
      <c r="H1140" s="253" t="s">
        <v>34</v>
      </c>
      <c r="I1140" s="253" t="s">
        <v>34</v>
      </c>
      <c r="J1140" s="253" t="s">
        <v>608</v>
      </c>
      <c r="K1140" s="254" t="s">
        <v>48</v>
      </c>
      <c r="L1140" s="255"/>
      <c r="M1140" s="255" t="s">
        <v>1414</v>
      </c>
      <c r="N1140" s="254">
        <v>550353</v>
      </c>
      <c r="O1140" s="254" t="s">
        <v>1321</v>
      </c>
      <c r="P1140" s="258">
        <v>44069</v>
      </c>
      <c r="Q1140" s="259">
        <v>43831471.409999996</v>
      </c>
      <c r="R1140" s="259">
        <v>53325422.790793628</v>
      </c>
      <c r="S1140" s="254">
        <v>32</v>
      </c>
      <c r="T1140" s="256">
        <v>-3.3737615501457818E-2</v>
      </c>
      <c r="U1140" s="256">
        <v>-0.43613274054129247</v>
      </c>
      <c r="V1140" s="256">
        <v>-8.266069059106107E-2</v>
      </c>
      <c r="W1140" s="256">
        <v>-0.81035116326087497</v>
      </c>
      <c r="X1140" s="256">
        <v>0.16899135652406461</v>
      </c>
      <c r="Y1140" s="256">
        <v>1.2814921555847363</v>
      </c>
      <c r="Z1140" s="256" t="s">
        <v>1417</v>
      </c>
      <c r="AA1140" s="256" t="s">
        <v>1417</v>
      </c>
      <c r="AB1140" s="256">
        <v>0.25398614431168282</v>
      </c>
      <c r="AC1140" s="260">
        <v>-0.59571842566259647</v>
      </c>
      <c r="AD1140" s="405">
        <v>38028983000147</v>
      </c>
      <c r="AE1140" s="257" t="s">
        <v>2395</v>
      </c>
      <c r="AF1140" s="257" t="s">
        <v>2115</v>
      </c>
      <c r="AG1140" s="261" t="s">
        <v>719</v>
      </c>
      <c r="AH1140" s="261" t="s">
        <v>2113</v>
      </c>
      <c r="AI1140" s="261">
        <v>10000</v>
      </c>
      <c r="AJ1140" s="261">
        <v>5000</v>
      </c>
      <c r="AK1140" s="261">
        <v>10000</v>
      </c>
      <c r="AL1140" s="256">
        <v>1.8500000000000003E-2</v>
      </c>
      <c r="AM1140" s="256">
        <v>0.2</v>
      </c>
      <c r="AN1140" s="256" t="s">
        <v>666</v>
      </c>
      <c r="AO1140" s="254" t="s">
        <v>1324</v>
      </c>
      <c r="AP1140" s="257" t="s">
        <v>716</v>
      </c>
      <c r="AQ1140" s="263" t="s">
        <v>659</v>
      </c>
      <c r="AR1140" s="256">
        <v>3.7000000000000002E-3</v>
      </c>
      <c r="AS1140" s="256">
        <v>3.7000000000000002E-3</v>
      </c>
      <c r="AT1140" s="256"/>
      <c r="AX1140" s="508"/>
      <c r="AY1140" s="509"/>
      <c r="AZ1140" s="509"/>
      <c r="BA1140" s="509"/>
      <c r="BB1140" s="510"/>
      <c r="BC1140" s="509"/>
      <c r="BD1140" s="509"/>
      <c r="BE1140" s="509"/>
      <c r="BF1140" s="509"/>
      <c r="BG1140" s="510"/>
      <c r="BH1140" s="510"/>
      <c r="BI1140" s="511"/>
      <c r="BJ1140" s="511"/>
      <c r="BK1140" s="511"/>
      <c r="BL1140" s="510"/>
      <c r="BM1140" s="510"/>
      <c r="BN1140" s="510"/>
      <c r="BO1140" s="510"/>
      <c r="BP1140" s="510"/>
      <c r="BQ1140" s="510"/>
      <c r="BR1140" s="510"/>
      <c r="BS1140" s="510"/>
      <c r="BT1140" s="513"/>
      <c r="BU1140" s="514"/>
      <c r="BV1140" s="512"/>
      <c r="BW1140" s="515"/>
    </row>
    <row r="1141" spans="2:75" ht="15.75" customHeight="1">
      <c r="B1141" s="250" t="s">
        <v>1693</v>
      </c>
      <c r="C1141" s="251">
        <v>40386490000120</v>
      </c>
      <c r="D1141" s="252" t="s">
        <v>14</v>
      </c>
      <c r="E1141" s="252" t="s">
        <v>614</v>
      </c>
      <c r="F1141" s="252"/>
      <c r="G1141" s="253"/>
      <c r="H1141" s="253" t="s">
        <v>865</v>
      </c>
      <c r="I1141" s="253" t="s">
        <v>34</v>
      </c>
      <c r="J1141" s="253" t="s">
        <v>608</v>
      </c>
      <c r="K1141" s="254" t="s">
        <v>48</v>
      </c>
      <c r="L1141" s="255"/>
      <c r="M1141" s="255"/>
      <c r="N1141" s="254">
        <v>595446</v>
      </c>
      <c r="O1141" s="254" t="s">
        <v>1321</v>
      </c>
      <c r="P1141" s="258">
        <v>44299</v>
      </c>
      <c r="Q1141" s="259">
        <v>12060106.85</v>
      </c>
      <c r="R1141" s="259">
        <v>8251187.38448413</v>
      </c>
      <c r="S1141" s="254">
        <v>32</v>
      </c>
      <c r="T1141" s="256">
        <v>0.15244681449363595</v>
      </c>
      <c r="U1141" s="256">
        <v>1.7147085861406657</v>
      </c>
      <c r="V1141" s="256">
        <v>0.11809328226968518</v>
      </c>
      <c r="W1141" s="256">
        <v>1.0838257101019337</v>
      </c>
      <c r="X1141" s="256" t="s">
        <v>1417</v>
      </c>
      <c r="Y1141" s="256" t="s">
        <v>1417</v>
      </c>
      <c r="Z1141" s="256" t="s">
        <v>1417</v>
      </c>
      <c r="AA1141" s="256" t="s">
        <v>1417</v>
      </c>
      <c r="AB1141" s="256">
        <v>0.15088625650273993</v>
      </c>
      <c r="AC1141" s="260">
        <v>0.12955703990290529</v>
      </c>
      <c r="AD1141" s="405">
        <v>40386431000152</v>
      </c>
      <c r="AE1141" s="257" t="s">
        <v>2399</v>
      </c>
      <c r="AF1141" s="257" t="s">
        <v>2112</v>
      </c>
      <c r="AG1141" s="261" t="s">
        <v>59</v>
      </c>
      <c r="AH1141" s="261" t="s">
        <v>2119</v>
      </c>
      <c r="AI1141" s="261" t="s">
        <v>1427</v>
      </c>
      <c r="AJ1141" s="261" t="s">
        <v>1427</v>
      </c>
      <c r="AK1141" s="261" t="s">
        <v>1427</v>
      </c>
      <c r="AL1141" s="256">
        <v>6.9999999999999993E-3</v>
      </c>
      <c r="AM1141" s="256" t="s">
        <v>34</v>
      </c>
      <c r="AN1141" s="256" t="s">
        <v>64</v>
      </c>
      <c r="AO1141" s="254" t="s">
        <v>1321</v>
      </c>
      <c r="AP1141" s="257" t="s">
        <v>13</v>
      </c>
      <c r="AQ1141" s="263" t="s">
        <v>2177</v>
      </c>
      <c r="AR1141" s="256" t="s">
        <v>34</v>
      </c>
      <c r="AS1141" s="256" t="s">
        <v>34</v>
      </c>
      <c r="AT1141" s="256"/>
      <c r="AX1141" s="508"/>
      <c r="AY1141" s="509"/>
      <c r="AZ1141" s="509"/>
      <c r="BA1141" s="509"/>
      <c r="BB1141" s="510"/>
      <c r="BC1141" s="509"/>
      <c r="BD1141" s="509"/>
      <c r="BE1141" s="509"/>
      <c r="BF1141" s="509"/>
      <c r="BG1141" s="510"/>
      <c r="BH1141" s="510"/>
      <c r="BI1141" s="511"/>
      <c r="BJ1141" s="511"/>
      <c r="BK1141" s="511"/>
      <c r="BL1141" s="510"/>
      <c r="BM1141" s="510"/>
      <c r="BN1141" s="510"/>
      <c r="BO1141" s="510"/>
      <c r="BP1141" s="510"/>
      <c r="BQ1141" s="510"/>
      <c r="BR1141" s="510"/>
      <c r="BS1141" s="510"/>
      <c r="BT1141" s="513"/>
      <c r="BU1141" s="514"/>
      <c r="BV1141" s="512"/>
      <c r="BW1141" s="515"/>
    </row>
    <row r="1142" spans="2:75" ht="15.75" customHeight="1">
      <c r="B1142" s="250" t="s">
        <v>385</v>
      </c>
      <c r="C1142" s="251">
        <v>12282747000169</v>
      </c>
      <c r="D1142" s="252" t="s">
        <v>14</v>
      </c>
      <c r="E1142" s="252" t="s">
        <v>614</v>
      </c>
      <c r="F1142" s="252"/>
      <c r="G1142" s="253"/>
      <c r="H1142" s="253" t="s">
        <v>1338</v>
      </c>
      <c r="I1142" s="253" t="s">
        <v>34</v>
      </c>
      <c r="J1142" s="253" t="s">
        <v>608</v>
      </c>
      <c r="K1142" s="254" t="s">
        <v>48</v>
      </c>
      <c r="L1142" s="255"/>
      <c r="M1142" s="255" t="s">
        <v>34</v>
      </c>
      <c r="N1142" s="254">
        <v>257982</v>
      </c>
      <c r="O1142" s="254" t="s">
        <v>1321</v>
      </c>
      <c r="P1142" s="258">
        <v>40451</v>
      </c>
      <c r="Q1142" s="259">
        <v>199393317.44</v>
      </c>
      <c r="R1142" s="259">
        <v>288672956.44900799</v>
      </c>
      <c r="S1142" s="254">
        <v>32</v>
      </c>
      <c r="T1142" s="256">
        <v>-0.12544482837121351</v>
      </c>
      <c r="U1142" s="256">
        <v>-1.6216497808478894</v>
      </c>
      <c r="V1142" s="256">
        <v>-0.25262368429544835</v>
      </c>
      <c r="W1142" s="256">
        <v>-2.4765568128244304</v>
      </c>
      <c r="X1142" s="256">
        <v>-0.17084158808250327</v>
      </c>
      <c r="Y1142" s="256">
        <v>-1.2955227976064589</v>
      </c>
      <c r="Z1142" s="256">
        <v>3.400354325554833E-2</v>
      </c>
      <c r="AA1142" s="256">
        <v>0.19328716341414101</v>
      </c>
      <c r="AB1142" s="256">
        <v>0.19050216514639567</v>
      </c>
      <c r="AC1142" s="260">
        <v>-1.9425103408959481</v>
      </c>
      <c r="AD1142" s="405">
        <v>12297830000101</v>
      </c>
      <c r="AE1142" s="257" t="s">
        <v>2402</v>
      </c>
      <c r="AF1142" s="257" t="s">
        <v>2118</v>
      </c>
      <c r="AG1142" s="261" t="s">
        <v>1433</v>
      </c>
      <c r="AH1142" s="261" t="s">
        <v>2110</v>
      </c>
      <c r="AI1142" s="261">
        <v>50000</v>
      </c>
      <c r="AJ1142" s="261">
        <v>10000</v>
      </c>
      <c r="AK1142" s="261">
        <v>50000</v>
      </c>
      <c r="AL1142" s="256">
        <v>0.02</v>
      </c>
      <c r="AM1142" s="256">
        <v>0.2</v>
      </c>
      <c r="AN1142" s="256" t="s">
        <v>2141</v>
      </c>
      <c r="AO1142" s="254" t="s">
        <v>1324</v>
      </c>
      <c r="AP1142" s="257" t="s">
        <v>716</v>
      </c>
      <c r="AQ1142" s="263" t="s">
        <v>665</v>
      </c>
      <c r="AR1142" s="256">
        <v>4.6666666666666662E-3</v>
      </c>
      <c r="AS1142" s="256">
        <v>4.6666666666666662E-3</v>
      </c>
      <c r="AT1142" s="256"/>
      <c r="AX1142" s="508"/>
      <c r="AY1142" s="509"/>
      <c r="AZ1142" s="509"/>
      <c r="BA1142" s="509"/>
      <c r="BB1142" s="510"/>
      <c r="BC1142" s="509"/>
      <c r="BD1142" s="509"/>
      <c r="BE1142" s="509"/>
      <c r="BF1142" s="509"/>
      <c r="BG1142" s="510"/>
      <c r="BH1142" s="510"/>
      <c r="BI1142" s="511"/>
      <c r="BJ1142" s="511"/>
      <c r="BK1142" s="511"/>
      <c r="BL1142" s="510"/>
      <c r="BM1142" s="510"/>
      <c r="BN1142" s="510"/>
      <c r="BO1142" s="510"/>
      <c r="BP1142" s="510"/>
      <c r="BQ1142" s="510"/>
      <c r="BR1142" s="510"/>
      <c r="BS1142" s="510"/>
      <c r="BT1142" s="513"/>
      <c r="BU1142" s="514"/>
      <c r="BV1142" s="512"/>
      <c r="BW1142" s="515"/>
    </row>
    <row r="1143" spans="2:75" ht="15.75" customHeight="1">
      <c r="B1143" s="250" t="s">
        <v>386</v>
      </c>
      <c r="C1143" s="251">
        <v>17164804000129</v>
      </c>
      <c r="D1143" s="252" t="s">
        <v>14</v>
      </c>
      <c r="E1143" s="252" t="s">
        <v>607</v>
      </c>
      <c r="F1143" s="252"/>
      <c r="G1143" s="253"/>
      <c r="H1143" s="253" t="s">
        <v>34</v>
      </c>
      <c r="I1143" s="253" t="s">
        <v>34</v>
      </c>
      <c r="J1143" s="253" t="s">
        <v>608</v>
      </c>
      <c r="K1143" s="254" t="s">
        <v>48</v>
      </c>
      <c r="L1143" s="255"/>
      <c r="M1143" s="255" t="s">
        <v>34</v>
      </c>
      <c r="N1143" s="254">
        <v>321771</v>
      </c>
      <c r="O1143" s="254" t="s">
        <v>1321</v>
      </c>
      <c r="P1143" s="258">
        <v>41269</v>
      </c>
      <c r="Q1143" s="259">
        <v>66325978.770000003</v>
      </c>
      <c r="R1143" s="259">
        <v>77488235.97869046</v>
      </c>
      <c r="S1143" s="254">
        <v>32</v>
      </c>
      <c r="T1143" s="256">
        <v>-9.055750394730111E-2</v>
      </c>
      <c r="U1143" s="256">
        <v>-1.1706545286642662</v>
      </c>
      <c r="V1143" s="256">
        <v>-0.25274402435055998</v>
      </c>
      <c r="W1143" s="256">
        <v>-2.4777365477498141</v>
      </c>
      <c r="X1143" s="256">
        <v>-0.18213114733149249</v>
      </c>
      <c r="Y1143" s="256">
        <v>-1.3811335762590855</v>
      </c>
      <c r="Z1143" s="256">
        <v>-4.096586247348033E-2</v>
      </c>
      <c r="AA1143" s="256">
        <v>-0.23286324295103622</v>
      </c>
      <c r="AB1143" s="256">
        <v>0.22147943866386263</v>
      </c>
      <c r="AC1143" s="260">
        <v>-1.6427583611087395</v>
      </c>
      <c r="AD1143" s="405">
        <v>0</v>
      </c>
      <c r="AE1143" s="257" t="s">
        <v>2402</v>
      </c>
      <c r="AF1143" s="257" t="s">
        <v>2118</v>
      </c>
      <c r="AG1143" s="261" t="s">
        <v>1433</v>
      </c>
      <c r="AH1143" s="261" t="s">
        <v>2113</v>
      </c>
      <c r="AI1143" s="261">
        <v>50000</v>
      </c>
      <c r="AJ1143" s="261">
        <v>10000</v>
      </c>
      <c r="AK1143" s="261">
        <v>50000</v>
      </c>
      <c r="AL1143" s="256">
        <v>0.02</v>
      </c>
      <c r="AM1143" s="256">
        <v>0.2</v>
      </c>
      <c r="AN1143" s="256" t="s">
        <v>666</v>
      </c>
      <c r="AO1143" s="254" t="s">
        <v>1324</v>
      </c>
      <c r="AP1143" s="257" t="s">
        <v>716</v>
      </c>
      <c r="AQ1143" s="263" t="s">
        <v>665</v>
      </c>
      <c r="AR1143" s="256">
        <v>4.7999999999999996E-3</v>
      </c>
      <c r="AS1143" s="256">
        <v>4.7999999999999996E-3</v>
      </c>
      <c r="AT1143" s="256"/>
      <c r="AW1143" s="508"/>
      <c r="AX1143" s="508"/>
      <c r="AY1143" s="509"/>
      <c r="AZ1143" s="509"/>
      <c r="BA1143" s="509"/>
      <c r="BB1143" s="510"/>
      <c r="BC1143" s="509"/>
      <c r="BD1143" s="509"/>
      <c r="BE1143" s="509"/>
      <c r="BF1143" s="509"/>
      <c r="BG1143" s="510"/>
      <c r="BH1143" s="510"/>
      <c r="BI1143" s="511"/>
      <c r="BJ1143" s="511"/>
      <c r="BK1143" s="511"/>
      <c r="BL1143" s="195"/>
      <c r="BM1143" s="510"/>
      <c r="BN1143" s="510"/>
      <c r="BO1143" s="510"/>
      <c r="BP1143" s="510"/>
      <c r="BQ1143" s="510"/>
      <c r="BR1143" s="510"/>
      <c r="BS1143" s="510"/>
      <c r="BT1143" s="513"/>
      <c r="BU1143" s="514"/>
      <c r="BV1143" s="512"/>
      <c r="BW1143" s="515"/>
    </row>
    <row r="1144" spans="2:75" ht="15.75" customHeight="1">
      <c r="B1144" s="250" t="s">
        <v>389</v>
      </c>
      <c r="C1144" s="251">
        <v>17301119000105</v>
      </c>
      <c r="D1144" s="252" t="s">
        <v>14</v>
      </c>
      <c r="E1144" s="252" t="s">
        <v>607</v>
      </c>
      <c r="F1144" s="252"/>
      <c r="G1144" s="253"/>
      <c r="H1144" s="253" t="s">
        <v>34</v>
      </c>
      <c r="I1144" s="253" t="s">
        <v>34</v>
      </c>
      <c r="J1144" s="253" t="s">
        <v>608</v>
      </c>
      <c r="K1144" s="254" t="s">
        <v>48</v>
      </c>
      <c r="L1144" s="255"/>
      <c r="M1144" s="255" t="s">
        <v>34</v>
      </c>
      <c r="N1144" s="254">
        <v>329169</v>
      </c>
      <c r="O1144" s="254" t="s">
        <v>1321</v>
      </c>
      <c r="P1144" s="258">
        <v>41338</v>
      </c>
      <c r="Q1144" s="259">
        <v>94977014.659999996</v>
      </c>
      <c r="R1144" s="259">
        <v>124027967.19257927</v>
      </c>
      <c r="S1144" s="254">
        <v>32</v>
      </c>
      <c r="T1144" s="256">
        <v>5.8027195344738214E-2</v>
      </c>
      <c r="U1144" s="256">
        <v>0.75012888004880052</v>
      </c>
      <c r="V1144" s="256">
        <v>-0.16797959396120987</v>
      </c>
      <c r="W1144" s="256">
        <v>-1.6467617001166956</v>
      </c>
      <c r="X1144" s="256">
        <v>-4.2679976919259399E-2</v>
      </c>
      <c r="Y1144" s="256">
        <v>-0.32365001824682088</v>
      </c>
      <c r="Z1144" s="256">
        <v>4.3988585468968555E-2</v>
      </c>
      <c r="AA1144" s="256">
        <v>0.25004538038870699</v>
      </c>
      <c r="AB1144" s="256">
        <v>0.27673624119384366</v>
      </c>
      <c r="AC1144" s="260">
        <v>-0.87747730605785013</v>
      </c>
      <c r="AD1144" s="405">
        <v>17301225000180</v>
      </c>
      <c r="AE1144" s="257" t="s">
        <v>2403</v>
      </c>
      <c r="AF1144" s="257" t="s">
        <v>2118</v>
      </c>
      <c r="AG1144" s="261" t="s">
        <v>1433</v>
      </c>
      <c r="AH1144" s="261" t="s">
        <v>2110</v>
      </c>
      <c r="AI1144" s="261">
        <v>30000</v>
      </c>
      <c r="AJ1144" s="261">
        <v>5000</v>
      </c>
      <c r="AK1144" s="261">
        <v>30000</v>
      </c>
      <c r="AL1144" s="256">
        <v>1.8500000000000003E-2</v>
      </c>
      <c r="AM1144" s="256">
        <v>0.15</v>
      </c>
      <c r="AN1144" s="256" t="s">
        <v>2218</v>
      </c>
      <c r="AO1144" s="254" t="s">
        <v>1324</v>
      </c>
      <c r="AP1144" s="257" t="s">
        <v>716</v>
      </c>
      <c r="AQ1144" s="263" t="s">
        <v>659</v>
      </c>
      <c r="AR1144" s="256">
        <v>4.933333333333333E-3</v>
      </c>
      <c r="AS1144" s="256">
        <v>4.933333333333333E-3</v>
      </c>
      <c r="AT1144" s="256"/>
      <c r="AX1144" s="508"/>
      <c r="AY1144" s="509"/>
      <c r="AZ1144" s="509"/>
      <c r="BA1144" s="509"/>
      <c r="BB1144" s="510"/>
      <c r="BC1144" s="509"/>
      <c r="BD1144" s="509"/>
      <c r="BE1144" s="509"/>
      <c r="BF1144" s="509"/>
      <c r="BG1144" s="510"/>
      <c r="BH1144" s="510"/>
      <c r="BI1144" s="511"/>
      <c r="BJ1144" s="511"/>
      <c r="BK1144" s="511"/>
      <c r="BL1144" s="510"/>
      <c r="BM1144" s="510"/>
      <c r="BN1144" s="510"/>
      <c r="BO1144" s="510"/>
      <c r="BP1144" s="510"/>
      <c r="BQ1144" s="510"/>
      <c r="BR1144" s="510"/>
      <c r="BS1144" s="510"/>
      <c r="BT1144" s="513"/>
      <c r="BU1144" s="514"/>
      <c r="BV1144" s="512"/>
      <c r="BW1144" s="515"/>
    </row>
    <row r="1145" spans="2:75" ht="15.75" customHeight="1">
      <c r="B1145" s="250" t="s">
        <v>593</v>
      </c>
      <c r="C1145" s="251">
        <v>35847495000173</v>
      </c>
      <c r="D1145" s="252" t="s">
        <v>14</v>
      </c>
      <c r="E1145" s="252" t="s">
        <v>607</v>
      </c>
      <c r="F1145" s="252"/>
      <c r="G1145" s="253"/>
      <c r="H1145" s="253" t="s">
        <v>34</v>
      </c>
      <c r="I1145" s="253" t="s">
        <v>34</v>
      </c>
      <c r="J1145" s="253" t="s">
        <v>608</v>
      </c>
      <c r="K1145" s="254" t="s">
        <v>48</v>
      </c>
      <c r="L1145" s="255"/>
      <c r="M1145" s="255" t="s">
        <v>34</v>
      </c>
      <c r="N1145" s="254">
        <v>541771</v>
      </c>
      <c r="O1145" s="254" t="s">
        <v>1321</v>
      </c>
      <c r="P1145" s="258">
        <v>44013</v>
      </c>
      <c r="Q1145" s="259">
        <v>1784548.59</v>
      </c>
      <c r="R1145" s="259">
        <v>1858858.2420238093</v>
      </c>
      <c r="S1145" s="254">
        <v>32</v>
      </c>
      <c r="T1145" s="256">
        <v>-3.2098047286468256E-2</v>
      </c>
      <c r="U1145" s="256">
        <v>-0.41493772221295527</v>
      </c>
      <c r="V1145" s="256">
        <v>-0.21671027695503664</v>
      </c>
      <c r="W1145" s="256">
        <v>-2.1244853359607783</v>
      </c>
      <c r="X1145" s="256">
        <v>-0.18990648343259287</v>
      </c>
      <c r="Y1145" s="256">
        <v>-1.4400953623855615</v>
      </c>
      <c r="Z1145" s="256" t="s">
        <v>1417</v>
      </c>
      <c r="AA1145" s="256" t="s">
        <v>1417</v>
      </c>
      <c r="AB1145" s="256">
        <v>0.21554645137107228</v>
      </c>
      <c r="AC1145" s="260">
        <v>-1.4755066368738199</v>
      </c>
      <c r="AD1145" s="405">
        <v>0</v>
      </c>
      <c r="AE1145" s="257" t="s">
        <v>2289</v>
      </c>
      <c r="AF1145" s="257" t="s">
        <v>2115</v>
      </c>
      <c r="AG1145" s="261" t="s">
        <v>719</v>
      </c>
      <c r="AH1145" s="261" t="s">
        <v>2113</v>
      </c>
      <c r="AI1145" s="261">
        <v>1000</v>
      </c>
      <c r="AJ1145" s="261">
        <v>1000</v>
      </c>
      <c r="AK1145" s="261">
        <v>1000</v>
      </c>
      <c r="AL1145" s="256">
        <v>1.4999999999999999E-2</v>
      </c>
      <c r="AM1145" s="256">
        <v>0.2</v>
      </c>
      <c r="AN1145" s="256" t="s">
        <v>666</v>
      </c>
      <c r="AO1145" s="254" t="s">
        <v>1324</v>
      </c>
      <c r="AP1145" s="257" t="s">
        <v>716</v>
      </c>
      <c r="AQ1145" s="263" t="s">
        <v>665</v>
      </c>
      <c r="AR1145" s="256">
        <v>4.9999999999999992E-3</v>
      </c>
      <c r="AS1145" s="256">
        <v>4.9999999999999992E-3</v>
      </c>
      <c r="AT1145" s="256"/>
      <c r="AX1145" s="508"/>
      <c r="AY1145" s="509"/>
      <c r="AZ1145" s="509"/>
      <c r="BA1145" s="509"/>
      <c r="BB1145" s="510"/>
      <c r="BC1145" s="509"/>
      <c r="BD1145" s="509"/>
      <c r="BE1145" s="509"/>
      <c r="BF1145" s="509"/>
      <c r="BG1145" s="510"/>
      <c r="BH1145" s="510"/>
      <c r="BI1145" s="511"/>
      <c r="BJ1145" s="511"/>
      <c r="BK1145" s="511"/>
      <c r="BL1145" s="510"/>
      <c r="BM1145" s="510"/>
      <c r="BN1145" s="510"/>
      <c r="BO1145" s="510"/>
      <c r="BP1145" s="510"/>
      <c r="BQ1145" s="510"/>
      <c r="BR1145" s="510"/>
      <c r="BS1145" s="510"/>
      <c r="BT1145" s="513"/>
      <c r="BU1145" s="514"/>
      <c r="BV1145" s="512"/>
      <c r="BW1145" s="515"/>
    </row>
    <row r="1146" spans="2:75" ht="15.75" customHeight="1">
      <c r="B1146" s="250" t="s">
        <v>594</v>
      </c>
      <c r="C1146" s="251">
        <v>34525068000106</v>
      </c>
      <c r="D1146" s="252" t="s">
        <v>14</v>
      </c>
      <c r="E1146" s="252" t="s">
        <v>607</v>
      </c>
      <c r="F1146" s="252"/>
      <c r="G1146" s="253"/>
      <c r="H1146" s="253" t="s">
        <v>34</v>
      </c>
      <c r="I1146" s="253" t="s">
        <v>34</v>
      </c>
      <c r="J1146" s="253" t="s">
        <v>608</v>
      </c>
      <c r="K1146" s="254" t="s">
        <v>48</v>
      </c>
      <c r="L1146" s="255"/>
      <c r="M1146" s="255" t="s">
        <v>34</v>
      </c>
      <c r="N1146" s="254">
        <v>520470</v>
      </c>
      <c r="O1146" s="254" t="s">
        <v>1321</v>
      </c>
      <c r="P1146" s="258">
        <v>43829</v>
      </c>
      <c r="Q1146" s="259">
        <v>379713954.63</v>
      </c>
      <c r="R1146" s="259">
        <v>372870260.16547632</v>
      </c>
      <c r="S1146" s="254">
        <v>32</v>
      </c>
      <c r="T1146" s="256">
        <v>-8.2918860646359449E-2</v>
      </c>
      <c r="U1146" s="256">
        <v>-1.0719082957921442</v>
      </c>
      <c r="V1146" s="256">
        <v>-0.20941532864296875</v>
      </c>
      <c r="W1146" s="256">
        <v>-2.0529704501263812</v>
      </c>
      <c r="X1146" s="256">
        <v>-1.2654976747602964E-2</v>
      </c>
      <c r="Y1146" s="256">
        <v>-9.5964987587108211E-2</v>
      </c>
      <c r="Z1146" s="256" t="s">
        <v>1417</v>
      </c>
      <c r="AA1146" s="256" t="s">
        <v>1417</v>
      </c>
      <c r="AB1146" s="256">
        <v>0.27044474925462686</v>
      </c>
      <c r="AC1146" s="260">
        <v>-1.0924142596295061</v>
      </c>
      <c r="AD1146" s="405">
        <v>35587562000168</v>
      </c>
      <c r="AE1146" s="257" t="s">
        <v>2289</v>
      </c>
      <c r="AF1146" s="257" t="s">
        <v>2115</v>
      </c>
      <c r="AG1146" s="261" t="s">
        <v>719</v>
      </c>
      <c r="AH1146" s="261" t="s">
        <v>2113</v>
      </c>
      <c r="AI1146" s="261">
        <v>1000</v>
      </c>
      <c r="AJ1146" s="261">
        <v>1000</v>
      </c>
      <c r="AK1146" s="261">
        <v>1000</v>
      </c>
      <c r="AL1146" s="256">
        <v>0.02</v>
      </c>
      <c r="AM1146" s="256">
        <v>0.2</v>
      </c>
      <c r="AN1146" s="256" t="s">
        <v>2122</v>
      </c>
      <c r="AO1146" s="254" t="s">
        <v>1324</v>
      </c>
      <c r="AP1146" s="257" t="s">
        <v>716</v>
      </c>
      <c r="AQ1146" s="263" t="s">
        <v>659</v>
      </c>
      <c r="AR1146" s="256">
        <v>6.6666666666666662E-3</v>
      </c>
      <c r="AS1146" s="256">
        <v>6.6666666666666662E-3</v>
      </c>
      <c r="AT1146" s="256"/>
      <c r="AX1146" s="508"/>
      <c r="AY1146" s="509"/>
      <c r="AZ1146" s="509"/>
      <c r="BA1146" s="509"/>
      <c r="BB1146" s="510"/>
      <c r="BC1146" s="509"/>
      <c r="BD1146" s="509"/>
      <c r="BE1146" s="509"/>
      <c r="BF1146" s="509"/>
      <c r="BG1146" s="510"/>
      <c r="BH1146" s="510"/>
      <c r="BI1146" s="511"/>
      <c r="BJ1146" s="511"/>
      <c r="BK1146" s="511"/>
      <c r="BL1146" s="510"/>
      <c r="BM1146" s="510"/>
      <c r="BN1146" s="510"/>
      <c r="BO1146" s="510"/>
      <c r="BP1146" s="510"/>
      <c r="BQ1146" s="510"/>
      <c r="BR1146" s="510"/>
      <c r="BS1146" s="510"/>
      <c r="BT1146" s="513"/>
      <c r="BU1146" s="514"/>
      <c r="BV1146" s="512"/>
      <c r="BW1146" s="515"/>
    </row>
    <row r="1147" spans="2:75" ht="15.75" customHeight="1">
      <c r="B1147" s="250" t="s">
        <v>393</v>
      </c>
      <c r="C1147" s="251">
        <v>39669100000140</v>
      </c>
      <c r="D1147" s="252" t="s">
        <v>14</v>
      </c>
      <c r="E1147" s="252" t="s">
        <v>607</v>
      </c>
      <c r="F1147" s="252"/>
      <c r="G1147" s="253"/>
      <c r="H1147" s="253" t="s">
        <v>34</v>
      </c>
      <c r="I1147" s="253" t="s">
        <v>34</v>
      </c>
      <c r="J1147" s="253" t="s">
        <v>608</v>
      </c>
      <c r="K1147" s="254" t="s">
        <v>48</v>
      </c>
      <c r="L1147" s="255"/>
      <c r="M1147" s="255" t="s">
        <v>34</v>
      </c>
      <c r="N1147" s="254">
        <v>573541</v>
      </c>
      <c r="O1147" s="254" t="s">
        <v>1321</v>
      </c>
      <c r="P1147" s="258">
        <v>44228</v>
      </c>
      <c r="Q1147" s="259">
        <v>17882563.73</v>
      </c>
      <c r="R1147" s="259">
        <v>20703634.27904762</v>
      </c>
      <c r="S1147" s="254">
        <v>32</v>
      </c>
      <c r="T1147" s="256">
        <v>-0.27132679811665839</v>
      </c>
      <c r="U1147" s="256">
        <v>-3.5074944771896792</v>
      </c>
      <c r="V1147" s="256">
        <v>-0.43304504687676215</v>
      </c>
      <c r="W1147" s="256">
        <v>-4.2452894473989877</v>
      </c>
      <c r="X1147" s="256" t="s">
        <v>1417</v>
      </c>
      <c r="Y1147" s="256" t="s">
        <v>1417</v>
      </c>
      <c r="Z1147" s="256" t="s">
        <v>1417</v>
      </c>
      <c r="AA1147" s="256" t="s">
        <v>1417</v>
      </c>
      <c r="AB1147" s="256">
        <v>0.24372756783276694</v>
      </c>
      <c r="AC1147" s="260">
        <v>-2.6027730321197278</v>
      </c>
      <c r="AD1147" s="405">
        <v>0</v>
      </c>
      <c r="AE1147" s="257" t="s">
        <v>2289</v>
      </c>
      <c r="AF1147" s="257" t="s">
        <v>2289</v>
      </c>
      <c r="AG1147" s="261" t="s">
        <v>719</v>
      </c>
      <c r="AH1147" s="261" t="s">
        <v>2113</v>
      </c>
      <c r="AI1147" s="261">
        <v>1000</v>
      </c>
      <c r="AJ1147" s="261">
        <v>1000</v>
      </c>
      <c r="AK1147" s="261">
        <v>1000</v>
      </c>
      <c r="AL1147" s="256">
        <v>0.02</v>
      </c>
      <c r="AM1147" s="256">
        <v>0.2</v>
      </c>
      <c r="AN1147" s="256" t="s">
        <v>666</v>
      </c>
      <c r="AO1147" s="254" t="s">
        <v>1324</v>
      </c>
      <c r="AP1147" s="257" t="s">
        <v>716</v>
      </c>
      <c r="AQ1147" s="263" t="s">
        <v>694</v>
      </c>
      <c r="AR1147" s="256">
        <v>6.6660000000000001E-3</v>
      </c>
      <c r="AS1147" s="256">
        <v>6.6660000000000001E-3</v>
      </c>
      <c r="AT1147" s="256"/>
      <c r="AX1147" s="508"/>
      <c r="AY1147" s="509"/>
      <c r="AZ1147" s="509"/>
      <c r="BA1147" s="509"/>
      <c r="BB1147" s="510"/>
      <c r="BC1147" s="509"/>
      <c r="BD1147" s="509"/>
      <c r="BE1147" s="509"/>
      <c r="BF1147" s="509"/>
      <c r="BG1147" s="510"/>
      <c r="BH1147" s="510"/>
      <c r="BI1147" s="511"/>
      <c r="BJ1147" s="511"/>
      <c r="BK1147" s="511"/>
      <c r="BL1147" s="510"/>
      <c r="BM1147" s="510"/>
      <c r="BN1147" s="510"/>
      <c r="BO1147" s="510"/>
      <c r="BP1147" s="510"/>
      <c r="BQ1147" s="510"/>
      <c r="BR1147" s="510"/>
      <c r="BS1147" s="510"/>
      <c r="BT1147" s="513"/>
      <c r="BU1147" s="514"/>
      <c r="BV1147" s="512"/>
      <c r="BW1147" s="515"/>
    </row>
    <row r="1148" spans="2:75" ht="15.75" customHeight="1">
      <c r="B1148" s="250" t="s">
        <v>595</v>
      </c>
      <c r="C1148" s="251">
        <v>41922414000155</v>
      </c>
      <c r="D1148" s="252" t="s">
        <v>14</v>
      </c>
      <c r="E1148" s="252" t="s">
        <v>607</v>
      </c>
      <c r="F1148" s="252"/>
      <c r="G1148" s="253"/>
      <c r="H1148" s="253" t="s">
        <v>34</v>
      </c>
      <c r="I1148" s="253" t="s">
        <v>34</v>
      </c>
      <c r="J1148" s="253" t="s">
        <v>608</v>
      </c>
      <c r="K1148" s="254" t="s">
        <v>48</v>
      </c>
      <c r="L1148" s="255"/>
      <c r="M1148" s="255" t="s">
        <v>34</v>
      </c>
      <c r="N1148" s="254">
        <v>596388</v>
      </c>
      <c r="O1148" s="254" t="s">
        <v>1321</v>
      </c>
      <c r="P1148" s="258">
        <v>44377</v>
      </c>
      <c r="Q1148" s="259">
        <v>4817166.01</v>
      </c>
      <c r="R1148" s="259">
        <v>3961093.3349603172</v>
      </c>
      <c r="S1148" s="254">
        <v>32</v>
      </c>
      <c r="T1148" s="256">
        <v>9.2415100423581809E-2</v>
      </c>
      <c r="U1148" s="256">
        <v>1.1946680408813684</v>
      </c>
      <c r="V1148" s="256">
        <v>-6.209747128837817E-2</v>
      </c>
      <c r="W1148" s="256">
        <v>-0.60876285613246162</v>
      </c>
      <c r="X1148" s="256" t="s">
        <v>1417</v>
      </c>
      <c r="Y1148" s="256" t="s">
        <v>1417</v>
      </c>
      <c r="Z1148" s="256" t="s">
        <v>1417</v>
      </c>
      <c r="AA1148" s="256" t="s">
        <v>1417</v>
      </c>
      <c r="AB1148" s="256">
        <v>0.22113870041685477</v>
      </c>
      <c r="AC1148" s="260">
        <v>-0.61868622849862676</v>
      </c>
      <c r="AD1148" s="405">
        <v>41902964000102</v>
      </c>
      <c r="AE1148" s="257" t="s">
        <v>2406</v>
      </c>
      <c r="AF1148" s="257" t="s">
        <v>2115</v>
      </c>
      <c r="AG1148" s="261" t="s">
        <v>719</v>
      </c>
      <c r="AH1148" s="261" t="s">
        <v>2113</v>
      </c>
      <c r="AI1148" s="261">
        <v>5000</v>
      </c>
      <c r="AJ1148" s="261">
        <v>500</v>
      </c>
      <c r="AK1148" s="261">
        <v>2500</v>
      </c>
      <c r="AL1148" s="256">
        <v>1.89E-2</v>
      </c>
      <c r="AM1148" s="256">
        <v>0.2</v>
      </c>
      <c r="AN1148" s="256" t="s">
        <v>666</v>
      </c>
      <c r="AO1148" s="254" t="s">
        <v>1324</v>
      </c>
      <c r="AP1148" s="257" t="s">
        <v>716</v>
      </c>
      <c r="AQ1148" s="263" t="s">
        <v>659</v>
      </c>
      <c r="AR1148" s="256">
        <v>6.2993699999999994E-3</v>
      </c>
      <c r="AS1148" s="256">
        <v>6.2993699999999994E-3</v>
      </c>
      <c r="AT1148" s="256"/>
      <c r="AX1148" s="508"/>
      <c r="AY1148" s="509"/>
      <c r="AZ1148" s="509"/>
      <c r="BA1148" s="509"/>
      <c r="BB1148" s="510"/>
      <c r="BC1148" s="509"/>
      <c r="BD1148" s="509"/>
      <c r="BE1148" s="509"/>
      <c r="BF1148" s="509"/>
      <c r="BG1148" s="510"/>
      <c r="BH1148" s="510"/>
      <c r="BI1148" s="511"/>
      <c r="BJ1148" s="511"/>
      <c r="BK1148" s="511"/>
      <c r="BL1148" s="510"/>
      <c r="BM1148" s="510"/>
      <c r="BN1148" s="510"/>
      <c r="BO1148" s="510"/>
      <c r="BP1148" s="510"/>
      <c r="BQ1148" s="510"/>
      <c r="BR1148" s="510"/>
      <c r="BS1148" s="510"/>
      <c r="BT1148" s="513"/>
      <c r="BU1148" s="514"/>
      <c r="BV1148" s="512"/>
      <c r="BW1148" s="515"/>
    </row>
    <row r="1149" spans="2:75" ht="15.75" customHeight="1">
      <c r="B1149" s="250" t="s">
        <v>540</v>
      </c>
      <c r="C1149" s="251">
        <v>41922498000127</v>
      </c>
      <c r="D1149" s="252" t="s">
        <v>14</v>
      </c>
      <c r="E1149" s="252" t="s">
        <v>614</v>
      </c>
      <c r="F1149" s="252"/>
      <c r="G1149" s="253"/>
      <c r="H1149" s="253" t="s">
        <v>865</v>
      </c>
      <c r="I1149" s="253" t="s">
        <v>34</v>
      </c>
      <c r="J1149" s="253" t="s">
        <v>608</v>
      </c>
      <c r="K1149" s="254" t="s">
        <v>48</v>
      </c>
      <c r="L1149" s="255"/>
      <c r="M1149" s="255" t="s">
        <v>34</v>
      </c>
      <c r="N1149" s="254">
        <v>597236</v>
      </c>
      <c r="O1149" s="254" t="s">
        <v>1321</v>
      </c>
      <c r="P1149" s="258">
        <v>44377</v>
      </c>
      <c r="Q1149" s="259">
        <v>4902253.1399999997</v>
      </c>
      <c r="R1149" s="259">
        <v>4240878.2764285719</v>
      </c>
      <c r="S1149" s="254">
        <v>32</v>
      </c>
      <c r="T1149" s="256">
        <v>0.10872400534932813</v>
      </c>
      <c r="U1149" s="256">
        <v>1.4054964380508652</v>
      </c>
      <c r="V1149" s="256">
        <v>4.9918046960969242E-2</v>
      </c>
      <c r="W1149" s="256">
        <v>0.48936377295288164</v>
      </c>
      <c r="X1149" s="256" t="s">
        <v>1417</v>
      </c>
      <c r="Y1149" s="256" t="s">
        <v>1417</v>
      </c>
      <c r="Z1149" s="256" t="s">
        <v>1417</v>
      </c>
      <c r="AA1149" s="256" t="s">
        <v>1417</v>
      </c>
      <c r="AB1149" s="256">
        <v>0.15323310600886703</v>
      </c>
      <c r="AC1149" s="260">
        <v>-0.23977278333696589</v>
      </c>
      <c r="AD1149" s="405">
        <v>41902620000101</v>
      </c>
      <c r="AE1149" s="257" t="s">
        <v>2406</v>
      </c>
      <c r="AF1149" s="257" t="s">
        <v>2115</v>
      </c>
      <c r="AG1149" s="261" t="s">
        <v>719</v>
      </c>
      <c r="AH1149" s="261" t="s">
        <v>2110</v>
      </c>
      <c r="AI1149" s="261">
        <v>5000</v>
      </c>
      <c r="AJ1149" s="261">
        <v>500</v>
      </c>
      <c r="AK1149" s="261">
        <v>2500</v>
      </c>
      <c r="AL1149" s="256">
        <v>1.89E-2</v>
      </c>
      <c r="AM1149" s="256">
        <v>0.2</v>
      </c>
      <c r="AN1149" s="256" t="s">
        <v>2141</v>
      </c>
      <c r="AO1149" s="254" t="s">
        <v>1324</v>
      </c>
      <c r="AP1149" s="257" t="s">
        <v>13</v>
      </c>
      <c r="AQ1149" s="263" t="s">
        <v>674</v>
      </c>
      <c r="AR1149" s="256">
        <v>6.2993699999999994E-3</v>
      </c>
      <c r="AS1149" s="256">
        <v>6.2993699999999994E-3</v>
      </c>
      <c r="AT1149" s="256"/>
      <c r="AX1149" s="508"/>
      <c r="AY1149" s="509"/>
      <c r="AZ1149" s="509"/>
      <c r="BA1149" s="509"/>
      <c r="BB1149" s="510"/>
      <c r="BC1149" s="509"/>
      <c r="BD1149" s="509"/>
      <c r="BE1149" s="509"/>
      <c r="BF1149" s="509"/>
      <c r="BG1149" s="510"/>
      <c r="BH1149" s="510"/>
      <c r="BI1149" s="511"/>
      <c r="BJ1149" s="511"/>
      <c r="BK1149" s="511"/>
      <c r="BL1149" s="510"/>
      <c r="BM1149" s="510"/>
      <c r="BN1149" s="510"/>
      <c r="BO1149" s="510"/>
      <c r="BP1149" s="510"/>
      <c r="BQ1149" s="510"/>
      <c r="BR1149" s="510"/>
      <c r="BS1149" s="510"/>
      <c r="BT1149" s="513"/>
      <c r="BU1149" s="514"/>
      <c r="BV1149" s="512"/>
      <c r="BW1149" s="515"/>
    </row>
    <row r="1150" spans="2:75" ht="15.75" customHeight="1">
      <c r="B1150" s="250" t="s">
        <v>1212</v>
      </c>
      <c r="C1150" s="251">
        <v>36499392000122</v>
      </c>
      <c r="D1150" s="252" t="s">
        <v>14</v>
      </c>
      <c r="E1150" s="252" t="s">
        <v>607</v>
      </c>
      <c r="F1150" s="252"/>
      <c r="G1150" s="253"/>
      <c r="H1150" s="253" t="s">
        <v>34</v>
      </c>
      <c r="I1150" s="253" t="s">
        <v>34</v>
      </c>
      <c r="J1150" s="253" t="s">
        <v>690</v>
      </c>
      <c r="K1150" s="254"/>
      <c r="L1150" s="255"/>
      <c r="M1150" s="255" t="s">
        <v>1414</v>
      </c>
      <c r="N1150" s="254">
        <v>532479</v>
      </c>
      <c r="O1150" s="254" t="s">
        <v>1321</v>
      </c>
      <c r="P1150" s="258">
        <v>43917</v>
      </c>
      <c r="Q1150" s="259">
        <v>11592081.76</v>
      </c>
      <c r="R1150" s="259">
        <v>13446183.653888889</v>
      </c>
      <c r="S1150" s="254">
        <v>32</v>
      </c>
      <c r="T1150" s="256">
        <v>-0.33163798995336435</v>
      </c>
      <c r="U1150" s="256">
        <v>-4.287149025683707</v>
      </c>
      <c r="V1150" s="256">
        <v>-0.34953746131459662</v>
      </c>
      <c r="W1150" s="256">
        <v>-3.4266358816286844</v>
      </c>
      <c r="X1150" s="256">
        <v>-0.2931606684576451</v>
      </c>
      <c r="Y1150" s="256">
        <v>-2.2230906046425636</v>
      </c>
      <c r="Z1150" s="256" t="s">
        <v>1417</v>
      </c>
      <c r="AA1150" s="256" t="s">
        <v>1417</v>
      </c>
      <c r="AB1150" s="256">
        <v>0.30744286710639923</v>
      </c>
      <c r="AC1150" s="260">
        <v>-1.5609094823527425</v>
      </c>
      <c r="AD1150" s="405">
        <v>0</v>
      </c>
      <c r="AE1150" s="257" t="s">
        <v>2408</v>
      </c>
      <c r="AF1150" s="257" t="s">
        <v>741</v>
      </c>
      <c r="AG1150" s="261" t="s">
        <v>741</v>
      </c>
      <c r="AH1150" s="261" t="s">
        <v>2110</v>
      </c>
      <c r="AI1150" s="261">
        <v>1000</v>
      </c>
      <c r="AJ1150" s="261">
        <v>1000</v>
      </c>
      <c r="AK1150" s="261">
        <v>1000</v>
      </c>
      <c r="AL1150" s="256">
        <v>1.9E-2</v>
      </c>
      <c r="AM1150" s="256">
        <v>0.2</v>
      </c>
      <c r="AN1150" s="256" t="s">
        <v>2122</v>
      </c>
      <c r="AO1150" s="254" t="s">
        <v>1324</v>
      </c>
      <c r="AP1150" s="257" t="s">
        <v>716</v>
      </c>
      <c r="AQ1150" s="263" t="s">
        <v>659</v>
      </c>
      <c r="AR1150" s="256">
        <v>3.4995E-3</v>
      </c>
      <c r="AS1150" s="256">
        <v>3.4995E-3</v>
      </c>
      <c r="AT1150" s="256"/>
      <c r="AX1150" s="508"/>
      <c r="AY1150" s="509"/>
      <c r="AZ1150" s="509"/>
      <c r="BA1150" s="509"/>
      <c r="BB1150" s="510"/>
      <c r="BC1150" s="509"/>
      <c r="BD1150" s="509"/>
      <c r="BE1150" s="509"/>
      <c r="BF1150" s="509"/>
      <c r="BG1150" s="510"/>
      <c r="BH1150" s="510"/>
      <c r="BI1150" s="511"/>
      <c r="BJ1150" s="511"/>
      <c r="BK1150" s="511"/>
      <c r="BL1150" s="510"/>
      <c r="BM1150" s="510"/>
      <c r="BN1150" s="510"/>
      <c r="BO1150" s="510"/>
      <c r="BP1150" s="510"/>
      <c r="BQ1150" s="510"/>
      <c r="BR1150" s="510"/>
      <c r="BS1150" s="510"/>
      <c r="BT1150" s="513"/>
      <c r="BU1150" s="514"/>
      <c r="BV1150" s="512"/>
      <c r="BW1150" s="515"/>
    </row>
    <row r="1151" spans="2:75" ht="15.75" customHeight="1">
      <c r="B1151" s="250" t="s">
        <v>397</v>
      </c>
      <c r="C1151" s="251">
        <v>34713026000107</v>
      </c>
      <c r="D1151" s="252" t="s">
        <v>14</v>
      </c>
      <c r="E1151" s="252" t="s">
        <v>607</v>
      </c>
      <c r="F1151" s="252"/>
      <c r="G1151" s="253"/>
      <c r="H1151" s="253" t="s">
        <v>34</v>
      </c>
      <c r="I1151" s="253" t="s">
        <v>34</v>
      </c>
      <c r="J1151" s="253" t="s">
        <v>608</v>
      </c>
      <c r="K1151" s="254" t="s">
        <v>48</v>
      </c>
      <c r="L1151" s="255"/>
      <c r="M1151" s="255" t="s">
        <v>34</v>
      </c>
      <c r="N1151" s="254">
        <v>511765</v>
      </c>
      <c r="O1151" s="254" t="s">
        <v>1321</v>
      </c>
      <c r="P1151" s="258">
        <v>43742</v>
      </c>
      <c r="Q1151" s="259">
        <v>170799127.47</v>
      </c>
      <c r="R1151" s="259">
        <v>89791353.222380906</v>
      </c>
      <c r="S1151" s="254">
        <v>32</v>
      </c>
      <c r="T1151" s="256">
        <v>5.7030906906909262E-2</v>
      </c>
      <c r="U1151" s="256">
        <v>0.73724966495604549</v>
      </c>
      <c r="V1151" s="256">
        <v>2.7671339103851E-2</v>
      </c>
      <c r="W1151" s="256">
        <v>0.27127164885090704</v>
      </c>
      <c r="X1151" s="256">
        <v>0.20832799871077978</v>
      </c>
      <c r="Y1151" s="256">
        <v>1.5797890592026482</v>
      </c>
      <c r="Z1151" s="256" t="s">
        <v>1417</v>
      </c>
      <c r="AA1151" s="256" t="s">
        <v>1417</v>
      </c>
      <c r="AB1151" s="256">
        <v>0.22694511069938708</v>
      </c>
      <c r="AC1151" s="260">
        <v>-0.19494290451022606</v>
      </c>
      <c r="AD1151" s="405">
        <v>36771013000101</v>
      </c>
      <c r="AE1151" s="257" t="s">
        <v>2408</v>
      </c>
      <c r="AF1151" s="257" t="s">
        <v>741</v>
      </c>
      <c r="AG1151" s="261" t="s">
        <v>741</v>
      </c>
      <c r="AH1151" s="261" t="s">
        <v>2113</v>
      </c>
      <c r="AI1151" s="261">
        <v>1000</v>
      </c>
      <c r="AJ1151" s="261">
        <v>1000</v>
      </c>
      <c r="AK1151" s="261">
        <v>1000</v>
      </c>
      <c r="AL1151" s="256">
        <v>0.02</v>
      </c>
      <c r="AM1151" s="256">
        <v>0.2</v>
      </c>
      <c r="AN1151" s="256" t="s">
        <v>34</v>
      </c>
      <c r="AO1151" s="254" t="s">
        <v>1324</v>
      </c>
      <c r="AP1151" s="257" t="s">
        <v>716</v>
      </c>
      <c r="AQ1151" s="263" t="s">
        <v>659</v>
      </c>
      <c r="AR1151" s="256">
        <v>4.6666666666666662E-3</v>
      </c>
      <c r="AS1151" s="256">
        <v>4.6666666666666662E-3</v>
      </c>
      <c r="AT1151" s="256"/>
      <c r="AX1151" s="508"/>
      <c r="AY1151" s="509"/>
      <c r="AZ1151" s="509"/>
      <c r="BA1151" s="509"/>
      <c r="BB1151" s="510"/>
      <c r="BC1151" s="509"/>
      <c r="BD1151" s="509"/>
      <c r="BE1151" s="509"/>
      <c r="BF1151" s="509"/>
      <c r="BG1151" s="510"/>
      <c r="BH1151" s="510"/>
      <c r="BI1151" s="511"/>
      <c r="BJ1151" s="511"/>
      <c r="BK1151" s="511"/>
      <c r="BL1151" s="510"/>
      <c r="BM1151" s="510"/>
      <c r="BN1151" s="510"/>
      <c r="BO1151" s="510"/>
      <c r="BP1151" s="510"/>
      <c r="BQ1151" s="510"/>
      <c r="BR1151" s="510"/>
      <c r="BS1151" s="510"/>
      <c r="BT1151" s="513"/>
      <c r="BU1151" s="514"/>
      <c r="BV1151" s="512"/>
      <c r="BW1151" s="515"/>
    </row>
    <row r="1152" spans="2:75" ht="15.75" customHeight="1">
      <c r="B1152" s="250" t="s">
        <v>1214</v>
      </c>
      <c r="C1152" s="251">
        <v>38028896000190</v>
      </c>
      <c r="D1152" s="252" t="s">
        <v>14</v>
      </c>
      <c r="E1152" s="252" t="s">
        <v>614</v>
      </c>
      <c r="F1152" s="252"/>
      <c r="G1152" s="253"/>
      <c r="H1152" s="253" t="s">
        <v>1338</v>
      </c>
      <c r="I1152" s="253" t="s">
        <v>34</v>
      </c>
      <c r="J1152" s="253" t="s">
        <v>608</v>
      </c>
      <c r="K1152" s="254" t="s">
        <v>48</v>
      </c>
      <c r="L1152" s="255"/>
      <c r="M1152" s="255" t="s">
        <v>34</v>
      </c>
      <c r="N1152" s="254">
        <v>564427</v>
      </c>
      <c r="O1152" s="254" t="s">
        <v>1321</v>
      </c>
      <c r="P1152" s="258">
        <v>44165</v>
      </c>
      <c r="Q1152" s="259">
        <v>25924091.420000002</v>
      </c>
      <c r="R1152" s="259">
        <v>25075752.117341273</v>
      </c>
      <c r="S1152" s="254">
        <v>32</v>
      </c>
      <c r="T1152" s="256">
        <v>7.5446502089652201E-2</v>
      </c>
      <c r="U1152" s="256">
        <v>0.97531165826442412</v>
      </c>
      <c r="V1152" s="256">
        <v>-0.13277739758206597</v>
      </c>
      <c r="W1152" s="256">
        <v>-1.3016624687746599</v>
      </c>
      <c r="X1152" s="256" t="s">
        <v>1417</v>
      </c>
      <c r="Y1152" s="256" t="s">
        <v>1417</v>
      </c>
      <c r="Z1152" s="256" t="s">
        <v>1417</v>
      </c>
      <c r="AA1152" s="256" t="s">
        <v>1417</v>
      </c>
      <c r="AB1152" s="256">
        <v>0.21426834990161811</v>
      </c>
      <c r="AC1152" s="260">
        <v>-1.0111377566677058</v>
      </c>
      <c r="AD1152" s="405">
        <v>38028868000172</v>
      </c>
      <c r="AE1152" s="257" t="s">
        <v>2409</v>
      </c>
      <c r="AF1152" s="257" t="s">
        <v>2115</v>
      </c>
      <c r="AG1152" s="261" t="s">
        <v>719</v>
      </c>
      <c r="AH1152" s="261" t="s">
        <v>2113</v>
      </c>
      <c r="AI1152" s="261">
        <v>1000</v>
      </c>
      <c r="AJ1152" s="261">
        <v>1000</v>
      </c>
      <c r="AK1152" s="261">
        <v>1000</v>
      </c>
      <c r="AL1152" s="256">
        <v>0.02</v>
      </c>
      <c r="AM1152" s="256">
        <v>0.2</v>
      </c>
      <c r="AN1152" s="256" t="s">
        <v>2122</v>
      </c>
      <c r="AO1152" s="254" t="s">
        <v>1324</v>
      </c>
      <c r="AP1152" s="257" t="s">
        <v>716</v>
      </c>
      <c r="AQ1152" s="263" t="s">
        <v>659</v>
      </c>
      <c r="AR1152" s="256">
        <v>5.3333333333333332E-3</v>
      </c>
      <c r="AS1152" s="256">
        <v>5.3333333333333332E-3</v>
      </c>
      <c r="AT1152" s="256"/>
      <c r="AX1152" s="508"/>
      <c r="AY1152" s="509"/>
      <c r="AZ1152" s="509"/>
      <c r="BA1152" s="509"/>
      <c r="BB1152" s="510"/>
      <c r="BC1152" s="509"/>
      <c r="BD1152" s="509"/>
      <c r="BE1152" s="509"/>
      <c r="BF1152" s="509"/>
      <c r="BG1152" s="510"/>
      <c r="BH1152" s="510"/>
      <c r="BI1152" s="511"/>
      <c r="BJ1152" s="511"/>
      <c r="BK1152" s="511"/>
      <c r="BL1152" s="510"/>
      <c r="BM1152" s="510"/>
      <c r="BN1152" s="510"/>
      <c r="BO1152" s="510"/>
      <c r="BP1152" s="510"/>
      <c r="BQ1152" s="510"/>
      <c r="BR1152" s="510"/>
      <c r="BS1152" s="510"/>
      <c r="BT1152" s="513"/>
      <c r="BU1152" s="514"/>
      <c r="BV1152" s="512"/>
      <c r="BW1152" s="515"/>
    </row>
    <row r="1153" spans="2:75" ht="15.75" customHeight="1">
      <c r="B1153" s="250" t="s">
        <v>398</v>
      </c>
      <c r="C1153" s="251">
        <v>28703554000174</v>
      </c>
      <c r="D1153" s="252" t="s">
        <v>14</v>
      </c>
      <c r="E1153" s="252" t="s">
        <v>614</v>
      </c>
      <c r="F1153" s="252"/>
      <c r="G1153" s="253"/>
      <c r="H1153" s="253" t="s">
        <v>1338</v>
      </c>
      <c r="I1153" s="253" t="s">
        <v>34</v>
      </c>
      <c r="J1153" s="253" t="s">
        <v>608</v>
      </c>
      <c r="K1153" s="254" t="s">
        <v>48</v>
      </c>
      <c r="L1153" s="255"/>
      <c r="M1153" s="255" t="s">
        <v>34</v>
      </c>
      <c r="N1153" s="254">
        <v>455962</v>
      </c>
      <c r="O1153" s="254" t="s">
        <v>1324</v>
      </c>
      <c r="P1153" s="258">
        <v>43096</v>
      </c>
      <c r="Q1153" s="259">
        <v>53940267.68</v>
      </c>
      <c r="R1153" s="259">
        <v>64913474.176269822</v>
      </c>
      <c r="S1153" s="254">
        <v>32</v>
      </c>
      <c r="T1153" s="256">
        <v>-4.0777931014007618E-2</v>
      </c>
      <c r="U1153" s="256">
        <v>-0.52714427331043678</v>
      </c>
      <c r="V1153" s="256">
        <v>-0.14094822427961895</v>
      </c>
      <c r="W1153" s="256">
        <v>-1.381763891492281</v>
      </c>
      <c r="X1153" s="256">
        <v>-8.7293601918840835E-2</v>
      </c>
      <c r="Y1153" s="256">
        <v>-0.66196324115429728</v>
      </c>
      <c r="Z1153" s="256">
        <v>-3.839361912464534E-2</v>
      </c>
      <c r="AA1153" s="256">
        <v>-0.21824177786515633</v>
      </c>
      <c r="AB1153" s="256">
        <v>0.28252309504313355</v>
      </c>
      <c r="AC1153" s="260">
        <v>-0.74027174443064803</v>
      </c>
      <c r="AD1153" s="405">
        <v>33600915000197</v>
      </c>
      <c r="AE1153" s="257" t="s">
        <v>2410</v>
      </c>
      <c r="AF1153" s="257" t="s">
        <v>2109</v>
      </c>
      <c r="AG1153" s="261" t="s">
        <v>1432</v>
      </c>
      <c r="AH1153" s="261" t="s">
        <v>2110</v>
      </c>
      <c r="AI1153" s="261">
        <v>30000</v>
      </c>
      <c r="AJ1153" s="261">
        <v>10000</v>
      </c>
      <c r="AK1153" s="261">
        <v>30000</v>
      </c>
      <c r="AL1153" s="256">
        <v>0.02</v>
      </c>
      <c r="AM1153" s="256" t="s">
        <v>34</v>
      </c>
      <c r="AN1153" s="256" t="s">
        <v>34</v>
      </c>
      <c r="AO1153" s="254" t="s">
        <v>1324</v>
      </c>
      <c r="AP1153" s="257" t="s">
        <v>716</v>
      </c>
      <c r="AQ1153" s="263" t="s">
        <v>659</v>
      </c>
      <c r="AR1153" s="256">
        <v>6.6666666666666662E-3</v>
      </c>
      <c r="AS1153" s="256">
        <v>6.6666666666666662E-3</v>
      </c>
      <c r="AT1153" s="256"/>
      <c r="AX1153" s="508"/>
      <c r="AY1153" s="509"/>
      <c r="AZ1153" s="509"/>
      <c r="BA1153" s="509"/>
      <c r="BB1153" s="510"/>
      <c r="BC1153" s="509"/>
      <c r="BD1153" s="509"/>
      <c r="BE1153" s="509"/>
      <c r="BF1153" s="509"/>
      <c r="BG1153" s="510"/>
      <c r="BH1153" s="510"/>
      <c r="BI1153" s="511"/>
      <c r="BJ1153" s="511"/>
      <c r="BK1153" s="511"/>
      <c r="BL1153" s="510"/>
      <c r="BM1153" s="510"/>
      <c r="BN1153" s="510"/>
      <c r="BO1153" s="510"/>
      <c r="BP1153" s="510"/>
      <c r="BQ1153" s="510"/>
      <c r="BR1153" s="510"/>
      <c r="BS1153" s="510"/>
      <c r="BT1153" s="513"/>
      <c r="BU1153" s="514"/>
      <c r="BV1153" s="512"/>
      <c r="BW1153" s="515"/>
    </row>
    <row r="1154" spans="2:75" ht="15.75" customHeight="1">
      <c r="B1154" s="250" t="s">
        <v>1215</v>
      </c>
      <c r="C1154" s="251">
        <v>34096113000154</v>
      </c>
      <c r="D1154" s="252" t="s">
        <v>14</v>
      </c>
      <c r="E1154" s="252" t="s">
        <v>614</v>
      </c>
      <c r="F1154" s="252"/>
      <c r="G1154" s="253"/>
      <c r="H1154" s="253" t="s">
        <v>1338</v>
      </c>
      <c r="I1154" s="253" t="s">
        <v>34</v>
      </c>
      <c r="J1154" s="253" t="s">
        <v>608</v>
      </c>
      <c r="K1154" s="254" t="s">
        <v>48</v>
      </c>
      <c r="L1154" s="255"/>
      <c r="M1154" s="255" t="s">
        <v>34</v>
      </c>
      <c r="N1154" s="254">
        <v>505013</v>
      </c>
      <c r="O1154" s="254" t="s">
        <v>1321</v>
      </c>
      <c r="P1154" s="258">
        <v>43693</v>
      </c>
      <c r="Q1154" s="259">
        <v>55345444.82</v>
      </c>
      <c r="R1154" s="259">
        <v>78239230.265912667</v>
      </c>
      <c r="S1154" s="254">
        <v>32</v>
      </c>
      <c r="T1154" s="256">
        <v>-4.1045584140119051E-2</v>
      </c>
      <c r="U1154" s="256">
        <v>-0.53060427751258255</v>
      </c>
      <c r="V1154" s="256">
        <v>-0.14119240401953836</v>
      </c>
      <c r="W1154" s="256">
        <v>-1.3841576694159055</v>
      </c>
      <c r="X1154" s="256">
        <v>-0.11533136610595141</v>
      </c>
      <c r="Y1154" s="256">
        <v>-0.87457870034081697</v>
      </c>
      <c r="Z1154" s="256">
        <v>-6.9420375649882349E-2</v>
      </c>
      <c r="AA1154" s="256">
        <v>-0.39460792046489007</v>
      </c>
      <c r="AB1154" s="256">
        <v>0.28240689568986427</v>
      </c>
      <c r="AC1154" s="260">
        <v>-0.74169403476483564</v>
      </c>
      <c r="AD1154" s="405">
        <v>33600915000197</v>
      </c>
      <c r="AE1154" s="257" t="s">
        <v>2410</v>
      </c>
      <c r="AF1154" s="257" t="s">
        <v>2109</v>
      </c>
      <c r="AG1154" s="261" t="s">
        <v>1432</v>
      </c>
      <c r="AH1154" s="261" t="s">
        <v>2110</v>
      </c>
      <c r="AI1154" s="261">
        <v>30000</v>
      </c>
      <c r="AJ1154" s="261">
        <v>10000</v>
      </c>
      <c r="AK1154" s="261">
        <v>30000</v>
      </c>
      <c r="AL1154" s="256">
        <v>1.9199999999999998E-2</v>
      </c>
      <c r="AM1154" s="256">
        <v>0.2</v>
      </c>
      <c r="AN1154" s="256" t="s">
        <v>34</v>
      </c>
      <c r="AO1154" s="254" t="s">
        <v>1324</v>
      </c>
      <c r="AP1154" s="257" t="s">
        <v>716</v>
      </c>
      <c r="AQ1154" s="263" t="s">
        <v>659</v>
      </c>
      <c r="AR1154" s="256">
        <v>6.3999999999999994E-3</v>
      </c>
      <c r="AS1154" s="256">
        <v>6.3999999999999994E-3</v>
      </c>
      <c r="AT1154" s="256"/>
      <c r="AX1154" s="508"/>
      <c r="AY1154" s="509"/>
      <c r="AZ1154" s="509"/>
      <c r="BA1154" s="509"/>
      <c r="BB1154" s="510"/>
      <c r="BC1154" s="509"/>
      <c r="BD1154" s="509"/>
      <c r="BE1154" s="509"/>
      <c r="BF1154" s="509"/>
      <c r="BG1154" s="510"/>
      <c r="BH1154" s="510"/>
      <c r="BI1154" s="511"/>
      <c r="BJ1154" s="511"/>
      <c r="BK1154" s="511"/>
      <c r="BL1154" s="510"/>
      <c r="BM1154" s="510"/>
      <c r="BN1154" s="510"/>
      <c r="BO1154" s="510"/>
      <c r="BP1154" s="510"/>
      <c r="BQ1154" s="510"/>
      <c r="BR1154" s="510"/>
      <c r="BS1154" s="510"/>
      <c r="BT1154" s="513"/>
      <c r="BU1154" s="514"/>
      <c r="BV1154" s="512"/>
      <c r="BW1154" s="515"/>
    </row>
    <row r="1155" spans="2:75" ht="15.75" customHeight="1">
      <c r="B1155" s="250" t="s">
        <v>1216</v>
      </c>
      <c r="C1155" s="251">
        <v>34096196000181</v>
      </c>
      <c r="D1155" s="252" t="s">
        <v>14</v>
      </c>
      <c r="E1155" s="252" t="s">
        <v>614</v>
      </c>
      <c r="F1155" s="252"/>
      <c r="G1155" s="253"/>
      <c r="H1155" s="253" t="s">
        <v>1338</v>
      </c>
      <c r="I1155" s="253" t="s">
        <v>34</v>
      </c>
      <c r="J1155" s="253" t="s">
        <v>608</v>
      </c>
      <c r="K1155" s="254" t="s">
        <v>48</v>
      </c>
      <c r="L1155" s="255"/>
      <c r="M1155" s="255" t="s">
        <v>34</v>
      </c>
      <c r="N1155" s="254">
        <v>503401</v>
      </c>
      <c r="O1155" s="254" t="s">
        <v>1324</v>
      </c>
      <c r="P1155" s="258">
        <v>43677</v>
      </c>
      <c r="Q1155" s="259">
        <v>44765455.579999998</v>
      </c>
      <c r="R1155" s="259">
        <v>190431713.03650799</v>
      </c>
      <c r="S1155" s="254">
        <v>32</v>
      </c>
      <c r="T1155" s="256">
        <v>-4.0189070449539455E-2</v>
      </c>
      <c r="U1155" s="256">
        <v>-0.51953195785894624</v>
      </c>
      <c r="V1155" s="256">
        <v>-0.14034947598824032</v>
      </c>
      <c r="W1155" s="256">
        <v>-1.375894156180977</v>
      </c>
      <c r="X1155" s="256">
        <v>-0.11126291227626328</v>
      </c>
      <c r="Y1155" s="256">
        <v>-0.84372687587273199</v>
      </c>
      <c r="Z1155" s="256">
        <v>-5.3600172711395278E-2</v>
      </c>
      <c r="AA1155" s="256">
        <v>-0.30468075823842777</v>
      </c>
      <c r="AB1155" s="256">
        <v>0.28269199509625159</v>
      </c>
      <c r="AC1155" s="260">
        <v>-0.73719143186636027</v>
      </c>
      <c r="AD1155" s="405">
        <v>33589828000186</v>
      </c>
      <c r="AE1155" s="257" t="s">
        <v>2410</v>
      </c>
      <c r="AF1155" s="257" t="s">
        <v>2109</v>
      </c>
      <c r="AG1155" s="261" t="s">
        <v>1432</v>
      </c>
      <c r="AH1155" s="261" t="s">
        <v>2113</v>
      </c>
      <c r="AI1155" s="261">
        <v>10000</v>
      </c>
      <c r="AJ1155" s="261">
        <v>5000</v>
      </c>
      <c r="AK1155" s="261">
        <v>10000</v>
      </c>
      <c r="AL1155" s="256">
        <v>1.9199999999999998E-2</v>
      </c>
      <c r="AM1155" s="256">
        <v>0.2</v>
      </c>
      <c r="AN1155" s="256" t="s">
        <v>34</v>
      </c>
      <c r="AO1155" s="254" t="s">
        <v>1324</v>
      </c>
      <c r="AP1155" s="257" t="s">
        <v>13</v>
      </c>
      <c r="AQ1155" s="263" t="s">
        <v>668</v>
      </c>
      <c r="AR1155" s="256">
        <v>6.3999999999999994E-3</v>
      </c>
      <c r="AS1155" s="256">
        <v>6.3999999999999994E-3</v>
      </c>
      <c r="AT1155" s="256"/>
      <c r="AX1155" s="508"/>
      <c r="AY1155" s="509"/>
      <c r="AZ1155" s="509"/>
      <c r="BA1155" s="509"/>
      <c r="BB1155" s="510"/>
      <c r="BC1155" s="509"/>
      <c r="BD1155" s="509"/>
      <c r="BE1155" s="509"/>
      <c r="BF1155" s="509"/>
      <c r="BG1155" s="510"/>
      <c r="BH1155" s="510"/>
      <c r="BI1155" s="511"/>
      <c r="BJ1155" s="511"/>
      <c r="BK1155" s="511"/>
      <c r="BL1155" s="510"/>
      <c r="BM1155" s="510"/>
      <c r="BN1155" s="510"/>
      <c r="BO1155" s="510"/>
      <c r="BP1155" s="510"/>
      <c r="BQ1155" s="510"/>
      <c r="BR1155" s="510"/>
      <c r="BS1155" s="510"/>
      <c r="BT1155" s="513"/>
      <c r="BU1155" s="514"/>
      <c r="BV1155" s="512"/>
      <c r="BW1155" s="515"/>
    </row>
    <row r="1156" spans="2:75" ht="15.75" customHeight="1">
      <c r="B1156" s="250" t="s">
        <v>1217</v>
      </c>
      <c r="C1156" s="251">
        <v>9141867000131</v>
      </c>
      <c r="D1156" s="252" t="s">
        <v>14</v>
      </c>
      <c r="E1156" s="252" t="s">
        <v>614</v>
      </c>
      <c r="F1156" s="252"/>
      <c r="G1156" s="253"/>
      <c r="H1156" s="253" t="s">
        <v>1338</v>
      </c>
      <c r="I1156" s="253" t="s">
        <v>34</v>
      </c>
      <c r="J1156" s="253" t="s">
        <v>608</v>
      </c>
      <c r="K1156" s="254" t="s">
        <v>48</v>
      </c>
      <c r="L1156" s="255"/>
      <c r="M1156" s="255" t="s">
        <v>34</v>
      </c>
      <c r="N1156" s="254">
        <v>378631</v>
      </c>
      <c r="O1156" s="254" t="s">
        <v>1324</v>
      </c>
      <c r="P1156" s="258">
        <v>39398</v>
      </c>
      <c r="Q1156" s="259">
        <v>176505513.81</v>
      </c>
      <c r="R1156" s="259">
        <v>251387919.31730151</v>
      </c>
      <c r="S1156" s="254">
        <v>32</v>
      </c>
      <c r="T1156" s="256">
        <v>-4.1305432167165201E-2</v>
      </c>
      <c r="U1156" s="256">
        <v>-0.53396338367570151</v>
      </c>
      <c r="V1156" s="256">
        <v>-0.14177282254340107</v>
      </c>
      <c r="W1156" s="256">
        <v>-1.3898477117156629</v>
      </c>
      <c r="X1156" s="256">
        <v>-8.5247019986152694E-2</v>
      </c>
      <c r="Y1156" s="256">
        <v>-0.64644363857552389</v>
      </c>
      <c r="Z1156" s="256">
        <v>-3.0893044481516752E-2</v>
      </c>
      <c r="AA1156" s="256">
        <v>-0.17560607999535269</v>
      </c>
      <c r="AB1156" s="256">
        <v>0.28284959729717069</v>
      </c>
      <c r="AC1156" s="260">
        <v>-0.74247795566726593</v>
      </c>
      <c r="AD1156" s="405">
        <v>33589828000186</v>
      </c>
      <c r="AE1156" s="257" t="s">
        <v>2410</v>
      </c>
      <c r="AF1156" s="257" t="s">
        <v>2109</v>
      </c>
      <c r="AG1156" s="261" t="s">
        <v>1432</v>
      </c>
      <c r="AH1156" s="261" t="s">
        <v>2113</v>
      </c>
      <c r="AI1156" s="261">
        <v>10000</v>
      </c>
      <c r="AJ1156" s="261">
        <v>5000</v>
      </c>
      <c r="AK1156" s="261">
        <v>5000</v>
      </c>
      <c r="AL1156" s="256">
        <v>0.02</v>
      </c>
      <c r="AM1156" s="256">
        <v>0.2</v>
      </c>
      <c r="AN1156" s="256" t="s">
        <v>34</v>
      </c>
      <c r="AO1156" s="254" t="s">
        <v>1324</v>
      </c>
      <c r="AP1156" s="257" t="s">
        <v>13</v>
      </c>
      <c r="AQ1156" s="263" t="s">
        <v>674</v>
      </c>
      <c r="AR1156" s="256">
        <v>6.6666666666666662E-3</v>
      </c>
      <c r="AS1156" s="256">
        <v>6.6666666666666662E-3</v>
      </c>
      <c r="AT1156" s="256"/>
      <c r="AX1156" s="508"/>
      <c r="AY1156" s="509"/>
      <c r="AZ1156" s="509"/>
      <c r="BA1156" s="509"/>
      <c r="BB1156" s="510"/>
      <c r="BC1156" s="509"/>
      <c r="BD1156" s="509"/>
      <c r="BE1156" s="509"/>
      <c r="BF1156" s="509"/>
      <c r="BG1156" s="510"/>
      <c r="BH1156" s="510"/>
      <c r="BI1156" s="511"/>
      <c r="BJ1156" s="511"/>
      <c r="BK1156" s="511"/>
      <c r="BL1156" s="510"/>
      <c r="BM1156" s="510"/>
      <c r="BN1156" s="510"/>
      <c r="BO1156" s="510"/>
      <c r="BP1156" s="510"/>
      <c r="BQ1156" s="510"/>
      <c r="BR1156" s="510"/>
      <c r="BS1156" s="510"/>
      <c r="BT1156" s="513"/>
      <c r="BU1156" s="514"/>
      <c r="BV1156" s="512"/>
      <c r="BW1156" s="515"/>
    </row>
    <row r="1157" spans="2:75" ht="15.75" customHeight="1">
      <c r="B1157" s="250" t="s">
        <v>1218</v>
      </c>
      <c r="C1157" s="251">
        <v>34270970000129</v>
      </c>
      <c r="D1157" s="252" t="s">
        <v>14</v>
      </c>
      <c r="E1157" s="252" t="s">
        <v>614</v>
      </c>
      <c r="F1157" s="252"/>
      <c r="G1157" s="253"/>
      <c r="H1157" s="253" t="s">
        <v>1338</v>
      </c>
      <c r="I1157" s="253" t="s">
        <v>34</v>
      </c>
      <c r="J1157" s="253" t="s">
        <v>608</v>
      </c>
      <c r="K1157" s="254" t="s">
        <v>48</v>
      </c>
      <c r="L1157" s="255"/>
      <c r="M1157" s="255" t="s">
        <v>34</v>
      </c>
      <c r="N1157" s="254">
        <v>504122</v>
      </c>
      <c r="O1157" s="254" t="s">
        <v>1321</v>
      </c>
      <c r="P1157" s="258">
        <v>43691</v>
      </c>
      <c r="Q1157" s="259">
        <v>7352955.5499999998</v>
      </c>
      <c r="R1157" s="259">
        <v>12229804.678809522</v>
      </c>
      <c r="S1157" s="254">
        <v>32</v>
      </c>
      <c r="T1157" s="256">
        <v>-3.9087647732444775E-2</v>
      </c>
      <c r="U1157" s="256">
        <v>-0.50529365141787064</v>
      </c>
      <c r="V1157" s="256">
        <v>-0.13873987611493088</v>
      </c>
      <c r="W1157" s="256">
        <v>-1.3601146953466403</v>
      </c>
      <c r="X1157" s="256">
        <v>-0.11061493796825328</v>
      </c>
      <c r="Y1157" s="256">
        <v>-0.83881316898372305</v>
      </c>
      <c r="Z1157" s="256">
        <v>-5.7941726121531256E-2</v>
      </c>
      <c r="AA1157" s="256">
        <v>-0.32935955530229688</v>
      </c>
      <c r="AB1157" s="256">
        <v>0.2782292920517126</v>
      </c>
      <c r="AC1157" s="260">
        <v>-0.7467996587422645</v>
      </c>
      <c r="AD1157" s="405">
        <v>34096196000181</v>
      </c>
      <c r="AE1157" s="257" t="s">
        <v>2123</v>
      </c>
      <c r="AF1157" s="257" t="s">
        <v>2109</v>
      </c>
      <c r="AG1157" s="261" t="s">
        <v>1432</v>
      </c>
      <c r="AH1157" s="261" t="s">
        <v>2110</v>
      </c>
      <c r="AI1157" s="261">
        <v>100</v>
      </c>
      <c r="AJ1157" s="261">
        <v>100</v>
      </c>
      <c r="AK1157" s="261">
        <v>100</v>
      </c>
      <c r="AL1157" s="256">
        <v>0</v>
      </c>
      <c r="AM1157" s="256" t="s">
        <v>34</v>
      </c>
      <c r="AN1157" s="256" t="s">
        <v>34</v>
      </c>
      <c r="AO1157" s="254" t="s">
        <v>1324</v>
      </c>
      <c r="AP1157" s="257" t="s">
        <v>13</v>
      </c>
      <c r="AQ1157" s="263" t="s">
        <v>668</v>
      </c>
      <c r="AR1157" s="256">
        <v>7.6799999999999993E-3</v>
      </c>
      <c r="AS1157" s="256">
        <v>7.6799999999999993E-3</v>
      </c>
      <c r="AT1157" s="256"/>
      <c r="AX1157" s="508"/>
      <c r="AY1157" s="509"/>
      <c r="AZ1157" s="509"/>
      <c r="BA1157" s="509"/>
      <c r="BB1157" s="510"/>
      <c r="BC1157" s="509"/>
      <c r="BD1157" s="509"/>
      <c r="BE1157" s="509"/>
      <c r="BF1157" s="509"/>
      <c r="BG1157" s="510"/>
      <c r="BH1157" s="510"/>
      <c r="BI1157" s="511"/>
      <c r="BJ1157" s="511"/>
      <c r="BK1157" s="511"/>
      <c r="BL1157" s="510"/>
      <c r="BM1157" s="510"/>
      <c r="BN1157" s="510"/>
      <c r="BO1157" s="510"/>
      <c r="BP1157" s="510"/>
      <c r="BQ1157" s="510"/>
      <c r="BR1157" s="510"/>
      <c r="BS1157" s="510"/>
      <c r="BT1157" s="513"/>
      <c r="BU1157" s="514"/>
      <c r="BV1157" s="512"/>
      <c r="BW1157" s="515"/>
    </row>
    <row r="1158" spans="2:75" ht="15.75" customHeight="1">
      <c r="B1158" s="250" t="s">
        <v>403</v>
      </c>
      <c r="C1158" s="251">
        <v>32041875000128</v>
      </c>
      <c r="D1158" s="252" t="s">
        <v>14</v>
      </c>
      <c r="E1158" s="252" t="s">
        <v>614</v>
      </c>
      <c r="F1158" s="252"/>
      <c r="G1158" s="253"/>
      <c r="H1158" s="253" t="s">
        <v>1338</v>
      </c>
      <c r="I1158" s="253" t="s">
        <v>34</v>
      </c>
      <c r="J1158" s="253" t="s">
        <v>608</v>
      </c>
      <c r="K1158" s="254" t="s">
        <v>48</v>
      </c>
      <c r="L1158" s="255"/>
      <c r="M1158" s="255" t="s">
        <v>34</v>
      </c>
      <c r="N1158" s="254">
        <v>485225</v>
      </c>
      <c r="O1158" s="254" t="s">
        <v>1321</v>
      </c>
      <c r="P1158" s="258">
        <v>43481</v>
      </c>
      <c r="Q1158" s="259">
        <v>44545508.799999997</v>
      </c>
      <c r="R1158" s="259">
        <v>68570278.42249994</v>
      </c>
      <c r="S1158" s="254">
        <v>32</v>
      </c>
      <c r="T1158" s="256">
        <v>0.15522261477389621</v>
      </c>
      <c r="U1158" s="256">
        <v>2.0065930377444552</v>
      </c>
      <c r="V1158" s="256">
        <v>-9.847292457109269E-2</v>
      </c>
      <c r="W1158" s="256">
        <v>-0.96536392819000572</v>
      </c>
      <c r="X1158" s="256">
        <v>-3.549121185337345E-3</v>
      </c>
      <c r="Y1158" s="256">
        <v>-2.6913630683719273E-2</v>
      </c>
      <c r="Z1158" s="256">
        <v>6.2954564866568141E-2</v>
      </c>
      <c r="AA1158" s="256">
        <v>0.35785415583256913</v>
      </c>
      <c r="AB1158" s="256">
        <v>0.25782737643033654</v>
      </c>
      <c r="AC1158" s="260">
        <v>-0.65028170610717817</v>
      </c>
      <c r="AD1158" s="405">
        <v>31493876000140</v>
      </c>
      <c r="AE1158" s="257" t="s">
        <v>2123</v>
      </c>
      <c r="AF1158" s="257" t="s">
        <v>2109</v>
      </c>
      <c r="AG1158" s="261" t="s">
        <v>1432</v>
      </c>
      <c r="AH1158" s="261" t="s">
        <v>2110</v>
      </c>
      <c r="AI1158" s="261">
        <v>30000</v>
      </c>
      <c r="AJ1158" s="261">
        <v>30000</v>
      </c>
      <c r="AK1158" s="261">
        <v>30000</v>
      </c>
      <c r="AL1158" s="256">
        <v>0</v>
      </c>
      <c r="AM1158" s="256" t="s">
        <v>34</v>
      </c>
      <c r="AN1158" s="256" t="s">
        <v>34</v>
      </c>
      <c r="AO1158" s="254" t="s">
        <v>1324</v>
      </c>
      <c r="AP1158" s="257" t="s">
        <v>716</v>
      </c>
      <c r="AQ1158" s="263" t="s">
        <v>659</v>
      </c>
      <c r="AR1158" s="256">
        <v>5.0000000000000001E-3</v>
      </c>
      <c r="AS1158" s="256">
        <v>5.0000000000000001E-3</v>
      </c>
      <c r="AT1158" s="256"/>
      <c r="AX1158" s="508"/>
      <c r="AY1158" s="509"/>
      <c r="AZ1158" s="509"/>
      <c r="BA1158" s="509"/>
      <c r="BB1158" s="510"/>
      <c r="BC1158" s="509"/>
      <c r="BD1158" s="509"/>
      <c r="BE1158" s="509"/>
      <c r="BF1158" s="509"/>
      <c r="BG1158" s="510"/>
      <c r="BH1158" s="510"/>
      <c r="BI1158" s="511"/>
      <c r="BJ1158" s="511"/>
      <c r="BK1158" s="511"/>
      <c r="BL1158" s="510"/>
      <c r="BM1158" s="510"/>
      <c r="BN1158" s="510"/>
      <c r="BO1158" s="510"/>
      <c r="BP1158" s="510"/>
      <c r="BQ1158" s="510"/>
      <c r="BR1158" s="510"/>
      <c r="BS1158" s="510"/>
      <c r="BT1158" s="513"/>
      <c r="BU1158" s="514"/>
      <c r="BV1158" s="512"/>
      <c r="BW1158" s="515"/>
    </row>
    <row r="1159" spans="2:75" ht="15.75" customHeight="1">
      <c r="B1159" s="250" t="s">
        <v>404</v>
      </c>
      <c r="C1159" s="251">
        <v>31493876000140</v>
      </c>
      <c r="D1159" s="252" t="s">
        <v>14</v>
      </c>
      <c r="E1159" s="252" t="s">
        <v>607</v>
      </c>
      <c r="F1159" s="252"/>
      <c r="G1159" s="253"/>
      <c r="H1159" s="253" t="s">
        <v>34</v>
      </c>
      <c r="I1159" s="253" t="s">
        <v>34</v>
      </c>
      <c r="J1159" s="253" t="s">
        <v>608</v>
      </c>
      <c r="K1159" s="254" t="s">
        <v>48</v>
      </c>
      <c r="L1159" s="255"/>
      <c r="M1159" s="255" t="s">
        <v>34</v>
      </c>
      <c r="N1159" s="254">
        <v>478857</v>
      </c>
      <c r="O1159" s="254" t="s">
        <v>1324</v>
      </c>
      <c r="P1159" s="258">
        <v>43404</v>
      </c>
      <c r="Q1159" s="259">
        <v>446988980.11000001</v>
      </c>
      <c r="R1159" s="259">
        <v>671845072.05765831</v>
      </c>
      <c r="S1159" s="254">
        <v>32</v>
      </c>
      <c r="T1159" s="256">
        <v>0.15661963187823558</v>
      </c>
      <c r="U1159" s="256">
        <v>2.0246525505239599</v>
      </c>
      <c r="V1159" s="256">
        <v>-0.10019889815004768</v>
      </c>
      <c r="W1159" s="256">
        <v>-0.98228424046253537</v>
      </c>
      <c r="X1159" s="256">
        <v>-4.9874639724586389E-3</v>
      </c>
      <c r="Y1159" s="256">
        <v>-3.78208453286017E-2</v>
      </c>
      <c r="Z1159" s="256">
        <v>5.436031483473025E-2</v>
      </c>
      <c r="AA1159" s="256">
        <v>0.30900165249661787</v>
      </c>
      <c r="AB1159" s="256">
        <v>0.26080573489654452</v>
      </c>
      <c r="AC1159" s="260">
        <v>-0.64723912529213301</v>
      </c>
      <c r="AD1159" s="405">
        <v>31493903000185</v>
      </c>
      <c r="AE1159" s="257" t="s">
        <v>2413</v>
      </c>
      <c r="AF1159" s="257" t="s">
        <v>2109</v>
      </c>
      <c r="AG1159" s="261" t="s">
        <v>1432</v>
      </c>
      <c r="AH1159" s="261" t="s">
        <v>2110</v>
      </c>
      <c r="AI1159" s="261">
        <v>30000</v>
      </c>
      <c r="AJ1159" s="261">
        <v>0</v>
      </c>
      <c r="AK1159" s="261">
        <v>30000</v>
      </c>
      <c r="AL1159" s="256">
        <v>1.9299999999999998E-2</v>
      </c>
      <c r="AM1159" s="256">
        <v>0.2</v>
      </c>
      <c r="AN1159" s="256" t="s">
        <v>2127</v>
      </c>
      <c r="AO1159" s="254" t="s">
        <v>1324</v>
      </c>
      <c r="AP1159" s="257" t="s">
        <v>716</v>
      </c>
      <c r="AQ1159" s="263" t="s">
        <v>659</v>
      </c>
      <c r="AR1159" s="256">
        <v>5.0000000000000001E-3</v>
      </c>
      <c r="AS1159" s="256">
        <v>5.0000000000000001E-3</v>
      </c>
      <c r="AT1159" s="256"/>
      <c r="AX1159" s="508"/>
      <c r="AY1159" s="509"/>
      <c r="AZ1159" s="509"/>
      <c r="BA1159" s="509"/>
      <c r="BB1159" s="510"/>
      <c r="BC1159" s="509"/>
      <c r="BD1159" s="509"/>
      <c r="BE1159" s="509"/>
      <c r="BF1159" s="509"/>
      <c r="BG1159" s="510"/>
      <c r="BH1159" s="510"/>
      <c r="BI1159" s="511"/>
      <c r="BJ1159" s="511"/>
      <c r="BK1159" s="511"/>
      <c r="BL1159" s="510"/>
      <c r="BM1159" s="510"/>
      <c r="BN1159" s="510"/>
      <c r="BO1159" s="510"/>
      <c r="BP1159" s="510"/>
      <c r="BQ1159" s="510"/>
      <c r="BR1159" s="510"/>
      <c r="BS1159" s="510"/>
      <c r="BT1159" s="513"/>
      <c r="BU1159" s="514"/>
      <c r="BV1159" s="512"/>
      <c r="BW1159" s="515"/>
    </row>
    <row r="1160" spans="2:75" ht="15.75" customHeight="1">
      <c r="B1160" s="250" t="s">
        <v>405</v>
      </c>
      <c r="C1160" s="251">
        <v>31533145000181</v>
      </c>
      <c r="D1160" s="252" t="s">
        <v>14</v>
      </c>
      <c r="E1160" s="252" t="s">
        <v>607</v>
      </c>
      <c r="F1160" s="252"/>
      <c r="G1160" s="253"/>
      <c r="H1160" s="253" t="s">
        <v>34</v>
      </c>
      <c r="I1160" s="253" t="s">
        <v>34</v>
      </c>
      <c r="J1160" s="253" t="s">
        <v>608</v>
      </c>
      <c r="K1160" s="254" t="s">
        <v>48</v>
      </c>
      <c r="L1160" s="255"/>
      <c r="M1160" s="255" t="s">
        <v>34</v>
      </c>
      <c r="N1160" s="254">
        <v>478415</v>
      </c>
      <c r="O1160" s="254" t="s">
        <v>1321</v>
      </c>
      <c r="P1160" s="258">
        <v>43404</v>
      </c>
      <c r="Q1160" s="259">
        <v>675920525.52999997</v>
      </c>
      <c r="R1160" s="259">
        <v>815990751.21250033</v>
      </c>
      <c r="S1160" s="254">
        <v>32</v>
      </c>
      <c r="T1160" s="256">
        <v>0.10709739838854992</v>
      </c>
      <c r="U1160" s="256">
        <v>1.3844689723855135</v>
      </c>
      <c r="V1160" s="256">
        <v>-0.12562839803609105</v>
      </c>
      <c r="W1160" s="256">
        <v>-1.2315783688620139</v>
      </c>
      <c r="X1160" s="256">
        <v>1.1172245279605697E-2</v>
      </c>
      <c r="Y1160" s="256">
        <v>8.4721165511471103E-2</v>
      </c>
      <c r="Z1160" s="256">
        <v>0.12044086327028558</v>
      </c>
      <c r="AA1160" s="256">
        <v>0.68462491234249179</v>
      </c>
      <c r="AB1160" s="256">
        <v>0.26072413463000105</v>
      </c>
      <c r="AC1160" s="260">
        <v>-0.75734246060467603</v>
      </c>
      <c r="AD1160" s="405">
        <v>31533735000104</v>
      </c>
      <c r="AE1160" s="257" t="s">
        <v>2413</v>
      </c>
      <c r="AF1160" s="257" t="s">
        <v>2109</v>
      </c>
      <c r="AG1160" s="261" t="s">
        <v>1432</v>
      </c>
      <c r="AH1160" s="261" t="s">
        <v>2113</v>
      </c>
      <c r="AI1160" s="261">
        <v>500</v>
      </c>
      <c r="AJ1160" s="261">
        <v>500</v>
      </c>
      <c r="AK1160" s="261">
        <v>500</v>
      </c>
      <c r="AL1160" s="256">
        <v>2.9300000000000003E-2</v>
      </c>
      <c r="AM1160" s="256" t="s">
        <v>34</v>
      </c>
      <c r="AN1160" s="256" t="s">
        <v>34</v>
      </c>
      <c r="AO1160" s="254" t="s">
        <v>1324</v>
      </c>
      <c r="AP1160" s="257" t="s">
        <v>716</v>
      </c>
      <c r="AQ1160" s="263" t="s">
        <v>659</v>
      </c>
      <c r="AR1160" s="256">
        <v>7.4999999999999997E-3</v>
      </c>
      <c r="AS1160" s="256">
        <v>7.4999999999999997E-3</v>
      </c>
      <c r="AT1160" s="256"/>
      <c r="AX1160" s="508"/>
      <c r="AY1160" s="509"/>
      <c r="AZ1160" s="509"/>
      <c r="BA1160" s="509"/>
      <c r="BB1160" s="510"/>
      <c r="BC1160" s="509"/>
      <c r="BD1160" s="509"/>
      <c r="BE1160" s="509"/>
      <c r="BF1160" s="509"/>
      <c r="BG1160" s="510"/>
      <c r="BH1160" s="510"/>
      <c r="BI1160" s="511"/>
      <c r="BJ1160" s="511"/>
      <c r="BK1160" s="511"/>
      <c r="BL1160" s="510"/>
      <c r="BM1160" s="510"/>
      <c r="BN1160" s="510"/>
      <c r="BO1160" s="510"/>
      <c r="BP1160" s="510"/>
      <c r="BQ1160" s="510"/>
      <c r="BR1160" s="510"/>
      <c r="BS1160" s="510"/>
      <c r="BT1160" s="513"/>
      <c r="BU1160" s="514"/>
      <c r="BV1160" s="512"/>
      <c r="BW1160" s="515"/>
    </row>
    <row r="1161" spans="2:75" ht="15.75" customHeight="1">
      <c r="B1161" s="250" t="s">
        <v>574</v>
      </c>
      <c r="C1161" s="251">
        <v>41360111000196</v>
      </c>
      <c r="D1161" s="252" t="s">
        <v>14</v>
      </c>
      <c r="E1161" s="252" t="s">
        <v>614</v>
      </c>
      <c r="F1161" s="252"/>
      <c r="G1161" s="253"/>
      <c r="H1161" s="253" t="s">
        <v>1338</v>
      </c>
      <c r="I1161" s="253" t="s">
        <v>34</v>
      </c>
      <c r="J1161" s="253" t="s">
        <v>608</v>
      </c>
      <c r="K1161" s="254" t="s">
        <v>48</v>
      </c>
      <c r="L1161" s="255"/>
      <c r="M1161" s="255" t="s">
        <v>34</v>
      </c>
      <c r="N1161" s="254">
        <v>600954</v>
      </c>
      <c r="O1161" s="254" t="s">
        <v>1321</v>
      </c>
      <c r="P1161" s="258">
        <v>44354</v>
      </c>
      <c r="Q1161" s="259">
        <v>66911093.57</v>
      </c>
      <c r="R1161" s="259">
        <v>65112902.945833333</v>
      </c>
      <c r="S1161" s="254">
        <v>32</v>
      </c>
      <c r="T1161" s="256">
        <v>2.8924467141558052E-2</v>
      </c>
      <c r="U1161" s="256">
        <v>0.37391223225598685</v>
      </c>
      <c r="V1161" s="256">
        <v>-6.6421297638921684E-2</v>
      </c>
      <c r="W1161" s="256">
        <v>-0.65115081209855741</v>
      </c>
      <c r="X1161" s="256" t="s">
        <v>1417</v>
      </c>
      <c r="Y1161" s="256" t="s">
        <v>1417</v>
      </c>
      <c r="Z1161" s="256" t="s">
        <v>1417</v>
      </c>
      <c r="AA1161" s="256" t="s">
        <v>1417</v>
      </c>
      <c r="AB1161" s="256">
        <v>0.23043349352717693</v>
      </c>
      <c r="AC1161" s="260">
        <v>-0.60485034504896384</v>
      </c>
      <c r="AD1161" s="405">
        <v>41301308000154</v>
      </c>
      <c r="AE1161" s="257" t="s">
        <v>2414</v>
      </c>
      <c r="AF1161" s="257" t="s">
        <v>2112</v>
      </c>
      <c r="AG1161" s="261" t="s">
        <v>59</v>
      </c>
      <c r="AH1161" s="261" t="s">
        <v>2110</v>
      </c>
      <c r="AI1161" s="261">
        <v>20000</v>
      </c>
      <c r="AJ1161" s="261" t="s">
        <v>1427</v>
      </c>
      <c r="AK1161" s="261" t="s">
        <v>1427</v>
      </c>
      <c r="AL1161" s="256">
        <v>0.02</v>
      </c>
      <c r="AM1161" s="256">
        <v>0.2</v>
      </c>
      <c r="AN1161" s="256" t="s">
        <v>2141</v>
      </c>
      <c r="AO1161" s="254" t="s">
        <v>1324</v>
      </c>
      <c r="AP1161" s="257" t="s">
        <v>716</v>
      </c>
      <c r="AQ1161" s="263" t="s">
        <v>659</v>
      </c>
      <c r="AR1161" s="256">
        <v>6.6666666666666662E-3</v>
      </c>
      <c r="AS1161" s="256">
        <v>6.6666666666666662E-3</v>
      </c>
      <c r="AT1161" s="256"/>
      <c r="AX1161" s="508"/>
      <c r="AY1161" s="509"/>
      <c r="AZ1161" s="509"/>
      <c r="BA1161" s="509"/>
      <c r="BB1161" s="510"/>
      <c r="BC1161" s="509"/>
      <c r="BD1161" s="509"/>
      <c r="BE1161" s="509"/>
      <c r="BF1161" s="509"/>
      <c r="BG1161" s="510"/>
      <c r="BH1161" s="510"/>
      <c r="BI1161" s="511"/>
      <c r="BJ1161" s="511"/>
      <c r="BK1161" s="511"/>
      <c r="BL1161" s="510"/>
      <c r="BM1161" s="510"/>
      <c r="BN1161" s="510"/>
      <c r="BO1161" s="510"/>
      <c r="BP1161" s="510"/>
      <c r="BQ1161" s="510"/>
      <c r="BR1161" s="510"/>
      <c r="BS1161" s="510"/>
      <c r="BT1161" s="513"/>
      <c r="BU1161" s="514"/>
      <c r="BV1161" s="512"/>
      <c r="BW1161" s="515"/>
    </row>
    <row r="1162" spans="2:75" ht="15.75" customHeight="1">
      <c r="B1162" s="250" t="s">
        <v>598</v>
      </c>
      <c r="C1162" s="251">
        <v>42887842000157</v>
      </c>
      <c r="D1162" s="252" t="s">
        <v>14</v>
      </c>
      <c r="E1162" s="252" t="s">
        <v>607</v>
      </c>
      <c r="F1162" s="252"/>
      <c r="G1162" s="253"/>
      <c r="H1162" s="253" t="s">
        <v>34</v>
      </c>
      <c r="I1162" s="253" t="s">
        <v>34</v>
      </c>
      <c r="J1162" s="253" t="s">
        <v>608</v>
      </c>
      <c r="K1162" s="254" t="s">
        <v>48</v>
      </c>
      <c r="L1162" s="255"/>
      <c r="M1162" s="255" t="s">
        <v>34</v>
      </c>
      <c r="N1162" s="254">
        <v>610828</v>
      </c>
      <c r="O1162" s="254" t="s">
        <v>1321</v>
      </c>
      <c r="P1162" s="258">
        <v>44440</v>
      </c>
      <c r="Q1162" s="259">
        <v>33668951.579999998</v>
      </c>
      <c r="R1162" s="259" t="s">
        <v>1417</v>
      </c>
      <c r="S1162" s="254">
        <v>32</v>
      </c>
      <c r="T1162" s="256">
        <v>-2.1475059800919016E-2</v>
      </c>
      <c r="U1162" s="256">
        <v>-0.27761228957803036</v>
      </c>
      <c r="V1162" s="256" t="s">
        <v>1417</v>
      </c>
      <c r="W1162" s="256" t="s">
        <v>1417</v>
      </c>
      <c r="X1162" s="256" t="s">
        <v>1417</v>
      </c>
      <c r="Y1162" s="256" t="s">
        <v>1417</v>
      </c>
      <c r="Z1162" s="256" t="s">
        <v>1417</v>
      </c>
      <c r="AA1162" s="256" t="s">
        <v>1417</v>
      </c>
      <c r="AB1162" s="256" t="s">
        <v>1417</v>
      </c>
      <c r="AC1162" s="260" t="s">
        <v>1417</v>
      </c>
      <c r="AD1162" s="405">
        <v>43104134000165</v>
      </c>
      <c r="AE1162" s="257" t="s">
        <v>2260</v>
      </c>
      <c r="AF1162" s="257" t="s">
        <v>2109</v>
      </c>
      <c r="AG1162" s="261" t="s">
        <v>1432</v>
      </c>
      <c r="AH1162" s="261" t="s">
        <v>2113</v>
      </c>
      <c r="AI1162" s="261">
        <v>50</v>
      </c>
      <c r="AJ1162" s="261">
        <v>50</v>
      </c>
      <c r="AK1162" s="261">
        <v>30</v>
      </c>
      <c r="AL1162" s="256">
        <v>0.02</v>
      </c>
      <c r="AM1162" s="256">
        <v>0.2</v>
      </c>
      <c r="AN1162" s="256" t="s">
        <v>34</v>
      </c>
      <c r="AO1162" s="254" t="s">
        <v>1324</v>
      </c>
      <c r="AP1162" s="257" t="s">
        <v>716</v>
      </c>
      <c r="AQ1162" s="263" t="s">
        <v>681</v>
      </c>
      <c r="AR1162" s="256">
        <v>5.3333333333333332E-3</v>
      </c>
      <c r="AS1162" s="256">
        <v>5.3333333333333332E-3</v>
      </c>
      <c r="AT1162" s="256"/>
      <c r="AX1162" s="508"/>
      <c r="AY1162" s="509"/>
      <c r="AZ1162" s="509"/>
      <c r="BA1162" s="509"/>
      <c r="BB1162" s="510"/>
      <c r="BC1162" s="509"/>
      <c r="BD1162" s="509"/>
      <c r="BE1162" s="509"/>
      <c r="BF1162" s="509"/>
      <c r="BG1162" s="510"/>
      <c r="BH1162" s="510"/>
      <c r="BI1162" s="511"/>
      <c r="BJ1162" s="511"/>
      <c r="BK1162" s="511"/>
      <c r="BL1162" s="510"/>
      <c r="BM1162" s="510"/>
      <c r="BN1162" s="510"/>
      <c r="BO1162" s="510"/>
      <c r="BP1162" s="510"/>
      <c r="BQ1162" s="510"/>
      <c r="BR1162" s="510"/>
      <c r="BS1162" s="510"/>
      <c r="BT1162" s="513"/>
      <c r="BU1162" s="514"/>
      <c r="BV1162" s="512"/>
      <c r="BW1162" s="515"/>
    </row>
    <row r="1163" spans="2:75" ht="15.75" customHeight="1">
      <c r="B1163" s="250" t="s">
        <v>1227</v>
      </c>
      <c r="C1163" s="251">
        <v>40265153000185</v>
      </c>
      <c r="D1163" s="252" t="s">
        <v>14</v>
      </c>
      <c r="E1163" s="252" t="s">
        <v>607</v>
      </c>
      <c r="F1163" s="252"/>
      <c r="G1163" s="253"/>
      <c r="H1163" s="253" t="s">
        <v>34</v>
      </c>
      <c r="I1163" s="253" t="s">
        <v>34</v>
      </c>
      <c r="J1163" s="253" t="s">
        <v>608</v>
      </c>
      <c r="K1163" s="254" t="s">
        <v>48</v>
      </c>
      <c r="L1163" s="255"/>
      <c r="M1163" s="255" t="s">
        <v>34</v>
      </c>
      <c r="N1163" s="254">
        <v>573035</v>
      </c>
      <c r="O1163" s="254" t="s">
        <v>1321</v>
      </c>
      <c r="P1163" s="258">
        <v>44232</v>
      </c>
      <c r="Q1163" s="259">
        <v>28673784.129999999</v>
      </c>
      <c r="R1163" s="259">
        <v>26997006.577896815</v>
      </c>
      <c r="S1163" s="254">
        <v>32</v>
      </c>
      <c r="T1163" s="256">
        <v>6.4031713230003895E-3</v>
      </c>
      <c r="U1163" s="256">
        <v>8.2775045472164521E-2</v>
      </c>
      <c r="V1163" s="256">
        <v>-1.9665567706194431E-2</v>
      </c>
      <c r="W1163" s="256">
        <v>-0.19278831997350232</v>
      </c>
      <c r="X1163" s="256" t="s">
        <v>1417</v>
      </c>
      <c r="Y1163" s="256" t="s">
        <v>1417</v>
      </c>
      <c r="Z1163" s="256" t="s">
        <v>1417</v>
      </c>
      <c r="AA1163" s="256" t="s">
        <v>1417</v>
      </c>
      <c r="AB1163" s="256">
        <v>0.19124022744236471</v>
      </c>
      <c r="AC1163" s="260">
        <v>-0.51657014692408165</v>
      </c>
      <c r="AD1163" s="405">
        <v>40265107000186</v>
      </c>
      <c r="AE1163" s="257" t="s">
        <v>2260</v>
      </c>
      <c r="AF1163" s="257" t="s">
        <v>2109</v>
      </c>
      <c r="AG1163" s="261" t="s">
        <v>1432</v>
      </c>
      <c r="AH1163" s="261" t="s">
        <v>2113</v>
      </c>
      <c r="AI1163" s="261">
        <v>50</v>
      </c>
      <c r="AJ1163" s="261">
        <v>50</v>
      </c>
      <c r="AK1163" s="261">
        <v>30</v>
      </c>
      <c r="AL1163" s="256">
        <v>0.02</v>
      </c>
      <c r="AM1163" s="256">
        <v>0.2</v>
      </c>
      <c r="AN1163" s="256" t="s">
        <v>34</v>
      </c>
      <c r="AO1163" s="254" t="s">
        <v>1324</v>
      </c>
      <c r="AP1163" s="257" t="s">
        <v>716</v>
      </c>
      <c r="AQ1163" s="263" t="s">
        <v>659</v>
      </c>
      <c r="AR1163" s="256">
        <v>5.3333333333333332E-3</v>
      </c>
      <c r="AS1163" s="256">
        <v>5.3333333333333332E-3</v>
      </c>
      <c r="AT1163" s="256"/>
      <c r="AX1163" s="508"/>
      <c r="AY1163" s="509"/>
      <c r="AZ1163" s="509"/>
      <c r="BA1163" s="509"/>
      <c r="BB1163" s="510"/>
      <c r="BC1163" s="509"/>
      <c r="BD1163" s="509"/>
      <c r="BE1163" s="509"/>
      <c r="BF1163" s="509"/>
      <c r="BG1163" s="510"/>
      <c r="BH1163" s="510"/>
      <c r="BI1163" s="511"/>
      <c r="BJ1163" s="511"/>
      <c r="BK1163" s="511"/>
      <c r="BL1163" s="510"/>
      <c r="BM1163" s="510"/>
      <c r="BN1163" s="510"/>
      <c r="BO1163" s="510"/>
      <c r="BP1163" s="510"/>
      <c r="BQ1163" s="510"/>
      <c r="BR1163" s="510"/>
      <c r="BS1163" s="510"/>
      <c r="BT1163" s="513"/>
      <c r="BU1163" s="514"/>
      <c r="BV1163" s="512"/>
      <c r="BW1163" s="515"/>
    </row>
    <row r="1164" spans="2:75" ht="15.75" customHeight="1">
      <c r="B1164" s="250" t="s">
        <v>1229</v>
      </c>
      <c r="C1164" s="251">
        <v>5382556000103</v>
      </c>
      <c r="D1164" s="252" t="s">
        <v>14</v>
      </c>
      <c r="E1164" s="252" t="s">
        <v>607</v>
      </c>
      <c r="F1164" s="252"/>
      <c r="G1164" s="253"/>
      <c r="H1164" s="253" t="s">
        <v>34</v>
      </c>
      <c r="I1164" s="253" t="s">
        <v>34</v>
      </c>
      <c r="J1164" s="253" t="s">
        <v>608</v>
      </c>
      <c r="K1164" s="254" t="s">
        <v>48</v>
      </c>
      <c r="L1164" s="255"/>
      <c r="M1164" s="255" t="s">
        <v>34</v>
      </c>
      <c r="N1164" s="254">
        <v>147370</v>
      </c>
      <c r="O1164" s="254" t="s">
        <v>1321</v>
      </c>
      <c r="P1164" s="258">
        <v>38538</v>
      </c>
      <c r="Q1164" s="259">
        <v>21445441.859999999</v>
      </c>
      <c r="R1164" s="259">
        <v>26261499.53861111</v>
      </c>
      <c r="S1164" s="254">
        <v>32</v>
      </c>
      <c r="T1164" s="256">
        <v>-0.13200715215544423</v>
      </c>
      <c r="U1164" s="256">
        <v>-1.7064822212499735</v>
      </c>
      <c r="V1164" s="256">
        <v>-0.28501335083782531</v>
      </c>
      <c r="W1164" s="256">
        <v>-2.7940838474108722</v>
      </c>
      <c r="X1164" s="256">
        <v>-0.25740466417697694</v>
      </c>
      <c r="Y1164" s="256">
        <v>-1.9519463287268572</v>
      </c>
      <c r="Z1164" s="256">
        <v>-0.13131655743948578</v>
      </c>
      <c r="AA1164" s="256">
        <v>-0.74644588377262111</v>
      </c>
      <c r="AB1164" s="256">
        <v>0.32962426635766856</v>
      </c>
      <c r="AC1164" s="260">
        <v>-1.1475155482864354</v>
      </c>
      <c r="AD1164" s="405">
        <v>0</v>
      </c>
      <c r="AE1164" s="257" t="s">
        <v>2417</v>
      </c>
      <c r="AF1164" s="257" t="s">
        <v>2109</v>
      </c>
      <c r="AG1164" s="261" t="s">
        <v>1432</v>
      </c>
      <c r="AH1164" s="261" t="s">
        <v>2113</v>
      </c>
      <c r="AI1164" s="261">
        <v>1000</v>
      </c>
      <c r="AJ1164" s="261">
        <v>100</v>
      </c>
      <c r="AK1164" s="261">
        <v>100</v>
      </c>
      <c r="AL1164" s="256">
        <v>0.02</v>
      </c>
      <c r="AM1164" s="256">
        <v>0.2</v>
      </c>
      <c r="AN1164" s="256" t="s">
        <v>666</v>
      </c>
      <c r="AO1164" s="254" t="s">
        <v>1324</v>
      </c>
      <c r="AP1164" s="257" t="s">
        <v>716</v>
      </c>
      <c r="AQ1164" s="263" t="s">
        <v>659</v>
      </c>
      <c r="AR1164" s="256">
        <v>4.0000000000000001E-3</v>
      </c>
      <c r="AS1164" s="256">
        <v>4.0000000000000001E-3</v>
      </c>
      <c r="AT1164" s="256"/>
      <c r="AX1164" s="508"/>
      <c r="AY1164" s="509"/>
      <c r="AZ1164" s="509"/>
      <c r="BA1164" s="509"/>
      <c r="BB1164" s="510"/>
      <c r="BC1164" s="509"/>
      <c r="BD1164" s="509"/>
      <c r="BE1164" s="509"/>
      <c r="BF1164" s="509"/>
      <c r="BG1164" s="510"/>
      <c r="BH1164" s="510"/>
      <c r="BI1164" s="511"/>
      <c r="BJ1164" s="511"/>
      <c r="BK1164" s="511"/>
      <c r="BL1164" s="510"/>
      <c r="BM1164" s="510"/>
      <c r="BN1164" s="510"/>
      <c r="BO1164" s="510"/>
      <c r="BP1164" s="510"/>
      <c r="BQ1164" s="510"/>
      <c r="BR1164" s="510"/>
      <c r="BS1164" s="510"/>
      <c r="BT1164" s="513"/>
      <c r="BU1164" s="514"/>
      <c r="BV1164" s="512"/>
      <c r="BW1164" s="515"/>
    </row>
    <row r="1165" spans="2:75" ht="15.75" customHeight="1">
      <c r="B1165" s="250" t="s">
        <v>1232</v>
      </c>
      <c r="C1165" s="251">
        <v>26277595000110</v>
      </c>
      <c r="D1165" s="252" t="s">
        <v>14</v>
      </c>
      <c r="E1165" s="252" t="s">
        <v>607</v>
      </c>
      <c r="F1165" s="252"/>
      <c r="G1165" s="253"/>
      <c r="H1165" s="253" t="s">
        <v>34</v>
      </c>
      <c r="I1165" s="253" t="s">
        <v>34</v>
      </c>
      <c r="J1165" s="253" t="s">
        <v>608</v>
      </c>
      <c r="K1165" s="254" t="s">
        <v>48</v>
      </c>
      <c r="L1165" s="255"/>
      <c r="M1165" s="255" t="s">
        <v>34</v>
      </c>
      <c r="N1165" s="254">
        <v>446246</v>
      </c>
      <c r="O1165" s="254" t="s">
        <v>1321</v>
      </c>
      <c r="P1165" s="258">
        <v>42957</v>
      </c>
      <c r="Q1165" s="259">
        <v>1027983445.8200001</v>
      </c>
      <c r="R1165" s="259">
        <v>987290690.1320231</v>
      </c>
      <c r="S1165" s="254">
        <v>32</v>
      </c>
      <c r="T1165" s="256">
        <v>5.9304340477192019E-2</v>
      </c>
      <c r="U1165" s="256">
        <v>0.76663878445096501</v>
      </c>
      <c r="V1165" s="256">
        <v>-0.15080988294062447</v>
      </c>
      <c r="W1165" s="256">
        <v>-1.4784411211462478</v>
      </c>
      <c r="X1165" s="256">
        <v>-1.1036889488950208E-2</v>
      </c>
      <c r="Y1165" s="256">
        <v>-8.3694737962123164E-2</v>
      </c>
      <c r="Z1165" s="256">
        <v>0.19230160358523207</v>
      </c>
      <c r="AA1165" s="256">
        <v>1.0931046567011868</v>
      </c>
      <c r="AB1165" s="256">
        <v>0.24057504031501303</v>
      </c>
      <c r="AC1165" s="260">
        <v>-0.96288578209137743</v>
      </c>
      <c r="AD1165" s="405">
        <v>26855139000100</v>
      </c>
      <c r="AE1165" s="257" t="s">
        <v>2418</v>
      </c>
      <c r="AF1165" s="257" t="s">
        <v>2112</v>
      </c>
      <c r="AG1165" s="261" t="s">
        <v>59</v>
      </c>
      <c r="AH1165" s="261" t="s">
        <v>2113</v>
      </c>
      <c r="AI1165" s="261">
        <v>10000</v>
      </c>
      <c r="AJ1165" s="261">
        <v>5000</v>
      </c>
      <c r="AK1165" s="261">
        <v>10000</v>
      </c>
      <c r="AL1165" s="256">
        <v>2.8999999999999998E-2</v>
      </c>
      <c r="AM1165" s="256" t="s">
        <v>34</v>
      </c>
      <c r="AN1165" s="256" t="s">
        <v>666</v>
      </c>
      <c r="AO1165" s="254" t="s">
        <v>1324</v>
      </c>
      <c r="AP1165" s="257" t="s">
        <v>716</v>
      </c>
      <c r="AQ1165" s="263" t="s">
        <v>659</v>
      </c>
      <c r="AR1165" s="256">
        <v>5.8000000000000005E-3</v>
      </c>
      <c r="AS1165" s="256">
        <v>5.8000000000000005E-3</v>
      </c>
      <c r="AT1165" s="256"/>
      <c r="AX1165" s="508"/>
      <c r="AY1165" s="509"/>
      <c r="AZ1165" s="509"/>
      <c r="BA1165" s="509"/>
      <c r="BB1165" s="510"/>
      <c r="BC1165" s="509"/>
      <c r="BD1165" s="509"/>
      <c r="BE1165" s="509"/>
      <c r="BF1165" s="509"/>
      <c r="BG1165" s="510"/>
      <c r="BH1165" s="510"/>
      <c r="BI1165" s="511"/>
      <c r="BJ1165" s="511"/>
      <c r="BK1165" s="511"/>
      <c r="BL1165" s="510"/>
      <c r="BM1165" s="510"/>
      <c r="BN1165" s="510"/>
      <c r="BO1165" s="510"/>
      <c r="BP1165" s="510"/>
      <c r="BQ1165" s="510"/>
      <c r="BR1165" s="510"/>
      <c r="BS1165" s="510"/>
      <c r="BT1165" s="513"/>
      <c r="BU1165" s="514"/>
      <c r="BV1165" s="512"/>
      <c r="BW1165" s="515"/>
    </row>
    <row r="1166" spans="2:75" ht="15.75" customHeight="1">
      <c r="B1166" s="250" t="s">
        <v>1252</v>
      </c>
      <c r="C1166" s="251">
        <v>36896492000192</v>
      </c>
      <c r="D1166" s="252" t="s">
        <v>14</v>
      </c>
      <c r="E1166" s="252" t="s">
        <v>607</v>
      </c>
      <c r="F1166" s="252"/>
      <c r="G1166" s="253"/>
      <c r="H1166" s="253" t="s">
        <v>34</v>
      </c>
      <c r="I1166" s="253" t="s">
        <v>34</v>
      </c>
      <c r="J1166" s="253" t="s">
        <v>608</v>
      </c>
      <c r="K1166" s="254" t="s">
        <v>48</v>
      </c>
      <c r="L1166" s="255"/>
      <c r="M1166" s="255" t="s">
        <v>1414</v>
      </c>
      <c r="N1166" s="254">
        <v>541737</v>
      </c>
      <c r="O1166" s="254" t="s">
        <v>1321</v>
      </c>
      <c r="P1166" s="258">
        <v>44008</v>
      </c>
      <c r="Q1166" s="259">
        <v>8655531.2100000009</v>
      </c>
      <c r="R1166" s="259">
        <v>9196508.9416269865</v>
      </c>
      <c r="S1166" s="254">
        <v>32</v>
      </c>
      <c r="T1166" s="256">
        <v>3.1864674998088205E-2</v>
      </c>
      <c r="U1166" s="256">
        <v>0.41192087309114384</v>
      </c>
      <c r="V1166" s="256">
        <v>-0.15418233145654991</v>
      </c>
      <c r="W1166" s="256">
        <v>-1.5115023931774438</v>
      </c>
      <c r="X1166" s="256">
        <v>-0.10647304819605274</v>
      </c>
      <c r="Y1166" s="256">
        <v>-0.80740446642315267</v>
      </c>
      <c r="Z1166" s="256" t="s">
        <v>1417</v>
      </c>
      <c r="AA1166" s="256" t="s">
        <v>1417</v>
      </c>
      <c r="AB1166" s="256">
        <v>0.20760852432043017</v>
      </c>
      <c r="AC1166" s="260">
        <v>-1.1705483823883838</v>
      </c>
      <c r="AD1166" s="405">
        <v>0</v>
      </c>
      <c r="AE1166" s="257" t="s">
        <v>2427</v>
      </c>
      <c r="AF1166" s="257" t="s">
        <v>2109</v>
      </c>
      <c r="AG1166" s="261" t="s">
        <v>1432</v>
      </c>
      <c r="AH1166" s="261" t="s">
        <v>2113</v>
      </c>
      <c r="AI1166" s="261">
        <v>5000</v>
      </c>
      <c r="AJ1166" s="261">
        <v>1000</v>
      </c>
      <c r="AK1166" s="261">
        <v>1000</v>
      </c>
      <c r="AL1166" s="256">
        <v>0.01</v>
      </c>
      <c r="AM1166" s="256">
        <v>0.1</v>
      </c>
      <c r="AN1166" s="256" t="s">
        <v>34</v>
      </c>
      <c r="AO1166" s="254" t="s">
        <v>1324</v>
      </c>
      <c r="AP1166" s="257" t="s">
        <v>716</v>
      </c>
      <c r="AQ1166" s="263" t="s">
        <v>670</v>
      </c>
      <c r="AR1166" s="256">
        <v>3.0000000000000001E-3</v>
      </c>
      <c r="AS1166" s="256">
        <v>3.0000000000000001E-3</v>
      </c>
      <c r="AT1166" s="256"/>
      <c r="AX1166" s="508"/>
      <c r="AY1166" s="509"/>
      <c r="AZ1166" s="509"/>
      <c r="BA1166" s="509"/>
      <c r="BB1166" s="510"/>
      <c r="BC1166" s="509"/>
      <c r="BD1166" s="509"/>
      <c r="BE1166" s="509"/>
      <c r="BF1166" s="509"/>
      <c r="BG1166" s="510"/>
      <c r="BH1166" s="510"/>
      <c r="BI1166" s="511"/>
      <c r="BJ1166" s="511"/>
      <c r="BK1166" s="511"/>
      <c r="BL1166" s="510"/>
      <c r="BM1166" s="510"/>
      <c r="BN1166" s="510"/>
      <c r="BO1166" s="510"/>
      <c r="BP1166" s="510"/>
      <c r="BQ1166" s="510"/>
      <c r="BR1166" s="510"/>
      <c r="BS1166" s="510"/>
      <c r="BT1166" s="513"/>
      <c r="BU1166" s="514"/>
      <c r="BV1166" s="512"/>
      <c r="BW1166" s="515"/>
    </row>
    <row r="1167" spans="2:75" ht="15.75" customHeight="1">
      <c r="B1167" s="250" t="s">
        <v>1255</v>
      </c>
      <c r="C1167" s="251">
        <v>19587174000120</v>
      </c>
      <c r="D1167" s="252" t="s">
        <v>14</v>
      </c>
      <c r="E1167" s="252" t="s">
        <v>607</v>
      </c>
      <c r="F1167" s="252"/>
      <c r="G1167" s="253"/>
      <c r="H1167" s="253" t="s">
        <v>34</v>
      </c>
      <c r="I1167" s="253" t="s">
        <v>34</v>
      </c>
      <c r="J1167" s="253" t="s">
        <v>611</v>
      </c>
      <c r="K1167" s="254"/>
      <c r="L1167" s="255"/>
      <c r="M1167" s="255" t="s">
        <v>1414</v>
      </c>
      <c r="N1167" s="254">
        <v>363871</v>
      </c>
      <c r="O1167" s="254" t="s">
        <v>1321</v>
      </c>
      <c r="P1167" s="258">
        <v>41729</v>
      </c>
      <c r="Q1167" s="259">
        <v>129371558.59999999</v>
      </c>
      <c r="R1167" s="259">
        <v>140314505.64646822</v>
      </c>
      <c r="S1167" s="254">
        <v>32</v>
      </c>
      <c r="T1167" s="256">
        <v>-0.13976050505913373</v>
      </c>
      <c r="U1167" s="256">
        <v>-1.8067113275459941</v>
      </c>
      <c r="V1167" s="256">
        <v>-7.1600083479929411E-2</v>
      </c>
      <c r="W1167" s="256">
        <v>-0.70192022982942481</v>
      </c>
      <c r="X1167" s="256">
        <v>-1.5230937203629447E-2</v>
      </c>
      <c r="Y1167" s="256">
        <v>-0.11549896367554999</v>
      </c>
      <c r="Z1167" s="256">
        <v>0.31865151204473818</v>
      </c>
      <c r="AA1167" s="256">
        <v>1.8113184975423007</v>
      </c>
      <c r="AB1167" s="256">
        <v>0.14542592806957766</v>
      </c>
      <c r="AC1167" s="260">
        <v>-1.106467259534111</v>
      </c>
      <c r="AD1167" s="405">
        <v>19587181000122</v>
      </c>
      <c r="AE1167" s="257" t="s">
        <v>2432</v>
      </c>
      <c r="AF1167" s="257" t="s">
        <v>2115</v>
      </c>
      <c r="AG1167" s="261" t="s">
        <v>719</v>
      </c>
      <c r="AH1167" s="261" t="s">
        <v>2110</v>
      </c>
      <c r="AI1167" s="261">
        <v>25000</v>
      </c>
      <c r="AJ1167" s="261">
        <v>500</v>
      </c>
      <c r="AK1167" s="261">
        <v>1000</v>
      </c>
      <c r="AL1167" s="256">
        <v>0.01</v>
      </c>
      <c r="AM1167" s="256">
        <v>0.1</v>
      </c>
      <c r="AN1167" s="256" t="s">
        <v>2122</v>
      </c>
      <c r="AO1167" s="254" t="s">
        <v>1324</v>
      </c>
      <c r="AP1167" s="257" t="s">
        <v>13</v>
      </c>
      <c r="AQ1167" s="263" t="s">
        <v>679</v>
      </c>
      <c r="AR1167" s="256">
        <v>1.6666666666666666E-3</v>
      </c>
      <c r="AS1167" s="256">
        <v>1.6666666666666666E-3</v>
      </c>
      <c r="AT1167" s="256"/>
      <c r="AX1167" s="508"/>
      <c r="AY1167" s="509"/>
      <c r="AZ1167" s="509"/>
      <c r="BA1167" s="509"/>
      <c r="BB1167" s="510"/>
      <c r="BC1167" s="509"/>
      <c r="BD1167" s="509"/>
      <c r="BE1167" s="509"/>
      <c r="BF1167" s="509"/>
      <c r="BG1167" s="510"/>
      <c r="BH1167" s="510"/>
      <c r="BI1167" s="511"/>
      <c r="BJ1167" s="511"/>
      <c r="BK1167" s="511"/>
      <c r="BL1167" s="510"/>
      <c r="BM1167" s="510"/>
      <c r="BN1167" s="510"/>
      <c r="BO1167" s="510"/>
      <c r="BP1167" s="510"/>
      <c r="BQ1167" s="510"/>
      <c r="BR1167" s="510"/>
      <c r="BS1167" s="510"/>
      <c r="BT1167" s="513"/>
      <c r="BU1167" s="514"/>
      <c r="BV1167" s="512"/>
      <c r="BW1167" s="515"/>
    </row>
    <row r="1168" spans="2:75" ht="15.75" customHeight="1">
      <c r="B1168" s="250" t="s">
        <v>431</v>
      </c>
      <c r="C1168" s="251">
        <v>40226025000122</v>
      </c>
      <c r="D1168" s="252" t="s">
        <v>14</v>
      </c>
      <c r="E1168" s="252" t="s">
        <v>607</v>
      </c>
      <c r="F1168" s="252"/>
      <c r="G1168" s="253"/>
      <c r="H1168" s="253" t="s">
        <v>34</v>
      </c>
      <c r="I1168" s="253" t="s">
        <v>34</v>
      </c>
      <c r="J1168" s="253" t="s">
        <v>608</v>
      </c>
      <c r="K1168" s="254" t="s">
        <v>48</v>
      </c>
      <c r="L1168" s="255"/>
      <c r="M1168" s="255" t="s">
        <v>34</v>
      </c>
      <c r="N1168" s="254">
        <v>585858</v>
      </c>
      <c r="O1168" s="254" t="s">
        <v>1321</v>
      </c>
      <c r="P1168" s="258">
        <v>44308</v>
      </c>
      <c r="Q1168" s="259">
        <v>146767549.02000001</v>
      </c>
      <c r="R1168" s="259">
        <v>160577788.73285702</v>
      </c>
      <c r="S1168" s="254">
        <v>32</v>
      </c>
      <c r="T1168" s="256">
        <v>5.5643571641157408E-3</v>
      </c>
      <c r="U1168" s="256">
        <v>7.193153111936762E-2</v>
      </c>
      <c r="V1168" s="256">
        <v>-0.11376503133997096</v>
      </c>
      <c r="W1168" s="256">
        <v>-1.1152777072821207</v>
      </c>
      <c r="X1168" s="256">
        <v>3.6128533450263678E-3</v>
      </c>
      <c r="Y1168" s="256">
        <v>2.739692322826031E-2</v>
      </c>
      <c r="Z1168" s="256">
        <v>0.10705495759698791</v>
      </c>
      <c r="AA1168" s="256">
        <v>0.60853508494196662</v>
      </c>
      <c r="AB1168" s="256">
        <v>0.21881106050778051</v>
      </c>
      <c r="AC1168" s="260">
        <v>-0.88662685949302933</v>
      </c>
      <c r="AD1168" s="405">
        <v>0</v>
      </c>
      <c r="AE1168" s="257" t="s">
        <v>2432</v>
      </c>
      <c r="AF1168" s="257" t="s">
        <v>2115</v>
      </c>
      <c r="AG1168" s="261" t="s">
        <v>719</v>
      </c>
      <c r="AH1168" s="261" t="s">
        <v>2113</v>
      </c>
      <c r="AI1168" s="261">
        <v>500</v>
      </c>
      <c r="AJ1168" s="261">
        <v>500</v>
      </c>
      <c r="AK1168" s="261">
        <v>500</v>
      </c>
      <c r="AL1168" s="256">
        <v>1.967E-2</v>
      </c>
      <c r="AM1168" s="256">
        <v>0.2</v>
      </c>
      <c r="AN1168" s="256" t="s">
        <v>666</v>
      </c>
      <c r="AO1168" s="254" t="s">
        <v>1324</v>
      </c>
      <c r="AP1168" s="257" t="s">
        <v>716</v>
      </c>
      <c r="AQ1168" s="263" t="s">
        <v>659</v>
      </c>
      <c r="AR1168" s="256">
        <v>4.9175E-3</v>
      </c>
      <c r="AS1168" s="256">
        <v>4.9175E-3</v>
      </c>
      <c r="AT1168" s="256"/>
      <c r="AX1168" s="508"/>
      <c r="AY1168" s="509"/>
      <c r="AZ1168" s="509"/>
      <c r="BA1168" s="509"/>
      <c r="BB1168" s="510"/>
      <c r="BC1168" s="509"/>
      <c r="BD1168" s="509"/>
      <c r="BE1168" s="509"/>
      <c r="BF1168" s="509"/>
      <c r="BG1168" s="510"/>
      <c r="BH1168" s="510"/>
      <c r="BI1168" s="511"/>
      <c r="BJ1168" s="511"/>
      <c r="BK1168" s="511"/>
      <c r="BL1168" s="510"/>
      <c r="BM1168" s="510"/>
      <c r="BN1168" s="510"/>
      <c r="BO1168" s="510"/>
      <c r="BP1168" s="510"/>
      <c r="BQ1168" s="510"/>
      <c r="BR1168" s="510"/>
      <c r="BS1168" s="510"/>
      <c r="BT1168" s="513"/>
      <c r="BU1168" s="514"/>
      <c r="BV1168" s="512"/>
      <c r="BW1168" s="515"/>
    </row>
    <row r="1169" spans="2:75" ht="15.75" customHeight="1">
      <c r="B1169" s="250" t="s">
        <v>1257</v>
      </c>
      <c r="C1169" s="251">
        <v>35636909000115</v>
      </c>
      <c r="D1169" s="252" t="s">
        <v>14</v>
      </c>
      <c r="E1169" s="252" t="s">
        <v>614</v>
      </c>
      <c r="F1169" s="252"/>
      <c r="G1169" s="253"/>
      <c r="H1169" s="253" t="s">
        <v>865</v>
      </c>
      <c r="I1169" s="253" t="s">
        <v>34</v>
      </c>
      <c r="J1169" s="253" t="s">
        <v>608</v>
      </c>
      <c r="K1169" s="254" t="s">
        <v>48</v>
      </c>
      <c r="L1169" s="255"/>
      <c r="M1169" s="255" t="s">
        <v>34</v>
      </c>
      <c r="N1169" s="254">
        <v>522661</v>
      </c>
      <c r="O1169" s="254" t="s">
        <v>1321</v>
      </c>
      <c r="P1169" s="258">
        <v>43826</v>
      </c>
      <c r="Q1169" s="259">
        <v>249312191.49000001</v>
      </c>
      <c r="R1169" s="259">
        <v>248946558.84015873</v>
      </c>
      <c r="S1169" s="254">
        <v>32</v>
      </c>
      <c r="T1169" s="256">
        <v>7.3035607860321816E-2</v>
      </c>
      <c r="U1169" s="256">
        <v>0.94414555800023636</v>
      </c>
      <c r="V1169" s="256">
        <v>1.9629485269811564E-2</v>
      </c>
      <c r="W1169" s="256">
        <v>0.19243459144683422</v>
      </c>
      <c r="X1169" s="256">
        <v>0.3726030201527073</v>
      </c>
      <c r="Y1169" s="256">
        <v>2.8255163890875146</v>
      </c>
      <c r="Z1169" s="256" t="s">
        <v>1417</v>
      </c>
      <c r="AA1169" s="256" t="s">
        <v>1417</v>
      </c>
      <c r="AB1169" s="256">
        <v>0.16701128273562713</v>
      </c>
      <c r="AC1169" s="260">
        <v>-0.38186702950615092</v>
      </c>
      <c r="AD1169" s="405">
        <v>35636871000180</v>
      </c>
      <c r="AE1169" s="257" t="s">
        <v>2432</v>
      </c>
      <c r="AF1169" s="257" t="s">
        <v>2115</v>
      </c>
      <c r="AG1169" s="261" t="s">
        <v>719</v>
      </c>
      <c r="AH1169" s="261" t="s">
        <v>2113</v>
      </c>
      <c r="AI1169" s="261">
        <v>10000</v>
      </c>
      <c r="AJ1169" s="261">
        <v>1000</v>
      </c>
      <c r="AK1169" s="261">
        <v>5000</v>
      </c>
      <c r="AL1169" s="256">
        <v>1.9199999999999998E-2</v>
      </c>
      <c r="AM1169" s="256">
        <v>0.2</v>
      </c>
      <c r="AN1169" s="256" t="s">
        <v>2122</v>
      </c>
      <c r="AO1169" s="254" t="s">
        <v>1324</v>
      </c>
      <c r="AP1169" s="257" t="s">
        <v>13</v>
      </c>
      <c r="AQ1169" s="263" t="s">
        <v>668</v>
      </c>
      <c r="AR1169" s="256">
        <v>3.8399999999999992E-3</v>
      </c>
      <c r="AS1169" s="256">
        <v>3.8399999999999992E-3</v>
      </c>
      <c r="AT1169" s="256"/>
      <c r="AX1169" s="508"/>
      <c r="AY1169" s="509"/>
      <c r="AZ1169" s="509"/>
      <c r="BA1169" s="509"/>
      <c r="BB1169" s="510"/>
      <c r="BC1169" s="509"/>
      <c r="BD1169" s="509"/>
      <c r="BE1169" s="509"/>
      <c r="BF1169" s="509"/>
      <c r="BG1169" s="510"/>
      <c r="BH1169" s="510"/>
      <c r="BI1169" s="511"/>
      <c r="BJ1169" s="511"/>
      <c r="BK1169" s="511"/>
      <c r="BL1169" s="510"/>
      <c r="BM1169" s="510"/>
      <c r="BN1169" s="510"/>
      <c r="BO1169" s="510"/>
      <c r="BP1169" s="510"/>
      <c r="BQ1169" s="510"/>
      <c r="BR1169" s="510"/>
      <c r="BS1169" s="510"/>
      <c r="BT1169" s="513"/>
      <c r="BU1169" s="514"/>
      <c r="BV1169" s="512"/>
      <c r="BW1169" s="515"/>
    </row>
    <row r="1170" spans="2:75" ht="15.75" customHeight="1">
      <c r="B1170" s="250" t="s">
        <v>55</v>
      </c>
      <c r="C1170" s="251">
        <v>30773631000104</v>
      </c>
      <c r="D1170" s="252" t="s">
        <v>14</v>
      </c>
      <c r="E1170" s="252" t="s">
        <v>614</v>
      </c>
      <c r="F1170" s="252"/>
      <c r="G1170" s="253"/>
      <c r="H1170" s="253" t="s">
        <v>1338</v>
      </c>
      <c r="I1170" s="253" t="s">
        <v>34</v>
      </c>
      <c r="J1170" s="253" t="s">
        <v>611</v>
      </c>
      <c r="K1170" s="254" t="s">
        <v>48</v>
      </c>
      <c r="L1170" s="255"/>
      <c r="M1170" s="255" t="s">
        <v>1414</v>
      </c>
      <c r="N1170" s="254">
        <v>477958</v>
      </c>
      <c r="O1170" s="254" t="s">
        <v>1321</v>
      </c>
      <c r="P1170" s="258">
        <v>43399</v>
      </c>
      <c r="Q1170" s="259">
        <v>36251168.829999998</v>
      </c>
      <c r="R1170" s="259">
        <v>42397215.526309513</v>
      </c>
      <c r="S1170" s="254">
        <v>32</v>
      </c>
      <c r="T1170" s="256">
        <v>3.2775061130732697E-2</v>
      </c>
      <c r="U1170" s="256">
        <v>0.42368961231824998</v>
      </c>
      <c r="V1170" s="256">
        <v>-0.21191599629516655</v>
      </c>
      <c r="W1170" s="256">
        <v>-2.0774853546886045</v>
      </c>
      <c r="X1170" s="256">
        <v>-1.4347463660771442E-2</v>
      </c>
      <c r="Y1170" s="256">
        <v>-0.10879942330776812</v>
      </c>
      <c r="Z1170" s="256">
        <v>0.20941417118663863</v>
      </c>
      <c r="AA1170" s="256">
        <v>1.1903780386411382</v>
      </c>
      <c r="AB1170" s="256">
        <v>0.31336450036649954</v>
      </c>
      <c r="AC1170" s="260">
        <v>-0.91383946456336507</v>
      </c>
      <c r="AD1170" s="405">
        <v>32774675000184</v>
      </c>
      <c r="AE1170" s="257" t="s">
        <v>2435</v>
      </c>
      <c r="AF1170" s="257" t="s">
        <v>2109</v>
      </c>
      <c r="AG1170" s="261" t="s">
        <v>1432</v>
      </c>
      <c r="AH1170" s="261" t="s">
        <v>2113</v>
      </c>
      <c r="AI1170" s="261">
        <v>2000</v>
      </c>
      <c r="AJ1170" s="261">
        <v>2000</v>
      </c>
      <c r="AK1170" s="261">
        <v>2000</v>
      </c>
      <c r="AL1170" s="256">
        <v>0.02</v>
      </c>
      <c r="AM1170" s="256">
        <v>0.2</v>
      </c>
      <c r="AN1170" s="256" t="s">
        <v>34</v>
      </c>
      <c r="AO1170" s="254" t="s">
        <v>1324</v>
      </c>
      <c r="AP1170" s="257" t="s">
        <v>13</v>
      </c>
      <c r="AQ1170" s="263" t="s">
        <v>668</v>
      </c>
      <c r="AR1170" s="256">
        <v>3.3333333333333331E-3</v>
      </c>
      <c r="AS1170" s="256">
        <v>3.3333333333333331E-3</v>
      </c>
      <c r="AT1170" s="256"/>
      <c r="AX1170" s="508"/>
      <c r="AY1170" s="509"/>
      <c r="AZ1170" s="509"/>
      <c r="BA1170" s="509"/>
      <c r="BB1170" s="510"/>
      <c r="BC1170" s="509"/>
      <c r="BD1170" s="509"/>
      <c r="BE1170" s="509"/>
      <c r="BF1170" s="509"/>
      <c r="BG1170" s="510"/>
      <c r="BH1170" s="510"/>
      <c r="BI1170" s="511"/>
      <c r="BJ1170" s="511"/>
      <c r="BK1170" s="511"/>
      <c r="BL1170" s="510"/>
      <c r="BM1170" s="510"/>
      <c r="BN1170" s="510"/>
      <c r="BO1170" s="510"/>
      <c r="BP1170" s="510"/>
      <c r="BQ1170" s="510"/>
      <c r="BR1170" s="510"/>
      <c r="BS1170" s="510"/>
      <c r="BT1170" s="513"/>
      <c r="BU1170" s="514"/>
      <c r="BV1170" s="512"/>
      <c r="BW1170" s="515"/>
    </row>
    <row r="1171" spans="2:75" ht="15.75" customHeight="1">
      <c r="B1171" s="250" t="s">
        <v>435</v>
      </c>
      <c r="C1171" s="251">
        <v>35779895000199</v>
      </c>
      <c r="D1171" s="252" t="s">
        <v>14</v>
      </c>
      <c r="E1171" s="252" t="s">
        <v>614</v>
      </c>
      <c r="F1171" s="252"/>
      <c r="G1171" s="253"/>
      <c r="H1171" s="253" t="s">
        <v>1338</v>
      </c>
      <c r="I1171" s="253" t="s">
        <v>34</v>
      </c>
      <c r="J1171" s="253" t="s">
        <v>608</v>
      </c>
      <c r="K1171" s="254" t="s">
        <v>48</v>
      </c>
      <c r="L1171" s="255"/>
      <c r="M1171" s="255" t="s">
        <v>34</v>
      </c>
      <c r="N1171" s="254">
        <v>532363</v>
      </c>
      <c r="O1171" s="254" t="s">
        <v>1321</v>
      </c>
      <c r="P1171" s="258">
        <v>43900</v>
      </c>
      <c r="Q1171" s="259">
        <v>18616189.32</v>
      </c>
      <c r="R1171" s="259">
        <v>21823943.13666667</v>
      </c>
      <c r="S1171" s="254">
        <v>32</v>
      </c>
      <c r="T1171" s="256">
        <v>8.8016870525150059E-2</v>
      </c>
      <c r="U1171" s="256">
        <v>1.1378112645318126</v>
      </c>
      <c r="V1171" s="256">
        <v>2.6045327885401814E-2</v>
      </c>
      <c r="W1171" s="256">
        <v>0.25533130195900705</v>
      </c>
      <c r="X1171" s="256">
        <v>0.16380948455637689</v>
      </c>
      <c r="Y1171" s="256">
        <v>1.2421970791120491</v>
      </c>
      <c r="Z1171" s="256" t="s">
        <v>1417</v>
      </c>
      <c r="AA1171" s="256" t="s">
        <v>1417</v>
      </c>
      <c r="AB1171" s="256">
        <v>0.20772908915729965</v>
      </c>
      <c r="AC1171" s="260">
        <v>-0.24058487959584557</v>
      </c>
      <c r="AD1171" s="405">
        <v>35779924000112</v>
      </c>
      <c r="AE1171" s="257" t="s">
        <v>2436</v>
      </c>
      <c r="AF1171" s="257" t="s">
        <v>736</v>
      </c>
      <c r="AG1171" s="261" t="s">
        <v>736</v>
      </c>
      <c r="AH1171" s="261" t="s">
        <v>2113</v>
      </c>
      <c r="AI1171" s="261">
        <v>100</v>
      </c>
      <c r="AJ1171" s="261">
        <v>50</v>
      </c>
      <c r="AK1171" s="261">
        <v>50</v>
      </c>
      <c r="AL1171" s="256">
        <v>0.02</v>
      </c>
      <c r="AM1171" s="256">
        <v>0.2</v>
      </c>
      <c r="AN1171" s="256" t="s">
        <v>64</v>
      </c>
      <c r="AO1171" s="254" t="s">
        <v>1324</v>
      </c>
      <c r="AP1171" s="257" t="s">
        <v>13</v>
      </c>
      <c r="AQ1171" s="263" t="s">
        <v>668</v>
      </c>
      <c r="AR1171" s="256">
        <v>4.0000000000000001E-3</v>
      </c>
      <c r="AS1171" s="256">
        <v>4.0000000000000001E-3</v>
      </c>
      <c r="AT1171" s="256"/>
      <c r="AX1171" s="508"/>
      <c r="AY1171" s="509"/>
      <c r="AZ1171" s="509"/>
      <c r="BA1171" s="509"/>
      <c r="BB1171" s="510"/>
      <c r="BC1171" s="509"/>
      <c r="BD1171" s="509"/>
      <c r="BE1171" s="509"/>
      <c r="BF1171" s="509"/>
      <c r="BG1171" s="510"/>
      <c r="BH1171" s="510"/>
      <c r="BI1171" s="511"/>
      <c r="BJ1171" s="511"/>
      <c r="BK1171" s="511"/>
      <c r="BL1171" s="510"/>
      <c r="BM1171" s="510"/>
      <c r="BN1171" s="510"/>
      <c r="BO1171" s="510"/>
      <c r="BP1171" s="510"/>
      <c r="BQ1171" s="510"/>
      <c r="BR1171" s="510"/>
      <c r="BS1171" s="510"/>
      <c r="BT1171" s="513"/>
      <c r="BU1171" s="514"/>
      <c r="BV1171" s="512"/>
      <c r="BW1171" s="515"/>
    </row>
    <row r="1172" spans="2:75" ht="15.75" customHeight="1">
      <c r="B1172" s="250" t="s">
        <v>1713</v>
      </c>
      <c r="C1172" s="251">
        <v>43279729000151</v>
      </c>
      <c r="D1172" s="252" t="s">
        <v>14</v>
      </c>
      <c r="E1172" s="252" t="s">
        <v>607</v>
      </c>
      <c r="F1172" s="252"/>
      <c r="G1172" s="253"/>
      <c r="H1172" s="253" t="s">
        <v>34</v>
      </c>
      <c r="I1172" s="253" t="s">
        <v>34</v>
      </c>
      <c r="J1172" s="253" t="s">
        <v>611</v>
      </c>
      <c r="K1172" s="254" t="s">
        <v>48</v>
      </c>
      <c r="L1172" s="255"/>
      <c r="M1172" s="255"/>
      <c r="N1172" s="254">
        <v>609471</v>
      </c>
      <c r="O1172" s="254" t="s">
        <v>1321</v>
      </c>
      <c r="P1172" s="258">
        <v>44439</v>
      </c>
      <c r="Q1172" s="259" t="s">
        <v>1393</v>
      </c>
      <c r="R1172" s="259" t="s">
        <v>1417</v>
      </c>
      <c r="S1172" s="254">
        <v>32</v>
      </c>
      <c r="T1172" s="256" t="s">
        <v>1417</v>
      </c>
      <c r="U1172" s="256" t="s">
        <v>1417</v>
      </c>
      <c r="V1172" s="256" t="s">
        <v>1417</v>
      </c>
      <c r="W1172" s="256" t="s">
        <v>1417</v>
      </c>
      <c r="X1172" s="256" t="s">
        <v>1417</v>
      </c>
      <c r="Y1172" s="256" t="s">
        <v>1417</v>
      </c>
      <c r="Z1172" s="256" t="s">
        <v>1417</v>
      </c>
      <c r="AA1172" s="256" t="s">
        <v>1417</v>
      </c>
      <c r="AB1172" s="256" t="s">
        <v>1417</v>
      </c>
      <c r="AC1172" s="260" t="s">
        <v>1417</v>
      </c>
      <c r="AD1172" s="405">
        <v>0</v>
      </c>
      <c r="AE1172" s="257" t="s">
        <v>2229</v>
      </c>
      <c r="AF1172" s="257" t="s">
        <v>2109</v>
      </c>
      <c r="AG1172" s="261" t="s">
        <v>1432</v>
      </c>
      <c r="AH1172" s="261" t="s">
        <v>2113</v>
      </c>
      <c r="AI1172" s="261">
        <v>100</v>
      </c>
      <c r="AJ1172" s="261">
        <v>100</v>
      </c>
      <c r="AK1172" s="261">
        <v>100</v>
      </c>
      <c r="AL1172" s="256">
        <v>0.02</v>
      </c>
      <c r="AM1172" s="256" t="s">
        <v>34</v>
      </c>
      <c r="AN1172" s="256" t="s">
        <v>34</v>
      </c>
      <c r="AO1172" s="254" t="s">
        <v>1324</v>
      </c>
      <c r="AP1172" s="257" t="s">
        <v>716</v>
      </c>
      <c r="AQ1172" s="263" t="s">
        <v>659</v>
      </c>
      <c r="AR1172" s="256">
        <v>6.6660000000000001E-3</v>
      </c>
      <c r="AS1172" s="256">
        <v>6.6660000000000001E-3</v>
      </c>
      <c r="AT1172" s="256"/>
      <c r="AX1172" s="508"/>
      <c r="AY1172" s="509"/>
      <c r="AZ1172" s="509"/>
      <c r="BA1172" s="509"/>
      <c r="BB1172" s="510"/>
      <c r="BC1172" s="509"/>
      <c r="BD1172" s="509"/>
      <c r="BE1172" s="509"/>
      <c r="BF1172" s="509"/>
      <c r="BG1172" s="510"/>
      <c r="BH1172" s="510"/>
      <c r="BI1172" s="511"/>
      <c r="BJ1172" s="511"/>
      <c r="BK1172" s="511"/>
      <c r="BL1172" s="510"/>
      <c r="BM1172" s="510"/>
      <c r="BN1172" s="510"/>
      <c r="BO1172" s="510"/>
      <c r="BP1172" s="510"/>
      <c r="BQ1172" s="510"/>
      <c r="BR1172" s="510"/>
      <c r="BS1172" s="510"/>
      <c r="BT1172" s="513"/>
      <c r="BU1172" s="514"/>
      <c r="BV1172" s="512"/>
      <c r="BW1172" s="515"/>
    </row>
    <row r="1173" spans="2:75" ht="15.75" customHeight="1">
      <c r="B1173" s="250" t="s">
        <v>1714</v>
      </c>
      <c r="C1173" s="251">
        <v>33755581000120</v>
      </c>
      <c r="D1173" s="252" t="s">
        <v>14</v>
      </c>
      <c r="E1173" s="252" t="s">
        <v>607</v>
      </c>
      <c r="F1173" s="252"/>
      <c r="G1173" s="253"/>
      <c r="H1173" s="253" t="s">
        <v>34</v>
      </c>
      <c r="I1173" s="253" t="s">
        <v>34</v>
      </c>
      <c r="J1173" s="253" t="s">
        <v>608</v>
      </c>
      <c r="K1173" s="254" t="s">
        <v>48</v>
      </c>
      <c r="L1173" s="255"/>
      <c r="M1173" s="255"/>
      <c r="N1173" s="254">
        <v>499961</v>
      </c>
      <c r="O1173" s="254" t="s">
        <v>1321</v>
      </c>
      <c r="P1173" s="258">
        <v>43643</v>
      </c>
      <c r="Q1173" s="259">
        <v>248051106.94999999</v>
      </c>
      <c r="R1173" s="259">
        <v>469259079.34186518</v>
      </c>
      <c r="S1173" s="254">
        <v>32</v>
      </c>
      <c r="T1173" s="256">
        <v>2.5063475645377142E-3</v>
      </c>
      <c r="U1173" s="256">
        <v>2.8191180662190712E-2</v>
      </c>
      <c r="V1173" s="256">
        <v>-0.17477028669368033</v>
      </c>
      <c r="W1173" s="256">
        <v>-1.6039907303780758</v>
      </c>
      <c r="X1173" s="256">
        <v>-0.10506348305840452</v>
      </c>
      <c r="Y1173" s="256">
        <v>-0.73878439668867124</v>
      </c>
      <c r="Z1173" s="256">
        <v>2.4802128580930116E-2</v>
      </c>
      <c r="AA1173" s="256">
        <v>0.13553281125084493</v>
      </c>
      <c r="AB1173" s="256">
        <v>0.20690226561534827</v>
      </c>
      <c r="AC1173" s="260">
        <v>-1.3248584985834055</v>
      </c>
      <c r="AD1173" s="405">
        <v>33400461000100</v>
      </c>
      <c r="AE1173" s="257" t="s">
        <v>2441</v>
      </c>
      <c r="AF1173" s="257" t="s">
        <v>2118</v>
      </c>
      <c r="AG1173" s="261" t="s">
        <v>1433</v>
      </c>
      <c r="AH1173" s="261" t="s">
        <v>2110</v>
      </c>
      <c r="AI1173" s="261">
        <v>10000</v>
      </c>
      <c r="AJ1173" s="261">
        <v>500</v>
      </c>
      <c r="AK1173" s="261">
        <v>1000</v>
      </c>
      <c r="AL1173" s="256">
        <v>0.02</v>
      </c>
      <c r="AM1173" s="256">
        <v>0.2</v>
      </c>
      <c r="AN1173" s="256" t="s">
        <v>34</v>
      </c>
      <c r="AO1173" s="254" t="s">
        <v>1324</v>
      </c>
      <c r="AP1173" s="257" t="s">
        <v>13</v>
      </c>
      <c r="AQ1173" s="263" t="s">
        <v>668</v>
      </c>
      <c r="AR1173" s="256" t="s">
        <v>34</v>
      </c>
      <c r="AS1173" s="256" t="s">
        <v>34</v>
      </c>
      <c r="AT1173" s="256"/>
      <c r="AX1173" s="508"/>
      <c r="AY1173" s="509"/>
      <c r="AZ1173" s="509"/>
      <c r="BA1173" s="509"/>
      <c r="BB1173" s="510"/>
      <c r="BC1173" s="509"/>
      <c r="BD1173" s="509"/>
      <c r="BE1173" s="509"/>
      <c r="BF1173" s="509"/>
      <c r="BG1173" s="510"/>
      <c r="BH1173" s="510"/>
      <c r="BI1173" s="511"/>
      <c r="BJ1173" s="511"/>
      <c r="BK1173" s="511"/>
      <c r="BL1173" s="510"/>
      <c r="BM1173" s="510"/>
      <c r="BN1173" s="510"/>
      <c r="BO1173" s="510"/>
      <c r="BP1173" s="510"/>
      <c r="BQ1173" s="510"/>
      <c r="BR1173" s="510"/>
      <c r="BS1173" s="510"/>
      <c r="BT1173" s="513"/>
      <c r="BU1173" s="514"/>
      <c r="BV1173" s="512"/>
      <c r="BW1173" s="515"/>
    </row>
    <row r="1174" spans="2:75" ht="15.75" customHeight="1">
      <c r="B1174" s="250" t="s">
        <v>1134</v>
      </c>
      <c r="C1174" s="251">
        <v>23601467000192</v>
      </c>
      <c r="D1174" s="252" t="s">
        <v>11</v>
      </c>
      <c r="E1174" s="252" t="s">
        <v>620</v>
      </c>
      <c r="F1174" s="252" t="s">
        <v>685</v>
      </c>
      <c r="G1174" s="253" t="s">
        <v>738</v>
      </c>
      <c r="H1174" s="253" t="s">
        <v>34</v>
      </c>
      <c r="I1174" s="253" t="s">
        <v>1319</v>
      </c>
      <c r="J1174" s="253" t="s">
        <v>608</v>
      </c>
      <c r="K1174" s="254" t="s">
        <v>48</v>
      </c>
      <c r="L1174" s="255"/>
      <c r="M1174" s="255" t="s">
        <v>34</v>
      </c>
      <c r="N1174" s="254">
        <v>414972</v>
      </c>
      <c r="O1174" s="254" t="s">
        <v>1321</v>
      </c>
      <c r="P1174" s="258">
        <v>42432</v>
      </c>
      <c r="Q1174" s="259">
        <v>25143252.629999999</v>
      </c>
      <c r="R1174" s="259">
        <v>35537744.288333312</v>
      </c>
      <c r="S1174" s="254">
        <v>33</v>
      </c>
      <c r="T1174" s="256">
        <v>8.9155887299309011E-2</v>
      </c>
      <c r="U1174" s="256">
        <v>1.1525355566862177</v>
      </c>
      <c r="V1174" s="256">
        <v>0.11217471038353222</v>
      </c>
      <c r="W1174" s="256">
        <v>1.0996872442967118</v>
      </c>
      <c r="X1174" s="256">
        <v>0.18085759682453495</v>
      </c>
      <c r="Y1174" s="256">
        <v>1.3714760114109412</v>
      </c>
      <c r="Z1174" s="256">
        <v>0.13293122167714388</v>
      </c>
      <c r="AA1174" s="256">
        <v>0.75562415875466338</v>
      </c>
      <c r="AB1174" s="256">
        <v>1.8149517200526953E-2</v>
      </c>
      <c r="AC1174" s="260">
        <v>0.51526145059149564</v>
      </c>
      <c r="AD1174" s="405">
        <v>23376623000169</v>
      </c>
      <c r="AE1174" s="257" t="s">
        <v>2365</v>
      </c>
      <c r="AF1174" s="257" t="s">
        <v>2118</v>
      </c>
      <c r="AG1174" s="261" t="s">
        <v>1433</v>
      </c>
      <c r="AH1174" s="261" t="s">
        <v>2110</v>
      </c>
      <c r="AI1174" s="261">
        <v>50000</v>
      </c>
      <c r="AJ1174" s="261">
        <v>25000</v>
      </c>
      <c r="AK1174" s="261">
        <v>25000</v>
      </c>
      <c r="AL1174" s="256">
        <v>0.01</v>
      </c>
      <c r="AM1174" s="256">
        <v>0.2</v>
      </c>
      <c r="AN1174" s="256" t="s">
        <v>64</v>
      </c>
      <c r="AO1174" s="254" t="s">
        <v>1324</v>
      </c>
      <c r="AP1174" s="257" t="s">
        <v>13</v>
      </c>
      <c r="AQ1174" s="263" t="s">
        <v>668</v>
      </c>
      <c r="AR1174" s="256">
        <v>2.6666666666666666E-3</v>
      </c>
      <c r="AS1174" s="256">
        <v>2.6666666666666666E-3</v>
      </c>
      <c r="AT1174" s="256"/>
      <c r="AX1174" s="508"/>
      <c r="AY1174" s="509"/>
      <c r="AZ1174" s="509"/>
      <c r="BA1174" s="509"/>
      <c r="BB1174" s="510"/>
      <c r="BC1174" s="509"/>
      <c r="BD1174" s="509"/>
      <c r="BE1174" s="509"/>
      <c r="BF1174" s="509"/>
      <c r="BG1174" s="510"/>
      <c r="BH1174" s="510"/>
      <c r="BI1174" s="511"/>
      <c r="BJ1174" s="511"/>
      <c r="BK1174" s="511"/>
      <c r="BL1174" s="510"/>
      <c r="BM1174" s="510"/>
      <c r="BN1174" s="510"/>
      <c r="BO1174" s="510"/>
      <c r="BP1174" s="510"/>
      <c r="BQ1174" s="510"/>
      <c r="BR1174" s="510"/>
      <c r="BS1174" s="510"/>
      <c r="BT1174" s="513"/>
      <c r="BU1174" s="514"/>
      <c r="BV1174" s="512"/>
      <c r="BW1174" s="515"/>
    </row>
    <row r="1175" spans="2:75" ht="15.75" customHeight="1">
      <c r="B1175" s="250" t="s">
        <v>172</v>
      </c>
      <c r="C1175" s="251">
        <v>5109839000186</v>
      </c>
      <c r="D1175" s="252" t="s">
        <v>13</v>
      </c>
      <c r="E1175" s="252" t="s">
        <v>616</v>
      </c>
      <c r="F1175" s="252" t="s">
        <v>617</v>
      </c>
      <c r="G1175" s="253" t="s">
        <v>34</v>
      </c>
      <c r="H1175" s="253" t="s">
        <v>1337</v>
      </c>
      <c r="I1175" s="253" t="s">
        <v>34</v>
      </c>
      <c r="J1175" s="253" t="s">
        <v>608</v>
      </c>
      <c r="K1175" s="254" t="s">
        <v>48</v>
      </c>
      <c r="L1175" s="255"/>
      <c r="M1175" s="255" t="s">
        <v>34</v>
      </c>
      <c r="N1175" s="254">
        <v>109241</v>
      </c>
      <c r="O1175" s="254" t="s">
        <v>1321</v>
      </c>
      <c r="P1175" s="258">
        <v>37503</v>
      </c>
      <c r="Q1175" s="259">
        <v>207826590.66999999</v>
      </c>
      <c r="R1175" s="259">
        <v>266451082.70277777</v>
      </c>
      <c r="S1175" s="254">
        <v>33</v>
      </c>
      <c r="T1175" s="256">
        <v>7.6279791376347772E-2</v>
      </c>
      <c r="U1175" s="256">
        <v>0.98608375151608063</v>
      </c>
      <c r="V1175" s="256">
        <v>9.2305440595354948E-2</v>
      </c>
      <c r="W1175" s="256">
        <v>0.90490196279393686</v>
      </c>
      <c r="X1175" s="256">
        <v>0.11303062216774684</v>
      </c>
      <c r="Y1175" s="256">
        <v>0.85713174110300272</v>
      </c>
      <c r="Z1175" s="256">
        <v>0.18243889929955026</v>
      </c>
      <c r="AA1175" s="256">
        <v>1.0370418481684063</v>
      </c>
      <c r="AB1175" s="256">
        <v>2.8683682831274596E-2</v>
      </c>
      <c r="AC1175" s="260">
        <v>-0.29411696652545261</v>
      </c>
      <c r="AD1175" s="405">
        <v>12219414000195</v>
      </c>
      <c r="AE1175" s="257" t="s">
        <v>2209</v>
      </c>
      <c r="AF1175" s="257" t="s">
        <v>2118</v>
      </c>
      <c r="AG1175" s="261" t="s">
        <v>1433</v>
      </c>
      <c r="AH1175" s="261" t="s">
        <v>2113</v>
      </c>
      <c r="AI1175" s="261">
        <v>500</v>
      </c>
      <c r="AJ1175" s="261">
        <v>500</v>
      </c>
      <c r="AK1175" s="261">
        <v>500</v>
      </c>
      <c r="AL1175" s="256">
        <v>1.9199999999999998E-2</v>
      </c>
      <c r="AM1175" s="256">
        <v>0.2</v>
      </c>
      <c r="AN1175" s="256" t="s">
        <v>64</v>
      </c>
      <c r="AO1175" s="254" t="s">
        <v>1324</v>
      </c>
      <c r="AP1175" s="257" t="s">
        <v>13</v>
      </c>
      <c r="AQ1175" s="263" t="s">
        <v>674</v>
      </c>
      <c r="AR1175" s="256">
        <v>6.3999999999999994E-3</v>
      </c>
      <c r="AS1175" s="256">
        <v>6.3999999999999994E-3</v>
      </c>
      <c r="AT1175" s="256"/>
      <c r="AX1175" s="508"/>
      <c r="AY1175" s="509"/>
      <c r="AZ1175" s="509"/>
      <c r="BA1175" s="509"/>
      <c r="BB1175" s="510"/>
      <c r="BC1175" s="509"/>
      <c r="BD1175" s="509"/>
      <c r="BE1175" s="509"/>
      <c r="BF1175" s="509"/>
      <c r="BG1175" s="510"/>
      <c r="BH1175" s="510"/>
      <c r="BI1175" s="511"/>
      <c r="BJ1175" s="511"/>
      <c r="BK1175" s="511"/>
      <c r="BL1175" s="510"/>
      <c r="BM1175" s="510"/>
      <c r="BN1175" s="510"/>
      <c r="BO1175" s="510"/>
      <c r="BP1175" s="510"/>
      <c r="BQ1175" s="510"/>
      <c r="BR1175" s="510"/>
      <c r="BS1175" s="510"/>
      <c r="BT1175" s="513"/>
      <c r="BU1175" s="514"/>
      <c r="BV1175" s="512"/>
      <c r="BW1175" s="515"/>
    </row>
    <row r="1176" spans="2:75" ht="15.75" customHeight="1">
      <c r="B1176" s="250" t="s">
        <v>936</v>
      </c>
      <c r="C1176" s="251">
        <v>10459361000154</v>
      </c>
      <c r="D1176" s="252" t="s">
        <v>13</v>
      </c>
      <c r="E1176" s="252" t="s">
        <v>616</v>
      </c>
      <c r="F1176" s="252" t="s">
        <v>617</v>
      </c>
      <c r="G1176" s="253" t="s">
        <v>34</v>
      </c>
      <c r="H1176" s="253" t="s">
        <v>865</v>
      </c>
      <c r="I1176" s="253" t="s">
        <v>34</v>
      </c>
      <c r="J1176" s="253" t="s">
        <v>608</v>
      </c>
      <c r="K1176" s="254" t="s">
        <v>48</v>
      </c>
      <c r="L1176" s="255"/>
      <c r="M1176" s="255" t="s">
        <v>1414</v>
      </c>
      <c r="N1176" s="254">
        <v>270369</v>
      </c>
      <c r="O1176" s="254" t="s">
        <v>1321</v>
      </c>
      <c r="P1176" s="258">
        <v>40627</v>
      </c>
      <c r="Q1176" s="259">
        <v>138243296.84</v>
      </c>
      <c r="R1176" s="259">
        <v>244066712.80027783</v>
      </c>
      <c r="S1176" s="254">
        <v>33</v>
      </c>
      <c r="T1176" s="256">
        <v>8.9114379032672719E-2</v>
      </c>
      <c r="U1176" s="256">
        <v>1.15199897122177</v>
      </c>
      <c r="V1176" s="256">
        <v>3.1629930810826323E-2</v>
      </c>
      <c r="W1176" s="256">
        <v>0.31007908406206658</v>
      </c>
      <c r="X1176" s="256">
        <v>8.1005704817228352E-2</v>
      </c>
      <c r="Y1176" s="256">
        <v>0.61428097516992464</v>
      </c>
      <c r="Z1176" s="256">
        <v>0.17860744699520614</v>
      </c>
      <c r="AA1176" s="256">
        <v>1.0152626311586492</v>
      </c>
      <c r="AB1176" s="256">
        <v>5.8621378645880261E-2</v>
      </c>
      <c r="AC1176" s="260">
        <v>-1.0968124719841854</v>
      </c>
      <c r="AD1176" s="405">
        <v>0</v>
      </c>
      <c r="AE1176" s="257" t="s">
        <v>469</v>
      </c>
      <c r="AF1176" s="257" t="s">
        <v>469</v>
      </c>
      <c r="AG1176" s="261" t="s">
        <v>469</v>
      </c>
      <c r="AH1176" s="261" t="s">
        <v>2113</v>
      </c>
      <c r="AI1176" s="261">
        <v>1000</v>
      </c>
      <c r="AJ1176" s="261">
        <v>1000</v>
      </c>
      <c r="AK1176" s="261">
        <v>1000</v>
      </c>
      <c r="AL1176" s="256">
        <v>9.0000000000000011E-3</v>
      </c>
      <c r="AM1176" s="256">
        <v>0.2</v>
      </c>
      <c r="AN1176" s="256" t="s">
        <v>64</v>
      </c>
      <c r="AO1176" s="254" t="s">
        <v>1324</v>
      </c>
      <c r="AP1176" s="257" t="s">
        <v>13</v>
      </c>
      <c r="AQ1176" s="263" t="s">
        <v>668</v>
      </c>
      <c r="AR1176" s="256">
        <v>2.6666666666666666E-3</v>
      </c>
      <c r="AS1176" s="256">
        <v>2.6666666666666666E-3</v>
      </c>
      <c r="AT1176" s="256"/>
      <c r="AX1176" s="508"/>
      <c r="AY1176" s="509"/>
      <c r="AZ1176" s="509"/>
      <c r="BA1176" s="509"/>
      <c r="BB1176" s="510"/>
      <c r="BC1176" s="509"/>
      <c r="BD1176" s="509"/>
      <c r="BE1176" s="509"/>
      <c r="BF1176" s="509"/>
      <c r="BG1176" s="510"/>
      <c r="BH1176" s="510"/>
      <c r="BI1176" s="511"/>
      <c r="BJ1176" s="511"/>
      <c r="BK1176" s="511"/>
      <c r="BL1176" s="510"/>
      <c r="BM1176" s="510"/>
      <c r="BN1176" s="510"/>
      <c r="BO1176" s="510"/>
      <c r="BP1176" s="510"/>
      <c r="BQ1176" s="510"/>
      <c r="BR1176" s="510"/>
      <c r="BS1176" s="510"/>
      <c r="BT1176" s="513"/>
      <c r="BU1176" s="514"/>
      <c r="BV1176" s="512"/>
      <c r="BW1176" s="515"/>
    </row>
    <row r="1177" spans="2:75" ht="15.75" customHeight="1">
      <c r="B1177" s="250" t="s">
        <v>1673</v>
      </c>
      <c r="C1177" s="251">
        <v>27566556000104</v>
      </c>
      <c r="D1177" s="252" t="s">
        <v>13</v>
      </c>
      <c r="E1177" s="252" t="s">
        <v>616</v>
      </c>
      <c r="F1177" s="252" t="s">
        <v>617</v>
      </c>
      <c r="G1177" s="253" t="s">
        <v>34</v>
      </c>
      <c r="H1177" s="253" t="s">
        <v>1338</v>
      </c>
      <c r="I1177" s="253" t="s">
        <v>34</v>
      </c>
      <c r="J1177" s="253" t="s">
        <v>608</v>
      </c>
      <c r="K1177" s="254" t="s">
        <v>48</v>
      </c>
      <c r="L1177" s="255"/>
      <c r="M1177" s="255"/>
      <c r="N1177" s="254">
        <v>442410</v>
      </c>
      <c r="O1177" s="254" t="s">
        <v>1321</v>
      </c>
      <c r="P1177" s="258">
        <v>42888</v>
      </c>
      <c r="Q1177" s="259">
        <v>10425746.66</v>
      </c>
      <c r="R1177" s="259">
        <v>16632945.53575396</v>
      </c>
      <c r="S1177" s="254">
        <v>33</v>
      </c>
      <c r="T1177" s="256">
        <v>7.5696494779655232E-2</v>
      </c>
      <c r="U1177" s="256">
        <v>0.85142762720598153</v>
      </c>
      <c r="V1177" s="256">
        <v>-7.6389895465636126E-3</v>
      </c>
      <c r="W1177" s="256">
        <v>-7.010841862163128E-2</v>
      </c>
      <c r="X1177" s="256">
        <v>2.354027249849322E-2</v>
      </c>
      <c r="Y1177" s="256">
        <v>0.16553026331726045</v>
      </c>
      <c r="Z1177" s="256">
        <v>0.16400681579041021</v>
      </c>
      <c r="AA1177" s="256">
        <v>0.89622569030081878</v>
      </c>
      <c r="AB1177" s="256">
        <v>8.0952534176105428E-2</v>
      </c>
      <c r="AC1177" s="260">
        <v>-1.3322200279743908</v>
      </c>
      <c r="AD1177" s="405">
        <v>26269634000138</v>
      </c>
      <c r="AE1177" s="257" t="s">
        <v>2318</v>
      </c>
      <c r="AF1177" s="257" t="s">
        <v>2318</v>
      </c>
      <c r="AG1177" s="261" t="s">
        <v>1436</v>
      </c>
      <c r="AH1177" s="261" t="s">
        <v>2319</v>
      </c>
      <c r="AI1177" s="261">
        <v>1000</v>
      </c>
      <c r="AJ1177" s="261">
        <v>100</v>
      </c>
      <c r="AK1177" s="261">
        <v>1000</v>
      </c>
      <c r="AL1177" s="256">
        <v>0</v>
      </c>
      <c r="AM1177" s="256" t="s">
        <v>34</v>
      </c>
      <c r="AN1177" s="256" t="s">
        <v>64</v>
      </c>
      <c r="AO1177" s="254" t="s">
        <v>1324</v>
      </c>
      <c r="AP1177" s="257" t="s">
        <v>13</v>
      </c>
      <c r="AQ1177" s="263" t="s">
        <v>674</v>
      </c>
      <c r="AR1177" s="256" t="s">
        <v>34</v>
      </c>
      <c r="AS1177" s="256" t="s">
        <v>34</v>
      </c>
      <c r="AT1177" s="256"/>
      <c r="AX1177" s="508"/>
      <c r="AY1177" s="509"/>
      <c r="AZ1177" s="509"/>
      <c r="BA1177" s="509"/>
      <c r="BB1177" s="510"/>
      <c r="BC1177" s="509"/>
      <c r="BD1177" s="509"/>
      <c r="BE1177" s="509"/>
      <c r="BF1177" s="509"/>
      <c r="BG1177" s="510"/>
      <c r="BH1177" s="510"/>
      <c r="BI1177" s="511"/>
      <c r="BJ1177" s="511"/>
      <c r="BK1177" s="511"/>
      <c r="BL1177" s="510"/>
      <c r="BM1177" s="510"/>
      <c r="BN1177" s="510"/>
      <c r="BO1177" s="510"/>
      <c r="BP1177" s="510"/>
      <c r="BQ1177" s="510"/>
      <c r="BR1177" s="510"/>
      <c r="BS1177" s="510"/>
      <c r="BT1177" s="513"/>
      <c r="BU1177" s="514"/>
      <c r="BV1177" s="512"/>
      <c r="BW1177" s="515"/>
    </row>
    <row r="1178" spans="2:75" ht="15.75" customHeight="1">
      <c r="B1178" s="250" t="s">
        <v>527</v>
      </c>
      <c r="C1178" s="251">
        <v>42562316000117</v>
      </c>
      <c r="D1178" s="252" t="s">
        <v>13</v>
      </c>
      <c r="E1178" s="252" t="s">
        <v>616</v>
      </c>
      <c r="F1178" s="252" t="s">
        <v>619</v>
      </c>
      <c r="G1178" s="253" t="s">
        <v>34</v>
      </c>
      <c r="H1178" s="253" t="s">
        <v>1338</v>
      </c>
      <c r="I1178" s="253" t="s">
        <v>34</v>
      </c>
      <c r="J1178" s="253" t="s">
        <v>611</v>
      </c>
      <c r="K1178" s="254" t="s">
        <v>48</v>
      </c>
      <c r="L1178" s="255"/>
      <c r="M1178" s="255" t="s">
        <v>1414</v>
      </c>
      <c r="N1178" s="254">
        <v>604887</v>
      </c>
      <c r="O1178" s="254" t="s">
        <v>1321</v>
      </c>
      <c r="P1178" s="258">
        <v>44407</v>
      </c>
      <c r="Q1178" s="259">
        <v>21951855.649999999</v>
      </c>
      <c r="R1178" s="259">
        <v>42895517.718650825</v>
      </c>
      <c r="S1178" s="254">
        <v>33</v>
      </c>
      <c r="T1178" s="256">
        <v>-3.7949858165630124E-3</v>
      </c>
      <c r="U1178" s="256">
        <v>-4.9058522361233349E-2</v>
      </c>
      <c r="V1178" s="256">
        <v>2.5148173011031671E-2</v>
      </c>
      <c r="W1178" s="256">
        <v>0.24653618434176289</v>
      </c>
      <c r="X1178" s="256" t="s">
        <v>1417</v>
      </c>
      <c r="Y1178" s="256" t="s">
        <v>1417</v>
      </c>
      <c r="Z1178" s="256" t="s">
        <v>1417</v>
      </c>
      <c r="AA1178" s="256" t="s">
        <v>1417</v>
      </c>
      <c r="AB1178" s="256">
        <v>7.5534894895426752E-2</v>
      </c>
      <c r="AC1178" s="260">
        <v>-0.91968827775901207</v>
      </c>
      <c r="AD1178" s="405">
        <v>0</v>
      </c>
      <c r="AE1178" s="257" t="s">
        <v>2207</v>
      </c>
      <c r="AF1178" s="257" t="s">
        <v>2109</v>
      </c>
      <c r="AG1178" s="261" t="s">
        <v>1432</v>
      </c>
      <c r="AH1178" s="261" t="s">
        <v>2110</v>
      </c>
      <c r="AI1178" s="261">
        <v>100000</v>
      </c>
      <c r="AJ1178" s="261">
        <v>10000</v>
      </c>
      <c r="AK1178" s="261">
        <v>100000</v>
      </c>
      <c r="AL1178" s="256">
        <v>1.5700000000000002E-2</v>
      </c>
      <c r="AM1178" s="256">
        <v>0.15</v>
      </c>
      <c r="AN1178" s="256" t="s">
        <v>64</v>
      </c>
      <c r="AO1178" s="254" t="s">
        <v>1324</v>
      </c>
      <c r="AP1178" s="257" t="s">
        <v>13</v>
      </c>
      <c r="AQ1178" s="263" t="s">
        <v>668</v>
      </c>
      <c r="AR1178" s="256" t="s">
        <v>34</v>
      </c>
      <c r="AS1178" s="256" t="s">
        <v>34</v>
      </c>
      <c r="AT1178" s="256"/>
      <c r="AX1178" s="508"/>
      <c r="AY1178" s="509"/>
      <c r="AZ1178" s="509"/>
      <c r="BA1178" s="509"/>
      <c r="BB1178" s="510"/>
      <c r="BC1178" s="509"/>
      <c r="BD1178" s="509"/>
      <c r="BE1178" s="509"/>
      <c r="BF1178" s="509"/>
      <c r="BG1178" s="510"/>
      <c r="BH1178" s="510"/>
      <c r="BI1178" s="511"/>
      <c r="BJ1178" s="511"/>
      <c r="BK1178" s="511"/>
      <c r="BL1178" s="510"/>
      <c r="BM1178" s="510"/>
      <c r="BN1178" s="510"/>
      <c r="BO1178" s="510"/>
      <c r="BP1178" s="510"/>
      <c r="BQ1178" s="510"/>
      <c r="BR1178" s="510"/>
      <c r="BS1178" s="510"/>
      <c r="BT1178" s="513"/>
      <c r="BU1178" s="514"/>
      <c r="BV1178" s="512"/>
      <c r="BW1178" s="515"/>
    </row>
    <row r="1179" spans="2:75" ht="15.75" customHeight="1">
      <c r="B1179" s="250" t="s">
        <v>174</v>
      </c>
      <c r="C1179" s="251">
        <v>29298540000185</v>
      </c>
      <c r="D1179" s="252" t="s">
        <v>13</v>
      </c>
      <c r="E1179" s="252" t="s">
        <v>615</v>
      </c>
      <c r="F1179" s="252" t="s">
        <v>619</v>
      </c>
      <c r="G1179" s="253" t="s">
        <v>34</v>
      </c>
      <c r="H1179" s="253" t="s">
        <v>865</v>
      </c>
      <c r="I1179" s="253" t="s">
        <v>34</v>
      </c>
      <c r="J1179" s="253"/>
      <c r="K1179" s="254" t="s">
        <v>48</v>
      </c>
      <c r="L1179" s="255"/>
      <c r="M1179" s="255" t="s">
        <v>34</v>
      </c>
      <c r="N1179" s="254">
        <v>464597</v>
      </c>
      <c r="O1179" s="254" t="s">
        <v>1321</v>
      </c>
      <c r="P1179" s="258">
        <v>43160</v>
      </c>
      <c r="Q1179" s="259">
        <v>104335094.28</v>
      </c>
      <c r="R1179" s="259">
        <v>113436970.12365086</v>
      </c>
      <c r="S1179" s="254">
        <v>33</v>
      </c>
      <c r="T1179" s="256">
        <v>8.7997281305662423E-2</v>
      </c>
      <c r="U1179" s="256">
        <v>1.1375580308680453</v>
      </c>
      <c r="V1179" s="256">
        <v>8.1016954742870739E-2</v>
      </c>
      <c r="W1179" s="256">
        <v>0.79423705573104175</v>
      </c>
      <c r="X1179" s="256">
        <v>7.6783589933745011E-2</v>
      </c>
      <c r="Y1179" s="256">
        <v>0.58226391101675901</v>
      </c>
      <c r="Z1179" s="256">
        <v>0.25495234938002009</v>
      </c>
      <c r="AA1179" s="256">
        <v>1.4492318064351808</v>
      </c>
      <c r="AB1179" s="256">
        <v>5.4044360872612884E-2</v>
      </c>
      <c r="AC1179" s="260">
        <v>-0.32905542903699903</v>
      </c>
      <c r="AD1179" s="405">
        <v>29054797000191</v>
      </c>
      <c r="AE1179" s="257" t="s">
        <v>2209</v>
      </c>
      <c r="AF1179" s="257" t="s">
        <v>2118</v>
      </c>
      <c r="AG1179" s="261" t="s">
        <v>1433</v>
      </c>
      <c r="AH1179" s="261" t="s">
        <v>2113</v>
      </c>
      <c r="AI1179" s="261">
        <v>1000</v>
      </c>
      <c r="AJ1179" s="261">
        <v>1</v>
      </c>
      <c r="AK1179" s="261">
        <v>1000</v>
      </c>
      <c r="AL1179" s="256">
        <v>1.9199999999999998E-2</v>
      </c>
      <c r="AM1179" s="256">
        <v>0.2</v>
      </c>
      <c r="AN1179" s="256" t="s">
        <v>64</v>
      </c>
      <c r="AO1179" s="254" t="s">
        <v>1324</v>
      </c>
      <c r="AP1179" s="257" t="s">
        <v>13</v>
      </c>
      <c r="AQ1179" s="263" t="s">
        <v>664</v>
      </c>
      <c r="AR1179" s="256">
        <v>6.6666666666666662E-3</v>
      </c>
      <c r="AS1179" s="256">
        <v>6.6666666666666662E-3</v>
      </c>
      <c r="AT1179" s="256"/>
      <c r="AX1179" s="508"/>
      <c r="AY1179" s="509"/>
      <c r="AZ1179" s="509"/>
      <c r="BA1179" s="509"/>
      <c r="BB1179" s="510"/>
      <c r="BC1179" s="509"/>
      <c r="BD1179" s="509"/>
      <c r="BE1179" s="509"/>
      <c r="BF1179" s="509"/>
      <c r="BG1179" s="510"/>
      <c r="BH1179" s="510"/>
      <c r="BI1179" s="511"/>
      <c r="BJ1179" s="511"/>
      <c r="BK1179" s="511"/>
      <c r="BL1179" s="510"/>
      <c r="BM1179" s="510"/>
      <c r="BN1179" s="510"/>
      <c r="BO1179" s="510"/>
      <c r="BP1179" s="510"/>
      <c r="BQ1179" s="510"/>
      <c r="BR1179" s="510"/>
      <c r="BS1179" s="510"/>
      <c r="BT1179" s="513"/>
      <c r="BU1179" s="514"/>
      <c r="BV1179" s="512"/>
      <c r="BW1179" s="515"/>
    </row>
    <row r="1180" spans="2:75" ht="15.75" customHeight="1">
      <c r="B1180" s="250" t="s">
        <v>930</v>
      </c>
      <c r="C1180" s="251">
        <v>27751295000194</v>
      </c>
      <c r="D1180" s="252" t="s">
        <v>13</v>
      </c>
      <c r="E1180" s="252" t="s">
        <v>615</v>
      </c>
      <c r="F1180" s="252" t="s">
        <v>619</v>
      </c>
      <c r="G1180" s="253" t="s">
        <v>34</v>
      </c>
      <c r="H1180" s="253" t="s">
        <v>1338</v>
      </c>
      <c r="I1180" s="253" t="s">
        <v>34</v>
      </c>
      <c r="J1180" s="253" t="s">
        <v>700</v>
      </c>
      <c r="K1180" s="254" t="s">
        <v>48</v>
      </c>
      <c r="L1180" s="255"/>
      <c r="M1180" s="255" t="s">
        <v>34</v>
      </c>
      <c r="N1180" s="254">
        <v>448168</v>
      </c>
      <c r="O1180" s="254" t="s">
        <v>1321</v>
      </c>
      <c r="P1180" s="258">
        <v>42964</v>
      </c>
      <c r="Q1180" s="259">
        <v>4601216.01</v>
      </c>
      <c r="R1180" s="259">
        <v>4996185.8598015849</v>
      </c>
      <c r="S1180" s="254">
        <v>33</v>
      </c>
      <c r="T1180" s="256">
        <v>0.26628606208586425</v>
      </c>
      <c r="U1180" s="256">
        <v>3.4423318986618492</v>
      </c>
      <c r="V1180" s="256">
        <v>0.33300524998864733</v>
      </c>
      <c r="W1180" s="256">
        <v>3.2645649312958991</v>
      </c>
      <c r="X1180" s="256">
        <v>0.4511348495590688</v>
      </c>
      <c r="Y1180" s="256">
        <v>3.4210375176112682</v>
      </c>
      <c r="Z1180" s="256">
        <v>0.16618484777705556</v>
      </c>
      <c r="AA1180" s="256">
        <v>0.94464854994182601</v>
      </c>
      <c r="AB1180" s="256">
        <v>0.25075237128076416</v>
      </c>
      <c r="AC1180" s="260">
        <v>0.88484072210780484</v>
      </c>
      <c r="AD1180" s="405">
        <v>19628666000117</v>
      </c>
      <c r="AE1180" s="257" t="s">
        <v>2123</v>
      </c>
      <c r="AF1180" s="257" t="s">
        <v>2109</v>
      </c>
      <c r="AG1180" s="261" t="s">
        <v>1432</v>
      </c>
      <c r="AH1180" s="261" t="s">
        <v>2113</v>
      </c>
      <c r="AI1180" s="261">
        <v>5000</v>
      </c>
      <c r="AJ1180" s="261">
        <v>5000</v>
      </c>
      <c r="AK1180" s="261">
        <v>5000</v>
      </c>
      <c r="AL1180" s="256">
        <v>0</v>
      </c>
      <c r="AM1180" s="256" t="s">
        <v>34</v>
      </c>
      <c r="AN1180" s="256" t="s">
        <v>34</v>
      </c>
      <c r="AO1180" s="254" t="s">
        <v>1324</v>
      </c>
      <c r="AP1180" s="257" t="s">
        <v>13</v>
      </c>
      <c r="AQ1180" s="263" t="s">
        <v>668</v>
      </c>
      <c r="AR1180" s="256">
        <v>4.1999999999999997E-3</v>
      </c>
      <c r="AS1180" s="256">
        <v>4.1999999999999997E-3</v>
      </c>
      <c r="AT1180" s="256"/>
      <c r="AX1180" s="508"/>
      <c r="AY1180" s="509"/>
      <c r="AZ1180" s="509"/>
      <c r="BA1180" s="509"/>
      <c r="BB1180" s="510"/>
      <c r="BC1180" s="509"/>
      <c r="BD1180" s="509"/>
      <c r="BE1180" s="509"/>
      <c r="BF1180" s="509"/>
      <c r="BG1180" s="510"/>
      <c r="BH1180" s="510"/>
      <c r="BI1180" s="511"/>
      <c r="BJ1180" s="511"/>
      <c r="BK1180" s="511"/>
      <c r="BL1180" s="510"/>
      <c r="BM1180" s="510"/>
      <c r="BN1180" s="510"/>
      <c r="BO1180" s="510"/>
      <c r="BP1180" s="510"/>
      <c r="BQ1180" s="510"/>
      <c r="BR1180" s="510"/>
      <c r="BS1180" s="510"/>
      <c r="BT1180" s="513"/>
      <c r="BU1180" s="514"/>
      <c r="BV1180" s="512"/>
      <c r="BW1180" s="515"/>
    </row>
    <row r="1181" spans="2:75" ht="15.75" customHeight="1">
      <c r="B1181" s="250" t="s">
        <v>931</v>
      </c>
      <c r="C1181" s="251">
        <v>19628666000117</v>
      </c>
      <c r="D1181" s="252" t="s">
        <v>13</v>
      </c>
      <c r="E1181" s="252" t="s">
        <v>615</v>
      </c>
      <c r="F1181" s="252" t="s">
        <v>619</v>
      </c>
      <c r="G1181" s="253" t="s">
        <v>34</v>
      </c>
      <c r="H1181" s="253" t="s">
        <v>1338</v>
      </c>
      <c r="I1181" s="253" t="s">
        <v>34</v>
      </c>
      <c r="J1181" s="253" t="s">
        <v>700</v>
      </c>
      <c r="K1181" s="254" t="s">
        <v>48</v>
      </c>
      <c r="L1181" s="255"/>
      <c r="M1181" s="255" t="s">
        <v>34</v>
      </c>
      <c r="N1181" s="254">
        <v>370126</v>
      </c>
      <c r="O1181" s="254" t="s">
        <v>1321</v>
      </c>
      <c r="P1181" s="258">
        <v>41759</v>
      </c>
      <c r="Q1181" s="259">
        <v>188343756.80000001</v>
      </c>
      <c r="R1181" s="259">
        <v>244892605.36615095</v>
      </c>
      <c r="S1181" s="254">
        <v>33</v>
      </c>
      <c r="T1181" s="256">
        <v>0.26837709566893864</v>
      </c>
      <c r="U1181" s="256">
        <v>3.4693630979210472</v>
      </c>
      <c r="V1181" s="256">
        <v>0.33714823429558294</v>
      </c>
      <c r="W1181" s="256">
        <v>3.3051800305467136</v>
      </c>
      <c r="X1181" s="256">
        <v>0.45999457810846356</v>
      </c>
      <c r="Y1181" s="256">
        <v>3.4882224486644891</v>
      </c>
      <c r="Z1181" s="256">
        <v>0.16710729167402305</v>
      </c>
      <c r="AA1181" s="256">
        <v>0.94989202009767337</v>
      </c>
      <c r="AB1181" s="256">
        <v>0.25498083940757377</v>
      </c>
      <c r="AC1181" s="260">
        <v>0.8865367612403624</v>
      </c>
      <c r="AD1181" s="405">
        <v>19770499000144</v>
      </c>
      <c r="AE1181" s="257" t="s">
        <v>2237</v>
      </c>
      <c r="AF1181" s="257" t="s">
        <v>2109</v>
      </c>
      <c r="AG1181" s="261" t="s">
        <v>1432</v>
      </c>
      <c r="AH1181" s="261" t="s">
        <v>2113</v>
      </c>
      <c r="AI1181" s="261">
        <v>5000</v>
      </c>
      <c r="AJ1181" s="261">
        <v>1000</v>
      </c>
      <c r="AK1181" s="261">
        <v>5000</v>
      </c>
      <c r="AL1181" s="256">
        <v>0.02</v>
      </c>
      <c r="AM1181" s="256">
        <v>0.2</v>
      </c>
      <c r="AN1181" s="256" t="s">
        <v>34</v>
      </c>
      <c r="AO1181" s="254" t="s">
        <v>1324</v>
      </c>
      <c r="AP1181" s="257" t="s">
        <v>13</v>
      </c>
      <c r="AQ1181" s="263" t="s">
        <v>674</v>
      </c>
      <c r="AR1181" s="256">
        <v>4.1999999999999997E-3</v>
      </c>
      <c r="AS1181" s="256">
        <v>4.1999999999999997E-3</v>
      </c>
      <c r="AT1181" s="256"/>
      <c r="AX1181" s="508"/>
      <c r="AY1181" s="509"/>
      <c r="AZ1181" s="509"/>
      <c r="BA1181" s="509"/>
      <c r="BB1181" s="510"/>
      <c r="BC1181" s="509"/>
      <c r="BD1181" s="509"/>
      <c r="BE1181" s="509"/>
      <c r="BF1181" s="509"/>
      <c r="BG1181" s="510"/>
      <c r="BH1181" s="510"/>
      <c r="BI1181" s="511"/>
      <c r="BJ1181" s="511"/>
      <c r="BK1181" s="511"/>
      <c r="BL1181" s="510"/>
      <c r="BM1181" s="510"/>
      <c r="BN1181" s="510"/>
      <c r="BO1181" s="510"/>
      <c r="BP1181" s="510"/>
      <c r="BQ1181" s="510"/>
      <c r="BR1181" s="510"/>
      <c r="BS1181" s="510"/>
      <c r="BT1181" s="513"/>
      <c r="BU1181" s="514"/>
      <c r="BV1181" s="512"/>
      <c r="BW1181" s="515"/>
    </row>
    <row r="1182" spans="2:75" ht="15.75" customHeight="1">
      <c r="B1182" s="250" t="s">
        <v>1631</v>
      </c>
      <c r="C1182" s="251">
        <v>31006657000190</v>
      </c>
      <c r="D1182" s="252" t="s">
        <v>13</v>
      </c>
      <c r="E1182" s="252" t="s">
        <v>615</v>
      </c>
      <c r="F1182" s="252" t="s">
        <v>619</v>
      </c>
      <c r="G1182" s="253" t="s">
        <v>34</v>
      </c>
      <c r="H1182" s="253" t="s">
        <v>1338</v>
      </c>
      <c r="I1182" s="253" t="s">
        <v>34</v>
      </c>
      <c r="J1182" s="253" t="s">
        <v>700</v>
      </c>
      <c r="K1182" s="254" t="s">
        <v>48</v>
      </c>
      <c r="L1182" s="255"/>
      <c r="M1182" s="255"/>
      <c r="N1182" s="254">
        <v>484751</v>
      </c>
      <c r="O1182" s="254" t="s">
        <v>1321</v>
      </c>
      <c r="P1182" s="258">
        <v>43473</v>
      </c>
      <c r="Q1182" s="259">
        <v>21746331.960000001</v>
      </c>
      <c r="R1182" s="259">
        <v>27990535.213769816</v>
      </c>
      <c r="S1182" s="254">
        <v>33</v>
      </c>
      <c r="T1182" s="256">
        <v>0.2973924313765941</v>
      </c>
      <c r="U1182" s="256">
        <v>3.34504435024441</v>
      </c>
      <c r="V1182" s="256">
        <v>0.36465607595225014</v>
      </c>
      <c r="W1182" s="256">
        <v>3.3467071357994338</v>
      </c>
      <c r="X1182" s="256">
        <v>0.64356022107899302</v>
      </c>
      <c r="Y1182" s="256">
        <v>4.525380615816526</v>
      </c>
      <c r="Z1182" s="256">
        <v>0.1500365065141458</v>
      </c>
      <c r="AA1182" s="256">
        <v>0.81988404550700456</v>
      </c>
      <c r="AB1182" s="256">
        <v>0.25203058983841747</v>
      </c>
      <c r="AC1182" s="260">
        <v>0.94985504877171023</v>
      </c>
      <c r="AD1182" s="405">
        <v>19628666000117</v>
      </c>
      <c r="AE1182" s="257" t="s">
        <v>2318</v>
      </c>
      <c r="AF1182" s="257" t="s">
        <v>2318</v>
      </c>
      <c r="AG1182" s="261" t="s">
        <v>1436</v>
      </c>
      <c r="AH1182" s="261" t="s">
        <v>2113</v>
      </c>
      <c r="AI1182" s="261">
        <v>10000</v>
      </c>
      <c r="AJ1182" s="261">
        <v>5000</v>
      </c>
      <c r="AK1182" s="261">
        <v>5000</v>
      </c>
      <c r="AL1182" s="256">
        <v>0</v>
      </c>
      <c r="AM1182" s="256" t="s">
        <v>34</v>
      </c>
      <c r="AN1182" s="256" t="s">
        <v>64</v>
      </c>
      <c r="AO1182" s="254" t="s">
        <v>1324</v>
      </c>
      <c r="AP1182" s="257" t="s">
        <v>13</v>
      </c>
      <c r="AQ1182" s="263" t="s">
        <v>668</v>
      </c>
      <c r="AR1182" s="256" t="s">
        <v>34</v>
      </c>
      <c r="AS1182" s="256" t="s">
        <v>34</v>
      </c>
      <c r="AT1182" s="256"/>
      <c r="AX1182" s="508"/>
      <c r="AY1182" s="509"/>
      <c r="AZ1182" s="509"/>
      <c r="BA1182" s="509"/>
      <c r="BB1182" s="510"/>
      <c r="BC1182" s="509"/>
      <c r="BD1182" s="509"/>
      <c r="BE1182" s="509"/>
      <c r="BF1182" s="509"/>
      <c r="BG1182" s="510"/>
      <c r="BH1182" s="510"/>
      <c r="BI1182" s="511"/>
      <c r="BJ1182" s="511"/>
      <c r="BK1182" s="511"/>
      <c r="BL1182" s="510"/>
      <c r="BM1182" s="510"/>
      <c r="BN1182" s="510"/>
      <c r="BO1182" s="510"/>
      <c r="BP1182" s="510"/>
      <c r="BQ1182" s="510"/>
      <c r="BR1182" s="510"/>
      <c r="BS1182" s="510"/>
      <c r="BT1182" s="513"/>
      <c r="BU1182" s="514"/>
      <c r="BV1182" s="512"/>
      <c r="BW1182" s="515"/>
    </row>
    <row r="1183" spans="2:75" ht="15.75" customHeight="1">
      <c r="B1183" s="250" t="s">
        <v>1163</v>
      </c>
      <c r="C1183" s="251">
        <v>38971869000156</v>
      </c>
      <c r="D1183" s="252" t="s">
        <v>13</v>
      </c>
      <c r="E1183" s="252" t="s">
        <v>615</v>
      </c>
      <c r="F1183" s="252" t="s">
        <v>619</v>
      </c>
      <c r="G1183" s="253" t="s">
        <v>34</v>
      </c>
      <c r="H1183" s="253" t="s">
        <v>1338</v>
      </c>
      <c r="I1183" s="253" t="s">
        <v>34</v>
      </c>
      <c r="J1183" s="253" t="s">
        <v>611</v>
      </c>
      <c r="K1183" s="254" t="s">
        <v>48</v>
      </c>
      <c r="L1183" s="255"/>
      <c r="M1183" s="255" t="s">
        <v>1414</v>
      </c>
      <c r="N1183" s="254">
        <v>558524</v>
      </c>
      <c r="O1183" s="254" t="s">
        <v>1321</v>
      </c>
      <c r="P1183" s="258">
        <v>44132</v>
      </c>
      <c r="Q1183" s="259">
        <v>16646686.07</v>
      </c>
      <c r="R1183" s="259">
        <v>27585167.233730134</v>
      </c>
      <c r="S1183" s="254">
        <v>33</v>
      </c>
      <c r="T1183" s="256">
        <v>8.1341306667398028E-2</v>
      </c>
      <c r="U1183" s="256">
        <v>1.0515149475969661</v>
      </c>
      <c r="V1183" s="256">
        <v>0.17667819257708506</v>
      </c>
      <c r="W1183" s="256">
        <v>1.7320370523634643</v>
      </c>
      <c r="X1183" s="256" t="s">
        <v>1417</v>
      </c>
      <c r="Y1183" s="256" t="s">
        <v>1417</v>
      </c>
      <c r="Z1183" s="256" t="s">
        <v>1417</v>
      </c>
      <c r="AA1183" s="256" t="s">
        <v>1417</v>
      </c>
      <c r="AB1183" s="256">
        <v>9.6398631900246085E-2</v>
      </c>
      <c r="AC1183" s="260">
        <v>0.72866361711510608</v>
      </c>
      <c r="AD1183" s="405">
        <v>38537672000103</v>
      </c>
      <c r="AE1183" s="257" t="s">
        <v>2381</v>
      </c>
      <c r="AF1183" s="257" t="s">
        <v>2109</v>
      </c>
      <c r="AG1183" s="261" t="s">
        <v>1432</v>
      </c>
      <c r="AH1183" s="261" t="s">
        <v>2110</v>
      </c>
      <c r="AI1183" s="261">
        <v>500</v>
      </c>
      <c r="AJ1183" s="261">
        <v>100</v>
      </c>
      <c r="AK1183" s="261">
        <v>100</v>
      </c>
      <c r="AL1183" s="256">
        <v>1.7000000000000001E-2</v>
      </c>
      <c r="AM1183" s="256">
        <v>0.2</v>
      </c>
      <c r="AN1183" s="256" t="s">
        <v>34</v>
      </c>
      <c r="AO1183" s="254" t="s">
        <v>1324</v>
      </c>
      <c r="AP1183" s="257" t="s">
        <v>13</v>
      </c>
      <c r="AQ1183" s="263" t="s">
        <v>668</v>
      </c>
      <c r="AR1183" s="256" t="s">
        <v>34</v>
      </c>
      <c r="AS1183" s="256" t="s">
        <v>34</v>
      </c>
      <c r="AT1183" s="256"/>
      <c r="AX1183" s="508"/>
      <c r="AY1183" s="509"/>
      <c r="AZ1183" s="509"/>
      <c r="BA1183" s="509"/>
      <c r="BB1183" s="510"/>
      <c r="BC1183" s="509"/>
      <c r="BD1183" s="509"/>
      <c r="BE1183" s="509"/>
      <c r="BF1183" s="509"/>
      <c r="BG1183" s="510"/>
      <c r="BH1183" s="510"/>
      <c r="BI1183" s="511"/>
      <c r="BJ1183" s="511"/>
      <c r="BK1183" s="511"/>
      <c r="BL1183" s="510"/>
      <c r="BM1183" s="510"/>
      <c r="BN1183" s="510"/>
      <c r="BO1183" s="510"/>
      <c r="BP1183" s="510"/>
      <c r="BQ1183" s="510"/>
      <c r="BR1183" s="510"/>
      <c r="BS1183" s="510"/>
      <c r="BT1183" s="513"/>
      <c r="BU1183" s="514"/>
      <c r="BV1183" s="512"/>
      <c r="BW1183" s="515"/>
    </row>
    <row r="1184" spans="2:75" ht="15.75" customHeight="1">
      <c r="B1184" s="250" t="s">
        <v>210</v>
      </c>
      <c r="C1184" s="251">
        <v>31440882000130</v>
      </c>
      <c r="D1184" s="252" t="s">
        <v>13</v>
      </c>
      <c r="E1184" s="252" t="s">
        <v>616</v>
      </c>
      <c r="F1184" s="252" t="s">
        <v>610</v>
      </c>
      <c r="G1184" s="253" t="s">
        <v>34</v>
      </c>
      <c r="H1184" s="253" t="s">
        <v>1337</v>
      </c>
      <c r="I1184" s="253" t="s">
        <v>34</v>
      </c>
      <c r="J1184" s="253" t="s">
        <v>611</v>
      </c>
      <c r="K1184" s="254" t="s">
        <v>48</v>
      </c>
      <c r="L1184" s="255"/>
      <c r="M1184" s="255" t="s">
        <v>34</v>
      </c>
      <c r="N1184" s="254">
        <v>478385</v>
      </c>
      <c r="O1184" s="254" t="s">
        <v>1321</v>
      </c>
      <c r="P1184" s="258">
        <v>43405</v>
      </c>
      <c r="Q1184" s="259">
        <v>134038519.19</v>
      </c>
      <c r="R1184" s="259">
        <v>150606597.40706342</v>
      </c>
      <c r="S1184" s="254">
        <v>33</v>
      </c>
      <c r="T1184" s="256">
        <v>8.1776539487687483E-2</v>
      </c>
      <c r="U1184" s="256">
        <v>1.0571412872141852</v>
      </c>
      <c r="V1184" s="256">
        <v>0.12199301858879941</v>
      </c>
      <c r="W1184" s="256">
        <v>1.1959394945319941</v>
      </c>
      <c r="X1184" s="256">
        <v>0.14398717522299043</v>
      </c>
      <c r="Y1184" s="256">
        <v>1.0918809065053658</v>
      </c>
      <c r="Z1184" s="256">
        <v>0.24648734004423711</v>
      </c>
      <c r="AA1184" s="256">
        <v>1.4011139491139224</v>
      </c>
      <c r="AB1184" s="256">
        <v>4.1123301415047393E-2</v>
      </c>
      <c r="AC1184" s="260">
        <v>0.45770768809848689</v>
      </c>
      <c r="AD1184" s="405">
        <v>0</v>
      </c>
      <c r="AE1184" s="257" t="s">
        <v>2259</v>
      </c>
      <c r="AF1184" s="257" t="s">
        <v>2118</v>
      </c>
      <c r="AG1184" s="261" t="s">
        <v>1433</v>
      </c>
      <c r="AH1184" s="261" t="s">
        <v>2113</v>
      </c>
      <c r="AI1184" s="261">
        <v>50000</v>
      </c>
      <c r="AJ1184" s="261">
        <v>20000</v>
      </c>
      <c r="AK1184" s="261">
        <v>20000</v>
      </c>
      <c r="AL1184" s="256">
        <v>0.02</v>
      </c>
      <c r="AM1184" s="256">
        <v>0.2</v>
      </c>
      <c r="AN1184" s="256" t="s">
        <v>64</v>
      </c>
      <c r="AO1184" s="254" t="s">
        <v>1324</v>
      </c>
      <c r="AP1184" s="257" t="s">
        <v>13</v>
      </c>
      <c r="AQ1184" s="263" t="s">
        <v>668</v>
      </c>
      <c r="AR1184" s="256">
        <v>5.4000000000000003E-3</v>
      </c>
      <c r="AS1184" s="256">
        <v>5.4000000000000003E-3</v>
      </c>
      <c r="AT1184" s="256"/>
      <c r="AX1184" s="508"/>
      <c r="AY1184" s="509"/>
      <c r="AZ1184" s="509"/>
      <c r="BA1184" s="509"/>
      <c r="BB1184" s="510"/>
      <c r="BC1184" s="509"/>
      <c r="BD1184" s="509"/>
      <c r="BE1184" s="509"/>
      <c r="BF1184" s="509"/>
      <c r="BG1184" s="510"/>
      <c r="BH1184" s="510"/>
      <c r="BI1184" s="511"/>
      <c r="BJ1184" s="511"/>
      <c r="BK1184" s="511"/>
      <c r="BL1184" s="510"/>
      <c r="BM1184" s="510"/>
      <c r="BN1184" s="510"/>
      <c r="BO1184" s="510"/>
      <c r="BP1184" s="510"/>
      <c r="BQ1184" s="510"/>
      <c r="BR1184" s="510"/>
      <c r="BS1184" s="510"/>
      <c r="BT1184" s="513"/>
      <c r="BU1184" s="514"/>
      <c r="BV1184" s="512"/>
      <c r="BW1184" s="515"/>
    </row>
    <row r="1185" spans="2:75" ht="15.75" customHeight="1">
      <c r="B1185" s="250" t="s">
        <v>1484</v>
      </c>
      <c r="C1185" s="251">
        <v>32892827000143</v>
      </c>
      <c r="D1185" s="252" t="s">
        <v>14</v>
      </c>
      <c r="E1185" s="252" t="s">
        <v>614</v>
      </c>
      <c r="F1185" s="252" t="s">
        <v>689</v>
      </c>
      <c r="G1185" s="253"/>
      <c r="H1185" s="253" t="s">
        <v>865</v>
      </c>
      <c r="I1185" s="253" t="s">
        <v>34</v>
      </c>
      <c r="J1185" s="253" t="s">
        <v>608</v>
      </c>
      <c r="K1185" s="254" t="s">
        <v>48</v>
      </c>
      <c r="L1185" s="255"/>
      <c r="M1185" s="255"/>
      <c r="N1185" s="254">
        <v>499943</v>
      </c>
      <c r="O1185" s="254" t="s">
        <v>1321</v>
      </c>
      <c r="P1185" s="258">
        <v>43643</v>
      </c>
      <c r="Q1185" s="259">
        <v>313489083.39999998</v>
      </c>
      <c r="R1185" s="259">
        <v>305813815.0378176</v>
      </c>
      <c r="S1185" s="254">
        <v>33</v>
      </c>
      <c r="T1185" s="256">
        <v>0.13201872949536453</v>
      </c>
      <c r="U1185" s="256">
        <v>1.4849352526584523</v>
      </c>
      <c r="V1185" s="256">
        <v>0.15563752503011696</v>
      </c>
      <c r="W1185" s="256">
        <v>1.428395822711209</v>
      </c>
      <c r="X1185" s="256">
        <v>0.48307027017444026</v>
      </c>
      <c r="Y1185" s="256">
        <v>3.3968489119161025</v>
      </c>
      <c r="Z1185" s="256">
        <v>0.60950574926801959</v>
      </c>
      <c r="AA1185" s="256">
        <v>3.3306829856274129</v>
      </c>
      <c r="AB1185" s="256">
        <v>0.16446018438316645</v>
      </c>
      <c r="AC1185" s="260">
        <v>0.3327852575250822</v>
      </c>
      <c r="AD1185" s="405">
        <v>32071783000190</v>
      </c>
      <c r="AE1185" s="257" t="s">
        <v>2117</v>
      </c>
      <c r="AF1185" s="257" t="s">
        <v>2118</v>
      </c>
      <c r="AG1185" s="261" t="s">
        <v>1433</v>
      </c>
      <c r="AH1185" s="261" t="s">
        <v>2110</v>
      </c>
      <c r="AI1185" s="261">
        <v>5000</v>
      </c>
      <c r="AJ1185" s="261">
        <v>1000</v>
      </c>
      <c r="AK1185" s="261">
        <v>3000</v>
      </c>
      <c r="AL1185" s="519">
        <v>1.9E-2</v>
      </c>
      <c r="AM1185" s="519">
        <v>0.2</v>
      </c>
      <c r="AN1185" s="256" t="s">
        <v>34</v>
      </c>
      <c r="AO1185" s="254" t="s">
        <v>1324</v>
      </c>
      <c r="AP1185" s="257" t="s">
        <v>716</v>
      </c>
      <c r="AQ1185" s="263" t="s">
        <v>659</v>
      </c>
      <c r="AR1185" s="256" t="s">
        <v>34</v>
      </c>
      <c r="AS1185" s="256" t="s">
        <v>34</v>
      </c>
      <c r="AT1185" s="256"/>
      <c r="AX1185" s="508"/>
      <c r="AY1185" s="509"/>
      <c r="AZ1185" s="509"/>
      <c r="BA1185" s="509"/>
      <c r="BB1185" s="510"/>
      <c r="BC1185" s="509"/>
      <c r="BD1185" s="509"/>
      <c r="BE1185" s="509"/>
      <c r="BF1185" s="509"/>
      <c r="BG1185" s="510"/>
      <c r="BH1185" s="510"/>
      <c r="BI1185" s="511"/>
      <c r="BJ1185" s="511"/>
      <c r="BK1185" s="511"/>
      <c r="BL1185" s="510"/>
      <c r="BM1185" s="510"/>
      <c r="BN1185" s="510"/>
      <c r="BO1185" s="510"/>
      <c r="BP1185" s="510"/>
      <c r="BQ1185" s="510"/>
      <c r="BR1185" s="510"/>
      <c r="BS1185" s="510"/>
      <c r="BT1185" s="513"/>
      <c r="BU1185" s="514"/>
      <c r="BV1185" s="512"/>
      <c r="BW1185" s="515"/>
    </row>
    <row r="1186" spans="2:75" ht="15.75" customHeight="1">
      <c r="B1186" s="250" t="s">
        <v>718</v>
      </c>
      <c r="C1186" s="251">
        <v>39377954000153</v>
      </c>
      <c r="D1186" s="252" t="s">
        <v>14</v>
      </c>
      <c r="E1186" s="252" t="s">
        <v>607</v>
      </c>
      <c r="F1186" s="252"/>
      <c r="G1186" s="253"/>
      <c r="H1186" s="253" t="s">
        <v>34</v>
      </c>
      <c r="I1186" s="253" t="s">
        <v>34</v>
      </c>
      <c r="J1186" s="253" t="s">
        <v>608</v>
      </c>
      <c r="K1186" s="254" t="s">
        <v>48</v>
      </c>
      <c r="L1186" s="255"/>
      <c r="M1186" s="255" t="s">
        <v>34</v>
      </c>
      <c r="N1186" s="254">
        <v>588881</v>
      </c>
      <c r="O1186" s="254" t="s">
        <v>1321</v>
      </c>
      <c r="P1186" s="258">
        <v>44188</v>
      </c>
      <c r="Q1186" s="259">
        <v>67521217.359999999</v>
      </c>
      <c r="R1186" s="259">
        <v>63217464.389841244</v>
      </c>
      <c r="S1186" s="254">
        <v>33</v>
      </c>
      <c r="T1186" s="256">
        <v>0.17443774871079154</v>
      </c>
      <c r="U1186" s="256">
        <v>2.2549908245828298</v>
      </c>
      <c r="V1186" s="256">
        <v>6.6416584760096153E-2</v>
      </c>
      <c r="W1186" s="256">
        <v>0.65110461012744791</v>
      </c>
      <c r="X1186" s="256" t="s">
        <v>1417</v>
      </c>
      <c r="Y1186" s="256" t="s">
        <v>1417</v>
      </c>
      <c r="Z1186" s="256" t="s">
        <v>1417</v>
      </c>
      <c r="AA1186" s="256" t="s">
        <v>1417</v>
      </c>
      <c r="AB1186" s="256">
        <v>0.23951537777885071</v>
      </c>
      <c r="AC1186" s="260">
        <v>-1.7752598678111631E-2</v>
      </c>
      <c r="AD1186" s="405">
        <v>0</v>
      </c>
      <c r="AE1186" s="257" t="s">
        <v>2111</v>
      </c>
      <c r="AF1186" s="257" t="s">
        <v>2112</v>
      </c>
      <c r="AG1186" s="261" t="s">
        <v>59</v>
      </c>
      <c r="AH1186" s="261" t="s">
        <v>2113</v>
      </c>
      <c r="AI1186" s="261">
        <v>5000</v>
      </c>
      <c r="AJ1186" s="261">
        <v>5000</v>
      </c>
      <c r="AK1186" s="261">
        <v>5000</v>
      </c>
      <c r="AL1186" s="519">
        <v>0.02</v>
      </c>
      <c r="AM1186" s="519">
        <v>0.2</v>
      </c>
      <c r="AN1186" s="256" t="s">
        <v>666</v>
      </c>
      <c r="AO1186" s="254" t="s">
        <v>1324</v>
      </c>
      <c r="AP1186" s="257" t="s">
        <v>716</v>
      </c>
      <c r="AQ1186" s="263" t="s">
        <v>659</v>
      </c>
      <c r="AR1186" s="256">
        <v>5.3333333333333332E-3</v>
      </c>
      <c r="AS1186" s="256">
        <v>5.3333333333333332E-3</v>
      </c>
      <c r="AT1186" s="256"/>
      <c r="AX1186" s="508"/>
      <c r="AY1186" s="509"/>
      <c r="AZ1186" s="509"/>
      <c r="BA1186" s="509"/>
      <c r="BB1186" s="510"/>
      <c r="BC1186" s="509"/>
      <c r="BD1186" s="509"/>
      <c r="BE1186" s="509"/>
      <c r="BF1186" s="509"/>
      <c r="BG1186" s="510"/>
      <c r="BH1186" s="510"/>
      <c r="BI1186" s="511"/>
      <c r="BJ1186" s="511"/>
      <c r="BK1186" s="511"/>
      <c r="BL1186" s="510"/>
      <c r="BM1186" s="510"/>
      <c r="BN1186" s="510"/>
      <c r="BO1186" s="510"/>
      <c r="BP1186" s="510"/>
      <c r="BQ1186" s="510"/>
      <c r="BR1186" s="510"/>
      <c r="BS1186" s="510"/>
      <c r="BT1186" s="513"/>
      <c r="BU1186" s="514"/>
      <c r="BV1186" s="512"/>
      <c r="BW1186" s="515"/>
    </row>
    <row r="1187" spans="2:75" ht="15.75" customHeight="1">
      <c r="B1187" s="250" t="s">
        <v>95</v>
      </c>
      <c r="C1187" s="251">
        <v>39737102000120</v>
      </c>
      <c r="D1187" s="252" t="s">
        <v>14</v>
      </c>
      <c r="E1187" s="252" t="s">
        <v>614</v>
      </c>
      <c r="F1187" s="252"/>
      <c r="G1187" s="253"/>
      <c r="H1187" s="253" t="s">
        <v>1338</v>
      </c>
      <c r="I1187" s="253" t="s">
        <v>34</v>
      </c>
      <c r="J1187" s="253" t="s">
        <v>608</v>
      </c>
      <c r="K1187" s="254" t="s">
        <v>48</v>
      </c>
      <c r="L1187" s="255"/>
      <c r="M1187" s="255" t="s">
        <v>1414</v>
      </c>
      <c r="N1187" s="254">
        <v>568945</v>
      </c>
      <c r="O1187" s="254" t="s">
        <v>1321</v>
      </c>
      <c r="P1187" s="258">
        <v>44195</v>
      </c>
      <c r="Q1187" s="259">
        <v>98889318.930000007</v>
      </c>
      <c r="R1187" s="259">
        <v>82919157.778253928</v>
      </c>
      <c r="S1187" s="254">
        <v>33</v>
      </c>
      <c r="T1187" s="256">
        <v>-0.24997479533744449</v>
      </c>
      <c r="U1187" s="256">
        <v>-3.2314729697496691</v>
      </c>
      <c r="V1187" s="256">
        <v>-0.28407248472194635</v>
      </c>
      <c r="W1187" s="256">
        <v>-2.7848602134680207</v>
      </c>
      <c r="X1187" s="256" t="s">
        <v>1417</v>
      </c>
      <c r="Y1187" s="256" t="s">
        <v>1417</v>
      </c>
      <c r="Z1187" s="256" t="s">
        <v>1417</v>
      </c>
      <c r="AA1187" s="256" t="s">
        <v>1417</v>
      </c>
      <c r="AB1187" s="256">
        <v>0.21787814381506473</v>
      </c>
      <c r="AC1187" s="260">
        <v>-1.8695488902621686</v>
      </c>
      <c r="AD1187" s="405">
        <v>39737170000199</v>
      </c>
      <c r="AE1187" s="257" t="s">
        <v>2156</v>
      </c>
      <c r="AF1187" s="257" t="s">
        <v>2118</v>
      </c>
      <c r="AG1187" s="261" t="s">
        <v>1433</v>
      </c>
      <c r="AH1187" s="261" t="s">
        <v>2113</v>
      </c>
      <c r="AI1187" s="261">
        <v>0</v>
      </c>
      <c r="AJ1187" s="261">
        <v>0</v>
      </c>
      <c r="AK1187" s="261">
        <v>0</v>
      </c>
      <c r="AL1187" s="519">
        <v>1.4999999999999999E-2</v>
      </c>
      <c r="AM1187" s="519">
        <v>0.2</v>
      </c>
      <c r="AN1187" s="256" t="s">
        <v>34</v>
      </c>
      <c r="AO1187" s="254" t="s">
        <v>1324</v>
      </c>
      <c r="AP1187" s="257" t="s">
        <v>13</v>
      </c>
      <c r="AQ1187" s="263" t="s">
        <v>668</v>
      </c>
      <c r="AR1187" s="256">
        <v>3.5999999999999999E-3</v>
      </c>
      <c r="AS1187" s="256">
        <v>3.5999999999999999E-3</v>
      </c>
      <c r="AT1187" s="256"/>
      <c r="AX1187" s="508"/>
      <c r="AY1187" s="509"/>
      <c r="AZ1187" s="509"/>
      <c r="BA1187" s="509"/>
      <c r="BB1187" s="510"/>
      <c r="BC1187" s="509"/>
      <c r="BD1187" s="509"/>
      <c r="BE1187" s="509"/>
      <c r="BF1187" s="509"/>
      <c r="BG1187" s="510"/>
      <c r="BH1187" s="510"/>
      <c r="BI1187" s="511"/>
      <c r="BJ1187" s="511"/>
      <c r="BK1187" s="511"/>
      <c r="BL1187" s="510"/>
      <c r="BM1187" s="510"/>
      <c r="BN1187" s="510"/>
      <c r="BO1187" s="510"/>
      <c r="BP1187" s="510"/>
      <c r="BQ1187" s="510"/>
      <c r="BR1187" s="510"/>
      <c r="BS1187" s="510"/>
      <c r="BT1187" s="513"/>
      <c r="BU1187" s="514"/>
      <c r="BV1187" s="512"/>
      <c r="BW1187" s="515"/>
    </row>
    <row r="1188" spans="2:75" ht="15.75" customHeight="1">
      <c r="B1188" s="250" t="s">
        <v>159</v>
      </c>
      <c r="C1188" s="251">
        <v>11888706000158</v>
      </c>
      <c r="D1188" s="252" t="s">
        <v>14</v>
      </c>
      <c r="E1188" s="252" t="s">
        <v>607</v>
      </c>
      <c r="F1188" s="252"/>
      <c r="G1188" s="253"/>
      <c r="H1188" s="253" t="s">
        <v>34</v>
      </c>
      <c r="I1188" s="253" t="s">
        <v>34</v>
      </c>
      <c r="J1188" s="253" t="s">
        <v>608</v>
      </c>
      <c r="K1188" s="254" t="s">
        <v>48</v>
      </c>
      <c r="L1188" s="255"/>
      <c r="M1188" s="255" t="s">
        <v>1414</v>
      </c>
      <c r="N1188" s="254">
        <v>372986</v>
      </c>
      <c r="O1188" s="254" t="s">
        <v>1321</v>
      </c>
      <c r="P1188" s="258">
        <v>41407</v>
      </c>
      <c r="Q1188" s="259">
        <v>28074906.079999998</v>
      </c>
      <c r="R1188" s="259">
        <v>36168032.571666665</v>
      </c>
      <c r="S1188" s="254">
        <v>33</v>
      </c>
      <c r="T1188" s="256">
        <v>-6.0989605936087044E-3</v>
      </c>
      <c r="U1188" s="256">
        <v>-7.8842453997051878E-2</v>
      </c>
      <c r="V1188" s="256">
        <v>-0.17307448120312563</v>
      </c>
      <c r="W1188" s="256">
        <v>-1.696708631041755</v>
      </c>
      <c r="X1188" s="256">
        <v>-9.2536928019457232E-2</v>
      </c>
      <c r="Y1188" s="256">
        <v>-0.70172433548077418</v>
      </c>
      <c r="Z1188" s="256">
        <v>2.1395938224812117E-2</v>
      </c>
      <c r="AA1188" s="256">
        <v>0.12162144918186812</v>
      </c>
      <c r="AB1188" s="256">
        <v>0.21648872980951789</v>
      </c>
      <c r="AC1188" s="260">
        <v>-1.2181137666789257</v>
      </c>
      <c r="AD1188" s="405">
        <v>0</v>
      </c>
      <c r="AE1188" s="257" t="s">
        <v>2195</v>
      </c>
      <c r="AF1188" s="257" t="s">
        <v>2195</v>
      </c>
      <c r="AG1188" s="261" t="s">
        <v>719</v>
      </c>
      <c r="AH1188" s="261" t="s">
        <v>2110</v>
      </c>
      <c r="AI1188" s="261">
        <v>50000</v>
      </c>
      <c r="AJ1188" s="261">
        <v>1000</v>
      </c>
      <c r="AK1188" s="261">
        <v>1000</v>
      </c>
      <c r="AL1188" s="256">
        <v>0.01</v>
      </c>
      <c r="AM1188" s="256">
        <v>0.2</v>
      </c>
      <c r="AN1188" s="256" t="s">
        <v>666</v>
      </c>
      <c r="AO1188" s="254" t="s">
        <v>1324</v>
      </c>
      <c r="AP1188" s="257" t="s">
        <v>716</v>
      </c>
      <c r="AQ1188" s="263" t="s">
        <v>670</v>
      </c>
      <c r="AR1188" s="256">
        <v>2.3333333333333331E-3</v>
      </c>
      <c r="AS1188" s="256">
        <v>2.3333333333333331E-3</v>
      </c>
      <c r="AT1188" s="256"/>
      <c r="AX1188" s="508"/>
      <c r="AY1188" s="509"/>
      <c r="AZ1188" s="509"/>
      <c r="BA1188" s="509"/>
      <c r="BB1188" s="510"/>
      <c r="BC1188" s="509"/>
      <c r="BD1188" s="509"/>
      <c r="BE1188" s="509"/>
      <c r="BF1188" s="509"/>
      <c r="BG1188" s="510"/>
      <c r="BH1188" s="510"/>
      <c r="BI1188" s="511"/>
      <c r="BJ1188" s="511"/>
      <c r="BK1188" s="511"/>
      <c r="BL1188" s="510"/>
      <c r="BM1188" s="510"/>
      <c r="BN1188" s="510"/>
      <c r="BO1188" s="510"/>
      <c r="BP1188" s="510"/>
      <c r="BQ1188" s="510"/>
      <c r="BR1188" s="510"/>
      <c r="BS1188" s="510"/>
      <c r="BT1188" s="513"/>
      <c r="BU1188" s="514"/>
      <c r="BV1188" s="512"/>
      <c r="BW1188" s="515"/>
    </row>
    <row r="1189" spans="2:75" ht="15.75" customHeight="1">
      <c r="B1189" s="250" t="s">
        <v>171</v>
      </c>
      <c r="C1189" s="251">
        <v>34286544000183</v>
      </c>
      <c r="D1189" s="252" t="s">
        <v>14</v>
      </c>
      <c r="E1189" s="252" t="s">
        <v>614</v>
      </c>
      <c r="F1189" s="252"/>
      <c r="G1189" s="253"/>
      <c r="H1189" s="253" t="s">
        <v>1338</v>
      </c>
      <c r="I1189" s="253" t="s">
        <v>34</v>
      </c>
      <c r="J1189" s="253" t="s">
        <v>608</v>
      </c>
      <c r="K1189" s="254" t="s">
        <v>48</v>
      </c>
      <c r="L1189" s="255"/>
      <c r="M1189" s="255" t="s">
        <v>34</v>
      </c>
      <c r="N1189" s="254">
        <v>505668</v>
      </c>
      <c r="O1189" s="254" t="s">
        <v>1321</v>
      </c>
      <c r="P1189" s="258">
        <v>43703</v>
      </c>
      <c r="Q1189" s="259">
        <v>55139878.829999998</v>
      </c>
      <c r="R1189" s="259">
        <v>58302396.617182553</v>
      </c>
      <c r="S1189" s="254">
        <v>33</v>
      </c>
      <c r="T1189" s="256">
        <v>0.1166566444949122</v>
      </c>
      <c r="U1189" s="256">
        <v>1.5080432125891909</v>
      </c>
      <c r="V1189" s="256">
        <v>-4.3500627275757653E-3</v>
      </c>
      <c r="W1189" s="256">
        <v>-4.2645160188511638E-2</v>
      </c>
      <c r="X1189" s="256">
        <v>8.696037424161096E-2</v>
      </c>
      <c r="Y1189" s="256">
        <v>0.65943631514354006</v>
      </c>
      <c r="Z1189" s="256">
        <v>0.27864508264893151</v>
      </c>
      <c r="AA1189" s="256">
        <v>1.5839089832417039</v>
      </c>
      <c r="AB1189" s="256">
        <v>0.19892565229582715</v>
      </c>
      <c r="AC1189" s="260">
        <v>-0.411049984674764</v>
      </c>
      <c r="AD1189" s="405">
        <v>34286521000179</v>
      </c>
      <c r="AE1189" s="257" t="s">
        <v>2209</v>
      </c>
      <c r="AF1189" s="257" t="s">
        <v>2118</v>
      </c>
      <c r="AG1189" s="261" t="s">
        <v>1433</v>
      </c>
      <c r="AH1189" s="261" t="s">
        <v>2113</v>
      </c>
      <c r="AI1189" s="261">
        <v>1000</v>
      </c>
      <c r="AJ1189" s="261">
        <v>1</v>
      </c>
      <c r="AK1189" s="261">
        <v>1000</v>
      </c>
      <c r="AL1189" s="256">
        <v>1.9199999999999998E-2</v>
      </c>
      <c r="AM1189" s="256">
        <v>0.2</v>
      </c>
      <c r="AN1189" s="256" t="s">
        <v>34</v>
      </c>
      <c r="AO1189" s="254" t="s">
        <v>1324</v>
      </c>
      <c r="AP1189" s="257" t="s">
        <v>13</v>
      </c>
      <c r="AQ1189" s="263" t="s">
        <v>674</v>
      </c>
      <c r="AR1189" s="256">
        <v>6.3999999999999994E-3</v>
      </c>
      <c r="AS1189" s="256">
        <v>6.3999999999999994E-3</v>
      </c>
      <c r="AT1189" s="256"/>
      <c r="AX1189" s="508"/>
      <c r="AY1189" s="509"/>
      <c r="AZ1189" s="509"/>
      <c r="BA1189" s="509"/>
      <c r="BB1189" s="510"/>
      <c r="BC1189" s="509"/>
      <c r="BD1189" s="509"/>
      <c r="BE1189" s="509"/>
      <c r="BF1189" s="509"/>
      <c r="BG1189" s="510"/>
      <c r="BH1189" s="510"/>
      <c r="BI1189" s="511"/>
      <c r="BJ1189" s="511"/>
      <c r="BK1189" s="511"/>
      <c r="BL1189" s="510"/>
      <c r="BM1189" s="510"/>
      <c r="BN1189" s="510"/>
      <c r="BO1189" s="510"/>
      <c r="BP1189" s="510"/>
      <c r="BQ1189" s="510"/>
      <c r="BR1189" s="510"/>
      <c r="BS1189" s="510"/>
      <c r="BT1189" s="513"/>
      <c r="BU1189" s="514"/>
      <c r="BV1189" s="512"/>
      <c r="BW1189" s="515"/>
    </row>
    <row r="1190" spans="2:75" ht="15.75" customHeight="1">
      <c r="B1190" s="250" t="s">
        <v>1542</v>
      </c>
      <c r="C1190" s="251">
        <v>11357735000193</v>
      </c>
      <c r="D1190" s="252" t="s">
        <v>14</v>
      </c>
      <c r="E1190" s="252" t="s">
        <v>607</v>
      </c>
      <c r="F1190" s="252"/>
      <c r="G1190" s="253"/>
      <c r="H1190" s="253" t="s">
        <v>34</v>
      </c>
      <c r="I1190" s="253" t="s">
        <v>34</v>
      </c>
      <c r="J1190" s="253" t="s">
        <v>608</v>
      </c>
      <c r="K1190" s="254" t="s">
        <v>48</v>
      </c>
      <c r="L1190" s="255"/>
      <c r="M1190" s="255"/>
      <c r="N1190" s="254">
        <v>241210</v>
      </c>
      <c r="O1190" s="254" t="s">
        <v>1321</v>
      </c>
      <c r="P1190" s="258">
        <v>40183</v>
      </c>
      <c r="Q1190" s="259">
        <v>541731047.03999996</v>
      </c>
      <c r="R1190" s="259">
        <v>441112142.25464278</v>
      </c>
      <c r="S1190" s="254">
        <v>33</v>
      </c>
      <c r="T1190" s="256">
        <v>0.14057731759254843</v>
      </c>
      <c r="U1190" s="256">
        <v>1.5812015114466618</v>
      </c>
      <c r="V1190" s="256">
        <v>6.4037945349300074E-2</v>
      </c>
      <c r="W1190" s="256">
        <v>0.58772158972746791</v>
      </c>
      <c r="X1190" s="256">
        <v>0.2903454278755877</v>
      </c>
      <c r="Y1190" s="256">
        <v>2.0416482065908541</v>
      </c>
      <c r="Z1190" s="256">
        <v>0.33011259490364919</v>
      </c>
      <c r="AA1190" s="256">
        <v>1.8039212993599061</v>
      </c>
      <c r="AB1190" s="256">
        <v>0.21098324649362327</v>
      </c>
      <c r="AC1190" s="260">
        <v>-9.0802784359970579E-2</v>
      </c>
      <c r="AD1190" s="405">
        <v>0</v>
      </c>
      <c r="AE1190" s="257" t="s">
        <v>2209</v>
      </c>
      <c r="AF1190" s="257" t="s">
        <v>736</v>
      </c>
      <c r="AG1190" s="261" t="s">
        <v>736</v>
      </c>
      <c r="AH1190" s="261" t="s">
        <v>2210</v>
      </c>
      <c r="AI1190" s="261">
        <v>5000</v>
      </c>
      <c r="AJ1190" s="261">
        <v>1000</v>
      </c>
      <c r="AK1190" s="261">
        <v>5000</v>
      </c>
      <c r="AL1190" s="256">
        <v>5.0000000000000001E-3</v>
      </c>
      <c r="AM1190" s="256" t="s">
        <v>34</v>
      </c>
      <c r="AN1190" s="256" t="s">
        <v>34</v>
      </c>
      <c r="AO1190" s="254" t="s">
        <v>1324</v>
      </c>
      <c r="AP1190" s="257" t="s">
        <v>716</v>
      </c>
      <c r="AQ1190" s="263" t="s">
        <v>659</v>
      </c>
      <c r="AR1190" s="256" t="s">
        <v>34</v>
      </c>
      <c r="AS1190" s="256" t="s">
        <v>34</v>
      </c>
      <c r="AT1190" s="256"/>
      <c r="AX1190" s="508"/>
      <c r="AY1190" s="509"/>
      <c r="AZ1190" s="509"/>
      <c r="BA1190" s="509"/>
      <c r="BB1190" s="510"/>
      <c r="BC1190" s="509"/>
      <c r="BD1190" s="509"/>
      <c r="BE1190" s="509"/>
      <c r="BF1190" s="509"/>
      <c r="BG1190" s="510"/>
      <c r="BH1190" s="510"/>
      <c r="BI1190" s="511"/>
      <c r="BJ1190" s="511"/>
      <c r="BK1190" s="511"/>
      <c r="BL1190" s="510"/>
      <c r="BM1190" s="510"/>
      <c r="BN1190" s="510"/>
      <c r="BO1190" s="510"/>
      <c r="BP1190" s="510"/>
      <c r="BQ1190" s="510"/>
      <c r="BR1190" s="510"/>
      <c r="BS1190" s="510"/>
      <c r="BT1190" s="513"/>
      <c r="BU1190" s="514"/>
      <c r="BV1190" s="512"/>
      <c r="BW1190" s="515"/>
    </row>
    <row r="1191" spans="2:75" ht="15.75" customHeight="1">
      <c r="B1191" s="250" t="s">
        <v>905</v>
      </c>
      <c r="C1191" s="251">
        <v>11403850000157</v>
      </c>
      <c r="D1191" s="252" t="s">
        <v>14</v>
      </c>
      <c r="E1191" s="252" t="s">
        <v>607</v>
      </c>
      <c r="F1191" s="252"/>
      <c r="G1191" s="253"/>
      <c r="H1191" s="253" t="s">
        <v>34</v>
      </c>
      <c r="I1191" s="253" t="s">
        <v>34</v>
      </c>
      <c r="J1191" s="253" t="s">
        <v>608</v>
      </c>
      <c r="K1191" s="254" t="s">
        <v>48</v>
      </c>
      <c r="L1191" s="255"/>
      <c r="M1191" s="255" t="s">
        <v>1414</v>
      </c>
      <c r="N1191" s="254">
        <v>245755</v>
      </c>
      <c r="O1191" s="254" t="s">
        <v>1321</v>
      </c>
      <c r="P1191" s="258">
        <v>40254</v>
      </c>
      <c r="Q1191" s="259">
        <v>432755463.38999999</v>
      </c>
      <c r="R1191" s="259">
        <v>371161333.08281744</v>
      </c>
      <c r="S1191" s="254">
        <v>33</v>
      </c>
      <c r="T1191" s="256">
        <v>0.11804661007538786</v>
      </c>
      <c r="U1191" s="256">
        <v>1.5260115689433833</v>
      </c>
      <c r="V1191" s="256">
        <v>-1.3706645805896533E-2</v>
      </c>
      <c r="W1191" s="256">
        <v>-0.13437096029311643</v>
      </c>
      <c r="X1191" s="256">
        <v>0.1140078941076077</v>
      </c>
      <c r="Y1191" s="256">
        <v>0.8645425717547256</v>
      </c>
      <c r="Z1191" s="256">
        <v>0.297211028827294</v>
      </c>
      <c r="AA1191" s="256">
        <v>1.6894438401813481</v>
      </c>
      <c r="AB1191" s="256">
        <v>0.21102537230854637</v>
      </c>
      <c r="AC1191" s="260">
        <v>-0.42042951850462051</v>
      </c>
      <c r="AD1191" s="405">
        <v>11357735000193</v>
      </c>
      <c r="AE1191" s="257" t="s">
        <v>2209</v>
      </c>
      <c r="AF1191" s="257" t="s">
        <v>736</v>
      </c>
      <c r="AG1191" s="261" t="s">
        <v>736</v>
      </c>
      <c r="AH1191" s="261" t="s">
        <v>2113</v>
      </c>
      <c r="AI1191" s="261">
        <v>1000</v>
      </c>
      <c r="AJ1191" s="261">
        <v>1000</v>
      </c>
      <c r="AK1191" s="261">
        <v>1000</v>
      </c>
      <c r="AL1191" s="256">
        <v>6.9999999999999993E-3</v>
      </c>
      <c r="AM1191" s="256">
        <v>0.2</v>
      </c>
      <c r="AN1191" s="256" t="s">
        <v>2160</v>
      </c>
      <c r="AO1191" s="254" t="s">
        <v>1324</v>
      </c>
      <c r="AP1191" s="257" t="s">
        <v>716</v>
      </c>
      <c r="AQ1191" s="263" t="s">
        <v>659</v>
      </c>
      <c r="AR1191" s="256">
        <v>3.5000000000000001E-3</v>
      </c>
      <c r="AS1191" s="256">
        <v>3.5000000000000001E-3</v>
      </c>
      <c r="AT1191" s="256"/>
      <c r="AX1191" s="508"/>
      <c r="AY1191" s="509"/>
      <c r="AZ1191" s="509"/>
      <c r="BA1191" s="509"/>
      <c r="BB1191" s="510"/>
      <c r="BC1191" s="509"/>
      <c r="BD1191" s="509"/>
      <c r="BE1191" s="509"/>
      <c r="BF1191" s="509"/>
      <c r="BG1191" s="510"/>
      <c r="BH1191" s="510"/>
      <c r="BI1191" s="511"/>
      <c r="BJ1191" s="511"/>
      <c r="BK1191" s="511"/>
      <c r="BL1191" s="510"/>
      <c r="BM1191" s="510"/>
      <c r="BN1191" s="510"/>
      <c r="BO1191" s="510"/>
      <c r="BP1191" s="510"/>
      <c r="BQ1191" s="510"/>
      <c r="BR1191" s="510"/>
      <c r="BS1191" s="510"/>
      <c r="BT1191" s="513"/>
      <c r="BU1191" s="514"/>
      <c r="BV1191" s="512"/>
      <c r="BW1191" s="515"/>
    </row>
    <row r="1192" spans="2:75" ht="15.75" customHeight="1">
      <c r="B1192" s="250" t="s">
        <v>1596</v>
      </c>
      <c r="C1192" s="251">
        <v>36352601000100</v>
      </c>
      <c r="D1192" s="252" t="s">
        <v>14</v>
      </c>
      <c r="E1192" s="252"/>
      <c r="F1192" s="252"/>
      <c r="G1192" s="253"/>
      <c r="H1192" s="253" t="s">
        <v>34</v>
      </c>
      <c r="I1192" s="253"/>
      <c r="J1192" s="253"/>
      <c r="K1192" s="254"/>
      <c r="L1192" s="255"/>
      <c r="M1192" s="255"/>
      <c r="N1192" s="254">
        <v>539740</v>
      </c>
      <c r="O1192" s="254" t="s">
        <v>1321</v>
      </c>
      <c r="P1192" s="258">
        <v>43998</v>
      </c>
      <c r="Q1192" s="259" t="s">
        <v>1393</v>
      </c>
      <c r="R1192" s="259" t="s">
        <v>1417</v>
      </c>
      <c r="S1192" s="254">
        <v>33</v>
      </c>
      <c r="T1192" s="256" t="s">
        <v>1417</v>
      </c>
      <c r="U1192" s="256" t="s">
        <v>1417</v>
      </c>
      <c r="V1192" s="256" t="s">
        <v>1417</v>
      </c>
      <c r="W1192" s="256" t="s">
        <v>1417</v>
      </c>
      <c r="X1192" s="256" t="s">
        <v>1417</v>
      </c>
      <c r="Y1192" s="256" t="s">
        <v>1417</v>
      </c>
      <c r="Z1192" s="256" t="s">
        <v>1417</v>
      </c>
      <c r="AA1192" s="256" t="s">
        <v>1417</v>
      </c>
      <c r="AB1192" s="256" t="s">
        <v>1417</v>
      </c>
      <c r="AC1192" s="260" t="s">
        <v>1417</v>
      </c>
      <c r="AD1192" s="405">
        <v>40777563000105</v>
      </c>
      <c r="AE1192" s="257" t="s">
        <v>2259</v>
      </c>
      <c r="AF1192" s="257" t="s">
        <v>2118</v>
      </c>
      <c r="AG1192" s="261" t="s">
        <v>1433</v>
      </c>
      <c r="AH1192" s="261" t="s">
        <v>2113</v>
      </c>
      <c r="AI1192" s="261">
        <v>1000</v>
      </c>
      <c r="AJ1192" s="261">
        <v>1000</v>
      </c>
      <c r="AK1192" s="261">
        <v>1000</v>
      </c>
      <c r="AL1192" s="256">
        <v>1.4499999999999999E-2</v>
      </c>
      <c r="AM1192" s="256">
        <v>0.25</v>
      </c>
      <c r="AN1192" s="256" t="s">
        <v>34</v>
      </c>
      <c r="AO1192" s="254" t="s">
        <v>1324</v>
      </c>
      <c r="AP1192" s="257" t="s">
        <v>716</v>
      </c>
      <c r="AQ1192" s="263" t="s">
        <v>659</v>
      </c>
      <c r="AR1192" s="256">
        <v>1.9995E-3</v>
      </c>
      <c r="AS1192" s="256">
        <v>1.9995E-3</v>
      </c>
      <c r="AT1192" s="256"/>
      <c r="AX1192" s="508"/>
      <c r="AY1192" s="509"/>
      <c r="AZ1192" s="509"/>
      <c r="BA1192" s="509"/>
      <c r="BB1192" s="510"/>
      <c r="BC1192" s="509"/>
      <c r="BD1192" s="509"/>
      <c r="BE1192" s="509"/>
      <c r="BF1192" s="509"/>
      <c r="BG1192" s="510"/>
      <c r="BH1192" s="510"/>
      <c r="BI1192" s="511"/>
      <c r="BJ1192" s="511"/>
      <c r="BK1192" s="511"/>
      <c r="BL1192" s="510"/>
      <c r="BM1192" s="510"/>
      <c r="BN1192" s="510"/>
      <c r="BO1192" s="510"/>
      <c r="BP1192" s="510"/>
      <c r="BQ1192" s="510"/>
      <c r="BR1192" s="510"/>
      <c r="BS1192" s="510"/>
      <c r="BT1192" s="513"/>
      <c r="BU1192" s="514"/>
      <c r="BV1192" s="512"/>
      <c r="BW1192" s="515"/>
    </row>
    <row r="1193" spans="2:75" ht="15.75" customHeight="1">
      <c r="B1193" s="250" t="s">
        <v>244</v>
      </c>
      <c r="C1193" s="251">
        <v>9143318000104</v>
      </c>
      <c r="D1193" s="252" t="s">
        <v>14</v>
      </c>
      <c r="E1193" s="252" t="s">
        <v>614</v>
      </c>
      <c r="F1193" s="252"/>
      <c r="G1193" s="253"/>
      <c r="H1193" s="253" t="s">
        <v>1338</v>
      </c>
      <c r="I1193" s="253" t="s">
        <v>34</v>
      </c>
      <c r="J1193" s="253" t="s">
        <v>608</v>
      </c>
      <c r="K1193" s="254" t="s">
        <v>48</v>
      </c>
      <c r="L1193" s="255"/>
      <c r="M1193" s="255" t="s">
        <v>1414</v>
      </c>
      <c r="N1193" s="254">
        <v>211958</v>
      </c>
      <c r="O1193" s="254" t="s">
        <v>1321</v>
      </c>
      <c r="P1193" s="258">
        <v>39598</v>
      </c>
      <c r="Q1193" s="259">
        <v>426283237.69999999</v>
      </c>
      <c r="R1193" s="259">
        <v>496236336.11380929</v>
      </c>
      <c r="S1193" s="254">
        <v>33</v>
      </c>
      <c r="T1193" s="256">
        <v>-1.2189663721921429E-2</v>
      </c>
      <c r="U1193" s="256">
        <v>-0.15757816212851924</v>
      </c>
      <c r="V1193" s="256">
        <v>-0.15595808219680485</v>
      </c>
      <c r="W1193" s="256">
        <v>-1.528910688072364</v>
      </c>
      <c r="X1193" s="256">
        <v>-3.8473010072266112E-2</v>
      </c>
      <c r="Y1193" s="256">
        <v>-0.29174782440615993</v>
      </c>
      <c r="Z1193" s="256">
        <v>0.12112535406919633</v>
      </c>
      <c r="AA1193" s="256">
        <v>0.68851577994738322</v>
      </c>
      <c r="AB1193" s="256">
        <v>0.2370192060313861</v>
      </c>
      <c r="AC1193" s="260">
        <v>-1.0067176921398353</v>
      </c>
      <c r="AD1193" s="405">
        <v>9271730000100</v>
      </c>
      <c r="AE1193" s="257" t="s">
        <v>2288</v>
      </c>
      <c r="AF1193" s="257" t="s">
        <v>2118</v>
      </c>
      <c r="AG1193" s="261" t="s">
        <v>1433</v>
      </c>
      <c r="AH1193" s="261" t="s">
        <v>2113</v>
      </c>
      <c r="AI1193" s="261">
        <v>100000</v>
      </c>
      <c r="AJ1193" s="261">
        <v>50000</v>
      </c>
      <c r="AK1193" s="261">
        <v>100000</v>
      </c>
      <c r="AL1193" s="256">
        <v>1.8500000000000003E-2</v>
      </c>
      <c r="AM1193" s="256">
        <v>0.2</v>
      </c>
      <c r="AN1193" s="256" t="s">
        <v>2141</v>
      </c>
      <c r="AO1193" s="254" t="s">
        <v>1324</v>
      </c>
      <c r="AP1193" s="257" t="s">
        <v>13</v>
      </c>
      <c r="AQ1193" s="263" t="s">
        <v>671</v>
      </c>
      <c r="AR1193" s="256">
        <v>2.4666666666666665E-3</v>
      </c>
      <c r="AS1193" s="256">
        <v>2.4666666666666665E-3</v>
      </c>
      <c r="AT1193" s="256"/>
      <c r="AX1193" s="508"/>
      <c r="AY1193" s="509"/>
      <c r="AZ1193" s="509"/>
      <c r="BA1193" s="509"/>
      <c r="BB1193" s="510"/>
      <c r="BC1193" s="509"/>
      <c r="BD1193" s="509"/>
      <c r="BE1193" s="509"/>
      <c r="BF1193" s="509"/>
      <c r="BG1193" s="510"/>
      <c r="BH1193" s="510"/>
      <c r="BI1193" s="511"/>
      <c r="BJ1193" s="511"/>
      <c r="BK1193" s="511"/>
      <c r="BL1193" s="510"/>
      <c r="BM1193" s="510"/>
      <c r="BN1193" s="510"/>
      <c r="BO1193" s="510"/>
      <c r="BP1193" s="510"/>
      <c r="BQ1193" s="510"/>
      <c r="BR1193" s="510"/>
      <c r="BS1193" s="510"/>
      <c r="BT1193" s="513"/>
      <c r="BU1193" s="514"/>
      <c r="BV1193" s="512"/>
      <c r="BW1193" s="515"/>
    </row>
    <row r="1194" spans="2:75" ht="15.75" customHeight="1">
      <c r="B1194" s="250" t="s">
        <v>1647</v>
      </c>
      <c r="C1194" s="251">
        <v>25079446000184</v>
      </c>
      <c r="D1194" s="252" t="s">
        <v>14</v>
      </c>
      <c r="E1194" s="252" t="s">
        <v>614</v>
      </c>
      <c r="F1194" s="252"/>
      <c r="G1194" s="253"/>
      <c r="H1194" s="253" t="s">
        <v>865</v>
      </c>
      <c r="I1194" s="253" t="s">
        <v>34</v>
      </c>
      <c r="J1194" s="253" t="s">
        <v>608</v>
      </c>
      <c r="K1194" s="254" t="s">
        <v>48</v>
      </c>
      <c r="L1194" s="255"/>
      <c r="M1194" s="255"/>
      <c r="N1194" s="254">
        <v>467014</v>
      </c>
      <c r="O1194" s="254" t="s">
        <v>1324</v>
      </c>
      <c r="P1194" s="258">
        <v>43238</v>
      </c>
      <c r="Q1194" s="259">
        <v>17151820.149999999</v>
      </c>
      <c r="R1194" s="259">
        <v>25586656.960079379</v>
      </c>
      <c r="S1194" s="254">
        <v>33</v>
      </c>
      <c r="T1194" s="256">
        <v>8.6375315961395804E-2</v>
      </c>
      <c r="U1194" s="256">
        <v>0.97154208437593303</v>
      </c>
      <c r="V1194" s="256">
        <v>-8.0761111914876893E-2</v>
      </c>
      <c r="W1194" s="256">
        <v>-0.74120193619372865</v>
      </c>
      <c r="X1194" s="256">
        <v>2.2060749504328125E-2</v>
      </c>
      <c r="Y1194" s="256">
        <v>0.15512656765809738</v>
      </c>
      <c r="Z1194" s="256">
        <v>5.1078906211563746E-2</v>
      </c>
      <c r="AA1194" s="256">
        <v>0.27912393615257441</v>
      </c>
      <c r="AB1194" s="256">
        <v>0.16404536635274306</v>
      </c>
      <c r="AC1194" s="260">
        <v>-1.0621108646677846</v>
      </c>
      <c r="AD1194" s="405">
        <v>29054790000170</v>
      </c>
      <c r="AE1194" s="257" t="s">
        <v>2318</v>
      </c>
      <c r="AF1194" s="257" t="s">
        <v>2318</v>
      </c>
      <c r="AG1194" s="261" t="s">
        <v>1436</v>
      </c>
      <c r="AH1194" s="261" t="s">
        <v>2110</v>
      </c>
      <c r="AI1194" s="261">
        <v>1000</v>
      </c>
      <c r="AJ1194" s="261">
        <v>1000</v>
      </c>
      <c r="AK1194" s="261">
        <v>1000</v>
      </c>
      <c r="AL1194" s="256">
        <v>0</v>
      </c>
      <c r="AM1194" s="256" t="s">
        <v>34</v>
      </c>
      <c r="AN1194" s="256" t="s">
        <v>64</v>
      </c>
      <c r="AO1194" s="254" t="s">
        <v>1324</v>
      </c>
      <c r="AP1194" s="257" t="s">
        <v>13</v>
      </c>
      <c r="AQ1194" s="263" t="s">
        <v>668</v>
      </c>
      <c r="AR1194" s="256" t="s">
        <v>34</v>
      </c>
      <c r="AS1194" s="256" t="s">
        <v>34</v>
      </c>
      <c r="AT1194" s="256"/>
      <c r="AX1194" s="508"/>
      <c r="AY1194" s="509"/>
      <c r="AZ1194" s="509"/>
      <c r="BA1194" s="509"/>
      <c r="BB1194" s="510"/>
      <c r="BC1194" s="509"/>
      <c r="BD1194" s="509"/>
      <c r="BE1194" s="509"/>
      <c r="BF1194" s="509"/>
      <c r="BG1194" s="510"/>
      <c r="BH1194" s="510"/>
      <c r="BI1194" s="511"/>
      <c r="BJ1194" s="511"/>
      <c r="BK1194" s="511"/>
      <c r="BL1194" s="510"/>
      <c r="BM1194" s="510"/>
      <c r="BN1194" s="510"/>
      <c r="BO1194" s="510"/>
      <c r="BP1194" s="510"/>
      <c r="BQ1194" s="510"/>
      <c r="BR1194" s="510"/>
      <c r="BS1194" s="510"/>
      <c r="BT1194" s="513"/>
      <c r="BU1194" s="514"/>
      <c r="BV1194" s="512"/>
      <c r="BW1194" s="515"/>
    </row>
    <row r="1195" spans="2:75" ht="15.75" customHeight="1">
      <c r="B1195" s="250" t="s">
        <v>1117</v>
      </c>
      <c r="C1195" s="251">
        <v>28235674000194</v>
      </c>
      <c r="D1195" s="252" t="s">
        <v>14</v>
      </c>
      <c r="E1195" s="252" t="s">
        <v>614</v>
      </c>
      <c r="F1195" s="252"/>
      <c r="G1195" s="253"/>
      <c r="H1195" s="253" t="s">
        <v>1338</v>
      </c>
      <c r="I1195" s="253" t="s">
        <v>34</v>
      </c>
      <c r="J1195" s="253" t="s">
        <v>608</v>
      </c>
      <c r="K1195" s="254" t="s">
        <v>48</v>
      </c>
      <c r="L1195" s="255"/>
      <c r="M1195" s="255" t="s">
        <v>34</v>
      </c>
      <c r="N1195" s="254">
        <v>451533</v>
      </c>
      <c r="O1195" s="254" t="s">
        <v>1321</v>
      </c>
      <c r="P1195" s="258">
        <v>43026</v>
      </c>
      <c r="Q1195" s="259">
        <v>11780654.710000001</v>
      </c>
      <c r="R1195" s="259">
        <v>14506896.001746038</v>
      </c>
      <c r="S1195" s="254">
        <v>33</v>
      </c>
      <c r="T1195" s="256">
        <v>9.9298806782918358E-2</v>
      </c>
      <c r="U1195" s="256">
        <v>1.2836550565597362</v>
      </c>
      <c r="V1195" s="256">
        <v>-0.10958973805678718</v>
      </c>
      <c r="W1195" s="256">
        <v>-1.0743458720314101</v>
      </c>
      <c r="X1195" s="256">
        <v>-2.0771746849568617E-2</v>
      </c>
      <c r="Y1195" s="256">
        <v>-0.15751592976723389</v>
      </c>
      <c r="Z1195" s="256">
        <v>0.11950588302267806</v>
      </c>
      <c r="AA1195" s="256">
        <v>0.67931018150546874</v>
      </c>
      <c r="AB1195" s="256">
        <v>0.21037669749153362</v>
      </c>
      <c r="AC1195" s="260">
        <v>-0.90838400922707208</v>
      </c>
      <c r="AD1195" s="405">
        <v>17002861000101</v>
      </c>
      <c r="AE1195" s="257" t="s">
        <v>2123</v>
      </c>
      <c r="AF1195" s="257" t="s">
        <v>2109</v>
      </c>
      <c r="AG1195" s="261" t="s">
        <v>1432</v>
      </c>
      <c r="AH1195" s="261" t="s">
        <v>2113</v>
      </c>
      <c r="AI1195" s="261">
        <v>5000</v>
      </c>
      <c r="AJ1195" s="261">
        <v>5000</v>
      </c>
      <c r="AK1195" s="261">
        <v>5000</v>
      </c>
      <c r="AL1195" s="256">
        <v>0</v>
      </c>
      <c r="AM1195" s="256" t="s">
        <v>34</v>
      </c>
      <c r="AN1195" s="256" t="s">
        <v>34</v>
      </c>
      <c r="AO1195" s="254" t="s">
        <v>1324</v>
      </c>
      <c r="AP1195" s="257" t="s">
        <v>13</v>
      </c>
      <c r="AQ1195" s="263" t="s">
        <v>668</v>
      </c>
      <c r="AR1195" s="256">
        <v>4.8250000000000003E-3</v>
      </c>
      <c r="AS1195" s="256">
        <v>4.8250000000000003E-3</v>
      </c>
      <c r="AT1195" s="256"/>
      <c r="AX1195" s="508"/>
      <c r="AY1195" s="509"/>
      <c r="AZ1195" s="509"/>
      <c r="BA1195" s="509"/>
      <c r="BB1195" s="510"/>
      <c r="BC1195" s="509"/>
      <c r="BD1195" s="509"/>
      <c r="BE1195" s="509"/>
      <c r="BF1195" s="509"/>
      <c r="BG1195" s="510"/>
      <c r="BH1195" s="510"/>
      <c r="BI1195" s="511"/>
      <c r="BJ1195" s="511"/>
      <c r="BK1195" s="511"/>
      <c r="BL1195" s="510"/>
      <c r="BM1195" s="510"/>
      <c r="BN1195" s="510"/>
      <c r="BO1195" s="510"/>
      <c r="BP1195" s="510"/>
      <c r="BQ1195" s="510"/>
      <c r="BR1195" s="510"/>
      <c r="BS1195" s="510"/>
      <c r="BT1195" s="513"/>
      <c r="BU1195" s="514"/>
      <c r="BV1195" s="512"/>
      <c r="BW1195" s="515"/>
    </row>
    <row r="1196" spans="2:75" ht="15.75" customHeight="1">
      <c r="B1196" s="250" t="s">
        <v>334</v>
      </c>
      <c r="C1196" s="251">
        <v>9401978000130</v>
      </c>
      <c r="D1196" s="252" t="s">
        <v>14</v>
      </c>
      <c r="E1196" s="252" t="s">
        <v>607</v>
      </c>
      <c r="F1196" s="252"/>
      <c r="G1196" s="253"/>
      <c r="H1196" s="253" t="s">
        <v>34</v>
      </c>
      <c r="I1196" s="253" t="s">
        <v>34</v>
      </c>
      <c r="J1196" s="253" t="s">
        <v>608</v>
      </c>
      <c r="K1196" s="254" t="s">
        <v>48</v>
      </c>
      <c r="L1196" s="255"/>
      <c r="M1196" s="255" t="s">
        <v>34</v>
      </c>
      <c r="N1196" s="254">
        <v>209376</v>
      </c>
      <c r="O1196" s="254" t="s">
        <v>1321</v>
      </c>
      <c r="P1196" s="258">
        <v>39587</v>
      </c>
      <c r="Q1196" s="259">
        <v>49222069.729999997</v>
      </c>
      <c r="R1196" s="259">
        <v>47157094.077341244</v>
      </c>
      <c r="S1196" s="254">
        <v>33</v>
      </c>
      <c r="T1196" s="256">
        <v>1.7106675107435354E-2</v>
      </c>
      <c r="U1196" s="256">
        <v>0.22114132801806655</v>
      </c>
      <c r="V1196" s="256">
        <v>-0.1937155177424148</v>
      </c>
      <c r="W1196" s="256">
        <v>-1.89905980728915</v>
      </c>
      <c r="X1196" s="256">
        <v>-0.22740254934688309</v>
      </c>
      <c r="Y1196" s="256">
        <v>-1.7244348417695774</v>
      </c>
      <c r="Z1196" s="256">
        <v>-0.13426248432118437</v>
      </c>
      <c r="AA1196" s="256">
        <v>-0.76319148720311292</v>
      </c>
      <c r="AB1196" s="256">
        <v>0.21179878556475046</v>
      </c>
      <c r="AC1196" s="260">
        <v>-1.3689955798768803</v>
      </c>
      <c r="AD1196" s="405">
        <v>46171852000142</v>
      </c>
      <c r="AE1196" s="257" t="s">
        <v>2361</v>
      </c>
      <c r="AF1196" s="257" t="s">
        <v>2115</v>
      </c>
      <c r="AG1196" s="261" t="s">
        <v>719</v>
      </c>
      <c r="AH1196" s="261" t="s">
        <v>2110</v>
      </c>
      <c r="AI1196" s="261">
        <v>5000</v>
      </c>
      <c r="AJ1196" s="261">
        <v>5000</v>
      </c>
      <c r="AK1196" s="261">
        <v>5000</v>
      </c>
      <c r="AL1196" s="256">
        <v>1.8500000000000003E-2</v>
      </c>
      <c r="AM1196" s="256">
        <v>0.2</v>
      </c>
      <c r="AN1196" s="256" t="s">
        <v>2182</v>
      </c>
      <c r="AO1196" s="254" t="s">
        <v>1324</v>
      </c>
      <c r="AP1196" s="257" t="s">
        <v>716</v>
      </c>
      <c r="AQ1196" s="263" t="s">
        <v>659</v>
      </c>
      <c r="AR1196" s="256">
        <v>4.4399999999999995E-3</v>
      </c>
      <c r="AS1196" s="256">
        <v>4.4399999999999995E-3</v>
      </c>
      <c r="AT1196" s="256"/>
      <c r="AX1196" s="508"/>
      <c r="AY1196" s="509"/>
      <c r="AZ1196" s="509"/>
      <c r="BA1196" s="509"/>
      <c r="BB1196" s="510"/>
      <c r="BC1196" s="509"/>
      <c r="BD1196" s="509"/>
      <c r="BE1196" s="509"/>
      <c r="BF1196" s="509"/>
      <c r="BG1196" s="510"/>
      <c r="BH1196" s="510"/>
      <c r="BI1196" s="511"/>
      <c r="BJ1196" s="511"/>
      <c r="BK1196" s="511"/>
      <c r="BL1196" s="510"/>
      <c r="BM1196" s="510"/>
      <c r="BN1196" s="510"/>
      <c r="BO1196" s="510"/>
      <c r="BP1196" s="510"/>
      <c r="BQ1196" s="510"/>
      <c r="BR1196" s="510"/>
      <c r="BS1196" s="510"/>
      <c r="BT1196" s="513"/>
      <c r="BU1196" s="514"/>
      <c r="BV1196" s="512"/>
      <c r="BW1196" s="515"/>
    </row>
    <row r="1197" spans="2:75" ht="15.75" customHeight="1">
      <c r="B1197" s="250" t="s">
        <v>355</v>
      </c>
      <c r="C1197" s="251">
        <v>7420595000183</v>
      </c>
      <c r="D1197" s="252" t="s">
        <v>14</v>
      </c>
      <c r="E1197" s="252" t="s">
        <v>607</v>
      </c>
      <c r="F1197" s="252"/>
      <c r="G1197" s="253"/>
      <c r="H1197" s="253" t="s">
        <v>34</v>
      </c>
      <c r="I1197" s="253" t="s">
        <v>34</v>
      </c>
      <c r="J1197" s="253" t="s">
        <v>608</v>
      </c>
      <c r="K1197" s="254" t="s">
        <v>48</v>
      </c>
      <c r="L1197" s="255"/>
      <c r="M1197" s="255" t="s">
        <v>34</v>
      </c>
      <c r="N1197" s="254">
        <v>187933</v>
      </c>
      <c r="O1197" s="254" t="s">
        <v>1321</v>
      </c>
      <c r="P1197" s="258">
        <v>39261</v>
      </c>
      <c r="Q1197" s="259">
        <v>17649098.079999998</v>
      </c>
      <c r="R1197" s="259">
        <v>24351681.766111106</v>
      </c>
      <c r="S1197" s="254">
        <v>33</v>
      </c>
      <c r="T1197" s="256">
        <v>3.6835404651837544E-2</v>
      </c>
      <c r="U1197" s="256">
        <v>0.47617846551897541</v>
      </c>
      <c r="V1197" s="256">
        <v>-0.14296315851287678</v>
      </c>
      <c r="W1197" s="256">
        <v>-1.4015169843849165</v>
      </c>
      <c r="X1197" s="256">
        <v>-0.21773065052846352</v>
      </c>
      <c r="Y1197" s="256">
        <v>-1.6510910760270439</v>
      </c>
      <c r="Z1197" s="256">
        <v>-0.1153492038666305</v>
      </c>
      <c r="AA1197" s="256">
        <v>-0.65568226963590137</v>
      </c>
      <c r="AB1197" s="256">
        <v>0.30067634869585952</v>
      </c>
      <c r="AC1197" s="260">
        <v>-0.68597580779108969</v>
      </c>
      <c r="AD1197" s="405">
        <v>0</v>
      </c>
      <c r="AE1197" s="257" t="s">
        <v>2379</v>
      </c>
      <c r="AF1197" s="257" t="s">
        <v>2115</v>
      </c>
      <c r="AG1197" s="261" t="s">
        <v>719</v>
      </c>
      <c r="AH1197" s="261" t="s">
        <v>2113</v>
      </c>
      <c r="AI1197" s="261">
        <v>25000</v>
      </c>
      <c r="AJ1197" s="261">
        <v>1000</v>
      </c>
      <c r="AK1197" s="261">
        <v>25000</v>
      </c>
      <c r="AL1197" s="256">
        <v>0.02</v>
      </c>
      <c r="AM1197" s="256">
        <v>0.2</v>
      </c>
      <c r="AN1197" s="256" t="s">
        <v>666</v>
      </c>
      <c r="AO1197" s="254" t="s">
        <v>1324</v>
      </c>
      <c r="AP1197" s="257" t="s">
        <v>716</v>
      </c>
      <c r="AQ1197" s="263" t="s">
        <v>681</v>
      </c>
      <c r="AR1197" s="256">
        <v>6.0000000000000001E-3</v>
      </c>
      <c r="AS1197" s="256">
        <v>6.0000000000000001E-3</v>
      </c>
      <c r="AT1197" s="256"/>
      <c r="AX1197" s="508"/>
      <c r="AY1197" s="509"/>
      <c r="AZ1197" s="509"/>
      <c r="BA1197" s="509"/>
      <c r="BB1197" s="510"/>
      <c r="BC1197" s="509"/>
      <c r="BD1197" s="509"/>
      <c r="BE1197" s="509"/>
      <c r="BF1197" s="509"/>
      <c r="BG1197" s="510"/>
      <c r="BH1197" s="510"/>
      <c r="BI1197" s="511"/>
      <c r="BJ1197" s="511"/>
      <c r="BK1197" s="511"/>
      <c r="BL1197" s="510"/>
      <c r="BM1197" s="510"/>
      <c r="BN1197" s="510"/>
      <c r="BO1197" s="510"/>
      <c r="BP1197" s="510"/>
      <c r="BQ1197" s="510"/>
      <c r="BR1197" s="510"/>
      <c r="BS1197" s="510"/>
      <c r="BT1197" s="513"/>
      <c r="BU1197" s="514"/>
      <c r="BV1197" s="512"/>
      <c r="BW1197" s="515"/>
    </row>
    <row r="1198" spans="2:75" ht="15.75" customHeight="1">
      <c r="B1198" s="250" t="s">
        <v>1169</v>
      </c>
      <c r="C1198" s="251">
        <v>17253801000161</v>
      </c>
      <c r="D1198" s="252" t="s">
        <v>14</v>
      </c>
      <c r="E1198" s="252" t="s">
        <v>607</v>
      </c>
      <c r="F1198" s="252"/>
      <c r="G1198" s="253"/>
      <c r="H1198" s="253" t="s">
        <v>34</v>
      </c>
      <c r="I1198" s="253" t="s">
        <v>34</v>
      </c>
      <c r="J1198" s="253" t="s">
        <v>608</v>
      </c>
      <c r="K1198" s="254" t="s">
        <v>48</v>
      </c>
      <c r="L1198" s="255"/>
      <c r="M1198" s="255" t="s">
        <v>34</v>
      </c>
      <c r="N1198" s="254">
        <v>333956</v>
      </c>
      <c r="O1198" s="254" t="s">
        <v>1324</v>
      </c>
      <c r="P1198" s="258">
        <v>41389</v>
      </c>
      <c r="Q1198" s="259">
        <v>450421211.22000003</v>
      </c>
      <c r="R1198" s="259">
        <v>857282250.27940488</v>
      </c>
      <c r="S1198" s="254">
        <v>33</v>
      </c>
      <c r="T1198" s="256">
        <v>-5.8688705137788233E-3</v>
      </c>
      <c r="U1198" s="256">
        <v>-7.5868034625794445E-2</v>
      </c>
      <c r="V1198" s="256">
        <v>-0.1954544792787869</v>
      </c>
      <c r="W1198" s="256">
        <v>-1.9161074449726592</v>
      </c>
      <c r="X1198" s="256">
        <v>-0.11967829394778062</v>
      </c>
      <c r="Y1198" s="256">
        <v>-0.90754224383071003</v>
      </c>
      <c r="Z1198" s="256">
        <v>5.3375672137199182E-2</v>
      </c>
      <c r="AA1198" s="256">
        <v>0.30340462419424608</v>
      </c>
      <c r="AB1198" s="256">
        <v>0.21591280221952894</v>
      </c>
      <c r="AC1198" s="260">
        <v>-1.3489501812537403</v>
      </c>
      <c r="AD1198" s="405">
        <v>37388322000160</v>
      </c>
      <c r="AE1198" s="257" t="s">
        <v>2318</v>
      </c>
      <c r="AF1198" s="257" t="s">
        <v>2318</v>
      </c>
      <c r="AG1198" s="261" t="s">
        <v>1436</v>
      </c>
      <c r="AH1198" s="261" t="s">
        <v>2319</v>
      </c>
      <c r="AI1198" s="261">
        <v>15000</v>
      </c>
      <c r="AJ1198" s="261">
        <v>2000</v>
      </c>
      <c r="AK1198" s="261">
        <v>10000</v>
      </c>
      <c r="AL1198" s="256">
        <v>0.02</v>
      </c>
      <c r="AM1198" s="256">
        <v>0.2</v>
      </c>
      <c r="AN1198" s="256" t="s">
        <v>2141</v>
      </c>
      <c r="AO1198" s="254" t="s">
        <v>1324</v>
      </c>
      <c r="AP1198" s="257" t="s">
        <v>716</v>
      </c>
      <c r="AQ1198" s="263" t="s">
        <v>659</v>
      </c>
      <c r="AR1198" s="256">
        <v>4.0000000000000001E-3</v>
      </c>
      <c r="AS1198" s="256">
        <v>4.0000000000000001E-3</v>
      </c>
      <c r="AT1198" s="256"/>
      <c r="AX1198" s="508"/>
      <c r="AY1198" s="509"/>
      <c r="AZ1198" s="509"/>
      <c r="BA1198" s="509"/>
      <c r="BB1198" s="510"/>
      <c r="BC1198" s="509"/>
      <c r="BD1198" s="509"/>
      <c r="BE1198" s="509"/>
      <c r="BF1198" s="509"/>
      <c r="BG1198" s="510"/>
      <c r="BH1198" s="510"/>
      <c r="BI1198" s="511"/>
      <c r="BJ1198" s="511"/>
      <c r="BK1198" s="511"/>
      <c r="BL1198" s="510"/>
      <c r="BM1198" s="510"/>
      <c r="BN1198" s="510"/>
      <c r="BO1198" s="510"/>
      <c r="BP1198" s="510"/>
      <c r="BQ1198" s="510"/>
      <c r="BR1198" s="510"/>
      <c r="BS1198" s="510"/>
      <c r="BT1198" s="513"/>
      <c r="BU1198" s="514"/>
      <c r="BV1198" s="512"/>
      <c r="BW1198" s="515"/>
    </row>
    <row r="1199" spans="2:75" ht="15.75" customHeight="1">
      <c r="B1199" s="250" t="s">
        <v>573</v>
      </c>
      <c r="C1199" s="251">
        <v>35535649000191</v>
      </c>
      <c r="D1199" s="252" t="s">
        <v>14</v>
      </c>
      <c r="E1199" s="252" t="s">
        <v>614</v>
      </c>
      <c r="F1199" s="252"/>
      <c r="G1199" s="253"/>
      <c r="H1199" s="253" t="s">
        <v>1338</v>
      </c>
      <c r="I1199" s="253" t="s">
        <v>34</v>
      </c>
      <c r="J1199" s="253" t="s">
        <v>608</v>
      </c>
      <c r="K1199" s="254" t="s">
        <v>48</v>
      </c>
      <c r="L1199" s="255"/>
      <c r="M1199" s="255" t="s">
        <v>1414</v>
      </c>
      <c r="N1199" s="254">
        <v>563595</v>
      </c>
      <c r="O1199" s="254" t="s">
        <v>1321</v>
      </c>
      <c r="P1199" s="258">
        <v>44166</v>
      </c>
      <c r="Q1199" s="259">
        <v>205225118.58000001</v>
      </c>
      <c r="R1199" s="259">
        <v>373673345.20273817</v>
      </c>
      <c r="S1199" s="254">
        <v>33</v>
      </c>
      <c r="T1199" s="256">
        <v>-5.789258432726152E-3</v>
      </c>
      <c r="U1199" s="256">
        <v>-7.483887371523168E-2</v>
      </c>
      <c r="V1199" s="256">
        <v>-0.19515314202938217</v>
      </c>
      <c r="W1199" s="256">
        <v>-1.9131533323364966</v>
      </c>
      <c r="X1199" s="256" t="s">
        <v>1417</v>
      </c>
      <c r="Y1199" s="256" t="s">
        <v>1417</v>
      </c>
      <c r="Z1199" s="256" t="s">
        <v>1417</v>
      </c>
      <c r="AA1199" s="256" t="s">
        <v>1417</v>
      </c>
      <c r="AB1199" s="256">
        <v>0.21571936171870451</v>
      </c>
      <c r="AC1199" s="260">
        <v>-1.3486199015532676</v>
      </c>
      <c r="AD1199" s="405">
        <v>37388322000160</v>
      </c>
      <c r="AE1199" s="257" t="s">
        <v>2318</v>
      </c>
      <c r="AF1199" s="257" t="s">
        <v>2318</v>
      </c>
      <c r="AG1199" s="261" t="s">
        <v>1436</v>
      </c>
      <c r="AH1199" s="261" t="s">
        <v>2110</v>
      </c>
      <c r="AI1199" s="261">
        <v>5000</v>
      </c>
      <c r="AJ1199" s="261">
        <v>5000</v>
      </c>
      <c r="AK1199" s="261">
        <v>0</v>
      </c>
      <c r="AL1199" s="256">
        <v>0.02</v>
      </c>
      <c r="AM1199" s="256">
        <v>0.2</v>
      </c>
      <c r="AN1199" s="256" t="s">
        <v>666</v>
      </c>
      <c r="AO1199" s="254" t="s">
        <v>1324</v>
      </c>
      <c r="AP1199" s="257" t="s">
        <v>716</v>
      </c>
      <c r="AQ1199" s="263" t="s">
        <v>659</v>
      </c>
      <c r="AR1199" s="256" t="s">
        <v>34</v>
      </c>
      <c r="AS1199" s="256" t="s">
        <v>34</v>
      </c>
      <c r="AT1199" s="256"/>
      <c r="AX1199" s="508"/>
      <c r="AY1199" s="509"/>
      <c r="AZ1199" s="509"/>
      <c r="BA1199" s="509"/>
      <c r="BB1199" s="510"/>
      <c r="BC1199" s="509"/>
      <c r="BD1199" s="509"/>
      <c r="BE1199" s="509"/>
      <c r="BF1199" s="509"/>
      <c r="BG1199" s="510"/>
      <c r="BH1199" s="510"/>
      <c r="BI1199" s="511"/>
      <c r="BJ1199" s="511"/>
      <c r="BK1199" s="511"/>
      <c r="BL1199" s="510"/>
      <c r="BM1199" s="510"/>
      <c r="BN1199" s="510"/>
      <c r="BO1199" s="510"/>
      <c r="BP1199" s="510"/>
      <c r="BQ1199" s="510"/>
      <c r="BR1199" s="510"/>
      <c r="BS1199" s="510"/>
      <c r="BT1199" s="513"/>
      <c r="BU1199" s="514"/>
      <c r="BV1199" s="512"/>
      <c r="BW1199" s="515"/>
    </row>
    <row r="1200" spans="2:75" ht="15.75" customHeight="1">
      <c r="B1200" s="250" t="s">
        <v>1111</v>
      </c>
      <c r="C1200" s="251">
        <v>36014016000109</v>
      </c>
      <c r="D1200" s="252" t="s">
        <v>11</v>
      </c>
      <c r="E1200" s="252" t="s">
        <v>620</v>
      </c>
      <c r="F1200" s="252" t="s">
        <v>685</v>
      </c>
      <c r="G1200" s="253" t="s">
        <v>738</v>
      </c>
      <c r="H1200" s="253" t="s">
        <v>34</v>
      </c>
      <c r="I1200" s="253" t="s">
        <v>1319</v>
      </c>
      <c r="J1200" s="253" t="s">
        <v>608</v>
      </c>
      <c r="K1200" s="254" t="s">
        <v>48</v>
      </c>
      <c r="L1200" s="255"/>
      <c r="M1200" s="255" t="s">
        <v>34</v>
      </c>
      <c r="N1200" s="254">
        <v>535486</v>
      </c>
      <c r="O1200" s="254" t="s">
        <v>1321</v>
      </c>
      <c r="P1200" s="258">
        <v>43951</v>
      </c>
      <c r="Q1200" s="259">
        <v>11816578.029999999</v>
      </c>
      <c r="R1200" s="259">
        <v>10505116.622499999</v>
      </c>
      <c r="S1200" s="254">
        <v>34</v>
      </c>
      <c r="T1200" s="256">
        <v>9.2494590982234115E-2</v>
      </c>
      <c r="U1200" s="256">
        <v>1.1956956308481426</v>
      </c>
      <c r="V1200" s="256">
        <v>0.12689204537018473</v>
      </c>
      <c r="W1200" s="256">
        <v>1.2439663380383208</v>
      </c>
      <c r="X1200" s="256">
        <v>0.18202213854827898</v>
      </c>
      <c r="Y1200" s="256">
        <v>1.3803069428533821</v>
      </c>
      <c r="Z1200" s="256" t="s">
        <v>1417</v>
      </c>
      <c r="AA1200" s="256" t="s">
        <v>1417</v>
      </c>
      <c r="AB1200" s="256">
        <v>1.6202545843773931E-3</v>
      </c>
      <c r="AC1200" s="260">
        <v>13.788572029523749</v>
      </c>
      <c r="AD1200" s="405">
        <v>0</v>
      </c>
      <c r="AE1200" s="257" t="s">
        <v>2349</v>
      </c>
      <c r="AF1200" s="257" t="s">
        <v>2109</v>
      </c>
      <c r="AG1200" s="261" t="s">
        <v>1432</v>
      </c>
      <c r="AH1200" s="261" t="s">
        <v>2110</v>
      </c>
      <c r="AI1200" s="261">
        <v>0</v>
      </c>
      <c r="AJ1200" s="261">
        <v>0</v>
      </c>
      <c r="AK1200" s="261">
        <v>0</v>
      </c>
      <c r="AL1200" s="256">
        <v>6.9999999999999993E-3</v>
      </c>
      <c r="AM1200" s="256">
        <v>0.2</v>
      </c>
      <c r="AN1200" s="256" t="s">
        <v>64</v>
      </c>
      <c r="AO1200" s="254" t="s">
        <v>1324</v>
      </c>
      <c r="AP1200" s="257" t="s">
        <v>13</v>
      </c>
      <c r="AQ1200" s="263" t="s">
        <v>671</v>
      </c>
      <c r="AR1200" s="256">
        <v>1.4E-3</v>
      </c>
      <c r="AS1200" s="256">
        <v>1.4E-3</v>
      </c>
      <c r="AT1200" s="256"/>
      <c r="AX1200" s="508"/>
      <c r="AY1200" s="509"/>
      <c r="AZ1200" s="509"/>
      <c r="BA1200" s="509"/>
      <c r="BB1200" s="510"/>
      <c r="BC1200" s="509"/>
      <c r="BD1200" s="509"/>
      <c r="BE1200" s="509"/>
      <c r="BF1200" s="509"/>
      <c r="BG1200" s="510"/>
      <c r="BH1200" s="510"/>
      <c r="BI1200" s="511"/>
      <c r="BJ1200" s="511"/>
      <c r="BK1200" s="511"/>
      <c r="BL1200" s="510"/>
      <c r="BM1200" s="510"/>
      <c r="BN1200" s="510"/>
      <c r="BO1200" s="510"/>
      <c r="BP1200" s="510"/>
      <c r="BQ1200" s="510"/>
      <c r="BR1200" s="510"/>
      <c r="BS1200" s="510"/>
      <c r="BT1200" s="513"/>
      <c r="BU1200" s="514"/>
      <c r="BV1200" s="512"/>
      <c r="BW1200" s="515"/>
    </row>
    <row r="1201" spans="2:75" ht="15.75" customHeight="1">
      <c r="B1201" s="250" t="s">
        <v>81</v>
      </c>
      <c r="C1201" s="251">
        <v>27707783000102</v>
      </c>
      <c r="D1201" s="252" t="s">
        <v>13</v>
      </c>
      <c r="E1201" s="252" t="s">
        <v>615</v>
      </c>
      <c r="F1201" s="252" t="s">
        <v>619</v>
      </c>
      <c r="G1201" s="253" t="s">
        <v>34</v>
      </c>
      <c r="H1201" s="253" t="s">
        <v>1338</v>
      </c>
      <c r="I1201" s="253" t="s">
        <v>34</v>
      </c>
      <c r="J1201" s="253"/>
      <c r="K1201" s="254" t="s">
        <v>48</v>
      </c>
      <c r="L1201" s="255"/>
      <c r="M1201" s="255" t="s">
        <v>34</v>
      </c>
      <c r="N1201" s="254">
        <v>446394</v>
      </c>
      <c r="O1201" s="254" t="s">
        <v>1321</v>
      </c>
      <c r="P1201" s="258">
        <v>42957</v>
      </c>
      <c r="Q1201" s="259">
        <v>39627765.75</v>
      </c>
      <c r="R1201" s="259">
        <v>42257945.365555592</v>
      </c>
      <c r="S1201" s="254">
        <v>34</v>
      </c>
      <c r="T1201" s="256">
        <v>-0.11487166981749464</v>
      </c>
      <c r="U1201" s="256">
        <v>-1.4849684965404146</v>
      </c>
      <c r="V1201" s="256">
        <v>-0.17508080695160622</v>
      </c>
      <c r="W1201" s="256">
        <v>-1.7163773319990792</v>
      </c>
      <c r="X1201" s="256">
        <v>-0.20281453399792293</v>
      </c>
      <c r="Y1201" s="256">
        <v>-1.5379794547060233</v>
      </c>
      <c r="Z1201" s="256">
        <v>9.4242224061151347E-2</v>
      </c>
      <c r="AA1201" s="256">
        <v>0.53570335378644973</v>
      </c>
      <c r="AB1201" s="256">
        <v>0.24759538665987443</v>
      </c>
      <c r="AC1201" s="260">
        <v>-1.0461502777094411</v>
      </c>
      <c r="AD1201" s="405">
        <v>0</v>
      </c>
      <c r="AE1201" s="257" t="s">
        <v>2137</v>
      </c>
      <c r="AF1201" s="257" t="s">
        <v>2109</v>
      </c>
      <c r="AG1201" s="261" t="s">
        <v>1432</v>
      </c>
      <c r="AH1201" s="261" t="s">
        <v>2113</v>
      </c>
      <c r="AI1201" s="261">
        <v>5000</v>
      </c>
      <c r="AJ1201" s="261">
        <v>1000</v>
      </c>
      <c r="AK1201" s="261">
        <v>1000</v>
      </c>
      <c r="AL1201" s="519">
        <v>1.5E-3</v>
      </c>
      <c r="AM1201" s="519">
        <v>0.2</v>
      </c>
      <c r="AN1201" s="256" t="s">
        <v>34</v>
      </c>
      <c r="AO1201" s="254" t="s">
        <v>1324</v>
      </c>
      <c r="AP1201" s="257" t="s">
        <v>13</v>
      </c>
      <c r="AQ1201" s="263" t="s">
        <v>668</v>
      </c>
      <c r="AR1201" s="256">
        <v>5.3333333333333332E-3</v>
      </c>
      <c r="AS1201" s="256">
        <v>5.3333333333333332E-3</v>
      </c>
      <c r="AT1201" s="256"/>
      <c r="AX1201" s="508"/>
      <c r="AY1201" s="509"/>
      <c r="AZ1201" s="509"/>
      <c r="BA1201" s="509"/>
      <c r="BB1201" s="510"/>
      <c r="BC1201" s="509"/>
      <c r="BD1201" s="509"/>
      <c r="BE1201" s="509"/>
      <c r="BF1201" s="509"/>
      <c r="BG1201" s="510"/>
      <c r="BH1201" s="510"/>
      <c r="BI1201" s="511"/>
      <c r="BJ1201" s="511"/>
      <c r="BK1201" s="511"/>
      <c r="BL1201" s="510"/>
      <c r="BM1201" s="510"/>
      <c r="BN1201" s="510"/>
      <c r="BO1201" s="510"/>
      <c r="BP1201" s="510"/>
      <c r="BQ1201" s="510"/>
      <c r="BR1201" s="510"/>
      <c r="BS1201" s="510"/>
      <c r="BT1201" s="513"/>
      <c r="BU1201" s="514"/>
      <c r="BV1201" s="512"/>
      <c r="BW1201" s="515"/>
    </row>
    <row r="1202" spans="2:75" ht="15.75" customHeight="1">
      <c r="B1202" s="250" t="s">
        <v>523</v>
      </c>
      <c r="C1202" s="251">
        <v>17092258000168</v>
      </c>
      <c r="D1202" s="252" t="s">
        <v>13</v>
      </c>
      <c r="E1202" s="252" t="s">
        <v>615</v>
      </c>
      <c r="F1202" s="252" t="s">
        <v>619</v>
      </c>
      <c r="G1202" s="253" t="s">
        <v>34</v>
      </c>
      <c r="H1202" s="253" t="s">
        <v>1337</v>
      </c>
      <c r="I1202" s="253" t="s">
        <v>34</v>
      </c>
      <c r="J1202" s="253"/>
      <c r="K1202" s="254" t="s">
        <v>48</v>
      </c>
      <c r="L1202" s="255"/>
      <c r="M1202" s="255" t="s">
        <v>1414</v>
      </c>
      <c r="N1202" s="254">
        <v>331066</v>
      </c>
      <c r="O1202" s="254" t="s">
        <v>1321</v>
      </c>
      <c r="P1202" s="258">
        <v>41361</v>
      </c>
      <c r="Q1202" s="259">
        <v>97216193.409999996</v>
      </c>
      <c r="R1202" s="259">
        <v>99019859.238571435</v>
      </c>
      <c r="S1202" s="254">
        <v>34</v>
      </c>
      <c r="T1202" s="256">
        <v>0.11748421164289002</v>
      </c>
      <c r="U1202" s="256">
        <v>1.5187413346367884</v>
      </c>
      <c r="V1202" s="256">
        <v>0.15118324488838275</v>
      </c>
      <c r="W1202" s="256">
        <v>1.4821013166578008</v>
      </c>
      <c r="X1202" s="256">
        <v>0.17537311194451832</v>
      </c>
      <c r="Y1202" s="256">
        <v>1.3298861662512358</v>
      </c>
      <c r="Z1202" s="256">
        <v>0.29021735929231141</v>
      </c>
      <c r="AA1202" s="256">
        <v>1.6496895552789326</v>
      </c>
      <c r="AB1202" s="256">
        <v>2.754024612838683E-2</v>
      </c>
      <c r="AC1202" s="260">
        <v>1.5996746386759335</v>
      </c>
      <c r="AD1202" s="405">
        <v>0</v>
      </c>
      <c r="AE1202" s="257" t="s">
        <v>2366</v>
      </c>
      <c r="AF1202" s="257" t="s">
        <v>2112</v>
      </c>
      <c r="AG1202" s="261" t="s">
        <v>59</v>
      </c>
      <c r="AH1202" s="261" t="s">
        <v>2113</v>
      </c>
      <c r="AI1202" s="261">
        <v>20000</v>
      </c>
      <c r="AJ1202" s="261">
        <v>1000</v>
      </c>
      <c r="AK1202" s="261">
        <v>1000</v>
      </c>
      <c r="AL1202" s="256">
        <v>5.0000000000000001E-3</v>
      </c>
      <c r="AM1202" s="256" t="s">
        <v>34</v>
      </c>
      <c r="AN1202" s="256" t="s">
        <v>64</v>
      </c>
      <c r="AO1202" s="254" t="s">
        <v>1324</v>
      </c>
      <c r="AP1202" s="257" t="s">
        <v>13</v>
      </c>
      <c r="AQ1202" s="263" t="s">
        <v>686</v>
      </c>
      <c r="AR1202" s="256">
        <v>1.3333333333333333E-3</v>
      </c>
      <c r="AS1202" s="256">
        <v>1.3333333333333333E-3</v>
      </c>
      <c r="AT1202" s="256"/>
      <c r="AX1202" s="508"/>
      <c r="AY1202" s="509"/>
      <c r="AZ1202" s="509"/>
      <c r="BA1202" s="509"/>
      <c r="BB1202" s="510"/>
      <c r="BC1202" s="509"/>
      <c r="BD1202" s="509"/>
      <c r="BE1202" s="509"/>
      <c r="BF1202" s="509"/>
      <c r="BG1202" s="510"/>
      <c r="BH1202" s="510"/>
      <c r="BI1202" s="511"/>
      <c r="BJ1202" s="511"/>
      <c r="BK1202" s="511"/>
      <c r="BL1202" s="510"/>
      <c r="BM1202" s="510"/>
      <c r="BN1202" s="510"/>
      <c r="BO1202" s="510"/>
      <c r="BP1202" s="510"/>
      <c r="BQ1202" s="510"/>
      <c r="BR1202" s="510"/>
      <c r="BS1202" s="510"/>
      <c r="BT1202" s="513"/>
      <c r="BU1202" s="514"/>
      <c r="BV1202" s="512"/>
      <c r="BW1202" s="515"/>
    </row>
    <row r="1203" spans="2:75" ht="15.75" customHeight="1">
      <c r="B1203" s="250" t="s">
        <v>805</v>
      </c>
      <c r="C1203" s="251">
        <v>38068882000108</v>
      </c>
      <c r="D1203" s="252" t="s">
        <v>14</v>
      </c>
      <c r="E1203" s="252" t="s">
        <v>607</v>
      </c>
      <c r="F1203" s="252"/>
      <c r="G1203" s="253"/>
      <c r="H1203" s="253" t="s">
        <v>34</v>
      </c>
      <c r="I1203" s="253" t="s">
        <v>34</v>
      </c>
      <c r="J1203" s="253" t="s">
        <v>611</v>
      </c>
      <c r="K1203" s="254"/>
      <c r="L1203" s="255"/>
      <c r="M1203" s="255" t="s">
        <v>34</v>
      </c>
      <c r="N1203" s="254">
        <v>559741</v>
      </c>
      <c r="O1203" s="254" t="s">
        <v>1321</v>
      </c>
      <c r="P1203" s="258">
        <v>44138</v>
      </c>
      <c r="Q1203" s="259">
        <v>9713880.7599999998</v>
      </c>
      <c r="R1203" s="259">
        <v>12309041.669484133</v>
      </c>
      <c r="S1203" s="254">
        <v>34</v>
      </c>
      <c r="T1203" s="256">
        <v>-0.25607155200387532</v>
      </c>
      <c r="U1203" s="256">
        <v>-3.3102869331499272</v>
      </c>
      <c r="V1203" s="256">
        <v>-0.21117285655945572</v>
      </c>
      <c r="W1203" s="256">
        <v>-2.0702001004160762</v>
      </c>
      <c r="X1203" s="256" t="s">
        <v>1417</v>
      </c>
      <c r="Y1203" s="256" t="s">
        <v>1417</v>
      </c>
      <c r="Z1203" s="256" t="s">
        <v>1417</v>
      </c>
      <c r="AA1203" s="256" t="s">
        <v>1417</v>
      </c>
      <c r="AB1203" s="256">
        <v>0.21022287141928164</v>
      </c>
      <c r="AC1203" s="260">
        <v>-1.4852528410284342</v>
      </c>
      <c r="AD1203" s="405">
        <v>38090006000170</v>
      </c>
      <c r="AE1203" s="257" t="s">
        <v>2175</v>
      </c>
      <c r="AF1203" s="257" t="s">
        <v>2112</v>
      </c>
      <c r="AG1203" s="261" t="s">
        <v>59</v>
      </c>
      <c r="AH1203" s="261" t="s">
        <v>2110</v>
      </c>
      <c r="AI1203" s="261">
        <v>5000</v>
      </c>
      <c r="AJ1203" s="261">
        <v>1000</v>
      </c>
      <c r="AK1203" s="261">
        <v>5000</v>
      </c>
      <c r="AL1203" s="256">
        <v>1.8000000000000002E-2</v>
      </c>
      <c r="AM1203" s="256">
        <v>0.18</v>
      </c>
      <c r="AN1203" s="256" t="s">
        <v>666</v>
      </c>
      <c r="AO1203" s="254" t="s">
        <v>1324</v>
      </c>
      <c r="AP1203" s="257" t="s">
        <v>716</v>
      </c>
      <c r="AQ1203" s="263" t="s">
        <v>687</v>
      </c>
      <c r="AR1203" s="256">
        <v>4.7999999999999996E-3</v>
      </c>
      <c r="AS1203" s="256">
        <v>4.7999999999999996E-3</v>
      </c>
      <c r="AT1203" s="256"/>
      <c r="AX1203" s="508"/>
      <c r="AY1203" s="509"/>
      <c r="AZ1203" s="509"/>
      <c r="BA1203" s="509"/>
      <c r="BB1203" s="510"/>
      <c r="BC1203" s="509"/>
      <c r="BD1203" s="509"/>
      <c r="BE1203" s="509"/>
      <c r="BF1203" s="509"/>
      <c r="BG1203" s="510"/>
      <c r="BH1203" s="510"/>
      <c r="BI1203" s="511"/>
      <c r="BJ1203" s="511"/>
      <c r="BK1203" s="511"/>
      <c r="BL1203" s="510"/>
      <c r="BM1203" s="510"/>
      <c r="BN1203" s="510"/>
      <c r="BO1203" s="510"/>
      <c r="BP1203" s="510"/>
      <c r="BQ1203" s="510"/>
      <c r="BR1203" s="510"/>
      <c r="BS1203" s="510"/>
      <c r="BT1203" s="513"/>
      <c r="BU1203" s="514"/>
      <c r="BV1203" s="512"/>
      <c r="BW1203" s="515"/>
    </row>
    <row r="1204" spans="2:75" ht="15.75" customHeight="1">
      <c r="B1204" s="250" t="s">
        <v>962</v>
      </c>
      <c r="C1204" s="251">
        <v>32102192000133</v>
      </c>
      <c r="D1204" s="252" t="s">
        <v>14</v>
      </c>
      <c r="E1204" s="252" t="s">
        <v>607</v>
      </c>
      <c r="F1204" s="252"/>
      <c r="G1204" s="253"/>
      <c r="H1204" s="253" t="s">
        <v>34</v>
      </c>
      <c r="I1204" s="253" t="s">
        <v>34</v>
      </c>
      <c r="J1204" s="253" t="s">
        <v>611</v>
      </c>
      <c r="K1204" s="254" t="s">
        <v>48</v>
      </c>
      <c r="L1204" s="255"/>
      <c r="M1204" s="255" t="s">
        <v>34</v>
      </c>
      <c r="N1204" s="254">
        <v>482641</v>
      </c>
      <c r="O1204" s="254" t="s">
        <v>1321</v>
      </c>
      <c r="P1204" s="258">
        <v>43452</v>
      </c>
      <c r="Q1204" s="259">
        <v>47071357.210000001</v>
      </c>
      <c r="R1204" s="259">
        <v>74766020.977619082</v>
      </c>
      <c r="S1204" s="254">
        <v>34</v>
      </c>
      <c r="T1204" s="256">
        <v>-0.10227818531546429</v>
      </c>
      <c r="U1204" s="256">
        <v>-1.3221700643691352</v>
      </c>
      <c r="V1204" s="256">
        <v>-8.6392710872588818E-2</v>
      </c>
      <c r="W1204" s="256">
        <v>-0.84693744090777656</v>
      </c>
      <c r="X1204" s="256">
        <v>0.12024298521536125</v>
      </c>
      <c r="Y1204" s="256">
        <v>0.91182440029490019</v>
      </c>
      <c r="Z1204" s="256">
        <v>2.7494282422430905E-2</v>
      </c>
      <c r="AA1204" s="256">
        <v>0.15628641461274242</v>
      </c>
      <c r="AB1204" s="256">
        <v>0.1691954586202602</v>
      </c>
      <c r="AC1204" s="260">
        <v>-1.0236294338056817</v>
      </c>
      <c r="AD1204" s="405">
        <v>31533583000140</v>
      </c>
      <c r="AE1204" s="257" t="s">
        <v>2258</v>
      </c>
      <c r="AF1204" s="257" t="s">
        <v>2118</v>
      </c>
      <c r="AG1204" s="261" t="s">
        <v>1433</v>
      </c>
      <c r="AH1204" s="261" t="s">
        <v>2110</v>
      </c>
      <c r="AI1204" s="261">
        <v>1000</v>
      </c>
      <c r="AJ1204" s="261">
        <v>1000</v>
      </c>
      <c r="AK1204" s="261">
        <v>1000</v>
      </c>
      <c r="AL1204" s="256">
        <v>0.02</v>
      </c>
      <c r="AM1204" s="256">
        <v>0.2</v>
      </c>
      <c r="AN1204" s="256" t="s">
        <v>2122</v>
      </c>
      <c r="AO1204" s="254" t="s">
        <v>1324</v>
      </c>
      <c r="AP1204" s="257" t="s">
        <v>716</v>
      </c>
      <c r="AQ1204" s="263" t="s">
        <v>687</v>
      </c>
      <c r="AR1204" s="256">
        <v>6.0000000000000001E-3</v>
      </c>
      <c r="AS1204" s="256">
        <v>6.0000000000000001E-3</v>
      </c>
      <c r="AT1204" s="256"/>
      <c r="AX1204" s="508"/>
      <c r="AY1204" s="509"/>
      <c r="AZ1204" s="509"/>
      <c r="BA1204" s="509"/>
      <c r="BB1204" s="510"/>
      <c r="BC1204" s="509"/>
      <c r="BD1204" s="509"/>
      <c r="BE1204" s="509"/>
      <c r="BF1204" s="509"/>
      <c r="BG1204" s="510"/>
      <c r="BH1204" s="510"/>
      <c r="BI1204" s="511"/>
      <c r="BJ1204" s="511"/>
      <c r="BK1204" s="511"/>
      <c r="BL1204" s="510"/>
      <c r="BM1204" s="510"/>
      <c r="BN1204" s="510"/>
      <c r="BO1204" s="510"/>
      <c r="BP1204" s="510"/>
      <c r="BQ1204" s="510"/>
      <c r="BR1204" s="510"/>
      <c r="BS1204" s="510"/>
      <c r="BT1204" s="513"/>
      <c r="BU1204" s="514"/>
      <c r="BV1204" s="512"/>
      <c r="BW1204" s="515"/>
    </row>
    <row r="1205" spans="2:75" ht="15.75" customHeight="1">
      <c r="B1205" s="250" t="s">
        <v>963</v>
      </c>
      <c r="C1205" s="251">
        <v>28075532000107</v>
      </c>
      <c r="D1205" s="252" t="s">
        <v>14</v>
      </c>
      <c r="E1205" s="252" t="s">
        <v>607</v>
      </c>
      <c r="F1205" s="252"/>
      <c r="G1205" s="253"/>
      <c r="H1205" s="253" t="s">
        <v>34</v>
      </c>
      <c r="I1205" s="253" t="s">
        <v>34</v>
      </c>
      <c r="J1205" s="253" t="s">
        <v>611</v>
      </c>
      <c r="K1205" s="254" t="s">
        <v>49</v>
      </c>
      <c r="L1205" s="255"/>
      <c r="M1205" s="255" t="s">
        <v>34</v>
      </c>
      <c r="N1205" s="254">
        <v>454117</v>
      </c>
      <c r="O1205" s="254" t="s">
        <v>1321</v>
      </c>
      <c r="P1205" s="258">
        <v>43018</v>
      </c>
      <c r="Q1205" s="259">
        <v>120372470.54000001</v>
      </c>
      <c r="R1205" s="259">
        <v>177168373.39789668</v>
      </c>
      <c r="S1205" s="254">
        <v>34</v>
      </c>
      <c r="T1205" s="256">
        <v>-0.23124726818615682</v>
      </c>
      <c r="U1205" s="256">
        <v>-2.9893785710006044</v>
      </c>
      <c r="V1205" s="256">
        <v>-0.16956401587677528</v>
      </c>
      <c r="W1205" s="256">
        <v>-1.6622943327767148</v>
      </c>
      <c r="X1205" s="256">
        <v>2.0683275287770586E-2</v>
      </c>
      <c r="Y1205" s="256">
        <v>0.15684503384232684</v>
      </c>
      <c r="Z1205" s="256">
        <v>0.23653155815778026</v>
      </c>
      <c r="AA1205" s="256">
        <v>1.3445220573236709</v>
      </c>
      <c r="AB1205" s="256">
        <v>0.21404352062955087</v>
      </c>
      <c r="AC1205" s="260">
        <v>-1.2150302428449946</v>
      </c>
      <c r="AD1205" s="405">
        <v>28075437000103</v>
      </c>
      <c r="AE1205" s="257" t="s">
        <v>2258</v>
      </c>
      <c r="AF1205" s="257" t="s">
        <v>2118</v>
      </c>
      <c r="AG1205" s="261" t="s">
        <v>1433</v>
      </c>
      <c r="AH1205" s="261" t="s">
        <v>2110</v>
      </c>
      <c r="AI1205" s="261">
        <v>1000</v>
      </c>
      <c r="AJ1205" s="261">
        <v>1000</v>
      </c>
      <c r="AK1205" s="261">
        <v>1000</v>
      </c>
      <c r="AL1205" s="256">
        <v>0.02</v>
      </c>
      <c r="AM1205" s="256">
        <v>0.2</v>
      </c>
      <c r="AN1205" s="256" t="s">
        <v>2122</v>
      </c>
      <c r="AO1205" s="254" t="s">
        <v>1324</v>
      </c>
      <c r="AP1205" s="257" t="s">
        <v>716</v>
      </c>
      <c r="AQ1205" s="263" t="s">
        <v>687</v>
      </c>
      <c r="AR1205" s="256">
        <v>6.0000000000000001E-3</v>
      </c>
      <c r="AS1205" s="256">
        <v>6.0000000000000001E-3</v>
      </c>
      <c r="AT1205" s="256"/>
      <c r="AX1205" s="508"/>
      <c r="AY1205" s="509"/>
      <c r="AZ1205" s="509"/>
      <c r="BA1205" s="509"/>
      <c r="BB1205" s="510"/>
      <c r="BC1205" s="509"/>
      <c r="BD1205" s="509"/>
      <c r="BE1205" s="509"/>
      <c r="BF1205" s="509"/>
      <c r="BG1205" s="510"/>
      <c r="BH1205" s="510"/>
      <c r="BI1205" s="511"/>
      <c r="BJ1205" s="511"/>
      <c r="BK1205" s="511"/>
      <c r="BL1205" s="510"/>
      <c r="BM1205" s="510"/>
      <c r="BN1205" s="510"/>
      <c r="BO1205" s="510"/>
      <c r="BP1205" s="510"/>
      <c r="BQ1205" s="510"/>
      <c r="BR1205" s="510"/>
      <c r="BS1205" s="510"/>
      <c r="BT1205" s="513"/>
      <c r="BU1205" s="514"/>
      <c r="BV1205" s="512"/>
      <c r="BW1205" s="515"/>
    </row>
    <row r="1206" spans="2:75" ht="15.75" customHeight="1">
      <c r="B1206" s="250" t="s">
        <v>1633</v>
      </c>
      <c r="C1206" s="251">
        <v>31659879000101</v>
      </c>
      <c r="D1206" s="252" t="s">
        <v>14</v>
      </c>
      <c r="E1206" s="252" t="s">
        <v>607</v>
      </c>
      <c r="F1206" s="252"/>
      <c r="G1206" s="253"/>
      <c r="H1206" s="253" t="s">
        <v>34</v>
      </c>
      <c r="I1206" s="253" t="s">
        <v>34</v>
      </c>
      <c r="J1206" s="253" t="s">
        <v>611</v>
      </c>
      <c r="K1206" s="254" t="s">
        <v>48</v>
      </c>
      <c r="L1206" s="255"/>
      <c r="M1206" s="255"/>
      <c r="N1206" s="254">
        <v>484717</v>
      </c>
      <c r="O1206" s="254" t="s">
        <v>1321</v>
      </c>
      <c r="P1206" s="258">
        <v>43452</v>
      </c>
      <c r="Q1206" s="259">
        <v>11553834.439999999</v>
      </c>
      <c r="R1206" s="259">
        <v>24948756.683571402</v>
      </c>
      <c r="S1206" s="254">
        <v>34</v>
      </c>
      <c r="T1206" s="256">
        <v>-0.16079025746205677</v>
      </c>
      <c r="U1206" s="256">
        <v>-1.8085549111258516</v>
      </c>
      <c r="V1206" s="256">
        <v>-0.12244830352023339</v>
      </c>
      <c r="W1206" s="256">
        <v>-1.1237948252680729</v>
      </c>
      <c r="X1206" s="256">
        <v>6.7574659353175415E-2</v>
      </c>
      <c r="Y1206" s="256">
        <v>0.47517084422116529</v>
      </c>
      <c r="Z1206" s="256">
        <v>-4.2515234655778333E-2</v>
      </c>
      <c r="AA1206" s="256">
        <v>-0.23232720752514113</v>
      </c>
      <c r="AB1206" s="256">
        <v>0.17539640948086951</v>
      </c>
      <c r="AC1206" s="260">
        <v>-1.2466782913940269</v>
      </c>
      <c r="AD1206" s="405">
        <v>32102192000133</v>
      </c>
      <c r="AE1206" s="257" t="s">
        <v>2318</v>
      </c>
      <c r="AF1206" s="257" t="s">
        <v>2318</v>
      </c>
      <c r="AG1206" s="261" t="s">
        <v>1436</v>
      </c>
      <c r="AH1206" s="261" t="s">
        <v>2319</v>
      </c>
      <c r="AI1206" s="261">
        <v>1000</v>
      </c>
      <c r="AJ1206" s="261">
        <v>1000</v>
      </c>
      <c r="AK1206" s="261">
        <v>1000</v>
      </c>
      <c r="AL1206" s="256">
        <v>0</v>
      </c>
      <c r="AM1206" s="256" t="s">
        <v>34</v>
      </c>
      <c r="AN1206" s="256" t="s">
        <v>666</v>
      </c>
      <c r="AO1206" s="254" t="s">
        <v>1324</v>
      </c>
      <c r="AP1206" s="257" t="s">
        <v>716</v>
      </c>
      <c r="AQ1206" s="263" t="s">
        <v>687</v>
      </c>
      <c r="AR1206" s="256" t="s">
        <v>34</v>
      </c>
      <c r="AS1206" s="256" t="s">
        <v>34</v>
      </c>
      <c r="AT1206" s="256"/>
      <c r="AX1206" s="508"/>
      <c r="AY1206" s="509"/>
      <c r="AZ1206" s="509"/>
      <c r="BA1206" s="509"/>
      <c r="BB1206" s="510"/>
      <c r="BC1206" s="509"/>
      <c r="BD1206" s="509"/>
      <c r="BE1206" s="509"/>
      <c r="BF1206" s="509"/>
      <c r="BG1206" s="510"/>
      <c r="BH1206" s="510"/>
      <c r="BI1206" s="511"/>
      <c r="BJ1206" s="511"/>
      <c r="BK1206" s="511"/>
      <c r="BL1206" s="510"/>
      <c r="BM1206" s="510"/>
      <c r="BN1206" s="510"/>
      <c r="BO1206" s="510"/>
      <c r="BP1206" s="510"/>
      <c r="BQ1206" s="510"/>
      <c r="BR1206" s="510"/>
      <c r="BS1206" s="510"/>
      <c r="BT1206" s="513"/>
      <c r="BU1206" s="514"/>
      <c r="BV1206" s="512"/>
      <c r="BW1206" s="515"/>
    </row>
    <row r="1207" spans="2:75" ht="15.75" customHeight="1">
      <c r="B1207" s="250" t="s">
        <v>1079</v>
      </c>
      <c r="C1207" s="251">
        <v>15559416000111</v>
      </c>
      <c r="D1207" s="252" t="s">
        <v>14</v>
      </c>
      <c r="E1207" s="252" t="s">
        <v>607</v>
      </c>
      <c r="F1207" s="252"/>
      <c r="G1207" s="253"/>
      <c r="H1207" s="253" t="s">
        <v>34</v>
      </c>
      <c r="I1207" s="253" t="s">
        <v>34</v>
      </c>
      <c r="J1207" s="253" t="s">
        <v>608</v>
      </c>
      <c r="K1207" s="254" t="s">
        <v>48</v>
      </c>
      <c r="L1207" s="255"/>
      <c r="M1207" s="255" t="s">
        <v>1414</v>
      </c>
      <c r="N1207" s="254">
        <v>305367</v>
      </c>
      <c r="O1207" s="254" t="s">
        <v>1321</v>
      </c>
      <c r="P1207" s="258">
        <v>41065</v>
      </c>
      <c r="Q1207" s="259">
        <v>17866691.850000001</v>
      </c>
      <c r="R1207" s="259">
        <v>29454242.815952409</v>
      </c>
      <c r="S1207" s="254">
        <v>34</v>
      </c>
      <c r="T1207" s="256">
        <v>-2.1955641537006798E-2</v>
      </c>
      <c r="U1207" s="256">
        <v>-0.2838248634810378</v>
      </c>
      <c r="V1207" s="256">
        <v>-0.20999041192979306</v>
      </c>
      <c r="W1207" s="256">
        <v>-2.0586081892635422</v>
      </c>
      <c r="X1207" s="256">
        <v>-0.15820539025657554</v>
      </c>
      <c r="Y1207" s="256">
        <v>-1.1997002139938033</v>
      </c>
      <c r="Z1207" s="256">
        <v>-8.4116224632931003E-2</v>
      </c>
      <c r="AA1207" s="256">
        <v>-0.47814389030628535</v>
      </c>
      <c r="AB1207" s="256">
        <v>0.21285994458072902</v>
      </c>
      <c r="AC1207" s="260">
        <v>-1.4569045790154898</v>
      </c>
      <c r="AD1207" s="405">
        <v>0</v>
      </c>
      <c r="AE1207" s="257" t="s">
        <v>2312</v>
      </c>
      <c r="AF1207" s="257" t="s">
        <v>2109</v>
      </c>
      <c r="AG1207" s="261" t="s">
        <v>1432</v>
      </c>
      <c r="AH1207" s="261" t="s">
        <v>2110</v>
      </c>
      <c r="AI1207" s="261">
        <v>5000</v>
      </c>
      <c r="AJ1207" s="261">
        <v>0</v>
      </c>
      <c r="AK1207" s="261">
        <v>0</v>
      </c>
      <c r="AL1207" s="256">
        <v>1.15E-2</v>
      </c>
      <c r="AM1207" s="256">
        <v>0.2</v>
      </c>
      <c r="AN1207" s="256" t="s">
        <v>2127</v>
      </c>
      <c r="AO1207" s="254" t="s">
        <v>1324</v>
      </c>
      <c r="AP1207" s="257" t="s">
        <v>716</v>
      </c>
      <c r="AQ1207" s="263" t="s">
        <v>659</v>
      </c>
      <c r="AR1207" s="256">
        <v>0</v>
      </c>
      <c r="AS1207" s="256">
        <v>0</v>
      </c>
      <c r="AT1207" s="256"/>
      <c r="AX1207" s="508"/>
      <c r="AY1207" s="509"/>
      <c r="AZ1207" s="509"/>
      <c r="BA1207" s="509"/>
      <c r="BB1207" s="510"/>
      <c r="BC1207" s="509"/>
      <c r="BD1207" s="509"/>
      <c r="BE1207" s="509"/>
      <c r="BF1207" s="509"/>
      <c r="BG1207" s="510"/>
      <c r="BH1207" s="510"/>
      <c r="BI1207" s="511"/>
      <c r="BJ1207" s="511"/>
      <c r="BK1207" s="511"/>
      <c r="BL1207" s="510"/>
      <c r="BM1207" s="510"/>
      <c r="BN1207" s="510"/>
      <c r="BO1207" s="510"/>
      <c r="BP1207" s="510"/>
      <c r="BQ1207" s="510"/>
      <c r="BR1207" s="510"/>
      <c r="BS1207" s="510"/>
      <c r="BT1207" s="513"/>
      <c r="BU1207" s="514"/>
      <c r="BV1207" s="512"/>
      <c r="BW1207" s="515"/>
    </row>
    <row r="1208" spans="2:75" ht="15.75" customHeight="1">
      <c r="B1208" s="250" t="s">
        <v>265</v>
      </c>
      <c r="C1208" s="251">
        <v>38221267000181</v>
      </c>
      <c r="D1208" s="252" t="s">
        <v>11</v>
      </c>
      <c r="E1208" s="252" t="s">
        <v>620</v>
      </c>
      <c r="F1208" s="252" t="s">
        <v>685</v>
      </c>
      <c r="G1208" s="253" t="s">
        <v>738</v>
      </c>
      <c r="H1208" s="253" t="s">
        <v>34</v>
      </c>
      <c r="I1208" s="253" t="s">
        <v>1319</v>
      </c>
      <c r="J1208" s="253" t="s">
        <v>608</v>
      </c>
      <c r="K1208" s="254" t="s">
        <v>48</v>
      </c>
      <c r="L1208" s="255"/>
      <c r="M1208" s="255" t="s">
        <v>34</v>
      </c>
      <c r="N1208" s="254">
        <v>558842</v>
      </c>
      <c r="O1208" s="254" t="s">
        <v>1321</v>
      </c>
      <c r="P1208" s="258">
        <v>44134</v>
      </c>
      <c r="Q1208" s="259">
        <v>416853357.69</v>
      </c>
      <c r="R1208" s="259">
        <v>230246920.75325397</v>
      </c>
      <c r="S1208" s="254">
        <v>35</v>
      </c>
      <c r="T1208" s="256">
        <v>9.9492148354680676E-2</v>
      </c>
      <c r="U1208" s="256">
        <v>1.2861544207945801</v>
      </c>
      <c r="V1208" s="256">
        <v>0.138069457653762</v>
      </c>
      <c r="W1208" s="256">
        <v>1.3535423527253154</v>
      </c>
      <c r="X1208" s="256" t="s">
        <v>1417</v>
      </c>
      <c r="Y1208" s="256" t="s">
        <v>1417</v>
      </c>
      <c r="Z1208" s="256" t="s">
        <v>1417</v>
      </c>
      <c r="AA1208" s="256" t="s">
        <v>1417</v>
      </c>
      <c r="AB1208" s="256">
        <v>1.4812567543828719E-3</v>
      </c>
      <c r="AC1208" s="260">
        <v>21.748817917683169</v>
      </c>
      <c r="AD1208" s="405">
        <v>0</v>
      </c>
      <c r="AE1208" s="257" t="s">
        <v>2299</v>
      </c>
      <c r="AF1208" s="257" t="s">
        <v>761</v>
      </c>
      <c r="AG1208" s="261" t="s">
        <v>719</v>
      </c>
      <c r="AH1208" s="261" t="s">
        <v>2110</v>
      </c>
      <c r="AI1208" s="261" t="s">
        <v>1427</v>
      </c>
      <c r="AJ1208" s="261" t="s">
        <v>1427</v>
      </c>
      <c r="AK1208" s="261" t="s">
        <v>1427</v>
      </c>
      <c r="AL1208" s="256">
        <v>0.02</v>
      </c>
      <c r="AM1208" s="256">
        <v>0.2</v>
      </c>
      <c r="AN1208" s="256" t="s">
        <v>64</v>
      </c>
      <c r="AO1208" s="254" t="s">
        <v>1324</v>
      </c>
      <c r="AP1208" s="257" t="s">
        <v>13</v>
      </c>
      <c r="AQ1208" s="263" t="s">
        <v>668</v>
      </c>
      <c r="AR1208" s="256">
        <v>6.6666666666666662E-3</v>
      </c>
      <c r="AS1208" s="256">
        <v>6.6666666666666662E-3</v>
      </c>
      <c r="AT1208" s="256"/>
      <c r="AX1208" s="508"/>
      <c r="AY1208" s="509"/>
      <c r="AZ1208" s="509"/>
      <c r="BA1208" s="509"/>
      <c r="BB1208" s="510"/>
      <c r="BC1208" s="509"/>
      <c r="BD1208" s="509"/>
      <c r="BE1208" s="509"/>
      <c r="BF1208" s="509"/>
      <c r="BG1208" s="510"/>
      <c r="BH1208" s="510"/>
      <c r="BI1208" s="511"/>
      <c r="BJ1208" s="511"/>
      <c r="BK1208" s="511"/>
      <c r="BL1208" s="510"/>
      <c r="BM1208" s="510"/>
      <c r="BN1208" s="510"/>
      <c r="BO1208" s="510"/>
      <c r="BP1208" s="510"/>
      <c r="BQ1208" s="510"/>
      <c r="BR1208" s="510"/>
      <c r="BS1208" s="510"/>
      <c r="BT1208" s="513"/>
      <c r="BU1208" s="514"/>
      <c r="BV1208" s="512"/>
      <c r="BW1208" s="515"/>
    </row>
    <row r="1209" spans="2:75" ht="15.75" customHeight="1">
      <c r="B1209" s="250" t="s">
        <v>1541</v>
      </c>
      <c r="C1209" s="251">
        <v>29215706000152</v>
      </c>
      <c r="D1209" s="252" t="s">
        <v>13</v>
      </c>
      <c r="E1209" s="252" t="s">
        <v>615</v>
      </c>
      <c r="F1209" s="252" t="s">
        <v>619</v>
      </c>
      <c r="G1209" s="253"/>
      <c r="H1209" s="253" t="s">
        <v>1337</v>
      </c>
      <c r="I1209" s="253"/>
      <c r="J1209" s="253" t="s">
        <v>608</v>
      </c>
      <c r="K1209" s="254" t="s">
        <v>48</v>
      </c>
      <c r="L1209" s="255"/>
      <c r="M1209" s="255"/>
      <c r="N1209" s="254">
        <v>462888</v>
      </c>
      <c r="O1209" s="254" t="s">
        <v>1321</v>
      </c>
      <c r="P1209" s="258">
        <v>43207</v>
      </c>
      <c r="Q1209" s="259">
        <v>76004931.099999994</v>
      </c>
      <c r="R1209" s="259">
        <v>80931580.939563498</v>
      </c>
      <c r="S1209" s="254">
        <v>35</v>
      </c>
      <c r="T1209" s="256">
        <v>7.9290260041917193E-2</v>
      </c>
      <c r="U1209" s="256">
        <v>0.89184998809455163</v>
      </c>
      <c r="V1209" s="256">
        <v>8.7563813791955436E-2</v>
      </c>
      <c r="W1209" s="256">
        <v>0.80363515043617051</v>
      </c>
      <c r="X1209" s="256">
        <v>0.1740859034367892</v>
      </c>
      <c r="Y1209" s="256">
        <v>1.2241355930590607</v>
      </c>
      <c r="Z1209" s="256">
        <v>0.20986607289949766</v>
      </c>
      <c r="AA1209" s="256">
        <v>1.146826521499188</v>
      </c>
      <c r="AB1209" s="256">
        <v>4.351064564330108E-2</v>
      </c>
      <c r="AC1209" s="260">
        <v>-0.42627039156166441</v>
      </c>
      <c r="AD1209" s="405">
        <v>0</v>
      </c>
      <c r="AE1209" s="257" t="s">
        <v>2209</v>
      </c>
      <c r="AF1209" s="257" t="s">
        <v>2118</v>
      </c>
      <c r="AG1209" s="261" t="s">
        <v>1433</v>
      </c>
      <c r="AH1209" s="261" t="s">
        <v>2131</v>
      </c>
      <c r="AI1209" s="261">
        <v>0</v>
      </c>
      <c r="AJ1209" s="261">
        <v>0</v>
      </c>
      <c r="AK1209" s="261">
        <v>0</v>
      </c>
      <c r="AL1209" s="256">
        <v>4.0000000000000001E-3</v>
      </c>
      <c r="AM1209" s="256" t="s">
        <v>34</v>
      </c>
      <c r="AN1209" s="256" t="s">
        <v>64</v>
      </c>
      <c r="AO1209" s="254" t="s">
        <v>1324</v>
      </c>
      <c r="AP1209" s="257" t="s">
        <v>13</v>
      </c>
      <c r="AQ1209" s="263" t="s">
        <v>686</v>
      </c>
      <c r="AR1209" s="256" t="s">
        <v>34</v>
      </c>
      <c r="AS1209" s="256" t="s">
        <v>34</v>
      </c>
      <c r="AT1209" s="256"/>
      <c r="AX1209" s="508"/>
      <c r="AY1209" s="509"/>
      <c r="AZ1209" s="509"/>
      <c r="BA1209" s="509"/>
      <c r="BB1209" s="510"/>
      <c r="BC1209" s="509"/>
      <c r="BD1209" s="509"/>
      <c r="BE1209" s="509"/>
      <c r="BF1209" s="509"/>
      <c r="BG1209" s="510"/>
      <c r="BH1209" s="510"/>
      <c r="BI1209" s="511"/>
      <c r="BJ1209" s="511"/>
      <c r="BK1209" s="511"/>
      <c r="BL1209" s="510"/>
      <c r="BM1209" s="510"/>
      <c r="BN1209" s="510"/>
      <c r="BO1209" s="510"/>
      <c r="BP1209" s="510"/>
      <c r="BQ1209" s="510"/>
      <c r="BR1209" s="510"/>
      <c r="BS1209" s="510"/>
      <c r="BT1209" s="513"/>
      <c r="BU1209" s="514"/>
      <c r="BV1209" s="512"/>
      <c r="BW1209" s="515"/>
    </row>
    <row r="1210" spans="2:75" ht="15.75" customHeight="1">
      <c r="B1210" s="250" t="s">
        <v>529</v>
      </c>
      <c r="C1210" s="251">
        <v>21006934000100</v>
      </c>
      <c r="D1210" s="252" t="s">
        <v>13</v>
      </c>
      <c r="E1210" s="252" t="s">
        <v>616</v>
      </c>
      <c r="F1210" s="252" t="s">
        <v>619</v>
      </c>
      <c r="G1210" s="253" t="s">
        <v>34</v>
      </c>
      <c r="H1210" s="253" t="s">
        <v>1338</v>
      </c>
      <c r="I1210" s="253" t="s">
        <v>34</v>
      </c>
      <c r="J1210" s="253" t="s">
        <v>611</v>
      </c>
      <c r="K1210" s="254" t="s">
        <v>48</v>
      </c>
      <c r="L1210" s="255"/>
      <c r="M1210" s="255" t="s">
        <v>1414</v>
      </c>
      <c r="N1210" s="254">
        <v>384844</v>
      </c>
      <c r="O1210" s="254" t="s">
        <v>1321</v>
      </c>
      <c r="P1210" s="258">
        <v>41996</v>
      </c>
      <c r="Q1210" s="259">
        <v>106751589.41</v>
      </c>
      <c r="R1210" s="259">
        <v>113725687.52619043</v>
      </c>
      <c r="S1210" s="254">
        <v>35</v>
      </c>
      <c r="T1210" s="256">
        <v>-8.9281898943656568E-2</v>
      </c>
      <c r="U1210" s="256">
        <v>-1.1541645338078235</v>
      </c>
      <c r="V1210" s="256">
        <v>-9.8808053241438265E-2</v>
      </c>
      <c r="W1210" s="256">
        <v>-0.96864930974095509</v>
      </c>
      <c r="X1210" s="256">
        <v>0.19773604982329096</v>
      </c>
      <c r="Y1210" s="256">
        <v>1.4994683866495611</v>
      </c>
      <c r="Z1210" s="256">
        <v>0.18495635252882514</v>
      </c>
      <c r="AA1210" s="256">
        <v>1.0513518684523928</v>
      </c>
      <c r="AB1210" s="256">
        <v>0.11157479735343225</v>
      </c>
      <c r="AC1210" s="260">
        <v>-1.7473037794853756</v>
      </c>
      <c r="AD1210" s="405">
        <v>0</v>
      </c>
      <c r="AE1210" s="257" t="s">
        <v>2307</v>
      </c>
      <c r="AF1210" s="257" t="s">
        <v>2109</v>
      </c>
      <c r="AG1210" s="261" t="s">
        <v>1432</v>
      </c>
      <c r="AH1210" s="261" t="s">
        <v>726</v>
      </c>
      <c r="AI1210" s="261">
        <v>250000</v>
      </c>
      <c r="AJ1210" s="261">
        <v>50000</v>
      </c>
      <c r="AK1210" s="261">
        <v>250000</v>
      </c>
      <c r="AL1210" s="256">
        <v>0.02</v>
      </c>
      <c r="AM1210" s="256">
        <v>0.2</v>
      </c>
      <c r="AN1210" s="256" t="s">
        <v>34</v>
      </c>
      <c r="AO1210" s="254" t="s">
        <v>1324</v>
      </c>
      <c r="AP1210" s="257" t="s">
        <v>13</v>
      </c>
      <c r="AQ1210" s="263" t="s">
        <v>679</v>
      </c>
      <c r="AR1210" s="256">
        <v>3.3333333333333331E-3</v>
      </c>
      <c r="AS1210" s="256">
        <v>3.3333333333333331E-3</v>
      </c>
      <c r="AT1210" s="256"/>
      <c r="AX1210" s="508"/>
      <c r="AY1210" s="509"/>
      <c r="AZ1210" s="509"/>
      <c r="BA1210" s="509"/>
      <c r="BB1210" s="510"/>
      <c r="BC1210" s="509"/>
      <c r="BD1210" s="509"/>
      <c r="BE1210" s="509"/>
      <c r="BF1210" s="509"/>
      <c r="BG1210" s="510"/>
      <c r="BH1210" s="510"/>
      <c r="BI1210" s="511"/>
      <c r="BJ1210" s="511"/>
      <c r="BK1210" s="511"/>
      <c r="BL1210" s="510"/>
      <c r="BM1210" s="510"/>
      <c r="BN1210" s="510"/>
      <c r="BO1210" s="510"/>
      <c r="BP1210" s="510"/>
      <c r="BQ1210" s="510"/>
      <c r="BR1210" s="510"/>
      <c r="BS1210" s="510"/>
      <c r="BT1210" s="513"/>
      <c r="BU1210" s="514"/>
      <c r="BV1210" s="512"/>
      <c r="BW1210" s="515"/>
    </row>
    <row r="1211" spans="2:75" ht="15.75" customHeight="1">
      <c r="B1211" s="250" t="s">
        <v>1179</v>
      </c>
      <c r="C1211" s="251">
        <v>27880333000109</v>
      </c>
      <c r="D1211" s="252" t="s">
        <v>13</v>
      </c>
      <c r="E1211" s="252" t="s">
        <v>615</v>
      </c>
      <c r="F1211" s="252" t="s">
        <v>619</v>
      </c>
      <c r="G1211" s="253" t="s">
        <v>34</v>
      </c>
      <c r="H1211" s="253" t="s">
        <v>1337</v>
      </c>
      <c r="I1211" s="253" t="s">
        <v>34</v>
      </c>
      <c r="J1211" s="253"/>
      <c r="K1211" s="254" t="s">
        <v>48</v>
      </c>
      <c r="L1211" s="255"/>
      <c r="M1211" s="255" t="s">
        <v>1414</v>
      </c>
      <c r="N1211" s="254">
        <v>446270</v>
      </c>
      <c r="O1211" s="254" t="s">
        <v>1321</v>
      </c>
      <c r="P1211" s="258">
        <v>42954</v>
      </c>
      <c r="Q1211" s="259">
        <v>16483240.710000001</v>
      </c>
      <c r="R1211" s="259">
        <v>16060172.547103185</v>
      </c>
      <c r="S1211" s="254">
        <v>35</v>
      </c>
      <c r="T1211" s="256">
        <v>8.3656937613430848E-2</v>
      </c>
      <c r="U1211" s="256">
        <v>1.0814495608043482</v>
      </c>
      <c r="V1211" s="256">
        <v>7.3477535119994997E-2</v>
      </c>
      <c r="W1211" s="256">
        <v>0.72032553360337737</v>
      </c>
      <c r="X1211" s="256">
        <v>9.5724024542698904E-2</v>
      </c>
      <c r="Y1211" s="256">
        <v>0.72589266738622282</v>
      </c>
      <c r="Z1211" s="256">
        <v>0.13985954956190949</v>
      </c>
      <c r="AA1211" s="256">
        <v>0.79500702053424954</v>
      </c>
      <c r="AB1211" s="256">
        <v>3.5909982646032367E-2</v>
      </c>
      <c r="AC1211" s="260">
        <v>-0.71278134248598557</v>
      </c>
      <c r="AD1211" s="405">
        <v>0</v>
      </c>
      <c r="AE1211" s="257" t="s">
        <v>2286</v>
      </c>
      <c r="AF1211" s="257" t="s">
        <v>2109</v>
      </c>
      <c r="AG1211" s="261" t="s">
        <v>1432</v>
      </c>
      <c r="AH1211" s="261" t="s">
        <v>2113</v>
      </c>
      <c r="AI1211" s="261">
        <v>1000</v>
      </c>
      <c r="AJ1211" s="261">
        <v>100</v>
      </c>
      <c r="AK1211" s="261">
        <v>500</v>
      </c>
      <c r="AL1211" s="256">
        <v>0.01</v>
      </c>
      <c r="AM1211" s="256">
        <v>0.2</v>
      </c>
      <c r="AN1211" s="256" t="s">
        <v>2127</v>
      </c>
      <c r="AO1211" s="254" t="s">
        <v>1324</v>
      </c>
      <c r="AP1211" s="257" t="s">
        <v>13</v>
      </c>
      <c r="AQ1211" s="263" t="s">
        <v>668</v>
      </c>
      <c r="AR1211" s="256">
        <v>3.3333333333333331E-3</v>
      </c>
      <c r="AS1211" s="256">
        <v>3.3333333333333331E-3</v>
      </c>
      <c r="AT1211" s="256"/>
      <c r="AX1211" s="508"/>
      <c r="AY1211" s="509"/>
      <c r="AZ1211" s="509"/>
      <c r="BA1211" s="509"/>
      <c r="BB1211" s="510"/>
      <c r="BC1211" s="509"/>
      <c r="BD1211" s="509"/>
      <c r="BE1211" s="509"/>
      <c r="BF1211" s="509"/>
      <c r="BG1211" s="510"/>
      <c r="BH1211" s="510"/>
      <c r="BI1211" s="511"/>
      <c r="BJ1211" s="511"/>
      <c r="BK1211" s="511"/>
      <c r="BL1211" s="510"/>
      <c r="BM1211" s="510"/>
      <c r="BN1211" s="510"/>
      <c r="BO1211" s="510"/>
      <c r="BP1211" s="510"/>
      <c r="BQ1211" s="510"/>
      <c r="BR1211" s="510"/>
      <c r="BS1211" s="510"/>
      <c r="BT1211" s="513"/>
      <c r="BU1211" s="514"/>
      <c r="BV1211" s="512"/>
      <c r="BW1211" s="515"/>
    </row>
    <row r="1212" spans="2:75" ht="15.75" customHeight="1">
      <c r="B1212" s="250" t="s">
        <v>462</v>
      </c>
      <c r="C1212" s="251">
        <v>36498260000186</v>
      </c>
      <c r="D1212" s="252" t="s">
        <v>14</v>
      </c>
      <c r="E1212" s="252" t="s">
        <v>607</v>
      </c>
      <c r="F1212" s="252"/>
      <c r="G1212" s="253"/>
      <c r="H1212" s="253" t="s">
        <v>34</v>
      </c>
      <c r="I1212" s="253" t="s">
        <v>34</v>
      </c>
      <c r="J1212" s="253" t="s">
        <v>608</v>
      </c>
      <c r="K1212" s="254" t="s">
        <v>48</v>
      </c>
      <c r="L1212" s="255"/>
      <c r="M1212" s="255" t="s">
        <v>1414</v>
      </c>
      <c r="N1212" s="254">
        <v>563404</v>
      </c>
      <c r="O1212" s="254" t="s">
        <v>1321</v>
      </c>
      <c r="P1212" s="258">
        <v>44162</v>
      </c>
      <c r="Q1212" s="259">
        <v>4659579.93</v>
      </c>
      <c r="R1212" s="259">
        <v>5151968.7185317473</v>
      </c>
      <c r="S1212" s="254">
        <v>37</v>
      </c>
      <c r="T1212" s="256">
        <v>-9.852391240552294E-2</v>
      </c>
      <c r="U1212" s="256">
        <v>-1.2736378456982009</v>
      </c>
      <c r="V1212" s="256">
        <v>-0.25705914786587403</v>
      </c>
      <c r="W1212" s="256">
        <v>-2.5200391868306835</v>
      </c>
      <c r="X1212" s="256" t="s">
        <v>1417</v>
      </c>
      <c r="Y1212" s="256" t="s">
        <v>1417</v>
      </c>
      <c r="Z1212" s="256" t="s">
        <v>1417</v>
      </c>
      <c r="AA1212" s="256" t="s">
        <v>1417</v>
      </c>
      <c r="AB1212" s="256">
        <v>0.22396487610834603</v>
      </c>
      <c r="AC1212" s="260">
        <v>-1.6479946985133158</v>
      </c>
      <c r="AD1212" s="405">
        <v>34172417000153</v>
      </c>
      <c r="AE1212" s="257" t="s">
        <v>2108</v>
      </c>
      <c r="AF1212" s="257" t="s">
        <v>2109</v>
      </c>
      <c r="AG1212" s="261" t="s">
        <v>1432</v>
      </c>
      <c r="AH1212" s="261" t="s">
        <v>2110</v>
      </c>
      <c r="AI1212" s="261">
        <v>100</v>
      </c>
      <c r="AJ1212" s="261">
        <v>100</v>
      </c>
      <c r="AK1212" s="261">
        <v>100</v>
      </c>
      <c r="AL1212" s="519">
        <v>8.0000000000000002E-3</v>
      </c>
      <c r="AM1212" s="519">
        <v>0.15</v>
      </c>
      <c r="AN1212" s="256" t="s">
        <v>34</v>
      </c>
      <c r="AO1212" s="254" t="s">
        <v>1324</v>
      </c>
      <c r="AP1212" s="257" t="s">
        <v>716</v>
      </c>
      <c r="AQ1212" s="263" t="s">
        <v>659</v>
      </c>
      <c r="AR1212" s="256">
        <v>2.6666666666666666E-3</v>
      </c>
      <c r="AS1212" s="256">
        <v>2.6666666666666666E-3</v>
      </c>
      <c r="AT1212" s="256"/>
      <c r="AX1212" s="508"/>
      <c r="AY1212" s="509"/>
      <c r="AZ1212" s="509"/>
      <c r="BA1212" s="509"/>
      <c r="BB1212" s="510"/>
      <c r="BC1212" s="509"/>
      <c r="BD1212" s="509"/>
      <c r="BE1212" s="509"/>
      <c r="BF1212" s="509"/>
      <c r="BG1212" s="510"/>
      <c r="BH1212" s="510"/>
      <c r="BI1212" s="511"/>
      <c r="BJ1212" s="511"/>
      <c r="BK1212" s="511"/>
      <c r="BL1212" s="510"/>
      <c r="BM1212" s="510"/>
      <c r="BN1212" s="510"/>
      <c r="BO1212" s="510"/>
      <c r="BP1212" s="510"/>
      <c r="BQ1212" s="510"/>
      <c r="BR1212" s="510"/>
      <c r="BS1212" s="510"/>
      <c r="BT1212" s="513"/>
      <c r="BU1212" s="514"/>
      <c r="BV1212" s="512"/>
      <c r="BW1212" s="515"/>
    </row>
    <row r="1213" spans="2:75" ht="15.75" customHeight="1">
      <c r="B1213" s="250" t="s">
        <v>1054</v>
      </c>
      <c r="C1213" s="251">
        <v>30553981000165</v>
      </c>
      <c r="D1213" s="252" t="s">
        <v>14</v>
      </c>
      <c r="E1213" s="252" t="s">
        <v>607</v>
      </c>
      <c r="F1213" s="252"/>
      <c r="G1213" s="253"/>
      <c r="H1213" s="253" t="s">
        <v>34</v>
      </c>
      <c r="I1213" s="253" t="s">
        <v>34</v>
      </c>
      <c r="J1213" s="253" t="s">
        <v>611</v>
      </c>
      <c r="K1213" s="254"/>
      <c r="L1213" s="255"/>
      <c r="M1213" s="255" t="s">
        <v>1414</v>
      </c>
      <c r="N1213" s="254">
        <v>474274</v>
      </c>
      <c r="O1213" s="254" t="s">
        <v>1321</v>
      </c>
      <c r="P1213" s="258">
        <v>43327</v>
      </c>
      <c r="Q1213" s="259">
        <v>127280551.36</v>
      </c>
      <c r="R1213" s="259">
        <v>187533942.3253175</v>
      </c>
      <c r="S1213" s="254">
        <v>37</v>
      </c>
      <c r="T1213" s="256">
        <v>-0.30549418178787136</v>
      </c>
      <c r="U1213" s="256">
        <v>-3.949182914744136</v>
      </c>
      <c r="V1213" s="256">
        <v>-0.26185668086550407</v>
      </c>
      <c r="W1213" s="256">
        <v>-2.5670710519074684</v>
      </c>
      <c r="X1213" s="256">
        <v>-0.11663973224735669</v>
      </c>
      <c r="Y1213" s="256">
        <v>-0.88450027846960588</v>
      </c>
      <c r="Z1213" s="256">
        <v>0.35797600012891184</v>
      </c>
      <c r="AA1213" s="256">
        <v>2.0348516363502065</v>
      </c>
      <c r="AB1213" s="256">
        <v>0.19352863432871906</v>
      </c>
      <c r="AC1213" s="260">
        <v>-1.9734199415991611</v>
      </c>
      <c r="AD1213" s="405">
        <v>17690766000148</v>
      </c>
      <c r="AE1213" s="257" t="s">
        <v>2313</v>
      </c>
      <c r="AF1213" s="257" t="s">
        <v>2118</v>
      </c>
      <c r="AG1213" s="261" t="s">
        <v>1433</v>
      </c>
      <c r="AH1213" s="261" t="s">
        <v>2110</v>
      </c>
      <c r="AI1213" s="261">
        <v>2000000</v>
      </c>
      <c r="AJ1213" s="261">
        <v>25000</v>
      </c>
      <c r="AK1213" s="261">
        <v>25000</v>
      </c>
      <c r="AL1213" s="256">
        <v>0.01</v>
      </c>
      <c r="AM1213" s="256">
        <v>0.1</v>
      </c>
      <c r="AN1213" s="256" t="s">
        <v>2122</v>
      </c>
      <c r="AO1213" s="254" t="s">
        <v>1324</v>
      </c>
      <c r="AP1213" s="257" t="s">
        <v>13</v>
      </c>
      <c r="AQ1213" s="263" t="s">
        <v>679</v>
      </c>
      <c r="AR1213" s="256">
        <v>1E-3</v>
      </c>
      <c r="AS1213" s="256">
        <v>1E-3</v>
      </c>
      <c r="AT1213" s="256"/>
      <c r="AX1213" s="508"/>
      <c r="AY1213" s="509"/>
      <c r="AZ1213" s="509"/>
      <c r="BA1213" s="509"/>
      <c r="BB1213" s="510"/>
      <c r="BC1213" s="509"/>
      <c r="BD1213" s="509"/>
      <c r="BE1213" s="509"/>
      <c r="BF1213" s="509"/>
      <c r="BG1213" s="510"/>
      <c r="BH1213" s="510"/>
      <c r="BI1213" s="511"/>
      <c r="BJ1213" s="511"/>
      <c r="BK1213" s="511"/>
      <c r="BL1213" s="510"/>
      <c r="BM1213" s="510"/>
      <c r="BN1213" s="510"/>
      <c r="BO1213" s="510"/>
      <c r="BP1213" s="510"/>
      <c r="BQ1213" s="510"/>
      <c r="BR1213" s="510"/>
      <c r="BS1213" s="510"/>
      <c r="BT1213" s="513"/>
      <c r="BU1213" s="514"/>
      <c r="BV1213" s="512"/>
      <c r="BW1213" s="515"/>
    </row>
    <row r="1214" spans="2:75" ht="15.75" customHeight="1">
      <c r="B1214" s="250" t="s">
        <v>378</v>
      </c>
      <c r="C1214" s="251">
        <v>21082291000184</v>
      </c>
      <c r="D1214" s="252" t="s">
        <v>14</v>
      </c>
      <c r="E1214" s="252" t="s">
        <v>607</v>
      </c>
      <c r="F1214" s="252"/>
      <c r="G1214" s="253"/>
      <c r="H1214" s="253" t="s">
        <v>34</v>
      </c>
      <c r="I1214" s="253" t="s">
        <v>34</v>
      </c>
      <c r="J1214" s="253" t="s">
        <v>608</v>
      </c>
      <c r="K1214" s="254" t="s">
        <v>48</v>
      </c>
      <c r="L1214" s="255"/>
      <c r="M1214" s="255" t="s">
        <v>1414</v>
      </c>
      <c r="N1214" s="254">
        <v>462209</v>
      </c>
      <c r="O1214" s="254" t="s">
        <v>1321</v>
      </c>
      <c r="P1214" s="258">
        <v>43203</v>
      </c>
      <c r="Q1214" s="259">
        <v>18545822.710000001</v>
      </c>
      <c r="R1214" s="259">
        <v>18911942.755158734</v>
      </c>
      <c r="S1214" s="254">
        <v>37</v>
      </c>
      <c r="T1214" s="256">
        <v>-5.2386658923515572E-3</v>
      </c>
      <c r="U1214" s="256">
        <v>-6.7721256480404043E-2</v>
      </c>
      <c r="V1214" s="256">
        <v>-0.2023670074466849</v>
      </c>
      <c r="W1214" s="256">
        <v>-1.9838733346824586</v>
      </c>
      <c r="X1214" s="256">
        <v>-0.13059255437464823</v>
      </c>
      <c r="Y1214" s="256">
        <v>-0.99030706333819796</v>
      </c>
      <c r="Z1214" s="256">
        <v>-0.10213440068459312</v>
      </c>
      <c r="AA1214" s="256">
        <v>-0.58056504426511901</v>
      </c>
      <c r="AB1214" s="256">
        <v>0.22560608656301373</v>
      </c>
      <c r="AC1214" s="260">
        <v>-1.3198093665445521</v>
      </c>
      <c r="AD1214" s="405">
        <v>0</v>
      </c>
      <c r="AE1214" s="257" t="s">
        <v>2397</v>
      </c>
      <c r="AF1214" s="257" t="s">
        <v>2115</v>
      </c>
      <c r="AG1214" s="261" t="s">
        <v>719</v>
      </c>
      <c r="AH1214" s="261" t="s">
        <v>2113</v>
      </c>
      <c r="AI1214" s="261">
        <v>1000</v>
      </c>
      <c r="AJ1214" s="261">
        <v>1000</v>
      </c>
      <c r="AK1214" s="261">
        <v>1000</v>
      </c>
      <c r="AL1214" s="256">
        <v>6.9999999999999993E-3</v>
      </c>
      <c r="AM1214" s="256">
        <v>0.1</v>
      </c>
      <c r="AN1214" s="256" t="s">
        <v>666</v>
      </c>
      <c r="AO1214" s="254" t="s">
        <v>1324</v>
      </c>
      <c r="AP1214" s="257" t="s">
        <v>716</v>
      </c>
      <c r="AQ1214" s="263" t="s">
        <v>659</v>
      </c>
      <c r="AR1214" s="256">
        <v>2E-3</v>
      </c>
      <c r="AS1214" s="256">
        <v>2E-3</v>
      </c>
      <c r="AT1214" s="256"/>
      <c r="AX1214" s="508"/>
      <c r="AY1214" s="509"/>
      <c r="AZ1214" s="509"/>
      <c r="BA1214" s="509"/>
      <c r="BB1214" s="510"/>
      <c r="BC1214" s="509"/>
      <c r="BD1214" s="509"/>
      <c r="BE1214" s="509"/>
      <c r="BF1214" s="509"/>
      <c r="BG1214" s="510"/>
      <c r="BH1214" s="510"/>
      <c r="BI1214" s="511"/>
      <c r="BJ1214" s="511"/>
      <c r="BK1214" s="511"/>
      <c r="BL1214" s="510"/>
      <c r="BM1214" s="510"/>
      <c r="BN1214" s="510"/>
      <c r="BO1214" s="510"/>
      <c r="BP1214" s="510"/>
      <c r="BQ1214" s="510"/>
      <c r="BR1214" s="510"/>
      <c r="BS1214" s="510"/>
      <c r="BT1214" s="513"/>
      <c r="BU1214" s="514"/>
      <c r="BV1214" s="512"/>
      <c r="BW1214" s="515"/>
    </row>
    <row r="1215" spans="2:75" ht="15.75" customHeight="1">
      <c r="B1215" s="250" t="s">
        <v>1055</v>
      </c>
      <c r="C1215" s="251">
        <v>18323970000193</v>
      </c>
      <c r="D1215" s="252" t="s">
        <v>14</v>
      </c>
      <c r="E1215" s="252" t="s">
        <v>607</v>
      </c>
      <c r="F1215" s="252"/>
      <c r="G1215" s="253"/>
      <c r="H1215" s="253" t="s">
        <v>34</v>
      </c>
      <c r="I1215" s="253" t="s">
        <v>34</v>
      </c>
      <c r="J1215" s="253" t="s">
        <v>611</v>
      </c>
      <c r="K1215" s="254"/>
      <c r="L1215" s="255"/>
      <c r="M1215" s="255" t="s">
        <v>1414</v>
      </c>
      <c r="N1215" s="254">
        <v>344788</v>
      </c>
      <c r="O1215" s="254" t="s">
        <v>1324</v>
      </c>
      <c r="P1215" s="258">
        <v>41512</v>
      </c>
      <c r="Q1215" s="259">
        <v>62250052.469999999</v>
      </c>
      <c r="R1215" s="259">
        <v>82771992.757261887</v>
      </c>
      <c r="S1215" s="254">
        <v>38</v>
      </c>
      <c r="T1215" s="256">
        <v>-0.30430470154698686</v>
      </c>
      <c r="U1215" s="256">
        <v>-3.9338062715058415</v>
      </c>
      <c r="V1215" s="256">
        <v>-0.26000091282124493</v>
      </c>
      <c r="W1215" s="256">
        <v>-2.5488783198766236</v>
      </c>
      <c r="X1215" s="256">
        <v>-0.11129409299827464</v>
      </c>
      <c r="Y1215" s="256">
        <v>-0.84396332495205117</v>
      </c>
      <c r="Z1215" s="256">
        <v>0.37102666699435849</v>
      </c>
      <c r="AA1215" s="256">
        <v>2.1090358576864201</v>
      </c>
      <c r="AB1215" s="256">
        <v>0.19346991245637288</v>
      </c>
      <c r="AC1215" s="260">
        <v>-1.9611153293882853</v>
      </c>
      <c r="AD1215" s="405">
        <v>17690766000148</v>
      </c>
      <c r="AE1215" s="257" t="s">
        <v>2313</v>
      </c>
      <c r="AF1215" s="257" t="s">
        <v>2118</v>
      </c>
      <c r="AG1215" s="261" t="s">
        <v>1433</v>
      </c>
      <c r="AH1215" s="261" t="s">
        <v>2110</v>
      </c>
      <c r="AI1215" s="261">
        <v>25000</v>
      </c>
      <c r="AJ1215" s="261">
        <v>25000</v>
      </c>
      <c r="AK1215" s="261">
        <v>25000</v>
      </c>
      <c r="AL1215" s="256">
        <v>6.9999999999999993E-3</v>
      </c>
      <c r="AM1215" s="256">
        <v>0.1</v>
      </c>
      <c r="AN1215" s="256" t="s">
        <v>2122</v>
      </c>
      <c r="AO1215" s="254" t="s">
        <v>1324</v>
      </c>
      <c r="AP1215" s="257" t="s">
        <v>13</v>
      </c>
      <c r="AQ1215" s="263" t="s">
        <v>679</v>
      </c>
      <c r="AR1215" s="256">
        <v>6.9999999999999999E-4</v>
      </c>
      <c r="AS1215" s="256">
        <v>6.9999999999999999E-4</v>
      </c>
      <c r="AT1215" s="256"/>
      <c r="AX1215" s="508"/>
      <c r="AY1215" s="509"/>
      <c r="AZ1215" s="509"/>
      <c r="BA1215" s="509"/>
      <c r="BB1215" s="510"/>
      <c r="BC1215" s="509"/>
      <c r="BD1215" s="509"/>
      <c r="BE1215" s="509"/>
      <c r="BF1215" s="509"/>
      <c r="BG1215" s="510"/>
      <c r="BH1215" s="510"/>
      <c r="BI1215" s="511"/>
      <c r="BJ1215" s="511"/>
      <c r="BK1215" s="511"/>
      <c r="BL1215" s="510"/>
      <c r="BM1215" s="510"/>
      <c r="BN1215" s="510"/>
      <c r="BO1215" s="510"/>
      <c r="BP1215" s="510"/>
      <c r="BQ1215" s="510"/>
      <c r="BR1215" s="510"/>
      <c r="BS1215" s="510"/>
      <c r="BT1215" s="513"/>
      <c r="BU1215" s="514"/>
      <c r="BV1215" s="512"/>
      <c r="BW1215" s="515"/>
    </row>
    <row r="1216" spans="2:75" ht="15.75" customHeight="1">
      <c r="B1216" s="250" t="s">
        <v>1624</v>
      </c>
      <c r="C1216" s="251">
        <v>35693759000181</v>
      </c>
      <c r="D1216" s="252" t="s">
        <v>13</v>
      </c>
      <c r="E1216" s="252" t="s">
        <v>616</v>
      </c>
      <c r="F1216" s="252"/>
      <c r="G1216" s="253"/>
      <c r="H1216" s="253" t="s">
        <v>34</v>
      </c>
      <c r="I1216" s="253"/>
      <c r="J1216" s="253" t="s">
        <v>611</v>
      </c>
      <c r="K1216" s="254" t="s">
        <v>49</v>
      </c>
      <c r="L1216" s="255"/>
      <c r="M1216" s="255"/>
      <c r="N1216" s="254">
        <v>546593</v>
      </c>
      <c r="O1216" s="254" t="s">
        <v>1321</v>
      </c>
      <c r="P1216" s="258">
        <v>44041</v>
      </c>
      <c r="Q1216" s="259">
        <v>17690541.140000001</v>
      </c>
      <c r="R1216" s="259">
        <v>43318771.674603164</v>
      </c>
      <c r="S1216" s="254">
        <v>39</v>
      </c>
      <c r="T1216" s="256">
        <v>-0.31076204382071637</v>
      </c>
      <c r="U1216" s="256">
        <v>-3.4954245948395934</v>
      </c>
      <c r="V1216" s="256">
        <v>-0.26136298195682717</v>
      </c>
      <c r="W1216" s="256">
        <v>-2.3987132381232295</v>
      </c>
      <c r="X1216" s="256">
        <v>-0.15828851002190436</v>
      </c>
      <c r="Y1216" s="256">
        <v>-1.1130516329281988</v>
      </c>
      <c r="Z1216" s="256" t="s">
        <v>1417</v>
      </c>
      <c r="AA1216" s="256" t="s">
        <v>1417</v>
      </c>
      <c r="AB1216" s="256">
        <v>0.21961086901817373</v>
      </c>
      <c r="AC1216" s="260">
        <v>-1.7401885582489507</v>
      </c>
      <c r="AD1216" s="405">
        <v>34447464000162</v>
      </c>
      <c r="AE1216" s="257" t="s">
        <v>2318</v>
      </c>
      <c r="AF1216" s="257" t="s">
        <v>2318</v>
      </c>
      <c r="AG1216" s="261" t="s">
        <v>1436</v>
      </c>
      <c r="AH1216" s="261" t="s">
        <v>726</v>
      </c>
      <c r="AI1216" s="261" t="s">
        <v>1427</v>
      </c>
      <c r="AJ1216" s="261" t="s">
        <v>1427</v>
      </c>
      <c r="AK1216" s="261" t="s">
        <v>1427</v>
      </c>
      <c r="AL1216" s="256">
        <v>4.0000000000000001E-3</v>
      </c>
      <c r="AM1216" s="256" t="s">
        <v>34</v>
      </c>
      <c r="AN1216" s="256" t="s">
        <v>64</v>
      </c>
      <c r="AO1216" s="254" t="s">
        <v>1324</v>
      </c>
      <c r="AP1216" s="257" t="s">
        <v>13</v>
      </c>
      <c r="AQ1216" s="263" t="s">
        <v>679</v>
      </c>
      <c r="AR1216" s="256" t="s">
        <v>34</v>
      </c>
      <c r="AS1216" s="256" t="s">
        <v>34</v>
      </c>
      <c r="AT1216" s="256"/>
      <c r="AX1216" s="508"/>
      <c r="AY1216" s="509"/>
      <c r="AZ1216" s="509"/>
      <c r="BA1216" s="509"/>
      <c r="BB1216" s="510"/>
      <c r="BC1216" s="509"/>
      <c r="BD1216" s="509"/>
      <c r="BE1216" s="509"/>
      <c r="BF1216" s="509"/>
      <c r="BG1216" s="510"/>
      <c r="BH1216" s="510"/>
      <c r="BI1216" s="511"/>
      <c r="BJ1216" s="511"/>
      <c r="BK1216" s="511"/>
      <c r="BL1216" s="510"/>
      <c r="BM1216" s="510"/>
      <c r="BN1216" s="510"/>
      <c r="BO1216" s="510"/>
      <c r="BP1216" s="510"/>
      <c r="BQ1216" s="510"/>
      <c r="BR1216" s="510"/>
      <c r="BS1216" s="510"/>
      <c r="BT1216" s="513"/>
      <c r="BU1216" s="514"/>
      <c r="BV1216" s="512"/>
      <c r="BW1216" s="515"/>
    </row>
    <row r="1217" spans="2:75" ht="15.75" customHeight="1">
      <c r="B1217" s="250" t="s">
        <v>180</v>
      </c>
      <c r="C1217" s="251">
        <v>18558694000142</v>
      </c>
      <c r="D1217" s="252" t="s">
        <v>14</v>
      </c>
      <c r="E1217" s="252" t="s">
        <v>614</v>
      </c>
      <c r="F1217" s="252"/>
      <c r="G1217" s="253"/>
      <c r="H1217" s="253" t="s">
        <v>1338</v>
      </c>
      <c r="I1217" s="253" t="s">
        <v>34</v>
      </c>
      <c r="J1217" s="253" t="s">
        <v>608</v>
      </c>
      <c r="K1217" s="254" t="s">
        <v>48</v>
      </c>
      <c r="L1217" s="255"/>
      <c r="M1217" s="255" t="s">
        <v>34</v>
      </c>
      <c r="N1217" s="254">
        <v>344435</v>
      </c>
      <c r="O1217" s="254" t="s">
        <v>1321</v>
      </c>
      <c r="P1217" s="258">
        <v>41509</v>
      </c>
      <c r="Q1217" s="259">
        <v>85173321.640000001</v>
      </c>
      <c r="R1217" s="259">
        <v>88076253.807976112</v>
      </c>
      <c r="S1217" s="254">
        <v>40</v>
      </c>
      <c r="T1217" s="256">
        <v>-4.766291805367473E-3</v>
      </c>
      <c r="U1217" s="256">
        <v>-6.1614784459340273E-2</v>
      </c>
      <c r="V1217" s="256">
        <v>-0.11390591305002273</v>
      </c>
      <c r="W1217" s="256">
        <v>-1.1166588191117743</v>
      </c>
      <c r="X1217" s="256">
        <v>1.0984028529492429E-2</v>
      </c>
      <c r="Y1217" s="256">
        <v>8.3293883703803862E-2</v>
      </c>
      <c r="Z1217" s="256">
        <v>0.36021529710756139</v>
      </c>
      <c r="AA1217" s="256">
        <v>2.047580526330647</v>
      </c>
      <c r="AB1217" s="256">
        <v>0.21036980683513459</v>
      </c>
      <c r="AC1217" s="260">
        <v>-0.93146012773170539</v>
      </c>
      <c r="AD1217" s="405">
        <v>0</v>
      </c>
      <c r="AE1217" s="257" t="s">
        <v>2220</v>
      </c>
      <c r="AF1217" s="257" t="s">
        <v>741</v>
      </c>
      <c r="AG1217" s="261" t="s">
        <v>741</v>
      </c>
      <c r="AH1217" s="261" t="s">
        <v>2113</v>
      </c>
      <c r="AI1217" s="261">
        <v>1000</v>
      </c>
      <c r="AJ1217" s="261">
        <v>0</v>
      </c>
      <c r="AK1217" s="261">
        <v>1000</v>
      </c>
      <c r="AL1217" s="256">
        <v>0.02</v>
      </c>
      <c r="AM1217" s="256">
        <v>0.2</v>
      </c>
      <c r="AN1217" s="256" t="s">
        <v>666</v>
      </c>
      <c r="AO1217" s="254" t="s">
        <v>1324</v>
      </c>
      <c r="AP1217" s="257" t="s">
        <v>716</v>
      </c>
      <c r="AQ1217" s="263" t="s">
        <v>659</v>
      </c>
      <c r="AR1217" s="256">
        <v>4.0000000000000001E-3</v>
      </c>
      <c r="AS1217" s="256">
        <v>4.0000000000000001E-3</v>
      </c>
      <c r="AT1217" s="256"/>
      <c r="AX1217" s="508"/>
      <c r="AY1217" s="509"/>
      <c r="AZ1217" s="509"/>
      <c r="BA1217" s="509"/>
      <c r="BB1217" s="510"/>
      <c r="BC1217" s="509"/>
      <c r="BD1217" s="509"/>
      <c r="BE1217" s="509"/>
      <c r="BF1217" s="509"/>
      <c r="BG1217" s="510"/>
      <c r="BH1217" s="510"/>
      <c r="BI1217" s="511"/>
      <c r="BJ1217" s="511"/>
      <c r="BK1217" s="511"/>
      <c r="BL1217" s="510"/>
      <c r="BM1217" s="510"/>
      <c r="BN1217" s="510"/>
      <c r="BO1217" s="510"/>
      <c r="BP1217" s="510"/>
      <c r="BQ1217" s="510"/>
      <c r="BR1217" s="510"/>
      <c r="BS1217" s="510"/>
      <c r="BT1217" s="513"/>
      <c r="BU1217" s="514"/>
      <c r="BV1217" s="512"/>
      <c r="BW1217" s="515"/>
    </row>
    <row r="1218" spans="2:75" ht="15.75" customHeight="1">
      <c r="B1218" s="250" t="s">
        <v>949</v>
      </c>
      <c r="C1218" s="251">
        <v>36327569000103</v>
      </c>
      <c r="D1218" s="252" t="s">
        <v>13</v>
      </c>
      <c r="E1218" s="252" t="s">
        <v>616</v>
      </c>
      <c r="F1218" s="252" t="s">
        <v>619</v>
      </c>
      <c r="G1218" s="253" t="s">
        <v>34</v>
      </c>
      <c r="H1218" s="253" t="s">
        <v>1338</v>
      </c>
      <c r="I1218" s="253" t="s">
        <v>34</v>
      </c>
      <c r="J1218" s="253" t="s">
        <v>611</v>
      </c>
      <c r="K1218" s="254" t="s">
        <v>49</v>
      </c>
      <c r="L1218" s="255"/>
      <c r="M1218" s="255" t="s">
        <v>1414</v>
      </c>
      <c r="N1218" s="254">
        <v>541338</v>
      </c>
      <c r="O1218" s="254" t="s">
        <v>1321</v>
      </c>
      <c r="P1218" s="258">
        <v>44008</v>
      </c>
      <c r="Q1218" s="259">
        <v>144832581.88</v>
      </c>
      <c r="R1218" s="259">
        <v>212771925.33003959</v>
      </c>
      <c r="S1218" s="254">
        <v>41</v>
      </c>
      <c r="T1218" s="256">
        <v>-0.26702498017451615</v>
      </c>
      <c r="U1218" s="256">
        <v>-3.4518840370168959</v>
      </c>
      <c r="V1218" s="256">
        <v>-0.20095747396050634</v>
      </c>
      <c r="W1218" s="256">
        <v>-1.9700551934110442</v>
      </c>
      <c r="X1218" s="256">
        <v>-8.988816208249073E-2</v>
      </c>
      <c r="Y1218" s="256">
        <v>-0.68163826220448054</v>
      </c>
      <c r="Z1218" s="256" t="s">
        <v>1417</v>
      </c>
      <c r="AA1218" s="256" t="s">
        <v>1417</v>
      </c>
      <c r="AB1218" s="256">
        <v>0.21455213078198876</v>
      </c>
      <c r="AC1218" s="260">
        <v>-1.3911530963716634</v>
      </c>
      <c r="AD1218" s="405">
        <v>34447464000162</v>
      </c>
      <c r="AE1218" s="257" t="s">
        <v>2126</v>
      </c>
      <c r="AF1218" s="257" t="s">
        <v>2118</v>
      </c>
      <c r="AG1218" s="261" t="s">
        <v>1433</v>
      </c>
      <c r="AH1218" s="261" t="s">
        <v>726</v>
      </c>
      <c r="AI1218" s="261">
        <v>50000</v>
      </c>
      <c r="AJ1218" s="261" t="s">
        <v>1427</v>
      </c>
      <c r="AK1218" s="261">
        <v>5000</v>
      </c>
      <c r="AL1218" s="256">
        <v>4.0000000000000001E-3</v>
      </c>
      <c r="AM1218" s="256" t="s">
        <v>34</v>
      </c>
      <c r="AN1218" s="256" t="s">
        <v>34</v>
      </c>
      <c r="AO1218" s="254" t="s">
        <v>1324</v>
      </c>
      <c r="AP1218" s="257" t="s">
        <v>13</v>
      </c>
      <c r="AQ1218" s="263" t="s">
        <v>679</v>
      </c>
      <c r="AR1218" s="256">
        <v>2.6666666666666666E-3</v>
      </c>
      <c r="AS1218" s="256">
        <v>2.6666666666666666E-3</v>
      </c>
      <c r="AT1218" s="256"/>
      <c r="AX1218" s="508"/>
      <c r="AY1218" s="509"/>
      <c r="AZ1218" s="509"/>
      <c r="BA1218" s="509"/>
      <c r="BB1218" s="510"/>
      <c r="BC1218" s="509"/>
      <c r="BD1218" s="509"/>
      <c r="BE1218" s="509"/>
      <c r="BF1218" s="509"/>
      <c r="BG1218" s="510"/>
      <c r="BH1218" s="510"/>
      <c r="BI1218" s="511"/>
      <c r="BJ1218" s="511"/>
      <c r="BK1218" s="511"/>
      <c r="BL1218" s="510"/>
      <c r="BM1218" s="510"/>
      <c r="BN1218" s="510"/>
      <c r="BO1218" s="510"/>
      <c r="BP1218" s="510"/>
      <c r="BQ1218" s="510"/>
      <c r="BR1218" s="510"/>
      <c r="BS1218" s="510"/>
      <c r="BT1218" s="513"/>
      <c r="BU1218" s="514"/>
      <c r="BV1218" s="512"/>
      <c r="BW1218" s="515"/>
    </row>
    <row r="1219" spans="2:75" ht="15.75" customHeight="1">
      <c r="B1219" s="250" t="s">
        <v>1284</v>
      </c>
      <c r="C1219" s="251">
        <v>29250108000114</v>
      </c>
      <c r="D1219" s="252" t="s">
        <v>13</v>
      </c>
      <c r="E1219" s="252" t="s">
        <v>616</v>
      </c>
      <c r="F1219" s="252" t="s">
        <v>619</v>
      </c>
      <c r="G1219" s="253" t="s">
        <v>34</v>
      </c>
      <c r="H1219" s="253" t="s">
        <v>1338</v>
      </c>
      <c r="I1219" s="253" t="s">
        <v>34</v>
      </c>
      <c r="J1219" s="253"/>
      <c r="K1219" s="254" t="s">
        <v>48</v>
      </c>
      <c r="L1219" s="255"/>
      <c r="M1219" s="255" t="s">
        <v>1414</v>
      </c>
      <c r="N1219" s="254">
        <v>469882</v>
      </c>
      <c r="O1219" s="254" t="s">
        <v>1321</v>
      </c>
      <c r="P1219" s="258">
        <v>43283</v>
      </c>
      <c r="Q1219" s="259">
        <v>16171795</v>
      </c>
      <c r="R1219" s="259">
        <v>28030174.776269864</v>
      </c>
      <c r="S1219" s="254">
        <v>41</v>
      </c>
      <c r="T1219" s="256">
        <v>1.6394904274151578E-2</v>
      </c>
      <c r="U1219" s="256">
        <v>0.21194012753180222</v>
      </c>
      <c r="V1219" s="256">
        <v>2.3931772224004888E-2</v>
      </c>
      <c r="W1219" s="256">
        <v>0.23461138930665834</v>
      </c>
      <c r="X1219" s="256">
        <v>3.6915525558345097E-2</v>
      </c>
      <c r="Y1219" s="256">
        <v>0.27993713640360363</v>
      </c>
      <c r="Z1219" s="256">
        <v>6.9799502478433917E-2</v>
      </c>
      <c r="AA1219" s="256">
        <v>0.39676300026684502</v>
      </c>
      <c r="AB1219" s="256">
        <v>7.2519589039718779E-2</v>
      </c>
      <c r="AC1219" s="260">
        <v>-0.97746897827593116</v>
      </c>
      <c r="AD1219" s="405">
        <v>0</v>
      </c>
      <c r="AE1219" s="257" t="s">
        <v>2440</v>
      </c>
      <c r="AF1219" s="257" t="s">
        <v>2109</v>
      </c>
      <c r="AG1219" s="261" t="s">
        <v>1432</v>
      </c>
      <c r="AH1219" s="261" t="s">
        <v>2113</v>
      </c>
      <c r="AI1219" s="261">
        <v>100</v>
      </c>
      <c r="AJ1219" s="261">
        <v>100</v>
      </c>
      <c r="AK1219" s="261">
        <v>100</v>
      </c>
      <c r="AL1219" s="256">
        <v>2.1499999999999998E-2</v>
      </c>
      <c r="AM1219" s="256" t="s">
        <v>34</v>
      </c>
      <c r="AN1219" s="256" t="s">
        <v>2127</v>
      </c>
      <c r="AO1219" s="254" t="s">
        <v>1324</v>
      </c>
      <c r="AP1219" s="257" t="s">
        <v>13</v>
      </c>
      <c r="AQ1219" s="263" t="s">
        <v>668</v>
      </c>
      <c r="AR1219" s="256" t="s">
        <v>34</v>
      </c>
      <c r="AS1219" s="256" t="s">
        <v>34</v>
      </c>
      <c r="AT1219" s="256"/>
      <c r="AX1219" s="508"/>
      <c r="AY1219" s="509"/>
      <c r="AZ1219" s="509"/>
      <c r="BA1219" s="509"/>
      <c r="BB1219" s="510"/>
      <c r="BC1219" s="509"/>
      <c r="BD1219" s="509"/>
      <c r="BE1219" s="509"/>
      <c r="BF1219" s="509"/>
      <c r="BG1219" s="510"/>
      <c r="BH1219" s="510"/>
      <c r="BI1219" s="511"/>
      <c r="BJ1219" s="511"/>
      <c r="BK1219" s="511"/>
      <c r="BL1219" s="510"/>
      <c r="BM1219" s="510"/>
      <c r="BN1219" s="510"/>
      <c r="BO1219" s="510"/>
      <c r="BP1219" s="510"/>
      <c r="BQ1219" s="510"/>
      <c r="BR1219" s="510"/>
      <c r="BS1219" s="510"/>
      <c r="BT1219" s="513"/>
      <c r="BU1219" s="514"/>
      <c r="BV1219" s="512"/>
      <c r="BW1219" s="515"/>
    </row>
    <row r="1220" spans="2:75" ht="15.75" customHeight="1">
      <c r="B1220" s="250" t="s">
        <v>783</v>
      </c>
      <c r="C1220" s="251">
        <v>14237118000142</v>
      </c>
      <c r="D1220" s="252" t="s">
        <v>11</v>
      </c>
      <c r="E1220" s="252" t="s">
        <v>620</v>
      </c>
      <c r="F1220" s="252" t="s">
        <v>663</v>
      </c>
      <c r="G1220" s="253" t="s">
        <v>738</v>
      </c>
      <c r="H1220" s="253" t="s">
        <v>34</v>
      </c>
      <c r="I1220" s="253"/>
      <c r="J1220" s="253" t="s">
        <v>608</v>
      </c>
      <c r="K1220" s="254" t="s">
        <v>48</v>
      </c>
      <c r="L1220" s="255"/>
      <c r="M1220" s="255" t="s">
        <v>34</v>
      </c>
      <c r="N1220" s="254">
        <v>291781</v>
      </c>
      <c r="O1220" s="254" t="s">
        <v>1321</v>
      </c>
      <c r="P1220" s="258">
        <v>40883</v>
      </c>
      <c r="Q1220" s="259">
        <v>185134178.53999999</v>
      </c>
      <c r="R1220" s="259">
        <v>98595175.726309553</v>
      </c>
      <c r="S1220" s="254">
        <v>45</v>
      </c>
      <c r="T1220" s="256">
        <v>8.9304739519867171E-2</v>
      </c>
      <c r="U1220" s="256">
        <v>1.154459798394553</v>
      </c>
      <c r="V1220" s="256">
        <v>0.11996396098717699</v>
      </c>
      <c r="W1220" s="256">
        <v>1.1760479454045802</v>
      </c>
      <c r="X1220" s="256">
        <v>0.18234898363411967</v>
      </c>
      <c r="Y1220" s="256">
        <v>1.3827854685141701</v>
      </c>
      <c r="Z1220" s="256">
        <v>0.21855882545553773</v>
      </c>
      <c r="AA1220" s="256">
        <v>1.2423592180951386</v>
      </c>
      <c r="AB1220" s="256">
        <v>3.363993462431763E-3</v>
      </c>
      <c r="AC1220" s="260">
        <v>4.8084337015035494</v>
      </c>
      <c r="AD1220" s="405">
        <v>0</v>
      </c>
      <c r="AE1220" s="257" t="s">
        <v>101</v>
      </c>
      <c r="AF1220" s="257" t="s">
        <v>736</v>
      </c>
      <c r="AG1220" s="261" t="s">
        <v>736</v>
      </c>
      <c r="AH1220" s="261" t="s">
        <v>2113</v>
      </c>
      <c r="AI1220" s="261">
        <v>500</v>
      </c>
      <c r="AJ1220" s="261">
        <v>500</v>
      </c>
      <c r="AK1220" s="261">
        <v>500</v>
      </c>
      <c r="AL1220" s="519">
        <v>6.0000000000000001E-3</v>
      </c>
      <c r="AM1220" s="519">
        <v>0.2</v>
      </c>
      <c r="AN1220" s="256" t="s">
        <v>64</v>
      </c>
      <c r="AO1220" s="254" t="s">
        <v>1324</v>
      </c>
      <c r="AP1220" s="257" t="s">
        <v>11</v>
      </c>
      <c r="AQ1220" s="263" t="s">
        <v>675</v>
      </c>
      <c r="AR1220" s="256">
        <v>1.5E-3</v>
      </c>
      <c r="AS1220" s="256">
        <v>1.5E-3</v>
      </c>
      <c r="AT1220" s="256"/>
      <c r="AX1220" s="508"/>
      <c r="AY1220" s="509"/>
      <c r="AZ1220" s="509"/>
      <c r="BA1220" s="509"/>
      <c r="BB1220" s="510"/>
      <c r="BC1220" s="509"/>
      <c r="BD1220" s="509"/>
      <c r="BE1220" s="509"/>
      <c r="BF1220" s="509"/>
      <c r="BG1220" s="510"/>
      <c r="BH1220" s="510"/>
      <c r="BI1220" s="511"/>
      <c r="BJ1220" s="511"/>
      <c r="BK1220" s="511"/>
      <c r="BL1220" s="510"/>
      <c r="BM1220" s="510"/>
      <c r="BN1220" s="510"/>
      <c r="BO1220" s="510"/>
      <c r="BP1220" s="510"/>
      <c r="BQ1220" s="510"/>
      <c r="BR1220" s="510"/>
      <c r="BS1220" s="510"/>
      <c r="BT1220" s="513"/>
      <c r="BU1220" s="514"/>
      <c r="BV1220" s="512"/>
      <c r="BW1220" s="515"/>
    </row>
    <row r="1221" spans="2:75" ht="15.75" customHeight="1">
      <c r="B1221" s="250" t="s">
        <v>105</v>
      </c>
      <c r="C1221" s="251">
        <v>22100009000107</v>
      </c>
      <c r="D1221" s="252" t="s">
        <v>11</v>
      </c>
      <c r="E1221" s="252" t="s">
        <v>620</v>
      </c>
      <c r="F1221" s="252" t="s">
        <v>663</v>
      </c>
      <c r="G1221" s="253" t="s">
        <v>738</v>
      </c>
      <c r="H1221" s="253" t="s">
        <v>34</v>
      </c>
      <c r="I1221" s="253"/>
      <c r="J1221" s="253" t="s">
        <v>608</v>
      </c>
      <c r="K1221" s="254" t="s">
        <v>48</v>
      </c>
      <c r="L1221" s="255"/>
      <c r="M1221" s="255" t="s">
        <v>34</v>
      </c>
      <c r="N1221" s="254">
        <v>414141</v>
      </c>
      <c r="O1221" s="254" t="s">
        <v>1321</v>
      </c>
      <c r="P1221" s="258">
        <v>42353</v>
      </c>
      <c r="Q1221" s="259">
        <v>727760797.89999998</v>
      </c>
      <c r="R1221" s="259">
        <v>647029211.17674601</v>
      </c>
      <c r="S1221" s="254">
        <v>45</v>
      </c>
      <c r="T1221" s="256">
        <v>8.7773266517084281E-2</v>
      </c>
      <c r="U1221" s="256">
        <v>1.1346621479725827</v>
      </c>
      <c r="V1221" s="256">
        <v>0.11492302363274365</v>
      </c>
      <c r="W1221" s="256">
        <v>1.1266299037709915</v>
      </c>
      <c r="X1221" s="256">
        <v>0.19691214741190599</v>
      </c>
      <c r="Y1221" s="256">
        <v>1.4932205849934639</v>
      </c>
      <c r="Z1221" s="256">
        <v>0.21284427394081318</v>
      </c>
      <c r="AA1221" s="256">
        <v>1.209875854694918</v>
      </c>
      <c r="AB1221" s="256">
        <v>4.7117965529745367E-3</v>
      </c>
      <c r="AC1221" s="260">
        <v>2.4763014975253204</v>
      </c>
      <c r="AD1221" s="405">
        <v>23556180000198</v>
      </c>
      <c r="AE1221" s="257" t="s">
        <v>2164</v>
      </c>
      <c r="AF1221" s="257" t="s">
        <v>2118</v>
      </c>
      <c r="AG1221" s="261" t="s">
        <v>1433</v>
      </c>
      <c r="AH1221" s="261" t="s">
        <v>2113</v>
      </c>
      <c r="AI1221" s="261">
        <v>10000</v>
      </c>
      <c r="AJ1221" s="261">
        <v>5000</v>
      </c>
      <c r="AK1221" s="261">
        <v>5000</v>
      </c>
      <c r="AL1221" s="519">
        <v>8.0000000000000002E-3</v>
      </c>
      <c r="AM1221" s="519">
        <v>0.2</v>
      </c>
      <c r="AN1221" s="256" t="s">
        <v>34</v>
      </c>
      <c r="AO1221" s="254" t="s">
        <v>1324</v>
      </c>
      <c r="AP1221" s="257" t="s">
        <v>13</v>
      </c>
      <c r="AQ1221" s="263" t="s">
        <v>686</v>
      </c>
      <c r="AR1221" s="256">
        <v>2.32E-3</v>
      </c>
      <c r="AS1221" s="256">
        <v>2.32E-3</v>
      </c>
      <c r="AT1221" s="256"/>
      <c r="AX1221" s="508"/>
      <c r="AY1221" s="509"/>
      <c r="AZ1221" s="509"/>
      <c r="BA1221" s="509"/>
      <c r="BB1221" s="510"/>
      <c r="BC1221" s="509"/>
      <c r="BD1221" s="509"/>
      <c r="BE1221" s="509"/>
      <c r="BF1221" s="509"/>
      <c r="BG1221" s="510"/>
      <c r="BH1221" s="510"/>
      <c r="BI1221" s="511"/>
      <c r="BJ1221" s="511"/>
      <c r="BK1221" s="511"/>
      <c r="BL1221" s="510"/>
      <c r="BM1221" s="510"/>
      <c r="BN1221" s="510"/>
      <c r="BO1221" s="510"/>
      <c r="BP1221" s="510"/>
      <c r="BQ1221" s="510"/>
      <c r="BR1221" s="510"/>
      <c r="BS1221" s="510"/>
      <c r="BT1221" s="513"/>
      <c r="BU1221" s="514"/>
      <c r="BV1221" s="512"/>
      <c r="BW1221" s="515"/>
    </row>
    <row r="1222" spans="2:75" ht="15.75" customHeight="1">
      <c r="B1222" s="250" t="s">
        <v>780</v>
      </c>
      <c r="C1222" s="251">
        <v>31340838000158</v>
      </c>
      <c r="D1222" s="252" t="s">
        <v>11</v>
      </c>
      <c r="E1222" s="252" t="s">
        <v>620</v>
      </c>
      <c r="F1222" s="252" t="s">
        <v>685</v>
      </c>
      <c r="G1222" s="253" t="s">
        <v>738</v>
      </c>
      <c r="H1222" s="253" t="s">
        <v>34</v>
      </c>
      <c r="I1222" s="253" t="s">
        <v>1319</v>
      </c>
      <c r="J1222" s="253" t="s">
        <v>608</v>
      </c>
      <c r="K1222" s="254" t="s">
        <v>48</v>
      </c>
      <c r="L1222" s="255"/>
      <c r="M1222" s="255" t="s">
        <v>34</v>
      </c>
      <c r="N1222" s="254">
        <v>481769</v>
      </c>
      <c r="O1222" s="254" t="s">
        <v>1321</v>
      </c>
      <c r="P1222" s="258">
        <v>43444</v>
      </c>
      <c r="Q1222" s="259">
        <v>262546698.06</v>
      </c>
      <c r="R1222" s="259">
        <v>236118046.80253974</v>
      </c>
      <c r="S1222" s="254">
        <v>45</v>
      </c>
      <c r="T1222" s="256">
        <v>8.4683998251929404E-2</v>
      </c>
      <c r="U1222" s="256">
        <v>1.0947265741413195</v>
      </c>
      <c r="V1222" s="256">
        <v>0.11431736949239468</v>
      </c>
      <c r="W1222" s="256">
        <v>1.1206924680484474</v>
      </c>
      <c r="X1222" s="256">
        <v>0.15780317628116047</v>
      </c>
      <c r="Y1222" s="256">
        <v>1.1966501523518189</v>
      </c>
      <c r="Z1222" s="256">
        <v>0.20955855933543166</v>
      </c>
      <c r="AA1222" s="256">
        <v>1.1911987876878207</v>
      </c>
      <c r="AB1222" s="256">
        <v>1.8807329332139785E-3</v>
      </c>
      <c r="AC1222" s="260">
        <v>5.9098937098718407</v>
      </c>
      <c r="AD1222" s="405">
        <v>31908013000197</v>
      </c>
      <c r="AE1222" s="257" t="s">
        <v>2157</v>
      </c>
      <c r="AF1222" s="257" t="s">
        <v>2109</v>
      </c>
      <c r="AG1222" s="261" t="s">
        <v>1432</v>
      </c>
      <c r="AH1222" s="261" t="s">
        <v>2110</v>
      </c>
      <c r="AI1222" s="261">
        <v>1000</v>
      </c>
      <c r="AJ1222" s="261">
        <v>1000</v>
      </c>
      <c r="AK1222" s="261">
        <v>1000</v>
      </c>
      <c r="AL1222" s="519">
        <v>8.5000000000000006E-3</v>
      </c>
      <c r="AM1222" s="519">
        <v>0.15</v>
      </c>
      <c r="AN1222" s="256" t="s">
        <v>34</v>
      </c>
      <c r="AO1222" s="254" t="s">
        <v>1324</v>
      </c>
      <c r="AP1222" s="257" t="s">
        <v>11</v>
      </c>
      <c r="AQ1222" s="263" t="s">
        <v>675</v>
      </c>
      <c r="AR1222" s="256">
        <v>1.9833333333333335E-3</v>
      </c>
      <c r="AS1222" s="256">
        <v>1.9833333333333335E-3</v>
      </c>
      <c r="AT1222" s="256"/>
      <c r="AX1222" s="508"/>
      <c r="AY1222" s="509"/>
      <c r="AZ1222" s="509"/>
      <c r="BA1222" s="509"/>
      <c r="BB1222" s="510"/>
      <c r="BC1222" s="509"/>
      <c r="BD1222" s="509"/>
      <c r="BE1222" s="509"/>
      <c r="BF1222" s="509"/>
      <c r="BG1222" s="510"/>
      <c r="BH1222" s="510"/>
      <c r="BI1222" s="511"/>
      <c r="BJ1222" s="511"/>
      <c r="BK1222" s="511"/>
      <c r="BL1222" s="510"/>
      <c r="BM1222" s="510"/>
      <c r="BN1222" s="510"/>
      <c r="BO1222" s="510"/>
      <c r="BP1222" s="510"/>
      <c r="BQ1222" s="510"/>
      <c r="BR1222" s="510"/>
      <c r="BS1222" s="510"/>
      <c r="BT1222" s="513"/>
      <c r="BU1222" s="514"/>
      <c r="BV1222" s="512"/>
      <c r="BW1222" s="515"/>
    </row>
    <row r="1223" spans="2:75" ht="15.75" customHeight="1">
      <c r="B1223" s="250" t="s">
        <v>490</v>
      </c>
      <c r="C1223" s="251">
        <v>34780531000166</v>
      </c>
      <c r="D1223" s="252" t="s">
        <v>11</v>
      </c>
      <c r="E1223" s="252" t="s">
        <v>620</v>
      </c>
      <c r="F1223" s="252" t="s">
        <v>685</v>
      </c>
      <c r="G1223" s="253" t="s">
        <v>738</v>
      </c>
      <c r="H1223" s="253" t="s">
        <v>34</v>
      </c>
      <c r="I1223" s="253" t="s">
        <v>1319</v>
      </c>
      <c r="J1223" s="253" t="s">
        <v>608</v>
      </c>
      <c r="K1223" s="254" t="s">
        <v>48</v>
      </c>
      <c r="L1223" s="255"/>
      <c r="M1223" s="255" t="s">
        <v>34</v>
      </c>
      <c r="N1223" s="254">
        <v>508926</v>
      </c>
      <c r="O1223" s="254" t="s">
        <v>1321</v>
      </c>
      <c r="P1223" s="258">
        <v>43735</v>
      </c>
      <c r="Q1223" s="259">
        <v>155779292.25</v>
      </c>
      <c r="R1223" s="259">
        <v>70478943.399444431</v>
      </c>
      <c r="S1223" s="254">
        <v>45</v>
      </c>
      <c r="T1223" s="256">
        <v>9.4302304837376782E-2</v>
      </c>
      <c r="U1223" s="256">
        <v>1.2190643006856352</v>
      </c>
      <c r="V1223" s="256">
        <v>0.12944544813671044</v>
      </c>
      <c r="W1223" s="256">
        <v>1.2689982230532206</v>
      </c>
      <c r="X1223" s="256">
        <v>0.19191222520147266</v>
      </c>
      <c r="Y1223" s="256">
        <v>1.4553052665831296</v>
      </c>
      <c r="Z1223" s="256" t="s">
        <v>1417</v>
      </c>
      <c r="AA1223" s="256" t="s">
        <v>1417</v>
      </c>
      <c r="AB1223" s="256">
        <v>1.4421644476304053E-3</v>
      </c>
      <c r="AC1223" s="260">
        <v>17.061248636502103</v>
      </c>
      <c r="AD1223" s="405">
        <v>34780492000105</v>
      </c>
      <c r="AE1223" s="257" t="s">
        <v>2396</v>
      </c>
      <c r="AF1223" s="257" t="s">
        <v>2109</v>
      </c>
      <c r="AG1223" s="261" t="s">
        <v>1432</v>
      </c>
      <c r="AH1223" s="261" t="s">
        <v>2110</v>
      </c>
      <c r="AI1223" s="261">
        <v>10000</v>
      </c>
      <c r="AJ1223" s="261">
        <v>1000</v>
      </c>
      <c r="AK1223" s="261">
        <v>1000</v>
      </c>
      <c r="AL1223" s="256">
        <v>9.1000000000000004E-3</v>
      </c>
      <c r="AM1223" s="256">
        <v>0.2</v>
      </c>
      <c r="AN1223" s="256" t="s">
        <v>64</v>
      </c>
      <c r="AO1223" s="254" t="s">
        <v>1324</v>
      </c>
      <c r="AP1223" s="257" t="s">
        <v>13</v>
      </c>
      <c r="AQ1223" s="263" t="s">
        <v>671</v>
      </c>
      <c r="AR1223" s="256">
        <v>2.4269700000000001E-3</v>
      </c>
      <c r="AS1223" s="256">
        <v>2.4269700000000001E-3</v>
      </c>
      <c r="AT1223" s="256"/>
      <c r="AX1223" s="508"/>
      <c r="AY1223" s="509"/>
      <c r="AZ1223" s="509"/>
      <c r="BA1223" s="509"/>
      <c r="BB1223" s="510"/>
      <c r="BC1223" s="509"/>
      <c r="BD1223" s="509"/>
      <c r="BE1223" s="509"/>
      <c r="BF1223" s="509"/>
      <c r="BG1223" s="510"/>
      <c r="BH1223" s="510"/>
      <c r="BI1223" s="511"/>
      <c r="BJ1223" s="511"/>
      <c r="BK1223" s="511"/>
      <c r="BL1223" s="510"/>
      <c r="BM1223" s="510"/>
      <c r="BN1223" s="510"/>
      <c r="BO1223" s="510"/>
      <c r="BP1223" s="510"/>
      <c r="BQ1223" s="510"/>
      <c r="BR1223" s="510"/>
      <c r="BS1223" s="510"/>
      <c r="BT1223" s="513"/>
      <c r="BU1223" s="514"/>
      <c r="BV1223" s="512"/>
      <c r="BW1223" s="515"/>
    </row>
    <row r="1224" spans="2:75" ht="15.75" customHeight="1">
      <c r="B1224" s="250" t="s">
        <v>233</v>
      </c>
      <c r="C1224" s="251">
        <v>32760042000117</v>
      </c>
      <c r="D1224" s="252" t="s">
        <v>11</v>
      </c>
      <c r="E1224" s="252" t="s">
        <v>620</v>
      </c>
      <c r="F1224" s="252" t="s">
        <v>663</v>
      </c>
      <c r="G1224" s="253" t="s">
        <v>738</v>
      </c>
      <c r="H1224" s="253" t="s">
        <v>34</v>
      </c>
      <c r="I1224" s="253"/>
      <c r="J1224" s="253" t="s">
        <v>608</v>
      </c>
      <c r="K1224" s="254" t="s">
        <v>48</v>
      </c>
      <c r="L1224" s="255"/>
      <c r="M1224" s="255" t="s">
        <v>1414</v>
      </c>
      <c r="N1224" s="254">
        <v>498599</v>
      </c>
      <c r="O1224" s="254" t="s">
        <v>1321</v>
      </c>
      <c r="P1224" s="258">
        <v>43633</v>
      </c>
      <c r="Q1224" s="259">
        <v>478035915.61000001</v>
      </c>
      <c r="R1224" s="259">
        <v>387890119.18400812</v>
      </c>
      <c r="S1224" s="254">
        <v>46</v>
      </c>
      <c r="T1224" s="256">
        <v>0.10022205886331292</v>
      </c>
      <c r="U1224" s="256">
        <v>1.2955901164046006</v>
      </c>
      <c r="V1224" s="256">
        <v>0.13850762381368265</v>
      </c>
      <c r="W1224" s="256">
        <v>1.3578378462041911</v>
      </c>
      <c r="X1224" s="256">
        <v>0.21320595150830135</v>
      </c>
      <c r="Y1224" s="256">
        <v>1.6167794613978419</v>
      </c>
      <c r="Z1224" s="256">
        <v>0.2941244909945917</v>
      </c>
      <c r="AA1224" s="256">
        <v>1.6718989585209314</v>
      </c>
      <c r="AB1224" s="256">
        <v>7.8444026362367025E-3</v>
      </c>
      <c r="AC1224" s="260">
        <v>4.1596834707088242</v>
      </c>
      <c r="AD1224" s="405">
        <v>32760072000123</v>
      </c>
      <c r="AE1224" s="257" t="s">
        <v>2275</v>
      </c>
      <c r="AF1224" s="257" t="s">
        <v>2115</v>
      </c>
      <c r="AG1224" s="261" t="s">
        <v>719</v>
      </c>
      <c r="AH1224" s="261" t="s">
        <v>2110</v>
      </c>
      <c r="AI1224" s="261">
        <v>20000</v>
      </c>
      <c r="AJ1224" s="261">
        <v>5000</v>
      </c>
      <c r="AK1224" s="261">
        <v>20000</v>
      </c>
      <c r="AL1224" s="256">
        <v>5.0000000000000001E-3</v>
      </c>
      <c r="AM1224" s="256">
        <v>0.2</v>
      </c>
      <c r="AN1224" s="256" t="s">
        <v>2122</v>
      </c>
      <c r="AO1224" s="254" t="s">
        <v>1324</v>
      </c>
      <c r="AP1224" s="257" t="s">
        <v>11</v>
      </c>
      <c r="AQ1224" s="263" t="s">
        <v>675</v>
      </c>
      <c r="AR1224" s="256" t="s">
        <v>34</v>
      </c>
      <c r="AS1224" s="256" t="s">
        <v>34</v>
      </c>
      <c r="AT1224" s="256"/>
      <c r="AX1224" s="508"/>
      <c r="AY1224" s="509"/>
      <c r="AZ1224" s="509"/>
      <c r="BA1224" s="509"/>
      <c r="BB1224" s="510"/>
      <c r="BC1224" s="509"/>
      <c r="BD1224" s="509"/>
      <c r="BE1224" s="509"/>
      <c r="BF1224" s="509"/>
      <c r="BG1224" s="510"/>
      <c r="BH1224" s="510"/>
      <c r="BI1224" s="511"/>
      <c r="BJ1224" s="511"/>
      <c r="BK1224" s="511"/>
      <c r="BL1224" s="510"/>
      <c r="BM1224" s="510"/>
      <c r="BN1224" s="510"/>
      <c r="BO1224" s="510"/>
      <c r="BP1224" s="510"/>
      <c r="BQ1224" s="510"/>
      <c r="BR1224" s="510"/>
      <c r="BS1224" s="510"/>
      <c r="BT1224" s="513"/>
      <c r="BU1224" s="514"/>
      <c r="BV1224" s="512"/>
      <c r="BW1224" s="515"/>
    </row>
    <row r="1225" spans="2:75" ht="15.75" customHeight="1">
      <c r="B1225" s="250" t="s">
        <v>1039</v>
      </c>
      <c r="C1225" s="251">
        <v>39511032000197</v>
      </c>
      <c r="D1225" s="252" t="s">
        <v>11</v>
      </c>
      <c r="E1225" s="252" t="s">
        <v>620</v>
      </c>
      <c r="F1225" s="252" t="s">
        <v>663</v>
      </c>
      <c r="G1225" s="253" t="s">
        <v>738</v>
      </c>
      <c r="H1225" s="253" t="s">
        <v>34</v>
      </c>
      <c r="I1225" s="253"/>
      <c r="J1225" s="253"/>
      <c r="K1225" s="254" t="s">
        <v>48</v>
      </c>
      <c r="L1225" s="255"/>
      <c r="M1225" s="255" t="s">
        <v>34</v>
      </c>
      <c r="N1225" s="254">
        <v>621749</v>
      </c>
      <c r="O1225" s="254" t="s">
        <v>1321</v>
      </c>
      <c r="P1225" s="258">
        <v>44509</v>
      </c>
      <c r="Q1225" s="259">
        <v>58159377.43</v>
      </c>
      <c r="R1225" s="259" t="s">
        <v>1417</v>
      </c>
      <c r="S1225" s="254">
        <v>46</v>
      </c>
      <c r="T1225" s="256">
        <v>9.1202538599581828E-2</v>
      </c>
      <c r="U1225" s="256">
        <v>1.178993017513045</v>
      </c>
      <c r="V1225" s="256" t="s">
        <v>1417</v>
      </c>
      <c r="W1225" s="256" t="s">
        <v>1417</v>
      </c>
      <c r="X1225" s="256" t="s">
        <v>1417</v>
      </c>
      <c r="Y1225" s="256" t="s">
        <v>1417</v>
      </c>
      <c r="Z1225" s="256" t="s">
        <v>1417</v>
      </c>
      <c r="AA1225" s="256" t="s">
        <v>1417</v>
      </c>
      <c r="AB1225" s="256" t="s">
        <v>1417</v>
      </c>
      <c r="AC1225" s="260" t="s">
        <v>1417</v>
      </c>
      <c r="AD1225" s="405">
        <v>39487617000119</v>
      </c>
      <c r="AE1225" s="257" t="s">
        <v>2305</v>
      </c>
      <c r="AF1225" s="257" t="s">
        <v>736</v>
      </c>
      <c r="AG1225" s="261" t="s">
        <v>736</v>
      </c>
      <c r="AH1225" s="261" t="s">
        <v>2110</v>
      </c>
      <c r="AI1225" s="261">
        <v>1000</v>
      </c>
      <c r="AJ1225" s="261" t="s">
        <v>1427</v>
      </c>
      <c r="AK1225" s="261" t="s">
        <v>1427</v>
      </c>
      <c r="AL1225" s="256">
        <v>6.5000000000000006E-3</v>
      </c>
      <c r="AM1225" s="256">
        <v>0.2</v>
      </c>
      <c r="AN1225" s="256" t="s">
        <v>64</v>
      </c>
      <c r="AO1225" s="254" t="s">
        <v>1324</v>
      </c>
      <c r="AP1225" s="257" t="s">
        <v>13</v>
      </c>
      <c r="AQ1225" s="263" t="s">
        <v>671</v>
      </c>
      <c r="AR1225" s="256">
        <v>1.2999999999999999E-3</v>
      </c>
      <c r="AS1225" s="256">
        <v>1.2999999999999999E-3</v>
      </c>
      <c r="AT1225" s="256"/>
      <c r="AX1225" s="508"/>
      <c r="AY1225" s="509"/>
      <c r="AZ1225" s="509"/>
      <c r="BA1225" s="509"/>
      <c r="BB1225" s="510"/>
      <c r="BC1225" s="509"/>
      <c r="BD1225" s="509"/>
      <c r="BE1225" s="509"/>
      <c r="BF1225" s="509"/>
      <c r="BG1225" s="510"/>
      <c r="BH1225" s="510"/>
      <c r="BI1225" s="511"/>
      <c r="BJ1225" s="511"/>
      <c r="BK1225" s="511"/>
      <c r="BL1225" s="510"/>
      <c r="BM1225" s="510"/>
      <c r="BN1225" s="510"/>
      <c r="BO1225" s="510"/>
      <c r="BP1225" s="510"/>
      <c r="BQ1225" s="510"/>
      <c r="BR1225" s="510"/>
      <c r="BS1225" s="510"/>
      <c r="BT1225" s="513"/>
      <c r="BU1225" s="514"/>
      <c r="BV1225" s="512"/>
      <c r="BW1225" s="515"/>
    </row>
    <row r="1226" spans="2:75" ht="15.75" customHeight="1">
      <c r="B1226" s="250" t="s">
        <v>1130</v>
      </c>
      <c r="C1226" s="251">
        <v>38281169000130</v>
      </c>
      <c r="D1226" s="252" t="s">
        <v>11</v>
      </c>
      <c r="E1226" s="252" t="s">
        <v>620</v>
      </c>
      <c r="F1226" s="252" t="s">
        <v>663</v>
      </c>
      <c r="G1226" s="253" t="s">
        <v>738</v>
      </c>
      <c r="H1226" s="253" t="s">
        <v>34</v>
      </c>
      <c r="I1226" s="253" t="s">
        <v>1304</v>
      </c>
      <c r="J1226" s="253" t="s">
        <v>608</v>
      </c>
      <c r="K1226" s="254" t="s">
        <v>48</v>
      </c>
      <c r="L1226" s="255"/>
      <c r="M1226" s="255" t="s">
        <v>34</v>
      </c>
      <c r="N1226" s="254">
        <v>567183</v>
      </c>
      <c r="O1226" s="254" t="s">
        <v>1321</v>
      </c>
      <c r="P1226" s="258">
        <v>44166</v>
      </c>
      <c r="Q1226" s="259">
        <v>10801923.029999999</v>
      </c>
      <c r="R1226" s="259">
        <v>12777948.05988095</v>
      </c>
      <c r="S1226" s="254">
        <v>46</v>
      </c>
      <c r="T1226" s="256">
        <v>7.9584175443839111E-2</v>
      </c>
      <c r="U1226" s="256">
        <v>1.028800169310744</v>
      </c>
      <c r="V1226" s="256">
        <v>0.10576660351262768</v>
      </c>
      <c r="W1226" s="256">
        <v>1.0368663699487415</v>
      </c>
      <c r="X1226" s="256" t="s">
        <v>1417</v>
      </c>
      <c r="Y1226" s="256" t="s">
        <v>1417</v>
      </c>
      <c r="Z1226" s="256" t="s">
        <v>1417</v>
      </c>
      <c r="AA1226" s="256" t="s">
        <v>1417</v>
      </c>
      <c r="AB1226" s="256">
        <v>2.6769411635244231E-3</v>
      </c>
      <c r="AC1226" s="260">
        <v>1.2739940744017735</v>
      </c>
      <c r="AD1226" s="405">
        <v>38306228000187</v>
      </c>
      <c r="AE1226" s="257" t="s">
        <v>2183</v>
      </c>
      <c r="AF1226" s="257" t="s">
        <v>2118</v>
      </c>
      <c r="AG1226" s="261" t="s">
        <v>1433</v>
      </c>
      <c r="AH1226" s="261" t="s">
        <v>2113</v>
      </c>
      <c r="AI1226" s="261">
        <v>10</v>
      </c>
      <c r="AJ1226" s="261">
        <v>10</v>
      </c>
      <c r="AK1226" s="261">
        <v>10</v>
      </c>
      <c r="AL1226" s="256">
        <v>7.4999999999999997E-3</v>
      </c>
      <c r="AM1226" s="256">
        <v>0.2</v>
      </c>
      <c r="AN1226" s="256" t="s">
        <v>34</v>
      </c>
      <c r="AO1226" s="254" t="s">
        <v>1324</v>
      </c>
      <c r="AP1226" s="257" t="s">
        <v>11</v>
      </c>
      <c r="AQ1226" s="263" t="s">
        <v>675</v>
      </c>
      <c r="AR1226" s="256">
        <v>1.4999999999999998E-3</v>
      </c>
      <c r="AS1226" s="256">
        <v>1.4999999999999998E-3</v>
      </c>
      <c r="AT1226" s="256"/>
      <c r="AX1226" s="508"/>
      <c r="AY1226" s="509"/>
      <c r="AZ1226" s="509"/>
      <c r="BA1226" s="509"/>
      <c r="BB1226" s="510"/>
      <c r="BC1226" s="509"/>
      <c r="BD1226" s="509"/>
      <c r="BE1226" s="509"/>
      <c r="BF1226" s="509"/>
      <c r="BG1226" s="510"/>
      <c r="BH1226" s="510"/>
      <c r="BI1226" s="511"/>
      <c r="BJ1226" s="511"/>
      <c r="BK1226" s="511"/>
      <c r="BL1226" s="510"/>
      <c r="BM1226" s="510"/>
      <c r="BN1226" s="510"/>
      <c r="BO1226" s="510"/>
      <c r="BP1226" s="510"/>
      <c r="BQ1226" s="510"/>
      <c r="BR1226" s="510"/>
      <c r="BS1226" s="510"/>
      <c r="BT1226" s="513"/>
      <c r="BU1226" s="514"/>
      <c r="BV1226" s="512"/>
      <c r="BW1226" s="515"/>
    </row>
    <row r="1227" spans="2:75" ht="15.75" customHeight="1">
      <c r="B1227" s="250" t="s">
        <v>491</v>
      </c>
      <c r="C1227" s="251">
        <v>35505971000178</v>
      </c>
      <c r="D1227" s="252" t="s">
        <v>11</v>
      </c>
      <c r="E1227" s="252" t="s">
        <v>620</v>
      </c>
      <c r="F1227" s="252" t="s">
        <v>663</v>
      </c>
      <c r="G1227" s="253" t="s">
        <v>738</v>
      </c>
      <c r="H1227" s="253" t="s">
        <v>34</v>
      </c>
      <c r="I1227" s="253"/>
      <c r="J1227" s="253" t="s">
        <v>611</v>
      </c>
      <c r="K1227" s="254" t="s">
        <v>48</v>
      </c>
      <c r="L1227" s="255"/>
      <c r="M1227" s="255" t="s">
        <v>34</v>
      </c>
      <c r="N1227" s="254">
        <v>523879</v>
      </c>
      <c r="O1227" s="254" t="s">
        <v>1321</v>
      </c>
      <c r="P1227" s="258">
        <v>43817</v>
      </c>
      <c r="Q1227" s="259">
        <v>1759508362.8699999</v>
      </c>
      <c r="R1227" s="259">
        <v>842729602.68599153</v>
      </c>
      <c r="S1227" s="254">
        <v>46</v>
      </c>
      <c r="T1227" s="256">
        <v>8.7738975760600635E-2</v>
      </c>
      <c r="U1227" s="256">
        <v>1.134218864670602</v>
      </c>
      <c r="V1227" s="256">
        <v>0.11750144220057757</v>
      </c>
      <c r="W1227" s="256">
        <v>1.1519070272849294</v>
      </c>
      <c r="X1227" s="256">
        <v>0.18930181554452563</v>
      </c>
      <c r="Y1227" s="256">
        <v>1.4355100559460465</v>
      </c>
      <c r="Z1227" s="256" t="s">
        <v>1417</v>
      </c>
      <c r="AA1227" s="256" t="s">
        <v>1417</v>
      </c>
      <c r="AB1227" s="256">
        <v>2.2334513189374507E-3</v>
      </c>
      <c r="AC1227" s="260">
        <v>6.2550016161470543</v>
      </c>
      <c r="AD1227" s="405">
        <v>35491217000126</v>
      </c>
      <c r="AE1227" s="257" t="s">
        <v>2399</v>
      </c>
      <c r="AF1227" s="257" t="s">
        <v>2112</v>
      </c>
      <c r="AG1227" s="261" t="s">
        <v>59</v>
      </c>
      <c r="AH1227" s="261" t="s">
        <v>2113</v>
      </c>
      <c r="AI1227" s="261">
        <v>1000</v>
      </c>
      <c r="AJ1227" s="261">
        <v>500</v>
      </c>
      <c r="AK1227" s="261">
        <v>1000</v>
      </c>
      <c r="AL1227" s="256">
        <v>6.0000000000000001E-3</v>
      </c>
      <c r="AM1227" s="256">
        <v>0.2</v>
      </c>
      <c r="AN1227" s="256" t="s">
        <v>64</v>
      </c>
      <c r="AO1227" s="254" t="s">
        <v>1324</v>
      </c>
      <c r="AP1227" s="257" t="s">
        <v>11</v>
      </c>
      <c r="AQ1227" s="263" t="s">
        <v>675</v>
      </c>
      <c r="AR1227" s="256">
        <v>1.4E-3</v>
      </c>
      <c r="AS1227" s="256">
        <v>1.4E-3</v>
      </c>
      <c r="AT1227" s="256"/>
      <c r="AX1227" s="508"/>
      <c r="AY1227" s="509"/>
      <c r="AZ1227" s="509"/>
      <c r="BA1227" s="509"/>
      <c r="BB1227" s="510"/>
      <c r="BC1227" s="509"/>
      <c r="BD1227" s="509"/>
      <c r="BE1227" s="509"/>
      <c r="BF1227" s="509"/>
      <c r="BG1227" s="510"/>
      <c r="BH1227" s="510"/>
      <c r="BI1227" s="511"/>
      <c r="BJ1227" s="511"/>
      <c r="BK1227" s="511"/>
      <c r="BL1227" s="510"/>
      <c r="BM1227" s="510"/>
      <c r="BN1227" s="510"/>
      <c r="BO1227" s="510"/>
      <c r="BP1227" s="510"/>
      <c r="BQ1227" s="510"/>
      <c r="BR1227" s="510"/>
      <c r="BS1227" s="510"/>
      <c r="BT1227" s="513"/>
      <c r="BU1227" s="514"/>
      <c r="BV1227" s="512"/>
      <c r="BW1227" s="515"/>
    </row>
    <row r="1228" spans="2:75" ht="15.75" customHeight="1">
      <c r="B1228" s="250" t="s">
        <v>392</v>
      </c>
      <c r="C1228" s="251">
        <v>33701828000126</v>
      </c>
      <c r="D1228" s="252" t="s">
        <v>11</v>
      </c>
      <c r="E1228" s="252" t="s">
        <v>620</v>
      </c>
      <c r="F1228" s="252" t="s">
        <v>663</v>
      </c>
      <c r="G1228" s="253" t="s">
        <v>738</v>
      </c>
      <c r="H1228" s="253" t="s">
        <v>34</v>
      </c>
      <c r="I1228" s="253"/>
      <c r="J1228" s="253" t="s">
        <v>611</v>
      </c>
      <c r="K1228" s="254" t="s">
        <v>48</v>
      </c>
      <c r="L1228" s="255"/>
      <c r="M1228" s="255" t="s">
        <v>34</v>
      </c>
      <c r="N1228" s="254">
        <v>563341</v>
      </c>
      <c r="O1228" s="254" t="s">
        <v>1321</v>
      </c>
      <c r="P1228" s="258">
        <v>44172</v>
      </c>
      <c r="Q1228" s="259">
        <v>586876807.01999998</v>
      </c>
      <c r="R1228" s="259">
        <v>399593222.80880952</v>
      </c>
      <c r="S1228" s="254">
        <v>46</v>
      </c>
      <c r="T1228" s="256">
        <v>9.0869869716334817E-2</v>
      </c>
      <c r="U1228" s="256">
        <v>1.174692541928543</v>
      </c>
      <c r="V1228" s="256">
        <v>0.12962752843563985</v>
      </c>
      <c r="W1228" s="256">
        <v>1.2707832188110504</v>
      </c>
      <c r="X1228" s="256" t="s">
        <v>1417</v>
      </c>
      <c r="Y1228" s="256" t="s">
        <v>1417</v>
      </c>
      <c r="Z1228" s="256" t="s">
        <v>1417</v>
      </c>
      <c r="AA1228" s="256" t="s">
        <v>1417</v>
      </c>
      <c r="AB1228" s="256">
        <v>4.1570629786996036E-3</v>
      </c>
      <c r="AC1228" s="260">
        <v>5.9594879876352929</v>
      </c>
      <c r="AD1228" s="405">
        <v>0</v>
      </c>
      <c r="AE1228" s="257" t="s">
        <v>2289</v>
      </c>
      <c r="AF1228" s="257" t="s">
        <v>2289</v>
      </c>
      <c r="AG1228" s="261" t="s">
        <v>719</v>
      </c>
      <c r="AH1228" s="261" t="s">
        <v>2110</v>
      </c>
      <c r="AI1228" s="261" t="s">
        <v>1427</v>
      </c>
      <c r="AJ1228" s="261" t="s">
        <v>1427</v>
      </c>
      <c r="AK1228" s="261" t="s">
        <v>1427</v>
      </c>
      <c r="AL1228" s="256">
        <v>6.0000000000000001E-3</v>
      </c>
      <c r="AM1228" s="256">
        <v>0.2</v>
      </c>
      <c r="AN1228" s="256" t="s">
        <v>64</v>
      </c>
      <c r="AO1228" s="254" t="s">
        <v>1321</v>
      </c>
      <c r="AP1228" s="257" t="s">
        <v>11</v>
      </c>
      <c r="AQ1228" s="263" t="s">
        <v>675</v>
      </c>
      <c r="AR1228" s="256">
        <v>1.9997999999999999E-3</v>
      </c>
      <c r="AS1228" s="256">
        <v>1.9997999999999999E-3</v>
      </c>
      <c r="AT1228" s="256"/>
      <c r="AX1228" s="508"/>
      <c r="AY1228" s="509"/>
      <c r="AZ1228" s="509"/>
      <c r="BA1228" s="509"/>
      <c r="BB1228" s="510"/>
      <c r="BC1228" s="509"/>
      <c r="BD1228" s="509"/>
      <c r="BE1228" s="509"/>
      <c r="BF1228" s="509"/>
      <c r="BG1228" s="510"/>
      <c r="BH1228" s="510"/>
      <c r="BI1228" s="511"/>
      <c r="BJ1228" s="511"/>
      <c r="BK1228" s="511"/>
      <c r="BL1228" s="510"/>
      <c r="BM1228" s="510"/>
      <c r="BN1228" s="510"/>
      <c r="BO1228" s="510"/>
      <c r="BP1228" s="510"/>
      <c r="BQ1228" s="510"/>
      <c r="BR1228" s="510"/>
      <c r="BS1228" s="510"/>
      <c r="BT1228" s="513"/>
      <c r="BU1228" s="514"/>
      <c r="BV1228" s="512"/>
      <c r="BW1228" s="515"/>
    </row>
    <row r="1229" spans="2:75" ht="15.75" customHeight="1">
      <c r="B1229" s="250" t="s">
        <v>1684</v>
      </c>
      <c r="C1229" s="251">
        <v>27599239000186</v>
      </c>
      <c r="D1229" s="252" t="s">
        <v>11</v>
      </c>
      <c r="E1229" s="252" t="s">
        <v>621</v>
      </c>
      <c r="F1229" s="252" t="s">
        <v>692</v>
      </c>
      <c r="G1229" s="253" t="s">
        <v>738</v>
      </c>
      <c r="H1229" s="253" t="s">
        <v>34</v>
      </c>
      <c r="I1229" s="253"/>
      <c r="J1229" s="253" t="s">
        <v>608</v>
      </c>
      <c r="K1229" s="254" t="s">
        <v>48</v>
      </c>
      <c r="L1229" s="255"/>
      <c r="M1229" s="255"/>
      <c r="N1229" s="254">
        <v>443387</v>
      </c>
      <c r="O1229" s="254" t="s">
        <v>1321</v>
      </c>
      <c r="P1229" s="258">
        <v>42888</v>
      </c>
      <c r="Q1229" s="259">
        <v>10902889.029999999</v>
      </c>
      <c r="R1229" s="259">
        <v>14440917.302460326</v>
      </c>
      <c r="S1229" s="254">
        <v>46</v>
      </c>
      <c r="T1229" s="256">
        <v>7.3592975280228456E-2</v>
      </c>
      <c r="U1229" s="256">
        <v>0.82776742178442464</v>
      </c>
      <c r="V1229" s="256">
        <v>9.8556325556490521E-2</v>
      </c>
      <c r="W1229" s="256">
        <v>0.90452121812792641</v>
      </c>
      <c r="X1229" s="256">
        <v>0.18527381938205068</v>
      </c>
      <c r="Y1229" s="256">
        <v>1.3028066735450257</v>
      </c>
      <c r="Z1229" s="256">
        <v>0.19605797891453602</v>
      </c>
      <c r="AA1229" s="256">
        <v>1.0713713124960118</v>
      </c>
      <c r="AB1229" s="256">
        <v>2.1222057216937713E-2</v>
      </c>
      <c r="AC1229" s="260">
        <v>-0.43379070216339483</v>
      </c>
      <c r="AD1229" s="405">
        <v>24601713000179</v>
      </c>
      <c r="AE1229" s="257" t="s">
        <v>2183</v>
      </c>
      <c r="AF1229" s="257" t="s">
        <v>2118</v>
      </c>
      <c r="AG1229" s="261" t="s">
        <v>1433</v>
      </c>
      <c r="AH1229" s="261" t="s">
        <v>2113</v>
      </c>
      <c r="AI1229" s="261">
        <v>100</v>
      </c>
      <c r="AJ1229" s="261">
        <v>100</v>
      </c>
      <c r="AK1229" s="261">
        <v>100</v>
      </c>
      <c r="AL1229" s="256">
        <v>0.01</v>
      </c>
      <c r="AM1229" s="256">
        <v>0.2</v>
      </c>
      <c r="AN1229" s="256" t="s">
        <v>2141</v>
      </c>
      <c r="AO1229" s="254" t="s">
        <v>1324</v>
      </c>
      <c r="AP1229" s="257" t="s">
        <v>13</v>
      </c>
      <c r="AQ1229" s="263" t="s">
        <v>671</v>
      </c>
      <c r="AR1229" s="256" t="s">
        <v>34</v>
      </c>
      <c r="AS1229" s="256" t="s">
        <v>34</v>
      </c>
      <c r="AT1229" s="256"/>
      <c r="AX1229" s="508"/>
      <c r="AY1229" s="509"/>
      <c r="AZ1229" s="509"/>
      <c r="BA1229" s="509"/>
      <c r="BB1229" s="510"/>
      <c r="BC1229" s="509"/>
      <c r="BD1229" s="509"/>
      <c r="BE1229" s="509"/>
      <c r="BF1229" s="509"/>
      <c r="BG1229" s="510"/>
      <c r="BH1229" s="510"/>
      <c r="BI1229" s="511"/>
      <c r="BJ1229" s="511"/>
      <c r="BK1229" s="511"/>
      <c r="BL1229" s="510"/>
      <c r="BM1229" s="510"/>
      <c r="BN1229" s="510"/>
      <c r="BO1229" s="510"/>
      <c r="BP1229" s="510"/>
      <c r="BQ1229" s="510"/>
      <c r="BR1229" s="510"/>
      <c r="BS1229" s="510"/>
      <c r="BT1229" s="513"/>
      <c r="BU1229" s="514"/>
      <c r="BV1229" s="512"/>
      <c r="BW1229" s="515"/>
    </row>
    <row r="1230" spans="2:75" ht="15.75" customHeight="1">
      <c r="B1230" s="250" t="s">
        <v>1306</v>
      </c>
      <c r="C1230" s="251">
        <v>36352361000144</v>
      </c>
      <c r="D1230" s="252" t="s">
        <v>11</v>
      </c>
      <c r="E1230" s="252" t="s">
        <v>620</v>
      </c>
      <c r="F1230" s="252" t="s">
        <v>692</v>
      </c>
      <c r="G1230" s="253" t="s">
        <v>738</v>
      </c>
      <c r="H1230" s="253" t="s">
        <v>34</v>
      </c>
      <c r="I1230" s="253"/>
      <c r="J1230" s="253" t="s">
        <v>608</v>
      </c>
      <c r="K1230" s="254" t="s">
        <v>48</v>
      </c>
      <c r="L1230" s="255"/>
      <c r="M1230" s="255" t="s">
        <v>34</v>
      </c>
      <c r="N1230" s="254">
        <v>641812</v>
      </c>
      <c r="O1230" s="254" t="s">
        <v>1321</v>
      </c>
      <c r="P1230" s="258">
        <v>44641</v>
      </c>
      <c r="Q1230" s="259">
        <v>42223906.950000003</v>
      </c>
      <c r="R1230" s="259" t="s">
        <v>1417</v>
      </c>
      <c r="S1230" s="254">
        <v>46</v>
      </c>
      <c r="T1230" s="256" t="s">
        <v>1417</v>
      </c>
      <c r="U1230" s="256" t="s">
        <v>1417</v>
      </c>
      <c r="V1230" s="256" t="s">
        <v>1417</v>
      </c>
      <c r="W1230" s="256" t="s">
        <v>1417</v>
      </c>
      <c r="X1230" s="256" t="s">
        <v>1417</v>
      </c>
      <c r="Y1230" s="256" t="s">
        <v>1417</v>
      </c>
      <c r="Z1230" s="256" t="s">
        <v>1417</v>
      </c>
      <c r="AA1230" s="256" t="s">
        <v>1417</v>
      </c>
      <c r="AB1230" s="256" t="s">
        <v>1417</v>
      </c>
      <c r="AC1230" s="260" t="s">
        <v>1417</v>
      </c>
      <c r="AD1230" s="405">
        <v>30676315000114</v>
      </c>
      <c r="AE1230" s="257" t="s">
        <v>2398</v>
      </c>
      <c r="AF1230" s="257" t="s">
        <v>2118</v>
      </c>
      <c r="AG1230" s="261" t="s">
        <v>1433</v>
      </c>
      <c r="AH1230" s="261" t="s">
        <v>2113</v>
      </c>
      <c r="AI1230" s="261">
        <v>1000</v>
      </c>
      <c r="AJ1230" s="261">
        <v>100</v>
      </c>
      <c r="AK1230" s="261">
        <v>100</v>
      </c>
      <c r="AL1230" s="256">
        <v>8.0000000000000002E-3</v>
      </c>
      <c r="AM1230" s="256" t="s">
        <v>34</v>
      </c>
      <c r="AN1230" s="256" t="s">
        <v>64</v>
      </c>
      <c r="AO1230" s="254" t="s">
        <v>1324</v>
      </c>
      <c r="AP1230" s="257" t="s">
        <v>11</v>
      </c>
      <c r="AQ1230" s="263" t="s">
        <v>675</v>
      </c>
      <c r="AR1230" s="256">
        <v>1.5999999999999999E-3</v>
      </c>
      <c r="AS1230" s="256">
        <v>1.5999999999999999E-3</v>
      </c>
      <c r="AT1230" s="256"/>
      <c r="AX1230" s="508"/>
      <c r="AY1230" s="509"/>
      <c r="AZ1230" s="509"/>
      <c r="BA1230" s="509"/>
      <c r="BB1230" s="510"/>
      <c r="BC1230" s="509"/>
      <c r="BD1230" s="509"/>
      <c r="BE1230" s="509"/>
      <c r="BF1230" s="509"/>
      <c r="BG1230" s="510"/>
      <c r="BH1230" s="510"/>
      <c r="BI1230" s="511"/>
      <c r="BJ1230" s="511"/>
      <c r="BK1230" s="511"/>
      <c r="BL1230" s="510"/>
      <c r="BM1230" s="510"/>
      <c r="BN1230" s="510"/>
      <c r="BO1230" s="510"/>
      <c r="BP1230" s="510"/>
      <c r="BQ1230" s="510"/>
      <c r="BR1230" s="510"/>
      <c r="BS1230" s="510"/>
      <c r="BT1230" s="513"/>
      <c r="BU1230" s="514"/>
      <c r="BV1230" s="512"/>
      <c r="BW1230" s="515"/>
    </row>
    <row r="1231" spans="2:75" ht="15.75" customHeight="1">
      <c r="B1231" s="250" t="s">
        <v>1206</v>
      </c>
      <c r="C1231" s="251">
        <v>22759995000101</v>
      </c>
      <c r="D1231" s="252" t="s">
        <v>11</v>
      </c>
      <c r="E1231" s="252" t="s">
        <v>621</v>
      </c>
      <c r="F1231" s="252" t="s">
        <v>692</v>
      </c>
      <c r="G1231" s="253" t="s">
        <v>738</v>
      </c>
      <c r="H1231" s="253" t="s">
        <v>34</v>
      </c>
      <c r="I1231" s="253"/>
      <c r="J1231" s="253" t="s">
        <v>608</v>
      </c>
      <c r="K1231" s="254" t="s">
        <v>48</v>
      </c>
      <c r="L1231" s="255"/>
      <c r="M1231" s="255" t="s">
        <v>34</v>
      </c>
      <c r="N1231" s="254">
        <v>440779</v>
      </c>
      <c r="O1231" s="254" t="s">
        <v>1321</v>
      </c>
      <c r="P1231" s="258">
        <v>42865</v>
      </c>
      <c r="Q1231" s="259">
        <v>66000626.090000004</v>
      </c>
      <c r="R1231" s="259">
        <v>66566386.478888907</v>
      </c>
      <c r="S1231" s="254">
        <v>46</v>
      </c>
      <c r="T1231" s="256">
        <v>5.7540833652069301E-2</v>
      </c>
      <c r="U1231" s="256">
        <v>0.74384158751892904</v>
      </c>
      <c r="V1231" s="256">
        <v>9.456618459623245E-2</v>
      </c>
      <c r="W1231" s="256">
        <v>0.92706481333204072</v>
      </c>
      <c r="X1231" s="256">
        <v>0.18671126476395705</v>
      </c>
      <c r="Y1231" s="256">
        <v>1.4158654387761158</v>
      </c>
      <c r="Z1231" s="256">
        <v>0.24350502844929323</v>
      </c>
      <c r="AA1231" s="256">
        <v>1.3841615231778475</v>
      </c>
      <c r="AB1231" s="256">
        <v>3.2843743782381314E-2</v>
      </c>
      <c r="AC1231" s="260">
        <v>-0.19002803530919865</v>
      </c>
      <c r="AD1231" s="405">
        <v>0</v>
      </c>
      <c r="AE1231" s="257" t="s">
        <v>2289</v>
      </c>
      <c r="AF1231" s="257" t="s">
        <v>2289</v>
      </c>
      <c r="AG1231" s="261" t="s">
        <v>719</v>
      </c>
      <c r="AH1231" s="261" t="s">
        <v>2113</v>
      </c>
      <c r="AI1231" s="261">
        <v>1000</v>
      </c>
      <c r="AJ1231" s="261">
        <v>1000</v>
      </c>
      <c r="AK1231" s="261">
        <v>1000</v>
      </c>
      <c r="AL1231" s="256">
        <v>8.0000000000000002E-3</v>
      </c>
      <c r="AM1231" s="256" t="s">
        <v>34</v>
      </c>
      <c r="AN1231" s="256" t="s">
        <v>636</v>
      </c>
      <c r="AO1231" s="254" t="s">
        <v>1324</v>
      </c>
      <c r="AP1231" s="257" t="s">
        <v>11</v>
      </c>
      <c r="AQ1231" s="263" t="s">
        <v>675</v>
      </c>
      <c r="AR1231" s="256">
        <v>3.3600000000000001E-3</v>
      </c>
      <c r="AS1231" s="256">
        <v>3.3600000000000001E-3</v>
      </c>
      <c r="AT1231" s="256"/>
      <c r="AX1231" s="508"/>
      <c r="AY1231" s="509"/>
      <c r="AZ1231" s="509"/>
      <c r="BA1231" s="509"/>
      <c r="BB1231" s="510"/>
      <c r="BC1231" s="509"/>
      <c r="BD1231" s="509"/>
      <c r="BE1231" s="509"/>
      <c r="BF1231" s="509"/>
      <c r="BG1231" s="510"/>
      <c r="BH1231" s="510"/>
      <c r="BI1231" s="511"/>
      <c r="BJ1231" s="511"/>
      <c r="BK1231" s="511"/>
      <c r="BL1231" s="510"/>
      <c r="BM1231" s="510"/>
      <c r="BN1231" s="510"/>
      <c r="BO1231" s="510"/>
      <c r="BP1231" s="510"/>
      <c r="BQ1231" s="510"/>
      <c r="BR1231" s="510"/>
      <c r="BS1231" s="510"/>
      <c r="BT1231" s="513"/>
      <c r="BU1231" s="514"/>
      <c r="BV1231" s="512"/>
      <c r="BW1231" s="515"/>
    </row>
    <row r="1232" spans="2:75" ht="15.75" customHeight="1">
      <c r="B1232" s="250" t="s">
        <v>1239</v>
      </c>
      <c r="C1232" s="251">
        <v>28849591000195</v>
      </c>
      <c r="D1232" s="252" t="s">
        <v>11</v>
      </c>
      <c r="E1232" s="252" t="s">
        <v>621</v>
      </c>
      <c r="F1232" s="252" t="s">
        <v>692</v>
      </c>
      <c r="G1232" s="253" t="s">
        <v>738</v>
      </c>
      <c r="H1232" s="253" t="s">
        <v>34</v>
      </c>
      <c r="I1232" s="253"/>
      <c r="J1232" s="253" t="s">
        <v>608</v>
      </c>
      <c r="K1232" s="254" t="s">
        <v>48</v>
      </c>
      <c r="L1232" s="255"/>
      <c r="M1232" s="255" t="s">
        <v>34</v>
      </c>
      <c r="N1232" s="254">
        <v>453919</v>
      </c>
      <c r="O1232" s="254" t="s">
        <v>1321</v>
      </c>
      <c r="P1232" s="258">
        <v>43053</v>
      </c>
      <c r="Q1232" s="259">
        <v>6631707.3399999999</v>
      </c>
      <c r="R1232" s="259">
        <v>6502539.0018253997</v>
      </c>
      <c r="S1232" s="254">
        <v>46</v>
      </c>
      <c r="T1232" s="256">
        <v>6.639144718486234E-2</v>
      </c>
      <c r="U1232" s="256">
        <v>0.85825519613220169</v>
      </c>
      <c r="V1232" s="256">
        <v>9.6392191216870815E-2</v>
      </c>
      <c r="W1232" s="256">
        <v>0.94496578389707941</v>
      </c>
      <c r="X1232" s="256">
        <v>0.17240452960654307</v>
      </c>
      <c r="Y1232" s="256">
        <v>1.3073748671080696</v>
      </c>
      <c r="Z1232" s="256">
        <v>0.19109154264253148</v>
      </c>
      <c r="AA1232" s="256">
        <v>1.0862262780153222</v>
      </c>
      <c r="AB1232" s="256">
        <v>2.0418729139828104E-2</v>
      </c>
      <c r="AC1232" s="260">
        <v>-0.24011344174062915</v>
      </c>
      <c r="AD1232" s="405">
        <v>0</v>
      </c>
      <c r="AE1232" s="257" t="s">
        <v>2421</v>
      </c>
      <c r="AF1232" s="257" t="s">
        <v>736</v>
      </c>
      <c r="AG1232" s="261" t="s">
        <v>736</v>
      </c>
      <c r="AH1232" s="261" t="s">
        <v>2113</v>
      </c>
      <c r="AI1232" s="261">
        <v>100</v>
      </c>
      <c r="AJ1232" s="261">
        <v>100</v>
      </c>
      <c r="AK1232" s="261">
        <v>100</v>
      </c>
      <c r="AL1232" s="256">
        <v>1.1000000000000001E-2</v>
      </c>
      <c r="AM1232" s="256" t="s">
        <v>34</v>
      </c>
      <c r="AN1232" s="256" t="s">
        <v>64</v>
      </c>
      <c r="AO1232" s="254" t="s">
        <v>1324</v>
      </c>
      <c r="AP1232" s="257" t="s">
        <v>13</v>
      </c>
      <c r="AQ1232" s="263" t="s">
        <v>671</v>
      </c>
      <c r="AR1232" s="256">
        <v>2.9333333333333329E-3</v>
      </c>
      <c r="AS1232" s="256">
        <v>2.9333333333333329E-3</v>
      </c>
      <c r="AT1232" s="256"/>
      <c r="AX1232" s="508"/>
      <c r="AY1232" s="509"/>
      <c r="AZ1232" s="509"/>
      <c r="BA1232" s="509"/>
      <c r="BB1232" s="510"/>
      <c r="BC1232" s="509"/>
      <c r="BD1232" s="509"/>
      <c r="BE1232" s="509"/>
      <c r="BF1232" s="509"/>
      <c r="BG1232" s="510"/>
      <c r="BH1232" s="510"/>
      <c r="BI1232" s="511"/>
      <c r="BJ1232" s="511"/>
      <c r="BK1232" s="511"/>
      <c r="BL1232" s="510"/>
      <c r="BM1232" s="510"/>
      <c r="BN1232" s="510"/>
      <c r="BO1232" s="510"/>
      <c r="BP1232" s="510"/>
      <c r="BQ1232" s="510"/>
      <c r="BR1232" s="510"/>
      <c r="BS1232" s="510"/>
      <c r="BT1232" s="513"/>
      <c r="BU1232" s="514"/>
      <c r="BV1232" s="512"/>
      <c r="BW1232" s="515"/>
    </row>
    <row r="1233" spans="2:75" ht="15.75" customHeight="1">
      <c r="B1233" s="250" t="s">
        <v>534</v>
      </c>
      <c r="C1233" s="251">
        <v>32743384000129</v>
      </c>
      <c r="D1233" s="252" t="s">
        <v>13</v>
      </c>
      <c r="E1233" s="252" t="s">
        <v>615</v>
      </c>
      <c r="F1233" s="252" t="s">
        <v>619</v>
      </c>
      <c r="G1233" s="253" t="s">
        <v>34</v>
      </c>
      <c r="H1233" s="253" t="s">
        <v>865</v>
      </c>
      <c r="I1233" s="253" t="s">
        <v>34</v>
      </c>
      <c r="J1233" s="253"/>
      <c r="K1233" s="254" t="s">
        <v>48</v>
      </c>
      <c r="L1233" s="255"/>
      <c r="M1233" s="255" t="s">
        <v>1414</v>
      </c>
      <c r="N1233" s="254">
        <v>507865</v>
      </c>
      <c r="O1233" s="254" t="s">
        <v>1321</v>
      </c>
      <c r="P1233" s="258">
        <v>43738</v>
      </c>
      <c r="Q1233" s="259">
        <v>41763729.859999999</v>
      </c>
      <c r="R1233" s="259">
        <v>55311915.948531747</v>
      </c>
      <c r="S1233" s="254">
        <v>46</v>
      </c>
      <c r="T1233" s="256">
        <v>4.4159004271345337E-2</v>
      </c>
      <c r="U1233" s="256">
        <v>0.57085206723054516</v>
      </c>
      <c r="V1233" s="256">
        <v>3.1031711341810819E-2</v>
      </c>
      <c r="W1233" s="256">
        <v>0.30421453297816309</v>
      </c>
      <c r="X1233" s="256">
        <v>6.7333569574669738E-2</v>
      </c>
      <c r="Y1233" s="256">
        <v>0.51060268993799629</v>
      </c>
      <c r="Z1233" s="256" t="s">
        <v>1417</v>
      </c>
      <c r="AA1233" s="256" t="s">
        <v>1417</v>
      </c>
      <c r="AB1233" s="256">
        <v>5.4580021706091539E-2</v>
      </c>
      <c r="AC1233" s="260">
        <v>-1.1928413303928753</v>
      </c>
      <c r="AD1233" s="405">
        <v>0</v>
      </c>
      <c r="AE1233" s="257" t="s">
        <v>2179</v>
      </c>
      <c r="AF1233" s="257" t="s">
        <v>719</v>
      </c>
      <c r="AG1233" s="261" t="s">
        <v>719</v>
      </c>
      <c r="AH1233" s="261" t="s">
        <v>2110</v>
      </c>
      <c r="AI1233" s="261">
        <v>500</v>
      </c>
      <c r="AJ1233" s="261">
        <v>500</v>
      </c>
      <c r="AK1233" s="261">
        <v>500</v>
      </c>
      <c r="AL1233" s="256">
        <v>0.01</v>
      </c>
      <c r="AM1233" s="256" t="s">
        <v>34</v>
      </c>
      <c r="AN1233" s="256" t="s">
        <v>2122</v>
      </c>
      <c r="AO1233" s="254" t="s">
        <v>1324</v>
      </c>
      <c r="AP1233" s="257" t="s">
        <v>13</v>
      </c>
      <c r="AQ1233" s="263" t="s">
        <v>668</v>
      </c>
      <c r="AR1233" s="256">
        <v>2.6666666666666666E-3</v>
      </c>
      <c r="AS1233" s="256">
        <v>2.6666666666666666E-3</v>
      </c>
      <c r="AT1233" s="256"/>
      <c r="AX1233" s="508"/>
      <c r="AY1233" s="509"/>
      <c r="AZ1233" s="509"/>
      <c r="BA1233" s="509"/>
      <c r="BB1233" s="510"/>
      <c r="BC1233" s="509"/>
      <c r="BD1233" s="509"/>
      <c r="BE1233" s="509"/>
      <c r="BF1233" s="509"/>
      <c r="BG1233" s="510"/>
      <c r="BH1233" s="510"/>
      <c r="BI1233" s="511"/>
      <c r="BJ1233" s="511"/>
      <c r="BK1233" s="511"/>
      <c r="BL1233" s="510"/>
      <c r="BM1233" s="510"/>
      <c r="BN1233" s="510"/>
      <c r="BO1233" s="510"/>
      <c r="BP1233" s="510"/>
      <c r="BQ1233" s="510"/>
      <c r="BR1233" s="510"/>
      <c r="BS1233" s="510"/>
      <c r="BT1233" s="513"/>
      <c r="BU1233" s="514"/>
      <c r="BV1233" s="512"/>
      <c r="BW1233" s="515"/>
    </row>
    <row r="1234" spans="2:75" ht="15.75" customHeight="1">
      <c r="B1234" s="250" t="s">
        <v>1569</v>
      </c>
      <c r="C1234" s="251">
        <v>21595870000120</v>
      </c>
      <c r="D1234" s="252" t="s">
        <v>13</v>
      </c>
      <c r="E1234" s="252" t="s">
        <v>615</v>
      </c>
      <c r="F1234" s="252" t="s">
        <v>619</v>
      </c>
      <c r="G1234" s="253"/>
      <c r="H1234" s="253" t="s">
        <v>34</v>
      </c>
      <c r="I1234" s="253"/>
      <c r="J1234" s="253" t="s">
        <v>611</v>
      </c>
      <c r="K1234" s="254" t="s">
        <v>48</v>
      </c>
      <c r="L1234" s="255"/>
      <c r="M1234" s="255"/>
      <c r="N1234" s="254">
        <v>392111</v>
      </c>
      <c r="O1234" s="254" t="s">
        <v>1321</v>
      </c>
      <c r="P1234" s="258">
        <v>42095</v>
      </c>
      <c r="Q1234" s="259">
        <v>20720148.969999999</v>
      </c>
      <c r="R1234" s="259">
        <v>21525764.671388894</v>
      </c>
      <c r="S1234" s="254">
        <v>46</v>
      </c>
      <c r="T1234" s="256">
        <v>7.2636912079146132E-2</v>
      </c>
      <c r="U1234" s="256">
        <v>0.8170137055770097</v>
      </c>
      <c r="V1234" s="256">
        <v>8.3699945664308162E-2</v>
      </c>
      <c r="W1234" s="256">
        <v>0.76817369541772074</v>
      </c>
      <c r="X1234" s="256">
        <v>0.10800345514498466</v>
      </c>
      <c r="Y1234" s="256">
        <v>0.75945766432684991</v>
      </c>
      <c r="Z1234" s="256">
        <v>0.2256921410895989</v>
      </c>
      <c r="AA1234" s="256">
        <v>1.2333090790689123</v>
      </c>
      <c r="AB1234" s="256">
        <v>5.5330531766148744E-2</v>
      </c>
      <c r="AC1234" s="260">
        <v>-0.38904079989486196</v>
      </c>
      <c r="AD1234" s="405">
        <v>21862646000158</v>
      </c>
      <c r="AE1234" s="257" t="s">
        <v>1547</v>
      </c>
      <c r="AF1234" s="257" t="s">
        <v>2121</v>
      </c>
      <c r="AG1234" s="261" t="s">
        <v>1547</v>
      </c>
      <c r="AH1234" s="261" t="s">
        <v>726</v>
      </c>
      <c r="AI1234" s="261">
        <v>500000</v>
      </c>
      <c r="AJ1234" s="261">
        <v>100000</v>
      </c>
      <c r="AK1234" s="261">
        <v>500000</v>
      </c>
      <c r="AL1234" s="256">
        <v>0</v>
      </c>
      <c r="AM1234" s="256" t="s">
        <v>34</v>
      </c>
      <c r="AN1234" s="256" t="s">
        <v>64</v>
      </c>
      <c r="AO1234" s="254" t="s">
        <v>1324</v>
      </c>
      <c r="AP1234" s="257" t="s">
        <v>13</v>
      </c>
      <c r="AQ1234" s="263" t="s">
        <v>679</v>
      </c>
      <c r="AR1234" s="256" t="s">
        <v>34</v>
      </c>
      <c r="AS1234" s="256" t="s">
        <v>34</v>
      </c>
      <c r="AT1234" s="256"/>
      <c r="AX1234" s="508"/>
      <c r="AY1234" s="509"/>
      <c r="AZ1234" s="509"/>
      <c r="BA1234" s="509"/>
      <c r="BB1234" s="510"/>
      <c r="BC1234" s="509"/>
      <c r="BD1234" s="509"/>
      <c r="BE1234" s="509"/>
      <c r="BF1234" s="509"/>
      <c r="BG1234" s="510"/>
      <c r="BH1234" s="510"/>
      <c r="BI1234" s="511"/>
      <c r="BJ1234" s="511"/>
      <c r="BK1234" s="511"/>
      <c r="BL1234" s="510"/>
      <c r="BM1234" s="510"/>
      <c r="BN1234" s="510"/>
      <c r="BO1234" s="510"/>
      <c r="BP1234" s="510"/>
      <c r="BQ1234" s="510"/>
      <c r="BR1234" s="510"/>
      <c r="BS1234" s="510"/>
      <c r="BT1234" s="513"/>
      <c r="BU1234" s="514"/>
      <c r="BV1234" s="512"/>
      <c r="BW1234" s="515"/>
    </row>
    <row r="1235" spans="2:75" ht="15.75" customHeight="1">
      <c r="B1235" s="250" t="s">
        <v>1597</v>
      </c>
      <c r="C1235" s="251">
        <v>39992349000192</v>
      </c>
      <c r="D1235" s="252" t="s">
        <v>14</v>
      </c>
      <c r="E1235" s="252" t="s">
        <v>607</v>
      </c>
      <c r="F1235" s="252"/>
      <c r="G1235" s="253"/>
      <c r="H1235" s="253" t="s">
        <v>34</v>
      </c>
      <c r="I1235" s="253" t="s">
        <v>34</v>
      </c>
      <c r="J1235" s="253" t="s">
        <v>608</v>
      </c>
      <c r="K1235" s="254" t="s">
        <v>48</v>
      </c>
      <c r="L1235" s="255"/>
      <c r="M1235" s="255"/>
      <c r="N1235" s="254">
        <v>567876</v>
      </c>
      <c r="O1235" s="254" t="s">
        <v>1321</v>
      </c>
      <c r="P1235" s="258">
        <v>44193</v>
      </c>
      <c r="Q1235" s="259">
        <v>71679886.040000007</v>
      </c>
      <c r="R1235" s="259">
        <v>99811188.182063445</v>
      </c>
      <c r="S1235" s="254">
        <v>47</v>
      </c>
      <c r="T1235" s="256">
        <v>-0.10644250702417157</v>
      </c>
      <c r="U1235" s="256">
        <v>-1.1972561140810489</v>
      </c>
      <c r="V1235" s="256">
        <v>-0.27651878361697835</v>
      </c>
      <c r="W1235" s="256">
        <v>-2.5378087665120956</v>
      </c>
      <c r="X1235" s="256" t="s">
        <v>1417</v>
      </c>
      <c r="Y1235" s="256" t="s">
        <v>1417</v>
      </c>
      <c r="Z1235" s="256" t="s">
        <v>1417</v>
      </c>
      <c r="AA1235" s="256" t="s">
        <v>1417</v>
      </c>
      <c r="AB1235" s="256">
        <v>0.31886384511291449</v>
      </c>
      <c r="AC1235" s="260">
        <v>-1.1792316963348048</v>
      </c>
      <c r="AD1235" s="405">
        <v>40040288000142</v>
      </c>
      <c r="AE1235" s="257" t="s">
        <v>2277</v>
      </c>
      <c r="AF1235" s="257" t="s">
        <v>2109</v>
      </c>
      <c r="AG1235" s="261" t="s">
        <v>1432</v>
      </c>
      <c r="AH1235" s="261" t="s">
        <v>2113</v>
      </c>
      <c r="AI1235" s="261">
        <v>5000</v>
      </c>
      <c r="AJ1235" s="261">
        <v>1000</v>
      </c>
      <c r="AK1235" s="261">
        <v>1000</v>
      </c>
      <c r="AL1235" s="256">
        <v>1.4999999999999999E-2</v>
      </c>
      <c r="AM1235" s="256">
        <v>0.2</v>
      </c>
      <c r="AN1235" s="256" t="s">
        <v>34</v>
      </c>
      <c r="AO1235" s="254" t="s">
        <v>1324</v>
      </c>
      <c r="AP1235" s="257" t="s">
        <v>716</v>
      </c>
      <c r="AQ1235" s="263" t="s">
        <v>659</v>
      </c>
      <c r="AR1235" s="256" t="s">
        <v>34</v>
      </c>
      <c r="AS1235" s="256" t="s">
        <v>34</v>
      </c>
      <c r="AT1235" s="256"/>
      <c r="AX1235" s="508"/>
      <c r="AY1235" s="509"/>
      <c r="AZ1235" s="509"/>
      <c r="BA1235" s="509"/>
      <c r="BB1235" s="510"/>
      <c r="BC1235" s="509"/>
      <c r="BD1235" s="509"/>
      <c r="BE1235" s="509"/>
      <c r="BF1235" s="509"/>
      <c r="BG1235" s="510"/>
      <c r="BH1235" s="510"/>
      <c r="BI1235" s="511"/>
      <c r="BJ1235" s="511"/>
      <c r="BK1235" s="511"/>
      <c r="BL1235" s="510"/>
      <c r="BM1235" s="510"/>
      <c r="BN1235" s="510"/>
      <c r="BO1235" s="510"/>
      <c r="BP1235" s="510"/>
      <c r="BQ1235" s="510"/>
      <c r="BR1235" s="510"/>
      <c r="BS1235" s="510"/>
      <c r="BT1235" s="513"/>
      <c r="BU1235" s="514"/>
      <c r="BV1235" s="512"/>
      <c r="BW1235" s="515"/>
    </row>
    <row r="1236" spans="2:75" ht="15.75" customHeight="1">
      <c r="B1236" s="250" t="s">
        <v>1584</v>
      </c>
      <c r="C1236" s="251">
        <v>18197429000186</v>
      </c>
      <c r="D1236" s="252" t="s">
        <v>13</v>
      </c>
      <c r="E1236" s="252" t="s">
        <v>615</v>
      </c>
      <c r="F1236" s="252" t="s">
        <v>619</v>
      </c>
      <c r="G1236" s="253"/>
      <c r="H1236" s="253" t="s">
        <v>34</v>
      </c>
      <c r="I1236" s="253"/>
      <c r="J1236" s="253" t="s">
        <v>611</v>
      </c>
      <c r="K1236" s="254" t="s">
        <v>48</v>
      </c>
      <c r="L1236" s="255"/>
      <c r="M1236" s="255"/>
      <c r="N1236" s="254">
        <v>343889</v>
      </c>
      <c r="O1236" s="254" t="s">
        <v>1321</v>
      </c>
      <c r="P1236" s="258">
        <v>41494</v>
      </c>
      <c r="Q1236" s="259">
        <v>11588609.17</v>
      </c>
      <c r="R1236" s="259">
        <v>16017374.352976184</v>
      </c>
      <c r="S1236" s="254">
        <v>48</v>
      </c>
      <c r="T1236" s="256">
        <v>3.2320205885854048E-3</v>
      </c>
      <c r="U1236" s="256">
        <v>3.6353488081983874E-2</v>
      </c>
      <c r="V1236" s="256">
        <v>2.3341736631513843E-2</v>
      </c>
      <c r="W1236" s="256">
        <v>0.21422365263664925</v>
      </c>
      <c r="X1236" s="256">
        <v>3.0137627659444055E-2</v>
      </c>
      <c r="Y1236" s="256">
        <v>0.21192148232543381</v>
      </c>
      <c r="Z1236" s="256">
        <v>0.51527160275960271</v>
      </c>
      <c r="AA1236" s="256">
        <v>2.8157344903627872</v>
      </c>
      <c r="AB1236" s="256">
        <v>0.16358944455556054</v>
      </c>
      <c r="AC1236" s="260">
        <v>-0.40999441813783993</v>
      </c>
      <c r="AD1236" s="405">
        <v>15212548000172</v>
      </c>
      <c r="AE1236" s="257" t="s">
        <v>2219</v>
      </c>
      <c r="AF1236" s="257" t="s">
        <v>2121</v>
      </c>
      <c r="AG1236" s="261" t="s">
        <v>59</v>
      </c>
      <c r="AH1236" s="261" t="s">
        <v>726</v>
      </c>
      <c r="AI1236" s="261">
        <v>500000</v>
      </c>
      <c r="AJ1236" s="261">
        <v>100000</v>
      </c>
      <c r="AK1236" s="261">
        <v>500000</v>
      </c>
      <c r="AL1236" s="256">
        <v>0</v>
      </c>
      <c r="AM1236" s="256" t="s">
        <v>34</v>
      </c>
      <c r="AN1236" s="256" t="s">
        <v>2122</v>
      </c>
      <c r="AO1236" s="254" t="s">
        <v>1324</v>
      </c>
      <c r="AP1236" s="257" t="s">
        <v>13</v>
      </c>
      <c r="AQ1236" s="263" t="s">
        <v>679</v>
      </c>
      <c r="AR1236" s="256" t="s">
        <v>34</v>
      </c>
      <c r="AS1236" s="256" t="s">
        <v>34</v>
      </c>
      <c r="AT1236" s="256"/>
      <c r="AX1236" s="508"/>
      <c r="AY1236" s="509"/>
      <c r="AZ1236" s="509"/>
      <c r="BA1236" s="509"/>
      <c r="BB1236" s="510"/>
      <c r="BC1236" s="509"/>
      <c r="BD1236" s="509"/>
      <c r="BE1236" s="509"/>
      <c r="BF1236" s="509"/>
      <c r="BG1236" s="510"/>
      <c r="BH1236" s="510"/>
      <c r="BI1236" s="511"/>
      <c r="BJ1236" s="511"/>
      <c r="BK1236" s="511"/>
      <c r="BL1236" s="510"/>
      <c r="BM1236" s="510"/>
      <c r="BN1236" s="510"/>
      <c r="BO1236" s="510"/>
      <c r="BP1236" s="510"/>
      <c r="BQ1236" s="510"/>
      <c r="BR1236" s="510"/>
      <c r="BS1236" s="510"/>
      <c r="BT1236" s="513"/>
      <c r="BU1236" s="514"/>
      <c r="BV1236" s="512"/>
      <c r="BW1236" s="515"/>
    </row>
    <row r="1237" spans="2:75" ht="15.75" customHeight="1">
      <c r="B1237" s="250" t="s">
        <v>1707</v>
      </c>
      <c r="C1237" s="251">
        <v>18239849000188</v>
      </c>
      <c r="D1237" s="252" t="s">
        <v>13</v>
      </c>
      <c r="E1237" s="252" t="s">
        <v>616</v>
      </c>
      <c r="F1237" s="252" t="s">
        <v>619</v>
      </c>
      <c r="G1237" s="253" t="s">
        <v>34</v>
      </c>
      <c r="H1237" s="253" t="s">
        <v>1338</v>
      </c>
      <c r="I1237" s="253" t="s">
        <v>34</v>
      </c>
      <c r="J1237" s="253" t="s">
        <v>611</v>
      </c>
      <c r="K1237" s="254" t="s">
        <v>48</v>
      </c>
      <c r="L1237" s="255"/>
      <c r="M1237" s="255"/>
      <c r="N1237" s="254">
        <v>342319</v>
      </c>
      <c r="O1237" s="254" t="s">
        <v>1324</v>
      </c>
      <c r="P1237" s="258">
        <v>41470</v>
      </c>
      <c r="Q1237" s="259" t="s">
        <v>1393</v>
      </c>
      <c r="R1237" s="259" t="s">
        <v>1417</v>
      </c>
      <c r="S1237" s="254">
        <v>48</v>
      </c>
      <c r="T1237" s="256" t="s">
        <v>1417</v>
      </c>
      <c r="U1237" s="256" t="s">
        <v>1417</v>
      </c>
      <c r="V1237" s="256" t="s">
        <v>1417</v>
      </c>
      <c r="W1237" s="256" t="s">
        <v>1417</v>
      </c>
      <c r="X1237" s="256" t="s">
        <v>1417</v>
      </c>
      <c r="Y1237" s="256" t="s">
        <v>1417</v>
      </c>
      <c r="Z1237" s="256" t="s">
        <v>1417</v>
      </c>
      <c r="AA1237" s="256" t="s">
        <v>1417</v>
      </c>
      <c r="AB1237" s="256" t="s">
        <v>1417</v>
      </c>
      <c r="AC1237" s="260" t="s">
        <v>1417</v>
      </c>
      <c r="AD1237" s="405">
        <v>22188059000198</v>
      </c>
      <c r="AE1237" s="257" t="s">
        <v>2219</v>
      </c>
      <c r="AF1237" s="257" t="s">
        <v>2112</v>
      </c>
      <c r="AG1237" s="261" t="s">
        <v>59</v>
      </c>
      <c r="AH1237" s="261" t="s">
        <v>726</v>
      </c>
      <c r="AI1237" s="261">
        <v>1000000</v>
      </c>
      <c r="AJ1237" s="261">
        <v>100000</v>
      </c>
      <c r="AK1237" s="261">
        <v>1000000</v>
      </c>
      <c r="AL1237" s="256">
        <v>0</v>
      </c>
      <c r="AM1237" s="256" t="s">
        <v>34</v>
      </c>
      <c r="AN1237" s="256" t="s">
        <v>64</v>
      </c>
      <c r="AO1237" s="254" t="s">
        <v>1324</v>
      </c>
      <c r="AP1237" s="257" t="s">
        <v>13</v>
      </c>
      <c r="AQ1237" s="263" t="s">
        <v>679</v>
      </c>
      <c r="AR1237" s="256" t="s">
        <v>34</v>
      </c>
      <c r="AS1237" s="256" t="s">
        <v>34</v>
      </c>
      <c r="AT1237" s="256"/>
      <c r="AX1237" s="508"/>
      <c r="AY1237" s="509"/>
      <c r="AZ1237" s="509"/>
      <c r="BA1237" s="509"/>
      <c r="BB1237" s="510"/>
      <c r="BC1237" s="509"/>
      <c r="BD1237" s="509"/>
      <c r="BE1237" s="509"/>
      <c r="BF1237" s="509"/>
      <c r="BG1237" s="510"/>
      <c r="BH1237" s="510"/>
      <c r="BI1237" s="511"/>
      <c r="BJ1237" s="511"/>
      <c r="BK1237" s="511"/>
      <c r="BL1237" s="510"/>
      <c r="BM1237" s="510"/>
      <c r="BN1237" s="510"/>
      <c r="BO1237" s="510"/>
      <c r="BP1237" s="510"/>
      <c r="BQ1237" s="510"/>
      <c r="BR1237" s="510"/>
      <c r="BS1237" s="510"/>
      <c r="BT1237" s="513"/>
      <c r="BU1237" s="514"/>
      <c r="BV1237" s="512"/>
      <c r="BW1237" s="515"/>
    </row>
    <row r="1238" spans="2:75" ht="15.75" customHeight="1">
      <c r="B1238" s="250" t="s">
        <v>1247</v>
      </c>
      <c r="C1238" s="251">
        <v>18679873000138</v>
      </c>
      <c r="D1238" s="252" t="s">
        <v>13</v>
      </c>
      <c r="E1238" s="252" t="s">
        <v>616</v>
      </c>
      <c r="F1238" s="252" t="s">
        <v>619</v>
      </c>
      <c r="G1238" s="253" t="s">
        <v>34</v>
      </c>
      <c r="H1238" s="253" t="s">
        <v>1338</v>
      </c>
      <c r="I1238" s="253" t="s">
        <v>34</v>
      </c>
      <c r="J1238" s="253" t="s">
        <v>611</v>
      </c>
      <c r="K1238" s="254" t="s">
        <v>48</v>
      </c>
      <c r="L1238" s="255"/>
      <c r="M1238" s="255" t="s">
        <v>1414</v>
      </c>
      <c r="N1238" s="254">
        <v>357308</v>
      </c>
      <c r="O1238" s="254" t="s">
        <v>1321</v>
      </c>
      <c r="P1238" s="258">
        <v>41607</v>
      </c>
      <c r="Q1238" s="259">
        <v>11292521.51</v>
      </c>
      <c r="R1238" s="259">
        <v>16211731.154285714</v>
      </c>
      <c r="S1238" s="254">
        <v>48</v>
      </c>
      <c r="T1238" s="256">
        <v>-3.5237002928112382E-4</v>
      </c>
      <c r="U1238" s="256">
        <v>-4.5551561445814513E-3</v>
      </c>
      <c r="V1238" s="256">
        <v>7.0054586427387378E-2</v>
      </c>
      <c r="W1238" s="256">
        <v>0.68676919098147293</v>
      </c>
      <c r="X1238" s="256">
        <v>6.166650443876609E-2</v>
      </c>
      <c r="Y1238" s="256">
        <v>0.46762830553026996</v>
      </c>
      <c r="Z1238" s="256">
        <v>0.49593988529321886</v>
      </c>
      <c r="AA1238" s="256">
        <v>2.8190830858963367</v>
      </c>
      <c r="AB1238" s="256">
        <v>0.15921744435591115</v>
      </c>
      <c r="AC1238" s="260">
        <v>-0.10570167150168927</v>
      </c>
      <c r="AD1238" s="405">
        <v>22187896000100</v>
      </c>
      <c r="AE1238" s="257" t="s">
        <v>2219</v>
      </c>
      <c r="AF1238" s="257" t="s">
        <v>2112</v>
      </c>
      <c r="AG1238" s="261" t="s">
        <v>59</v>
      </c>
      <c r="AH1238" s="261" t="s">
        <v>2210</v>
      </c>
      <c r="AI1238" s="261">
        <v>500000</v>
      </c>
      <c r="AJ1238" s="261">
        <v>100000</v>
      </c>
      <c r="AK1238" s="261">
        <v>500000</v>
      </c>
      <c r="AL1238" s="256">
        <v>0</v>
      </c>
      <c r="AM1238" s="256" t="s">
        <v>34</v>
      </c>
      <c r="AN1238" s="256" t="s">
        <v>64</v>
      </c>
      <c r="AO1238" s="254" t="s">
        <v>1324</v>
      </c>
      <c r="AP1238" s="257" t="s">
        <v>13</v>
      </c>
      <c r="AQ1238" s="263" t="s">
        <v>679</v>
      </c>
      <c r="AR1238" s="256">
        <v>2.6666666666666666E-3</v>
      </c>
      <c r="AS1238" s="256">
        <v>2.6666666666666666E-3</v>
      </c>
      <c r="AT1238" s="256"/>
      <c r="AX1238" s="508"/>
      <c r="AY1238" s="509"/>
      <c r="AZ1238" s="509"/>
      <c r="BA1238" s="509"/>
      <c r="BB1238" s="510"/>
      <c r="BC1238" s="509"/>
      <c r="BD1238" s="509"/>
      <c r="BE1238" s="509"/>
      <c r="BF1238" s="509"/>
      <c r="BG1238" s="510"/>
      <c r="BH1238" s="510"/>
      <c r="BI1238" s="511"/>
      <c r="BJ1238" s="511"/>
      <c r="BK1238" s="511"/>
      <c r="BL1238" s="510"/>
      <c r="BM1238" s="510"/>
      <c r="BN1238" s="510"/>
      <c r="BO1238" s="510"/>
      <c r="BP1238" s="510"/>
      <c r="BQ1238" s="510"/>
      <c r="BR1238" s="510"/>
      <c r="BS1238" s="510"/>
      <c r="BT1238" s="513"/>
      <c r="BU1238" s="514"/>
      <c r="BV1238" s="512"/>
      <c r="BW1238" s="515"/>
    </row>
    <row r="1239" spans="2:75" ht="15.75" customHeight="1">
      <c r="B1239" s="250" t="s">
        <v>584</v>
      </c>
      <c r="C1239" s="251">
        <v>11145210000194</v>
      </c>
      <c r="D1239" s="252" t="s">
        <v>14</v>
      </c>
      <c r="E1239" s="252" t="s">
        <v>607</v>
      </c>
      <c r="F1239" s="252"/>
      <c r="G1239" s="253"/>
      <c r="H1239" s="253" t="s">
        <v>34</v>
      </c>
      <c r="I1239" s="253" t="s">
        <v>34</v>
      </c>
      <c r="J1239" s="253" t="s">
        <v>611</v>
      </c>
      <c r="K1239" s="254"/>
      <c r="L1239" s="255"/>
      <c r="M1239" s="255" t="s">
        <v>34</v>
      </c>
      <c r="N1239" s="254">
        <v>235911</v>
      </c>
      <c r="O1239" s="254" t="s">
        <v>1321</v>
      </c>
      <c r="P1239" s="258">
        <v>40085</v>
      </c>
      <c r="Q1239" s="259">
        <v>10981864.710000001</v>
      </c>
      <c r="R1239" s="259">
        <v>13775608.597539684</v>
      </c>
      <c r="S1239" s="254">
        <v>50</v>
      </c>
      <c r="T1239" s="256">
        <v>-0.20166146812842656</v>
      </c>
      <c r="U1239" s="256">
        <v>-2.6069171590573958</v>
      </c>
      <c r="V1239" s="256">
        <v>-0.17251722455941532</v>
      </c>
      <c r="W1239" s="256">
        <v>-1.6912456526146868</v>
      </c>
      <c r="X1239" s="256">
        <v>-1.8722929161201218E-3</v>
      </c>
      <c r="Y1239" s="256">
        <v>-1.41979373046996E-2</v>
      </c>
      <c r="Z1239" s="256">
        <v>0.39419217778532922</v>
      </c>
      <c r="AA1239" s="256">
        <v>2.2407161310089889</v>
      </c>
      <c r="AB1239" s="256">
        <v>0.18881150978887676</v>
      </c>
      <c r="AC1239" s="260">
        <v>-1.4230115343211611</v>
      </c>
      <c r="AD1239" s="405">
        <v>0</v>
      </c>
      <c r="AE1239" s="257" t="s">
        <v>2339</v>
      </c>
      <c r="AF1239" s="257" t="s">
        <v>2118</v>
      </c>
      <c r="AG1239" s="261" t="s">
        <v>1433</v>
      </c>
      <c r="AH1239" s="261" t="s">
        <v>2110</v>
      </c>
      <c r="AI1239" s="261">
        <v>100000</v>
      </c>
      <c r="AJ1239" s="261">
        <v>20000</v>
      </c>
      <c r="AK1239" s="261">
        <v>100000</v>
      </c>
      <c r="AL1239" s="256">
        <v>1.6E-2</v>
      </c>
      <c r="AM1239" s="256">
        <v>0.15</v>
      </c>
      <c r="AN1239" s="256" t="s">
        <v>2127</v>
      </c>
      <c r="AO1239" s="254" t="s">
        <v>1324</v>
      </c>
      <c r="AP1239" s="257" t="s">
        <v>716</v>
      </c>
      <c r="AQ1239" s="263" t="s">
        <v>687</v>
      </c>
      <c r="AR1239" s="256">
        <v>4.2671999999999996E-3</v>
      </c>
      <c r="AS1239" s="256">
        <v>4.2671999999999996E-3</v>
      </c>
      <c r="AT1239" s="256"/>
      <c r="AX1239" s="508"/>
      <c r="AY1239" s="509"/>
      <c r="AZ1239" s="509"/>
      <c r="BA1239" s="509"/>
      <c r="BB1239" s="510"/>
      <c r="BC1239" s="509"/>
      <c r="BD1239" s="509"/>
      <c r="BE1239" s="509"/>
      <c r="BF1239" s="509"/>
      <c r="BG1239" s="510"/>
      <c r="BH1239" s="510"/>
      <c r="BI1239" s="511"/>
      <c r="BJ1239" s="511"/>
      <c r="BK1239" s="511"/>
      <c r="BL1239" s="510"/>
      <c r="BM1239" s="510"/>
      <c r="BN1239" s="510"/>
      <c r="BO1239" s="510"/>
      <c r="BP1239" s="510"/>
      <c r="BQ1239" s="510"/>
      <c r="BR1239" s="510"/>
      <c r="BS1239" s="510"/>
      <c r="BT1239" s="513"/>
      <c r="BU1239" s="514"/>
      <c r="BV1239" s="512"/>
      <c r="BW1239" s="515"/>
    </row>
    <row r="1240" spans="2:75" ht="15.75" customHeight="1">
      <c r="B1240" s="250" t="s">
        <v>570</v>
      </c>
      <c r="C1240" s="251">
        <v>19496576000110</v>
      </c>
      <c r="D1240" s="252" t="s">
        <v>14</v>
      </c>
      <c r="E1240" s="252" t="s">
        <v>614</v>
      </c>
      <c r="F1240" s="252"/>
      <c r="G1240" s="253"/>
      <c r="H1240" s="253" t="s">
        <v>865</v>
      </c>
      <c r="I1240" s="253" t="s">
        <v>34</v>
      </c>
      <c r="J1240" s="253" t="s">
        <v>608</v>
      </c>
      <c r="K1240" s="254" t="s">
        <v>48</v>
      </c>
      <c r="L1240" s="255"/>
      <c r="M1240" s="255" t="s">
        <v>1414</v>
      </c>
      <c r="N1240" s="254">
        <v>375756</v>
      </c>
      <c r="O1240" s="254" t="s">
        <v>1321</v>
      </c>
      <c r="P1240" s="258">
        <v>41705</v>
      </c>
      <c r="Q1240" s="259">
        <v>190520779.27000001</v>
      </c>
      <c r="R1240" s="259">
        <v>217975140.24440476</v>
      </c>
      <c r="S1240" s="254">
        <v>51</v>
      </c>
      <c r="T1240" s="256">
        <v>5.8407557884210703E-2</v>
      </c>
      <c r="U1240" s="256">
        <v>0.75504590083624223</v>
      </c>
      <c r="V1240" s="256">
        <v>-2.2763571860069609E-2</v>
      </c>
      <c r="W1240" s="256">
        <v>-0.22315911958730636</v>
      </c>
      <c r="X1240" s="256">
        <v>8.4096283021078078E-2</v>
      </c>
      <c r="Y1240" s="256">
        <v>0.63771739112585313</v>
      </c>
      <c r="Z1240" s="256">
        <v>0.14917148335829467</v>
      </c>
      <c r="AA1240" s="256">
        <v>0.84793907105254018</v>
      </c>
      <c r="AB1240" s="256">
        <v>0.17060623148572948</v>
      </c>
      <c r="AC1240" s="260">
        <v>-0.61939437125081864</v>
      </c>
      <c r="AD1240" s="405">
        <v>19418024000193</v>
      </c>
      <c r="AE1240" s="257" t="s">
        <v>2345</v>
      </c>
      <c r="AF1240" s="257" t="s">
        <v>2118</v>
      </c>
      <c r="AG1240" s="261" t="s">
        <v>1433</v>
      </c>
      <c r="AH1240" s="261" t="s">
        <v>2113</v>
      </c>
      <c r="AI1240" s="261">
        <v>50000</v>
      </c>
      <c r="AJ1240" s="261">
        <v>10000</v>
      </c>
      <c r="AK1240" s="261">
        <v>10000</v>
      </c>
      <c r="AL1240" s="256">
        <v>0.02</v>
      </c>
      <c r="AM1240" s="256">
        <v>0.15</v>
      </c>
      <c r="AN1240" s="256" t="s">
        <v>34</v>
      </c>
      <c r="AO1240" s="254" t="s">
        <v>1324</v>
      </c>
      <c r="AP1240" s="257" t="s">
        <v>13</v>
      </c>
      <c r="AQ1240" s="263" t="s">
        <v>668</v>
      </c>
      <c r="AR1240" s="256">
        <v>3.3333333333333331E-3</v>
      </c>
      <c r="AS1240" s="256">
        <v>3.3333333333333331E-3</v>
      </c>
      <c r="AT1240" s="256"/>
      <c r="AX1240" s="508"/>
      <c r="AY1240" s="509"/>
      <c r="AZ1240" s="509"/>
      <c r="BA1240" s="509"/>
      <c r="BB1240" s="510"/>
      <c r="BC1240" s="509"/>
      <c r="BD1240" s="509"/>
      <c r="BE1240" s="509"/>
      <c r="BF1240" s="509"/>
      <c r="BG1240" s="510"/>
      <c r="BH1240" s="510"/>
      <c r="BI1240" s="511"/>
      <c r="BJ1240" s="511"/>
      <c r="BK1240" s="511"/>
      <c r="BL1240" s="510"/>
      <c r="BM1240" s="510"/>
      <c r="BN1240" s="510"/>
      <c r="BO1240" s="510"/>
      <c r="BP1240" s="510"/>
      <c r="BQ1240" s="510"/>
      <c r="BR1240" s="510"/>
      <c r="BS1240" s="510"/>
      <c r="BT1240" s="513"/>
      <c r="BU1240" s="514"/>
      <c r="BV1240" s="512"/>
      <c r="BW1240" s="515"/>
    </row>
    <row r="1241" spans="2:75" ht="15.75" customHeight="1">
      <c r="B1241" s="250" t="s">
        <v>1657</v>
      </c>
      <c r="C1241" s="251">
        <v>32669614000157</v>
      </c>
      <c r="D1241" s="252" t="s">
        <v>14</v>
      </c>
      <c r="E1241" s="252" t="s">
        <v>614</v>
      </c>
      <c r="F1241" s="252"/>
      <c r="G1241" s="253"/>
      <c r="H1241" s="253" t="s">
        <v>865</v>
      </c>
      <c r="I1241" s="253" t="s">
        <v>34</v>
      </c>
      <c r="J1241" s="253" t="s">
        <v>608</v>
      </c>
      <c r="K1241" s="254" t="s">
        <v>48</v>
      </c>
      <c r="L1241" s="255"/>
      <c r="M1241" s="255"/>
      <c r="N1241" s="254">
        <v>500321</v>
      </c>
      <c r="O1241" s="254" t="s">
        <v>1321</v>
      </c>
      <c r="P1241" s="258">
        <v>43650</v>
      </c>
      <c r="Q1241" s="259">
        <v>97487922.780000001</v>
      </c>
      <c r="R1241" s="259">
        <v>152187437.27257955</v>
      </c>
      <c r="S1241" s="254">
        <v>52</v>
      </c>
      <c r="T1241" s="256">
        <v>6.674006189058157E-2</v>
      </c>
      <c r="U1241" s="256">
        <v>0.75068644460338685</v>
      </c>
      <c r="V1241" s="256">
        <v>2.5833679799724729E-2</v>
      </c>
      <c r="W1241" s="256">
        <v>0.23709398041407556</v>
      </c>
      <c r="X1241" s="256">
        <v>0.13486920971745331</v>
      </c>
      <c r="Y1241" s="256">
        <v>0.94837202072957549</v>
      </c>
      <c r="Z1241" s="256">
        <v>0.130765690719016</v>
      </c>
      <c r="AA1241" s="256">
        <v>0.71457744525740696</v>
      </c>
      <c r="AB1241" s="256">
        <v>0.16793460839840518</v>
      </c>
      <c r="AC1241" s="260">
        <v>-0.38040850915728397</v>
      </c>
      <c r="AD1241" s="405">
        <v>32346274000123</v>
      </c>
      <c r="AE1241" s="257" t="s">
        <v>2318</v>
      </c>
      <c r="AF1241" s="257" t="s">
        <v>2318</v>
      </c>
      <c r="AG1241" s="261" t="s">
        <v>1436</v>
      </c>
      <c r="AH1241" s="261" t="s">
        <v>2113</v>
      </c>
      <c r="AI1241" s="261">
        <v>50000</v>
      </c>
      <c r="AJ1241" s="261">
        <v>10000</v>
      </c>
      <c r="AK1241" s="261">
        <v>50000</v>
      </c>
      <c r="AL1241" s="256">
        <v>0</v>
      </c>
      <c r="AM1241" s="256" t="s">
        <v>34</v>
      </c>
      <c r="AN1241" s="256" t="s">
        <v>64</v>
      </c>
      <c r="AO1241" s="254" t="s">
        <v>1324</v>
      </c>
      <c r="AP1241" s="257" t="s">
        <v>13</v>
      </c>
      <c r="AQ1241" s="263" t="s">
        <v>671</v>
      </c>
      <c r="AR1241" s="256" t="s">
        <v>34</v>
      </c>
      <c r="AS1241" s="256" t="s">
        <v>34</v>
      </c>
      <c r="AT1241" s="256"/>
      <c r="AX1241" s="508"/>
      <c r="AY1241" s="509"/>
      <c r="AZ1241" s="509"/>
      <c r="BA1241" s="509"/>
      <c r="BB1241" s="510"/>
      <c r="BC1241" s="509"/>
      <c r="BD1241" s="509"/>
      <c r="BE1241" s="509"/>
      <c r="BF1241" s="509"/>
      <c r="BG1241" s="510"/>
      <c r="BH1241" s="510"/>
      <c r="BI1241" s="511"/>
      <c r="BJ1241" s="511"/>
      <c r="BK1241" s="511"/>
      <c r="BL1241" s="510"/>
      <c r="BM1241" s="510"/>
      <c r="BN1241" s="510"/>
      <c r="BO1241" s="510"/>
      <c r="BP1241" s="510"/>
      <c r="BQ1241" s="510"/>
      <c r="BR1241" s="510"/>
      <c r="BS1241" s="510"/>
      <c r="BT1241" s="513"/>
      <c r="BU1241" s="514"/>
      <c r="BV1241" s="512"/>
      <c r="BW1241" s="515"/>
    </row>
    <row r="1242" spans="2:75" ht="15.75" customHeight="1">
      <c r="B1242" s="250" t="s">
        <v>569</v>
      </c>
      <c r="C1242" s="251">
        <v>12823624000198</v>
      </c>
      <c r="D1242" s="252" t="s">
        <v>14</v>
      </c>
      <c r="E1242" s="252" t="s">
        <v>614</v>
      </c>
      <c r="F1242" s="252"/>
      <c r="G1242" s="253"/>
      <c r="H1242" s="253" t="s">
        <v>865</v>
      </c>
      <c r="I1242" s="253" t="s">
        <v>34</v>
      </c>
      <c r="J1242" s="253" t="s">
        <v>608</v>
      </c>
      <c r="K1242" s="254" t="s">
        <v>48</v>
      </c>
      <c r="L1242" s="255"/>
      <c r="M1242" s="255" t="s">
        <v>1414</v>
      </c>
      <c r="N1242" s="254">
        <v>265519</v>
      </c>
      <c r="O1242" s="254" t="s">
        <v>1321</v>
      </c>
      <c r="P1242" s="258">
        <v>40532</v>
      </c>
      <c r="Q1242" s="259">
        <v>337243672.35000002</v>
      </c>
      <c r="R1242" s="259">
        <v>374175326.75158757</v>
      </c>
      <c r="S1242" s="254">
        <v>52</v>
      </c>
      <c r="T1242" s="256">
        <v>5.8983020011032616E-2</v>
      </c>
      <c r="U1242" s="256">
        <v>0.7624850120691542</v>
      </c>
      <c r="V1242" s="256">
        <v>-2.2118158588095072E-2</v>
      </c>
      <c r="W1242" s="256">
        <v>-0.21683191143081978</v>
      </c>
      <c r="X1242" s="256">
        <v>8.5680307380143095E-2</v>
      </c>
      <c r="Y1242" s="256">
        <v>0.64972933559537926</v>
      </c>
      <c r="Z1242" s="256">
        <v>0.15448125574441196</v>
      </c>
      <c r="AA1242" s="256">
        <v>0.87812153866111464</v>
      </c>
      <c r="AB1242" s="256">
        <v>0.16985324048072889</v>
      </c>
      <c r="AC1242" s="260">
        <v>-0.61900543731340751</v>
      </c>
      <c r="AD1242" s="405">
        <v>15174615000101</v>
      </c>
      <c r="AE1242" s="257" t="s">
        <v>2345</v>
      </c>
      <c r="AF1242" s="257" t="s">
        <v>2118</v>
      </c>
      <c r="AG1242" s="261" t="s">
        <v>1433</v>
      </c>
      <c r="AH1242" s="261" t="s">
        <v>2110</v>
      </c>
      <c r="AI1242" s="261">
        <v>50000</v>
      </c>
      <c r="AJ1242" s="261">
        <v>10000</v>
      </c>
      <c r="AK1242" s="261">
        <v>10000</v>
      </c>
      <c r="AL1242" s="256">
        <v>0.02</v>
      </c>
      <c r="AM1242" s="256">
        <v>0.15</v>
      </c>
      <c r="AN1242" s="256" t="s">
        <v>2127</v>
      </c>
      <c r="AO1242" s="254" t="s">
        <v>1324</v>
      </c>
      <c r="AP1242" s="257" t="s">
        <v>716</v>
      </c>
      <c r="AQ1242" s="263" t="s">
        <v>659</v>
      </c>
      <c r="AR1242" s="256">
        <v>3.3333333333333331E-3</v>
      </c>
      <c r="AS1242" s="256">
        <v>3.3333333333333331E-3</v>
      </c>
      <c r="AT1242" s="256"/>
      <c r="AX1242" s="508"/>
      <c r="AY1242" s="509"/>
      <c r="AZ1242" s="509"/>
      <c r="BA1242" s="509"/>
      <c r="BB1242" s="510"/>
      <c r="BC1242" s="509"/>
      <c r="BD1242" s="509"/>
      <c r="BE1242" s="509"/>
      <c r="BF1242" s="509"/>
      <c r="BG1242" s="510"/>
      <c r="BH1242" s="510"/>
      <c r="BI1242" s="511"/>
      <c r="BJ1242" s="511"/>
      <c r="BK1242" s="511"/>
      <c r="BL1242" s="510"/>
      <c r="BM1242" s="510"/>
      <c r="BN1242" s="510"/>
      <c r="BO1242" s="510"/>
      <c r="BP1242" s="510"/>
      <c r="BQ1242" s="510"/>
      <c r="BR1242" s="510"/>
      <c r="BS1242" s="510"/>
      <c r="BT1242" s="513"/>
      <c r="BU1242" s="514"/>
      <c r="BV1242" s="512"/>
      <c r="BW1242" s="515"/>
    </row>
    <row r="1243" spans="2:75" ht="15.75" customHeight="1">
      <c r="B1243" s="250" t="s">
        <v>1531</v>
      </c>
      <c r="C1243" s="251">
        <v>26822061000128</v>
      </c>
      <c r="D1243" s="252" t="s">
        <v>14</v>
      </c>
      <c r="E1243" s="252" t="s">
        <v>614</v>
      </c>
      <c r="F1243" s="252"/>
      <c r="G1243" s="253"/>
      <c r="H1243" s="253" t="s">
        <v>865</v>
      </c>
      <c r="I1243" s="253" t="s">
        <v>34</v>
      </c>
      <c r="J1243" s="253" t="s">
        <v>608</v>
      </c>
      <c r="K1243" s="254" t="s">
        <v>48</v>
      </c>
      <c r="L1243" s="255"/>
      <c r="M1243" s="255"/>
      <c r="N1243" s="254">
        <v>448370</v>
      </c>
      <c r="O1243" s="254" t="s">
        <v>1321</v>
      </c>
      <c r="P1243" s="258">
        <v>42821</v>
      </c>
      <c r="Q1243" s="259">
        <v>41018679.549999997</v>
      </c>
      <c r="R1243" s="259">
        <v>43415842.090436511</v>
      </c>
      <c r="S1243" s="254">
        <v>53</v>
      </c>
      <c r="T1243" s="256">
        <v>6.799659532826019E-2</v>
      </c>
      <c r="U1243" s="256">
        <v>0.7648198240479952</v>
      </c>
      <c r="V1243" s="256">
        <v>2.7357677495360555E-2</v>
      </c>
      <c r="W1243" s="256">
        <v>0.2510807868853715</v>
      </c>
      <c r="X1243" s="256">
        <v>0.13895810298665201</v>
      </c>
      <c r="Y1243" s="256">
        <v>0.9771242613661254</v>
      </c>
      <c r="Z1243" s="256">
        <v>0.12821564021096044</v>
      </c>
      <c r="AA1243" s="256">
        <v>0.70064253184621883</v>
      </c>
      <c r="AB1243" s="256">
        <v>0.1692758435701848</v>
      </c>
      <c r="AC1243" s="260">
        <v>-0.36729664473680129</v>
      </c>
      <c r="AD1243" s="405">
        <v>19496576000110</v>
      </c>
      <c r="AE1243" s="257" t="s">
        <v>2123</v>
      </c>
      <c r="AF1243" s="257" t="s">
        <v>2109</v>
      </c>
      <c r="AG1243" s="261" t="s">
        <v>1432</v>
      </c>
      <c r="AH1243" s="261" t="s">
        <v>2113</v>
      </c>
      <c r="AI1243" s="261">
        <v>5000</v>
      </c>
      <c r="AJ1243" s="261">
        <v>5000</v>
      </c>
      <c r="AK1243" s="261">
        <v>5000</v>
      </c>
      <c r="AL1243" s="256">
        <v>0</v>
      </c>
      <c r="AM1243" s="256" t="s">
        <v>34</v>
      </c>
      <c r="AN1243" s="256" t="s">
        <v>34</v>
      </c>
      <c r="AO1243" s="254" t="s">
        <v>1324</v>
      </c>
      <c r="AP1243" s="257" t="s">
        <v>13</v>
      </c>
      <c r="AQ1243" s="263" t="s">
        <v>674</v>
      </c>
      <c r="AR1243" s="256">
        <v>3.3333333333333331E-3</v>
      </c>
      <c r="AS1243" s="256">
        <v>3.3333333333333331E-3</v>
      </c>
      <c r="AT1243" s="256"/>
      <c r="AX1243" s="508"/>
      <c r="AY1243" s="509"/>
      <c r="AZ1243" s="509"/>
      <c r="BA1243" s="509"/>
      <c r="BB1243" s="510"/>
      <c r="BC1243" s="509"/>
      <c r="BD1243" s="509"/>
      <c r="BE1243" s="509"/>
      <c r="BF1243" s="509"/>
      <c r="BG1243" s="510"/>
      <c r="BH1243" s="510"/>
      <c r="BI1243" s="511"/>
      <c r="BJ1243" s="511"/>
      <c r="BK1243" s="511"/>
      <c r="BL1243" s="510"/>
      <c r="BM1243" s="510"/>
      <c r="BN1243" s="510"/>
      <c r="BO1243" s="510"/>
      <c r="BP1243" s="510"/>
      <c r="BQ1243" s="510"/>
      <c r="BR1243" s="510"/>
      <c r="BS1243" s="510"/>
      <c r="BT1243" s="513"/>
      <c r="BU1243" s="514"/>
      <c r="BV1243" s="512"/>
      <c r="BW1243" s="515"/>
    </row>
    <row r="1244" spans="2:75" ht="15.75" customHeight="1">
      <c r="B1244" s="250" t="s">
        <v>1656</v>
      </c>
      <c r="C1244" s="251">
        <v>28144844000125</v>
      </c>
      <c r="D1244" s="252" t="s">
        <v>14</v>
      </c>
      <c r="E1244" s="252" t="s">
        <v>614</v>
      </c>
      <c r="F1244" s="252"/>
      <c r="G1244" s="253"/>
      <c r="H1244" s="253" t="s">
        <v>865</v>
      </c>
      <c r="I1244" s="253" t="s">
        <v>34</v>
      </c>
      <c r="J1244" s="253" t="s">
        <v>608</v>
      </c>
      <c r="K1244" s="254" t="s">
        <v>48</v>
      </c>
      <c r="L1244" s="255"/>
      <c r="M1244" s="255"/>
      <c r="N1244" s="254">
        <v>446981</v>
      </c>
      <c r="O1244" s="254" t="s">
        <v>1321</v>
      </c>
      <c r="P1244" s="258">
        <v>42965</v>
      </c>
      <c r="Q1244" s="259">
        <v>43959847.43</v>
      </c>
      <c r="R1244" s="259">
        <v>71049117.3628968</v>
      </c>
      <c r="S1244" s="254">
        <v>53</v>
      </c>
      <c r="T1244" s="256">
        <v>6.8100255109449837E-2</v>
      </c>
      <c r="U1244" s="256">
        <v>0.76598578030253384</v>
      </c>
      <c r="V1244" s="256">
        <v>2.7350271940208115E-2</v>
      </c>
      <c r="W1244" s="256">
        <v>0.25101282085955251</v>
      </c>
      <c r="X1244" s="256">
        <v>0.13557204948799084</v>
      </c>
      <c r="Y1244" s="256">
        <v>0.95331424271508436</v>
      </c>
      <c r="Z1244" s="256">
        <v>0.13085684067145942</v>
      </c>
      <c r="AA1244" s="256">
        <v>0.71507553997777451</v>
      </c>
      <c r="AB1244" s="256">
        <v>0.16803724670879888</v>
      </c>
      <c r="AC1244" s="260">
        <v>-0.37128365553287496</v>
      </c>
      <c r="AD1244" s="405">
        <v>32346274000123</v>
      </c>
      <c r="AE1244" s="257" t="s">
        <v>2318</v>
      </c>
      <c r="AF1244" s="257" t="s">
        <v>2318</v>
      </c>
      <c r="AG1244" s="261" t="s">
        <v>1436</v>
      </c>
      <c r="AH1244" s="261" t="s">
        <v>2113</v>
      </c>
      <c r="AI1244" s="261">
        <v>50000</v>
      </c>
      <c r="AJ1244" s="261">
        <v>10000</v>
      </c>
      <c r="AK1244" s="261">
        <v>50000</v>
      </c>
      <c r="AL1244" s="256">
        <v>0</v>
      </c>
      <c r="AM1244" s="256" t="s">
        <v>34</v>
      </c>
      <c r="AN1244" s="256" t="s">
        <v>64</v>
      </c>
      <c r="AO1244" s="254" t="s">
        <v>1324</v>
      </c>
      <c r="AP1244" s="257" t="s">
        <v>13</v>
      </c>
      <c r="AQ1244" s="263" t="s">
        <v>671</v>
      </c>
      <c r="AR1244" s="256" t="s">
        <v>34</v>
      </c>
      <c r="AS1244" s="256" t="s">
        <v>34</v>
      </c>
      <c r="AT1244" s="256"/>
      <c r="AX1244" s="508"/>
      <c r="AY1244" s="509"/>
      <c r="AZ1244" s="509"/>
      <c r="BA1244" s="509"/>
      <c r="BB1244" s="510"/>
      <c r="BC1244" s="509"/>
      <c r="BD1244" s="509"/>
      <c r="BE1244" s="509"/>
      <c r="BF1244" s="509"/>
      <c r="BG1244" s="510"/>
      <c r="BH1244" s="510"/>
      <c r="BI1244" s="511"/>
      <c r="BJ1244" s="511"/>
      <c r="BK1244" s="511"/>
      <c r="BL1244" s="510"/>
      <c r="BM1244" s="510"/>
      <c r="BN1244" s="510"/>
      <c r="BO1244" s="510"/>
      <c r="BP1244" s="510"/>
      <c r="BQ1244" s="510"/>
      <c r="BR1244" s="510"/>
      <c r="BS1244" s="510"/>
      <c r="BT1244" s="513"/>
      <c r="BU1244" s="514"/>
      <c r="BV1244" s="512"/>
      <c r="BW1244" s="515"/>
    </row>
    <row r="1245" spans="2:75" ht="15.75" customHeight="1">
      <c r="B1245" s="250" t="s">
        <v>318</v>
      </c>
      <c r="C1245" s="251">
        <v>33146540000137</v>
      </c>
      <c r="D1245" s="252" t="s">
        <v>14</v>
      </c>
      <c r="E1245" s="252" t="s">
        <v>614</v>
      </c>
      <c r="F1245" s="252"/>
      <c r="G1245" s="253"/>
      <c r="H1245" s="253" t="s">
        <v>865</v>
      </c>
      <c r="I1245" s="253" t="s">
        <v>34</v>
      </c>
      <c r="J1245" s="253" t="s">
        <v>608</v>
      </c>
      <c r="K1245" s="254" t="s">
        <v>48</v>
      </c>
      <c r="L1245" s="255"/>
      <c r="M1245" s="255" t="s">
        <v>1414</v>
      </c>
      <c r="N1245" s="254">
        <v>499374</v>
      </c>
      <c r="O1245" s="254" t="s">
        <v>1321</v>
      </c>
      <c r="P1245" s="258">
        <v>43612</v>
      </c>
      <c r="Q1245" s="259">
        <v>113015929.09</v>
      </c>
      <c r="R1245" s="259">
        <v>103699329.19892855</v>
      </c>
      <c r="S1245" s="254">
        <v>53</v>
      </c>
      <c r="T1245" s="256">
        <v>5.923408712326883E-2</v>
      </c>
      <c r="U1245" s="256">
        <v>0.76573060563265427</v>
      </c>
      <c r="V1245" s="256">
        <v>-2.1270786078095072E-2</v>
      </c>
      <c r="W1245" s="256">
        <v>-0.20852482744345177</v>
      </c>
      <c r="X1245" s="256">
        <v>8.2593519874638144E-2</v>
      </c>
      <c r="Y1245" s="256">
        <v>0.62632166519361954</v>
      </c>
      <c r="Z1245" s="256">
        <v>0.15554817835800661</v>
      </c>
      <c r="AA1245" s="256">
        <v>0.88418627268057481</v>
      </c>
      <c r="AB1245" s="256">
        <v>0.1678842881159455</v>
      </c>
      <c r="AC1245" s="260">
        <v>-0.62307725140095338</v>
      </c>
      <c r="AD1245" s="405">
        <v>32786258000151</v>
      </c>
      <c r="AE1245" s="257" t="s">
        <v>2123</v>
      </c>
      <c r="AF1245" s="257" t="s">
        <v>2109</v>
      </c>
      <c r="AG1245" s="261" t="s">
        <v>1432</v>
      </c>
      <c r="AH1245" s="261" t="s">
        <v>2110</v>
      </c>
      <c r="AI1245" s="261">
        <v>5000</v>
      </c>
      <c r="AJ1245" s="261">
        <v>5000</v>
      </c>
      <c r="AK1245" s="261">
        <v>0</v>
      </c>
      <c r="AL1245" s="256">
        <v>0</v>
      </c>
      <c r="AM1245" s="256" t="s">
        <v>34</v>
      </c>
      <c r="AN1245" s="256" t="s">
        <v>34</v>
      </c>
      <c r="AO1245" s="254" t="s">
        <v>1324</v>
      </c>
      <c r="AP1245" s="257" t="s">
        <v>716</v>
      </c>
      <c r="AQ1245" s="263" t="s">
        <v>659</v>
      </c>
      <c r="AR1245" s="256">
        <v>3.3333333333333331E-3</v>
      </c>
      <c r="AS1245" s="256">
        <v>3.3333333333333331E-3</v>
      </c>
      <c r="AT1245" s="256"/>
      <c r="AX1245" s="508"/>
      <c r="AY1245" s="509"/>
      <c r="AZ1245" s="509"/>
      <c r="BA1245" s="509"/>
      <c r="BB1245" s="510"/>
      <c r="BC1245" s="509"/>
      <c r="BD1245" s="509"/>
      <c r="BE1245" s="509"/>
      <c r="BF1245" s="509"/>
      <c r="BG1245" s="510"/>
      <c r="BH1245" s="510"/>
      <c r="BI1245" s="511"/>
      <c r="BJ1245" s="511"/>
      <c r="BK1245" s="511"/>
      <c r="BL1245" s="510"/>
      <c r="BM1245" s="510"/>
      <c r="BN1245" s="510"/>
      <c r="BO1245" s="510"/>
      <c r="BP1245" s="510"/>
      <c r="BQ1245" s="510"/>
      <c r="BR1245" s="510"/>
      <c r="BS1245" s="510"/>
      <c r="BT1245" s="513"/>
      <c r="BU1245" s="514"/>
      <c r="BV1245" s="512"/>
      <c r="BW1245" s="515"/>
    </row>
    <row r="1246" spans="2:75" ht="15.75" customHeight="1">
      <c r="B1246" s="250" t="s">
        <v>200</v>
      </c>
      <c r="C1246" s="251">
        <v>601692000123</v>
      </c>
      <c r="D1246" s="252" t="s">
        <v>14</v>
      </c>
      <c r="E1246" s="252" t="s">
        <v>607</v>
      </c>
      <c r="F1246" s="252"/>
      <c r="G1246" s="253"/>
      <c r="H1246" s="253" t="s">
        <v>34</v>
      </c>
      <c r="I1246" s="253" t="s">
        <v>34</v>
      </c>
      <c r="J1246" s="253" t="s">
        <v>608</v>
      </c>
      <c r="K1246" s="254" t="s">
        <v>48</v>
      </c>
      <c r="L1246" s="255"/>
      <c r="M1246" s="255" t="s">
        <v>34</v>
      </c>
      <c r="N1246" s="254">
        <v>24813</v>
      </c>
      <c r="O1246" s="254" t="s">
        <v>1321</v>
      </c>
      <c r="P1246" s="258">
        <v>34851</v>
      </c>
      <c r="Q1246" s="259">
        <v>150791574.03999999</v>
      </c>
      <c r="R1246" s="259">
        <v>183652025.50539693</v>
      </c>
      <c r="S1246" s="254">
        <v>59</v>
      </c>
      <c r="T1246" s="256">
        <v>-9.0972963308520227E-2</v>
      </c>
      <c r="U1246" s="256">
        <v>-1.1760252529166721</v>
      </c>
      <c r="V1246" s="256">
        <v>-0.25819083415360999</v>
      </c>
      <c r="W1246" s="256">
        <v>-2.5311334965098773</v>
      </c>
      <c r="X1246" s="256">
        <v>-0.22416757460262215</v>
      </c>
      <c r="Y1246" s="256">
        <v>-1.6999034406165556</v>
      </c>
      <c r="Z1246" s="256">
        <v>-0.14484386717636633</v>
      </c>
      <c r="AA1246" s="256">
        <v>-0.82333949771208903</v>
      </c>
      <c r="AB1246" s="256">
        <v>0.29138496106766826</v>
      </c>
      <c r="AC1246" s="260">
        <v>-1.2127908638453431</v>
      </c>
      <c r="AD1246" s="405">
        <v>9441424000166</v>
      </c>
      <c r="AE1246" s="257" t="s">
        <v>2240</v>
      </c>
      <c r="AF1246" s="257" t="s">
        <v>2118</v>
      </c>
      <c r="AG1246" s="261" t="s">
        <v>1433</v>
      </c>
      <c r="AH1246" s="261" t="s">
        <v>2113</v>
      </c>
      <c r="AI1246" s="261">
        <v>300000</v>
      </c>
      <c r="AJ1246" s="261">
        <v>30000</v>
      </c>
      <c r="AK1246" s="261">
        <v>300000</v>
      </c>
      <c r="AL1246" s="256">
        <v>0.02</v>
      </c>
      <c r="AM1246" s="256">
        <v>0.2</v>
      </c>
      <c r="AN1246" s="256" t="s">
        <v>34</v>
      </c>
      <c r="AO1246" s="254" t="s">
        <v>1324</v>
      </c>
      <c r="AP1246" s="257" t="s">
        <v>716</v>
      </c>
      <c r="AQ1246" s="263" t="s">
        <v>665</v>
      </c>
      <c r="AR1246" s="256">
        <v>5.0000000000000001E-3</v>
      </c>
      <c r="AS1246" s="256">
        <v>5.0000000000000001E-3</v>
      </c>
      <c r="AT1246" s="256"/>
      <c r="AX1246" s="508"/>
      <c r="AY1246" s="509"/>
      <c r="AZ1246" s="509"/>
      <c r="BA1246" s="509"/>
      <c r="BB1246" s="510"/>
      <c r="BC1246" s="509"/>
      <c r="BD1246" s="509"/>
      <c r="BE1246" s="509"/>
      <c r="BF1246" s="509"/>
      <c r="BG1246" s="510"/>
      <c r="BH1246" s="510"/>
      <c r="BI1246" s="511"/>
      <c r="BJ1246" s="511"/>
      <c r="BK1246" s="511"/>
      <c r="BL1246" s="510"/>
      <c r="BM1246" s="510"/>
      <c r="BN1246" s="510"/>
      <c r="BO1246" s="510"/>
      <c r="BP1246" s="510"/>
      <c r="BQ1246" s="510"/>
      <c r="BR1246" s="510"/>
      <c r="BS1246" s="510"/>
      <c r="BT1246" s="513"/>
      <c r="BU1246" s="514"/>
      <c r="BV1246" s="512"/>
      <c r="BW1246" s="515"/>
    </row>
    <row r="1247" spans="2:75" ht="15.75" customHeight="1">
      <c r="B1247" s="250" t="s">
        <v>1303</v>
      </c>
      <c r="C1247" s="251">
        <v>42405028000159</v>
      </c>
      <c r="D1247" s="252" t="s">
        <v>11</v>
      </c>
      <c r="E1247" s="252" t="s">
        <v>620</v>
      </c>
      <c r="F1247" s="252" t="s">
        <v>663</v>
      </c>
      <c r="G1247" s="253" t="s">
        <v>738</v>
      </c>
      <c r="H1247" s="253" t="s">
        <v>34</v>
      </c>
      <c r="I1247" s="253" t="s">
        <v>1304</v>
      </c>
      <c r="J1247" s="253" t="s">
        <v>608</v>
      </c>
      <c r="K1247" s="254" t="s">
        <v>48</v>
      </c>
      <c r="L1247" s="255"/>
      <c r="M1247" s="255" t="s">
        <v>34</v>
      </c>
      <c r="N1247" s="254">
        <v>632260</v>
      </c>
      <c r="O1247" s="254" t="s">
        <v>1321</v>
      </c>
      <c r="P1247" s="258">
        <v>44560</v>
      </c>
      <c r="Q1247" s="259">
        <v>41184847.049999997</v>
      </c>
      <c r="R1247" s="259" t="s">
        <v>1417</v>
      </c>
      <c r="S1247" s="254">
        <v>60</v>
      </c>
      <c r="T1247" s="256">
        <v>9.2402039092937427E-2</v>
      </c>
      <c r="U1247" s="256">
        <v>1.1944991945107999</v>
      </c>
      <c r="V1247" s="256" t="s">
        <v>1417</v>
      </c>
      <c r="W1247" s="256" t="s">
        <v>1417</v>
      </c>
      <c r="X1247" s="256" t="s">
        <v>1417</v>
      </c>
      <c r="Y1247" s="256" t="s">
        <v>1417</v>
      </c>
      <c r="Z1247" s="256" t="s">
        <v>1417</v>
      </c>
      <c r="AA1247" s="256" t="s">
        <v>1417</v>
      </c>
      <c r="AB1247" s="256" t="s">
        <v>1417</v>
      </c>
      <c r="AC1247" s="260" t="s">
        <v>1417</v>
      </c>
      <c r="AD1247" s="405">
        <v>0</v>
      </c>
      <c r="AE1247" s="257" t="s">
        <v>2198</v>
      </c>
      <c r="AF1247" s="257" t="s">
        <v>2118</v>
      </c>
      <c r="AG1247" s="261" t="s">
        <v>1433</v>
      </c>
      <c r="AH1247" s="261" t="s">
        <v>2110</v>
      </c>
      <c r="AI1247" s="261">
        <v>5000</v>
      </c>
      <c r="AJ1247" s="261" t="s">
        <v>1427</v>
      </c>
      <c r="AK1247" s="261">
        <v>50000</v>
      </c>
      <c r="AL1247" s="256">
        <v>1.04E-2</v>
      </c>
      <c r="AM1247" s="256">
        <v>0.2</v>
      </c>
      <c r="AN1247" s="256" t="s">
        <v>64</v>
      </c>
      <c r="AO1247" s="254" t="s">
        <v>1324</v>
      </c>
      <c r="AP1247" s="257" t="s">
        <v>13</v>
      </c>
      <c r="AQ1247" s="263" t="s">
        <v>686</v>
      </c>
      <c r="AR1247" s="256">
        <v>1.0666666666666667E-4</v>
      </c>
      <c r="AS1247" s="256">
        <v>1.0666666666666667E-4</v>
      </c>
      <c r="AT1247" s="256"/>
      <c r="AX1247" s="508"/>
      <c r="AY1247" s="509"/>
      <c r="AZ1247" s="509"/>
      <c r="BA1247" s="509"/>
      <c r="BB1247" s="510"/>
      <c r="BC1247" s="509"/>
      <c r="BD1247" s="509"/>
      <c r="BE1247" s="509"/>
      <c r="BF1247" s="509"/>
      <c r="BG1247" s="510"/>
      <c r="BH1247" s="510"/>
      <c r="BI1247" s="511"/>
      <c r="BJ1247" s="511"/>
      <c r="BK1247" s="511"/>
      <c r="BL1247" s="510"/>
      <c r="BM1247" s="510"/>
      <c r="BN1247" s="510"/>
      <c r="BO1247" s="510"/>
      <c r="BP1247" s="510"/>
      <c r="BQ1247" s="510"/>
      <c r="BR1247" s="510"/>
      <c r="BS1247" s="510"/>
      <c r="BT1247" s="513"/>
      <c r="BU1247" s="514"/>
      <c r="BV1247" s="512"/>
      <c r="BW1247" s="515"/>
    </row>
    <row r="1248" spans="2:75" ht="15.75" customHeight="1">
      <c r="B1248" s="250" t="s">
        <v>1189</v>
      </c>
      <c r="C1248" s="251">
        <v>13054728000148</v>
      </c>
      <c r="D1248" s="252" t="s">
        <v>11</v>
      </c>
      <c r="E1248" s="252" t="s">
        <v>620</v>
      </c>
      <c r="F1248" s="252" t="s">
        <v>685</v>
      </c>
      <c r="G1248" s="253" t="s">
        <v>738</v>
      </c>
      <c r="H1248" s="253" t="s">
        <v>34</v>
      </c>
      <c r="I1248" s="253" t="s">
        <v>1319</v>
      </c>
      <c r="J1248" s="253" t="s">
        <v>608</v>
      </c>
      <c r="K1248" s="254" t="s">
        <v>48</v>
      </c>
      <c r="L1248" s="255"/>
      <c r="M1248" s="255" t="s">
        <v>34</v>
      </c>
      <c r="N1248" s="254">
        <v>301426</v>
      </c>
      <c r="O1248" s="254" t="s">
        <v>1321</v>
      </c>
      <c r="P1248" s="258">
        <v>41018</v>
      </c>
      <c r="Q1248" s="259">
        <v>149533380.91</v>
      </c>
      <c r="R1248" s="259">
        <v>68542307.20948413</v>
      </c>
      <c r="S1248" s="254">
        <v>60</v>
      </c>
      <c r="T1248" s="256">
        <v>9.3957386534859078E-2</v>
      </c>
      <c r="U1248" s="256">
        <v>1.2146054744673627</v>
      </c>
      <c r="V1248" s="256">
        <v>0.12892586751284174</v>
      </c>
      <c r="W1248" s="256">
        <v>1.2639045955992376</v>
      </c>
      <c r="X1248" s="256">
        <v>0.18065768368860913</v>
      </c>
      <c r="Y1248" s="256">
        <v>1.3699600337848854</v>
      </c>
      <c r="Z1248" s="256">
        <v>0.24093723173512638</v>
      </c>
      <c r="AA1248" s="256">
        <v>1.3695653342049681</v>
      </c>
      <c r="AB1248" s="256">
        <v>1.5989913530040476E-3</v>
      </c>
      <c r="AC1248" s="260">
        <v>15.100146857032978</v>
      </c>
      <c r="AD1248" s="405">
        <v>13054656000139</v>
      </c>
      <c r="AE1248" s="257" t="s">
        <v>2396</v>
      </c>
      <c r="AF1248" s="257" t="s">
        <v>2109</v>
      </c>
      <c r="AG1248" s="261" t="s">
        <v>1432</v>
      </c>
      <c r="AH1248" s="261" t="s">
        <v>2110</v>
      </c>
      <c r="AI1248" s="261">
        <v>10000</v>
      </c>
      <c r="AJ1248" s="261">
        <v>1000</v>
      </c>
      <c r="AK1248" s="261">
        <v>0</v>
      </c>
      <c r="AL1248" s="256">
        <v>4.0000000000000001E-3</v>
      </c>
      <c r="AM1248" s="256">
        <v>0.2</v>
      </c>
      <c r="AN1248" s="256" t="s">
        <v>64</v>
      </c>
      <c r="AO1248" s="254" t="s">
        <v>1324</v>
      </c>
      <c r="AP1248" s="257" t="s">
        <v>13</v>
      </c>
      <c r="AQ1248" s="263" t="s">
        <v>671</v>
      </c>
      <c r="AR1248" s="256">
        <v>1.92E-3</v>
      </c>
      <c r="AS1248" s="256">
        <v>1.92E-3</v>
      </c>
      <c r="AT1248" s="256"/>
      <c r="AX1248" s="508"/>
      <c r="AY1248" s="509"/>
      <c r="AZ1248" s="509"/>
      <c r="BA1248" s="509"/>
      <c r="BB1248" s="510"/>
      <c r="BC1248" s="509"/>
      <c r="BD1248" s="509"/>
      <c r="BE1248" s="509"/>
      <c r="BF1248" s="509"/>
      <c r="BG1248" s="510"/>
      <c r="BH1248" s="510"/>
      <c r="BI1248" s="511"/>
      <c r="BJ1248" s="511"/>
      <c r="BK1248" s="511"/>
      <c r="BL1248" s="510"/>
      <c r="BM1248" s="510"/>
      <c r="BN1248" s="510"/>
      <c r="BO1248" s="510"/>
      <c r="BP1248" s="510"/>
      <c r="BQ1248" s="510"/>
      <c r="BR1248" s="510"/>
      <c r="BS1248" s="510"/>
      <c r="BT1248" s="513"/>
      <c r="BU1248" s="514"/>
      <c r="BV1248" s="512"/>
      <c r="BW1248" s="515"/>
    </row>
    <row r="1249" spans="2:75" ht="15.75" customHeight="1">
      <c r="B1249" s="250" t="s">
        <v>152</v>
      </c>
      <c r="C1249" s="251">
        <v>34096227000102</v>
      </c>
      <c r="D1249" s="252" t="s">
        <v>13</v>
      </c>
      <c r="E1249" s="252" t="s">
        <v>615</v>
      </c>
      <c r="F1249" s="252" t="s">
        <v>619</v>
      </c>
      <c r="G1249" s="253" t="s">
        <v>34</v>
      </c>
      <c r="H1249" s="253" t="s">
        <v>1337</v>
      </c>
      <c r="I1249" s="253" t="s">
        <v>34</v>
      </c>
      <c r="J1249" s="253"/>
      <c r="K1249" s="254" t="s">
        <v>48</v>
      </c>
      <c r="L1249" s="255"/>
      <c r="M1249" s="255" t="s">
        <v>34</v>
      </c>
      <c r="N1249" s="254">
        <v>503606</v>
      </c>
      <c r="O1249" s="254" t="s">
        <v>1321</v>
      </c>
      <c r="P1249" s="258">
        <v>43677</v>
      </c>
      <c r="Q1249" s="259">
        <v>32473070.100000001</v>
      </c>
      <c r="R1249" s="259">
        <v>63172545.05218251</v>
      </c>
      <c r="S1249" s="254">
        <v>60</v>
      </c>
      <c r="T1249" s="256">
        <v>0.13022017394768182</v>
      </c>
      <c r="U1249" s="256">
        <v>1.6833816051733776</v>
      </c>
      <c r="V1249" s="256">
        <v>8.9847688059225161E-2</v>
      </c>
      <c r="W1249" s="256">
        <v>0.88080776986596843</v>
      </c>
      <c r="X1249" s="256">
        <v>0.10621226595765298</v>
      </c>
      <c r="Y1249" s="256">
        <v>0.80542690733552247</v>
      </c>
      <c r="Z1249" s="256">
        <v>9.4539100576247259E-2</v>
      </c>
      <c r="AA1249" s="256">
        <v>0.53739089614213642</v>
      </c>
      <c r="AB1249" s="256">
        <v>3.9226201868363182E-2</v>
      </c>
      <c r="AC1249" s="260">
        <v>-0.26340804973282622</v>
      </c>
      <c r="AD1249" s="405">
        <v>33598974000178</v>
      </c>
      <c r="AE1249" s="257" t="s">
        <v>2144</v>
      </c>
      <c r="AF1249" s="257" t="s">
        <v>2109</v>
      </c>
      <c r="AG1249" s="261" t="s">
        <v>1432</v>
      </c>
      <c r="AH1249" s="261" t="s">
        <v>2110</v>
      </c>
      <c r="AI1249" s="261">
        <v>25000</v>
      </c>
      <c r="AJ1249" s="261">
        <v>10000</v>
      </c>
      <c r="AK1249" s="261">
        <v>25000</v>
      </c>
      <c r="AL1249" s="256">
        <v>0.02</v>
      </c>
      <c r="AM1249" s="256">
        <v>0.2</v>
      </c>
      <c r="AN1249" s="256" t="s">
        <v>34</v>
      </c>
      <c r="AO1249" s="254" t="s">
        <v>1324</v>
      </c>
      <c r="AP1249" s="257" t="s">
        <v>13</v>
      </c>
      <c r="AQ1249" s="263" t="s">
        <v>668</v>
      </c>
      <c r="AR1249" s="256">
        <v>6.9999999999999993E-3</v>
      </c>
      <c r="AS1249" s="256">
        <v>6.9999999999999993E-3</v>
      </c>
      <c r="AT1249" s="256"/>
      <c r="AX1249" s="508"/>
      <c r="AY1249" s="509"/>
      <c r="AZ1249" s="509"/>
      <c r="BA1249" s="509"/>
      <c r="BB1249" s="510"/>
      <c r="BC1249" s="509"/>
      <c r="BD1249" s="509"/>
      <c r="BE1249" s="509"/>
      <c r="BF1249" s="509"/>
      <c r="BG1249" s="510"/>
      <c r="BH1249" s="510"/>
      <c r="BI1249" s="511"/>
      <c r="BJ1249" s="511"/>
      <c r="BK1249" s="511"/>
      <c r="BL1249" s="510"/>
      <c r="BM1249" s="510"/>
      <c r="BN1249" s="510"/>
      <c r="BO1249" s="510"/>
      <c r="BP1249" s="510"/>
      <c r="BQ1249" s="510"/>
      <c r="BR1249" s="510"/>
      <c r="BS1249" s="510"/>
      <c r="BT1249" s="513"/>
      <c r="BU1249" s="514"/>
      <c r="BV1249" s="512"/>
      <c r="BW1249" s="515"/>
    </row>
    <row r="1250" spans="2:75" ht="15.75" customHeight="1">
      <c r="B1250" s="250" t="s">
        <v>1568</v>
      </c>
      <c r="C1250" s="251">
        <v>25682084000111</v>
      </c>
      <c r="D1250" s="252" t="s">
        <v>13</v>
      </c>
      <c r="E1250" s="252" t="s">
        <v>615</v>
      </c>
      <c r="F1250" s="252" t="s">
        <v>619</v>
      </c>
      <c r="G1250" s="253" t="s">
        <v>34</v>
      </c>
      <c r="H1250" s="253" t="s">
        <v>1338</v>
      </c>
      <c r="I1250" s="253" t="s">
        <v>34</v>
      </c>
      <c r="J1250" s="253" t="s">
        <v>611</v>
      </c>
      <c r="K1250" s="254" t="s">
        <v>48</v>
      </c>
      <c r="L1250" s="255"/>
      <c r="M1250" s="255"/>
      <c r="N1250" s="254">
        <v>433004</v>
      </c>
      <c r="O1250" s="254" t="s">
        <v>1321</v>
      </c>
      <c r="P1250" s="258">
        <v>42724</v>
      </c>
      <c r="Q1250" s="259">
        <v>1206841298.72</v>
      </c>
      <c r="R1250" s="259">
        <v>1492696524.1755545</v>
      </c>
      <c r="S1250" s="254">
        <v>60</v>
      </c>
      <c r="T1250" s="256">
        <v>0.10818898323442538</v>
      </c>
      <c r="U1250" s="256">
        <v>1.21690032746235</v>
      </c>
      <c r="V1250" s="256">
        <v>7.826393696697842E-2</v>
      </c>
      <c r="W1250" s="256">
        <v>0.71828359266785324</v>
      </c>
      <c r="X1250" s="256">
        <v>0.15168697027959488</v>
      </c>
      <c r="Y1250" s="256">
        <v>1.0666309888207954</v>
      </c>
      <c r="Z1250" s="256">
        <v>0.15864607060501124</v>
      </c>
      <c r="AA1250" s="256">
        <v>0.86693155681522782</v>
      </c>
      <c r="AB1250" s="256">
        <v>8.2181503335587658E-2</v>
      </c>
      <c r="AC1250" s="260">
        <v>-0.30079046906001494</v>
      </c>
      <c r="AD1250" s="405">
        <v>30756847000161</v>
      </c>
      <c r="AE1250" s="257" t="s">
        <v>1547</v>
      </c>
      <c r="AF1250" s="257" t="s">
        <v>2121</v>
      </c>
      <c r="AG1250" s="261" t="s">
        <v>1547</v>
      </c>
      <c r="AH1250" s="261" t="s">
        <v>2113</v>
      </c>
      <c r="AI1250" s="261">
        <v>200000</v>
      </c>
      <c r="AJ1250" s="261">
        <v>50000</v>
      </c>
      <c r="AK1250" s="261">
        <v>200000</v>
      </c>
      <c r="AL1250" s="256">
        <v>0</v>
      </c>
      <c r="AM1250" s="256" t="s">
        <v>34</v>
      </c>
      <c r="AN1250" s="256" t="s">
        <v>64</v>
      </c>
      <c r="AO1250" s="254" t="s">
        <v>1324</v>
      </c>
      <c r="AP1250" s="257" t="s">
        <v>13</v>
      </c>
      <c r="AQ1250" s="263" t="s">
        <v>664</v>
      </c>
      <c r="AR1250" s="256" t="s">
        <v>34</v>
      </c>
      <c r="AS1250" s="256" t="s">
        <v>34</v>
      </c>
      <c r="AT1250" s="256"/>
      <c r="AX1250" s="508"/>
      <c r="AY1250" s="509"/>
      <c r="AZ1250" s="509"/>
      <c r="BA1250" s="509"/>
      <c r="BB1250" s="510"/>
      <c r="BC1250" s="509"/>
      <c r="BD1250" s="509"/>
      <c r="BE1250" s="509"/>
      <c r="BF1250" s="509"/>
      <c r="BG1250" s="510"/>
      <c r="BH1250" s="510"/>
      <c r="BI1250" s="511"/>
      <c r="BJ1250" s="511"/>
      <c r="BK1250" s="511"/>
      <c r="BL1250" s="510"/>
      <c r="BM1250" s="510"/>
      <c r="BN1250" s="510"/>
      <c r="BO1250" s="510"/>
      <c r="BP1250" s="510"/>
      <c r="BQ1250" s="510"/>
      <c r="BR1250" s="510"/>
      <c r="BS1250" s="510"/>
      <c r="BT1250" s="513"/>
      <c r="BU1250" s="514"/>
      <c r="BV1250" s="512"/>
      <c r="BW1250" s="515"/>
    </row>
    <row r="1251" spans="2:75" ht="15.75" customHeight="1">
      <c r="B1251" s="250" t="s">
        <v>1677</v>
      </c>
      <c r="C1251" s="251">
        <v>30658954000157</v>
      </c>
      <c r="D1251" s="252" t="s">
        <v>13</v>
      </c>
      <c r="E1251" s="252" t="s">
        <v>615</v>
      </c>
      <c r="F1251" s="252" t="s">
        <v>619</v>
      </c>
      <c r="G1251" s="253" t="s">
        <v>34</v>
      </c>
      <c r="H1251" s="253" t="s">
        <v>1338</v>
      </c>
      <c r="I1251" s="253" t="s">
        <v>34</v>
      </c>
      <c r="J1251" s="253" t="s">
        <v>611</v>
      </c>
      <c r="K1251" s="254" t="s">
        <v>48</v>
      </c>
      <c r="L1251" s="255"/>
      <c r="M1251" s="255"/>
      <c r="N1251" s="254">
        <v>477044</v>
      </c>
      <c r="O1251" s="254" t="s">
        <v>1321</v>
      </c>
      <c r="P1251" s="258">
        <v>43375</v>
      </c>
      <c r="Q1251" s="259">
        <v>238431330.34999999</v>
      </c>
      <c r="R1251" s="259">
        <v>324064528.82297617</v>
      </c>
      <c r="S1251" s="254">
        <v>60</v>
      </c>
      <c r="T1251" s="256">
        <v>0.10611627933215395</v>
      </c>
      <c r="U1251" s="256">
        <v>1.1935867332127277</v>
      </c>
      <c r="V1251" s="256">
        <v>7.6086680425029085E-2</v>
      </c>
      <c r="W1251" s="256">
        <v>0.69830136698745082</v>
      </c>
      <c r="X1251" s="256">
        <v>0.14732142323221598</v>
      </c>
      <c r="Y1251" s="256">
        <v>1.0359333767892112</v>
      </c>
      <c r="Z1251" s="256">
        <v>0.15176313417173271</v>
      </c>
      <c r="AA1251" s="256">
        <v>0.82931931230890898</v>
      </c>
      <c r="AB1251" s="256">
        <v>8.1787586150812885E-2</v>
      </c>
      <c r="AC1251" s="260">
        <v>-0.32735291452389403</v>
      </c>
      <c r="AD1251" s="405">
        <v>30658606000180</v>
      </c>
      <c r="AE1251" s="257" t="s">
        <v>2318</v>
      </c>
      <c r="AF1251" s="257" t="s">
        <v>2318</v>
      </c>
      <c r="AG1251" s="261" t="s">
        <v>1436</v>
      </c>
      <c r="AH1251" s="261" t="s">
        <v>2113</v>
      </c>
      <c r="AI1251" s="261">
        <v>50000</v>
      </c>
      <c r="AJ1251" s="261">
        <v>10000</v>
      </c>
      <c r="AK1251" s="261">
        <v>50000</v>
      </c>
      <c r="AL1251" s="256">
        <v>2E-3</v>
      </c>
      <c r="AM1251" s="256" t="s">
        <v>34</v>
      </c>
      <c r="AN1251" s="256" t="s">
        <v>64</v>
      </c>
      <c r="AO1251" s="254" t="s">
        <v>1324</v>
      </c>
      <c r="AP1251" s="257" t="s">
        <v>13</v>
      </c>
      <c r="AQ1251" s="263" t="s">
        <v>664</v>
      </c>
      <c r="AR1251" s="256" t="s">
        <v>34</v>
      </c>
      <c r="AS1251" s="256" t="s">
        <v>34</v>
      </c>
      <c r="AT1251" s="256"/>
      <c r="AX1251" s="508"/>
      <c r="AY1251" s="509"/>
      <c r="AZ1251" s="509"/>
      <c r="BA1251" s="509"/>
      <c r="BB1251" s="510"/>
      <c r="BC1251" s="509"/>
      <c r="BD1251" s="509"/>
      <c r="BE1251" s="509"/>
      <c r="BF1251" s="509"/>
      <c r="BG1251" s="510"/>
      <c r="BH1251" s="510"/>
      <c r="BI1251" s="511"/>
      <c r="BJ1251" s="511"/>
      <c r="BK1251" s="511"/>
      <c r="BL1251" s="510"/>
      <c r="BM1251" s="510"/>
      <c r="BN1251" s="510"/>
      <c r="BO1251" s="510"/>
      <c r="BP1251" s="510"/>
      <c r="BQ1251" s="510"/>
      <c r="BR1251" s="510"/>
      <c r="BS1251" s="510"/>
      <c r="BT1251" s="513"/>
      <c r="BU1251" s="514"/>
      <c r="BV1251" s="512"/>
      <c r="BW1251" s="515"/>
    </row>
    <row r="1252" spans="2:75" ht="15.75" customHeight="1">
      <c r="B1252" s="250" t="s">
        <v>1678</v>
      </c>
      <c r="C1252" s="251">
        <v>30658606000180</v>
      </c>
      <c r="D1252" s="252" t="s">
        <v>13</v>
      </c>
      <c r="E1252" s="252" t="s">
        <v>615</v>
      </c>
      <c r="F1252" s="252" t="s">
        <v>619</v>
      </c>
      <c r="G1252" s="253" t="s">
        <v>34</v>
      </c>
      <c r="H1252" s="253" t="s">
        <v>1338</v>
      </c>
      <c r="I1252" s="253" t="s">
        <v>34</v>
      </c>
      <c r="J1252" s="253" t="s">
        <v>611</v>
      </c>
      <c r="K1252" s="254" t="s">
        <v>48</v>
      </c>
      <c r="L1252" s="255"/>
      <c r="M1252" s="255"/>
      <c r="N1252" s="254">
        <v>476366</v>
      </c>
      <c r="O1252" s="254" t="s">
        <v>1321</v>
      </c>
      <c r="P1252" s="258">
        <v>43368</v>
      </c>
      <c r="Q1252" s="259">
        <v>793573243.48000002</v>
      </c>
      <c r="R1252" s="259">
        <v>1214661783.1484125</v>
      </c>
      <c r="S1252" s="254">
        <v>60</v>
      </c>
      <c r="T1252" s="256">
        <v>0.10830404266266713</v>
      </c>
      <c r="U1252" s="256">
        <v>1.218194505961113</v>
      </c>
      <c r="V1252" s="256">
        <v>7.8450691692553587E-2</v>
      </c>
      <c r="W1252" s="256">
        <v>0.71999757308376855</v>
      </c>
      <c r="X1252" s="256">
        <v>0.1524695821706572</v>
      </c>
      <c r="Y1252" s="256">
        <v>1.0721341516414917</v>
      </c>
      <c r="Z1252" s="256">
        <v>0.15931182677737499</v>
      </c>
      <c r="AA1252" s="256">
        <v>0.8705696238203896</v>
      </c>
      <c r="AB1252" s="256">
        <v>8.2379751815019206E-2</v>
      </c>
      <c r="AC1252" s="260">
        <v>-0.2977670262102225</v>
      </c>
      <c r="AD1252" s="405">
        <v>30592665000100</v>
      </c>
      <c r="AE1252" s="257" t="s">
        <v>2318</v>
      </c>
      <c r="AF1252" s="257" t="s">
        <v>2318</v>
      </c>
      <c r="AG1252" s="261" t="s">
        <v>1436</v>
      </c>
      <c r="AH1252" s="261" t="s">
        <v>2113</v>
      </c>
      <c r="AI1252" s="261">
        <v>50000</v>
      </c>
      <c r="AJ1252" s="261">
        <v>10000</v>
      </c>
      <c r="AK1252" s="261">
        <v>50000</v>
      </c>
      <c r="AL1252" s="256">
        <v>0</v>
      </c>
      <c r="AM1252" s="256" t="s">
        <v>34</v>
      </c>
      <c r="AN1252" s="256" t="s">
        <v>64</v>
      </c>
      <c r="AO1252" s="254" t="s">
        <v>1324</v>
      </c>
      <c r="AP1252" s="257" t="s">
        <v>13</v>
      </c>
      <c r="AQ1252" s="263" t="s">
        <v>664</v>
      </c>
      <c r="AR1252" s="256" t="s">
        <v>34</v>
      </c>
      <c r="AS1252" s="256" t="s">
        <v>34</v>
      </c>
      <c r="AT1252" s="256"/>
      <c r="AX1252" s="508"/>
      <c r="AY1252" s="509"/>
      <c r="AZ1252" s="509"/>
      <c r="BA1252" s="509"/>
      <c r="BB1252" s="510"/>
      <c r="BC1252" s="509"/>
      <c r="BD1252" s="509"/>
      <c r="BE1252" s="509"/>
      <c r="BF1252" s="509"/>
      <c r="BG1252" s="510"/>
      <c r="BH1252" s="510"/>
      <c r="BI1252" s="511"/>
      <c r="BJ1252" s="511"/>
      <c r="BK1252" s="511"/>
      <c r="BL1252" s="510"/>
      <c r="BM1252" s="510"/>
      <c r="BN1252" s="510"/>
      <c r="BO1252" s="510"/>
      <c r="BP1252" s="510"/>
      <c r="BQ1252" s="510"/>
      <c r="BR1252" s="510"/>
      <c r="BS1252" s="510"/>
      <c r="BT1252" s="513"/>
      <c r="BU1252" s="514"/>
      <c r="BV1252" s="512"/>
      <c r="BW1252" s="515"/>
    </row>
    <row r="1253" spans="2:75" ht="15.75" customHeight="1">
      <c r="B1253" s="250" t="s">
        <v>40</v>
      </c>
      <c r="C1253" s="251">
        <v>40716583000176</v>
      </c>
      <c r="D1253" s="252" t="s">
        <v>13</v>
      </c>
      <c r="E1253" s="252" t="s">
        <v>615</v>
      </c>
      <c r="F1253" s="252" t="s">
        <v>619</v>
      </c>
      <c r="G1253" s="253" t="s">
        <v>34</v>
      </c>
      <c r="H1253" s="253" t="s">
        <v>1338</v>
      </c>
      <c r="I1253" s="253" t="s">
        <v>34</v>
      </c>
      <c r="J1253" s="253" t="s">
        <v>611</v>
      </c>
      <c r="K1253" s="254" t="s">
        <v>48</v>
      </c>
      <c r="L1253" s="255"/>
      <c r="M1253" s="255" t="s">
        <v>1414</v>
      </c>
      <c r="N1253" s="254">
        <v>575879</v>
      </c>
      <c r="O1253" s="254" t="s">
        <v>1321</v>
      </c>
      <c r="P1253" s="258">
        <v>44249</v>
      </c>
      <c r="Q1253" s="259">
        <v>149237369.80000001</v>
      </c>
      <c r="R1253" s="259">
        <v>156135696.54039684</v>
      </c>
      <c r="S1253" s="254">
        <v>60</v>
      </c>
      <c r="T1253" s="256">
        <v>0.11109958774110851</v>
      </c>
      <c r="U1253" s="256">
        <v>1.4362060552988314</v>
      </c>
      <c r="V1253" s="256">
        <v>8.0296744690736332E-2</v>
      </c>
      <c r="W1253" s="256">
        <v>0.78717658902835475</v>
      </c>
      <c r="X1253" s="256" t="s">
        <v>1417</v>
      </c>
      <c r="Y1253" s="256" t="s">
        <v>1417</v>
      </c>
      <c r="Z1253" s="256" t="s">
        <v>1417</v>
      </c>
      <c r="AA1253" s="256" t="s">
        <v>1417</v>
      </c>
      <c r="AB1253" s="256">
        <v>8.0704680895669345E-2</v>
      </c>
      <c r="AC1253" s="260">
        <v>-0.20645720446304192</v>
      </c>
      <c r="AD1253" s="405">
        <v>40697810000163</v>
      </c>
      <c r="AE1253" s="257" t="s">
        <v>2123</v>
      </c>
      <c r="AF1253" s="257" t="s">
        <v>2109</v>
      </c>
      <c r="AG1253" s="261" t="s">
        <v>1432</v>
      </c>
      <c r="AH1253" s="261" t="s">
        <v>2113</v>
      </c>
      <c r="AI1253" s="261">
        <v>50000</v>
      </c>
      <c r="AJ1253" s="261">
        <v>10000</v>
      </c>
      <c r="AK1253" s="261">
        <v>10000</v>
      </c>
      <c r="AL1253" s="256">
        <v>0</v>
      </c>
      <c r="AM1253" s="256" t="s">
        <v>34</v>
      </c>
      <c r="AN1253" s="256" t="s">
        <v>64</v>
      </c>
      <c r="AO1253" s="254" t="s">
        <v>1324</v>
      </c>
      <c r="AP1253" s="257" t="s">
        <v>13</v>
      </c>
      <c r="AQ1253" s="263" t="s">
        <v>664</v>
      </c>
      <c r="AR1253" s="256" t="s">
        <v>34</v>
      </c>
      <c r="AS1253" s="256" t="s">
        <v>34</v>
      </c>
      <c r="AT1253" s="256"/>
      <c r="AX1253" s="508"/>
      <c r="AY1253" s="509"/>
      <c r="AZ1253" s="509"/>
      <c r="BA1253" s="509"/>
      <c r="BB1253" s="510"/>
      <c r="BC1253" s="509"/>
      <c r="BD1253" s="509"/>
      <c r="BE1253" s="509"/>
      <c r="BF1253" s="509"/>
      <c r="BG1253" s="510"/>
      <c r="BH1253" s="510"/>
      <c r="BI1253" s="511"/>
      <c r="BJ1253" s="511"/>
      <c r="BK1253" s="511"/>
      <c r="BL1253" s="510"/>
      <c r="BM1253" s="510"/>
      <c r="BN1253" s="510"/>
      <c r="BO1253" s="510"/>
      <c r="BP1253" s="510"/>
      <c r="BQ1253" s="510"/>
      <c r="BR1253" s="510"/>
      <c r="BS1253" s="510"/>
      <c r="BT1253" s="513"/>
      <c r="BU1253" s="514"/>
      <c r="BV1253" s="512"/>
      <c r="BW1253" s="515"/>
    </row>
    <row r="1254" spans="2:75" ht="15.75" customHeight="1">
      <c r="B1254" s="250" t="s">
        <v>1182</v>
      </c>
      <c r="C1254" s="251">
        <v>34507252000123</v>
      </c>
      <c r="D1254" s="252" t="s">
        <v>14</v>
      </c>
      <c r="E1254" s="252" t="s">
        <v>607</v>
      </c>
      <c r="F1254" s="252"/>
      <c r="G1254" s="253"/>
      <c r="H1254" s="253" t="s">
        <v>34</v>
      </c>
      <c r="I1254" s="253" t="s">
        <v>34</v>
      </c>
      <c r="J1254" s="253" t="s">
        <v>608</v>
      </c>
      <c r="K1254" s="254" t="s">
        <v>48</v>
      </c>
      <c r="L1254" s="255"/>
      <c r="M1254" s="255" t="s">
        <v>1414</v>
      </c>
      <c r="N1254" s="254">
        <v>534374</v>
      </c>
      <c r="O1254" s="254" t="s">
        <v>1321</v>
      </c>
      <c r="P1254" s="258">
        <v>43935</v>
      </c>
      <c r="Q1254" s="259">
        <v>22487966.82</v>
      </c>
      <c r="R1254" s="259">
        <v>18981268.706984121</v>
      </c>
      <c r="S1254" s="254">
        <v>60</v>
      </c>
      <c r="T1254" s="256">
        <v>0.16445517894516604</v>
      </c>
      <c r="U1254" s="256">
        <v>2.1259441968109658</v>
      </c>
      <c r="V1254" s="256">
        <v>-7.9163051480770186E-2</v>
      </c>
      <c r="W1254" s="256">
        <v>-0.77606260480068889</v>
      </c>
      <c r="X1254" s="256">
        <v>4.7702108721726422E-2</v>
      </c>
      <c r="Y1254" s="256">
        <v>0.36173375602815322</v>
      </c>
      <c r="Z1254" s="256" t="s">
        <v>1417</v>
      </c>
      <c r="AA1254" s="256" t="s">
        <v>1417</v>
      </c>
      <c r="AB1254" s="256">
        <v>0.26840930085007941</v>
      </c>
      <c r="AC1254" s="260">
        <v>-0.535318732900671</v>
      </c>
      <c r="AD1254" s="405">
        <v>31713596000109</v>
      </c>
      <c r="AE1254" s="257" t="s">
        <v>2390</v>
      </c>
      <c r="AF1254" s="257" t="s">
        <v>2118</v>
      </c>
      <c r="AG1254" s="261" t="s">
        <v>1433</v>
      </c>
      <c r="AH1254" s="261" t="s">
        <v>2110</v>
      </c>
      <c r="AI1254" s="261">
        <v>1000</v>
      </c>
      <c r="AJ1254" s="261">
        <v>1000</v>
      </c>
      <c r="AK1254" s="261">
        <v>1000</v>
      </c>
      <c r="AL1254" s="256">
        <v>1.8500000000000003E-2</v>
      </c>
      <c r="AM1254" s="256">
        <v>0.2</v>
      </c>
      <c r="AN1254" s="256" t="s">
        <v>34</v>
      </c>
      <c r="AO1254" s="254" t="s">
        <v>1324</v>
      </c>
      <c r="AP1254" s="257" t="s">
        <v>716</v>
      </c>
      <c r="AQ1254" s="263" t="s">
        <v>659</v>
      </c>
      <c r="AR1254" s="256">
        <v>3.7000000000000002E-3</v>
      </c>
      <c r="AS1254" s="256">
        <v>3.7000000000000002E-3</v>
      </c>
      <c r="AT1254" s="256"/>
      <c r="AX1254" s="508"/>
      <c r="AY1254" s="509"/>
      <c r="AZ1254" s="509"/>
      <c r="BA1254" s="509"/>
      <c r="BB1254" s="510"/>
      <c r="BC1254" s="509"/>
      <c r="BD1254" s="509"/>
      <c r="BE1254" s="509"/>
      <c r="BF1254" s="509"/>
      <c r="BG1254" s="510"/>
      <c r="BH1254" s="510"/>
      <c r="BI1254" s="511"/>
      <c r="BJ1254" s="511"/>
      <c r="BK1254" s="511"/>
      <c r="BL1254" s="510"/>
      <c r="BM1254" s="510"/>
      <c r="BN1254" s="510"/>
      <c r="BO1254" s="510"/>
      <c r="BP1254" s="510"/>
      <c r="BQ1254" s="510"/>
      <c r="BR1254" s="510"/>
      <c r="BS1254" s="510"/>
      <c r="BT1254" s="513"/>
      <c r="BU1254" s="514"/>
      <c r="BV1254" s="512"/>
      <c r="BW1254" s="515"/>
    </row>
    <row r="1255" spans="2:75" ht="15.75" customHeight="1">
      <c r="B1255" s="250" t="s">
        <v>1237</v>
      </c>
      <c r="C1255" s="251">
        <v>31188723000190</v>
      </c>
      <c r="D1255" s="252" t="s">
        <v>14</v>
      </c>
      <c r="E1255" s="252" t="s">
        <v>607</v>
      </c>
      <c r="F1255" s="252"/>
      <c r="G1255" s="253"/>
      <c r="H1255" s="253" t="s">
        <v>34</v>
      </c>
      <c r="I1255" s="253" t="s">
        <v>34</v>
      </c>
      <c r="J1255" s="253" t="s">
        <v>608</v>
      </c>
      <c r="K1255" s="254" t="s">
        <v>48</v>
      </c>
      <c r="L1255" s="255"/>
      <c r="M1255" s="255" t="s">
        <v>1414</v>
      </c>
      <c r="N1255" s="254">
        <v>479667</v>
      </c>
      <c r="O1255" s="254" t="s">
        <v>1321</v>
      </c>
      <c r="P1255" s="258">
        <v>43402</v>
      </c>
      <c r="Q1255" s="259">
        <v>60084470.75</v>
      </c>
      <c r="R1255" s="259">
        <v>62404665.189920679</v>
      </c>
      <c r="S1255" s="254">
        <v>60</v>
      </c>
      <c r="T1255" s="256">
        <v>3.4279108953398918E-3</v>
      </c>
      <c r="U1255" s="256">
        <v>4.4313273208396779E-2</v>
      </c>
      <c r="V1255" s="256">
        <v>-0.27301436295774617</v>
      </c>
      <c r="W1255" s="256">
        <v>-2.6764536447468417</v>
      </c>
      <c r="X1255" s="256">
        <v>-0.25671938347247825</v>
      </c>
      <c r="Y1255" s="256">
        <v>-1.9467497206561739</v>
      </c>
      <c r="Z1255" s="256">
        <v>0.19564614204999153</v>
      </c>
      <c r="AA1255" s="256">
        <v>1.1121160975949933</v>
      </c>
      <c r="AB1255" s="256">
        <v>0.39452741998689728</v>
      </c>
      <c r="AC1255" s="260">
        <v>-0.85633976909124787</v>
      </c>
      <c r="AD1255" s="405">
        <v>0</v>
      </c>
      <c r="AE1255" s="257" t="s">
        <v>2220</v>
      </c>
      <c r="AF1255" s="257" t="s">
        <v>741</v>
      </c>
      <c r="AG1255" s="261" t="s">
        <v>741</v>
      </c>
      <c r="AH1255" s="261" t="s">
        <v>2113</v>
      </c>
      <c r="AI1255" s="261">
        <v>5000</v>
      </c>
      <c r="AJ1255" s="261">
        <v>0</v>
      </c>
      <c r="AK1255" s="261">
        <v>1000</v>
      </c>
      <c r="AL1255" s="256">
        <v>9.7999999999999997E-3</v>
      </c>
      <c r="AM1255" s="256">
        <v>0.3</v>
      </c>
      <c r="AN1255" s="256" t="s">
        <v>2141</v>
      </c>
      <c r="AO1255" s="254" t="s">
        <v>1324</v>
      </c>
      <c r="AP1255" s="257" t="s">
        <v>716</v>
      </c>
      <c r="AQ1255" s="263" t="s">
        <v>659</v>
      </c>
      <c r="AR1255" s="256">
        <v>1.9599999999999999E-3</v>
      </c>
      <c r="AS1255" s="256">
        <v>1.9599999999999999E-3</v>
      </c>
      <c r="AT1255" s="256"/>
      <c r="AX1255" s="508"/>
      <c r="AY1255" s="509"/>
      <c r="AZ1255" s="509"/>
      <c r="BA1255" s="509"/>
      <c r="BB1255" s="510"/>
      <c r="BC1255" s="509"/>
      <c r="BD1255" s="509"/>
      <c r="BE1255" s="509"/>
      <c r="BF1255" s="509"/>
      <c r="BG1255" s="510"/>
      <c r="BH1255" s="510"/>
      <c r="BI1255" s="511"/>
      <c r="BJ1255" s="511"/>
      <c r="BK1255" s="511"/>
      <c r="BL1255" s="510"/>
      <c r="BM1255" s="510"/>
      <c r="BN1255" s="510"/>
      <c r="BO1255" s="510"/>
      <c r="BP1255" s="510"/>
      <c r="BQ1255" s="510"/>
      <c r="BR1255" s="510"/>
      <c r="BS1255" s="510"/>
      <c r="BT1255" s="513"/>
      <c r="BU1255" s="514"/>
      <c r="BV1255" s="512"/>
      <c r="BW1255" s="515"/>
    </row>
    <row r="1256" spans="2:75" ht="15.75" customHeight="1">
      <c r="B1256" s="250" t="s">
        <v>984</v>
      </c>
      <c r="C1256" s="251">
        <v>37227745000106</v>
      </c>
      <c r="D1256" s="252" t="s">
        <v>11</v>
      </c>
      <c r="E1256" s="252" t="s">
        <v>620</v>
      </c>
      <c r="F1256" s="252" t="s">
        <v>663</v>
      </c>
      <c r="G1256" s="253" t="s">
        <v>738</v>
      </c>
      <c r="H1256" s="253" t="s">
        <v>34</v>
      </c>
      <c r="I1256" s="253"/>
      <c r="J1256" s="253" t="s">
        <v>608</v>
      </c>
      <c r="K1256" s="254" t="s">
        <v>48</v>
      </c>
      <c r="L1256" s="255"/>
      <c r="M1256" s="255" t="s">
        <v>34</v>
      </c>
      <c r="N1256" s="254">
        <v>541753</v>
      </c>
      <c r="O1256" s="254" t="s">
        <v>1321</v>
      </c>
      <c r="P1256" s="258">
        <v>44008</v>
      </c>
      <c r="Q1256" s="259">
        <v>23208532.449999999</v>
      </c>
      <c r="R1256" s="259">
        <v>25098284.245079353</v>
      </c>
      <c r="S1256" s="254">
        <v>61</v>
      </c>
      <c r="T1256" s="256">
        <v>9.3144907085031203E-2</v>
      </c>
      <c r="U1256" s="256">
        <v>1.2041023940385871</v>
      </c>
      <c r="V1256" s="256">
        <v>0.12706224005431377</v>
      </c>
      <c r="W1256" s="256">
        <v>1.2456348150287575</v>
      </c>
      <c r="X1256" s="256">
        <v>0.18914215458185057</v>
      </c>
      <c r="Y1256" s="256">
        <v>1.4342993178619834</v>
      </c>
      <c r="Z1256" s="256" t="s">
        <v>1417</v>
      </c>
      <c r="AA1256" s="256" t="s">
        <v>1417</v>
      </c>
      <c r="AB1256" s="256">
        <v>4.4773206822099369E-3</v>
      </c>
      <c r="AC1256" s="260">
        <v>5.0254969344460054</v>
      </c>
      <c r="AD1256" s="405">
        <v>0</v>
      </c>
      <c r="AE1256" s="257" t="s">
        <v>2278</v>
      </c>
      <c r="AF1256" s="257" t="s">
        <v>2109</v>
      </c>
      <c r="AG1256" s="261" t="s">
        <v>1432</v>
      </c>
      <c r="AH1256" s="261" t="s">
        <v>2110</v>
      </c>
      <c r="AI1256" s="261">
        <v>1000</v>
      </c>
      <c r="AJ1256" s="261">
        <v>1000</v>
      </c>
      <c r="AK1256" s="261">
        <v>1000</v>
      </c>
      <c r="AL1256" s="256">
        <v>4.0000000000000001E-3</v>
      </c>
      <c r="AM1256" s="256">
        <v>0.15</v>
      </c>
      <c r="AN1256" s="256" t="s">
        <v>34</v>
      </c>
      <c r="AO1256" s="254" t="s">
        <v>1324</v>
      </c>
      <c r="AP1256" s="257" t="s">
        <v>11</v>
      </c>
      <c r="AQ1256" s="263" t="s">
        <v>675</v>
      </c>
      <c r="AR1256" s="256">
        <v>1.6000000000000001E-3</v>
      </c>
      <c r="AS1256" s="256">
        <v>1.6000000000000001E-3</v>
      </c>
      <c r="AT1256" s="256"/>
      <c r="AX1256" s="508"/>
      <c r="AY1256" s="509"/>
      <c r="AZ1256" s="509"/>
      <c r="BA1256" s="509"/>
      <c r="BB1256" s="510"/>
      <c r="BC1256" s="509"/>
      <c r="BD1256" s="509"/>
      <c r="BE1256" s="509"/>
      <c r="BF1256" s="509"/>
      <c r="BG1256" s="510"/>
      <c r="BH1256" s="510"/>
      <c r="BI1256" s="511"/>
      <c r="BJ1256" s="511"/>
      <c r="BK1256" s="511"/>
      <c r="BL1256" s="510"/>
      <c r="BM1256" s="510"/>
      <c r="BN1256" s="510"/>
      <c r="BO1256" s="510"/>
      <c r="BP1256" s="510"/>
      <c r="BQ1256" s="510"/>
      <c r="BR1256" s="510"/>
      <c r="BS1256" s="510"/>
      <c r="BT1256" s="513"/>
      <c r="BU1256" s="514"/>
      <c r="BV1256" s="512"/>
      <c r="BW1256" s="515"/>
    </row>
    <row r="1257" spans="2:75" ht="15.75" customHeight="1">
      <c r="B1257" s="250" t="s">
        <v>1063</v>
      </c>
      <c r="C1257" s="251">
        <v>32228412000170</v>
      </c>
      <c r="D1257" s="252" t="s">
        <v>11</v>
      </c>
      <c r="E1257" s="252" t="s">
        <v>620</v>
      </c>
      <c r="F1257" s="252" t="s">
        <v>663</v>
      </c>
      <c r="G1257" s="253" t="s">
        <v>738</v>
      </c>
      <c r="H1257" s="253" t="s">
        <v>34</v>
      </c>
      <c r="I1257" s="253"/>
      <c r="J1257" s="253" t="s">
        <v>608</v>
      </c>
      <c r="K1257" s="254" t="s">
        <v>48</v>
      </c>
      <c r="L1257" s="255"/>
      <c r="M1257" s="255" t="s">
        <v>34</v>
      </c>
      <c r="N1257" s="254">
        <v>496596</v>
      </c>
      <c r="O1257" s="254" t="s">
        <v>1321</v>
      </c>
      <c r="P1257" s="258">
        <v>43608</v>
      </c>
      <c r="Q1257" s="259">
        <v>23973057.91</v>
      </c>
      <c r="R1257" s="259">
        <v>23914529.320992079</v>
      </c>
      <c r="S1257" s="254">
        <v>61</v>
      </c>
      <c r="T1257" s="256">
        <v>8.5013215373873852E-2</v>
      </c>
      <c r="U1257" s="256">
        <v>1.0989824281337437</v>
      </c>
      <c r="V1257" s="256">
        <v>0.12256772410815753</v>
      </c>
      <c r="W1257" s="256">
        <v>1.201573530284832</v>
      </c>
      <c r="X1257" s="256">
        <v>0.2018777825836533</v>
      </c>
      <c r="Y1257" s="256">
        <v>1.5308758985608395</v>
      </c>
      <c r="Z1257" s="256">
        <v>0.22415408050870766</v>
      </c>
      <c r="AA1257" s="256">
        <v>1.2741644617333701</v>
      </c>
      <c r="AB1257" s="256">
        <v>3.7433786091323066E-3</v>
      </c>
      <c r="AC1257" s="260">
        <v>4.9420861864375567</v>
      </c>
      <c r="AD1257" s="405">
        <v>32236271000137</v>
      </c>
      <c r="AE1257" s="257" t="s">
        <v>2317</v>
      </c>
      <c r="AF1257" s="257" t="s">
        <v>2118</v>
      </c>
      <c r="AG1257" s="261" t="s">
        <v>1433</v>
      </c>
      <c r="AH1257" s="261" t="s">
        <v>2110</v>
      </c>
      <c r="AI1257" s="261">
        <v>3000</v>
      </c>
      <c r="AJ1257" s="261">
        <v>1000</v>
      </c>
      <c r="AK1257" s="261">
        <v>1000</v>
      </c>
      <c r="AL1257" s="256">
        <v>7.4999999999999997E-3</v>
      </c>
      <c r="AM1257" s="256">
        <v>0.2</v>
      </c>
      <c r="AN1257" s="256" t="s">
        <v>64</v>
      </c>
      <c r="AO1257" s="254" t="s">
        <v>1324</v>
      </c>
      <c r="AP1257" s="257" t="s">
        <v>11</v>
      </c>
      <c r="AQ1257" s="263" t="s">
        <v>675</v>
      </c>
      <c r="AR1257" s="256">
        <v>2.4999999999999996E-3</v>
      </c>
      <c r="AS1257" s="256">
        <v>2.4999999999999996E-3</v>
      </c>
      <c r="AT1257" s="256"/>
      <c r="AX1257" s="508"/>
      <c r="AY1257" s="509"/>
      <c r="AZ1257" s="509"/>
      <c r="BA1257" s="509"/>
      <c r="BB1257" s="510"/>
      <c r="BC1257" s="509"/>
      <c r="BD1257" s="509"/>
      <c r="BE1257" s="509"/>
      <c r="BF1257" s="509"/>
      <c r="BG1257" s="510"/>
      <c r="BH1257" s="510"/>
      <c r="BI1257" s="511"/>
      <c r="BJ1257" s="511"/>
      <c r="BK1257" s="511"/>
      <c r="BL1257" s="510"/>
      <c r="BM1257" s="510"/>
      <c r="BN1257" s="510"/>
      <c r="BO1257" s="510"/>
      <c r="BP1257" s="510"/>
      <c r="BQ1257" s="510"/>
      <c r="BR1257" s="510"/>
      <c r="BS1257" s="510"/>
      <c r="BT1257" s="513"/>
      <c r="BU1257" s="514"/>
      <c r="BV1257" s="512"/>
      <c r="BW1257" s="515"/>
    </row>
    <row r="1258" spans="2:75" ht="15.75" customHeight="1">
      <c r="B1258" s="250" t="s">
        <v>357</v>
      </c>
      <c r="C1258" s="251">
        <v>36015100000139</v>
      </c>
      <c r="D1258" s="252" t="s">
        <v>11</v>
      </c>
      <c r="E1258" s="252" t="s">
        <v>620</v>
      </c>
      <c r="F1258" s="252" t="s">
        <v>663</v>
      </c>
      <c r="G1258" s="253" t="s">
        <v>738</v>
      </c>
      <c r="H1258" s="253" t="s">
        <v>34</v>
      </c>
      <c r="I1258" s="253" t="s">
        <v>1304</v>
      </c>
      <c r="J1258" s="253" t="s">
        <v>608</v>
      </c>
      <c r="K1258" s="254" t="s">
        <v>48</v>
      </c>
      <c r="L1258" s="255"/>
      <c r="M1258" s="255" t="s">
        <v>34</v>
      </c>
      <c r="N1258" s="254">
        <v>526827</v>
      </c>
      <c r="O1258" s="254" t="s">
        <v>1321</v>
      </c>
      <c r="P1258" s="258">
        <v>43875</v>
      </c>
      <c r="Q1258" s="259">
        <v>27749319</v>
      </c>
      <c r="R1258" s="259">
        <v>25791476.032658719</v>
      </c>
      <c r="S1258" s="254">
        <v>61</v>
      </c>
      <c r="T1258" s="256">
        <v>0.12792861103062036</v>
      </c>
      <c r="U1258" s="256">
        <v>1.653758124074139</v>
      </c>
      <c r="V1258" s="256">
        <v>0.15710417505853114</v>
      </c>
      <c r="W1258" s="256">
        <v>1.5401462303484326</v>
      </c>
      <c r="X1258" s="256">
        <v>0.22122244024404369</v>
      </c>
      <c r="Y1258" s="256">
        <v>1.6775699517607281</v>
      </c>
      <c r="Z1258" s="256" t="s">
        <v>1417</v>
      </c>
      <c r="AA1258" s="256" t="s">
        <v>1417</v>
      </c>
      <c r="AB1258" s="256">
        <v>2.8976771355923713E-2</v>
      </c>
      <c r="AC1258" s="260">
        <v>1.698894795540008</v>
      </c>
      <c r="AD1258" s="405">
        <v>36247749000185</v>
      </c>
      <c r="AE1258" s="257" t="s">
        <v>2380</v>
      </c>
      <c r="AF1258" s="257" t="s">
        <v>2109</v>
      </c>
      <c r="AG1258" s="261" t="s">
        <v>1432</v>
      </c>
      <c r="AH1258" s="261" t="s">
        <v>2113</v>
      </c>
      <c r="AI1258" s="261">
        <v>500</v>
      </c>
      <c r="AJ1258" s="261">
        <v>100</v>
      </c>
      <c r="AK1258" s="261">
        <v>100</v>
      </c>
      <c r="AL1258" s="256">
        <v>8.0000000000000002E-3</v>
      </c>
      <c r="AM1258" s="256">
        <v>0.2</v>
      </c>
      <c r="AN1258" s="256" t="s">
        <v>34</v>
      </c>
      <c r="AO1258" s="254" t="s">
        <v>1324</v>
      </c>
      <c r="AP1258" s="257" t="s">
        <v>13</v>
      </c>
      <c r="AQ1258" s="263" t="s">
        <v>664</v>
      </c>
      <c r="AR1258" s="256">
        <v>2.1333333333333334E-3</v>
      </c>
      <c r="AS1258" s="256">
        <v>2.1333333333333334E-3</v>
      </c>
      <c r="AT1258" s="256"/>
      <c r="AX1258" s="508"/>
      <c r="AY1258" s="509"/>
      <c r="AZ1258" s="509"/>
      <c r="BA1258" s="509"/>
      <c r="BB1258" s="510"/>
      <c r="BC1258" s="509"/>
      <c r="BD1258" s="509"/>
      <c r="BE1258" s="509"/>
      <c r="BF1258" s="509"/>
      <c r="BG1258" s="510"/>
      <c r="BH1258" s="510"/>
      <c r="BI1258" s="511"/>
      <c r="BJ1258" s="511"/>
      <c r="BK1258" s="511"/>
      <c r="BL1258" s="510"/>
      <c r="BM1258" s="510"/>
      <c r="BN1258" s="510"/>
      <c r="BO1258" s="510"/>
      <c r="BP1258" s="510"/>
      <c r="BQ1258" s="510"/>
      <c r="BR1258" s="510"/>
      <c r="BS1258" s="510"/>
      <c r="BT1258" s="513"/>
      <c r="BU1258" s="514"/>
      <c r="BV1258" s="512"/>
      <c r="BW1258" s="515"/>
    </row>
    <row r="1259" spans="2:75" ht="15.75" customHeight="1">
      <c r="B1259" s="250" t="s">
        <v>279</v>
      </c>
      <c r="C1259" s="251">
        <v>23711364000185</v>
      </c>
      <c r="D1259" s="252" t="s">
        <v>11</v>
      </c>
      <c r="E1259" s="252" t="s">
        <v>620</v>
      </c>
      <c r="F1259" s="252" t="s">
        <v>685</v>
      </c>
      <c r="G1259" s="253" t="s">
        <v>738</v>
      </c>
      <c r="H1259" s="253" t="s">
        <v>34</v>
      </c>
      <c r="I1259" s="253" t="s">
        <v>1319</v>
      </c>
      <c r="J1259" s="253" t="s">
        <v>608</v>
      </c>
      <c r="K1259" s="254" t="s">
        <v>48</v>
      </c>
      <c r="L1259" s="255"/>
      <c r="M1259" s="255" t="s">
        <v>34</v>
      </c>
      <c r="N1259" s="254">
        <v>421960</v>
      </c>
      <c r="O1259" s="254" t="s">
        <v>1321</v>
      </c>
      <c r="P1259" s="258">
        <v>42597</v>
      </c>
      <c r="Q1259" s="259">
        <v>279350571.41000003</v>
      </c>
      <c r="R1259" s="259">
        <v>209373835.29027775</v>
      </c>
      <c r="S1259" s="254">
        <v>61</v>
      </c>
      <c r="T1259" s="256">
        <v>9.8528430409487777E-2</v>
      </c>
      <c r="U1259" s="256">
        <v>1.2736962508172844</v>
      </c>
      <c r="V1259" s="256">
        <v>0.135455327258448</v>
      </c>
      <c r="W1259" s="256">
        <v>1.327915133891175</v>
      </c>
      <c r="X1259" s="256">
        <v>0.20203308203878922</v>
      </c>
      <c r="Y1259" s="256">
        <v>1.5320535625409197</v>
      </c>
      <c r="Z1259" s="256">
        <v>0.26593983577686209</v>
      </c>
      <c r="AA1259" s="256">
        <v>1.5116882411289543</v>
      </c>
      <c r="AB1259" s="256">
        <v>1.5003402749485322E-3</v>
      </c>
      <c r="AC1259" s="260">
        <v>19.938685505077871</v>
      </c>
      <c r="AD1259" s="405">
        <v>0</v>
      </c>
      <c r="AE1259" s="257" t="s">
        <v>2311</v>
      </c>
      <c r="AF1259" s="257" t="s">
        <v>2109</v>
      </c>
      <c r="AG1259" s="261" t="s">
        <v>1432</v>
      </c>
      <c r="AH1259" s="261" t="s">
        <v>2110</v>
      </c>
      <c r="AI1259" s="261">
        <v>100</v>
      </c>
      <c r="AJ1259" s="261">
        <v>100</v>
      </c>
      <c r="AK1259" s="261">
        <v>100</v>
      </c>
      <c r="AL1259" s="256">
        <v>0.01</v>
      </c>
      <c r="AM1259" s="256" t="s">
        <v>34</v>
      </c>
      <c r="AN1259" s="256" t="s">
        <v>64</v>
      </c>
      <c r="AO1259" s="254" t="s">
        <v>1324</v>
      </c>
      <c r="AP1259" s="257" t="s">
        <v>13</v>
      </c>
      <c r="AQ1259" s="263" t="s">
        <v>671</v>
      </c>
      <c r="AR1259" s="256">
        <v>3.0000000000000001E-3</v>
      </c>
      <c r="AS1259" s="256">
        <v>3.0000000000000001E-3</v>
      </c>
      <c r="AT1259" s="256"/>
      <c r="AX1259" s="508"/>
      <c r="AY1259" s="509"/>
      <c r="AZ1259" s="509"/>
      <c r="BA1259" s="509"/>
      <c r="BB1259" s="510"/>
      <c r="BC1259" s="509"/>
      <c r="BD1259" s="509"/>
      <c r="BE1259" s="509"/>
      <c r="BF1259" s="509"/>
      <c r="BG1259" s="510"/>
      <c r="BH1259" s="510"/>
      <c r="BI1259" s="511"/>
      <c r="BJ1259" s="511"/>
      <c r="BK1259" s="511"/>
      <c r="BL1259" s="510"/>
      <c r="BM1259" s="510"/>
      <c r="BN1259" s="510"/>
      <c r="BO1259" s="510"/>
      <c r="BP1259" s="510"/>
      <c r="BQ1259" s="510"/>
      <c r="BR1259" s="510"/>
      <c r="BS1259" s="510"/>
      <c r="BT1259" s="513"/>
      <c r="BU1259" s="514"/>
      <c r="BV1259" s="512"/>
      <c r="BW1259" s="515"/>
    </row>
    <row r="1260" spans="2:75" ht="15.75" customHeight="1">
      <c r="B1260" s="250" t="s">
        <v>1491</v>
      </c>
      <c r="C1260" s="251">
        <v>28951272000196</v>
      </c>
      <c r="D1260" s="252" t="s">
        <v>13</v>
      </c>
      <c r="E1260" s="252" t="s">
        <v>615</v>
      </c>
      <c r="F1260" s="252" t="s">
        <v>619</v>
      </c>
      <c r="G1260" s="253" t="s">
        <v>34</v>
      </c>
      <c r="H1260" s="253" t="s">
        <v>1338</v>
      </c>
      <c r="I1260" s="253" t="s">
        <v>34</v>
      </c>
      <c r="J1260" s="253" t="s">
        <v>611</v>
      </c>
      <c r="K1260" s="254" t="s">
        <v>48</v>
      </c>
      <c r="L1260" s="255"/>
      <c r="M1260" s="255"/>
      <c r="N1260" s="254">
        <v>459526</v>
      </c>
      <c r="O1260" s="254" t="s">
        <v>1321</v>
      </c>
      <c r="P1260" s="258">
        <v>43158</v>
      </c>
      <c r="Q1260" s="259">
        <v>4730504.67</v>
      </c>
      <c r="R1260" s="259">
        <v>10476280.498690465</v>
      </c>
      <c r="S1260" s="254">
        <v>61</v>
      </c>
      <c r="T1260" s="256">
        <v>-1.1297375506192364E-2</v>
      </c>
      <c r="U1260" s="256">
        <v>-0.1270719027200925</v>
      </c>
      <c r="V1260" s="256">
        <v>1.93990261591237E-2</v>
      </c>
      <c r="W1260" s="256">
        <v>0.17803860556762119</v>
      </c>
      <c r="X1260" s="256">
        <v>6.3082243015297079E-2</v>
      </c>
      <c r="Y1260" s="256">
        <v>0.44358111392439992</v>
      </c>
      <c r="Z1260" s="256">
        <v>6.7584299534789061E-2</v>
      </c>
      <c r="AA1260" s="256">
        <v>0.36931870917772747</v>
      </c>
      <c r="AB1260" s="256">
        <v>0.10180501559140109</v>
      </c>
      <c r="AC1260" s="260">
        <v>-0.77649913410245763</v>
      </c>
      <c r="AD1260" s="405">
        <v>26744792000100</v>
      </c>
      <c r="AE1260" s="257" t="s">
        <v>2130</v>
      </c>
      <c r="AF1260" s="257" t="s">
        <v>2121</v>
      </c>
      <c r="AG1260" s="261" t="s">
        <v>59</v>
      </c>
      <c r="AH1260" s="261" t="s">
        <v>2131</v>
      </c>
      <c r="AI1260" s="261">
        <v>50000</v>
      </c>
      <c r="AJ1260" s="261">
        <v>50000</v>
      </c>
      <c r="AK1260" s="261">
        <v>50000</v>
      </c>
      <c r="AL1260" s="519">
        <v>1.9E-2</v>
      </c>
      <c r="AM1260" s="519">
        <v>0.2</v>
      </c>
      <c r="AN1260" s="256" t="s">
        <v>64</v>
      </c>
      <c r="AO1260" s="254" t="s">
        <v>1324</v>
      </c>
      <c r="AP1260" s="257" t="s">
        <v>13</v>
      </c>
      <c r="AQ1260" s="263" t="s">
        <v>664</v>
      </c>
      <c r="AR1260" s="256" t="s">
        <v>34</v>
      </c>
      <c r="AS1260" s="256" t="s">
        <v>34</v>
      </c>
      <c r="AT1260" s="256"/>
      <c r="AX1260" s="508"/>
      <c r="AY1260" s="509"/>
      <c r="AZ1260" s="509"/>
      <c r="BA1260" s="509"/>
      <c r="BB1260" s="510"/>
      <c r="BC1260" s="509"/>
      <c r="BD1260" s="509"/>
      <c r="BE1260" s="509"/>
      <c r="BF1260" s="509"/>
      <c r="BG1260" s="510"/>
      <c r="BH1260" s="510"/>
      <c r="BI1260" s="511"/>
      <c r="BJ1260" s="511"/>
      <c r="BK1260" s="511"/>
      <c r="BL1260" s="510"/>
      <c r="BM1260" s="510"/>
      <c r="BN1260" s="510"/>
      <c r="BO1260" s="510"/>
      <c r="BP1260" s="510"/>
      <c r="BQ1260" s="510"/>
      <c r="BR1260" s="510"/>
      <c r="BS1260" s="510"/>
      <c r="BT1260" s="513"/>
      <c r="BU1260" s="514"/>
      <c r="BV1260" s="512"/>
      <c r="BW1260" s="515"/>
    </row>
    <row r="1261" spans="2:75" ht="15.75" customHeight="1">
      <c r="B1261" s="250" t="s">
        <v>74</v>
      </c>
      <c r="C1261" s="251">
        <v>29286406000164</v>
      </c>
      <c r="D1261" s="252" t="s">
        <v>13</v>
      </c>
      <c r="E1261" s="252" t="s">
        <v>615</v>
      </c>
      <c r="F1261" s="252" t="s">
        <v>619</v>
      </c>
      <c r="G1261" s="253" t="s">
        <v>34</v>
      </c>
      <c r="H1261" s="253" t="s">
        <v>1338</v>
      </c>
      <c r="I1261" s="253" t="s">
        <v>34</v>
      </c>
      <c r="J1261" s="253" t="s">
        <v>611</v>
      </c>
      <c r="K1261" s="254" t="s">
        <v>48</v>
      </c>
      <c r="L1261" s="255"/>
      <c r="M1261" s="255" t="s">
        <v>34</v>
      </c>
      <c r="N1261" s="254">
        <v>459518</v>
      </c>
      <c r="O1261" s="254" t="s">
        <v>1321</v>
      </c>
      <c r="P1261" s="258">
        <v>43158</v>
      </c>
      <c r="Q1261" s="259">
        <v>120071294.14</v>
      </c>
      <c r="R1261" s="259">
        <v>181664911.95123014</v>
      </c>
      <c r="S1261" s="254">
        <v>61</v>
      </c>
      <c r="T1261" s="256">
        <v>-3.964071269022984E-3</v>
      </c>
      <c r="U1261" s="256">
        <v>-5.1244323007513325E-2</v>
      </c>
      <c r="V1261" s="256">
        <v>9.286076010297073E-3</v>
      </c>
      <c r="W1261" s="256">
        <v>9.1034595081000813E-2</v>
      </c>
      <c r="X1261" s="256">
        <v>4.9552932844920239E-2</v>
      </c>
      <c r="Y1261" s="256">
        <v>0.37576889157605992</v>
      </c>
      <c r="Z1261" s="256">
        <v>7.5806447628356644E-2</v>
      </c>
      <c r="AA1261" s="256">
        <v>0.43090842388011641</v>
      </c>
      <c r="AB1261" s="256">
        <v>0.100965530540813</v>
      </c>
      <c r="AC1261" s="260">
        <v>-0.82022964137935606</v>
      </c>
      <c r="AD1261" s="405">
        <v>26744792000100</v>
      </c>
      <c r="AE1261" s="257" t="s">
        <v>2130</v>
      </c>
      <c r="AF1261" s="257" t="s">
        <v>2118</v>
      </c>
      <c r="AG1261" s="261" t="s">
        <v>1433</v>
      </c>
      <c r="AH1261" s="261" t="s">
        <v>2113</v>
      </c>
      <c r="AI1261" s="261">
        <v>5000</v>
      </c>
      <c r="AJ1261" s="261">
        <v>5000</v>
      </c>
      <c r="AK1261" s="261">
        <v>5000</v>
      </c>
      <c r="AL1261" s="519">
        <v>1.9E-2</v>
      </c>
      <c r="AM1261" s="519">
        <v>0.2</v>
      </c>
      <c r="AN1261" s="256" t="s">
        <v>64</v>
      </c>
      <c r="AO1261" s="254" t="s">
        <v>1324</v>
      </c>
      <c r="AP1261" s="257" t="s">
        <v>13</v>
      </c>
      <c r="AQ1261" s="263" t="s">
        <v>664</v>
      </c>
      <c r="AR1261" s="256">
        <v>3.8E-3</v>
      </c>
      <c r="AS1261" s="256">
        <v>3.8E-3</v>
      </c>
      <c r="AT1261" s="256"/>
      <c r="AX1261" s="508"/>
      <c r="AY1261" s="509"/>
      <c r="AZ1261" s="509"/>
      <c r="BA1261" s="509"/>
      <c r="BB1261" s="510"/>
      <c r="BC1261" s="509"/>
      <c r="BD1261" s="509"/>
      <c r="BE1261" s="509"/>
      <c r="BF1261" s="509"/>
      <c r="BG1261" s="510"/>
      <c r="BH1261" s="510"/>
      <c r="BI1261" s="511"/>
      <c r="BJ1261" s="511"/>
      <c r="BK1261" s="511"/>
      <c r="BL1261" s="510"/>
      <c r="BM1261" s="510"/>
      <c r="BN1261" s="510"/>
      <c r="BO1261" s="510"/>
      <c r="BP1261" s="510"/>
      <c r="BQ1261" s="510"/>
      <c r="BR1261" s="510"/>
      <c r="BS1261" s="510"/>
      <c r="BT1261" s="513"/>
      <c r="BU1261" s="514"/>
      <c r="BV1261" s="512"/>
      <c r="BW1261" s="515"/>
    </row>
    <row r="1262" spans="2:75" ht="15.75" customHeight="1">
      <c r="B1262" s="250" t="s">
        <v>835</v>
      </c>
      <c r="C1262" s="251">
        <v>26623189000162</v>
      </c>
      <c r="D1262" s="252" t="s">
        <v>13</v>
      </c>
      <c r="E1262" s="252" t="s">
        <v>615</v>
      </c>
      <c r="F1262" s="252" t="s">
        <v>619</v>
      </c>
      <c r="G1262" s="253" t="s">
        <v>34</v>
      </c>
      <c r="H1262" s="253" t="s">
        <v>1337</v>
      </c>
      <c r="I1262" s="253" t="s">
        <v>34</v>
      </c>
      <c r="J1262" s="253"/>
      <c r="K1262" s="254" t="s">
        <v>48</v>
      </c>
      <c r="L1262" s="255"/>
      <c r="M1262" s="255" t="s">
        <v>34</v>
      </c>
      <c r="N1262" s="254">
        <v>433772</v>
      </c>
      <c r="O1262" s="254" t="s">
        <v>1321</v>
      </c>
      <c r="P1262" s="258">
        <v>42761</v>
      </c>
      <c r="Q1262" s="259">
        <v>308139252.75</v>
      </c>
      <c r="R1262" s="259">
        <v>338721607.73182577</v>
      </c>
      <c r="S1262" s="254">
        <v>61</v>
      </c>
      <c r="T1262" s="256">
        <v>0.11786698831743347</v>
      </c>
      <c r="U1262" s="256">
        <v>1.5236895634194865</v>
      </c>
      <c r="V1262" s="256">
        <v>0.10186614577441877</v>
      </c>
      <c r="W1262" s="256">
        <v>0.99862884201609592</v>
      </c>
      <c r="X1262" s="256">
        <v>0.14694409965049182</v>
      </c>
      <c r="Y1262" s="256">
        <v>1.1143038015956264</v>
      </c>
      <c r="Z1262" s="256">
        <v>0.24397763286734064</v>
      </c>
      <c r="AA1262" s="256">
        <v>1.386847959902834</v>
      </c>
      <c r="AB1262" s="256">
        <v>4.8008703760925232E-2</v>
      </c>
      <c r="AC1262" s="260">
        <v>2.1244019344184954E-2</v>
      </c>
      <c r="AD1262" s="405">
        <v>0</v>
      </c>
      <c r="AE1262" s="257" t="s">
        <v>2123</v>
      </c>
      <c r="AF1262" s="257" t="s">
        <v>2109</v>
      </c>
      <c r="AG1262" s="261" t="s">
        <v>1432</v>
      </c>
      <c r="AH1262" s="261" t="s">
        <v>2110</v>
      </c>
      <c r="AI1262" s="261">
        <v>5000</v>
      </c>
      <c r="AJ1262" s="261">
        <v>1000</v>
      </c>
      <c r="AK1262" s="261">
        <v>5000</v>
      </c>
      <c r="AL1262" s="256">
        <v>5.0000000000000001E-3</v>
      </c>
      <c r="AM1262" s="256">
        <v>0.1</v>
      </c>
      <c r="AN1262" s="256" t="s">
        <v>34</v>
      </c>
      <c r="AO1262" s="254" t="s">
        <v>1324</v>
      </c>
      <c r="AP1262" s="257" t="s">
        <v>13</v>
      </c>
      <c r="AQ1262" s="263" t="s">
        <v>668</v>
      </c>
      <c r="AR1262" s="256">
        <v>4.0000000000000001E-3</v>
      </c>
      <c r="AS1262" s="256">
        <v>4.0000000000000001E-3</v>
      </c>
      <c r="AT1262" s="256"/>
      <c r="AX1262" s="508"/>
      <c r="AY1262" s="509"/>
      <c r="AZ1262" s="509"/>
      <c r="BA1262" s="509"/>
      <c r="BB1262" s="510"/>
      <c r="BC1262" s="509"/>
      <c r="BD1262" s="509"/>
      <c r="BE1262" s="509"/>
      <c r="BF1262" s="509"/>
      <c r="BG1262" s="510"/>
      <c r="BH1262" s="510"/>
      <c r="BI1262" s="511"/>
      <c r="BJ1262" s="511"/>
      <c r="BK1262" s="511"/>
      <c r="BL1262" s="510"/>
      <c r="BM1262" s="510"/>
      <c r="BN1262" s="510"/>
      <c r="BO1262" s="510"/>
      <c r="BP1262" s="510"/>
      <c r="BQ1262" s="510"/>
      <c r="BR1262" s="510"/>
      <c r="BS1262" s="510"/>
      <c r="BT1262" s="513"/>
      <c r="BU1262" s="514"/>
      <c r="BV1262" s="512"/>
      <c r="BW1262" s="515"/>
    </row>
    <row r="1263" spans="2:75" ht="15.75" customHeight="1">
      <c r="B1263" s="250" t="s">
        <v>1532</v>
      </c>
      <c r="C1263" s="251">
        <v>17408524000119</v>
      </c>
      <c r="D1263" s="252" t="s">
        <v>13</v>
      </c>
      <c r="E1263" s="252" t="s">
        <v>615</v>
      </c>
      <c r="F1263" s="252" t="s">
        <v>619</v>
      </c>
      <c r="G1263" s="253" t="s">
        <v>34</v>
      </c>
      <c r="H1263" s="253" t="s">
        <v>1338</v>
      </c>
      <c r="I1263" s="253" t="s">
        <v>34</v>
      </c>
      <c r="J1263" s="253" t="s">
        <v>611</v>
      </c>
      <c r="K1263" s="254" t="s">
        <v>48</v>
      </c>
      <c r="L1263" s="255"/>
      <c r="M1263" s="255"/>
      <c r="N1263" s="254">
        <v>327840</v>
      </c>
      <c r="O1263" s="254" t="s">
        <v>1321</v>
      </c>
      <c r="P1263" s="258">
        <v>41313</v>
      </c>
      <c r="Q1263" s="259" t="s">
        <v>1393</v>
      </c>
      <c r="R1263" s="259" t="s">
        <v>1417</v>
      </c>
      <c r="S1263" s="254">
        <v>61</v>
      </c>
      <c r="T1263" s="256" t="s">
        <v>1417</v>
      </c>
      <c r="U1263" s="256" t="s">
        <v>1417</v>
      </c>
      <c r="V1263" s="256" t="s">
        <v>1417</v>
      </c>
      <c r="W1263" s="256" t="s">
        <v>1417</v>
      </c>
      <c r="X1263" s="256" t="s">
        <v>1417</v>
      </c>
      <c r="Y1263" s="256" t="s">
        <v>1417</v>
      </c>
      <c r="Z1263" s="256" t="s">
        <v>1417</v>
      </c>
      <c r="AA1263" s="256" t="s">
        <v>1417</v>
      </c>
      <c r="AB1263" s="256" t="s">
        <v>1417</v>
      </c>
      <c r="AC1263" s="260" t="s">
        <v>1417</v>
      </c>
      <c r="AD1263" s="405">
        <v>17417026000132</v>
      </c>
      <c r="AE1263" s="257" t="s">
        <v>2123</v>
      </c>
      <c r="AF1263" s="257" t="s">
        <v>2109</v>
      </c>
      <c r="AG1263" s="261" t="s">
        <v>1432</v>
      </c>
      <c r="AH1263" s="261" t="s">
        <v>2110</v>
      </c>
      <c r="AI1263" s="261">
        <v>5000</v>
      </c>
      <c r="AJ1263" s="261">
        <v>5000</v>
      </c>
      <c r="AK1263" s="261">
        <v>5000</v>
      </c>
      <c r="AL1263" s="256">
        <v>0</v>
      </c>
      <c r="AM1263" s="256" t="s">
        <v>34</v>
      </c>
      <c r="AN1263" s="256" t="s">
        <v>2127</v>
      </c>
      <c r="AO1263" s="254" t="s">
        <v>1324</v>
      </c>
      <c r="AP1263" s="257" t="s">
        <v>13</v>
      </c>
      <c r="AQ1263" s="263" t="s">
        <v>664</v>
      </c>
      <c r="AR1263" s="256">
        <v>3.3333333333333331E-3</v>
      </c>
      <c r="AS1263" s="256">
        <v>3.3333333333333331E-3</v>
      </c>
      <c r="AT1263" s="256"/>
      <c r="AX1263" s="508"/>
      <c r="AY1263" s="509"/>
      <c r="AZ1263" s="509"/>
      <c r="BA1263" s="509"/>
      <c r="BB1263" s="510"/>
      <c r="BC1263" s="509"/>
      <c r="BD1263" s="509"/>
      <c r="BE1263" s="509"/>
      <c r="BF1263" s="509"/>
      <c r="BG1263" s="510"/>
      <c r="BH1263" s="510"/>
      <c r="BI1263" s="511"/>
      <c r="BJ1263" s="511"/>
      <c r="BK1263" s="511"/>
      <c r="BL1263" s="510"/>
      <c r="BM1263" s="510"/>
      <c r="BN1263" s="510"/>
      <c r="BO1263" s="510"/>
      <c r="BP1263" s="510"/>
      <c r="BQ1263" s="510"/>
      <c r="BR1263" s="510"/>
      <c r="BS1263" s="510"/>
      <c r="BT1263" s="513"/>
      <c r="BU1263" s="514"/>
      <c r="BV1263" s="512"/>
      <c r="BW1263" s="515"/>
    </row>
    <row r="1264" spans="2:75" ht="15.75" customHeight="1">
      <c r="B1264" s="250" t="s">
        <v>1561</v>
      </c>
      <c r="C1264" s="251">
        <v>12469170000107</v>
      </c>
      <c r="D1264" s="252" t="s">
        <v>13</v>
      </c>
      <c r="E1264" s="252" t="s">
        <v>615</v>
      </c>
      <c r="F1264" s="252" t="s">
        <v>619</v>
      </c>
      <c r="G1264" s="253" t="s">
        <v>34</v>
      </c>
      <c r="H1264" s="253" t="s">
        <v>1338</v>
      </c>
      <c r="I1264" s="253" t="s">
        <v>34</v>
      </c>
      <c r="J1264" s="253" t="s">
        <v>611</v>
      </c>
      <c r="K1264" s="254" t="s">
        <v>48</v>
      </c>
      <c r="L1264" s="255"/>
      <c r="M1264" s="255"/>
      <c r="N1264" s="254">
        <v>262358</v>
      </c>
      <c r="O1264" s="254" t="s">
        <v>1324</v>
      </c>
      <c r="P1264" s="258">
        <v>40512</v>
      </c>
      <c r="Q1264" s="259">
        <v>54323329.670000002</v>
      </c>
      <c r="R1264" s="259">
        <v>64588664.896071404</v>
      </c>
      <c r="S1264" s="254">
        <v>61</v>
      </c>
      <c r="T1264" s="256">
        <v>0.17944111685503272</v>
      </c>
      <c r="U1264" s="256">
        <v>2.018338164690479</v>
      </c>
      <c r="V1264" s="256">
        <v>0.20911451190451169</v>
      </c>
      <c r="W1264" s="256">
        <v>1.9191920150034361</v>
      </c>
      <c r="X1264" s="256">
        <v>0.31822882176806488</v>
      </c>
      <c r="Y1264" s="256">
        <v>2.237718389444348</v>
      </c>
      <c r="Z1264" s="256">
        <v>0.40239340284255976</v>
      </c>
      <c r="AA1264" s="256">
        <v>2.198904377827422</v>
      </c>
      <c r="AB1264" s="256">
        <v>3.8539159553890194E-2</v>
      </c>
      <c r="AC1264" s="260">
        <v>2.2640449450056588</v>
      </c>
      <c r="AD1264" s="405">
        <v>38452321000108</v>
      </c>
      <c r="AE1264" s="257" t="s">
        <v>1547</v>
      </c>
      <c r="AF1264" s="257" t="s">
        <v>2121</v>
      </c>
      <c r="AG1264" s="261" t="s">
        <v>59</v>
      </c>
      <c r="AH1264" s="261" t="s">
        <v>2113</v>
      </c>
      <c r="AI1264" s="261">
        <v>50000</v>
      </c>
      <c r="AJ1264" s="261">
        <v>50000</v>
      </c>
      <c r="AK1264" s="261">
        <v>50000</v>
      </c>
      <c r="AL1264" s="256">
        <v>0</v>
      </c>
      <c r="AM1264" s="256" t="s">
        <v>34</v>
      </c>
      <c r="AN1264" s="256" t="s">
        <v>64</v>
      </c>
      <c r="AO1264" s="254" t="s">
        <v>1324</v>
      </c>
      <c r="AP1264" s="257" t="s">
        <v>13</v>
      </c>
      <c r="AQ1264" s="263" t="s">
        <v>664</v>
      </c>
      <c r="AR1264" s="256" t="s">
        <v>34</v>
      </c>
      <c r="AS1264" s="256" t="s">
        <v>34</v>
      </c>
      <c r="AT1264" s="256"/>
      <c r="AX1264" s="508"/>
      <c r="AY1264" s="509"/>
      <c r="AZ1264" s="509"/>
      <c r="BA1264" s="509"/>
      <c r="BB1264" s="510"/>
      <c r="BC1264" s="509"/>
      <c r="BD1264" s="509"/>
      <c r="BE1264" s="509"/>
      <c r="BF1264" s="509"/>
      <c r="BG1264" s="510"/>
      <c r="BH1264" s="510"/>
      <c r="BI1264" s="511"/>
      <c r="BJ1264" s="511"/>
      <c r="BK1264" s="511"/>
      <c r="BL1264" s="510"/>
      <c r="BM1264" s="510"/>
      <c r="BN1264" s="510"/>
      <c r="BO1264" s="510"/>
      <c r="BP1264" s="510"/>
      <c r="BQ1264" s="510"/>
      <c r="BR1264" s="510"/>
      <c r="BS1264" s="510"/>
      <c r="BT1264" s="513"/>
      <c r="BU1264" s="514"/>
      <c r="BV1264" s="512"/>
      <c r="BW1264" s="515"/>
    </row>
    <row r="1265" spans="2:75" ht="15.75" customHeight="1">
      <c r="B1265" s="250" t="s">
        <v>1031</v>
      </c>
      <c r="C1265" s="251">
        <v>35088117000153</v>
      </c>
      <c r="D1265" s="252" t="s">
        <v>13</v>
      </c>
      <c r="E1265" s="252" t="s">
        <v>615</v>
      </c>
      <c r="F1265" s="252" t="s">
        <v>619</v>
      </c>
      <c r="G1265" s="253" t="s">
        <v>34</v>
      </c>
      <c r="H1265" s="253" t="s">
        <v>865</v>
      </c>
      <c r="I1265" s="253" t="s">
        <v>34</v>
      </c>
      <c r="J1265" s="253" t="s">
        <v>611</v>
      </c>
      <c r="K1265" s="254" t="s">
        <v>48</v>
      </c>
      <c r="L1265" s="255"/>
      <c r="M1265" s="255" t="s">
        <v>1414</v>
      </c>
      <c r="N1265" s="254">
        <v>519650</v>
      </c>
      <c r="O1265" s="254" t="s">
        <v>1324</v>
      </c>
      <c r="P1265" s="258">
        <v>43822</v>
      </c>
      <c r="Q1265" s="259">
        <v>200916560.03999999</v>
      </c>
      <c r="R1265" s="259">
        <v>147020084.92166674</v>
      </c>
      <c r="S1265" s="254">
        <v>61</v>
      </c>
      <c r="T1265" s="256">
        <v>0.14758328758191275</v>
      </c>
      <c r="U1265" s="256">
        <v>1.907837964079353</v>
      </c>
      <c r="V1265" s="256">
        <v>0.19704663782874343</v>
      </c>
      <c r="W1265" s="256">
        <v>1.9317159225189686</v>
      </c>
      <c r="X1265" s="256">
        <v>0.3571170022476613</v>
      </c>
      <c r="Y1265" s="256">
        <v>2.7080831021150225</v>
      </c>
      <c r="Z1265" s="256" t="s">
        <v>1417</v>
      </c>
      <c r="AA1265" s="256" t="s">
        <v>1417</v>
      </c>
      <c r="AB1265" s="256">
        <v>6.9794952406872252E-2</v>
      </c>
      <c r="AC1265" s="260">
        <v>1.2206500866429597</v>
      </c>
      <c r="AD1265" s="405">
        <v>35002571000140</v>
      </c>
      <c r="AE1265" s="257" t="s">
        <v>2123</v>
      </c>
      <c r="AF1265" s="257" t="s">
        <v>2109</v>
      </c>
      <c r="AG1265" s="261" t="s">
        <v>1432</v>
      </c>
      <c r="AH1265" s="261" t="s">
        <v>2110</v>
      </c>
      <c r="AI1265" s="261">
        <v>10000</v>
      </c>
      <c r="AJ1265" s="261">
        <v>10000</v>
      </c>
      <c r="AK1265" s="261">
        <v>10000</v>
      </c>
      <c r="AL1265" s="256">
        <v>0</v>
      </c>
      <c r="AM1265" s="256" t="s">
        <v>34</v>
      </c>
      <c r="AN1265" s="256" t="s">
        <v>34</v>
      </c>
      <c r="AO1265" s="254" t="s">
        <v>1324</v>
      </c>
      <c r="AP1265" s="257" t="s">
        <v>13</v>
      </c>
      <c r="AQ1265" s="263" t="s">
        <v>664</v>
      </c>
      <c r="AR1265" s="256" t="s">
        <v>34</v>
      </c>
      <c r="AS1265" s="256" t="s">
        <v>34</v>
      </c>
      <c r="AT1265" s="256"/>
      <c r="AX1265" s="508"/>
      <c r="AY1265" s="509"/>
      <c r="AZ1265" s="509"/>
      <c r="BA1265" s="509"/>
      <c r="BB1265" s="510"/>
      <c r="BC1265" s="509"/>
      <c r="BD1265" s="509"/>
      <c r="BE1265" s="509"/>
      <c r="BF1265" s="509"/>
      <c r="BG1265" s="510"/>
      <c r="BH1265" s="510"/>
      <c r="BI1265" s="511"/>
      <c r="BJ1265" s="511"/>
      <c r="BK1265" s="511"/>
      <c r="BL1265" s="510"/>
      <c r="BM1265" s="510"/>
      <c r="BN1265" s="510"/>
      <c r="BO1265" s="510"/>
      <c r="BP1265" s="510"/>
      <c r="BQ1265" s="510"/>
      <c r="BR1265" s="510"/>
      <c r="BS1265" s="510"/>
      <c r="BT1265" s="513"/>
      <c r="BU1265" s="514"/>
      <c r="BV1265" s="512"/>
      <c r="BW1265" s="515"/>
    </row>
    <row r="1266" spans="2:75" ht="15.75" customHeight="1">
      <c r="B1266" s="250" t="s">
        <v>272</v>
      </c>
      <c r="C1266" s="251">
        <v>35711552000192</v>
      </c>
      <c r="D1266" s="252" t="s">
        <v>13</v>
      </c>
      <c r="E1266" s="252" t="s">
        <v>615</v>
      </c>
      <c r="F1266" s="252" t="s">
        <v>619</v>
      </c>
      <c r="G1266" s="253" t="s">
        <v>34</v>
      </c>
      <c r="H1266" s="253" t="s">
        <v>865</v>
      </c>
      <c r="I1266" s="253" t="s">
        <v>34</v>
      </c>
      <c r="J1266" s="253" t="s">
        <v>611</v>
      </c>
      <c r="K1266" s="254" t="s">
        <v>48</v>
      </c>
      <c r="L1266" s="255"/>
      <c r="M1266" s="255" t="s">
        <v>1414</v>
      </c>
      <c r="N1266" s="254">
        <v>524468</v>
      </c>
      <c r="O1266" s="254" t="s">
        <v>1324</v>
      </c>
      <c r="P1266" s="258">
        <v>43872</v>
      </c>
      <c r="Q1266" s="259">
        <v>323778289.69999999</v>
      </c>
      <c r="R1266" s="259">
        <v>352151789.71174592</v>
      </c>
      <c r="S1266" s="254">
        <v>61</v>
      </c>
      <c r="T1266" s="256">
        <v>0.18466856921992192</v>
      </c>
      <c r="U1266" s="256">
        <v>2.3872466381699011</v>
      </c>
      <c r="V1266" s="256">
        <v>0.22697693532588881</v>
      </c>
      <c r="W1266" s="256">
        <v>2.2251329169830658</v>
      </c>
      <c r="X1266" s="256">
        <v>0.27857721265932978</v>
      </c>
      <c r="Y1266" s="256">
        <v>2.1125016100853387</v>
      </c>
      <c r="Z1266" s="256" t="s">
        <v>1417</v>
      </c>
      <c r="AA1266" s="256" t="s">
        <v>1417</v>
      </c>
      <c r="AB1266" s="256">
        <v>5.5942837861717769E-2</v>
      </c>
      <c r="AC1266" s="260">
        <v>1.9491678448238392</v>
      </c>
      <c r="AD1266" s="405">
        <v>29236556000163</v>
      </c>
      <c r="AE1266" s="257" t="s">
        <v>2305</v>
      </c>
      <c r="AF1266" s="257" t="s">
        <v>2118</v>
      </c>
      <c r="AG1266" s="261" t="s">
        <v>1433</v>
      </c>
      <c r="AH1266" s="261" t="s">
        <v>2113</v>
      </c>
      <c r="AI1266" s="261">
        <v>25000</v>
      </c>
      <c r="AJ1266" s="261">
        <v>5000</v>
      </c>
      <c r="AK1266" s="261">
        <v>10000</v>
      </c>
      <c r="AL1266" s="256">
        <v>1.9E-2</v>
      </c>
      <c r="AM1266" s="256">
        <v>0.2</v>
      </c>
      <c r="AN1266" s="256" t="s">
        <v>34</v>
      </c>
      <c r="AO1266" s="254" t="s">
        <v>1324</v>
      </c>
      <c r="AP1266" s="257" t="s">
        <v>13</v>
      </c>
      <c r="AQ1266" s="263" t="s">
        <v>664</v>
      </c>
      <c r="AR1266" s="256">
        <v>2.5333333333333332E-3</v>
      </c>
      <c r="AS1266" s="256">
        <v>2.5333333333333332E-3</v>
      </c>
      <c r="AT1266" s="256"/>
      <c r="AX1266" s="508"/>
      <c r="AY1266" s="509"/>
      <c r="AZ1266" s="509"/>
      <c r="BA1266" s="509"/>
      <c r="BB1266" s="510"/>
      <c r="BC1266" s="509"/>
      <c r="BD1266" s="509"/>
      <c r="BE1266" s="509"/>
      <c r="BF1266" s="509"/>
      <c r="BG1266" s="510"/>
      <c r="BH1266" s="510"/>
      <c r="BI1266" s="511"/>
      <c r="BJ1266" s="511"/>
      <c r="BK1266" s="511"/>
      <c r="BL1266" s="510"/>
      <c r="BM1266" s="510"/>
      <c r="BN1266" s="510"/>
      <c r="BO1266" s="510"/>
      <c r="BP1266" s="510"/>
      <c r="BQ1266" s="510"/>
      <c r="BR1266" s="510"/>
      <c r="BS1266" s="510"/>
      <c r="BT1266" s="513"/>
      <c r="BU1266" s="514"/>
      <c r="BV1266" s="512"/>
      <c r="BW1266" s="515"/>
    </row>
    <row r="1267" spans="2:75" ht="15.75" customHeight="1">
      <c r="B1267" s="250" t="s">
        <v>1617</v>
      </c>
      <c r="C1267" s="251">
        <v>28651580000104</v>
      </c>
      <c r="D1267" s="252" t="s">
        <v>13</v>
      </c>
      <c r="E1267" s="252" t="s">
        <v>615</v>
      </c>
      <c r="F1267" s="252" t="s">
        <v>619</v>
      </c>
      <c r="G1267" s="253" t="s">
        <v>34</v>
      </c>
      <c r="H1267" s="253" t="s">
        <v>1338</v>
      </c>
      <c r="I1267" s="253" t="s">
        <v>34</v>
      </c>
      <c r="J1267" s="253" t="s">
        <v>611</v>
      </c>
      <c r="K1267" s="254" t="s">
        <v>48</v>
      </c>
      <c r="L1267" s="255"/>
      <c r="M1267" s="255"/>
      <c r="N1267" s="254">
        <v>460486</v>
      </c>
      <c r="O1267" s="254" t="s">
        <v>1321</v>
      </c>
      <c r="P1267" s="258">
        <v>43167</v>
      </c>
      <c r="Q1267" s="259">
        <v>2141399.61</v>
      </c>
      <c r="R1267" s="259">
        <v>2597302.8455555541</v>
      </c>
      <c r="S1267" s="254">
        <v>61</v>
      </c>
      <c r="T1267" s="256">
        <v>-1.0877482804413696E-2</v>
      </c>
      <c r="U1267" s="256">
        <v>-0.12234898592193441</v>
      </c>
      <c r="V1267" s="256">
        <v>1.9303463124922926E-2</v>
      </c>
      <c r="W1267" s="256">
        <v>0.17716155590474855</v>
      </c>
      <c r="X1267" s="256">
        <v>6.2578058253145885E-2</v>
      </c>
      <c r="Y1267" s="256">
        <v>0.44003579232947027</v>
      </c>
      <c r="Z1267" s="256">
        <v>5.990149939660161E-2</v>
      </c>
      <c r="AA1267" s="256">
        <v>0.32733555851349216</v>
      </c>
      <c r="AB1267" s="256">
        <v>9.8331117746616348E-2</v>
      </c>
      <c r="AC1267" s="260">
        <v>-0.80842453423453708</v>
      </c>
      <c r="AD1267" s="405">
        <v>29286406000164</v>
      </c>
      <c r="AE1267" s="257" t="s">
        <v>2318</v>
      </c>
      <c r="AF1267" s="257" t="s">
        <v>2318</v>
      </c>
      <c r="AG1267" s="261" t="s">
        <v>1436</v>
      </c>
      <c r="AH1267" s="261" t="s">
        <v>2113</v>
      </c>
      <c r="AI1267" s="261">
        <v>1000</v>
      </c>
      <c r="AJ1267" s="261">
        <v>100</v>
      </c>
      <c r="AK1267" s="261">
        <v>1000</v>
      </c>
      <c r="AL1267" s="256">
        <v>0</v>
      </c>
      <c r="AM1267" s="256" t="s">
        <v>34</v>
      </c>
      <c r="AN1267" s="256" t="s">
        <v>64</v>
      </c>
      <c r="AO1267" s="254" t="s">
        <v>1324</v>
      </c>
      <c r="AP1267" s="257" t="s">
        <v>13</v>
      </c>
      <c r="AQ1267" s="263" t="s">
        <v>664</v>
      </c>
      <c r="AR1267" s="256" t="s">
        <v>34</v>
      </c>
      <c r="AS1267" s="256" t="s">
        <v>34</v>
      </c>
      <c r="AT1267" s="256"/>
      <c r="AX1267" s="508"/>
      <c r="AY1267" s="509"/>
      <c r="AZ1267" s="509"/>
      <c r="BA1267" s="509"/>
      <c r="BB1267" s="510"/>
      <c r="BC1267" s="509"/>
      <c r="BD1267" s="509"/>
      <c r="BE1267" s="509"/>
      <c r="BF1267" s="509"/>
      <c r="BG1267" s="510"/>
      <c r="BH1267" s="510"/>
      <c r="BI1267" s="511"/>
      <c r="BJ1267" s="511"/>
      <c r="BK1267" s="511"/>
      <c r="BL1267" s="510"/>
      <c r="BM1267" s="510"/>
      <c r="BN1267" s="510"/>
      <c r="BO1267" s="510"/>
      <c r="BP1267" s="510"/>
      <c r="BQ1267" s="510"/>
      <c r="BR1267" s="510"/>
      <c r="BS1267" s="510"/>
      <c r="BT1267" s="513"/>
      <c r="BU1267" s="514"/>
      <c r="BV1267" s="512"/>
      <c r="BW1267" s="515"/>
    </row>
    <row r="1268" spans="2:75" ht="15.75" customHeight="1">
      <c r="B1268" s="250" t="s">
        <v>1642</v>
      </c>
      <c r="C1268" s="251">
        <v>27782855000178</v>
      </c>
      <c r="D1268" s="252" t="s">
        <v>13</v>
      </c>
      <c r="E1268" s="252" t="s">
        <v>615</v>
      </c>
      <c r="F1268" s="252" t="s">
        <v>619</v>
      </c>
      <c r="G1268" s="253" t="s">
        <v>34</v>
      </c>
      <c r="H1268" s="253" t="s">
        <v>1338</v>
      </c>
      <c r="I1268" s="253" t="s">
        <v>34</v>
      </c>
      <c r="J1268" s="253" t="s">
        <v>611</v>
      </c>
      <c r="K1268" s="254" t="s">
        <v>48</v>
      </c>
      <c r="L1268" s="255"/>
      <c r="M1268" s="255"/>
      <c r="N1268" s="254">
        <v>443298</v>
      </c>
      <c r="O1268" s="254" t="s">
        <v>1321</v>
      </c>
      <c r="P1268" s="258">
        <v>42913</v>
      </c>
      <c r="Q1268" s="259">
        <v>452193314.27999997</v>
      </c>
      <c r="R1268" s="259">
        <v>571441490.29111171</v>
      </c>
      <c r="S1268" s="254">
        <v>61</v>
      </c>
      <c r="T1268" s="256">
        <v>0.14281897664112253</v>
      </c>
      <c r="U1268" s="256">
        <v>1.6064154985710066</v>
      </c>
      <c r="V1268" s="256">
        <v>0.15750833487771687</v>
      </c>
      <c r="W1268" s="256">
        <v>1.4455655699870129</v>
      </c>
      <c r="X1268" s="256">
        <v>0.40837085547102348</v>
      </c>
      <c r="Y1268" s="256">
        <v>2.8715782810730106</v>
      </c>
      <c r="Z1268" s="256">
        <v>0.32387196397687923</v>
      </c>
      <c r="AA1268" s="256">
        <v>1.7698189742016361</v>
      </c>
      <c r="AB1268" s="256">
        <v>6.4297415455575768E-2</v>
      </c>
      <c r="AC1268" s="260">
        <v>0.6987523694447566</v>
      </c>
      <c r="AD1268" s="405">
        <v>0</v>
      </c>
      <c r="AE1268" s="257" t="s">
        <v>2318</v>
      </c>
      <c r="AF1268" s="257" t="s">
        <v>2318</v>
      </c>
      <c r="AG1268" s="261" t="s">
        <v>1436</v>
      </c>
      <c r="AH1268" s="261" t="s">
        <v>2110</v>
      </c>
      <c r="AI1268" s="261">
        <v>100000</v>
      </c>
      <c r="AJ1268" s="261">
        <v>50000</v>
      </c>
      <c r="AK1268" s="261">
        <v>100000</v>
      </c>
      <c r="AL1268" s="256">
        <v>0</v>
      </c>
      <c r="AM1268" s="256" t="s">
        <v>34</v>
      </c>
      <c r="AN1268" s="256" t="s">
        <v>64</v>
      </c>
      <c r="AO1268" s="254" t="s">
        <v>1324</v>
      </c>
      <c r="AP1268" s="257" t="s">
        <v>13</v>
      </c>
      <c r="AQ1268" s="263" t="s">
        <v>668</v>
      </c>
      <c r="AR1268" s="256" t="s">
        <v>34</v>
      </c>
      <c r="AS1268" s="256" t="s">
        <v>34</v>
      </c>
      <c r="AT1268" s="256"/>
      <c r="AX1268" s="508"/>
      <c r="AY1268" s="509"/>
      <c r="AZ1268" s="509"/>
      <c r="BA1268" s="509"/>
      <c r="BB1268" s="510"/>
      <c r="BC1268" s="509"/>
      <c r="BD1268" s="509"/>
      <c r="BE1268" s="509"/>
      <c r="BF1268" s="509"/>
      <c r="BG1268" s="510"/>
      <c r="BH1268" s="510"/>
      <c r="BI1268" s="511"/>
      <c r="BJ1268" s="511"/>
      <c r="BK1268" s="511"/>
      <c r="BL1268" s="510"/>
      <c r="BM1268" s="510"/>
      <c r="BN1268" s="510"/>
      <c r="BO1268" s="510"/>
      <c r="BP1268" s="510"/>
      <c r="BQ1268" s="510"/>
      <c r="BR1268" s="510"/>
      <c r="BS1268" s="510"/>
      <c r="BT1268" s="513"/>
      <c r="BU1268" s="514"/>
      <c r="BV1268" s="512"/>
      <c r="BW1268" s="515"/>
    </row>
    <row r="1269" spans="2:75" ht="15.75" customHeight="1">
      <c r="B1269" s="250" t="s">
        <v>1666</v>
      </c>
      <c r="C1269" s="251">
        <v>12483948000124</v>
      </c>
      <c r="D1269" s="252" t="s">
        <v>13</v>
      </c>
      <c r="E1269" s="252" t="s">
        <v>615</v>
      </c>
      <c r="F1269" s="252" t="s">
        <v>619</v>
      </c>
      <c r="G1269" s="253" t="s">
        <v>34</v>
      </c>
      <c r="H1269" s="253" t="s">
        <v>1338</v>
      </c>
      <c r="I1269" s="253" t="s">
        <v>34</v>
      </c>
      <c r="J1269" s="253" t="s">
        <v>611</v>
      </c>
      <c r="K1269" s="254" t="s">
        <v>48</v>
      </c>
      <c r="L1269" s="255"/>
      <c r="M1269" s="255"/>
      <c r="N1269" s="254">
        <v>267805</v>
      </c>
      <c r="O1269" s="254" t="s">
        <v>1324</v>
      </c>
      <c r="P1269" s="258">
        <v>40582</v>
      </c>
      <c r="Q1269" s="259" t="s">
        <v>1393</v>
      </c>
      <c r="R1269" s="259" t="s">
        <v>1417</v>
      </c>
      <c r="S1269" s="254">
        <v>61</v>
      </c>
      <c r="T1269" s="256" t="s">
        <v>1417</v>
      </c>
      <c r="U1269" s="256" t="s">
        <v>1417</v>
      </c>
      <c r="V1269" s="256" t="s">
        <v>1417</v>
      </c>
      <c r="W1269" s="256" t="s">
        <v>1417</v>
      </c>
      <c r="X1269" s="256" t="s">
        <v>1417</v>
      </c>
      <c r="Y1269" s="256" t="s">
        <v>1417</v>
      </c>
      <c r="Z1269" s="256" t="s">
        <v>1417</v>
      </c>
      <c r="AA1269" s="256" t="s">
        <v>1417</v>
      </c>
      <c r="AB1269" s="256" t="s">
        <v>1417</v>
      </c>
      <c r="AC1269" s="260" t="s">
        <v>1417</v>
      </c>
      <c r="AD1269" s="405">
        <v>38452255000168</v>
      </c>
      <c r="AE1269" s="257" t="s">
        <v>2318</v>
      </c>
      <c r="AF1269" s="257" t="s">
        <v>2318</v>
      </c>
      <c r="AG1269" s="261" t="s">
        <v>1436</v>
      </c>
      <c r="AH1269" s="261" t="s">
        <v>2319</v>
      </c>
      <c r="AI1269" s="261">
        <v>5000</v>
      </c>
      <c r="AJ1269" s="261">
        <v>1000</v>
      </c>
      <c r="AK1269" s="261">
        <v>5000</v>
      </c>
      <c r="AL1269" s="256">
        <v>0</v>
      </c>
      <c r="AM1269" s="256" t="s">
        <v>34</v>
      </c>
      <c r="AN1269" s="256" t="s">
        <v>64</v>
      </c>
      <c r="AO1269" s="254" t="s">
        <v>1324</v>
      </c>
      <c r="AP1269" s="257" t="s">
        <v>13</v>
      </c>
      <c r="AQ1269" s="263" t="s">
        <v>668</v>
      </c>
      <c r="AR1269" s="256" t="s">
        <v>34</v>
      </c>
      <c r="AS1269" s="256" t="s">
        <v>34</v>
      </c>
      <c r="AT1269" s="256"/>
      <c r="AX1269" s="508"/>
      <c r="AY1269" s="509"/>
      <c r="AZ1269" s="509"/>
      <c r="BA1269" s="509"/>
      <c r="BB1269" s="510"/>
      <c r="BC1269" s="509"/>
      <c r="BD1269" s="509"/>
      <c r="BE1269" s="509"/>
      <c r="BF1269" s="509"/>
      <c r="BG1269" s="510"/>
      <c r="BH1269" s="510"/>
      <c r="BI1269" s="511"/>
      <c r="BJ1269" s="511"/>
      <c r="BK1269" s="511"/>
      <c r="BL1269" s="510"/>
      <c r="BM1269" s="510"/>
      <c r="BN1269" s="510"/>
      <c r="BO1269" s="510"/>
      <c r="BP1269" s="510"/>
      <c r="BQ1269" s="510"/>
      <c r="BR1269" s="510"/>
      <c r="BS1269" s="510"/>
      <c r="BT1269" s="513"/>
      <c r="BU1269" s="514"/>
      <c r="BV1269" s="512"/>
      <c r="BW1269" s="515"/>
    </row>
    <row r="1270" spans="2:75" ht="15.75" customHeight="1">
      <c r="B1270" s="250" t="s">
        <v>1692</v>
      </c>
      <c r="C1270" s="251">
        <v>29127763000180</v>
      </c>
      <c r="D1270" s="252" t="s">
        <v>13</v>
      </c>
      <c r="E1270" s="252" t="s">
        <v>615</v>
      </c>
      <c r="F1270" s="252" t="s">
        <v>619</v>
      </c>
      <c r="G1270" s="253" t="s">
        <v>34</v>
      </c>
      <c r="H1270" s="253" t="s">
        <v>1338</v>
      </c>
      <c r="I1270" s="253" t="s">
        <v>34</v>
      </c>
      <c r="J1270" s="253" t="s">
        <v>611</v>
      </c>
      <c r="K1270" s="254" t="s">
        <v>48</v>
      </c>
      <c r="L1270" s="255"/>
      <c r="M1270" s="255"/>
      <c r="N1270" s="254">
        <v>459542</v>
      </c>
      <c r="O1270" s="254" t="s">
        <v>1321</v>
      </c>
      <c r="P1270" s="258">
        <v>43159</v>
      </c>
      <c r="Q1270" s="259" t="s">
        <v>1393</v>
      </c>
      <c r="R1270" s="259" t="s">
        <v>1417</v>
      </c>
      <c r="S1270" s="254">
        <v>61</v>
      </c>
      <c r="T1270" s="256" t="s">
        <v>1417</v>
      </c>
      <c r="U1270" s="256" t="s">
        <v>1417</v>
      </c>
      <c r="V1270" s="256" t="s">
        <v>1417</v>
      </c>
      <c r="W1270" s="256" t="s">
        <v>1417</v>
      </c>
      <c r="X1270" s="256" t="s">
        <v>1417</v>
      </c>
      <c r="Y1270" s="256" t="s">
        <v>1417</v>
      </c>
      <c r="Z1270" s="256" t="s">
        <v>1417</v>
      </c>
      <c r="AA1270" s="256" t="s">
        <v>1417</v>
      </c>
      <c r="AB1270" s="256" t="s">
        <v>1417</v>
      </c>
      <c r="AC1270" s="260" t="s">
        <v>1417</v>
      </c>
      <c r="AD1270" s="405">
        <v>17417026000132</v>
      </c>
      <c r="AE1270" s="257" t="s">
        <v>2123</v>
      </c>
      <c r="AF1270" s="257" t="s">
        <v>2109</v>
      </c>
      <c r="AG1270" s="261" t="s">
        <v>1432</v>
      </c>
      <c r="AH1270" s="261" t="s">
        <v>2110</v>
      </c>
      <c r="AI1270" s="261">
        <v>5000</v>
      </c>
      <c r="AJ1270" s="261">
        <v>5000</v>
      </c>
      <c r="AK1270" s="261">
        <v>5000</v>
      </c>
      <c r="AL1270" s="256">
        <v>0</v>
      </c>
      <c r="AM1270" s="256" t="s">
        <v>34</v>
      </c>
      <c r="AN1270" s="256" t="s">
        <v>34</v>
      </c>
      <c r="AO1270" s="254" t="s">
        <v>1324</v>
      </c>
      <c r="AP1270" s="257" t="s">
        <v>13</v>
      </c>
      <c r="AQ1270" s="263" t="s">
        <v>664</v>
      </c>
      <c r="AR1270" s="256">
        <v>3.3333333333333331E-3</v>
      </c>
      <c r="AS1270" s="256">
        <v>3.3333333333333331E-3</v>
      </c>
      <c r="AT1270" s="256"/>
      <c r="AX1270" s="508"/>
      <c r="AY1270" s="509"/>
      <c r="AZ1270" s="509"/>
      <c r="BA1270" s="509"/>
      <c r="BB1270" s="510"/>
      <c r="BC1270" s="509"/>
      <c r="BD1270" s="509"/>
      <c r="BE1270" s="509"/>
      <c r="BF1270" s="509"/>
      <c r="BG1270" s="510"/>
      <c r="BH1270" s="510"/>
      <c r="BI1270" s="511"/>
      <c r="BJ1270" s="511"/>
      <c r="BK1270" s="511"/>
      <c r="BL1270" s="510"/>
      <c r="BM1270" s="510"/>
      <c r="BN1270" s="510"/>
      <c r="BO1270" s="510"/>
      <c r="BP1270" s="510"/>
      <c r="BQ1270" s="510"/>
      <c r="BR1270" s="510"/>
      <c r="BS1270" s="510"/>
      <c r="BT1270" s="513"/>
      <c r="BU1270" s="514"/>
      <c r="BV1270" s="512"/>
      <c r="BW1270" s="515"/>
    </row>
    <row r="1271" spans="2:75" ht="15.75" customHeight="1">
      <c r="B1271" s="250" t="s">
        <v>541</v>
      </c>
      <c r="C1271" s="251">
        <v>43508144000166</v>
      </c>
      <c r="D1271" s="252" t="s">
        <v>13</v>
      </c>
      <c r="E1271" s="252" t="s">
        <v>615</v>
      </c>
      <c r="F1271" s="252" t="s">
        <v>619</v>
      </c>
      <c r="G1271" s="253" t="s">
        <v>34</v>
      </c>
      <c r="H1271" s="253" t="s">
        <v>1338</v>
      </c>
      <c r="I1271" s="253" t="s">
        <v>34</v>
      </c>
      <c r="J1271" s="253"/>
      <c r="K1271" s="254" t="s">
        <v>48</v>
      </c>
      <c r="L1271" s="255"/>
      <c r="M1271" s="255" t="s">
        <v>1414</v>
      </c>
      <c r="N1271" s="254">
        <v>617040</v>
      </c>
      <c r="O1271" s="254" t="s">
        <v>1321</v>
      </c>
      <c r="P1271" s="258">
        <v>44476</v>
      </c>
      <c r="Q1271" s="259">
        <v>14968954.27</v>
      </c>
      <c r="R1271" s="259" t="s">
        <v>1417</v>
      </c>
      <c r="S1271" s="254">
        <v>61</v>
      </c>
      <c r="T1271" s="256">
        <v>9.8465958012000865E-2</v>
      </c>
      <c r="U1271" s="256">
        <v>1.2728886579415233</v>
      </c>
      <c r="V1271" s="256" t="s">
        <v>1417</v>
      </c>
      <c r="W1271" s="256" t="s">
        <v>1417</v>
      </c>
      <c r="X1271" s="256" t="s">
        <v>1417</v>
      </c>
      <c r="Y1271" s="256" t="s">
        <v>1417</v>
      </c>
      <c r="Z1271" s="256" t="s">
        <v>1417</v>
      </c>
      <c r="AA1271" s="256" t="s">
        <v>1417</v>
      </c>
      <c r="AB1271" s="256" t="s">
        <v>1417</v>
      </c>
      <c r="AC1271" s="260" t="s">
        <v>1417</v>
      </c>
      <c r="AD1271" s="405">
        <v>0</v>
      </c>
      <c r="AE1271" s="257" t="s">
        <v>2419</v>
      </c>
      <c r="AF1271" s="257" t="s">
        <v>2109</v>
      </c>
      <c r="AG1271" s="261" t="s">
        <v>1432</v>
      </c>
      <c r="AH1271" s="261" t="s">
        <v>2110</v>
      </c>
      <c r="AI1271" s="261">
        <v>0</v>
      </c>
      <c r="AJ1271" s="261">
        <v>0</v>
      </c>
      <c r="AK1271" s="261">
        <v>0</v>
      </c>
      <c r="AL1271" s="256">
        <v>1.4999999999999999E-2</v>
      </c>
      <c r="AM1271" s="256" t="s">
        <v>34</v>
      </c>
      <c r="AN1271" s="256" t="s">
        <v>64</v>
      </c>
      <c r="AO1271" s="254" t="s">
        <v>1324</v>
      </c>
      <c r="AP1271" s="257" t="s">
        <v>13</v>
      </c>
      <c r="AQ1271" s="263" t="s">
        <v>671</v>
      </c>
      <c r="AR1271" s="256" t="s">
        <v>34</v>
      </c>
      <c r="AS1271" s="256" t="s">
        <v>34</v>
      </c>
      <c r="AT1271" s="256"/>
      <c r="AX1271" s="508"/>
      <c r="AY1271" s="509"/>
      <c r="AZ1271" s="509"/>
      <c r="BA1271" s="509"/>
      <c r="BB1271" s="510"/>
      <c r="BC1271" s="509"/>
      <c r="BD1271" s="509"/>
      <c r="BE1271" s="509"/>
      <c r="BF1271" s="509"/>
      <c r="BG1271" s="510"/>
      <c r="BH1271" s="510"/>
      <c r="BI1271" s="511"/>
      <c r="BJ1271" s="511"/>
      <c r="BK1271" s="511"/>
      <c r="BL1271" s="510"/>
      <c r="BM1271" s="510"/>
      <c r="BN1271" s="510"/>
      <c r="BO1271" s="510"/>
      <c r="BP1271" s="510"/>
      <c r="BQ1271" s="510"/>
      <c r="BR1271" s="510"/>
      <c r="BS1271" s="510"/>
      <c r="BT1271" s="513"/>
      <c r="BU1271" s="514"/>
      <c r="BV1271" s="512"/>
      <c r="BW1271" s="515"/>
    </row>
    <row r="1272" spans="2:75" ht="15.75" customHeight="1">
      <c r="B1272" s="250" t="s">
        <v>1263</v>
      </c>
      <c r="C1272" s="251">
        <v>35820605000103</v>
      </c>
      <c r="D1272" s="252" t="s">
        <v>13</v>
      </c>
      <c r="E1272" s="252" t="s">
        <v>615</v>
      </c>
      <c r="F1272" s="252" t="s">
        <v>619</v>
      </c>
      <c r="G1272" s="253" t="s">
        <v>34</v>
      </c>
      <c r="H1272" s="253" t="s">
        <v>865</v>
      </c>
      <c r="I1272" s="253" t="s">
        <v>34</v>
      </c>
      <c r="J1272" s="253"/>
      <c r="K1272" s="254" t="s">
        <v>48</v>
      </c>
      <c r="L1272" s="255"/>
      <c r="M1272" s="255" t="s">
        <v>1414</v>
      </c>
      <c r="N1272" s="254">
        <v>537527</v>
      </c>
      <c r="O1272" s="254" t="s">
        <v>1321</v>
      </c>
      <c r="P1272" s="258">
        <v>43943</v>
      </c>
      <c r="Q1272" s="259">
        <v>53935960.170000002</v>
      </c>
      <c r="R1272" s="259">
        <v>63103473.71920637</v>
      </c>
      <c r="S1272" s="254">
        <v>61</v>
      </c>
      <c r="T1272" s="256">
        <v>3.9090106275416758E-3</v>
      </c>
      <c r="U1272" s="256">
        <v>5.0532543348273125E-2</v>
      </c>
      <c r="V1272" s="256">
        <v>-2.6952216328036682E-3</v>
      </c>
      <c r="W1272" s="256">
        <v>-2.6422184109172124E-2</v>
      </c>
      <c r="X1272" s="256">
        <v>8.5165157135263625E-2</v>
      </c>
      <c r="Y1272" s="256">
        <v>0.64582285770598147</v>
      </c>
      <c r="Z1272" s="256" t="s">
        <v>1417</v>
      </c>
      <c r="AA1272" s="256" t="s">
        <v>1417</v>
      </c>
      <c r="AB1272" s="256">
        <v>5.3030082992525616E-2</v>
      </c>
      <c r="AC1272" s="260">
        <v>-1.8564898600845241</v>
      </c>
      <c r="AD1272" s="405">
        <v>0</v>
      </c>
      <c r="AE1272" s="257" t="s">
        <v>2229</v>
      </c>
      <c r="AF1272" s="257" t="s">
        <v>736</v>
      </c>
      <c r="AG1272" s="261" t="s">
        <v>736</v>
      </c>
      <c r="AH1272" s="261" t="s">
        <v>2113</v>
      </c>
      <c r="AI1272" s="261">
        <v>1000</v>
      </c>
      <c r="AJ1272" s="261">
        <v>100</v>
      </c>
      <c r="AK1272" s="261">
        <v>100</v>
      </c>
      <c r="AL1272" s="256">
        <v>0</v>
      </c>
      <c r="AM1272" s="256" t="s">
        <v>34</v>
      </c>
      <c r="AN1272" s="256" t="s">
        <v>64</v>
      </c>
      <c r="AO1272" s="254" t="s">
        <v>1324</v>
      </c>
      <c r="AP1272" s="257" t="s">
        <v>13</v>
      </c>
      <c r="AQ1272" s="263" t="s">
        <v>668</v>
      </c>
      <c r="AR1272" s="256">
        <v>0</v>
      </c>
      <c r="AS1272" s="256">
        <v>0</v>
      </c>
      <c r="AT1272" s="256"/>
      <c r="AX1272" s="508"/>
      <c r="AY1272" s="509"/>
      <c r="AZ1272" s="509"/>
      <c r="BA1272" s="509"/>
      <c r="BB1272" s="510"/>
      <c r="BC1272" s="509"/>
      <c r="BD1272" s="509"/>
      <c r="BE1272" s="509"/>
      <c r="BF1272" s="509"/>
      <c r="BG1272" s="510"/>
      <c r="BH1272" s="510"/>
      <c r="BI1272" s="511"/>
      <c r="BJ1272" s="511"/>
      <c r="BK1272" s="511"/>
      <c r="BL1272" s="510"/>
      <c r="BM1272" s="510"/>
      <c r="BN1272" s="510"/>
      <c r="BO1272" s="510"/>
      <c r="BP1272" s="510"/>
      <c r="BQ1272" s="510"/>
      <c r="BR1272" s="510"/>
      <c r="BS1272" s="510"/>
      <c r="BT1272" s="513"/>
      <c r="BU1272" s="514"/>
      <c r="BV1272" s="512"/>
      <c r="BW1272" s="515"/>
    </row>
    <row r="1273" spans="2:75" ht="15.75" customHeight="1">
      <c r="B1273" s="250" t="s">
        <v>545</v>
      </c>
      <c r="C1273" s="251">
        <v>30509286000104</v>
      </c>
      <c r="D1273" s="252" t="s">
        <v>13</v>
      </c>
      <c r="E1273" s="252" t="s">
        <v>615</v>
      </c>
      <c r="F1273" s="252" t="s">
        <v>619</v>
      </c>
      <c r="G1273" s="253" t="s">
        <v>34</v>
      </c>
      <c r="H1273" s="253" t="s">
        <v>865</v>
      </c>
      <c r="I1273" s="253" t="s">
        <v>34</v>
      </c>
      <c r="J1273" s="253"/>
      <c r="K1273" s="254" t="s">
        <v>48</v>
      </c>
      <c r="L1273" s="255"/>
      <c r="M1273" s="255" t="s">
        <v>1414</v>
      </c>
      <c r="N1273" s="254">
        <v>495255</v>
      </c>
      <c r="O1273" s="254" t="s">
        <v>1321</v>
      </c>
      <c r="P1273" s="258">
        <v>43563</v>
      </c>
      <c r="Q1273" s="259">
        <v>737243822.61000001</v>
      </c>
      <c r="R1273" s="259">
        <v>873413709.483055</v>
      </c>
      <c r="S1273" s="254">
        <v>61</v>
      </c>
      <c r="T1273" s="256">
        <v>3.7719283100094758E-2</v>
      </c>
      <c r="U1273" s="256">
        <v>0.48760453473620108</v>
      </c>
      <c r="V1273" s="256">
        <v>1.0861001592880504E-2</v>
      </c>
      <c r="W1273" s="256">
        <v>0.10647413192457283</v>
      </c>
      <c r="X1273" s="256">
        <v>0.1104698255686507</v>
      </c>
      <c r="Y1273" s="256">
        <v>0.83771275529633837</v>
      </c>
      <c r="Z1273" s="256">
        <v>0.22761671848535414</v>
      </c>
      <c r="AA1273" s="256">
        <v>1.2938472185392176</v>
      </c>
      <c r="AB1273" s="256">
        <v>6.5725512099167285E-2</v>
      </c>
      <c r="AC1273" s="260">
        <v>-1.2810337310846966</v>
      </c>
      <c r="AD1273" s="405">
        <v>0</v>
      </c>
      <c r="AE1273" s="257" t="s">
        <v>2229</v>
      </c>
      <c r="AF1273" s="257" t="s">
        <v>736</v>
      </c>
      <c r="AG1273" s="261" t="s">
        <v>736</v>
      </c>
      <c r="AH1273" s="261" t="s">
        <v>2113</v>
      </c>
      <c r="AI1273" s="261">
        <v>1000</v>
      </c>
      <c r="AJ1273" s="261">
        <v>100</v>
      </c>
      <c r="AK1273" s="261">
        <v>100</v>
      </c>
      <c r="AL1273" s="256">
        <v>7.4999999999999997E-3</v>
      </c>
      <c r="AM1273" s="256">
        <v>0.1</v>
      </c>
      <c r="AN1273" s="256" t="s">
        <v>64</v>
      </c>
      <c r="AO1273" s="254" t="s">
        <v>1324</v>
      </c>
      <c r="AP1273" s="257" t="s">
        <v>13</v>
      </c>
      <c r="AQ1273" s="263" t="s">
        <v>668</v>
      </c>
      <c r="AR1273" s="256">
        <v>2.4997499999999998E-3</v>
      </c>
      <c r="AS1273" s="256">
        <v>2.4997499999999998E-3</v>
      </c>
      <c r="AT1273" s="256"/>
      <c r="AX1273" s="508"/>
      <c r="AY1273" s="509"/>
      <c r="AZ1273" s="509"/>
      <c r="BA1273" s="509"/>
      <c r="BB1273" s="510"/>
      <c r="BC1273" s="509"/>
      <c r="BD1273" s="509"/>
      <c r="BE1273" s="509"/>
      <c r="BF1273" s="509"/>
      <c r="BG1273" s="510"/>
      <c r="BH1273" s="510"/>
      <c r="BI1273" s="511"/>
      <c r="BJ1273" s="511"/>
      <c r="BK1273" s="511"/>
      <c r="BL1273" s="510"/>
      <c r="BM1273" s="510"/>
      <c r="BN1273" s="510"/>
      <c r="BO1273" s="510"/>
      <c r="BP1273" s="510"/>
      <c r="BQ1273" s="510"/>
      <c r="BR1273" s="510"/>
      <c r="BS1273" s="510"/>
      <c r="BT1273" s="513"/>
      <c r="BU1273" s="514"/>
      <c r="BV1273" s="512"/>
      <c r="BW1273" s="515"/>
    </row>
    <row r="1274" spans="2:75" ht="15.75" customHeight="1">
      <c r="B1274" s="250" t="s">
        <v>974</v>
      </c>
      <c r="C1274" s="251">
        <v>7317588000150</v>
      </c>
      <c r="D1274" s="252" t="s">
        <v>14</v>
      </c>
      <c r="E1274" s="252" t="s">
        <v>607</v>
      </c>
      <c r="F1274" s="252"/>
      <c r="G1274" s="253"/>
      <c r="H1274" s="253" t="s">
        <v>34</v>
      </c>
      <c r="I1274" s="253" t="s">
        <v>34</v>
      </c>
      <c r="J1274" s="253" t="s">
        <v>608</v>
      </c>
      <c r="K1274" s="254" t="s">
        <v>48</v>
      </c>
      <c r="L1274" s="255"/>
      <c r="M1274" s="255" t="s">
        <v>34</v>
      </c>
      <c r="N1274" s="254">
        <v>323950</v>
      </c>
      <c r="O1274" s="254" t="s">
        <v>1321</v>
      </c>
      <c r="P1274" s="258">
        <v>41145</v>
      </c>
      <c r="Q1274" s="259">
        <v>285237160.08999997</v>
      </c>
      <c r="R1274" s="259">
        <v>357984434.92186469</v>
      </c>
      <c r="S1274" s="254">
        <v>61</v>
      </c>
      <c r="T1274" s="256">
        <v>-0.1265348690764071</v>
      </c>
      <c r="U1274" s="256">
        <v>-1.635740949799563</v>
      </c>
      <c r="V1274" s="256">
        <v>-0.24594664543922684</v>
      </c>
      <c r="W1274" s="256">
        <v>-2.4110995057829832</v>
      </c>
      <c r="X1274" s="256">
        <v>-0.15468411966263962</v>
      </c>
      <c r="Y1274" s="256">
        <v>-1.1729977794040349</v>
      </c>
      <c r="Z1274" s="256">
        <v>5.3997348987493643E-2</v>
      </c>
      <c r="AA1274" s="256">
        <v>0.30693843695165768</v>
      </c>
      <c r="AB1274" s="256">
        <v>0.25938507450878401</v>
      </c>
      <c r="AC1274" s="260">
        <v>-1.332796896120785</v>
      </c>
      <c r="AD1274" s="405">
        <v>28767201000138</v>
      </c>
      <c r="AE1274" s="257" t="s">
        <v>2271</v>
      </c>
      <c r="AF1274" s="257" t="s">
        <v>2118</v>
      </c>
      <c r="AG1274" s="261" t="s">
        <v>1433</v>
      </c>
      <c r="AH1274" s="261" t="s">
        <v>2110</v>
      </c>
      <c r="AI1274" s="261">
        <v>1000</v>
      </c>
      <c r="AJ1274" s="261">
        <v>100</v>
      </c>
      <c r="AK1274" s="261">
        <v>1000</v>
      </c>
      <c r="AL1274" s="256">
        <v>1.9400000000000001E-2</v>
      </c>
      <c r="AM1274" s="256">
        <v>0.2</v>
      </c>
      <c r="AN1274" s="256" t="s">
        <v>2141</v>
      </c>
      <c r="AO1274" s="254" t="s">
        <v>1324</v>
      </c>
      <c r="AP1274" s="257" t="s">
        <v>716</v>
      </c>
      <c r="AQ1274" s="263" t="s">
        <v>659</v>
      </c>
      <c r="AR1274" s="256">
        <v>5.8199999999999997E-3</v>
      </c>
      <c r="AS1274" s="256">
        <v>5.8199999999999997E-3</v>
      </c>
      <c r="AT1274" s="256"/>
      <c r="AX1274" s="508"/>
      <c r="AY1274" s="509"/>
      <c r="AZ1274" s="509"/>
      <c r="BA1274" s="509"/>
      <c r="BB1274" s="510"/>
      <c r="BC1274" s="509"/>
      <c r="BD1274" s="509"/>
      <c r="BE1274" s="509"/>
      <c r="BF1274" s="509"/>
      <c r="BG1274" s="510"/>
      <c r="BH1274" s="510"/>
      <c r="BI1274" s="511"/>
      <c r="BJ1274" s="511"/>
      <c r="BK1274" s="511"/>
      <c r="BL1274" s="510"/>
      <c r="BM1274" s="510"/>
      <c r="BN1274" s="510"/>
      <c r="BO1274" s="510"/>
      <c r="BP1274" s="510"/>
      <c r="BQ1274" s="510"/>
      <c r="BR1274" s="510"/>
      <c r="BS1274" s="510"/>
      <c r="BT1274" s="513"/>
      <c r="BU1274" s="514"/>
      <c r="BV1274" s="512"/>
      <c r="BW1274" s="515"/>
    </row>
    <row r="1275" spans="2:75" ht="15.75" customHeight="1">
      <c r="B1275" s="250" t="s">
        <v>1487</v>
      </c>
      <c r="C1275" s="251">
        <v>34581178000195</v>
      </c>
      <c r="D1275" s="252" t="s">
        <v>14</v>
      </c>
      <c r="E1275" s="252" t="s">
        <v>607</v>
      </c>
      <c r="F1275" s="252" t="s">
        <v>1317</v>
      </c>
      <c r="G1275" s="253"/>
      <c r="H1275" s="253" t="s">
        <v>34</v>
      </c>
      <c r="I1275" s="253" t="s">
        <v>34</v>
      </c>
      <c r="J1275" s="253" t="s">
        <v>608</v>
      </c>
      <c r="K1275" s="254" t="s">
        <v>48</v>
      </c>
      <c r="L1275" s="255"/>
      <c r="M1275" s="255"/>
      <c r="N1275" s="254">
        <v>507083</v>
      </c>
      <c r="O1275" s="254" t="s">
        <v>1321</v>
      </c>
      <c r="P1275" s="258">
        <v>43725</v>
      </c>
      <c r="Q1275" s="259">
        <v>478677366.93000001</v>
      </c>
      <c r="R1275" s="259">
        <v>555674760.4011904</v>
      </c>
      <c r="S1275" s="254">
        <v>62</v>
      </c>
      <c r="T1275" s="256">
        <v>-5.4603276371558818E-2</v>
      </c>
      <c r="U1275" s="256">
        <v>-0.61417293064941192</v>
      </c>
      <c r="V1275" s="256">
        <v>-0.22150070075801209</v>
      </c>
      <c r="W1275" s="256">
        <v>-2.0328688446383749</v>
      </c>
      <c r="X1275" s="256">
        <v>-0.18676161317524098</v>
      </c>
      <c r="Y1275" s="256">
        <v>-1.3132685277297782</v>
      </c>
      <c r="Z1275" s="256">
        <v>0.13982294949569729</v>
      </c>
      <c r="AA1275" s="256">
        <v>0.76407141268945422</v>
      </c>
      <c r="AB1275" s="256">
        <v>0.26001035384453169</v>
      </c>
      <c r="AC1275" s="260">
        <v>-1.230697389799688</v>
      </c>
      <c r="AD1275" s="405">
        <v>34172637000187</v>
      </c>
      <c r="AE1275" s="257" t="s">
        <v>2124</v>
      </c>
      <c r="AF1275" s="257" t="s">
        <v>2109</v>
      </c>
      <c r="AG1275" s="261" t="s">
        <v>1432</v>
      </c>
      <c r="AH1275" s="261" t="s">
        <v>2110</v>
      </c>
      <c r="AI1275" s="261">
        <v>200000</v>
      </c>
      <c r="AJ1275" s="261">
        <v>10000</v>
      </c>
      <c r="AK1275" s="261">
        <v>50000</v>
      </c>
      <c r="AL1275" s="519">
        <v>1.8500000000000003E-2</v>
      </c>
      <c r="AM1275" s="519">
        <v>0.2</v>
      </c>
      <c r="AN1275" s="256" t="s">
        <v>34</v>
      </c>
      <c r="AO1275" s="254" t="s">
        <v>1324</v>
      </c>
      <c r="AP1275" s="257" t="s">
        <v>716</v>
      </c>
      <c r="AQ1275" s="263" t="s">
        <v>659</v>
      </c>
      <c r="AR1275" s="256" t="s">
        <v>34</v>
      </c>
      <c r="AS1275" s="256" t="s">
        <v>34</v>
      </c>
      <c r="AT1275" s="256"/>
      <c r="AX1275" s="508"/>
      <c r="AY1275" s="509"/>
      <c r="AZ1275" s="509"/>
      <c r="BA1275" s="509"/>
      <c r="BB1275" s="510"/>
      <c r="BC1275" s="509"/>
      <c r="BD1275" s="509"/>
      <c r="BE1275" s="509"/>
      <c r="BF1275" s="509"/>
      <c r="BG1275" s="510"/>
      <c r="BH1275" s="510"/>
      <c r="BI1275" s="511"/>
      <c r="BJ1275" s="511"/>
      <c r="BK1275" s="511"/>
      <c r="BL1275" s="510"/>
      <c r="BM1275" s="510"/>
      <c r="BN1275" s="510"/>
      <c r="BO1275" s="510"/>
      <c r="BP1275" s="510"/>
      <c r="BQ1275" s="510"/>
      <c r="BR1275" s="510"/>
      <c r="BS1275" s="510"/>
      <c r="BT1275" s="513"/>
      <c r="BU1275" s="514"/>
      <c r="BV1275" s="512"/>
      <c r="BW1275" s="515"/>
    </row>
    <row r="1276" spans="2:75" ht="15.75" customHeight="1">
      <c r="B1276" s="250" t="s">
        <v>1488</v>
      </c>
      <c r="C1276" s="251">
        <v>38065123000183</v>
      </c>
      <c r="D1276" s="252" t="s">
        <v>14</v>
      </c>
      <c r="E1276" s="252" t="s">
        <v>607</v>
      </c>
      <c r="F1276" s="252" t="s">
        <v>1317</v>
      </c>
      <c r="G1276" s="253"/>
      <c r="H1276" s="253" t="s">
        <v>34</v>
      </c>
      <c r="I1276" s="253" t="s">
        <v>34</v>
      </c>
      <c r="J1276" s="253" t="s">
        <v>608</v>
      </c>
      <c r="K1276" s="254" t="s">
        <v>48</v>
      </c>
      <c r="L1276" s="255"/>
      <c r="M1276" s="255"/>
      <c r="N1276" s="254">
        <v>555886</v>
      </c>
      <c r="O1276" s="254" t="s">
        <v>1321</v>
      </c>
      <c r="P1276" s="258">
        <v>44084</v>
      </c>
      <c r="Q1276" s="259">
        <v>113865391.77</v>
      </c>
      <c r="R1276" s="259">
        <v>106401127.50039677</v>
      </c>
      <c r="S1276" s="254">
        <v>62</v>
      </c>
      <c r="T1276" s="256">
        <v>-6.0728695643546771E-2</v>
      </c>
      <c r="U1276" s="256">
        <v>-0.68307111690720157</v>
      </c>
      <c r="V1276" s="256">
        <v>-0.22284780187218667</v>
      </c>
      <c r="W1276" s="256">
        <v>-2.0452321458659175</v>
      </c>
      <c r="X1276" s="256">
        <v>-0.17169237242376145</v>
      </c>
      <c r="Y1276" s="256">
        <v>-1.2073047845427245</v>
      </c>
      <c r="Z1276" s="256" t="s">
        <v>1417</v>
      </c>
      <c r="AA1276" s="256" t="s">
        <v>1417</v>
      </c>
      <c r="AB1276" s="256">
        <v>0.25477366757238812</v>
      </c>
      <c r="AC1276" s="260">
        <v>-1.2680758755432222</v>
      </c>
      <c r="AD1276" s="405">
        <v>38173724000100</v>
      </c>
      <c r="AE1276" s="257" t="s">
        <v>2124</v>
      </c>
      <c r="AF1276" s="257" t="s">
        <v>2109</v>
      </c>
      <c r="AG1276" s="261" t="s">
        <v>1432</v>
      </c>
      <c r="AH1276" s="261" t="s">
        <v>2110</v>
      </c>
      <c r="AI1276" s="261">
        <v>200000</v>
      </c>
      <c r="AJ1276" s="261">
        <v>10000</v>
      </c>
      <c r="AK1276" s="261">
        <v>50000</v>
      </c>
      <c r="AL1276" s="519">
        <v>0.03</v>
      </c>
      <c r="AM1276" s="519" t="s">
        <v>34</v>
      </c>
      <c r="AN1276" s="256" t="s">
        <v>34</v>
      </c>
      <c r="AO1276" s="254" t="s">
        <v>1324</v>
      </c>
      <c r="AP1276" s="257" t="s">
        <v>716</v>
      </c>
      <c r="AQ1276" s="263" t="s">
        <v>659</v>
      </c>
      <c r="AR1276" s="256" t="s">
        <v>34</v>
      </c>
      <c r="AS1276" s="256" t="s">
        <v>34</v>
      </c>
      <c r="AT1276" s="256"/>
      <c r="AX1276" s="508"/>
      <c r="AY1276" s="509"/>
      <c r="AZ1276" s="509"/>
      <c r="BA1276" s="509"/>
      <c r="BB1276" s="510"/>
      <c r="BC1276" s="509"/>
      <c r="BD1276" s="509"/>
      <c r="BE1276" s="509"/>
      <c r="BF1276" s="509"/>
      <c r="BG1276" s="510"/>
      <c r="BH1276" s="510"/>
      <c r="BI1276" s="511"/>
      <c r="BJ1276" s="511"/>
      <c r="BK1276" s="511"/>
      <c r="BL1276" s="510"/>
      <c r="BM1276" s="510"/>
      <c r="BN1276" s="510"/>
      <c r="BO1276" s="510"/>
      <c r="BP1276" s="510"/>
      <c r="BQ1276" s="510"/>
      <c r="BR1276" s="510"/>
      <c r="BS1276" s="510"/>
      <c r="BT1276" s="513"/>
      <c r="BU1276" s="514"/>
      <c r="BV1276" s="512"/>
      <c r="BW1276" s="515"/>
    </row>
    <row r="1277" spans="2:75" ht="15.75" customHeight="1">
      <c r="B1277" s="250" t="s">
        <v>911</v>
      </c>
      <c r="C1277" s="251">
        <v>11977572000141</v>
      </c>
      <c r="D1277" s="252" t="s">
        <v>14</v>
      </c>
      <c r="E1277" s="252" t="s">
        <v>607</v>
      </c>
      <c r="F1277" s="252" t="s">
        <v>1317</v>
      </c>
      <c r="G1277" s="253"/>
      <c r="H1277" s="253" t="s">
        <v>34</v>
      </c>
      <c r="I1277" s="253" t="s">
        <v>34</v>
      </c>
      <c r="J1277" s="253" t="s">
        <v>608</v>
      </c>
      <c r="K1277" s="254" t="s">
        <v>48</v>
      </c>
      <c r="L1277" s="255"/>
      <c r="M1277" s="255" t="s">
        <v>34</v>
      </c>
      <c r="N1277" s="254">
        <v>264611</v>
      </c>
      <c r="O1277" s="254" t="s">
        <v>1324</v>
      </c>
      <c r="P1277" s="258">
        <v>40534</v>
      </c>
      <c r="Q1277" s="259">
        <v>23100143.710000001</v>
      </c>
      <c r="R1277" s="259">
        <v>47744402.705436535</v>
      </c>
      <c r="S1277" s="254">
        <v>62</v>
      </c>
      <c r="T1277" s="256">
        <v>-9.0945135699436741E-2</v>
      </c>
      <c r="U1277" s="256">
        <v>-1.1756655199826191</v>
      </c>
      <c r="V1277" s="256">
        <v>-0.33256445429206583</v>
      </c>
      <c r="W1277" s="256">
        <v>-3.2602436595652726</v>
      </c>
      <c r="X1277" s="256">
        <v>-0.29698456430194953</v>
      </c>
      <c r="Y1277" s="256">
        <v>-2.2520879014809458</v>
      </c>
      <c r="Z1277" s="256">
        <v>-0.12232866763592609</v>
      </c>
      <c r="AA1277" s="256">
        <v>-0.69535580436080957</v>
      </c>
      <c r="AB1277" s="256">
        <v>0.26589479446556369</v>
      </c>
      <c r="AC1277" s="260">
        <v>-1.7519856888553733</v>
      </c>
      <c r="AD1277" s="405">
        <v>38386961000159</v>
      </c>
      <c r="AE1277" s="257" t="s">
        <v>2215</v>
      </c>
      <c r="AF1277" s="257" t="s">
        <v>2118</v>
      </c>
      <c r="AG1277" s="261" t="s">
        <v>1433</v>
      </c>
      <c r="AH1277" s="261" t="s">
        <v>2110</v>
      </c>
      <c r="AI1277" s="261">
        <v>50000</v>
      </c>
      <c r="AJ1277" s="261">
        <v>5000</v>
      </c>
      <c r="AK1277" s="261">
        <v>5000</v>
      </c>
      <c r="AL1277" s="256">
        <v>0.02</v>
      </c>
      <c r="AM1277" s="256">
        <v>0.2</v>
      </c>
      <c r="AN1277" s="256" t="s">
        <v>2141</v>
      </c>
      <c r="AO1277" s="254" t="s">
        <v>1324</v>
      </c>
      <c r="AP1277" s="257" t="s">
        <v>716</v>
      </c>
      <c r="AQ1277" s="263" t="s">
        <v>665</v>
      </c>
      <c r="AR1277" s="256">
        <v>5.3333333333333332E-3</v>
      </c>
      <c r="AS1277" s="256">
        <v>5.3333333333333332E-3</v>
      </c>
      <c r="AT1277" s="256"/>
      <c r="AX1277" s="508"/>
      <c r="AY1277" s="509"/>
      <c r="AZ1277" s="509"/>
      <c r="BA1277" s="509"/>
      <c r="BB1277" s="510"/>
      <c r="BC1277" s="509"/>
      <c r="BD1277" s="509"/>
      <c r="BE1277" s="509"/>
      <c r="BF1277" s="509"/>
      <c r="BG1277" s="510"/>
      <c r="BH1277" s="510"/>
      <c r="BI1277" s="511"/>
      <c r="BJ1277" s="511"/>
      <c r="BK1277" s="511"/>
      <c r="BL1277" s="510"/>
      <c r="BM1277" s="510"/>
      <c r="BN1277" s="510"/>
      <c r="BO1277" s="510"/>
      <c r="BP1277" s="510"/>
      <c r="BQ1277" s="510"/>
      <c r="BR1277" s="510"/>
      <c r="BS1277" s="510"/>
      <c r="BT1277" s="513"/>
      <c r="BU1277" s="514"/>
      <c r="BV1277" s="512"/>
      <c r="BW1277" s="515"/>
    </row>
    <row r="1278" spans="2:75" ht="15.75" customHeight="1">
      <c r="B1278" s="250" t="s">
        <v>914</v>
      </c>
      <c r="C1278" s="251">
        <v>36352596000136</v>
      </c>
      <c r="D1278" s="252" t="s">
        <v>14</v>
      </c>
      <c r="E1278" s="252" t="s">
        <v>607</v>
      </c>
      <c r="F1278" s="252" t="s">
        <v>1317</v>
      </c>
      <c r="G1278" s="253"/>
      <c r="H1278" s="253" t="s">
        <v>34</v>
      </c>
      <c r="I1278" s="253" t="s">
        <v>34</v>
      </c>
      <c r="J1278" s="253" t="s">
        <v>608</v>
      </c>
      <c r="K1278" s="254" t="s">
        <v>48</v>
      </c>
      <c r="L1278" s="255"/>
      <c r="M1278" s="255" t="s">
        <v>1414</v>
      </c>
      <c r="N1278" s="254">
        <v>539082</v>
      </c>
      <c r="O1278" s="254" t="s">
        <v>1321</v>
      </c>
      <c r="P1278" s="258">
        <v>43990</v>
      </c>
      <c r="Q1278" s="259">
        <v>28296304.239999998</v>
      </c>
      <c r="R1278" s="259">
        <v>83480578.224880964</v>
      </c>
      <c r="S1278" s="254">
        <v>62</v>
      </c>
      <c r="T1278" s="256">
        <v>-0.27383608331334841</v>
      </c>
      <c r="U1278" s="256">
        <v>-3.5399324966930088</v>
      </c>
      <c r="V1278" s="256">
        <v>-0.46302155406396672</v>
      </c>
      <c r="W1278" s="256">
        <v>-4.5391594513386364</v>
      </c>
      <c r="X1278" s="256">
        <v>-0.24900995166570195</v>
      </c>
      <c r="Y1278" s="256">
        <v>-1.8882876987657677</v>
      </c>
      <c r="Z1278" s="256" t="s">
        <v>1417</v>
      </c>
      <c r="AA1278" s="256" t="s">
        <v>1417</v>
      </c>
      <c r="AB1278" s="256">
        <v>0.32886646611455106</v>
      </c>
      <c r="AC1278" s="260">
        <v>-2.01925060850404</v>
      </c>
      <c r="AD1278" s="405">
        <v>42870670000109</v>
      </c>
      <c r="AE1278" s="257" t="s">
        <v>2215</v>
      </c>
      <c r="AF1278" s="257" t="s">
        <v>2118</v>
      </c>
      <c r="AG1278" s="261" t="s">
        <v>1433</v>
      </c>
      <c r="AH1278" s="261" t="s">
        <v>2110</v>
      </c>
      <c r="AI1278" s="261">
        <v>5000</v>
      </c>
      <c r="AJ1278" s="261">
        <v>1000</v>
      </c>
      <c r="AK1278" s="261">
        <v>5000</v>
      </c>
      <c r="AL1278" s="256">
        <v>0.02</v>
      </c>
      <c r="AM1278" s="256">
        <v>0.2</v>
      </c>
      <c r="AN1278" s="256" t="s">
        <v>34</v>
      </c>
      <c r="AO1278" s="254" t="s">
        <v>1324</v>
      </c>
      <c r="AP1278" s="257" t="s">
        <v>716</v>
      </c>
      <c r="AQ1278" s="263" t="s">
        <v>659</v>
      </c>
      <c r="AR1278" s="256">
        <v>2E-3</v>
      </c>
      <c r="AS1278" s="256">
        <v>2E-3</v>
      </c>
      <c r="AT1278" s="256"/>
      <c r="AX1278" s="508"/>
      <c r="AY1278" s="509"/>
      <c r="AZ1278" s="509"/>
      <c r="BA1278" s="509"/>
      <c r="BB1278" s="510"/>
      <c r="BC1278" s="509"/>
      <c r="BD1278" s="509"/>
      <c r="BE1278" s="509"/>
      <c r="BF1278" s="509"/>
      <c r="BG1278" s="510"/>
      <c r="BH1278" s="510"/>
      <c r="BI1278" s="511"/>
      <c r="BJ1278" s="511"/>
      <c r="BK1278" s="511"/>
      <c r="BL1278" s="510"/>
      <c r="BM1278" s="510"/>
      <c r="BN1278" s="510"/>
      <c r="BO1278" s="510"/>
      <c r="BP1278" s="510"/>
      <c r="BQ1278" s="510"/>
      <c r="BR1278" s="510"/>
      <c r="BS1278" s="510"/>
      <c r="BT1278" s="513"/>
      <c r="BU1278" s="514"/>
      <c r="BV1278" s="512"/>
      <c r="BW1278" s="515"/>
    </row>
    <row r="1279" spans="2:75" ht="15.75" customHeight="1">
      <c r="B1279" s="250" t="s">
        <v>179</v>
      </c>
      <c r="C1279" s="251">
        <v>16948298000104</v>
      </c>
      <c r="D1279" s="252" t="s">
        <v>14</v>
      </c>
      <c r="E1279" s="252" t="s">
        <v>607</v>
      </c>
      <c r="F1279" s="252" t="s">
        <v>1317</v>
      </c>
      <c r="G1279" s="253"/>
      <c r="H1279" s="253" t="s">
        <v>34</v>
      </c>
      <c r="I1279" s="253" t="s">
        <v>34</v>
      </c>
      <c r="J1279" s="253" t="s">
        <v>608</v>
      </c>
      <c r="K1279" s="254" t="s">
        <v>48</v>
      </c>
      <c r="L1279" s="255"/>
      <c r="M1279" s="255" t="s">
        <v>34</v>
      </c>
      <c r="N1279" s="254">
        <v>320757</v>
      </c>
      <c r="O1279" s="254" t="s">
        <v>1321</v>
      </c>
      <c r="P1279" s="258">
        <v>41249</v>
      </c>
      <c r="Q1279" s="259">
        <v>413942417.26999998</v>
      </c>
      <c r="R1279" s="259">
        <v>713335411.06579387</v>
      </c>
      <c r="S1279" s="254">
        <v>62</v>
      </c>
      <c r="T1279" s="256">
        <v>-8.8286086670300135E-2</v>
      </c>
      <c r="U1279" s="256">
        <v>-1.1412914741861431</v>
      </c>
      <c r="V1279" s="256">
        <v>-0.32918162130318174</v>
      </c>
      <c r="W1279" s="256">
        <v>-3.2270805849761528</v>
      </c>
      <c r="X1279" s="256">
        <v>-0.2813549558410865</v>
      </c>
      <c r="Y1279" s="256">
        <v>-2.1335657412389537</v>
      </c>
      <c r="Z1279" s="256">
        <v>-0.10414750108614867</v>
      </c>
      <c r="AA1279" s="256">
        <v>-0.5920081595710821</v>
      </c>
      <c r="AB1279" s="256">
        <v>0.26562357464935682</v>
      </c>
      <c r="AC1279" s="260">
        <v>-1.7350470350743794</v>
      </c>
      <c r="AD1279" s="405">
        <v>11225860000140</v>
      </c>
      <c r="AE1279" s="257" t="s">
        <v>2215</v>
      </c>
      <c r="AF1279" s="257" t="s">
        <v>2118</v>
      </c>
      <c r="AG1279" s="261" t="s">
        <v>1433</v>
      </c>
      <c r="AH1279" s="261" t="s">
        <v>2113</v>
      </c>
      <c r="AI1279" s="261">
        <v>50000</v>
      </c>
      <c r="AJ1279" s="261">
        <v>1000</v>
      </c>
      <c r="AK1279" s="261">
        <v>1000</v>
      </c>
      <c r="AL1279" s="256">
        <v>0.02</v>
      </c>
      <c r="AM1279" s="256">
        <v>0.2</v>
      </c>
      <c r="AN1279" s="256" t="s">
        <v>34</v>
      </c>
      <c r="AO1279" s="254" t="s">
        <v>1324</v>
      </c>
      <c r="AP1279" s="257" t="s">
        <v>716</v>
      </c>
      <c r="AQ1279" s="263" t="s">
        <v>665</v>
      </c>
      <c r="AR1279" s="256">
        <v>5.3333333333333332E-3</v>
      </c>
      <c r="AS1279" s="256">
        <v>5.3333333333333332E-3</v>
      </c>
      <c r="AT1279" s="256"/>
      <c r="AX1279" s="508"/>
      <c r="AY1279" s="509"/>
      <c r="AZ1279" s="509"/>
      <c r="BA1279" s="509"/>
      <c r="BB1279" s="510"/>
      <c r="BC1279" s="509"/>
      <c r="BD1279" s="509"/>
      <c r="BE1279" s="509"/>
      <c r="BF1279" s="509"/>
      <c r="BG1279" s="510"/>
      <c r="BH1279" s="510"/>
      <c r="BI1279" s="511"/>
      <c r="BJ1279" s="511"/>
      <c r="BK1279" s="511"/>
      <c r="BL1279" s="510"/>
      <c r="BM1279" s="510"/>
      <c r="BN1279" s="510"/>
      <c r="BO1279" s="510"/>
      <c r="BP1279" s="510"/>
      <c r="BQ1279" s="510"/>
      <c r="BR1279" s="510"/>
      <c r="BS1279" s="510"/>
      <c r="BT1279" s="513"/>
      <c r="BU1279" s="514"/>
      <c r="BV1279" s="512"/>
      <c r="BW1279" s="515"/>
    </row>
    <row r="1280" spans="2:75" ht="15.75" customHeight="1">
      <c r="B1280" s="250" t="s">
        <v>553</v>
      </c>
      <c r="C1280" s="251">
        <v>35343074000105</v>
      </c>
      <c r="D1280" s="252" t="s">
        <v>14</v>
      </c>
      <c r="E1280" s="252" t="s">
        <v>607</v>
      </c>
      <c r="F1280" s="252" t="s">
        <v>1317</v>
      </c>
      <c r="G1280" s="253"/>
      <c r="H1280" s="253" t="s">
        <v>34</v>
      </c>
      <c r="I1280" s="253" t="s">
        <v>34</v>
      </c>
      <c r="J1280" s="253" t="s">
        <v>608</v>
      </c>
      <c r="K1280" s="254" t="s">
        <v>48</v>
      </c>
      <c r="L1280" s="255"/>
      <c r="M1280" s="255" t="s">
        <v>1414</v>
      </c>
      <c r="N1280" s="254">
        <v>534757</v>
      </c>
      <c r="O1280" s="254" t="s">
        <v>1321</v>
      </c>
      <c r="P1280" s="258">
        <v>43941</v>
      </c>
      <c r="Q1280" s="259">
        <v>22992033.600000001</v>
      </c>
      <c r="R1280" s="259">
        <v>29318536.954920653</v>
      </c>
      <c r="S1280" s="254">
        <v>62</v>
      </c>
      <c r="T1280" s="256">
        <v>-9.0184477785158812E-2</v>
      </c>
      <c r="U1280" s="256">
        <v>-1.1658323466584961</v>
      </c>
      <c r="V1280" s="256">
        <v>-0.33174879131675694</v>
      </c>
      <c r="W1280" s="256">
        <v>-3.2522474350461676</v>
      </c>
      <c r="X1280" s="256">
        <v>-0.28161656892152709</v>
      </c>
      <c r="Y1280" s="256">
        <v>-2.1355496007527108</v>
      </c>
      <c r="Z1280" s="256" t="s">
        <v>1417</v>
      </c>
      <c r="AA1280" s="256" t="s">
        <v>1417</v>
      </c>
      <c r="AB1280" s="256">
        <v>0.26592514042845872</v>
      </c>
      <c r="AC1280" s="260">
        <v>-1.7471727492778206</v>
      </c>
      <c r="AD1280" s="405">
        <v>38386961000159</v>
      </c>
      <c r="AE1280" s="257" t="s">
        <v>2215</v>
      </c>
      <c r="AF1280" s="257" t="s">
        <v>2109</v>
      </c>
      <c r="AG1280" s="261" t="s">
        <v>1432</v>
      </c>
      <c r="AH1280" s="261" t="s">
        <v>2131</v>
      </c>
      <c r="AI1280" s="261">
        <v>0</v>
      </c>
      <c r="AJ1280" s="261">
        <v>0</v>
      </c>
      <c r="AK1280" s="261">
        <v>0</v>
      </c>
      <c r="AL1280" s="256">
        <v>0.02</v>
      </c>
      <c r="AM1280" s="256">
        <v>0.2</v>
      </c>
      <c r="AN1280" s="256" t="s">
        <v>34</v>
      </c>
      <c r="AO1280" s="254" t="s">
        <v>1324</v>
      </c>
      <c r="AP1280" s="257" t="s">
        <v>716</v>
      </c>
      <c r="AQ1280" s="263" t="s">
        <v>665</v>
      </c>
      <c r="AR1280" s="256">
        <v>3.3333333333333331E-3</v>
      </c>
      <c r="AS1280" s="256">
        <v>3.3333333333333331E-3</v>
      </c>
      <c r="AT1280" s="256"/>
      <c r="AX1280" s="508"/>
      <c r="AY1280" s="509"/>
      <c r="AZ1280" s="509"/>
      <c r="BA1280" s="509"/>
      <c r="BB1280" s="510"/>
      <c r="BC1280" s="509"/>
      <c r="BD1280" s="509"/>
      <c r="BE1280" s="509"/>
      <c r="BF1280" s="509"/>
      <c r="BG1280" s="510"/>
      <c r="BH1280" s="510"/>
      <c r="BI1280" s="511"/>
      <c r="BJ1280" s="511"/>
      <c r="BK1280" s="511"/>
      <c r="BL1280" s="510"/>
      <c r="BM1280" s="510"/>
      <c r="BN1280" s="510"/>
      <c r="BO1280" s="510"/>
      <c r="BP1280" s="510"/>
      <c r="BQ1280" s="510"/>
      <c r="BR1280" s="510"/>
      <c r="BS1280" s="510"/>
      <c r="BT1280" s="513"/>
      <c r="BU1280" s="514"/>
      <c r="BV1280" s="512"/>
      <c r="BW1280" s="515"/>
    </row>
    <row r="1281" spans="2:75" ht="15.75" customHeight="1">
      <c r="B1281" s="250" t="s">
        <v>1613</v>
      </c>
      <c r="C1281" s="251">
        <v>34200563000145</v>
      </c>
      <c r="D1281" s="252" t="s">
        <v>14</v>
      </c>
      <c r="E1281" s="252" t="s">
        <v>607</v>
      </c>
      <c r="F1281" s="252" t="s">
        <v>1317</v>
      </c>
      <c r="G1281" s="253"/>
      <c r="H1281" s="253" t="s">
        <v>34</v>
      </c>
      <c r="I1281" s="253" t="s">
        <v>34</v>
      </c>
      <c r="J1281" s="253" t="s">
        <v>608</v>
      </c>
      <c r="K1281" s="254" t="s">
        <v>48</v>
      </c>
      <c r="L1281" s="255"/>
      <c r="M1281" s="255"/>
      <c r="N1281" s="254">
        <v>504580</v>
      </c>
      <c r="O1281" s="254" t="s">
        <v>1321</v>
      </c>
      <c r="P1281" s="258">
        <v>43692</v>
      </c>
      <c r="Q1281" s="259">
        <v>11962770.33</v>
      </c>
      <c r="R1281" s="259">
        <v>14731552.485317461</v>
      </c>
      <c r="S1281" s="254">
        <v>62</v>
      </c>
      <c r="T1281" s="256">
        <v>-5.5030683628296662E-2</v>
      </c>
      <c r="U1281" s="256">
        <v>-0.61898037051190768</v>
      </c>
      <c r="V1281" s="256">
        <v>-0.22004633481400626</v>
      </c>
      <c r="W1281" s="256">
        <v>-2.0195210980797644</v>
      </c>
      <c r="X1281" s="256">
        <v>-0.18101403065495825</v>
      </c>
      <c r="Y1281" s="256">
        <v>-1.2728527318599139</v>
      </c>
      <c r="Z1281" s="256">
        <v>0.19210605566037553</v>
      </c>
      <c r="AA1281" s="256">
        <v>1.0497757761799964</v>
      </c>
      <c r="AB1281" s="256">
        <v>0.25583086983455422</v>
      </c>
      <c r="AC1281" s="260">
        <v>-1.2477146680269235</v>
      </c>
      <c r="AD1281" s="405">
        <v>34258716000105</v>
      </c>
      <c r="AE1281" s="257" t="s">
        <v>2318</v>
      </c>
      <c r="AF1281" s="257" t="s">
        <v>2318</v>
      </c>
      <c r="AG1281" s="261" t="s">
        <v>1436</v>
      </c>
      <c r="AH1281" s="261" t="s">
        <v>2110</v>
      </c>
      <c r="AI1281" s="261">
        <v>50000</v>
      </c>
      <c r="AJ1281" s="261">
        <v>10000</v>
      </c>
      <c r="AK1281" s="261">
        <v>10000</v>
      </c>
      <c r="AL1281" s="256">
        <v>0</v>
      </c>
      <c r="AM1281" s="256" t="s">
        <v>34</v>
      </c>
      <c r="AN1281" s="256" t="s">
        <v>666</v>
      </c>
      <c r="AO1281" s="254" t="s">
        <v>1324</v>
      </c>
      <c r="AP1281" s="257" t="s">
        <v>716</v>
      </c>
      <c r="AQ1281" s="263" t="s">
        <v>659</v>
      </c>
      <c r="AR1281" s="256" t="s">
        <v>34</v>
      </c>
      <c r="AS1281" s="256" t="s">
        <v>34</v>
      </c>
      <c r="AT1281" s="256"/>
      <c r="AX1281" s="508"/>
      <c r="AY1281" s="509"/>
      <c r="AZ1281" s="509"/>
      <c r="BA1281" s="509"/>
      <c r="BB1281" s="510"/>
      <c r="BC1281" s="509"/>
      <c r="BD1281" s="509"/>
      <c r="BE1281" s="509"/>
      <c r="BF1281" s="509"/>
      <c r="BG1281" s="510"/>
      <c r="BH1281" s="510"/>
      <c r="BI1281" s="511"/>
      <c r="BJ1281" s="511"/>
      <c r="BK1281" s="511"/>
      <c r="BL1281" s="510"/>
      <c r="BM1281" s="510"/>
      <c r="BN1281" s="510"/>
      <c r="BO1281" s="510"/>
      <c r="BP1281" s="510"/>
      <c r="BQ1281" s="510"/>
      <c r="BR1281" s="510"/>
      <c r="BS1281" s="510"/>
      <c r="BT1281" s="513"/>
      <c r="BU1281" s="514"/>
      <c r="BV1281" s="512"/>
      <c r="BW1281" s="515"/>
    </row>
    <row r="1282" spans="2:75" ht="15.75" customHeight="1">
      <c r="B1282" s="250" t="s">
        <v>1614</v>
      </c>
      <c r="C1282" s="251">
        <v>34674552000105</v>
      </c>
      <c r="D1282" s="252" t="s">
        <v>14</v>
      </c>
      <c r="E1282" s="252" t="s">
        <v>607</v>
      </c>
      <c r="F1282" s="252" t="s">
        <v>1317</v>
      </c>
      <c r="G1282" s="253"/>
      <c r="H1282" s="253" t="s">
        <v>34</v>
      </c>
      <c r="I1282" s="253" t="s">
        <v>34</v>
      </c>
      <c r="J1282" s="253" t="s">
        <v>608</v>
      </c>
      <c r="K1282" s="254" t="s">
        <v>48</v>
      </c>
      <c r="L1282" s="255"/>
      <c r="M1282" s="255"/>
      <c r="N1282" s="254">
        <v>511455</v>
      </c>
      <c r="O1282" s="254" t="s">
        <v>1321</v>
      </c>
      <c r="P1282" s="258">
        <v>43759</v>
      </c>
      <c r="Q1282" s="259">
        <v>98559731.299999997</v>
      </c>
      <c r="R1282" s="259">
        <v>251197355.08984134</v>
      </c>
      <c r="S1282" s="254">
        <v>62</v>
      </c>
      <c r="T1282" s="256">
        <v>-4.9849420393040633E-2</v>
      </c>
      <c r="U1282" s="256">
        <v>-0.56070196970662645</v>
      </c>
      <c r="V1282" s="256">
        <v>-0.21706044834215987</v>
      </c>
      <c r="W1282" s="256">
        <v>-1.9921175026894498</v>
      </c>
      <c r="X1282" s="256">
        <v>-0.18278706220907937</v>
      </c>
      <c r="Y1282" s="256">
        <v>-1.2853203182076194</v>
      </c>
      <c r="Z1282" s="256" t="s">
        <v>1417</v>
      </c>
      <c r="AA1282" s="256" t="s">
        <v>1417</v>
      </c>
      <c r="AB1282" s="256">
        <v>0.25338620636213049</v>
      </c>
      <c r="AC1282" s="260">
        <v>-1.2471328837659517</v>
      </c>
      <c r="AD1282" s="405">
        <v>34581222000167</v>
      </c>
      <c r="AE1282" s="257" t="s">
        <v>2318</v>
      </c>
      <c r="AF1282" s="257" t="s">
        <v>2318</v>
      </c>
      <c r="AG1282" s="261" t="s">
        <v>1436</v>
      </c>
      <c r="AH1282" s="261" t="s">
        <v>2110</v>
      </c>
      <c r="AI1282" s="261">
        <v>50000</v>
      </c>
      <c r="AJ1282" s="261">
        <v>10000</v>
      </c>
      <c r="AK1282" s="261">
        <v>10000</v>
      </c>
      <c r="AL1282" s="256">
        <v>0</v>
      </c>
      <c r="AM1282" s="256" t="s">
        <v>34</v>
      </c>
      <c r="AN1282" s="256" t="s">
        <v>666</v>
      </c>
      <c r="AO1282" s="254" t="s">
        <v>1324</v>
      </c>
      <c r="AP1282" s="257" t="s">
        <v>716</v>
      </c>
      <c r="AQ1282" s="263" t="s">
        <v>659</v>
      </c>
      <c r="AR1282" s="256" t="s">
        <v>34</v>
      </c>
      <c r="AS1282" s="256" t="s">
        <v>34</v>
      </c>
      <c r="AT1282" s="256"/>
      <c r="AX1282" s="508"/>
      <c r="AY1282" s="509"/>
      <c r="AZ1282" s="509"/>
      <c r="BA1282" s="509"/>
      <c r="BB1282" s="510"/>
      <c r="BC1282" s="509"/>
      <c r="BD1282" s="509"/>
      <c r="BE1282" s="509"/>
      <c r="BF1282" s="509"/>
      <c r="BG1282" s="510"/>
      <c r="BH1282" s="510"/>
      <c r="BI1282" s="511"/>
      <c r="BJ1282" s="511"/>
      <c r="BK1282" s="511"/>
      <c r="BL1282" s="510"/>
      <c r="BM1282" s="510"/>
      <c r="BN1282" s="510"/>
      <c r="BO1282" s="510"/>
      <c r="BP1282" s="510"/>
      <c r="BQ1282" s="510"/>
      <c r="BR1282" s="510"/>
      <c r="BS1282" s="510"/>
      <c r="BT1282" s="513"/>
      <c r="BU1282" s="514"/>
      <c r="BV1282" s="512"/>
      <c r="BW1282" s="515"/>
    </row>
    <row r="1283" spans="2:75" ht="15.75" customHeight="1">
      <c r="B1283" s="250" t="s">
        <v>1225</v>
      </c>
      <c r="C1283" s="251">
        <v>35471498000155</v>
      </c>
      <c r="D1283" s="252" t="s">
        <v>14</v>
      </c>
      <c r="E1283" s="252" t="s">
        <v>607</v>
      </c>
      <c r="F1283" s="252" t="s">
        <v>1317</v>
      </c>
      <c r="G1283" s="253"/>
      <c r="H1283" s="253" t="s">
        <v>34</v>
      </c>
      <c r="I1283" s="253" t="s">
        <v>34</v>
      </c>
      <c r="J1283" s="253" t="s">
        <v>608</v>
      </c>
      <c r="K1283" s="254" t="s">
        <v>48</v>
      </c>
      <c r="L1283" s="255"/>
      <c r="M1283" s="255" t="s">
        <v>34</v>
      </c>
      <c r="N1283" s="254">
        <v>529478</v>
      </c>
      <c r="O1283" s="254" t="s">
        <v>1321</v>
      </c>
      <c r="P1283" s="258">
        <v>43896</v>
      </c>
      <c r="Q1283" s="259">
        <v>575605236.67999995</v>
      </c>
      <c r="R1283" s="259">
        <v>575692570.7237699</v>
      </c>
      <c r="S1283" s="254">
        <v>62</v>
      </c>
      <c r="T1283" s="256">
        <v>6.6221561566536469E-2</v>
      </c>
      <c r="U1283" s="256">
        <v>0.85605905158559581</v>
      </c>
      <c r="V1283" s="256">
        <v>-4.7959387822627098E-2</v>
      </c>
      <c r="W1283" s="256">
        <v>-0.47016236415944074</v>
      </c>
      <c r="X1283" s="256">
        <v>0.79757194278827592</v>
      </c>
      <c r="Y1283" s="256">
        <v>6.0481329295212074</v>
      </c>
      <c r="Z1283" s="256" t="s">
        <v>1417</v>
      </c>
      <c r="AA1283" s="256" t="s">
        <v>1417</v>
      </c>
      <c r="AB1283" s="256">
        <v>0.25737788615662338</v>
      </c>
      <c r="AC1283" s="260">
        <v>-0.44006194741590204</v>
      </c>
      <c r="AD1283" s="405">
        <v>29088425000186</v>
      </c>
      <c r="AE1283" s="257" t="s">
        <v>2260</v>
      </c>
      <c r="AF1283" s="257" t="s">
        <v>2109</v>
      </c>
      <c r="AG1283" s="261" t="s">
        <v>1432</v>
      </c>
      <c r="AH1283" s="261" t="s">
        <v>2113</v>
      </c>
      <c r="AI1283" s="261">
        <v>50</v>
      </c>
      <c r="AJ1283" s="261">
        <v>50</v>
      </c>
      <c r="AK1283" s="261">
        <v>30</v>
      </c>
      <c r="AL1283" s="256">
        <v>0.02</v>
      </c>
      <c r="AM1283" s="256">
        <v>0.2</v>
      </c>
      <c r="AN1283" s="256" t="s">
        <v>2160</v>
      </c>
      <c r="AO1283" s="254" t="s">
        <v>1324</v>
      </c>
      <c r="AP1283" s="257" t="s">
        <v>716</v>
      </c>
      <c r="AQ1283" s="263" t="s">
        <v>681</v>
      </c>
      <c r="AR1283" s="256">
        <v>5.3333333333333332E-3</v>
      </c>
      <c r="AS1283" s="256">
        <v>5.3333333333333332E-3</v>
      </c>
      <c r="AT1283" s="256"/>
      <c r="AX1283" s="508"/>
      <c r="AY1283" s="509"/>
      <c r="AZ1283" s="509"/>
      <c r="BA1283" s="509"/>
      <c r="BB1283" s="510"/>
      <c r="BC1283" s="509"/>
      <c r="BD1283" s="509"/>
      <c r="BE1283" s="509"/>
      <c r="BF1283" s="509"/>
      <c r="BG1283" s="510"/>
      <c r="BH1283" s="510"/>
      <c r="BI1283" s="511"/>
      <c r="BJ1283" s="511"/>
      <c r="BK1283" s="511"/>
      <c r="BL1283" s="510"/>
      <c r="BM1283" s="510"/>
      <c r="BN1283" s="510"/>
      <c r="BO1283" s="510"/>
      <c r="BP1283" s="510"/>
      <c r="BQ1283" s="510"/>
      <c r="BR1283" s="510"/>
      <c r="BS1283" s="510"/>
      <c r="BT1283" s="513"/>
      <c r="BU1283" s="514"/>
      <c r="BV1283" s="512"/>
      <c r="BW1283" s="515"/>
    </row>
    <row r="1284" spans="2:75" ht="15.75" customHeight="1">
      <c r="B1284" s="250" t="s">
        <v>337</v>
      </c>
      <c r="C1284" s="251">
        <v>20142615000160</v>
      </c>
      <c r="D1284" s="252" t="s">
        <v>11</v>
      </c>
      <c r="E1284" s="252" t="s">
        <v>620</v>
      </c>
      <c r="F1284" s="252" t="s">
        <v>685</v>
      </c>
      <c r="G1284" s="253" t="s">
        <v>738</v>
      </c>
      <c r="H1284" s="253" t="s">
        <v>34</v>
      </c>
      <c r="I1284" s="253" t="s">
        <v>1319</v>
      </c>
      <c r="J1284" s="253" t="s">
        <v>608</v>
      </c>
      <c r="K1284" s="254" t="s">
        <v>48</v>
      </c>
      <c r="L1284" s="255"/>
      <c r="M1284" s="255" t="s">
        <v>34</v>
      </c>
      <c r="N1284" s="254">
        <v>370797</v>
      </c>
      <c r="O1284" s="254" t="s">
        <v>1321</v>
      </c>
      <c r="P1284" s="258">
        <v>41796</v>
      </c>
      <c r="Q1284" s="259">
        <v>1377412.53</v>
      </c>
      <c r="R1284" s="259">
        <v>1463338.3840476193</v>
      </c>
      <c r="S1284" s="254">
        <v>62</v>
      </c>
      <c r="T1284" s="256">
        <v>-6.0197833994987349E-2</v>
      </c>
      <c r="U1284" s="256">
        <v>-0.77818914954879237</v>
      </c>
      <c r="V1284" s="256">
        <v>-0.19987837386972285</v>
      </c>
      <c r="W1284" s="256">
        <v>-1.9594764042963078</v>
      </c>
      <c r="X1284" s="256">
        <v>-0.27876138800970529</v>
      </c>
      <c r="Y1284" s="256">
        <v>-2.1138982452246315</v>
      </c>
      <c r="Z1284" s="256">
        <v>0.12423955316449753</v>
      </c>
      <c r="AA1284" s="256">
        <v>0.70621789719186878</v>
      </c>
      <c r="AB1284" s="256">
        <v>0.28102357695880381</v>
      </c>
      <c r="AC1284" s="260">
        <v>-0.99885864804752711</v>
      </c>
      <c r="AD1284" s="405">
        <v>0</v>
      </c>
      <c r="AE1284" s="257" t="s">
        <v>2363</v>
      </c>
      <c r="AF1284" s="257" t="s">
        <v>2109</v>
      </c>
      <c r="AG1284" s="261" t="s">
        <v>1432</v>
      </c>
      <c r="AH1284" s="261" t="s">
        <v>2113</v>
      </c>
      <c r="AI1284" s="261">
        <v>20000</v>
      </c>
      <c r="AJ1284" s="261">
        <v>10000</v>
      </c>
      <c r="AK1284" s="261">
        <v>20000</v>
      </c>
      <c r="AL1284" s="256">
        <v>0.02</v>
      </c>
      <c r="AM1284" s="256">
        <v>0.2</v>
      </c>
      <c r="AN1284" s="256" t="s">
        <v>34</v>
      </c>
      <c r="AO1284" s="254" t="s">
        <v>1324</v>
      </c>
      <c r="AP1284" s="257" t="s">
        <v>13</v>
      </c>
      <c r="AQ1284" s="263" t="s">
        <v>668</v>
      </c>
      <c r="AR1284" s="256">
        <v>5.3333333333333332E-3</v>
      </c>
      <c r="AS1284" s="256">
        <v>5.3333333333333332E-3</v>
      </c>
      <c r="AT1284" s="256"/>
      <c r="AX1284" s="508"/>
      <c r="AY1284" s="509"/>
      <c r="AZ1284" s="509"/>
      <c r="BA1284" s="509"/>
      <c r="BB1284" s="510"/>
      <c r="BC1284" s="509"/>
      <c r="BD1284" s="509"/>
      <c r="BE1284" s="509"/>
      <c r="BF1284" s="509"/>
      <c r="BG1284" s="510"/>
      <c r="BH1284" s="510"/>
      <c r="BI1284" s="511"/>
      <c r="BJ1284" s="511"/>
      <c r="BK1284" s="511"/>
      <c r="BL1284" s="510"/>
      <c r="BM1284" s="510"/>
      <c r="BN1284" s="510"/>
      <c r="BO1284" s="510"/>
      <c r="BP1284" s="510"/>
      <c r="BQ1284" s="510"/>
      <c r="BR1284" s="510"/>
      <c r="BS1284" s="510"/>
      <c r="BT1284" s="513"/>
      <c r="BU1284" s="514"/>
      <c r="BV1284" s="512"/>
      <c r="BW1284" s="515"/>
    </row>
    <row r="1285" spans="2:75" ht="15.75" customHeight="1">
      <c r="B1285" s="250" t="s">
        <v>1296</v>
      </c>
      <c r="C1285" s="251">
        <v>42831231000197</v>
      </c>
      <c r="D1285" s="252" t="s">
        <v>13</v>
      </c>
      <c r="E1285" s="252" t="s">
        <v>615</v>
      </c>
      <c r="F1285" s="252" t="s">
        <v>619</v>
      </c>
      <c r="G1285" s="253" t="s">
        <v>34</v>
      </c>
      <c r="H1285" s="253" t="s">
        <v>1338</v>
      </c>
      <c r="I1285" s="253" t="s">
        <v>34</v>
      </c>
      <c r="J1285" s="253" t="s">
        <v>608</v>
      </c>
      <c r="K1285" s="254" t="s">
        <v>48</v>
      </c>
      <c r="L1285" s="255"/>
      <c r="M1285" s="255" t="s">
        <v>1414</v>
      </c>
      <c r="N1285" s="254">
        <v>645605</v>
      </c>
      <c r="O1285" s="254" t="s">
        <v>1324</v>
      </c>
      <c r="P1285" s="258">
        <v>44676</v>
      </c>
      <c r="Q1285" s="259">
        <v>76463014.430000007</v>
      </c>
      <c r="R1285" s="259" t="s">
        <v>1417</v>
      </c>
      <c r="S1285" s="254">
        <v>62</v>
      </c>
      <c r="T1285" s="256" t="s">
        <v>1417</v>
      </c>
      <c r="U1285" s="256" t="s">
        <v>1417</v>
      </c>
      <c r="V1285" s="256" t="s">
        <v>1417</v>
      </c>
      <c r="W1285" s="256" t="s">
        <v>1417</v>
      </c>
      <c r="X1285" s="256" t="s">
        <v>1417</v>
      </c>
      <c r="Y1285" s="256" t="s">
        <v>1417</v>
      </c>
      <c r="Z1285" s="256" t="s">
        <v>1417</v>
      </c>
      <c r="AA1285" s="256" t="s">
        <v>1417</v>
      </c>
      <c r="AB1285" s="256" t="s">
        <v>1417</v>
      </c>
      <c r="AC1285" s="260" t="s">
        <v>1417</v>
      </c>
      <c r="AD1285" s="405">
        <v>42831201000180</v>
      </c>
      <c r="AE1285" s="257" t="s">
        <v>2294</v>
      </c>
      <c r="AF1285" s="257" t="s">
        <v>2115</v>
      </c>
      <c r="AG1285" s="261" t="s">
        <v>719</v>
      </c>
      <c r="AH1285" s="261" t="s">
        <v>2110</v>
      </c>
      <c r="AI1285" s="261">
        <v>100000</v>
      </c>
      <c r="AJ1285" s="261">
        <v>50000</v>
      </c>
      <c r="AK1285" s="261">
        <v>100000</v>
      </c>
      <c r="AL1285" s="256">
        <v>0.02</v>
      </c>
      <c r="AM1285" s="256">
        <v>0.2</v>
      </c>
      <c r="AN1285" s="256" t="s">
        <v>64</v>
      </c>
      <c r="AO1285" s="254" t="s">
        <v>1324</v>
      </c>
      <c r="AP1285" s="257" t="s">
        <v>13</v>
      </c>
      <c r="AQ1285" s="263" t="s">
        <v>668</v>
      </c>
      <c r="AR1285" s="256" t="s">
        <v>34</v>
      </c>
      <c r="AS1285" s="256" t="s">
        <v>34</v>
      </c>
      <c r="AT1285" s="256"/>
      <c r="AX1285" s="508"/>
      <c r="AY1285" s="509"/>
      <c r="AZ1285" s="509"/>
      <c r="BA1285" s="509"/>
      <c r="BB1285" s="510"/>
      <c r="BC1285" s="509"/>
      <c r="BD1285" s="509"/>
      <c r="BE1285" s="509"/>
      <c r="BF1285" s="509"/>
      <c r="BG1285" s="510"/>
      <c r="BH1285" s="510"/>
      <c r="BI1285" s="511"/>
      <c r="BJ1285" s="511"/>
      <c r="BK1285" s="511"/>
      <c r="BL1285" s="510"/>
      <c r="BM1285" s="510"/>
      <c r="BN1285" s="510"/>
      <c r="BO1285" s="510"/>
      <c r="BP1285" s="510"/>
      <c r="BQ1285" s="510"/>
      <c r="BR1285" s="510"/>
      <c r="BS1285" s="510"/>
      <c r="BT1285" s="513"/>
      <c r="BU1285" s="514"/>
      <c r="BV1285" s="512"/>
      <c r="BW1285" s="515"/>
    </row>
    <row r="1286" spans="2:75" ht="15.75" customHeight="1">
      <c r="B1286" s="250" t="s">
        <v>1264</v>
      </c>
      <c r="C1286" s="251">
        <v>33925183000105</v>
      </c>
      <c r="D1286" s="252" t="s">
        <v>13</v>
      </c>
      <c r="E1286" s="252" t="s">
        <v>616</v>
      </c>
      <c r="F1286" s="252" t="s">
        <v>619</v>
      </c>
      <c r="G1286" s="253" t="s">
        <v>34</v>
      </c>
      <c r="H1286" s="253" t="s">
        <v>1338</v>
      </c>
      <c r="I1286" s="253" t="s">
        <v>34</v>
      </c>
      <c r="J1286" s="253" t="s">
        <v>611</v>
      </c>
      <c r="K1286" s="254" t="s">
        <v>48</v>
      </c>
      <c r="L1286" s="255"/>
      <c r="M1286" s="255" t="s">
        <v>1414</v>
      </c>
      <c r="N1286" s="254">
        <v>532444</v>
      </c>
      <c r="O1286" s="254" t="s">
        <v>1321</v>
      </c>
      <c r="P1286" s="258">
        <v>43909</v>
      </c>
      <c r="Q1286" s="259">
        <v>82706585.900000006</v>
      </c>
      <c r="R1286" s="259">
        <v>108879252.66769844</v>
      </c>
      <c r="S1286" s="254">
        <v>62</v>
      </c>
      <c r="T1286" s="256">
        <v>-0.20164276997660124</v>
      </c>
      <c r="U1286" s="256">
        <v>-2.6066754443992193</v>
      </c>
      <c r="V1286" s="256">
        <v>-0.15096395901337434</v>
      </c>
      <c r="W1286" s="256">
        <v>-1.4799515818487987</v>
      </c>
      <c r="X1286" s="256">
        <v>-9.9415410365993884E-2</v>
      </c>
      <c r="Y1286" s="256">
        <v>-0.75388511666344715</v>
      </c>
      <c r="Z1286" s="256" t="s">
        <v>1417</v>
      </c>
      <c r="AA1286" s="256" t="s">
        <v>1417</v>
      </c>
      <c r="AB1286" s="256">
        <v>0.14210780323403679</v>
      </c>
      <c r="AC1286" s="260">
        <v>-1.7641414613557702</v>
      </c>
      <c r="AD1286" s="405">
        <v>0</v>
      </c>
      <c r="AE1286" s="257" t="s">
        <v>2229</v>
      </c>
      <c r="AF1286" s="257" t="s">
        <v>736</v>
      </c>
      <c r="AG1286" s="261" t="s">
        <v>736</v>
      </c>
      <c r="AH1286" s="261" t="s">
        <v>2110</v>
      </c>
      <c r="AI1286" s="261">
        <v>1000</v>
      </c>
      <c r="AJ1286" s="261" t="s">
        <v>1427</v>
      </c>
      <c r="AK1286" s="261" t="s">
        <v>1427</v>
      </c>
      <c r="AL1286" s="256">
        <v>7.4999999999999997E-3</v>
      </c>
      <c r="AM1286" s="256">
        <v>0.1</v>
      </c>
      <c r="AN1286" s="256" t="s">
        <v>2122</v>
      </c>
      <c r="AO1286" s="254" t="s">
        <v>1324</v>
      </c>
      <c r="AP1286" s="257" t="s">
        <v>13</v>
      </c>
      <c r="AQ1286" s="263" t="s">
        <v>679</v>
      </c>
      <c r="AR1286" s="256">
        <v>2.4997499999999998E-3</v>
      </c>
      <c r="AS1286" s="256">
        <v>2.4997499999999998E-3</v>
      </c>
      <c r="AT1286" s="256"/>
      <c r="AX1286" s="508"/>
      <c r="AY1286" s="509"/>
      <c r="AZ1286" s="509"/>
      <c r="BA1286" s="509"/>
      <c r="BB1286" s="510"/>
      <c r="BC1286" s="509"/>
      <c r="BD1286" s="509"/>
      <c r="BE1286" s="509"/>
      <c r="BF1286" s="509"/>
      <c r="BG1286" s="510"/>
      <c r="BH1286" s="510"/>
      <c r="BI1286" s="511"/>
      <c r="BJ1286" s="511"/>
      <c r="BK1286" s="511"/>
      <c r="BL1286" s="510"/>
      <c r="BM1286" s="510"/>
      <c r="BN1286" s="510"/>
      <c r="BO1286" s="510"/>
      <c r="BP1286" s="510"/>
      <c r="BQ1286" s="510"/>
      <c r="BR1286" s="510"/>
      <c r="BS1286" s="510"/>
      <c r="BT1286" s="513"/>
      <c r="BU1286" s="514"/>
      <c r="BV1286" s="512"/>
      <c r="BW1286" s="515"/>
    </row>
    <row r="1287" spans="2:75" ht="15.75" customHeight="1">
      <c r="B1287" s="250" t="s">
        <v>1265</v>
      </c>
      <c r="C1287" s="251">
        <v>40190965000109</v>
      </c>
      <c r="D1287" s="252" t="s">
        <v>13</v>
      </c>
      <c r="E1287" s="252" t="s">
        <v>615</v>
      </c>
      <c r="F1287" s="252" t="s">
        <v>619</v>
      </c>
      <c r="G1287" s="253" t="s">
        <v>34</v>
      </c>
      <c r="H1287" s="253" t="s">
        <v>865</v>
      </c>
      <c r="I1287" s="253" t="s">
        <v>34</v>
      </c>
      <c r="J1287" s="253"/>
      <c r="K1287" s="254" t="s">
        <v>48</v>
      </c>
      <c r="L1287" s="255"/>
      <c r="M1287" s="255" t="s">
        <v>1414</v>
      </c>
      <c r="N1287" s="254">
        <v>576492</v>
      </c>
      <c r="O1287" s="254" t="s">
        <v>1321</v>
      </c>
      <c r="P1287" s="258">
        <v>44253</v>
      </c>
      <c r="Q1287" s="259">
        <v>18789685.300000001</v>
      </c>
      <c r="R1287" s="259">
        <v>18800208.824007943</v>
      </c>
      <c r="S1287" s="254">
        <v>62</v>
      </c>
      <c r="T1287" s="256">
        <v>6.8144576476958818E-2</v>
      </c>
      <c r="U1287" s="256">
        <v>0.88091824066930646</v>
      </c>
      <c r="V1287" s="256">
        <v>3.8375335207864625E-2</v>
      </c>
      <c r="W1287" s="256">
        <v>0.37620660199979017</v>
      </c>
      <c r="X1287" s="256" t="s">
        <v>1417</v>
      </c>
      <c r="Y1287" s="256" t="s">
        <v>1417</v>
      </c>
      <c r="Z1287" s="256" t="s">
        <v>1417</v>
      </c>
      <c r="AA1287" s="256" t="s">
        <v>1417</v>
      </c>
      <c r="AB1287" s="256">
        <v>6.0651692915620746E-2</v>
      </c>
      <c r="AC1287" s="260">
        <v>-0.95064045743019188</v>
      </c>
      <c r="AD1287" s="405">
        <v>0</v>
      </c>
      <c r="AE1287" s="257" t="s">
        <v>2229</v>
      </c>
      <c r="AF1287" s="257" t="s">
        <v>2109</v>
      </c>
      <c r="AG1287" s="261" t="s">
        <v>1432</v>
      </c>
      <c r="AH1287" s="261" t="s">
        <v>2113</v>
      </c>
      <c r="AI1287" s="261">
        <v>0</v>
      </c>
      <c r="AJ1287" s="261">
        <v>0</v>
      </c>
      <c r="AK1287" s="261">
        <v>0</v>
      </c>
      <c r="AL1287" s="256">
        <v>7.4999999999999997E-3</v>
      </c>
      <c r="AM1287" s="256">
        <v>0.1</v>
      </c>
      <c r="AN1287" s="256" t="s">
        <v>34</v>
      </c>
      <c r="AO1287" s="254" t="s">
        <v>1324</v>
      </c>
      <c r="AP1287" s="257" t="s">
        <v>13</v>
      </c>
      <c r="AQ1287" s="263" t="s">
        <v>668</v>
      </c>
      <c r="AR1287" s="256">
        <v>2.4997499999999998E-3</v>
      </c>
      <c r="AS1287" s="256">
        <v>2.4997499999999998E-3</v>
      </c>
      <c r="AT1287" s="256"/>
      <c r="AX1287" s="508"/>
      <c r="AY1287" s="509"/>
      <c r="AZ1287" s="509"/>
      <c r="BA1287" s="509"/>
      <c r="BB1287" s="510"/>
      <c r="BC1287" s="509"/>
      <c r="BD1287" s="509"/>
      <c r="BE1287" s="509"/>
      <c r="BF1287" s="509"/>
      <c r="BG1287" s="510"/>
      <c r="BH1287" s="510"/>
      <c r="BI1287" s="511"/>
      <c r="BJ1287" s="511"/>
      <c r="BK1287" s="511"/>
      <c r="BL1287" s="510"/>
      <c r="BM1287" s="510"/>
      <c r="BN1287" s="510"/>
      <c r="BO1287" s="510"/>
      <c r="BP1287" s="510"/>
      <c r="BQ1287" s="510"/>
      <c r="BR1287" s="510"/>
      <c r="BS1287" s="510"/>
      <c r="BT1287" s="513"/>
      <c r="BU1287" s="514"/>
      <c r="BV1287" s="512"/>
      <c r="BW1287" s="515"/>
    </row>
    <row r="1288" spans="2:75" ht="15.75" customHeight="1">
      <c r="B1288" s="250" t="s">
        <v>119</v>
      </c>
      <c r="C1288" s="251">
        <v>8892340000186</v>
      </c>
      <c r="D1288" s="252" t="s">
        <v>14</v>
      </c>
      <c r="E1288" s="252" t="s">
        <v>607</v>
      </c>
      <c r="F1288" s="252"/>
      <c r="G1288" s="253"/>
      <c r="H1288" s="253" t="s">
        <v>34</v>
      </c>
      <c r="I1288" s="253" t="s">
        <v>34</v>
      </c>
      <c r="J1288" s="253" t="s">
        <v>608</v>
      </c>
      <c r="K1288" s="254" t="s">
        <v>48</v>
      </c>
      <c r="L1288" s="255"/>
      <c r="M1288" s="255" t="s">
        <v>34</v>
      </c>
      <c r="N1288" s="254">
        <v>210277</v>
      </c>
      <c r="O1288" s="254" t="s">
        <v>1324</v>
      </c>
      <c r="P1288" s="258">
        <v>39598</v>
      </c>
      <c r="Q1288" s="259">
        <v>119594808.06999999</v>
      </c>
      <c r="R1288" s="259">
        <v>168657971.14464271</v>
      </c>
      <c r="S1288" s="254">
        <v>62</v>
      </c>
      <c r="T1288" s="256">
        <v>-3.5863283499536269E-2</v>
      </c>
      <c r="U1288" s="256">
        <v>-0.46361166564324041</v>
      </c>
      <c r="V1288" s="256">
        <v>-0.24727733803635987</v>
      </c>
      <c r="W1288" s="256">
        <v>-2.4241447427186884</v>
      </c>
      <c r="X1288" s="256">
        <v>-0.17623833404221056</v>
      </c>
      <c r="Y1288" s="256">
        <v>-1.3364473025947581</v>
      </c>
      <c r="Z1288" s="256">
        <v>-9.0761063679713705E-2</v>
      </c>
      <c r="AA1288" s="256">
        <v>-0.51591530962702292</v>
      </c>
      <c r="AB1288" s="256">
        <v>0.25615914203515477</v>
      </c>
      <c r="AC1288" s="260">
        <v>-1.3595664644286685</v>
      </c>
      <c r="AD1288" s="405">
        <v>12823607000150</v>
      </c>
      <c r="AE1288" s="257" t="s">
        <v>2166</v>
      </c>
      <c r="AF1288" s="257" t="s">
        <v>2115</v>
      </c>
      <c r="AG1288" s="261" t="s">
        <v>719</v>
      </c>
      <c r="AH1288" s="261" t="s">
        <v>2113</v>
      </c>
      <c r="AI1288" s="261">
        <v>20000</v>
      </c>
      <c r="AJ1288" s="261">
        <v>1000</v>
      </c>
      <c r="AK1288" s="261">
        <v>20000</v>
      </c>
      <c r="AL1288" s="256">
        <v>1.9E-2</v>
      </c>
      <c r="AM1288" s="256">
        <v>0.2</v>
      </c>
      <c r="AN1288" s="256" t="s">
        <v>2122</v>
      </c>
      <c r="AO1288" s="254" t="s">
        <v>1324</v>
      </c>
      <c r="AP1288" s="257" t="s">
        <v>716</v>
      </c>
      <c r="AQ1288" s="263" t="s">
        <v>659</v>
      </c>
      <c r="AR1288" s="256">
        <v>3.8E-3</v>
      </c>
      <c r="AS1288" s="256">
        <v>3.8E-3</v>
      </c>
      <c r="AT1288" s="256"/>
      <c r="AX1288" s="508"/>
      <c r="AY1288" s="509"/>
      <c r="AZ1288" s="509"/>
      <c r="BA1288" s="509"/>
      <c r="BB1288" s="510"/>
      <c r="BC1288" s="509"/>
      <c r="BD1288" s="509"/>
      <c r="BE1288" s="509"/>
      <c r="BF1288" s="509"/>
      <c r="BG1288" s="510"/>
      <c r="BH1288" s="510"/>
      <c r="BI1288" s="511"/>
      <c r="BJ1288" s="511"/>
      <c r="BK1288" s="511"/>
      <c r="BL1288" s="510"/>
      <c r="BM1288" s="510"/>
      <c r="BN1288" s="510"/>
      <c r="BO1288" s="510"/>
      <c r="BP1288" s="510"/>
      <c r="BQ1288" s="510"/>
      <c r="BR1288" s="510"/>
      <c r="BS1288" s="510"/>
      <c r="BT1288" s="513"/>
      <c r="BU1288" s="514"/>
      <c r="BV1288" s="512"/>
      <c r="BW1288" s="515"/>
    </row>
    <row r="1289" spans="2:75" ht="15.75" customHeight="1">
      <c r="B1289" s="250" t="s">
        <v>1560</v>
      </c>
      <c r="C1289" s="251">
        <v>15626322000118</v>
      </c>
      <c r="D1289" s="252" t="s">
        <v>14</v>
      </c>
      <c r="E1289" s="252" t="s">
        <v>614</v>
      </c>
      <c r="F1289" s="252"/>
      <c r="G1289" s="253"/>
      <c r="H1289" s="253" t="s">
        <v>865</v>
      </c>
      <c r="I1289" s="253" t="s">
        <v>34</v>
      </c>
      <c r="J1289" s="253" t="s">
        <v>608</v>
      </c>
      <c r="K1289" s="254" t="s">
        <v>48</v>
      </c>
      <c r="L1289" s="255"/>
      <c r="M1289" s="255"/>
      <c r="N1289" s="254">
        <v>313114</v>
      </c>
      <c r="O1289" s="254" t="s">
        <v>1324</v>
      </c>
      <c r="P1289" s="258">
        <v>41166</v>
      </c>
      <c r="Q1289" s="259">
        <v>206564202.65000001</v>
      </c>
      <c r="R1289" s="259">
        <v>216131118.23869041</v>
      </c>
      <c r="S1289" s="254">
        <v>62</v>
      </c>
      <c r="T1289" s="256">
        <v>0.16724868277071492</v>
      </c>
      <c r="U1289" s="256">
        <v>1.8811987204864378</v>
      </c>
      <c r="V1289" s="256">
        <v>0.12814806587121486</v>
      </c>
      <c r="W1289" s="256">
        <v>1.1761055821437885</v>
      </c>
      <c r="X1289" s="256">
        <v>0.42140929648226555</v>
      </c>
      <c r="Y1289" s="256">
        <v>2.9632618660432195</v>
      </c>
      <c r="Z1289" s="256">
        <v>0.34437774294450474</v>
      </c>
      <c r="AA1289" s="256">
        <v>1.8818741093607858</v>
      </c>
      <c r="AB1289" s="256">
        <v>0.1618095055544721</v>
      </c>
      <c r="AC1289" s="260">
        <v>0.18664764406169757</v>
      </c>
      <c r="AD1289" s="405">
        <v>16617768000149</v>
      </c>
      <c r="AE1289" s="257" t="s">
        <v>1547</v>
      </c>
      <c r="AF1289" s="257" t="s">
        <v>2121</v>
      </c>
      <c r="AG1289" s="261" t="s">
        <v>1547</v>
      </c>
      <c r="AH1289" s="261" t="s">
        <v>2110</v>
      </c>
      <c r="AI1289" s="261">
        <v>100000</v>
      </c>
      <c r="AJ1289" s="261">
        <v>50000</v>
      </c>
      <c r="AK1289" s="261">
        <v>100000</v>
      </c>
      <c r="AL1289" s="256">
        <v>0</v>
      </c>
      <c r="AM1289" s="256" t="s">
        <v>34</v>
      </c>
      <c r="AN1289" s="256" t="s">
        <v>2141</v>
      </c>
      <c r="AO1289" s="254" t="s">
        <v>1324</v>
      </c>
      <c r="AP1289" s="257" t="s">
        <v>716</v>
      </c>
      <c r="AQ1289" s="263" t="s">
        <v>659</v>
      </c>
      <c r="AR1289" s="256" t="s">
        <v>34</v>
      </c>
      <c r="AS1289" s="256" t="s">
        <v>34</v>
      </c>
      <c r="AT1289" s="256"/>
      <c r="AX1289" s="508"/>
      <c r="AY1289" s="509"/>
      <c r="AZ1289" s="509"/>
      <c r="BA1289" s="509"/>
      <c r="BB1289" s="510"/>
      <c r="BC1289" s="509"/>
      <c r="BD1289" s="509"/>
      <c r="BE1289" s="509"/>
      <c r="BF1289" s="509"/>
      <c r="BG1289" s="510"/>
      <c r="BH1289" s="510"/>
      <c r="BI1289" s="511"/>
      <c r="BJ1289" s="511"/>
      <c r="BK1289" s="511"/>
      <c r="BL1289" s="510"/>
      <c r="BM1289" s="510"/>
      <c r="BN1289" s="510"/>
      <c r="BO1289" s="510"/>
      <c r="BP1289" s="510"/>
      <c r="BQ1289" s="510"/>
      <c r="BR1289" s="510"/>
      <c r="BS1289" s="510"/>
      <c r="BT1289" s="513"/>
      <c r="BU1289" s="514"/>
      <c r="BV1289" s="512"/>
      <c r="BW1289" s="515"/>
    </row>
    <row r="1290" spans="2:75" ht="15.75" customHeight="1">
      <c r="B1290" s="250" t="s">
        <v>1563</v>
      </c>
      <c r="C1290" s="251">
        <v>32672386000174</v>
      </c>
      <c r="D1290" s="252" t="s">
        <v>14</v>
      </c>
      <c r="E1290" s="252" t="s">
        <v>614</v>
      </c>
      <c r="F1290" s="252"/>
      <c r="G1290" s="253"/>
      <c r="H1290" s="253" t="s">
        <v>1338</v>
      </c>
      <c r="I1290" s="253" t="s">
        <v>34</v>
      </c>
      <c r="J1290" s="253" t="s">
        <v>608</v>
      </c>
      <c r="K1290" s="254" t="s">
        <v>48</v>
      </c>
      <c r="L1290" s="255"/>
      <c r="M1290" s="255"/>
      <c r="N1290" s="254">
        <v>514144</v>
      </c>
      <c r="O1290" s="254" t="s">
        <v>1321</v>
      </c>
      <c r="P1290" s="258">
        <v>43788</v>
      </c>
      <c r="Q1290" s="259">
        <v>26800973.34</v>
      </c>
      <c r="R1290" s="259">
        <v>45112430.874722205</v>
      </c>
      <c r="S1290" s="254">
        <v>62</v>
      </c>
      <c r="T1290" s="256">
        <v>0.15060879031251773</v>
      </c>
      <c r="U1290" s="256">
        <v>1.6940346490999598</v>
      </c>
      <c r="V1290" s="256">
        <v>-6.9099394272621795E-2</v>
      </c>
      <c r="W1290" s="256">
        <v>-0.63417409208857833</v>
      </c>
      <c r="X1290" s="256">
        <v>6.6762887603234233E-2</v>
      </c>
      <c r="Y1290" s="256">
        <v>0.46946263538331612</v>
      </c>
      <c r="Z1290" s="256" t="s">
        <v>1417</v>
      </c>
      <c r="AA1290" s="256" t="s">
        <v>1417</v>
      </c>
      <c r="AB1290" s="256">
        <v>0.2549986356122545</v>
      </c>
      <c r="AC1290" s="260">
        <v>-0.559313655253452</v>
      </c>
      <c r="AD1290" s="405">
        <v>34429833000194</v>
      </c>
      <c r="AE1290" s="257" t="s">
        <v>1547</v>
      </c>
      <c r="AF1290" s="257" t="s">
        <v>2121</v>
      </c>
      <c r="AG1290" s="261" t="s">
        <v>1547</v>
      </c>
      <c r="AH1290" s="261" t="s">
        <v>2110</v>
      </c>
      <c r="AI1290" s="261">
        <v>100000</v>
      </c>
      <c r="AJ1290" s="261" t="s">
        <v>1427</v>
      </c>
      <c r="AK1290" s="261">
        <v>100000</v>
      </c>
      <c r="AL1290" s="256">
        <v>0</v>
      </c>
      <c r="AM1290" s="256" t="s">
        <v>34</v>
      </c>
      <c r="AN1290" s="256" t="s">
        <v>666</v>
      </c>
      <c r="AO1290" s="254" t="s">
        <v>1324</v>
      </c>
      <c r="AP1290" s="257" t="s">
        <v>716</v>
      </c>
      <c r="AQ1290" s="263" t="s">
        <v>659</v>
      </c>
      <c r="AR1290" s="256" t="s">
        <v>34</v>
      </c>
      <c r="AS1290" s="256" t="s">
        <v>34</v>
      </c>
      <c r="AT1290" s="256"/>
      <c r="AX1290" s="508"/>
      <c r="AY1290" s="509"/>
      <c r="AZ1290" s="509"/>
      <c r="BA1290" s="509"/>
      <c r="BB1290" s="510"/>
      <c r="BC1290" s="509"/>
      <c r="BD1290" s="509"/>
      <c r="BE1290" s="509"/>
      <c r="BF1290" s="509"/>
      <c r="BG1290" s="510"/>
      <c r="BH1290" s="510"/>
      <c r="BI1290" s="511"/>
      <c r="BJ1290" s="511"/>
      <c r="BK1290" s="511"/>
      <c r="BL1290" s="510"/>
      <c r="BM1290" s="510"/>
      <c r="BN1290" s="510"/>
      <c r="BO1290" s="510"/>
      <c r="BP1290" s="510"/>
      <c r="BQ1290" s="510"/>
      <c r="BR1290" s="510"/>
      <c r="BS1290" s="510"/>
      <c r="BT1290" s="513"/>
      <c r="BU1290" s="514"/>
      <c r="BV1290" s="512"/>
      <c r="BW1290" s="515"/>
    </row>
    <row r="1291" spans="2:75" ht="15.75" customHeight="1">
      <c r="B1291" s="250" t="s">
        <v>975</v>
      </c>
      <c r="C1291" s="251">
        <v>22662135000155</v>
      </c>
      <c r="D1291" s="252" t="s">
        <v>14</v>
      </c>
      <c r="E1291" s="252" t="s">
        <v>607</v>
      </c>
      <c r="F1291" s="252"/>
      <c r="G1291" s="253"/>
      <c r="H1291" s="253" t="s">
        <v>34</v>
      </c>
      <c r="I1291" s="253" t="s">
        <v>34</v>
      </c>
      <c r="J1291" s="253" t="s">
        <v>608</v>
      </c>
      <c r="K1291" s="254" t="s">
        <v>48</v>
      </c>
      <c r="L1291" s="255"/>
      <c r="M1291" s="255" t="s">
        <v>34</v>
      </c>
      <c r="N1291" s="254">
        <v>407496</v>
      </c>
      <c r="O1291" s="254" t="s">
        <v>1321</v>
      </c>
      <c r="P1291" s="258">
        <v>42311</v>
      </c>
      <c r="Q1291" s="259">
        <v>401693093.39999998</v>
      </c>
      <c r="R1291" s="259">
        <v>444879007.71825415</v>
      </c>
      <c r="S1291" s="254">
        <v>62</v>
      </c>
      <c r="T1291" s="256">
        <v>-0.11552435913012138</v>
      </c>
      <c r="U1291" s="256">
        <v>-1.4934059386775336</v>
      </c>
      <c r="V1291" s="256">
        <v>-0.2377067672924027</v>
      </c>
      <c r="W1291" s="256">
        <v>-2.3303211479727368</v>
      </c>
      <c r="X1291" s="256">
        <v>-0.15797201661969218</v>
      </c>
      <c r="Y1291" s="256">
        <v>-1.1979304993105335</v>
      </c>
      <c r="Z1291" s="256">
        <v>8.1130989629599082E-2</v>
      </c>
      <c r="AA1291" s="256">
        <v>0.46117484676919801</v>
      </c>
      <c r="AB1291" s="256">
        <v>0.25914839652916127</v>
      </c>
      <c r="AC1291" s="260">
        <v>-1.2923486445454688</v>
      </c>
      <c r="AD1291" s="405">
        <v>35939458000195</v>
      </c>
      <c r="AE1291" s="257" t="s">
        <v>2271</v>
      </c>
      <c r="AF1291" s="257" t="s">
        <v>2118</v>
      </c>
      <c r="AG1291" s="261" t="s">
        <v>1433</v>
      </c>
      <c r="AH1291" s="261" t="s">
        <v>2113</v>
      </c>
      <c r="AI1291" s="261">
        <v>1000</v>
      </c>
      <c r="AJ1291" s="261">
        <v>100</v>
      </c>
      <c r="AK1291" s="261">
        <v>1000</v>
      </c>
      <c r="AL1291" s="256">
        <v>1.9400000000000001E-2</v>
      </c>
      <c r="AM1291" s="256">
        <v>0.2</v>
      </c>
      <c r="AN1291" s="256" t="s">
        <v>666</v>
      </c>
      <c r="AO1291" s="254" t="s">
        <v>1324</v>
      </c>
      <c r="AP1291" s="257" t="s">
        <v>716</v>
      </c>
      <c r="AQ1291" s="263" t="s">
        <v>659</v>
      </c>
      <c r="AR1291" s="256">
        <v>4.0000000000000001E-3</v>
      </c>
      <c r="AS1291" s="256">
        <v>4.0000000000000001E-3</v>
      </c>
      <c r="AT1291" s="256"/>
      <c r="AX1291" s="508"/>
      <c r="AY1291" s="509"/>
      <c r="AZ1291" s="509"/>
      <c r="BA1291" s="509"/>
      <c r="BB1291" s="510"/>
      <c r="BC1291" s="509"/>
      <c r="BD1291" s="509"/>
      <c r="BE1291" s="509"/>
      <c r="BF1291" s="509"/>
      <c r="BG1291" s="510"/>
      <c r="BH1291" s="510"/>
      <c r="BI1291" s="511"/>
      <c r="BJ1291" s="511"/>
      <c r="BK1291" s="511"/>
      <c r="BL1291" s="510"/>
      <c r="BM1291" s="510"/>
      <c r="BN1291" s="510"/>
      <c r="BO1291" s="510"/>
      <c r="BP1291" s="510"/>
      <c r="BQ1291" s="510"/>
      <c r="BR1291" s="510"/>
      <c r="BS1291" s="510"/>
      <c r="BT1291" s="513"/>
      <c r="BU1291" s="514"/>
      <c r="BV1291" s="512"/>
      <c r="BW1291" s="515"/>
    </row>
    <row r="1292" spans="2:75" ht="15.75" customHeight="1">
      <c r="B1292" s="250" t="s">
        <v>236</v>
      </c>
      <c r="C1292" s="251">
        <v>39363151000140</v>
      </c>
      <c r="D1292" s="252" t="s">
        <v>14</v>
      </c>
      <c r="E1292" s="252" t="s">
        <v>607</v>
      </c>
      <c r="F1292" s="252"/>
      <c r="G1292" s="253"/>
      <c r="H1292" s="253" t="s">
        <v>34</v>
      </c>
      <c r="I1292" s="253" t="s">
        <v>34</v>
      </c>
      <c r="J1292" s="253" t="s">
        <v>608</v>
      </c>
      <c r="K1292" s="254" t="s">
        <v>48</v>
      </c>
      <c r="L1292" s="255"/>
      <c r="M1292" s="255" t="s">
        <v>1414</v>
      </c>
      <c r="N1292" s="254">
        <v>559989</v>
      </c>
      <c r="O1292" s="254" t="s">
        <v>1321</v>
      </c>
      <c r="P1292" s="258">
        <v>44141</v>
      </c>
      <c r="Q1292" s="259">
        <v>5728353.7400000002</v>
      </c>
      <c r="R1292" s="259">
        <v>8828728.7333730236</v>
      </c>
      <c r="S1292" s="254">
        <v>62</v>
      </c>
      <c r="T1292" s="256">
        <v>-0.25065611880999672</v>
      </c>
      <c r="U1292" s="256">
        <v>-3.2402805712609992</v>
      </c>
      <c r="V1292" s="256">
        <v>-0.32556387333827397</v>
      </c>
      <c r="W1292" s="256">
        <v>-3.1916145581285051</v>
      </c>
      <c r="X1292" s="256" t="s">
        <v>1417</v>
      </c>
      <c r="Y1292" s="256" t="s">
        <v>1417</v>
      </c>
      <c r="Z1292" s="256" t="s">
        <v>1417</v>
      </c>
      <c r="AA1292" s="256" t="s">
        <v>1417</v>
      </c>
      <c r="AB1292" s="256">
        <v>0.3320744163153182</v>
      </c>
      <c r="AC1292" s="260">
        <v>-1.3117101819752368</v>
      </c>
      <c r="AD1292" s="405">
        <v>0</v>
      </c>
      <c r="AE1292" s="257" t="s">
        <v>2277</v>
      </c>
      <c r="AF1292" s="257" t="s">
        <v>2109</v>
      </c>
      <c r="AG1292" s="261" t="s">
        <v>1432</v>
      </c>
      <c r="AH1292" s="261" t="s">
        <v>2110</v>
      </c>
      <c r="AI1292" s="261">
        <v>50000</v>
      </c>
      <c r="AJ1292" s="261">
        <v>10000</v>
      </c>
      <c r="AK1292" s="261">
        <v>10000</v>
      </c>
      <c r="AL1292" s="256">
        <v>5.0000000000000001E-3</v>
      </c>
      <c r="AM1292" s="256">
        <v>0.25</v>
      </c>
      <c r="AN1292" s="256" t="s">
        <v>34</v>
      </c>
      <c r="AO1292" s="254" t="s">
        <v>1324</v>
      </c>
      <c r="AP1292" s="257" t="s">
        <v>716</v>
      </c>
      <c r="AQ1292" s="263" t="s">
        <v>659</v>
      </c>
      <c r="AR1292" s="256" t="s">
        <v>34</v>
      </c>
      <c r="AS1292" s="256" t="s">
        <v>34</v>
      </c>
      <c r="AT1292" s="256"/>
      <c r="AX1292" s="508"/>
      <c r="AY1292" s="509"/>
      <c r="AZ1292" s="509"/>
      <c r="BA1292" s="509"/>
      <c r="BB1292" s="510"/>
      <c r="BC1292" s="509"/>
      <c r="BD1292" s="509"/>
      <c r="BE1292" s="509"/>
      <c r="BF1292" s="509"/>
      <c r="BG1292" s="510"/>
      <c r="BH1292" s="510"/>
      <c r="BI1292" s="511"/>
      <c r="BJ1292" s="511"/>
      <c r="BK1292" s="511"/>
      <c r="BL1292" s="510"/>
      <c r="BM1292" s="510"/>
      <c r="BN1292" s="510"/>
      <c r="BO1292" s="510"/>
      <c r="BP1292" s="510"/>
      <c r="BQ1292" s="510"/>
      <c r="BR1292" s="510"/>
      <c r="BS1292" s="510"/>
      <c r="BT1292" s="513"/>
      <c r="BU1292" s="514"/>
      <c r="BV1292" s="512"/>
      <c r="BW1292" s="515"/>
    </row>
    <row r="1293" spans="2:75" ht="15.75" customHeight="1">
      <c r="B1293" s="250" t="s">
        <v>268</v>
      </c>
      <c r="C1293" s="251">
        <v>36828894000150</v>
      </c>
      <c r="D1293" s="252" t="s">
        <v>14</v>
      </c>
      <c r="E1293" s="252" t="s">
        <v>607</v>
      </c>
      <c r="F1293" s="252"/>
      <c r="G1293" s="253"/>
      <c r="H1293" s="253" t="s">
        <v>34</v>
      </c>
      <c r="I1293" s="253" t="s">
        <v>34</v>
      </c>
      <c r="J1293" s="253" t="s">
        <v>608</v>
      </c>
      <c r="K1293" s="254" t="s">
        <v>48</v>
      </c>
      <c r="L1293" s="255"/>
      <c r="M1293" s="255" t="s">
        <v>1414</v>
      </c>
      <c r="N1293" s="254">
        <v>542385</v>
      </c>
      <c r="O1293" s="254" t="s">
        <v>1321</v>
      </c>
      <c r="P1293" s="258">
        <v>43986</v>
      </c>
      <c r="Q1293" s="259">
        <v>10980366.949999999</v>
      </c>
      <c r="R1293" s="259">
        <v>9678767.5700396802</v>
      </c>
      <c r="S1293" s="254">
        <v>62</v>
      </c>
      <c r="T1293" s="256">
        <v>-0.12801328442625515</v>
      </c>
      <c r="U1293" s="256">
        <v>-1.6548527135861792</v>
      </c>
      <c r="V1293" s="256">
        <v>-0.19489881276004184</v>
      </c>
      <c r="W1293" s="256">
        <v>-1.9106600550872077</v>
      </c>
      <c r="X1293" s="256">
        <v>-0.24847509394140854</v>
      </c>
      <c r="Y1293" s="256">
        <v>-1.8842317754799027</v>
      </c>
      <c r="Z1293" s="256" t="s">
        <v>1417</v>
      </c>
      <c r="AA1293" s="256" t="s">
        <v>1417</v>
      </c>
      <c r="AB1293" s="256">
        <v>0.26354759892628621</v>
      </c>
      <c r="AC1293" s="260">
        <v>-1.0594932706213536</v>
      </c>
      <c r="AD1293" s="405">
        <v>18324976000185</v>
      </c>
      <c r="AE1293" s="257" t="s">
        <v>2302</v>
      </c>
      <c r="AF1293" s="257" t="s">
        <v>2109</v>
      </c>
      <c r="AG1293" s="261" t="s">
        <v>1432</v>
      </c>
      <c r="AH1293" s="261" t="s">
        <v>2110</v>
      </c>
      <c r="AI1293" s="261">
        <v>5000</v>
      </c>
      <c r="AJ1293" s="261">
        <v>1000</v>
      </c>
      <c r="AK1293" s="261">
        <v>5000</v>
      </c>
      <c r="AL1293" s="256">
        <v>0.02</v>
      </c>
      <c r="AM1293" s="256">
        <v>0.2</v>
      </c>
      <c r="AN1293" s="256" t="s">
        <v>34</v>
      </c>
      <c r="AO1293" s="254" t="s">
        <v>1324</v>
      </c>
      <c r="AP1293" s="257" t="s">
        <v>716</v>
      </c>
      <c r="AQ1293" s="263" t="s">
        <v>659</v>
      </c>
      <c r="AR1293" s="256">
        <v>3.5999999999999999E-3</v>
      </c>
      <c r="AS1293" s="256">
        <v>3.5999999999999999E-3</v>
      </c>
      <c r="AT1293" s="256"/>
      <c r="AX1293" s="508"/>
      <c r="AY1293" s="509"/>
      <c r="AZ1293" s="509"/>
      <c r="BA1293" s="509"/>
      <c r="BB1293" s="510"/>
      <c r="BC1293" s="509"/>
      <c r="BD1293" s="509"/>
      <c r="BE1293" s="509"/>
      <c r="BF1293" s="509"/>
      <c r="BG1293" s="510"/>
      <c r="BH1293" s="510"/>
      <c r="BI1293" s="511"/>
      <c r="BJ1293" s="511"/>
      <c r="BK1293" s="511"/>
      <c r="BL1293" s="510"/>
      <c r="BM1293" s="510"/>
      <c r="BN1293" s="510"/>
      <c r="BO1293" s="510"/>
      <c r="BP1293" s="510"/>
      <c r="BQ1293" s="510"/>
      <c r="BR1293" s="510"/>
      <c r="BS1293" s="510"/>
      <c r="BT1293" s="513"/>
      <c r="BU1293" s="514"/>
      <c r="BV1293" s="512"/>
      <c r="BW1293" s="515"/>
    </row>
    <row r="1294" spans="2:75" ht="15.75" customHeight="1">
      <c r="B1294" s="250" t="s">
        <v>1621</v>
      </c>
      <c r="C1294" s="251">
        <v>30129289000104</v>
      </c>
      <c r="D1294" s="252" t="s">
        <v>14</v>
      </c>
      <c r="E1294" s="252"/>
      <c r="F1294" s="252"/>
      <c r="G1294" s="253"/>
      <c r="H1294" s="253" t="s">
        <v>34</v>
      </c>
      <c r="I1294" s="253"/>
      <c r="J1294" s="253"/>
      <c r="K1294" s="254"/>
      <c r="L1294" s="255"/>
      <c r="M1294" s="255"/>
      <c r="N1294" s="254">
        <v>471860</v>
      </c>
      <c r="O1294" s="254" t="s">
        <v>1321</v>
      </c>
      <c r="P1294" s="258">
        <v>43308</v>
      </c>
      <c r="Q1294" s="259">
        <v>423844806.48000002</v>
      </c>
      <c r="R1294" s="259">
        <v>525379351.62428546</v>
      </c>
      <c r="S1294" s="254">
        <v>62</v>
      </c>
      <c r="T1294" s="256">
        <v>-0.10980149090752289</v>
      </c>
      <c r="U1294" s="256">
        <v>-1.2350376743230378</v>
      </c>
      <c r="V1294" s="256">
        <v>-0.19849512476087872</v>
      </c>
      <c r="W1294" s="256">
        <v>-1.8217303762837043</v>
      </c>
      <c r="X1294" s="256">
        <v>-2.1623024610418096E-2</v>
      </c>
      <c r="Y1294" s="256">
        <v>-0.15204857792989501</v>
      </c>
      <c r="Z1294" s="256">
        <v>3.2794736420034498E-2</v>
      </c>
      <c r="AA1294" s="256">
        <v>0.17920892582805326</v>
      </c>
      <c r="AB1294" s="256">
        <v>0.25868470278315936</v>
      </c>
      <c r="AC1294" s="260">
        <v>-1.1257155950371329</v>
      </c>
      <c r="AD1294" s="405">
        <v>30566208000133</v>
      </c>
      <c r="AE1294" s="257" t="s">
        <v>2318</v>
      </c>
      <c r="AF1294" s="257" t="s">
        <v>2318</v>
      </c>
      <c r="AG1294" s="261" t="s">
        <v>1436</v>
      </c>
      <c r="AH1294" s="261" t="s">
        <v>2110</v>
      </c>
      <c r="AI1294" s="261">
        <v>100000</v>
      </c>
      <c r="AJ1294" s="261">
        <v>20000</v>
      </c>
      <c r="AK1294" s="261">
        <v>20000</v>
      </c>
      <c r="AL1294" s="256">
        <v>0</v>
      </c>
      <c r="AM1294" s="256" t="s">
        <v>34</v>
      </c>
      <c r="AN1294" s="256" t="s">
        <v>2141</v>
      </c>
      <c r="AO1294" s="254" t="s">
        <v>1324</v>
      </c>
      <c r="AP1294" s="257" t="s">
        <v>716</v>
      </c>
      <c r="AQ1294" s="263" t="s">
        <v>659</v>
      </c>
      <c r="AR1294" s="256" t="s">
        <v>34</v>
      </c>
      <c r="AS1294" s="256" t="s">
        <v>34</v>
      </c>
      <c r="AT1294" s="256"/>
      <c r="AX1294" s="508"/>
      <c r="AY1294" s="509"/>
      <c r="AZ1294" s="509"/>
      <c r="BA1294" s="509"/>
      <c r="BB1294" s="510"/>
      <c r="BC1294" s="509"/>
      <c r="BD1294" s="509"/>
      <c r="BE1294" s="509"/>
      <c r="BF1294" s="509"/>
      <c r="BG1294" s="510"/>
      <c r="BH1294" s="510"/>
      <c r="BI1294" s="511"/>
      <c r="BJ1294" s="511"/>
      <c r="BK1294" s="511"/>
      <c r="BL1294" s="510"/>
      <c r="BM1294" s="510"/>
      <c r="BN1294" s="510"/>
      <c r="BO1294" s="510"/>
      <c r="BP1294" s="510"/>
      <c r="BQ1294" s="510"/>
      <c r="BR1294" s="510"/>
      <c r="BS1294" s="510"/>
      <c r="BT1294" s="513"/>
      <c r="BU1294" s="514"/>
      <c r="BV1294" s="512"/>
      <c r="BW1294" s="515"/>
    </row>
    <row r="1295" spans="2:75" ht="15.75" customHeight="1">
      <c r="B1295" s="250" t="s">
        <v>1627</v>
      </c>
      <c r="C1295" s="251">
        <v>35591357000176</v>
      </c>
      <c r="D1295" s="252" t="s">
        <v>14</v>
      </c>
      <c r="E1295" s="252"/>
      <c r="F1295" s="252"/>
      <c r="G1295" s="253"/>
      <c r="H1295" s="253" t="s">
        <v>34</v>
      </c>
      <c r="I1295" s="253"/>
      <c r="J1295" s="253"/>
      <c r="K1295" s="254"/>
      <c r="L1295" s="255"/>
      <c r="M1295" s="255"/>
      <c r="N1295" s="254">
        <v>539406</v>
      </c>
      <c r="O1295" s="254" t="s">
        <v>1321</v>
      </c>
      <c r="P1295" s="258">
        <v>43994</v>
      </c>
      <c r="Q1295" s="259">
        <v>18865786.43</v>
      </c>
      <c r="R1295" s="259">
        <v>28217795.893253986</v>
      </c>
      <c r="S1295" s="254">
        <v>62</v>
      </c>
      <c r="T1295" s="256">
        <v>-8.691041254693288E-2</v>
      </c>
      <c r="U1295" s="256">
        <v>-0.97756080449601312</v>
      </c>
      <c r="V1295" s="256">
        <v>-0.26876389912914089</v>
      </c>
      <c r="W1295" s="256">
        <v>-2.466636697913013</v>
      </c>
      <c r="X1295" s="256">
        <v>-0.2277668555283372</v>
      </c>
      <c r="Y1295" s="256">
        <v>-1.6016087992593693</v>
      </c>
      <c r="Z1295" s="256" t="s">
        <v>1417</v>
      </c>
      <c r="AA1295" s="256" t="s">
        <v>1417</v>
      </c>
      <c r="AB1295" s="256">
        <v>0.25963852571710561</v>
      </c>
      <c r="AC1295" s="260">
        <v>-1.4736471748631566</v>
      </c>
      <c r="AD1295" s="405">
        <v>35410788000199</v>
      </c>
      <c r="AE1295" s="257" t="s">
        <v>2318</v>
      </c>
      <c r="AF1295" s="257" t="s">
        <v>2318</v>
      </c>
      <c r="AG1295" s="261" t="s">
        <v>1436</v>
      </c>
      <c r="AH1295" s="261" t="s">
        <v>2110</v>
      </c>
      <c r="AI1295" s="261">
        <v>5000</v>
      </c>
      <c r="AJ1295" s="261">
        <v>1000</v>
      </c>
      <c r="AK1295" s="261">
        <v>1000</v>
      </c>
      <c r="AL1295" s="256">
        <v>0</v>
      </c>
      <c r="AM1295" s="256" t="s">
        <v>34</v>
      </c>
      <c r="AN1295" s="256" t="s">
        <v>666</v>
      </c>
      <c r="AO1295" s="254" t="s">
        <v>1324</v>
      </c>
      <c r="AP1295" s="257" t="s">
        <v>716</v>
      </c>
      <c r="AQ1295" s="263" t="s">
        <v>665</v>
      </c>
      <c r="AR1295" s="256" t="s">
        <v>34</v>
      </c>
      <c r="AS1295" s="256" t="s">
        <v>34</v>
      </c>
      <c r="AT1295" s="256"/>
      <c r="AX1295" s="508"/>
      <c r="AY1295" s="509"/>
      <c r="AZ1295" s="509"/>
      <c r="BA1295" s="509"/>
      <c r="BB1295" s="510"/>
      <c r="BC1295" s="509"/>
      <c r="BD1295" s="509"/>
      <c r="BE1295" s="509"/>
      <c r="BF1295" s="509"/>
      <c r="BG1295" s="510"/>
      <c r="BH1295" s="510"/>
      <c r="BI1295" s="511"/>
      <c r="BJ1295" s="511"/>
      <c r="BK1295" s="511"/>
      <c r="BL1295" s="510"/>
      <c r="BM1295" s="510"/>
      <c r="BN1295" s="510"/>
      <c r="BO1295" s="510"/>
      <c r="BP1295" s="510"/>
      <c r="BQ1295" s="510"/>
      <c r="BR1295" s="510"/>
      <c r="BS1295" s="510"/>
      <c r="BT1295" s="513"/>
      <c r="BU1295" s="514"/>
      <c r="BV1295" s="512"/>
      <c r="BW1295" s="515"/>
    </row>
    <row r="1296" spans="2:75" ht="15.75" customHeight="1">
      <c r="B1296" s="250" t="s">
        <v>1635</v>
      </c>
      <c r="C1296" s="251">
        <v>32666469000150</v>
      </c>
      <c r="D1296" s="252" t="s">
        <v>14</v>
      </c>
      <c r="E1296" s="252" t="s">
        <v>607</v>
      </c>
      <c r="F1296" s="252"/>
      <c r="G1296" s="253"/>
      <c r="H1296" s="253" t="s">
        <v>34</v>
      </c>
      <c r="I1296" s="253" t="s">
        <v>34</v>
      </c>
      <c r="J1296" s="253" t="s">
        <v>608</v>
      </c>
      <c r="K1296" s="254" t="s">
        <v>48</v>
      </c>
      <c r="L1296" s="255"/>
      <c r="M1296" s="255"/>
      <c r="N1296" s="254">
        <v>494275</v>
      </c>
      <c r="O1296" s="254" t="s">
        <v>1321</v>
      </c>
      <c r="P1296" s="258">
        <v>43587</v>
      </c>
      <c r="Q1296" s="259">
        <v>17810232.420000002</v>
      </c>
      <c r="R1296" s="259">
        <v>26351467.824404757</v>
      </c>
      <c r="S1296" s="254">
        <v>62</v>
      </c>
      <c r="T1296" s="256">
        <v>-0.10368462565292957</v>
      </c>
      <c r="U1296" s="256">
        <v>-1.1662357029131694</v>
      </c>
      <c r="V1296" s="256">
        <v>-0.17368322627851529</v>
      </c>
      <c r="W1296" s="256">
        <v>-1.5940140068613278</v>
      </c>
      <c r="X1296" s="256">
        <v>-4.5545715871266101E-2</v>
      </c>
      <c r="Y1296" s="256">
        <v>-0.32026792984772712</v>
      </c>
      <c r="Z1296" s="256">
        <v>2.5852226864706118E-2</v>
      </c>
      <c r="AA1296" s="256">
        <v>0.14127114020214623</v>
      </c>
      <c r="AB1296" s="256">
        <v>0.2520938890149762</v>
      </c>
      <c r="AC1296" s="260">
        <v>-1.0410548374474229</v>
      </c>
      <c r="AD1296" s="405">
        <v>7317588000150</v>
      </c>
      <c r="AE1296" s="257" t="s">
        <v>2318</v>
      </c>
      <c r="AF1296" s="257" t="s">
        <v>2318</v>
      </c>
      <c r="AG1296" s="261" t="s">
        <v>1436</v>
      </c>
      <c r="AH1296" s="261" t="s">
        <v>2110</v>
      </c>
      <c r="AI1296" s="261">
        <v>1000</v>
      </c>
      <c r="AJ1296" s="261">
        <v>1000</v>
      </c>
      <c r="AK1296" s="261">
        <v>1000</v>
      </c>
      <c r="AL1296" s="256">
        <v>0</v>
      </c>
      <c r="AM1296" s="256" t="s">
        <v>34</v>
      </c>
      <c r="AN1296" s="256" t="s">
        <v>666</v>
      </c>
      <c r="AO1296" s="254" t="s">
        <v>1324</v>
      </c>
      <c r="AP1296" s="257" t="s">
        <v>716</v>
      </c>
      <c r="AQ1296" s="263" t="s">
        <v>659</v>
      </c>
      <c r="AR1296" s="256" t="s">
        <v>34</v>
      </c>
      <c r="AS1296" s="256" t="s">
        <v>34</v>
      </c>
      <c r="AT1296" s="256"/>
      <c r="AX1296" s="508"/>
      <c r="AY1296" s="509"/>
      <c r="AZ1296" s="509"/>
      <c r="BA1296" s="509"/>
      <c r="BB1296" s="510"/>
      <c r="BC1296" s="509"/>
      <c r="BD1296" s="509"/>
      <c r="BE1296" s="509"/>
      <c r="BF1296" s="509"/>
      <c r="BG1296" s="510"/>
      <c r="BH1296" s="510"/>
      <c r="BI1296" s="511"/>
      <c r="BJ1296" s="511"/>
      <c r="BK1296" s="511"/>
      <c r="BL1296" s="510"/>
      <c r="BM1296" s="510"/>
      <c r="BN1296" s="510"/>
      <c r="BO1296" s="510"/>
      <c r="BP1296" s="510"/>
      <c r="BQ1296" s="510"/>
      <c r="BR1296" s="510"/>
      <c r="BS1296" s="510"/>
      <c r="BT1296" s="513"/>
      <c r="BU1296" s="514"/>
      <c r="BV1296" s="512"/>
      <c r="BW1296" s="515"/>
    </row>
    <row r="1297" spans="2:75" ht="15.75" customHeight="1">
      <c r="B1297" s="250" t="s">
        <v>1669</v>
      </c>
      <c r="C1297" s="251">
        <v>34887358000108</v>
      </c>
      <c r="D1297" s="252" t="s">
        <v>14</v>
      </c>
      <c r="E1297" s="252" t="s">
        <v>614</v>
      </c>
      <c r="F1297" s="252"/>
      <c r="G1297" s="253"/>
      <c r="H1297" s="253" t="s">
        <v>1338</v>
      </c>
      <c r="I1297" s="253" t="s">
        <v>34</v>
      </c>
      <c r="J1297" s="253" t="s">
        <v>608</v>
      </c>
      <c r="K1297" s="254" t="s">
        <v>48</v>
      </c>
      <c r="L1297" s="255"/>
      <c r="M1297" s="255"/>
      <c r="N1297" s="254">
        <v>516856</v>
      </c>
      <c r="O1297" s="254" t="s">
        <v>1321</v>
      </c>
      <c r="P1297" s="258">
        <v>43804</v>
      </c>
      <c r="Q1297" s="259">
        <v>37874977.93</v>
      </c>
      <c r="R1297" s="259">
        <v>80293745.836071417</v>
      </c>
      <c r="S1297" s="254">
        <v>62</v>
      </c>
      <c r="T1297" s="256">
        <v>0.14520462932271028</v>
      </c>
      <c r="U1297" s="256">
        <v>1.6332491136272187</v>
      </c>
      <c r="V1297" s="256">
        <v>-7.1749051220868831E-2</v>
      </c>
      <c r="W1297" s="256">
        <v>-0.65849187095175044</v>
      </c>
      <c r="X1297" s="256">
        <v>6.3666040367743149E-2</v>
      </c>
      <c r="Y1297" s="256">
        <v>0.44768625457137007</v>
      </c>
      <c r="Z1297" s="256" t="s">
        <v>1417</v>
      </c>
      <c r="AA1297" s="256" t="s">
        <v>1417</v>
      </c>
      <c r="AB1297" s="256">
        <v>0.25150459426222987</v>
      </c>
      <c r="AC1297" s="260">
        <v>-0.58191040761418567</v>
      </c>
      <c r="AD1297" s="405">
        <v>34849937000158</v>
      </c>
      <c r="AE1297" s="257" t="s">
        <v>2318</v>
      </c>
      <c r="AF1297" s="257" t="s">
        <v>2318</v>
      </c>
      <c r="AG1297" s="261" t="s">
        <v>1436</v>
      </c>
      <c r="AH1297" s="261" t="s">
        <v>2110</v>
      </c>
      <c r="AI1297" s="261">
        <v>1000</v>
      </c>
      <c r="AJ1297" s="261">
        <v>100</v>
      </c>
      <c r="AK1297" s="261">
        <v>1000</v>
      </c>
      <c r="AL1297" s="256">
        <v>0</v>
      </c>
      <c r="AM1297" s="256" t="s">
        <v>34</v>
      </c>
      <c r="AN1297" s="256" t="s">
        <v>666</v>
      </c>
      <c r="AO1297" s="254" t="s">
        <v>1324</v>
      </c>
      <c r="AP1297" s="257" t="s">
        <v>716</v>
      </c>
      <c r="AQ1297" s="263" t="s">
        <v>659</v>
      </c>
      <c r="AR1297" s="256" t="s">
        <v>34</v>
      </c>
      <c r="AS1297" s="256" t="s">
        <v>34</v>
      </c>
      <c r="AT1297" s="256"/>
      <c r="AX1297" s="508"/>
      <c r="AY1297" s="509"/>
      <c r="AZ1297" s="509"/>
      <c r="BA1297" s="509"/>
      <c r="BB1297" s="510"/>
      <c r="BC1297" s="509"/>
      <c r="BD1297" s="509"/>
      <c r="BE1297" s="509"/>
      <c r="BF1297" s="509"/>
      <c r="BG1297" s="510"/>
      <c r="BH1297" s="510"/>
      <c r="BI1297" s="511"/>
      <c r="BJ1297" s="511"/>
      <c r="BK1297" s="511"/>
      <c r="BL1297" s="510"/>
      <c r="BM1297" s="510"/>
      <c r="BN1297" s="510"/>
      <c r="BO1297" s="510"/>
      <c r="BP1297" s="510"/>
      <c r="BQ1297" s="510"/>
      <c r="BR1297" s="510"/>
      <c r="BS1297" s="510"/>
      <c r="BT1297" s="513"/>
      <c r="BU1297" s="514"/>
      <c r="BV1297" s="512"/>
      <c r="BW1297" s="515"/>
    </row>
    <row r="1298" spans="2:75" ht="15.75" customHeight="1">
      <c r="B1298" s="250" t="s">
        <v>563</v>
      </c>
      <c r="C1298" s="251">
        <v>34633411000136</v>
      </c>
      <c r="D1298" s="252" t="s">
        <v>14</v>
      </c>
      <c r="E1298" s="252" t="s">
        <v>607</v>
      </c>
      <c r="F1298" s="252"/>
      <c r="G1298" s="253"/>
      <c r="H1298" s="253" t="s">
        <v>34</v>
      </c>
      <c r="I1298" s="253" t="s">
        <v>34</v>
      </c>
      <c r="J1298" s="253" t="s">
        <v>608</v>
      </c>
      <c r="K1298" s="254" t="s">
        <v>48</v>
      </c>
      <c r="L1298" s="255"/>
      <c r="M1298" s="255" t="s">
        <v>1414</v>
      </c>
      <c r="N1298" s="254">
        <v>511676</v>
      </c>
      <c r="O1298" s="254" t="s">
        <v>1321</v>
      </c>
      <c r="P1298" s="258">
        <v>43768</v>
      </c>
      <c r="Q1298" s="259">
        <v>175413749.59999999</v>
      </c>
      <c r="R1298" s="259">
        <v>145640643.71833345</v>
      </c>
      <c r="S1298" s="254">
        <v>62</v>
      </c>
      <c r="T1298" s="256">
        <v>0.18557530091763175</v>
      </c>
      <c r="U1298" s="256">
        <v>2.398968135803329</v>
      </c>
      <c r="V1298" s="256">
        <v>0.10159427533115606</v>
      </c>
      <c r="W1298" s="256">
        <v>0.99596360260932515</v>
      </c>
      <c r="X1298" s="256">
        <v>0.264973485508331</v>
      </c>
      <c r="Y1298" s="256">
        <v>2.0093420758387603</v>
      </c>
      <c r="Z1298" s="256" t="s">
        <v>1417</v>
      </c>
      <c r="AA1298" s="256" t="s">
        <v>1417</v>
      </c>
      <c r="AB1298" s="256">
        <v>0.13193312098441332</v>
      </c>
      <c r="AC1298" s="260">
        <v>6.308627290470574E-2</v>
      </c>
      <c r="AD1298" s="405">
        <v>34546288000116</v>
      </c>
      <c r="AE1298" s="257" t="s">
        <v>2331</v>
      </c>
      <c r="AF1298" s="257" t="s">
        <v>2115</v>
      </c>
      <c r="AG1298" s="261" t="s">
        <v>719</v>
      </c>
      <c r="AH1298" s="261" t="s">
        <v>2110</v>
      </c>
      <c r="AI1298" s="261">
        <v>50000</v>
      </c>
      <c r="AJ1298" s="261">
        <v>10000</v>
      </c>
      <c r="AK1298" s="261">
        <v>10000</v>
      </c>
      <c r="AL1298" s="256">
        <v>0.02</v>
      </c>
      <c r="AM1298" s="256">
        <v>0.2</v>
      </c>
      <c r="AN1298" s="256" t="s">
        <v>2122</v>
      </c>
      <c r="AO1298" s="254" t="s">
        <v>1324</v>
      </c>
      <c r="AP1298" s="257" t="s">
        <v>716</v>
      </c>
      <c r="AQ1298" s="263" t="s">
        <v>659</v>
      </c>
      <c r="AR1298" s="256">
        <v>3.3333333333333331E-3</v>
      </c>
      <c r="AS1298" s="256">
        <v>3.3333333333333331E-3</v>
      </c>
      <c r="AT1298" s="256"/>
      <c r="AX1298" s="508"/>
      <c r="AY1298" s="509"/>
      <c r="AZ1298" s="509"/>
      <c r="BA1298" s="509"/>
      <c r="BB1298" s="510"/>
      <c r="BC1298" s="509"/>
      <c r="BD1298" s="509"/>
      <c r="BE1298" s="509"/>
      <c r="BF1298" s="509"/>
      <c r="BG1298" s="510"/>
      <c r="BH1298" s="510"/>
      <c r="BI1298" s="511"/>
      <c r="BJ1298" s="511"/>
      <c r="BK1298" s="511"/>
      <c r="BL1298" s="510"/>
      <c r="BM1298" s="510"/>
      <c r="BN1298" s="510"/>
      <c r="BO1298" s="510"/>
      <c r="BP1298" s="510"/>
      <c r="BQ1298" s="510"/>
      <c r="BR1298" s="510"/>
      <c r="BS1298" s="510"/>
      <c r="BT1298" s="513"/>
      <c r="BU1298" s="514"/>
      <c r="BV1298" s="512"/>
      <c r="BW1298" s="515"/>
    </row>
    <row r="1299" spans="2:75" ht="15.75" customHeight="1">
      <c r="B1299" s="250" t="s">
        <v>304</v>
      </c>
      <c r="C1299" s="251">
        <v>26680221000141</v>
      </c>
      <c r="D1299" s="252" t="s">
        <v>14</v>
      </c>
      <c r="E1299" s="252" t="s">
        <v>614</v>
      </c>
      <c r="F1299" s="252"/>
      <c r="G1299" s="253"/>
      <c r="H1299" s="253" t="s">
        <v>865</v>
      </c>
      <c r="I1299" s="253" t="s">
        <v>34</v>
      </c>
      <c r="J1299" s="253" t="s">
        <v>608</v>
      </c>
      <c r="K1299" s="254" t="s">
        <v>48</v>
      </c>
      <c r="L1299" s="255"/>
      <c r="M1299" s="255" t="s">
        <v>1414</v>
      </c>
      <c r="N1299" s="254">
        <v>431214</v>
      </c>
      <c r="O1299" s="254" t="s">
        <v>1324</v>
      </c>
      <c r="P1299" s="258">
        <v>42731</v>
      </c>
      <c r="Q1299" s="259">
        <v>432246327.69</v>
      </c>
      <c r="R1299" s="259">
        <v>528539948.14384943</v>
      </c>
      <c r="S1299" s="254">
        <v>62</v>
      </c>
      <c r="T1299" s="256">
        <v>0.18694040318253236</v>
      </c>
      <c r="U1299" s="256">
        <v>2.4166150792242269</v>
      </c>
      <c r="V1299" s="256">
        <v>0.10135235011423815</v>
      </c>
      <c r="W1299" s="256">
        <v>0.99359192654964357</v>
      </c>
      <c r="X1299" s="256">
        <v>0.26758817464384466</v>
      </c>
      <c r="Y1299" s="256">
        <v>2.0291697385392262</v>
      </c>
      <c r="Z1299" s="256">
        <v>0.37504024049165774</v>
      </c>
      <c r="AA1299" s="256">
        <v>2.131850310598487</v>
      </c>
      <c r="AB1299" s="256">
        <v>0.13306519663220326</v>
      </c>
      <c r="AC1299" s="260">
        <v>6.2024630990974744E-2</v>
      </c>
      <c r="AD1299" s="405">
        <v>32812459000186</v>
      </c>
      <c r="AE1299" s="257" t="s">
        <v>2331</v>
      </c>
      <c r="AF1299" s="257" t="s">
        <v>2115</v>
      </c>
      <c r="AG1299" s="261" t="s">
        <v>719</v>
      </c>
      <c r="AH1299" s="261" t="s">
        <v>2110</v>
      </c>
      <c r="AI1299" s="261">
        <v>50000</v>
      </c>
      <c r="AJ1299" s="261">
        <v>10000</v>
      </c>
      <c r="AK1299" s="261">
        <v>10000</v>
      </c>
      <c r="AL1299" s="256">
        <v>0.02</v>
      </c>
      <c r="AM1299" s="256">
        <v>0.2</v>
      </c>
      <c r="AN1299" s="256" t="s">
        <v>64</v>
      </c>
      <c r="AO1299" s="254" t="s">
        <v>1324</v>
      </c>
      <c r="AP1299" s="257" t="s">
        <v>13</v>
      </c>
      <c r="AQ1299" s="263" t="s">
        <v>668</v>
      </c>
      <c r="AR1299" s="256">
        <v>3.3333333333333331E-3</v>
      </c>
      <c r="AS1299" s="256">
        <v>3.3333333333333331E-3</v>
      </c>
      <c r="AT1299" s="256"/>
      <c r="AX1299" s="508"/>
      <c r="AY1299" s="509"/>
      <c r="AZ1299" s="509"/>
      <c r="BA1299" s="509"/>
      <c r="BB1299" s="510"/>
      <c r="BC1299" s="509"/>
      <c r="BD1299" s="509"/>
      <c r="BE1299" s="509"/>
      <c r="BF1299" s="509"/>
      <c r="BG1299" s="510"/>
      <c r="BH1299" s="510"/>
      <c r="BI1299" s="511"/>
      <c r="BJ1299" s="511"/>
      <c r="BK1299" s="511"/>
      <c r="BL1299" s="510"/>
      <c r="BM1299" s="510"/>
      <c r="BN1299" s="510"/>
      <c r="BO1299" s="510"/>
      <c r="BP1299" s="510"/>
      <c r="BQ1299" s="510"/>
      <c r="BR1299" s="510"/>
      <c r="BS1299" s="510"/>
      <c r="BT1299" s="513"/>
      <c r="BU1299" s="514"/>
      <c r="BV1299" s="512"/>
      <c r="BW1299" s="515"/>
    </row>
    <row r="1300" spans="2:75" ht="15.75" customHeight="1">
      <c r="B1300" s="250" t="s">
        <v>382</v>
      </c>
      <c r="C1300" s="251">
        <v>16617768000149</v>
      </c>
      <c r="D1300" s="252" t="s">
        <v>14</v>
      </c>
      <c r="E1300" s="252" t="s">
        <v>614</v>
      </c>
      <c r="F1300" s="252"/>
      <c r="G1300" s="253"/>
      <c r="H1300" s="253" t="s">
        <v>865</v>
      </c>
      <c r="I1300" s="253" t="s">
        <v>34</v>
      </c>
      <c r="J1300" s="253" t="s">
        <v>608</v>
      </c>
      <c r="K1300" s="254" t="s">
        <v>48</v>
      </c>
      <c r="L1300" s="255"/>
      <c r="M1300" s="255" t="s">
        <v>1414</v>
      </c>
      <c r="N1300" s="254">
        <v>313947</v>
      </c>
      <c r="O1300" s="254" t="s">
        <v>1324</v>
      </c>
      <c r="P1300" s="258">
        <v>41169</v>
      </c>
      <c r="Q1300" s="259">
        <v>432510176.06</v>
      </c>
      <c r="R1300" s="259">
        <v>444464279.84365106</v>
      </c>
      <c r="S1300" s="254">
        <v>62</v>
      </c>
      <c r="T1300" s="256">
        <v>0.13538076468050519</v>
      </c>
      <c r="U1300" s="256">
        <v>1.7500935688277444</v>
      </c>
      <c r="V1300" s="256">
        <v>8.1723532343197069E-2</v>
      </c>
      <c r="W1300" s="256">
        <v>0.80116387882269924</v>
      </c>
      <c r="X1300" s="256">
        <v>0.33862317762972416</v>
      </c>
      <c r="Y1300" s="256">
        <v>2.5678410704388552</v>
      </c>
      <c r="Z1300" s="256">
        <v>0.330696270494925</v>
      </c>
      <c r="AA1300" s="256">
        <v>1.8797848093424758</v>
      </c>
      <c r="AB1300" s="256">
        <v>0.16488238424482116</v>
      </c>
      <c r="AC1300" s="260">
        <v>-3.0536414480747676E-2</v>
      </c>
      <c r="AD1300" s="405">
        <v>15831948000166</v>
      </c>
      <c r="AE1300" s="257" t="s">
        <v>2399</v>
      </c>
      <c r="AF1300" s="257" t="s">
        <v>2112</v>
      </c>
      <c r="AG1300" s="261" t="s">
        <v>59</v>
      </c>
      <c r="AH1300" s="261" t="s">
        <v>2110</v>
      </c>
      <c r="AI1300" s="261">
        <v>50000</v>
      </c>
      <c r="AJ1300" s="261">
        <v>10000</v>
      </c>
      <c r="AK1300" s="261">
        <v>50000</v>
      </c>
      <c r="AL1300" s="256">
        <v>6.9999999999999993E-3</v>
      </c>
      <c r="AM1300" s="256">
        <v>0.2</v>
      </c>
      <c r="AN1300" s="256" t="s">
        <v>2141</v>
      </c>
      <c r="AO1300" s="254" t="s">
        <v>1324</v>
      </c>
      <c r="AP1300" s="257" t="s">
        <v>716</v>
      </c>
      <c r="AQ1300" s="263" t="s">
        <v>659</v>
      </c>
      <c r="AR1300" s="256">
        <v>3.16666E-3</v>
      </c>
      <c r="AS1300" s="256">
        <v>3.16666E-3</v>
      </c>
      <c r="AT1300" s="256"/>
      <c r="AX1300" s="508"/>
      <c r="AY1300" s="509"/>
      <c r="AZ1300" s="509"/>
      <c r="BA1300" s="509"/>
      <c r="BB1300" s="510"/>
      <c r="BC1300" s="509"/>
      <c r="BD1300" s="509"/>
      <c r="BE1300" s="509"/>
      <c r="BF1300" s="509"/>
      <c r="BG1300" s="510"/>
      <c r="BH1300" s="510"/>
      <c r="BI1300" s="511"/>
      <c r="BJ1300" s="511"/>
      <c r="BK1300" s="511"/>
      <c r="BL1300" s="510"/>
      <c r="BM1300" s="510"/>
      <c r="BN1300" s="510"/>
      <c r="BO1300" s="510"/>
      <c r="BP1300" s="510"/>
      <c r="BQ1300" s="510"/>
      <c r="BR1300" s="510"/>
      <c r="BS1300" s="510"/>
      <c r="BT1300" s="513"/>
      <c r="BU1300" s="514"/>
      <c r="BV1300" s="512"/>
      <c r="BW1300" s="515"/>
    </row>
    <row r="1301" spans="2:75" ht="15.75" customHeight="1">
      <c r="B1301" s="250" t="s">
        <v>384</v>
      </c>
      <c r="C1301" s="251">
        <v>32300293000119</v>
      </c>
      <c r="D1301" s="252" t="s">
        <v>14</v>
      </c>
      <c r="E1301" s="252" t="s">
        <v>614</v>
      </c>
      <c r="F1301" s="252"/>
      <c r="G1301" s="253"/>
      <c r="H1301" s="253" t="s">
        <v>1338</v>
      </c>
      <c r="I1301" s="253" t="s">
        <v>34</v>
      </c>
      <c r="J1301" s="253" t="s">
        <v>608</v>
      </c>
      <c r="K1301" s="254" t="s">
        <v>48</v>
      </c>
      <c r="L1301" s="255"/>
      <c r="M1301" s="255" t="s">
        <v>1414</v>
      </c>
      <c r="N1301" s="254">
        <v>496286</v>
      </c>
      <c r="O1301" s="254" t="s">
        <v>1324</v>
      </c>
      <c r="P1301" s="258">
        <v>43501</v>
      </c>
      <c r="Q1301" s="259">
        <v>160791513.30000001</v>
      </c>
      <c r="R1301" s="259">
        <v>154681144.45884919</v>
      </c>
      <c r="S1301" s="254">
        <v>62</v>
      </c>
      <c r="T1301" s="256">
        <v>0.11348156637134088</v>
      </c>
      <c r="U1301" s="256">
        <v>1.4669983579696928</v>
      </c>
      <c r="V1301" s="256">
        <v>-5.6209186203608152E-2</v>
      </c>
      <c r="W1301" s="256">
        <v>-0.551037973435062</v>
      </c>
      <c r="X1301" s="256">
        <v>9.6452971554781497E-2</v>
      </c>
      <c r="Y1301" s="256">
        <v>0.73142040499976013</v>
      </c>
      <c r="Z1301" s="256">
        <v>0.26742113993408023</v>
      </c>
      <c r="AA1301" s="256">
        <v>1.520108454180003</v>
      </c>
      <c r="AB1301" s="256">
        <v>0.21012045481451003</v>
      </c>
      <c r="AC1301" s="260">
        <v>-0.63296644276409619</v>
      </c>
      <c r="AD1301" s="405">
        <v>9285146000103</v>
      </c>
      <c r="AE1301" s="257" t="s">
        <v>2123</v>
      </c>
      <c r="AF1301" s="257" t="s">
        <v>2109</v>
      </c>
      <c r="AG1301" s="261" t="s">
        <v>1432</v>
      </c>
      <c r="AH1301" s="261" t="s">
        <v>2110</v>
      </c>
      <c r="AI1301" s="261">
        <v>10000</v>
      </c>
      <c r="AJ1301" s="261">
        <v>10000</v>
      </c>
      <c r="AK1301" s="261">
        <v>10000</v>
      </c>
      <c r="AL1301" s="256">
        <v>0</v>
      </c>
      <c r="AM1301" s="256" t="s">
        <v>34</v>
      </c>
      <c r="AN1301" s="256" t="s">
        <v>34</v>
      </c>
      <c r="AO1301" s="254" t="s">
        <v>1324</v>
      </c>
      <c r="AP1301" s="257" t="s">
        <v>716</v>
      </c>
      <c r="AQ1301" s="263" t="s">
        <v>659</v>
      </c>
      <c r="AR1301" s="256" t="s">
        <v>34</v>
      </c>
      <c r="AS1301" s="256" t="s">
        <v>34</v>
      </c>
      <c r="AT1301" s="256"/>
      <c r="AX1301" s="508"/>
      <c r="AY1301" s="509"/>
      <c r="AZ1301" s="509"/>
      <c r="BA1301" s="509"/>
      <c r="BB1301" s="510"/>
      <c r="BC1301" s="509"/>
      <c r="BD1301" s="509"/>
      <c r="BE1301" s="509"/>
      <c r="BF1301" s="509"/>
      <c r="BG1301" s="510"/>
      <c r="BH1301" s="510"/>
      <c r="BI1301" s="511"/>
      <c r="BJ1301" s="511"/>
      <c r="BK1301" s="511"/>
      <c r="BL1301" s="510"/>
      <c r="BM1301" s="510"/>
      <c r="BN1301" s="510"/>
      <c r="BO1301" s="510"/>
      <c r="BP1301" s="510"/>
      <c r="BQ1301" s="510"/>
      <c r="BR1301" s="510"/>
      <c r="BS1301" s="510"/>
      <c r="BT1301" s="513"/>
      <c r="BU1301" s="514"/>
      <c r="BV1301" s="512"/>
      <c r="BW1301" s="515"/>
    </row>
    <row r="1302" spans="2:75" ht="15.75" customHeight="1">
      <c r="B1302" s="250" t="s">
        <v>1695</v>
      </c>
      <c r="C1302" s="251">
        <v>9285146000103</v>
      </c>
      <c r="D1302" s="252" t="s">
        <v>14</v>
      </c>
      <c r="E1302" s="252" t="s">
        <v>614</v>
      </c>
      <c r="F1302" s="252"/>
      <c r="G1302" s="253"/>
      <c r="H1302" s="253" t="s">
        <v>1338</v>
      </c>
      <c r="I1302" s="253" t="s">
        <v>34</v>
      </c>
      <c r="J1302" s="253" t="s">
        <v>608</v>
      </c>
      <c r="K1302" s="254" t="s">
        <v>48</v>
      </c>
      <c r="L1302" s="255"/>
      <c r="M1302" s="255"/>
      <c r="N1302" s="254">
        <v>206891</v>
      </c>
      <c r="O1302" s="254" t="s">
        <v>1324</v>
      </c>
      <c r="P1302" s="258">
        <v>39538</v>
      </c>
      <c r="Q1302" s="259">
        <v>1060109060.95</v>
      </c>
      <c r="R1302" s="259">
        <v>1051430766.2565875</v>
      </c>
      <c r="S1302" s="254">
        <v>62</v>
      </c>
      <c r="T1302" s="256">
        <v>0.12365890589857642</v>
      </c>
      <c r="U1302" s="256">
        <v>1.3909046797819535</v>
      </c>
      <c r="V1302" s="256">
        <v>-2.6940389726021974E-2</v>
      </c>
      <c r="W1302" s="256">
        <v>-0.24725104141443593</v>
      </c>
      <c r="X1302" s="256">
        <v>0.17866435273492809</v>
      </c>
      <c r="Y1302" s="256">
        <v>1.2563302891040689</v>
      </c>
      <c r="Z1302" s="256">
        <v>0.27476144570625793</v>
      </c>
      <c r="AA1302" s="256">
        <v>1.5014514193168096</v>
      </c>
      <c r="AB1302" s="256">
        <v>0.21188456548281343</v>
      </c>
      <c r="AC1302" s="260">
        <v>-0.51153101459337202</v>
      </c>
      <c r="AD1302" s="405">
        <v>9412648000140</v>
      </c>
      <c r="AE1302" s="257" t="s">
        <v>2400</v>
      </c>
      <c r="AF1302" s="257" t="s">
        <v>2109</v>
      </c>
      <c r="AG1302" s="261" t="s">
        <v>1432</v>
      </c>
      <c r="AH1302" s="261" t="s">
        <v>2110</v>
      </c>
      <c r="AI1302" s="261">
        <v>100000</v>
      </c>
      <c r="AJ1302" s="261">
        <v>5000</v>
      </c>
      <c r="AK1302" s="261">
        <v>100000</v>
      </c>
      <c r="AL1302" s="256">
        <v>1.8000000000000002E-2</v>
      </c>
      <c r="AM1302" s="256">
        <v>0.2</v>
      </c>
      <c r="AN1302" s="256" t="s">
        <v>2127</v>
      </c>
      <c r="AO1302" s="254" t="s">
        <v>1324</v>
      </c>
      <c r="AP1302" s="257" t="s">
        <v>716</v>
      </c>
      <c r="AQ1302" s="263" t="s">
        <v>665</v>
      </c>
      <c r="AR1302" s="256" t="s">
        <v>34</v>
      </c>
      <c r="AS1302" s="256" t="s">
        <v>34</v>
      </c>
      <c r="AT1302" s="256"/>
      <c r="AX1302" s="508"/>
      <c r="AY1302" s="509"/>
      <c r="AZ1302" s="509"/>
      <c r="BA1302" s="509"/>
      <c r="BB1302" s="510"/>
      <c r="BC1302" s="509"/>
      <c r="BD1302" s="509"/>
      <c r="BE1302" s="509"/>
      <c r="BF1302" s="509"/>
      <c r="BG1302" s="510"/>
      <c r="BH1302" s="510"/>
      <c r="BI1302" s="511"/>
      <c r="BJ1302" s="511"/>
      <c r="BK1302" s="511"/>
      <c r="BL1302" s="510"/>
      <c r="BM1302" s="510"/>
      <c r="BN1302" s="510"/>
      <c r="BO1302" s="510"/>
      <c r="BP1302" s="510"/>
      <c r="BQ1302" s="510"/>
      <c r="BR1302" s="510"/>
      <c r="BS1302" s="510"/>
      <c r="BT1302" s="513"/>
      <c r="BU1302" s="514"/>
      <c r="BV1302" s="512"/>
      <c r="BW1302" s="515"/>
    </row>
    <row r="1303" spans="2:75" ht="15.75" customHeight="1">
      <c r="B1303" s="250" t="s">
        <v>1696</v>
      </c>
      <c r="C1303" s="251">
        <v>9412822000154</v>
      </c>
      <c r="D1303" s="252" t="s">
        <v>14</v>
      </c>
      <c r="E1303" s="252" t="s">
        <v>607</v>
      </c>
      <c r="F1303" s="252"/>
      <c r="G1303" s="253"/>
      <c r="H1303" s="253" t="s">
        <v>34</v>
      </c>
      <c r="I1303" s="253" t="s">
        <v>34</v>
      </c>
      <c r="J1303" s="253" t="s">
        <v>608</v>
      </c>
      <c r="K1303" s="254" t="s">
        <v>48</v>
      </c>
      <c r="L1303" s="255"/>
      <c r="M1303" s="255"/>
      <c r="N1303" s="254">
        <v>206881</v>
      </c>
      <c r="O1303" s="254" t="s">
        <v>1321</v>
      </c>
      <c r="P1303" s="258">
        <v>39538</v>
      </c>
      <c r="Q1303" s="259">
        <v>269249206.20999998</v>
      </c>
      <c r="R1303" s="259">
        <v>259547377.126508</v>
      </c>
      <c r="S1303" s="254">
        <v>62</v>
      </c>
      <c r="T1303" s="256">
        <v>-1.1539269838520605E-2</v>
      </c>
      <c r="U1303" s="256">
        <v>-0.12979270925160133</v>
      </c>
      <c r="V1303" s="256">
        <v>-0.16292870781891489</v>
      </c>
      <c r="W1303" s="256">
        <v>-1.4953121723263003</v>
      </c>
      <c r="X1303" s="256">
        <v>-8.2859070450841399E-3</v>
      </c>
      <c r="Y1303" s="256">
        <v>-5.8264762019339979E-2</v>
      </c>
      <c r="Z1303" s="256">
        <v>-7.5563601433171756E-3</v>
      </c>
      <c r="AA1303" s="256">
        <v>-4.1292211259442137E-2</v>
      </c>
      <c r="AB1303" s="256">
        <v>0.24111477317052349</v>
      </c>
      <c r="AC1303" s="260">
        <v>-1.0460272893702427</v>
      </c>
      <c r="AD1303" s="405">
        <v>9288254000121</v>
      </c>
      <c r="AE1303" s="257" t="s">
        <v>2400</v>
      </c>
      <c r="AF1303" s="257" t="s">
        <v>2109</v>
      </c>
      <c r="AG1303" s="261" t="s">
        <v>1432</v>
      </c>
      <c r="AH1303" s="261" t="s">
        <v>2113</v>
      </c>
      <c r="AI1303" s="261">
        <v>100000</v>
      </c>
      <c r="AJ1303" s="261">
        <v>5000</v>
      </c>
      <c r="AK1303" s="261">
        <v>100000</v>
      </c>
      <c r="AL1303" s="256">
        <v>2.7999999999999997E-2</v>
      </c>
      <c r="AM1303" s="256" t="s">
        <v>34</v>
      </c>
      <c r="AN1303" s="256" t="s">
        <v>2127</v>
      </c>
      <c r="AO1303" s="254" t="s">
        <v>1324</v>
      </c>
      <c r="AP1303" s="257" t="s">
        <v>716</v>
      </c>
      <c r="AQ1303" s="263" t="s">
        <v>659</v>
      </c>
      <c r="AR1303" s="256" t="s">
        <v>34</v>
      </c>
      <c r="AS1303" s="256" t="s">
        <v>34</v>
      </c>
      <c r="AT1303" s="256"/>
      <c r="AX1303" s="508"/>
      <c r="AY1303" s="509"/>
      <c r="AZ1303" s="509"/>
      <c r="BA1303" s="509"/>
      <c r="BB1303" s="510"/>
      <c r="BC1303" s="509"/>
      <c r="BD1303" s="509"/>
      <c r="BE1303" s="509"/>
      <c r="BF1303" s="509"/>
      <c r="BG1303" s="510"/>
      <c r="BH1303" s="510"/>
      <c r="BI1303" s="511"/>
      <c r="BJ1303" s="511"/>
      <c r="BK1303" s="511"/>
      <c r="BL1303" s="510"/>
      <c r="BM1303" s="510"/>
      <c r="BN1303" s="510"/>
      <c r="BO1303" s="510"/>
      <c r="BP1303" s="510"/>
      <c r="BQ1303" s="510"/>
      <c r="BR1303" s="510"/>
      <c r="BS1303" s="510"/>
      <c r="BT1303" s="513"/>
      <c r="BU1303" s="514"/>
      <c r="BV1303" s="512"/>
      <c r="BW1303" s="515"/>
    </row>
    <row r="1304" spans="2:75" ht="15.75" customHeight="1">
      <c r="B1304" s="250" t="s">
        <v>1213</v>
      </c>
      <c r="C1304" s="251">
        <v>41269079000138</v>
      </c>
      <c r="D1304" s="252" t="s">
        <v>14</v>
      </c>
      <c r="E1304" s="252" t="s">
        <v>607</v>
      </c>
      <c r="F1304" s="252"/>
      <c r="G1304" s="253"/>
      <c r="H1304" s="253" t="s">
        <v>34</v>
      </c>
      <c r="I1304" s="253" t="s">
        <v>34</v>
      </c>
      <c r="J1304" s="253" t="s">
        <v>690</v>
      </c>
      <c r="K1304" s="254"/>
      <c r="L1304" s="255"/>
      <c r="M1304" s="255" t="s">
        <v>1414</v>
      </c>
      <c r="N1304" s="254">
        <v>624926</v>
      </c>
      <c r="O1304" s="254" t="s">
        <v>1321</v>
      </c>
      <c r="P1304" s="258">
        <v>44483</v>
      </c>
      <c r="Q1304" s="259">
        <v>13021613.310000001</v>
      </c>
      <c r="R1304" s="259" t="s">
        <v>1417</v>
      </c>
      <c r="S1304" s="254">
        <v>62</v>
      </c>
      <c r="T1304" s="256">
        <v>-0.32716127981631049</v>
      </c>
      <c r="U1304" s="256">
        <v>-4.229277719971603</v>
      </c>
      <c r="V1304" s="256" t="s">
        <v>1417</v>
      </c>
      <c r="W1304" s="256" t="s">
        <v>1417</v>
      </c>
      <c r="X1304" s="256" t="s">
        <v>1417</v>
      </c>
      <c r="Y1304" s="256" t="s">
        <v>1417</v>
      </c>
      <c r="Z1304" s="256" t="s">
        <v>1417</v>
      </c>
      <c r="AA1304" s="256" t="s">
        <v>1417</v>
      </c>
      <c r="AB1304" s="256" t="s">
        <v>1417</v>
      </c>
      <c r="AC1304" s="260" t="s">
        <v>1417</v>
      </c>
      <c r="AD1304" s="405">
        <v>0</v>
      </c>
      <c r="AE1304" s="257" t="s">
        <v>2408</v>
      </c>
      <c r="AF1304" s="257" t="s">
        <v>741</v>
      </c>
      <c r="AG1304" s="261" t="s">
        <v>741</v>
      </c>
      <c r="AH1304" s="261" t="s">
        <v>2110</v>
      </c>
      <c r="AI1304" s="261">
        <v>50000</v>
      </c>
      <c r="AJ1304" s="261">
        <v>10000</v>
      </c>
      <c r="AK1304" s="261">
        <v>50000</v>
      </c>
      <c r="AL1304" s="256">
        <v>1.4999999999999999E-2</v>
      </c>
      <c r="AM1304" s="256">
        <v>0.2</v>
      </c>
      <c r="AN1304" s="256" t="s">
        <v>2122</v>
      </c>
      <c r="AO1304" s="254" t="s">
        <v>1324</v>
      </c>
      <c r="AP1304" s="257" t="s">
        <v>716</v>
      </c>
      <c r="AQ1304" s="263" t="s">
        <v>659</v>
      </c>
      <c r="AR1304" s="256">
        <v>3.4995E-3</v>
      </c>
      <c r="AS1304" s="256">
        <v>3.4995E-3</v>
      </c>
      <c r="AT1304" s="256"/>
      <c r="AX1304" s="508"/>
      <c r="AY1304" s="509"/>
      <c r="AZ1304" s="509"/>
      <c r="BA1304" s="509"/>
      <c r="BB1304" s="510"/>
      <c r="BC1304" s="509"/>
      <c r="BD1304" s="509"/>
      <c r="BE1304" s="509"/>
      <c r="BF1304" s="509"/>
      <c r="BG1304" s="510"/>
      <c r="BH1304" s="510"/>
      <c r="BI1304" s="511"/>
      <c r="BJ1304" s="511"/>
      <c r="BK1304" s="511"/>
      <c r="BL1304" s="510"/>
      <c r="BM1304" s="510"/>
      <c r="BN1304" s="510"/>
      <c r="BO1304" s="510"/>
      <c r="BP1304" s="510"/>
      <c r="BQ1304" s="510"/>
      <c r="BR1304" s="510"/>
      <c r="BS1304" s="510"/>
      <c r="BT1304" s="513"/>
      <c r="BU1304" s="514"/>
      <c r="BV1304" s="512"/>
      <c r="BW1304" s="515"/>
    </row>
    <row r="1305" spans="2:75" ht="15.75" customHeight="1">
      <c r="B1305" s="250" t="s">
        <v>401</v>
      </c>
      <c r="C1305" s="251">
        <v>35088081000108</v>
      </c>
      <c r="D1305" s="252" t="s">
        <v>14</v>
      </c>
      <c r="E1305" s="252" t="s">
        <v>614</v>
      </c>
      <c r="F1305" s="252"/>
      <c r="G1305" s="253"/>
      <c r="H1305" s="253" t="s">
        <v>1338</v>
      </c>
      <c r="I1305" s="253" t="s">
        <v>34</v>
      </c>
      <c r="J1305" s="253" t="s">
        <v>608</v>
      </c>
      <c r="K1305" s="254" t="s">
        <v>48</v>
      </c>
      <c r="L1305" s="255"/>
      <c r="M1305" s="255" t="s">
        <v>34</v>
      </c>
      <c r="N1305" s="254">
        <v>516538</v>
      </c>
      <c r="O1305" s="254" t="s">
        <v>1321</v>
      </c>
      <c r="P1305" s="258">
        <v>43798</v>
      </c>
      <c r="Q1305" s="259">
        <v>48765345.969999999</v>
      </c>
      <c r="R1305" s="259">
        <v>67275582.892777771</v>
      </c>
      <c r="S1305" s="254">
        <v>62</v>
      </c>
      <c r="T1305" s="256">
        <v>0.15429750038263168</v>
      </c>
      <c r="U1305" s="256">
        <v>1.9946339034434863</v>
      </c>
      <c r="V1305" s="256">
        <v>-9.8416853699763829E-2</v>
      </c>
      <c r="W1305" s="256">
        <v>-0.96481424616483147</v>
      </c>
      <c r="X1305" s="256">
        <v>-1.4579139358843918E-2</v>
      </c>
      <c r="Y1305" s="256">
        <v>-0.11055626221258641</v>
      </c>
      <c r="Z1305" s="256" t="s">
        <v>1417</v>
      </c>
      <c r="AA1305" s="256" t="s">
        <v>1417</v>
      </c>
      <c r="AB1305" s="256">
        <v>0.2552095261863534</v>
      </c>
      <c r="AC1305" s="260">
        <v>-0.65930856322635556</v>
      </c>
      <c r="AD1305" s="405">
        <v>34429833000194</v>
      </c>
      <c r="AE1305" s="257" t="s">
        <v>2123</v>
      </c>
      <c r="AF1305" s="257" t="s">
        <v>2109</v>
      </c>
      <c r="AG1305" s="261" t="s">
        <v>1432</v>
      </c>
      <c r="AH1305" s="261" t="s">
        <v>2110</v>
      </c>
      <c r="AI1305" s="261">
        <v>100</v>
      </c>
      <c r="AJ1305" s="261">
        <v>100</v>
      </c>
      <c r="AK1305" s="261">
        <v>100</v>
      </c>
      <c r="AL1305" s="256">
        <v>0</v>
      </c>
      <c r="AM1305" s="256" t="s">
        <v>34</v>
      </c>
      <c r="AN1305" s="256" t="s">
        <v>34</v>
      </c>
      <c r="AO1305" s="254" t="s">
        <v>1324</v>
      </c>
      <c r="AP1305" s="257" t="s">
        <v>716</v>
      </c>
      <c r="AQ1305" s="263" t="s">
        <v>659</v>
      </c>
      <c r="AR1305" s="256">
        <v>4.0000000000000001E-3</v>
      </c>
      <c r="AS1305" s="256">
        <v>4.0000000000000001E-3</v>
      </c>
      <c r="AT1305" s="256"/>
      <c r="AX1305" s="508"/>
      <c r="AY1305" s="509"/>
      <c r="AZ1305" s="509"/>
      <c r="BA1305" s="509"/>
      <c r="BB1305" s="510"/>
      <c r="BC1305" s="509"/>
      <c r="BD1305" s="509"/>
      <c r="BE1305" s="509"/>
      <c r="BF1305" s="509"/>
      <c r="BG1305" s="510"/>
      <c r="BH1305" s="510"/>
      <c r="BI1305" s="511"/>
      <c r="BJ1305" s="511"/>
      <c r="BK1305" s="511"/>
      <c r="BL1305" s="510"/>
      <c r="BM1305" s="510"/>
      <c r="BN1305" s="510"/>
      <c r="BO1305" s="510"/>
      <c r="BP1305" s="510"/>
      <c r="BQ1305" s="510"/>
      <c r="BR1305" s="510"/>
      <c r="BS1305" s="510"/>
      <c r="BT1305" s="513"/>
      <c r="BU1305" s="514"/>
      <c r="BV1305" s="512"/>
      <c r="BW1305" s="515"/>
    </row>
    <row r="1306" spans="2:75" ht="15.75" customHeight="1">
      <c r="B1306" s="250" t="s">
        <v>402</v>
      </c>
      <c r="C1306" s="251">
        <v>34429833000194</v>
      </c>
      <c r="D1306" s="252" t="s">
        <v>14</v>
      </c>
      <c r="E1306" s="252" t="s">
        <v>614</v>
      </c>
      <c r="F1306" s="252"/>
      <c r="G1306" s="253"/>
      <c r="H1306" s="253" t="s">
        <v>1338</v>
      </c>
      <c r="I1306" s="253" t="s">
        <v>34</v>
      </c>
      <c r="J1306" s="253" t="s">
        <v>608</v>
      </c>
      <c r="K1306" s="254" t="s">
        <v>48</v>
      </c>
      <c r="L1306" s="255"/>
      <c r="M1306" s="255" t="s">
        <v>34</v>
      </c>
      <c r="N1306" s="254">
        <v>515434</v>
      </c>
      <c r="O1306" s="254" t="s">
        <v>1321</v>
      </c>
      <c r="P1306" s="258">
        <v>43788</v>
      </c>
      <c r="Q1306" s="259">
        <v>207948689.22999999</v>
      </c>
      <c r="R1306" s="259">
        <v>312707568.66678566</v>
      </c>
      <c r="S1306" s="254">
        <v>62</v>
      </c>
      <c r="T1306" s="256">
        <v>0.15547068575990308</v>
      </c>
      <c r="U1306" s="256">
        <v>2.0097998997994004</v>
      </c>
      <c r="V1306" s="256">
        <v>-0.10065956497940687</v>
      </c>
      <c r="W1306" s="256">
        <v>-0.98680031573819116</v>
      </c>
      <c r="X1306" s="256">
        <v>-1.5835595918499368E-2</v>
      </c>
      <c r="Y1306" s="256">
        <v>-0.12008420055304324</v>
      </c>
      <c r="Z1306" s="256" t="s">
        <v>1417</v>
      </c>
      <c r="AA1306" s="256" t="s">
        <v>1417</v>
      </c>
      <c r="AB1306" s="256">
        <v>0.25972521246781183</v>
      </c>
      <c r="AC1306" s="260">
        <v>-0.65297739278844824</v>
      </c>
      <c r="AD1306" s="405">
        <v>31493903000185</v>
      </c>
      <c r="AE1306" s="257" t="s">
        <v>2413</v>
      </c>
      <c r="AF1306" s="257" t="s">
        <v>2109</v>
      </c>
      <c r="AG1306" s="261" t="s">
        <v>1432</v>
      </c>
      <c r="AH1306" s="261" t="s">
        <v>2110</v>
      </c>
      <c r="AI1306" s="261">
        <v>30000</v>
      </c>
      <c r="AJ1306" s="261">
        <v>0</v>
      </c>
      <c r="AK1306" s="261">
        <v>30000</v>
      </c>
      <c r="AL1306" s="256">
        <v>1.9299999999999998E-2</v>
      </c>
      <c r="AM1306" s="256">
        <v>0.2</v>
      </c>
      <c r="AN1306" s="256" t="s">
        <v>34</v>
      </c>
      <c r="AO1306" s="254" t="s">
        <v>1324</v>
      </c>
      <c r="AP1306" s="257" t="s">
        <v>716</v>
      </c>
      <c r="AQ1306" s="263" t="s">
        <v>659</v>
      </c>
      <c r="AR1306" s="256">
        <v>4.0000000000000001E-3</v>
      </c>
      <c r="AS1306" s="256">
        <v>4.0000000000000001E-3</v>
      </c>
      <c r="AT1306" s="256"/>
      <c r="AX1306" s="508"/>
      <c r="AY1306" s="509"/>
      <c r="AZ1306" s="509"/>
      <c r="BA1306" s="509"/>
      <c r="BB1306" s="510"/>
      <c r="BC1306" s="509"/>
      <c r="BD1306" s="509"/>
      <c r="BE1306" s="509"/>
      <c r="BF1306" s="509"/>
      <c r="BG1306" s="510"/>
      <c r="BH1306" s="510"/>
      <c r="BI1306" s="511"/>
      <c r="BJ1306" s="511"/>
      <c r="BK1306" s="511"/>
      <c r="BL1306" s="510"/>
      <c r="BM1306" s="510"/>
      <c r="BN1306" s="510"/>
      <c r="BO1306" s="510"/>
      <c r="BP1306" s="510"/>
      <c r="BQ1306" s="510"/>
      <c r="BR1306" s="510"/>
      <c r="BS1306" s="510"/>
      <c r="BT1306" s="513"/>
      <c r="BU1306" s="514"/>
      <c r="BV1306" s="512"/>
      <c r="BW1306" s="515"/>
    </row>
    <row r="1307" spans="2:75" ht="15.75" customHeight="1">
      <c r="B1307" s="250" t="s">
        <v>596</v>
      </c>
      <c r="C1307" s="251">
        <v>35957054000124</v>
      </c>
      <c r="D1307" s="252" t="s">
        <v>14</v>
      </c>
      <c r="E1307" s="252" t="s">
        <v>607</v>
      </c>
      <c r="F1307" s="252"/>
      <c r="G1307" s="253"/>
      <c r="H1307" s="253" t="s">
        <v>34</v>
      </c>
      <c r="I1307" s="253" t="s">
        <v>34</v>
      </c>
      <c r="J1307" s="253" t="s">
        <v>608</v>
      </c>
      <c r="K1307" s="254" t="s">
        <v>48</v>
      </c>
      <c r="L1307" s="255"/>
      <c r="M1307" s="255" t="s">
        <v>34</v>
      </c>
      <c r="N1307" s="254">
        <v>538264</v>
      </c>
      <c r="O1307" s="254" t="s">
        <v>1321</v>
      </c>
      <c r="P1307" s="258">
        <v>43977</v>
      </c>
      <c r="Q1307" s="259">
        <v>8883861.1799999997</v>
      </c>
      <c r="R1307" s="259">
        <v>13806659.569523802</v>
      </c>
      <c r="S1307" s="254">
        <v>62</v>
      </c>
      <c r="T1307" s="256">
        <v>0.13007518889012704</v>
      </c>
      <c r="U1307" s="256">
        <v>1.6815073550359851</v>
      </c>
      <c r="V1307" s="256">
        <v>-0.11386061002426118</v>
      </c>
      <c r="W1307" s="256">
        <v>-1.1162146979779848</v>
      </c>
      <c r="X1307" s="256">
        <v>-4.7793724003046489E-2</v>
      </c>
      <c r="Y1307" s="256">
        <v>-0.36242849134928568</v>
      </c>
      <c r="Z1307" s="256" t="s">
        <v>1417</v>
      </c>
      <c r="AA1307" s="256" t="s">
        <v>1417</v>
      </c>
      <c r="AB1307" s="256">
        <v>0.26550836570259989</v>
      </c>
      <c r="AC1307" s="260">
        <v>-0.68877286657027881</v>
      </c>
      <c r="AD1307" s="405">
        <v>35957175000176</v>
      </c>
      <c r="AE1307" s="257" t="s">
        <v>2413</v>
      </c>
      <c r="AF1307" s="257" t="s">
        <v>2109</v>
      </c>
      <c r="AG1307" s="261" t="s">
        <v>1432</v>
      </c>
      <c r="AH1307" s="261" t="s">
        <v>2110</v>
      </c>
      <c r="AI1307" s="261">
        <v>30000</v>
      </c>
      <c r="AJ1307" s="261" t="s">
        <v>1427</v>
      </c>
      <c r="AK1307" s="261">
        <v>30000</v>
      </c>
      <c r="AL1307" s="256">
        <v>1.9299999999999998E-2</v>
      </c>
      <c r="AM1307" s="256">
        <v>0.2</v>
      </c>
      <c r="AN1307" s="256" t="s">
        <v>34</v>
      </c>
      <c r="AO1307" s="254" t="s">
        <v>1324</v>
      </c>
      <c r="AP1307" s="257" t="s">
        <v>716</v>
      </c>
      <c r="AQ1307" s="263" t="s">
        <v>659</v>
      </c>
      <c r="AR1307" s="256">
        <v>4.0000000000000001E-3</v>
      </c>
      <c r="AS1307" s="256">
        <v>4.0000000000000001E-3</v>
      </c>
      <c r="AT1307" s="256"/>
      <c r="AX1307" s="508"/>
      <c r="AY1307" s="509"/>
      <c r="AZ1307" s="509"/>
      <c r="BA1307" s="509"/>
      <c r="BB1307" s="510"/>
      <c r="BC1307" s="509"/>
      <c r="BD1307" s="509"/>
      <c r="BE1307" s="509"/>
      <c r="BF1307" s="509"/>
      <c r="BG1307" s="510"/>
      <c r="BH1307" s="510"/>
      <c r="BI1307" s="511"/>
      <c r="BJ1307" s="511"/>
      <c r="BK1307" s="511"/>
      <c r="BL1307" s="510"/>
      <c r="BM1307" s="510"/>
      <c r="BN1307" s="510"/>
      <c r="BO1307" s="510"/>
      <c r="BP1307" s="510"/>
      <c r="BQ1307" s="510"/>
      <c r="BR1307" s="510"/>
      <c r="BS1307" s="510"/>
      <c r="BT1307" s="513"/>
      <c r="BU1307" s="514"/>
      <c r="BV1307" s="512"/>
      <c r="BW1307" s="515"/>
    </row>
    <row r="1308" spans="2:75" ht="15.75" customHeight="1">
      <c r="B1308" s="250" t="s">
        <v>1711</v>
      </c>
      <c r="C1308" s="251">
        <v>44515852000197</v>
      </c>
      <c r="D1308" s="252" t="s">
        <v>14</v>
      </c>
      <c r="E1308" s="252" t="s">
        <v>607</v>
      </c>
      <c r="F1308" s="252"/>
      <c r="G1308" s="253"/>
      <c r="H1308" s="253" t="s">
        <v>34</v>
      </c>
      <c r="I1308" s="253"/>
      <c r="J1308" s="253" t="s">
        <v>611</v>
      </c>
      <c r="K1308" s="254" t="s">
        <v>48</v>
      </c>
      <c r="L1308" s="255"/>
      <c r="M1308" s="255"/>
      <c r="N1308" s="254">
        <v>636932</v>
      </c>
      <c r="O1308" s="254" t="s">
        <v>1321</v>
      </c>
      <c r="P1308" s="258">
        <v>44592</v>
      </c>
      <c r="Q1308" s="259" t="s">
        <v>1393</v>
      </c>
      <c r="R1308" s="259" t="s">
        <v>1417</v>
      </c>
      <c r="S1308" s="254">
        <v>62</v>
      </c>
      <c r="T1308" s="256" t="s">
        <v>1417</v>
      </c>
      <c r="U1308" s="256" t="s">
        <v>1417</v>
      </c>
      <c r="V1308" s="256" t="s">
        <v>1417</v>
      </c>
      <c r="W1308" s="256" t="s">
        <v>1417</v>
      </c>
      <c r="X1308" s="256" t="s">
        <v>1417</v>
      </c>
      <c r="Y1308" s="256" t="s">
        <v>1417</v>
      </c>
      <c r="Z1308" s="256" t="s">
        <v>1417</v>
      </c>
      <c r="AA1308" s="256" t="s">
        <v>1417</v>
      </c>
      <c r="AB1308" s="256" t="s">
        <v>1417</v>
      </c>
      <c r="AC1308" s="260" t="s">
        <v>1417</v>
      </c>
      <c r="AD1308" s="405">
        <v>0</v>
      </c>
      <c r="AE1308" s="257" t="s">
        <v>2229</v>
      </c>
      <c r="AF1308" s="257" t="s">
        <v>2109</v>
      </c>
      <c r="AG1308" s="261" t="s">
        <v>1432</v>
      </c>
      <c r="AH1308" s="261" t="s">
        <v>2113</v>
      </c>
      <c r="AI1308" s="261">
        <v>1000</v>
      </c>
      <c r="AJ1308" s="261">
        <v>100</v>
      </c>
      <c r="AK1308" s="261">
        <v>100</v>
      </c>
      <c r="AL1308" s="256">
        <v>1.4999999999999999E-2</v>
      </c>
      <c r="AM1308" s="256">
        <v>0.2</v>
      </c>
      <c r="AN1308" s="256" t="s">
        <v>2127</v>
      </c>
      <c r="AO1308" s="254" t="s">
        <v>1324</v>
      </c>
      <c r="AP1308" s="257" t="s">
        <v>716</v>
      </c>
      <c r="AQ1308" s="263" t="s">
        <v>659</v>
      </c>
      <c r="AR1308" s="256">
        <v>4.9994999999999996E-3</v>
      </c>
      <c r="AS1308" s="256">
        <v>4.9994999999999996E-3</v>
      </c>
      <c r="AT1308" s="256"/>
      <c r="AX1308" s="508"/>
      <c r="AY1308" s="509"/>
      <c r="AZ1308" s="509"/>
      <c r="BA1308" s="509"/>
      <c r="BB1308" s="510"/>
      <c r="BC1308" s="509"/>
      <c r="BD1308" s="509"/>
      <c r="BE1308" s="509"/>
      <c r="BF1308" s="509"/>
      <c r="BG1308" s="510"/>
      <c r="BH1308" s="510"/>
      <c r="BI1308" s="511"/>
      <c r="BJ1308" s="511"/>
      <c r="BK1308" s="511"/>
      <c r="BL1308" s="510"/>
      <c r="BM1308" s="510"/>
      <c r="BN1308" s="510"/>
      <c r="BO1308" s="510"/>
      <c r="BP1308" s="510"/>
      <c r="BQ1308" s="510"/>
      <c r="BR1308" s="510"/>
      <c r="BS1308" s="510"/>
      <c r="BT1308" s="513"/>
      <c r="BU1308" s="514"/>
      <c r="BV1308" s="512"/>
      <c r="BW1308" s="515"/>
    </row>
    <row r="1309" spans="2:75" ht="15.75" customHeight="1">
      <c r="B1309" s="250" t="s">
        <v>1268</v>
      </c>
      <c r="C1309" s="251">
        <v>34218763000125</v>
      </c>
      <c r="D1309" s="252" t="s">
        <v>14</v>
      </c>
      <c r="E1309" s="252" t="s">
        <v>607</v>
      </c>
      <c r="F1309" s="252"/>
      <c r="G1309" s="253"/>
      <c r="H1309" s="253" t="s">
        <v>34</v>
      </c>
      <c r="I1309" s="253" t="s">
        <v>34</v>
      </c>
      <c r="J1309" s="253" t="s">
        <v>608</v>
      </c>
      <c r="K1309" s="254" t="s">
        <v>48</v>
      </c>
      <c r="L1309" s="255"/>
      <c r="M1309" s="255" t="s">
        <v>34</v>
      </c>
      <c r="N1309" s="254">
        <v>519979</v>
      </c>
      <c r="O1309" s="254" t="s">
        <v>1321</v>
      </c>
      <c r="P1309" s="258">
        <v>43829</v>
      </c>
      <c r="Q1309" s="259">
        <v>178982154.31999999</v>
      </c>
      <c r="R1309" s="259">
        <v>196217988.20325395</v>
      </c>
      <c r="S1309" s="254">
        <v>62</v>
      </c>
      <c r="T1309" s="256">
        <v>1.1017307686089772E-4</v>
      </c>
      <c r="U1309" s="256">
        <v>1.4242288683126855E-3</v>
      </c>
      <c r="V1309" s="256">
        <v>-0.20547016349340397</v>
      </c>
      <c r="W1309" s="256">
        <v>-2.0142946400726989</v>
      </c>
      <c r="X1309" s="256">
        <v>-7.6788400330767614E-2</v>
      </c>
      <c r="Y1309" s="256">
        <v>-0.58230038913124083</v>
      </c>
      <c r="Z1309" s="256" t="s">
        <v>1417</v>
      </c>
      <c r="AA1309" s="256" t="s">
        <v>1417</v>
      </c>
      <c r="AB1309" s="256">
        <v>0.27877682955934407</v>
      </c>
      <c r="AC1309" s="260">
        <v>-1.0339832238461224</v>
      </c>
      <c r="AD1309" s="405">
        <v>0</v>
      </c>
      <c r="AE1309" s="257" t="s">
        <v>2229</v>
      </c>
      <c r="AF1309" s="257" t="s">
        <v>2109</v>
      </c>
      <c r="AG1309" s="261" t="s">
        <v>1432</v>
      </c>
      <c r="AH1309" s="261" t="s">
        <v>2113</v>
      </c>
      <c r="AI1309" s="261">
        <v>1000</v>
      </c>
      <c r="AJ1309" s="261">
        <v>100</v>
      </c>
      <c r="AK1309" s="261">
        <v>100</v>
      </c>
      <c r="AL1309" s="256">
        <v>1.3999999999999999E-2</v>
      </c>
      <c r="AM1309" s="256">
        <v>0.2</v>
      </c>
      <c r="AN1309" s="256" t="s">
        <v>2127</v>
      </c>
      <c r="AO1309" s="254" t="s">
        <v>1324</v>
      </c>
      <c r="AP1309" s="257" t="s">
        <v>716</v>
      </c>
      <c r="AQ1309" s="263" t="s">
        <v>659</v>
      </c>
      <c r="AR1309" s="256">
        <v>4.6661999999999997E-3</v>
      </c>
      <c r="AS1309" s="256">
        <v>4.6661999999999997E-3</v>
      </c>
      <c r="AT1309" s="256"/>
      <c r="AX1309" s="508"/>
      <c r="AY1309" s="509"/>
      <c r="AZ1309" s="509"/>
      <c r="BA1309" s="509"/>
      <c r="BB1309" s="510"/>
      <c r="BC1309" s="509"/>
      <c r="BD1309" s="509"/>
      <c r="BE1309" s="509"/>
      <c r="BF1309" s="509"/>
      <c r="BG1309" s="510"/>
      <c r="BH1309" s="510"/>
      <c r="BI1309" s="511"/>
      <c r="BJ1309" s="511"/>
      <c r="BK1309" s="511"/>
      <c r="BL1309" s="510"/>
      <c r="BM1309" s="510"/>
      <c r="BN1309" s="510"/>
      <c r="BO1309" s="510"/>
      <c r="BP1309" s="510"/>
      <c r="BQ1309" s="510"/>
      <c r="BR1309" s="510"/>
      <c r="BS1309" s="510"/>
      <c r="BT1309" s="513"/>
      <c r="BU1309" s="514"/>
      <c r="BV1309" s="512"/>
      <c r="BW1309" s="515"/>
    </row>
    <row r="1310" spans="2:75" ht="15.75" customHeight="1">
      <c r="B1310" s="250" t="s">
        <v>878</v>
      </c>
      <c r="C1310" s="251">
        <v>37953241000165</v>
      </c>
      <c r="D1310" s="252" t="s">
        <v>13</v>
      </c>
      <c r="E1310" s="252" t="s">
        <v>615</v>
      </c>
      <c r="F1310" s="252" t="s">
        <v>619</v>
      </c>
      <c r="G1310" s="253" t="s">
        <v>34</v>
      </c>
      <c r="H1310" s="253" t="s">
        <v>1337</v>
      </c>
      <c r="I1310" s="253" t="s">
        <v>34</v>
      </c>
      <c r="J1310" s="253" t="s">
        <v>690</v>
      </c>
      <c r="K1310" s="254" t="s">
        <v>48</v>
      </c>
      <c r="L1310" s="255"/>
      <c r="M1310" s="255" t="s">
        <v>1414</v>
      </c>
      <c r="N1310" s="254">
        <v>552275</v>
      </c>
      <c r="O1310" s="254" t="s">
        <v>1324</v>
      </c>
      <c r="P1310" s="258">
        <v>44089</v>
      </c>
      <c r="Q1310" s="259">
        <v>28685898.75</v>
      </c>
      <c r="R1310" s="259">
        <v>44930052.902738124</v>
      </c>
      <c r="S1310" s="254">
        <v>63</v>
      </c>
      <c r="T1310" s="256">
        <v>6.0751963917736962E-2</v>
      </c>
      <c r="U1310" s="256">
        <v>0.78535249521601302</v>
      </c>
      <c r="V1310" s="256">
        <v>7.9865636067740997E-2</v>
      </c>
      <c r="W1310" s="256">
        <v>0.78295028300988267</v>
      </c>
      <c r="X1310" s="256" t="s">
        <v>1417</v>
      </c>
      <c r="Y1310" s="256" t="s">
        <v>1417</v>
      </c>
      <c r="Z1310" s="256" t="s">
        <v>1417</v>
      </c>
      <c r="AA1310" s="256" t="s">
        <v>1417</v>
      </c>
      <c r="AB1310" s="256">
        <v>1.5567556359471421E-2</v>
      </c>
      <c r="AC1310" s="260">
        <v>-1.2964783101455595</v>
      </c>
      <c r="AD1310" s="405">
        <v>0</v>
      </c>
      <c r="AE1310" s="257" t="s">
        <v>2144</v>
      </c>
      <c r="AF1310" s="257" t="s">
        <v>2109</v>
      </c>
      <c r="AG1310" s="261" t="s">
        <v>1432</v>
      </c>
      <c r="AH1310" s="261" t="s">
        <v>726</v>
      </c>
      <c r="AI1310" s="261">
        <v>50000</v>
      </c>
      <c r="AJ1310" s="261">
        <v>5000</v>
      </c>
      <c r="AK1310" s="261">
        <v>5000</v>
      </c>
      <c r="AL1310" s="256">
        <v>0</v>
      </c>
      <c r="AM1310" s="256" t="s">
        <v>34</v>
      </c>
      <c r="AN1310" s="256" t="s">
        <v>34</v>
      </c>
      <c r="AO1310" s="254" t="s">
        <v>1324</v>
      </c>
      <c r="AP1310" s="257" t="s">
        <v>13</v>
      </c>
      <c r="AQ1310" s="263" t="s">
        <v>679</v>
      </c>
      <c r="AR1310" s="256" t="s">
        <v>34</v>
      </c>
      <c r="AS1310" s="256" t="s">
        <v>34</v>
      </c>
      <c r="AT1310" s="256"/>
      <c r="AX1310" s="508"/>
      <c r="AY1310" s="509"/>
      <c r="AZ1310" s="509"/>
      <c r="BA1310" s="509"/>
      <c r="BB1310" s="510"/>
      <c r="BC1310" s="509"/>
      <c r="BD1310" s="509"/>
      <c r="BE1310" s="509"/>
      <c r="BF1310" s="509"/>
      <c r="BG1310" s="510"/>
      <c r="BH1310" s="510"/>
      <c r="BI1310" s="511"/>
      <c r="BJ1310" s="511"/>
      <c r="BK1310" s="511"/>
      <c r="BL1310" s="510"/>
      <c r="BM1310" s="510"/>
      <c r="BN1310" s="510"/>
      <c r="BO1310" s="510"/>
      <c r="BP1310" s="510"/>
      <c r="BQ1310" s="510"/>
      <c r="BR1310" s="510"/>
      <c r="BS1310" s="510"/>
      <c r="BT1310" s="513"/>
      <c r="BU1310" s="514"/>
      <c r="BV1310" s="512"/>
      <c r="BW1310" s="515"/>
    </row>
    <row r="1311" spans="2:75" ht="15.75" customHeight="1">
      <c r="B1311" s="250" t="s">
        <v>1665</v>
      </c>
      <c r="C1311" s="251">
        <v>19436830000194</v>
      </c>
      <c r="D1311" s="252" t="s">
        <v>14</v>
      </c>
      <c r="E1311" s="252" t="s">
        <v>614</v>
      </c>
      <c r="F1311" s="252"/>
      <c r="G1311" s="253"/>
      <c r="H1311" s="253" t="s">
        <v>865</v>
      </c>
      <c r="I1311" s="253" t="s">
        <v>34</v>
      </c>
      <c r="J1311" s="253" t="s">
        <v>608</v>
      </c>
      <c r="K1311" s="254" t="s">
        <v>48</v>
      </c>
      <c r="L1311" s="255"/>
      <c r="M1311" s="255"/>
      <c r="N1311" s="254">
        <v>365981</v>
      </c>
      <c r="O1311" s="254" t="s">
        <v>1321</v>
      </c>
      <c r="P1311" s="258">
        <v>41757</v>
      </c>
      <c r="Q1311" s="259">
        <v>196525409.11000001</v>
      </c>
      <c r="R1311" s="259">
        <v>288112365.26988071</v>
      </c>
      <c r="S1311" s="254">
        <v>63</v>
      </c>
      <c r="T1311" s="256">
        <v>0.16475730971685243</v>
      </c>
      <c r="U1311" s="256">
        <v>1.8531759718253573</v>
      </c>
      <c r="V1311" s="256">
        <v>0.12526683123844862</v>
      </c>
      <c r="W1311" s="256">
        <v>1.1496624508173441</v>
      </c>
      <c r="X1311" s="256">
        <v>0.40892751286065088</v>
      </c>
      <c r="Y1311" s="256">
        <v>2.8754925791886516</v>
      </c>
      <c r="Z1311" s="256">
        <v>0.33071049205297887</v>
      </c>
      <c r="AA1311" s="256">
        <v>1.8071885464118314</v>
      </c>
      <c r="AB1311" s="256">
        <v>0.16172215879844706</v>
      </c>
      <c r="AC1311" s="260">
        <v>0.17084847999212557</v>
      </c>
      <c r="AD1311" s="405">
        <v>26218464000162</v>
      </c>
      <c r="AE1311" s="257" t="s">
        <v>2318</v>
      </c>
      <c r="AF1311" s="257" t="s">
        <v>2318</v>
      </c>
      <c r="AG1311" s="261" t="s">
        <v>1436</v>
      </c>
      <c r="AH1311" s="261" t="s">
        <v>2319</v>
      </c>
      <c r="AI1311" s="261">
        <v>10000</v>
      </c>
      <c r="AJ1311" s="261">
        <v>10000</v>
      </c>
      <c r="AK1311" s="261">
        <v>10000</v>
      </c>
      <c r="AL1311" s="256">
        <v>0</v>
      </c>
      <c r="AM1311" s="256" t="s">
        <v>34</v>
      </c>
      <c r="AN1311" s="256" t="s">
        <v>2122</v>
      </c>
      <c r="AO1311" s="254" t="s">
        <v>1324</v>
      </c>
      <c r="AP1311" s="257" t="s">
        <v>716</v>
      </c>
      <c r="AQ1311" s="263" t="s">
        <v>659</v>
      </c>
      <c r="AR1311" s="256" t="s">
        <v>34</v>
      </c>
      <c r="AS1311" s="256" t="s">
        <v>34</v>
      </c>
      <c r="AT1311" s="256"/>
      <c r="AX1311" s="508"/>
      <c r="AY1311" s="509"/>
      <c r="AZ1311" s="509"/>
      <c r="BA1311" s="509"/>
      <c r="BB1311" s="510"/>
      <c r="BC1311" s="509"/>
      <c r="BD1311" s="509"/>
      <c r="BE1311" s="509"/>
      <c r="BF1311" s="509"/>
      <c r="BG1311" s="510"/>
      <c r="BH1311" s="510"/>
      <c r="BI1311" s="511"/>
      <c r="BJ1311" s="511"/>
      <c r="BK1311" s="511"/>
      <c r="BL1311" s="510"/>
      <c r="BM1311" s="510"/>
      <c r="BN1311" s="510"/>
      <c r="BO1311" s="510"/>
      <c r="BP1311" s="510"/>
      <c r="BQ1311" s="510"/>
      <c r="BR1311" s="510"/>
      <c r="BS1311" s="510"/>
      <c r="BT1311" s="513"/>
      <c r="BU1311" s="514"/>
      <c r="BV1311" s="512"/>
      <c r="BW1311" s="515"/>
    </row>
    <row r="1312" spans="2:75" ht="15.75" customHeight="1">
      <c r="B1312" s="250" t="s">
        <v>307</v>
      </c>
      <c r="C1312" s="251">
        <v>29994491000115</v>
      </c>
      <c r="D1312" s="252" t="s">
        <v>14</v>
      </c>
      <c r="E1312" s="252" t="s">
        <v>607</v>
      </c>
      <c r="F1312" s="252"/>
      <c r="G1312" s="253"/>
      <c r="H1312" s="253" t="s">
        <v>34</v>
      </c>
      <c r="I1312" s="253" t="s">
        <v>34</v>
      </c>
      <c r="J1312" s="253" t="s">
        <v>608</v>
      </c>
      <c r="K1312" s="254" t="s">
        <v>48</v>
      </c>
      <c r="L1312" s="255"/>
      <c r="M1312" s="255" t="s">
        <v>34</v>
      </c>
      <c r="N1312" s="254">
        <v>483729</v>
      </c>
      <c r="O1312" s="254" t="s">
        <v>1324</v>
      </c>
      <c r="P1312" s="258">
        <v>43453</v>
      </c>
      <c r="Q1312" s="259">
        <v>36916117.799999997</v>
      </c>
      <c r="R1312" s="259">
        <v>53990802.468214266</v>
      </c>
      <c r="S1312" s="254">
        <v>63</v>
      </c>
      <c r="T1312" s="256">
        <v>-0.25291541755246594</v>
      </c>
      <c r="U1312" s="256">
        <v>-3.2694869670779179</v>
      </c>
      <c r="V1312" s="256">
        <v>-0.3857939888661458</v>
      </c>
      <c r="W1312" s="256">
        <v>-3.7820710838646439</v>
      </c>
      <c r="X1312" s="256">
        <v>-0.20478081202445053</v>
      </c>
      <c r="Y1312" s="256">
        <v>-1.5528900981763296</v>
      </c>
      <c r="Z1312" s="256">
        <v>-9.1678313467489336E-2</v>
      </c>
      <c r="AA1312" s="256">
        <v>-0.5211292547823545</v>
      </c>
      <c r="AB1312" s="256">
        <v>0.33003778700716063</v>
      </c>
      <c r="AC1312" s="260">
        <v>-1.6057303142887762</v>
      </c>
      <c r="AD1312" s="405">
        <v>29994412000176</v>
      </c>
      <c r="AE1312" s="257" t="s">
        <v>2334</v>
      </c>
      <c r="AF1312" s="257" t="s">
        <v>2112</v>
      </c>
      <c r="AG1312" s="261" t="s">
        <v>59</v>
      </c>
      <c r="AH1312" s="261" t="s">
        <v>2113</v>
      </c>
      <c r="AI1312" s="261">
        <v>25000</v>
      </c>
      <c r="AJ1312" s="261">
        <v>1000</v>
      </c>
      <c r="AK1312" s="261">
        <v>1000</v>
      </c>
      <c r="AL1312" s="256">
        <v>0.02</v>
      </c>
      <c r="AM1312" s="256">
        <v>0.2</v>
      </c>
      <c r="AN1312" s="256" t="s">
        <v>666</v>
      </c>
      <c r="AO1312" s="254" t="s">
        <v>1324</v>
      </c>
      <c r="AP1312" s="257" t="s">
        <v>716</v>
      </c>
      <c r="AQ1312" s="263" t="s">
        <v>659</v>
      </c>
      <c r="AR1312" s="256">
        <v>5.3333333333333332E-3</v>
      </c>
      <c r="AS1312" s="256">
        <v>5.3333333333333332E-3</v>
      </c>
      <c r="AT1312" s="256"/>
      <c r="AX1312" s="508"/>
      <c r="AY1312" s="509"/>
      <c r="AZ1312" s="509"/>
      <c r="BA1312" s="509"/>
      <c r="BB1312" s="510"/>
      <c r="BC1312" s="509"/>
      <c r="BD1312" s="509"/>
      <c r="BE1312" s="509"/>
      <c r="BF1312" s="509"/>
      <c r="BG1312" s="510"/>
      <c r="BH1312" s="510"/>
      <c r="BI1312" s="511"/>
      <c r="BJ1312" s="511"/>
      <c r="BK1312" s="511"/>
      <c r="BL1312" s="510"/>
      <c r="BM1312" s="510"/>
      <c r="BN1312" s="510"/>
      <c r="BO1312" s="510"/>
      <c r="BP1312" s="510"/>
      <c r="BQ1312" s="510"/>
      <c r="BR1312" s="510"/>
      <c r="BS1312" s="510"/>
      <c r="BT1312" s="513"/>
      <c r="BU1312" s="514"/>
      <c r="BV1312" s="512"/>
      <c r="BW1312" s="515"/>
    </row>
    <row r="1313" spans="2:75" ht="15.75" customHeight="1">
      <c r="B1313" s="250" t="s">
        <v>1013</v>
      </c>
      <c r="C1313" s="251">
        <v>18628905000176</v>
      </c>
      <c r="D1313" s="252" t="s">
        <v>14</v>
      </c>
      <c r="E1313" s="252" t="s">
        <v>607</v>
      </c>
      <c r="F1313" s="252" t="s">
        <v>860</v>
      </c>
      <c r="G1313" s="253"/>
      <c r="H1313" s="253" t="s">
        <v>34</v>
      </c>
      <c r="I1313" s="253" t="s">
        <v>34</v>
      </c>
      <c r="J1313" s="253" t="s">
        <v>611</v>
      </c>
      <c r="K1313" s="254"/>
      <c r="L1313" s="255"/>
      <c r="M1313" s="255" t="s">
        <v>1414</v>
      </c>
      <c r="N1313" s="254">
        <v>416703</v>
      </c>
      <c r="O1313" s="254" t="s">
        <v>1321</v>
      </c>
      <c r="P1313" s="258">
        <v>42457</v>
      </c>
      <c r="Q1313" s="259">
        <v>25957530.280000001</v>
      </c>
      <c r="R1313" s="259">
        <v>30717548.242063507</v>
      </c>
      <c r="S1313" s="254">
        <v>65</v>
      </c>
      <c r="T1313" s="256">
        <v>-0.21396861270573442</v>
      </c>
      <c r="U1313" s="256">
        <v>-2.7660140191335696</v>
      </c>
      <c r="V1313" s="256">
        <v>-0.17856254719504505</v>
      </c>
      <c r="W1313" s="256">
        <v>-1.750510028402513</v>
      </c>
      <c r="X1313" s="256">
        <v>-5.601129737640187E-2</v>
      </c>
      <c r="Y1313" s="256">
        <v>-0.42474384304833734</v>
      </c>
      <c r="Z1313" s="256">
        <v>0.52214393896979838</v>
      </c>
      <c r="AA1313" s="256">
        <v>2.9680354220406442</v>
      </c>
      <c r="AB1313" s="256">
        <v>0.24061904932273381</v>
      </c>
      <c r="AC1313" s="260">
        <v>-1.1011965194560152</v>
      </c>
      <c r="AD1313" s="405">
        <v>23668075000140</v>
      </c>
      <c r="AE1313" s="257" t="s">
        <v>2288</v>
      </c>
      <c r="AF1313" s="257" t="s">
        <v>2118</v>
      </c>
      <c r="AG1313" s="261" t="s">
        <v>1433</v>
      </c>
      <c r="AH1313" s="261" t="s">
        <v>2110</v>
      </c>
      <c r="AI1313" s="261">
        <v>100000</v>
      </c>
      <c r="AJ1313" s="261">
        <v>50000</v>
      </c>
      <c r="AK1313" s="261">
        <v>100000</v>
      </c>
      <c r="AL1313" s="256">
        <v>1.7500000000000002E-2</v>
      </c>
      <c r="AM1313" s="256" t="s">
        <v>34</v>
      </c>
      <c r="AN1313" s="256" t="s">
        <v>2127</v>
      </c>
      <c r="AO1313" s="254" t="s">
        <v>1324</v>
      </c>
      <c r="AP1313" s="257" t="s">
        <v>716</v>
      </c>
      <c r="AQ1313" s="263" t="s">
        <v>687</v>
      </c>
      <c r="AR1313" s="256">
        <v>3.5000000000000005E-3</v>
      </c>
      <c r="AS1313" s="256">
        <v>3.5000000000000005E-3</v>
      </c>
      <c r="AT1313" s="256"/>
      <c r="AX1313" s="508"/>
      <c r="AY1313" s="509"/>
      <c r="AZ1313" s="509"/>
      <c r="BA1313" s="509"/>
      <c r="BB1313" s="510"/>
      <c r="BC1313" s="509"/>
      <c r="BD1313" s="509"/>
      <c r="BE1313" s="509"/>
      <c r="BF1313" s="509"/>
      <c r="BG1313" s="510"/>
      <c r="BH1313" s="510"/>
      <c r="BI1313" s="511"/>
      <c r="BJ1313" s="511"/>
      <c r="BK1313" s="511"/>
      <c r="BL1313" s="510"/>
      <c r="BM1313" s="510"/>
      <c r="BN1313" s="510"/>
      <c r="BO1313" s="510"/>
      <c r="BP1313" s="510"/>
      <c r="BQ1313" s="510"/>
      <c r="BR1313" s="510"/>
      <c r="BS1313" s="510"/>
      <c r="BT1313" s="513"/>
      <c r="BU1313" s="514"/>
      <c r="BV1313" s="512"/>
      <c r="BW1313" s="515"/>
    </row>
    <row r="1314" spans="2:75" ht="15.75" customHeight="1">
      <c r="B1314" s="250" t="s">
        <v>1115</v>
      </c>
      <c r="C1314" s="251">
        <v>14171578000115</v>
      </c>
      <c r="D1314" s="252" t="s">
        <v>11</v>
      </c>
      <c r="E1314" s="252" t="s">
        <v>620</v>
      </c>
      <c r="F1314" s="252" t="s">
        <v>685</v>
      </c>
      <c r="G1314" s="253" t="s">
        <v>738</v>
      </c>
      <c r="H1314" s="253" t="s">
        <v>34</v>
      </c>
      <c r="I1314" s="253" t="s">
        <v>1319</v>
      </c>
      <c r="J1314" s="253" t="s">
        <v>608</v>
      </c>
      <c r="K1314" s="254" t="s">
        <v>48</v>
      </c>
      <c r="L1314" s="255"/>
      <c r="M1314" s="255" t="s">
        <v>34</v>
      </c>
      <c r="N1314" s="254">
        <v>308110</v>
      </c>
      <c r="O1314" s="254" t="s">
        <v>1321</v>
      </c>
      <c r="P1314" s="258">
        <v>41087</v>
      </c>
      <c r="Q1314" s="259">
        <v>286796805.67000002</v>
      </c>
      <c r="R1314" s="259">
        <v>195768511.98301581</v>
      </c>
      <c r="S1314" s="254">
        <v>71</v>
      </c>
      <c r="T1314" s="256">
        <v>9.7526496795511397E-2</v>
      </c>
      <c r="U1314" s="256">
        <v>1.2607440594306385</v>
      </c>
      <c r="V1314" s="256">
        <v>0.13666301577635798</v>
      </c>
      <c r="W1314" s="256">
        <v>1.339754519557413</v>
      </c>
      <c r="X1314" s="256">
        <v>0.21063389639037333</v>
      </c>
      <c r="Y1314" s="256">
        <v>1.5972751001976466</v>
      </c>
      <c r="Z1314" s="256">
        <v>0.27883184447122678</v>
      </c>
      <c r="AA1314" s="256">
        <v>1.5849705979856208</v>
      </c>
      <c r="AB1314" s="256">
        <v>1.2473505055766092E-3</v>
      </c>
      <c r="AC1314" s="260">
        <v>24.835085095789768</v>
      </c>
      <c r="AD1314" s="405">
        <v>0</v>
      </c>
      <c r="AE1314" s="257" t="s">
        <v>2353</v>
      </c>
      <c r="AF1314" s="257" t="s">
        <v>761</v>
      </c>
      <c r="AG1314" s="261" t="s">
        <v>761</v>
      </c>
      <c r="AH1314" s="261" t="s">
        <v>2110</v>
      </c>
      <c r="AI1314" s="261">
        <v>1000</v>
      </c>
      <c r="AJ1314" s="261">
        <v>1000</v>
      </c>
      <c r="AK1314" s="261">
        <v>1000</v>
      </c>
      <c r="AL1314" s="256">
        <v>0.01</v>
      </c>
      <c r="AM1314" s="256">
        <v>0.2</v>
      </c>
      <c r="AN1314" s="256" t="s">
        <v>64</v>
      </c>
      <c r="AO1314" s="254" t="s">
        <v>1324</v>
      </c>
      <c r="AP1314" s="257" t="s">
        <v>13</v>
      </c>
      <c r="AQ1314" s="263" t="s">
        <v>668</v>
      </c>
      <c r="AR1314" s="256">
        <v>4.6666666666666662E-3</v>
      </c>
      <c r="AS1314" s="256">
        <v>4.6666666666666662E-3</v>
      </c>
      <c r="AT1314" s="256"/>
      <c r="AX1314" s="508"/>
      <c r="AY1314" s="509"/>
      <c r="AZ1314" s="509"/>
      <c r="BA1314" s="509"/>
      <c r="BB1314" s="510"/>
      <c r="BC1314" s="509"/>
      <c r="BD1314" s="509"/>
      <c r="BE1314" s="509"/>
      <c r="BF1314" s="509"/>
      <c r="BG1314" s="510"/>
      <c r="BH1314" s="510"/>
      <c r="BI1314" s="511"/>
      <c r="BJ1314" s="511"/>
      <c r="BK1314" s="511"/>
      <c r="BL1314" s="510"/>
      <c r="BM1314" s="510"/>
      <c r="BN1314" s="510"/>
      <c r="BO1314" s="510"/>
      <c r="BP1314" s="510"/>
      <c r="BQ1314" s="510"/>
      <c r="BR1314" s="510"/>
      <c r="BS1314" s="510"/>
      <c r="BT1314" s="513"/>
      <c r="BU1314" s="514"/>
      <c r="BV1314" s="512"/>
      <c r="BW1314" s="515"/>
    </row>
    <row r="1315" spans="2:75" ht="15.75" customHeight="1">
      <c r="B1315" s="250" t="s">
        <v>1188</v>
      </c>
      <c r="C1315" s="251">
        <v>30934725000118</v>
      </c>
      <c r="D1315" s="252" t="s">
        <v>13</v>
      </c>
      <c r="E1315" s="252" t="s">
        <v>616</v>
      </c>
      <c r="F1315" s="252" t="s">
        <v>617</v>
      </c>
      <c r="G1315" s="253" t="s">
        <v>34</v>
      </c>
      <c r="H1315" s="253" t="s">
        <v>1338</v>
      </c>
      <c r="I1315" s="253" t="s">
        <v>34</v>
      </c>
      <c r="J1315" s="253" t="s">
        <v>608</v>
      </c>
      <c r="K1315" s="254" t="s">
        <v>48</v>
      </c>
      <c r="L1315" s="255"/>
      <c r="M1315" s="255" t="s">
        <v>34</v>
      </c>
      <c r="N1315" s="254">
        <v>476072</v>
      </c>
      <c r="O1315" s="254" t="s">
        <v>1321</v>
      </c>
      <c r="P1315" s="258">
        <v>43370</v>
      </c>
      <c r="Q1315" s="259">
        <v>11105498.560000001</v>
      </c>
      <c r="R1315" s="259">
        <v>14558166.659484122</v>
      </c>
      <c r="S1315" s="254">
        <v>77</v>
      </c>
      <c r="T1315" s="256">
        <v>0.10382798416945627</v>
      </c>
      <c r="U1315" s="256">
        <v>1.34220461664655</v>
      </c>
      <c r="V1315" s="256">
        <v>8.3154715768195109E-2</v>
      </c>
      <c r="W1315" s="256">
        <v>0.81519426188620903</v>
      </c>
      <c r="X1315" s="256">
        <v>0.22017296184902269</v>
      </c>
      <c r="Y1315" s="256">
        <v>1.6696115664424616</v>
      </c>
      <c r="Z1315" s="256">
        <v>0.38369423735302455</v>
      </c>
      <c r="AA1315" s="256">
        <v>2.1810424342827015</v>
      </c>
      <c r="AB1315" s="256">
        <v>0.10126171428067401</v>
      </c>
      <c r="AC1315" s="260">
        <v>-0.11997959938605482</v>
      </c>
      <c r="AD1315" s="405">
        <v>0</v>
      </c>
      <c r="AE1315" s="257" t="s">
        <v>2123</v>
      </c>
      <c r="AF1315" s="257" t="s">
        <v>2109</v>
      </c>
      <c r="AG1315" s="261" t="s">
        <v>1432</v>
      </c>
      <c r="AH1315" s="261" t="s">
        <v>2110</v>
      </c>
      <c r="AI1315" s="261">
        <v>5000</v>
      </c>
      <c r="AJ1315" s="261">
        <v>5000</v>
      </c>
      <c r="AK1315" s="261">
        <v>5000</v>
      </c>
      <c r="AL1315" s="256">
        <v>6.5000000000000006E-3</v>
      </c>
      <c r="AM1315" s="256" t="s">
        <v>34</v>
      </c>
      <c r="AN1315" s="256" t="s">
        <v>34</v>
      </c>
      <c r="AO1315" s="254" t="s">
        <v>1324</v>
      </c>
      <c r="AP1315" s="257" t="s">
        <v>13</v>
      </c>
      <c r="AQ1315" s="263" t="s">
        <v>668</v>
      </c>
      <c r="AR1315" s="256">
        <v>4.3333333333333331E-3</v>
      </c>
      <c r="AS1315" s="256">
        <v>4.3333333333333331E-3</v>
      </c>
      <c r="AT1315" s="256"/>
      <c r="AX1315" s="508"/>
      <c r="AY1315" s="509"/>
      <c r="AZ1315" s="509"/>
      <c r="BA1315" s="509"/>
      <c r="BB1315" s="510"/>
      <c r="BC1315" s="509"/>
      <c r="BD1315" s="509"/>
      <c r="BE1315" s="509"/>
      <c r="BF1315" s="509"/>
      <c r="BG1315" s="510"/>
      <c r="BH1315" s="510"/>
      <c r="BI1315" s="511"/>
      <c r="BJ1315" s="511"/>
      <c r="BK1315" s="511"/>
      <c r="BL1315" s="510"/>
      <c r="BM1315" s="510"/>
      <c r="BN1315" s="510"/>
      <c r="BO1315" s="510"/>
      <c r="BP1315" s="510"/>
      <c r="BQ1315" s="510"/>
      <c r="BR1315" s="510"/>
      <c r="BS1315" s="510"/>
      <c r="BT1315" s="513"/>
      <c r="BU1315" s="514"/>
      <c r="BV1315" s="512"/>
      <c r="BW1315" s="515"/>
    </row>
    <row r="1316" spans="2:75" ht="15.75" customHeight="1">
      <c r="B1316" s="250" t="s">
        <v>111</v>
      </c>
      <c r="C1316" s="251">
        <v>36352498000107</v>
      </c>
      <c r="D1316" s="252" t="s">
        <v>11</v>
      </c>
      <c r="E1316" s="252" t="s">
        <v>620</v>
      </c>
      <c r="F1316" s="252" t="s">
        <v>663</v>
      </c>
      <c r="G1316" s="253" t="s">
        <v>738</v>
      </c>
      <c r="H1316" s="253" t="s">
        <v>34</v>
      </c>
      <c r="I1316" s="253"/>
      <c r="J1316" s="253" t="s">
        <v>608</v>
      </c>
      <c r="K1316" s="254" t="s">
        <v>48</v>
      </c>
      <c r="L1316" s="255"/>
      <c r="M1316" s="255" t="s">
        <v>34</v>
      </c>
      <c r="N1316" s="254">
        <v>539643</v>
      </c>
      <c r="O1316" s="254" t="s">
        <v>1321</v>
      </c>
      <c r="P1316" s="258">
        <v>43997</v>
      </c>
      <c r="Q1316" s="259">
        <v>224498707.55000001</v>
      </c>
      <c r="R1316" s="259">
        <v>140817501.48269841</v>
      </c>
      <c r="S1316" s="254">
        <v>90</v>
      </c>
      <c r="T1316" s="256">
        <v>8.5692889383693238E-2</v>
      </c>
      <c r="U1316" s="256">
        <v>1.1077687067183819</v>
      </c>
      <c r="V1316" s="256">
        <v>0.10739770791913283</v>
      </c>
      <c r="W1316" s="256">
        <v>1.0528566471138627</v>
      </c>
      <c r="X1316" s="256">
        <v>0.19895858364708663</v>
      </c>
      <c r="Y1316" s="256">
        <v>1.5087390827215703</v>
      </c>
      <c r="Z1316" s="256" t="s">
        <v>1417</v>
      </c>
      <c r="AA1316" s="256" t="s">
        <v>1417</v>
      </c>
      <c r="AB1316" s="256">
        <v>1.285754665061923E-2</v>
      </c>
      <c r="AC1316" s="260">
        <v>0.38605637449917912</v>
      </c>
      <c r="AD1316" s="405">
        <v>36352509000140</v>
      </c>
      <c r="AE1316" s="257" t="s">
        <v>2164</v>
      </c>
      <c r="AF1316" s="257" t="s">
        <v>2118</v>
      </c>
      <c r="AG1316" s="261" t="s">
        <v>1433</v>
      </c>
      <c r="AH1316" s="261" t="s">
        <v>2110</v>
      </c>
      <c r="AI1316" s="261">
        <v>10000</v>
      </c>
      <c r="AJ1316" s="261">
        <v>5000</v>
      </c>
      <c r="AK1316" s="261">
        <v>10000</v>
      </c>
      <c r="AL1316" s="519">
        <v>1.2E-2</v>
      </c>
      <c r="AM1316" s="519">
        <v>0.2</v>
      </c>
      <c r="AN1316" s="256" t="s">
        <v>34</v>
      </c>
      <c r="AO1316" s="254" t="s">
        <v>1324</v>
      </c>
      <c r="AP1316" s="257" t="s">
        <v>13</v>
      </c>
      <c r="AQ1316" s="263" t="s">
        <v>668</v>
      </c>
      <c r="AR1316" s="256">
        <v>3.2000000000000002E-3</v>
      </c>
      <c r="AS1316" s="256">
        <v>3.2000000000000002E-3</v>
      </c>
      <c r="AT1316" s="256"/>
      <c r="AX1316" s="508"/>
      <c r="AY1316" s="509"/>
      <c r="AZ1316" s="509"/>
      <c r="BA1316" s="509"/>
      <c r="BB1316" s="510"/>
      <c r="BC1316" s="509"/>
      <c r="BD1316" s="509"/>
      <c r="BE1316" s="509"/>
      <c r="BF1316" s="509"/>
      <c r="BG1316" s="510"/>
      <c r="BH1316" s="510"/>
      <c r="BI1316" s="511"/>
      <c r="BJ1316" s="511"/>
      <c r="BK1316" s="511"/>
      <c r="BL1316" s="510"/>
      <c r="BM1316" s="510"/>
      <c r="BN1316" s="510"/>
      <c r="BO1316" s="510"/>
      <c r="BP1316" s="510"/>
      <c r="BQ1316" s="510"/>
      <c r="BR1316" s="510"/>
      <c r="BS1316" s="510"/>
      <c r="BT1316" s="513"/>
      <c r="BU1316" s="514"/>
      <c r="BV1316" s="512"/>
      <c r="BW1316" s="515"/>
    </row>
    <row r="1317" spans="2:75" ht="15.75" customHeight="1">
      <c r="B1317" s="250" t="s">
        <v>897</v>
      </c>
      <c r="C1317" s="251">
        <v>23272391000107</v>
      </c>
      <c r="D1317" s="252" t="s">
        <v>11</v>
      </c>
      <c r="E1317" s="252" t="s">
        <v>620</v>
      </c>
      <c r="F1317" s="252" t="s">
        <v>663</v>
      </c>
      <c r="G1317" s="253" t="s">
        <v>738</v>
      </c>
      <c r="H1317" s="253" t="s">
        <v>34</v>
      </c>
      <c r="I1317" s="253" t="s">
        <v>1304</v>
      </c>
      <c r="J1317" s="253" t="s">
        <v>608</v>
      </c>
      <c r="K1317" s="254" t="s">
        <v>48</v>
      </c>
      <c r="L1317" s="255"/>
      <c r="M1317" s="255" t="s">
        <v>34</v>
      </c>
      <c r="N1317" s="254">
        <v>410942</v>
      </c>
      <c r="O1317" s="254" t="s">
        <v>1321</v>
      </c>
      <c r="P1317" s="258">
        <v>42347</v>
      </c>
      <c r="Q1317" s="259">
        <v>563398230.75999999</v>
      </c>
      <c r="R1317" s="259">
        <v>137899445.68309528</v>
      </c>
      <c r="S1317" s="254">
        <v>90</v>
      </c>
      <c r="T1317" s="256">
        <v>0.10641054425753071</v>
      </c>
      <c r="U1317" s="256">
        <v>1.3755898749726994</v>
      </c>
      <c r="V1317" s="256">
        <v>0.14389222629971621</v>
      </c>
      <c r="W1317" s="256">
        <v>1.4106249552526915</v>
      </c>
      <c r="X1317" s="256">
        <v>0.23145159475226129</v>
      </c>
      <c r="Y1317" s="256">
        <v>1.7551394886303751</v>
      </c>
      <c r="Z1317" s="256">
        <v>0.29502846405102101</v>
      </c>
      <c r="AA1317" s="256">
        <v>1.6770374344311301</v>
      </c>
      <c r="AB1317" s="256">
        <v>1.0932837027307681E-2</v>
      </c>
      <c r="AC1317" s="260">
        <v>3.4190518353237112</v>
      </c>
      <c r="AD1317" s="405">
        <v>0</v>
      </c>
      <c r="AE1317" s="257" t="s">
        <v>2199</v>
      </c>
      <c r="AF1317" s="257" t="s">
        <v>2118</v>
      </c>
      <c r="AG1317" s="261" t="s">
        <v>1433</v>
      </c>
      <c r="AH1317" s="261" t="s">
        <v>2110</v>
      </c>
      <c r="AI1317" s="261">
        <v>20000</v>
      </c>
      <c r="AJ1317" s="261">
        <v>1000</v>
      </c>
      <c r="AK1317" s="261">
        <v>10000</v>
      </c>
      <c r="AL1317" s="256">
        <v>7.4999999999999997E-3</v>
      </c>
      <c r="AM1317" s="256">
        <v>0.2</v>
      </c>
      <c r="AN1317" s="256" t="s">
        <v>64</v>
      </c>
      <c r="AO1317" s="254" t="s">
        <v>1324</v>
      </c>
      <c r="AP1317" s="257" t="s">
        <v>13</v>
      </c>
      <c r="AQ1317" s="263" t="s">
        <v>668</v>
      </c>
      <c r="AR1317" s="256">
        <v>1.7499999999999998E-3</v>
      </c>
      <c r="AS1317" s="256">
        <v>1.7499999999999998E-3</v>
      </c>
      <c r="AT1317" s="256"/>
      <c r="AX1317" s="508"/>
      <c r="AY1317" s="509"/>
      <c r="AZ1317" s="509"/>
      <c r="BA1317" s="509"/>
      <c r="BB1317" s="510"/>
      <c r="BC1317" s="509"/>
      <c r="BD1317" s="509"/>
      <c r="BE1317" s="509"/>
      <c r="BF1317" s="509"/>
      <c r="BG1317" s="510"/>
      <c r="BH1317" s="510"/>
      <c r="BI1317" s="511"/>
      <c r="BJ1317" s="511"/>
      <c r="BK1317" s="511"/>
      <c r="BL1317" s="510"/>
      <c r="BM1317" s="510"/>
      <c r="BN1317" s="510"/>
      <c r="BO1317" s="510"/>
      <c r="BP1317" s="510"/>
      <c r="BQ1317" s="510"/>
      <c r="BR1317" s="510"/>
      <c r="BS1317" s="510"/>
      <c r="BT1317" s="513"/>
      <c r="BU1317" s="514"/>
      <c r="BV1317" s="512"/>
      <c r="BW1317" s="515"/>
    </row>
    <row r="1318" spans="2:75" ht="15.75" customHeight="1">
      <c r="B1318" s="250" t="s">
        <v>898</v>
      </c>
      <c r="C1318" s="251">
        <v>38377094000195</v>
      </c>
      <c r="D1318" s="252" t="s">
        <v>11</v>
      </c>
      <c r="E1318" s="252" t="s">
        <v>620</v>
      </c>
      <c r="F1318" s="252" t="s">
        <v>663</v>
      </c>
      <c r="G1318" s="253" t="s">
        <v>738</v>
      </c>
      <c r="H1318" s="253" t="s">
        <v>34</v>
      </c>
      <c r="I1318" s="253"/>
      <c r="J1318" s="253" t="s">
        <v>608</v>
      </c>
      <c r="K1318" s="254" t="s">
        <v>48</v>
      </c>
      <c r="L1318" s="255"/>
      <c r="M1318" s="255" t="s">
        <v>34</v>
      </c>
      <c r="N1318" s="254">
        <v>579076</v>
      </c>
      <c r="O1318" s="254" t="s">
        <v>1321</v>
      </c>
      <c r="P1318" s="258">
        <v>44260</v>
      </c>
      <c r="Q1318" s="259">
        <v>102951474.98999999</v>
      </c>
      <c r="R1318" s="259">
        <v>98323404.367698416</v>
      </c>
      <c r="S1318" s="254">
        <v>90</v>
      </c>
      <c r="T1318" s="256">
        <v>9.7011949978689671E-2</v>
      </c>
      <c r="U1318" s="256">
        <v>1.2540924122996324</v>
      </c>
      <c r="V1318" s="256">
        <v>0.12753356391593007</v>
      </c>
      <c r="W1318" s="256">
        <v>1.2502553648548278</v>
      </c>
      <c r="X1318" s="256" t="s">
        <v>1417</v>
      </c>
      <c r="Y1318" s="256" t="s">
        <v>1417</v>
      </c>
      <c r="Z1318" s="256" t="s">
        <v>1417</v>
      </c>
      <c r="AA1318" s="256" t="s">
        <v>1417</v>
      </c>
      <c r="AB1318" s="256">
        <v>8.0307738697824142E-3</v>
      </c>
      <c r="AC1318" s="260">
        <v>2.8566592788007226</v>
      </c>
      <c r="AD1318" s="405">
        <v>0</v>
      </c>
      <c r="AE1318" s="257" t="s">
        <v>2199</v>
      </c>
      <c r="AF1318" s="257" t="s">
        <v>2118</v>
      </c>
      <c r="AG1318" s="261" t="s">
        <v>1433</v>
      </c>
      <c r="AH1318" s="261" t="s">
        <v>726</v>
      </c>
      <c r="AI1318" s="261">
        <v>1000000</v>
      </c>
      <c r="AJ1318" s="261" t="s">
        <v>1427</v>
      </c>
      <c r="AK1318" s="261">
        <v>1000000</v>
      </c>
      <c r="AL1318" s="256">
        <v>6.5000000000000006E-3</v>
      </c>
      <c r="AM1318" s="256" t="s">
        <v>34</v>
      </c>
      <c r="AN1318" s="256" t="s">
        <v>64</v>
      </c>
      <c r="AO1318" s="254" t="s">
        <v>1324</v>
      </c>
      <c r="AP1318" s="257" t="s">
        <v>11</v>
      </c>
      <c r="AQ1318" s="263" t="s">
        <v>675</v>
      </c>
      <c r="AR1318" s="256">
        <v>1.5166666666666664E-3</v>
      </c>
      <c r="AS1318" s="256">
        <v>1.5166666666666664E-3</v>
      </c>
      <c r="AT1318" s="256"/>
      <c r="AX1318" s="508"/>
      <c r="AY1318" s="509"/>
      <c r="AZ1318" s="509"/>
      <c r="BA1318" s="509"/>
      <c r="BB1318" s="510"/>
      <c r="BC1318" s="509"/>
      <c r="BD1318" s="509"/>
      <c r="BE1318" s="509"/>
      <c r="BF1318" s="509"/>
      <c r="BG1318" s="510"/>
      <c r="BH1318" s="510"/>
      <c r="BI1318" s="511"/>
      <c r="BJ1318" s="511"/>
      <c r="BK1318" s="511"/>
      <c r="BL1318" s="510"/>
      <c r="BM1318" s="510"/>
      <c r="BN1318" s="510"/>
      <c r="BO1318" s="510"/>
      <c r="BP1318" s="510"/>
      <c r="BQ1318" s="510"/>
      <c r="BR1318" s="510"/>
      <c r="BS1318" s="510"/>
      <c r="BT1318" s="513"/>
      <c r="BU1318" s="514"/>
      <c r="BV1318" s="512"/>
      <c r="BW1318" s="515"/>
    </row>
    <row r="1319" spans="2:75" ht="15.75" customHeight="1">
      <c r="B1319" s="250" t="s">
        <v>899</v>
      </c>
      <c r="C1319" s="251">
        <v>26605199000175</v>
      </c>
      <c r="D1319" s="252" t="s">
        <v>11</v>
      </c>
      <c r="E1319" s="252" t="s">
        <v>620</v>
      </c>
      <c r="F1319" s="252" t="s">
        <v>663</v>
      </c>
      <c r="G1319" s="253" t="s">
        <v>738</v>
      </c>
      <c r="H1319" s="253" t="s">
        <v>34</v>
      </c>
      <c r="I1319" s="253"/>
      <c r="J1319" s="253"/>
      <c r="K1319" s="254" t="s">
        <v>48</v>
      </c>
      <c r="L1319" s="255"/>
      <c r="M1319" s="255" t="s">
        <v>34</v>
      </c>
      <c r="N1319" s="254">
        <v>484504</v>
      </c>
      <c r="O1319" s="254" t="s">
        <v>1321</v>
      </c>
      <c r="P1319" s="258">
        <v>43461</v>
      </c>
      <c r="Q1319" s="259">
        <v>71566781.239999995</v>
      </c>
      <c r="R1319" s="259">
        <v>64891119.84801583</v>
      </c>
      <c r="S1319" s="254">
        <v>90</v>
      </c>
      <c r="T1319" s="256">
        <v>6.4032694742381491E-2</v>
      </c>
      <c r="U1319" s="256">
        <v>0.82776314292372322</v>
      </c>
      <c r="V1319" s="256">
        <v>0.10073210047354797</v>
      </c>
      <c r="W1319" s="256">
        <v>0.98751140612026567</v>
      </c>
      <c r="X1319" s="256">
        <v>0.19659576363208275</v>
      </c>
      <c r="Y1319" s="256">
        <v>1.4908213893166129</v>
      </c>
      <c r="Z1319" s="256">
        <v>0.24965375402585122</v>
      </c>
      <c r="AA1319" s="256">
        <v>1.4191128726996638</v>
      </c>
      <c r="AB1319" s="256">
        <v>5.7681988835970956E-2</v>
      </c>
      <c r="AC1319" s="260">
        <v>8.5868364627237643E-3</v>
      </c>
      <c r="AD1319" s="405">
        <v>27923072000167</v>
      </c>
      <c r="AE1319" s="257" t="s">
        <v>2199</v>
      </c>
      <c r="AF1319" s="257" t="s">
        <v>2118</v>
      </c>
      <c r="AG1319" s="261" t="s">
        <v>1433</v>
      </c>
      <c r="AH1319" s="261" t="s">
        <v>2113</v>
      </c>
      <c r="AI1319" s="261">
        <v>1000</v>
      </c>
      <c r="AJ1319" s="261">
        <v>1000</v>
      </c>
      <c r="AK1319" s="261">
        <v>1000</v>
      </c>
      <c r="AL1319" s="256">
        <v>9.0000000000000011E-3</v>
      </c>
      <c r="AM1319" s="256" t="s">
        <v>34</v>
      </c>
      <c r="AN1319" s="256" t="s">
        <v>2127</v>
      </c>
      <c r="AO1319" s="254" t="s">
        <v>1324</v>
      </c>
      <c r="AP1319" s="257" t="s">
        <v>11</v>
      </c>
      <c r="AQ1319" s="263" t="s">
        <v>2200</v>
      </c>
      <c r="AR1319" s="256">
        <v>2.0999999999999994E-3</v>
      </c>
      <c r="AS1319" s="256">
        <v>2.0999999999999994E-3</v>
      </c>
      <c r="AT1319" s="256"/>
      <c r="AX1319" s="508"/>
      <c r="AY1319" s="509"/>
      <c r="AZ1319" s="509"/>
      <c r="BA1319" s="509"/>
      <c r="BB1319" s="510"/>
      <c r="BC1319" s="509"/>
      <c r="BD1319" s="509"/>
      <c r="BE1319" s="509"/>
      <c r="BF1319" s="509"/>
      <c r="BG1319" s="510"/>
      <c r="BH1319" s="510"/>
      <c r="BI1319" s="511"/>
      <c r="BJ1319" s="511"/>
      <c r="BK1319" s="511"/>
      <c r="BL1319" s="510"/>
      <c r="BM1319" s="510"/>
      <c r="BN1319" s="510"/>
      <c r="BO1319" s="510"/>
      <c r="BP1319" s="510"/>
      <c r="BQ1319" s="510"/>
      <c r="BR1319" s="510"/>
      <c r="BS1319" s="510"/>
      <c r="BT1319" s="513"/>
      <c r="BU1319" s="514"/>
      <c r="BV1319" s="512"/>
      <c r="BW1319" s="515"/>
    </row>
    <row r="1320" spans="2:75" ht="15.75" customHeight="1">
      <c r="B1320" s="250" t="s">
        <v>900</v>
      </c>
      <c r="C1320" s="251">
        <v>31120037000187</v>
      </c>
      <c r="D1320" s="252" t="s">
        <v>14</v>
      </c>
      <c r="E1320" s="252" t="s">
        <v>15</v>
      </c>
      <c r="F1320" s="252" t="s">
        <v>16</v>
      </c>
      <c r="G1320" s="253"/>
      <c r="H1320" s="253" t="s">
        <v>34</v>
      </c>
      <c r="I1320" s="253" t="s">
        <v>34</v>
      </c>
      <c r="J1320" s="253" t="s">
        <v>690</v>
      </c>
      <c r="K1320" s="254" t="s">
        <v>48</v>
      </c>
      <c r="L1320" s="255"/>
      <c r="M1320" s="255" t="s">
        <v>1414</v>
      </c>
      <c r="N1320" s="254">
        <v>481467</v>
      </c>
      <c r="O1320" s="254" t="s">
        <v>1321</v>
      </c>
      <c r="P1320" s="258">
        <v>43439</v>
      </c>
      <c r="Q1320" s="259">
        <v>15708880.140000001</v>
      </c>
      <c r="R1320" s="259">
        <v>26861680.559642836</v>
      </c>
      <c r="S1320" s="254">
        <v>90</v>
      </c>
      <c r="T1320" s="256">
        <v>4.5584086607936003E-2</v>
      </c>
      <c r="U1320" s="256">
        <v>0.58927438474517269</v>
      </c>
      <c r="V1320" s="256">
        <v>4.9723857172156771E-2</v>
      </c>
      <c r="W1320" s="256">
        <v>0.48746006370326905</v>
      </c>
      <c r="X1320" s="256">
        <v>9.7594472659784159E-2</v>
      </c>
      <c r="Y1320" s="256">
        <v>0.7400766152447138</v>
      </c>
      <c r="Z1320" s="256">
        <v>0.22184851032712105</v>
      </c>
      <c r="AA1320" s="256">
        <v>1.2610588533824405</v>
      </c>
      <c r="AB1320" s="256">
        <v>4.9773815611637823E-2</v>
      </c>
      <c r="AC1320" s="260">
        <v>-0.9521004661609308</v>
      </c>
      <c r="AD1320" s="405">
        <v>37121949000150</v>
      </c>
      <c r="AE1320" s="257" t="s">
        <v>2199</v>
      </c>
      <c r="AF1320" s="257" t="s">
        <v>2118</v>
      </c>
      <c r="AG1320" s="261" t="s">
        <v>1433</v>
      </c>
      <c r="AH1320" s="261" t="s">
        <v>2110</v>
      </c>
      <c r="AI1320" s="261">
        <v>5000</v>
      </c>
      <c r="AJ1320" s="261">
        <v>5000</v>
      </c>
      <c r="AK1320" s="261">
        <v>5000</v>
      </c>
      <c r="AL1320" s="256">
        <v>0.01</v>
      </c>
      <c r="AM1320" s="256">
        <v>0.15</v>
      </c>
      <c r="AN1320" s="256" t="s">
        <v>2122</v>
      </c>
      <c r="AO1320" s="254" t="s">
        <v>1324</v>
      </c>
      <c r="AP1320" s="257" t="s">
        <v>13</v>
      </c>
      <c r="AQ1320" s="263" t="s">
        <v>671</v>
      </c>
      <c r="AR1320" s="256">
        <v>2.5000000000000001E-3</v>
      </c>
      <c r="AS1320" s="256">
        <v>2.5000000000000001E-3</v>
      </c>
      <c r="AT1320" s="256"/>
      <c r="AX1320" s="508"/>
      <c r="AY1320" s="509"/>
      <c r="AZ1320" s="509"/>
      <c r="BA1320" s="509"/>
      <c r="BB1320" s="510"/>
      <c r="BC1320" s="509"/>
      <c r="BD1320" s="509"/>
      <c r="BE1320" s="509"/>
      <c r="BF1320" s="509"/>
      <c r="BG1320" s="510"/>
      <c r="BH1320" s="510"/>
      <c r="BI1320" s="511"/>
      <c r="BJ1320" s="511"/>
      <c r="BK1320" s="511"/>
      <c r="BL1320" s="510"/>
      <c r="BM1320" s="510"/>
      <c r="BN1320" s="510"/>
      <c r="BO1320" s="510"/>
      <c r="BP1320" s="510"/>
      <c r="BQ1320" s="510"/>
      <c r="BR1320" s="510"/>
      <c r="BS1320" s="510"/>
      <c r="BT1320" s="513"/>
      <c r="BU1320" s="514"/>
      <c r="BV1320" s="512"/>
      <c r="BW1320" s="515"/>
    </row>
    <row r="1321" spans="2:75" ht="15.75" customHeight="1">
      <c r="B1321" s="250" t="s">
        <v>769</v>
      </c>
      <c r="C1321" s="251">
        <v>18302338000163</v>
      </c>
      <c r="D1321" s="252" t="s">
        <v>14</v>
      </c>
      <c r="E1321" s="252" t="s">
        <v>607</v>
      </c>
      <c r="F1321" s="252"/>
      <c r="G1321" s="253"/>
      <c r="H1321" s="253" t="s">
        <v>34</v>
      </c>
      <c r="I1321" s="253" t="s">
        <v>34</v>
      </c>
      <c r="J1321" s="253" t="s">
        <v>608</v>
      </c>
      <c r="K1321" s="254" t="s">
        <v>48</v>
      </c>
      <c r="L1321" s="255"/>
      <c r="M1321" s="255" t="s">
        <v>1414</v>
      </c>
      <c r="N1321" s="254">
        <v>514594</v>
      </c>
      <c r="O1321" s="254" t="s">
        <v>1321</v>
      </c>
      <c r="P1321" s="258">
        <v>43735</v>
      </c>
      <c r="Q1321" s="259">
        <v>182771735.78999999</v>
      </c>
      <c r="R1321" s="259">
        <v>159026181.18924603</v>
      </c>
      <c r="S1321" s="254">
        <v>90</v>
      </c>
      <c r="T1321" s="256">
        <v>-8.5556894101294301E-2</v>
      </c>
      <c r="U1321" s="256">
        <v>-1.1060106691590654</v>
      </c>
      <c r="V1321" s="256">
        <v>-0.10778034888888832</v>
      </c>
      <c r="W1321" s="256">
        <v>-1.0566078080675816</v>
      </c>
      <c r="X1321" s="256">
        <v>0.28045100044895155</v>
      </c>
      <c r="Y1321" s="256">
        <v>2.1267108832873611</v>
      </c>
      <c r="Z1321" s="256" t="s">
        <v>1417</v>
      </c>
      <c r="AA1321" s="256" t="s">
        <v>1417</v>
      </c>
      <c r="AB1321" s="256">
        <v>0.18504289066803292</v>
      </c>
      <c r="AC1321" s="260">
        <v>-1.0491467181418863</v>
      </c>
      <c r="AD1321" s="405">
        <v>0</v>
      </c>
      <c r="AE1321" s="257" t="s">
        <v>2151</v>
      </c>
      <c r="AF1321" s="257" t="s">
        <v>2109</v>
      </c>
      <c r="AG1321" s="261" t="s">
        <v>1432</v>
      </c>
      <c r="AH1321" s="261" t="s">
        <v>2110</v>
      </c>
      <c r="AI1321" s="261">
        <v>20000</v>
      </c>
      <c r="AJ1321" s="261">
        <v>1000</v>
      </c>
      <c r="AK1321" s="261">
        <v>10000</v>
      </c>
      <c r="AL1321" s="519">
        <v>0.02</v>
      </c>
      <c r="AM1321" s="519">
        <v>0.2</v>
      </c>
      <c r="AN1321" s="256" t="s">
        <v>34</v>
      </c>
      <c r="AO1321" s="254" t="s">
        <v>1324</v>
      </c>
      <c r="AP1321" s="257" t="s">
        <v>716</v>
      </c>
      <c r="AQ1321" s="263" t="s">
        <v>659</v>
      </c>
      <c r="AR1321" s="256" t="s">
        <v>34</v>
      </c>
      <c r="AS1321" s="256" t="s">
        <v>34</v>
      </c>
      <c r="AT1321" s="256"/>
      <c r="AX1321" s="508"/>
      <c r="AY1321" s="509"/>
      <c r="AZ1321" s="509"/>
      <c r="BA1321" s="509"/>
      <c r="BB1321" s="510"/>
      <c r="BC1321" s="509"/>
      <c r="BD1321" s="509"/>
      <c r="BE1321" s="509"/>
      <c r="BF1321" s="509"/>
      <c r="BG1321" s="510"/>
      <c r="BH1321" s="510"/>
      <c r="BI1321" s="511"/>
      <c r="BJ1321" s="511"/>
      <c r="BK1321" s="511"/>
      <c r="BL1321" s="510"/>
      <c r="BM1321" s="510"/>
      <c r="BN1321" s="510"/>
      <c r="BO1321" s="510"/>
      <c r="BP1321" s="510"/>
      <c r="BQ1321" s="510"/>
      <c r="BR1321" s="510"/>
      <c r="BS1321" s="510"/>
      <c r="BT1321" s="513"/>
      <c r="BU1321" s="514"/>
      <c r="BV1321" s="512"/>
      <c r="BW1321" s="515"/>
    </row>
    <row r="1322" spans="2:75" ht="15.75" customHeight="1">
      <c r="B1322" s="250" t="s">
        <v>1676</v>
      </c>
      <c r="C1322" s="251">
        <v>34674530000137</v>
      </c>
      <c r="D1322" s="252" t="s">
        <v>14</v>
      </c>
      <c r="E1322" s="252" t="s">
        <v>607</v>
      </c>
      <c r="F1322" s="252"/>
      <c r="G1322" s="253"/>
      <c r="H1322" s="253" t="s">
        <v>34</v>
      </c>
      <c r="I1322" s="253" t="s">
        <v>34</v>
      </c>
      <c r="J1322" s="253" t="s">
        <v>608</v>
      </c>
      <c r="K1322" s="254" t="s">
        <v>48</v>
      </c>
      <c r="L1322" s="255"/>
      <c r="M1322" s="255"/>
      <c r="N1322" s="254">
        <v>513474</v>
      </c>
      <c r="O1322" s="254" t="s">
        <v>1321</v>
      </c>
      <c r="P1322" s="258">
        <v>43775</v>
      </c>
      <c r="Q1322" s="259">
        <v>152594164.38999999</v>
      </c>
      <c r="R1322" s="259">
        <v>310592428.59428573</v>
      </c>
      <c r="S1322" s="254">
        <v>90</v>
      </c>
      <c r="T1322" s="256">
        <v>-9.8932790820702499E-2</v>
      </c>
      <c r="U1322" s="256">
        <v>-1.1127874756490816</v>
      </c>
      <c r="V1322" s="256">
        <v>-0.25061815171766821</v>
      </c>
      <c r="W1322" s="256">
        <v>-2.3001003192504457</v>
      </c>
      <c r="X1322" s="256">
        <v>-0.21036513401296197</v>
      </c>
      <c r="Y1322" s="256">
        <v>-1.4792435401147235</v>
      </c>
      <c r="Z1322" s="256" t="s">
        <v>1417</v>
      </c>
      <c r="AA1322" s="256" t="s">
        <v>1417</v>
      </c>
      <c r="AB1322" s="256">
        <v>0.25629400697526616</v>
      </c>
      <c r="AC1322" s="260">
        <v>-1.4009513184639604</v>
      </c>
      <c r="AD1322" s="405">
        <v>0</v>
      </c>
      <c r="AE1322" s="257" t="s">
        <v>2318</v>
      </c>
      <c r="AF1322" s="257" t="s">
        <v>2318</v>
      </c>
      <c r="AG1322" s="261" t="s">
        <v>1436</v>
      </c>
      <c r="AH1322" s="261" t="s">
        <v>2110</v>
      </c>
      <c r="AI1322" s="261">
        <v>0</v>
      </c>
      <c r="AJ1322" s="261">
        <v>0</v>
      </c>
      <c r="AK1322" s="261">
        <v>0</v>
      </c>
      <c r="AL1322" s="256">
        <v>0</v>
      </c>
      <c r="AM1322" s="256" t="s">
        <v>34</v>
      </c>
      <c r="AN1322" s="256" t="s">
        <v>666</v>
      </c>
      <c r="AO1322" s="254" t="s">
        <v>1324</v>
      </c>
      <c r="AP1322" s="257" t="s">
        <v>716</v>
      </c>
      <c r="AQ1322" s="263" t="s">
        <v>659</v>
      </c>
      <c r="AR1322" s="256" t="s">
        <v>34</v>
      </c>
      <c r="AS1322" s="256" t="s">
        <v>34</v>
      </c>
      <c r="AT1322" s="256"/>
      <c r="AX1322" s="508"/>
      <c r="AY1322" s="509"/>
      <c r="AZ1322" s="509"/>
      <c r="BA1322" s="509"/>
      <c r="BB1322" s="510"/>
      <c r="BC1322" s="509"/>
      <c r="BD1322" s="509"/>
      <c r="BE1322" s="509"/>
      <c r="BF1322" s="509"/>
      <c r="BG1322" s="510"/>
      <c r="BH1322" s="510"/>
      <c r="BI1322" s="511"/>
      <c r="BJ1322" s="511"/>
      <c r="BK1322" s="511"/>
      <c r="BL1322" s="510"/>
      <c r="BM1322" s="510"/>
      <c r="BN1322" s="510"/>
      <c r="BO1322" s="510"/>
      <c r="BP1322" s="510"/>
      <c r="BQ1322" s="510"/>
      <c r="BR1322" s="510"/>
      <c r="BS1322" s="510"/>
      <c r="BT1322" s="513"/>
      <c r="BU1322" s="514"/>
      <c r="BV1322" s="512"/>
      <c r="BW1322" s="515"/>
    </row>
    <row r="1323" spans="2:75" ht="15.75" customHeight="1">
      <c r="B1323" s="250" t="s">
        <v>1245</v>
      </c>
      <c r="C1323" s="251">
        <v>36436851000129</v>
      </c>
      <c r="D1323" s="252" t="s">
        <v>14</v>
      </c>
      <c r="E1323" s="252" t="s">
        <v>607</v>
      </c>
      <c r="F1323" s="252"/>
      <c r="G1323" s="253"/>
      <c r="H1323" s="253" t="s">
        <v>34</v>
      </c>
      <c r="I1323" s="253" t="s">
        <v>34</v>
      </c>
      <c r="J1323" s="253" t="s">
        <v>608</v>
      </c>
      <c r="K1323" s="254" t="s">
        <v>48</v>
      </c>
      <c r="L1323" s="255"/>
      <c r="M1323" s="255" t="s">
        <v>1414</v>
      </c>
      <c r="N1323" s="254">
        <v>533610</v>
      </c>
      <c r="O1323" s="254" t="s">
        <v>1321</v>
      </c>
      <c r="P1323" s="258">
        <v>43929</v>
      </c>
      <c r="Q1323" s="259">
        <v>220627105.41</v>
      </c>
      <c r="R1323" s="259">
        <v>260316644.41055539</v>
      </c>
      <c r="S1323" s="254">
        <v>90</v>
      </c>
      <c r="T1323" s="256">
        <v>-0.10730273599323037</v>
      </c>
      <c r="U1323" s="256">
        <v>-1.3871234116792923</v>
      </c>
      <c r="V1323" s="256">
        <v>-0.31666873897956604</v>
      </c>
      <c r="W1323" s="256">
        <v>-3.1044124984384762</v>
      </c>
      <c r="X1323" s="256">
        <v>-0.25855861636954303</v>
      </c>
      <c r="Y1323" s="256">
        <v>-1.9606969578306757</v>
      </c>
      <c r="Z1323" s="256" t="s">
        <v>1417</v>
      </c>
      <c r="AA1323" s="256" t="s">
        <v>1417</v>
      </c>
      <c r="AB1323" s="256">
        <v>0.25820950026072309</v>
      </c>
      <c r="AC1323" s="260">
        <v>-1.7211195007607372</v>
      </c>
      <c r="AD1323" s="405">
        <v>0</v>
      </c>
      <c r="AE1323" s="257" t="s">
        <v>2123</v>
      </c>
      <c r="AF1323" s="257" t="s">
        <v>2109</v>
      </c>
      <c r="AG1323" s="261" t="s">
        <v>1432</v>
      </c>
      <c r="AH1323" s="261" t="s">
        <v>2110</v>
      </c>
      <c r="AI1323" s="261">
        <v>0</v>
      </c>
      <c r="AJ1323" s="261">
        <v>0</v>
      </c>
      <c r="AK1323" s="261">
        <v>0</v>
      </c>
      <c r="AL1323" s="256">
        <v>0</v>
      </c>
      <c r="AM1323" s="256" t="s">
        <v>34</v>
      </c>
      <c r="AN1323" s="256" t="s">
        <v>34</v>
      </c>
      <c r="AO1323" s="254" t="s">
        <v>1324</v>
      </c>
      <c r="AP1323" s="257" t="s">
        <v>716</v>
      </c>
      <c r="AQ1323" s="263" t="s">
        <v>659</v>
      </c>
      <c r="AR1323" s="256" t="s">
        <v>34</v>
      </c>
      <c r="AS1323" s="256" t="s">
        <v>34</v>
      </c>
      <c r="AT1323" s="256"/>
      <c r="AX1323" s="508"/>
      <c r="AY1323" s="509"/>
      <c r="AZ1323" s="509"/>
      <c r="BA1323" s="509"/>
      <c r="BB1323" s="510"/>
      <c r="BC1323" s="509"/>
      <c r="BD1323" s="509"/>
      <c r="BE1323" s="509"/>
      <c r="BF1323" s="509"/>
      <c r="BG1323" s="510"/>
      <c r="BH1323" s="510"/>
      <c r="BI1323" s="511"/>
      <c r="BJ1323" s="511"/>
      <c r="BK1323" s="511"/>
      <c r="BL1323" s="510"/>
      <c r="BM1323" s="510"/>
      <c r="BN1323" s="510"/>
      <c r="BO1323" s="510"/>
      <c r="BP1323" s="510"/>
      <c r="BQ1323" s="510"/>
      <c r="BR1323" s="510"/>
      <c r="BS1323" s="510"/>
      <c r="BT1323" s="513"/>
      <c r="BU1323" s="514"/>
      <c r="BV1323" s="512"/>
      <c r="BW1323" s="515"/>
    </row>
    <row r="1324" spans="2:75" ht="15.75" customHeight="1">
      <c r="B1324" s="250" t="s">
        <v>82</v>
      </c>
      <c r="C1324" s="251">
        <v>37227754000199</v>
      </c>
      <c r="D1324" s="252" t="s">
        <v>11</v>
      </c>
      <c r="E1324" s="252" t="s">
        <v>620</v>
      </c>
      <c r="F1324" s="252" t="s">
        <v>663</v>
      </c>
      <c r="G1324" s="253" t="s">
        <v>738</v>
      </c>
      <c r="H1324" s="253" t="s">
        <v>34</v>
      </c>
      <c r="I1324" s="253"/>
      <c r="J1324" s="253" t="s">
        <v>608</v>
      </c>
      <c r="K1324" s="254" t="s">
        <v>48</v>
      </c>
      <c r="L1324" s="255"/>
      <c r="M1324" s="255" t="s">
        <v>34</v>
      </c>
      <c r="N1324" s="254">
        <v>541079</v>
      </c>
      <c r="O1324" s="254" t="s">
        <v>1321</v>
      </c>
      <c r="P1324" s="258">
        <v>44005</v>
      </c>
      <c r="Q1324" s="259">
        <v>21824332.460000001</v>
      </c>
      <c r="R1324" s="259">
        <v>19858885.907420628</v>
      </c>
      <c r="S1324" s="254">
        <v>91</v>
      </c>
      <c r="T1324" s="256">
        <v>8.7548008126171251E-2</v>
      </c>
      <c r="U1324" s="256">
        <v>1.1317501887870092</v>
      </c>
      <c r="V1324" s="256">
        <v>0.11833183021304428</v>
      </c>
      <c r="W1324" s="256">
        <v>1.1600476064048075</v>
      </c>
      <c r="X1324" s="256">
        <v>0.17081986587944042</v>
      </c>
      <c r="Y1324" s="256">
        <v>1.2953580741945661</v>
      </c>
      <c r="Z1324" s="256" t="s">
        <v>1417</v>
      </c>
      <c r="AA1324" s="256" t="s">
        <v>1417</v>
      </c>
      <c r="AB1324" s="256">
        <v>3.0007324527112169E-3</v>
      </c>
      <c r="AC1324" s="260">
        <v>4.9039249685377921</v>
      </c>
      <c r="AD1324" s="405">
        <v>0</v>
      </c>
      <c r="AE1324" s="257" t="s">
        <v>2142</v>
      </c>
      <c r="AF1324" s="257" t="s">
        <v>2109</v>
      </c>
      <c r="AG1324" s="261" t="s">
        <v>1432</v>
      </c>
      <c r="AH1324" s="261" t="s">
        <v>2110</v>
      </c>
      <c r="AI1324" s="261">
        <v>5000</v>
      </c>
      <c r="AJ1324" s="261">
        <v>5000</v>
      </c>
      <c r="AK1324" s="261">
        <v>5000</v>
      </c>
      <c r="AL1324" s="519">
        <v>1.4999999999999999E-2</v>
      </c>
      <c r="AM1324" s="519">
        <v>0.2</v>
      </c>
      <c r="AN1324" s="256" t="s">
        <v>34</v>
      </c>
      <c r="AO1324" s="254" t="s">
        <v>1324</v>
      </c>
      <c r="AP1324" s="257" t="s">
        <v>13</v>
      </c>
      <c r="AQ1324" s="263" t="s">
        <v>668</v>
      </c>
      <c r="AR1324" s="256">
        <v>2.9999999999999996E-3</v>
      </c>
      <c r="AS1324" s="256">
        <v>2.9999999999999996E-3</v>
      </c>
      <c r="AT1324" s="256"/>
      <c r="AX1324" s="508"/>
      <c r="AY1324" s="509"/>
      <c r="AZ1324" s="509"/>
      <c r="BA1324" s="509"/>
      <c r="BB1324" s="510"/>
      <c r="BC1324" s="509"/>
      <c r="BD1324" s="509"/>
      <c r="BE1324" s="509"/>
      <c r="BF1324" s="509"/>
      <c r="BG1324" s="510"/>
      <c r="BH1324" s="510"/>
      <c r="BI1324" s="511"/>
      <c r="BJ1324" s="511"/>
      <c r="BK1324" s="511"/>
      <c r="BL1324" s="510"/>
      <c r="BM1324" s="510"/>
      <c r="BN1324" s="510"/>
      <c r="BO1324" s="510"/>
      <c r="BP1324" s="510"/>
      <c r="BQ1324" s="510"/>
      <c r="BR1324" s="510"/>
      <c r="BS1324" s="510"/>
      <c r="BT1324" s="513"/>
      <c r="BU1324" s="514"/>
      <c r="BV1324" s="512"/>
      <c r="BW1324" s="515"/>
    </row>
    <row r="1325" spans="2:75" ht="15.75" customHeight="1">
      <c r="B1325" s="250" t="s">
        <v>891</v>
      </c>
      <c r="C1325" s="251">
        <v>18623754000163</v>
      </c>
      <c r="D1325" s="252" t="s">
        <v>11</v>
      </c>
      <c r="E1325" s="252" t="s">
        <v>620</v>
      </c>
      <c r="F1325" s="252" t="s">
        <v>663</v>
      </c>
      <c r="G1325" s="253" t="s">
        <v>738</v>
      </c>
      <c r="H1325" s="253" t="s">
        <v>34</v>
      </c>
      <c r="I1325" s="253"/>
      <c r="J1325" s="253" t="s">
        <v>608</v>
      </c>
      <c r="K1325" s="254" t="s">
        <v>48</v>
      </c>
      <c r="L1325" s="255"/>
      <c r="M1325" s="255" t="s">
        <v>34</v>
      </c>
      <c r="N1325" s="254">
        <v>450944</v>
      </c>
      <c r="O1325" s="254" t="s">
        <v>1321</v>
      </c>
      <c r="P1325" s="258">
        <v>43010</v>
      </c>
      <c r="Q1325" s="259">
        <v>8213476.8200000003</v>
      </c>
      <c r="R1325" s="259">
        <v>8988191.784007933</v>
      </c>
      <c r="S1325" s="254">
        <v>91</v>
      </c>
      <c r="T1325" s="256">
        <v>7.9296088067409176E-2</v>
      </c>
      <c r="U1325" s="256">
        <v>1.0250760075663459</v>
      </c>
      <c r="V1325" s="256">
        <v>0.10354255978368831</v>
      </c>
      <c r="W1325" s="256">
        <v>1.015063304791626</v>
      </c>
      <c r="X1325" s="256">
        <v>0.14865146447362765</v>
      </c>
      <c r="Y1325" s="256">
        <v>1.127251059210298</v>
      </c>
      <c r="Z1325" s="256">
        <v>0.19850144639247969</v>
      </c>
      <c r="AA1325" s="256">
        <v>1.1283465731338493</v>
      </c>
      <c r="AB1325" s="256">
        <v>6.5365339550275021E-3</v>
      </c>
      <c r="AC1325" s="260">
        <v>0.21631507183287216</v>
      </c>
      <c r="AD1325" s="405">
        <v>18652141000154</v>
      </c>
      <c r="AE1325" s="257" t="s">
        <v>2195</v>
      </c>
      <c r="AF1325" s="257" t="s">
        <v>2195</v>
      </c>
      <c r="AG1325" s="261" t="s">
        <v>719</v>
      </c>
      <c r="AH1325" s="261" t="s">
        <v>2110</v>
      </c>
      <c r="AI1325" s="261">
        <v>1000</v>
      </c>
      <c r="AJ1325" s="261">
        <v>1000</v>
      </c>
      <c r="AK1325" s="261">
        <v>1000</v>
      </c>
      <c r="AL1325" s="256">
        <v>8.0000000000000002E-3</v>
      </c>
      <c r="AM1325" s="256">
        <v>0.2</v>
      </c>
      <c r="AN1325" s="256" t="s">
        <v>64</v>
      </c>
      <c r="AO1325" s="254" t="s">
        <v>1324</v>
      </c>
      <c r="AP1325" s="257" t="s">
        <v>13</v>
      </c>
      <c r="AQ1325" s="263" t="s">
        <v>686</v>
      </c>
      <c r="AR1325" s="256">
        <v>1.8666666666666664E-3</v>
      </c>
      <c r="AS1325" s="256">
        <v>1.8666666666666664E-3</v>
      </c>
      <c r="AT1325" s="256"/>
      <c r="AX1325" s="508"/>
      <c r="AY1325" s="509"/>
      <c r="AZ1325" s="509"/>
      <c r="BA1325" s="509"/>
      <c r="BB1325" s="510"/>
      <c r="BC1325" s="509"/>
      <c r="BD1325" s="509"/>
      <c r="BE1325" s="509"/>
      <c r="BF1325" s="509"/>
      <c r="BG1325" s="510"/>
      <c r="BH1325" s="510"/>
      <c r="BI1325" s="511"/>
      <c r="BJ1325" s="511"/>
      <c r="BK1325" s="511"/>
      <c r="BL1325" s="510"/>
      <c r="BM1325" s="510"/>
      <c r="BN1325" s="510"/>
      <c r="BO1325" s="510"/>
      <c r="BP1325" s="510"/>
      <c r="BQ1325" s="510"/>
      <c r="BR1325" s="510"/>
      <c r="BS1325" s="510"/>
      <c r="BT1325" s="513"/>
      <c r="BU1325" s="514"/>
      <c r="BV1325" s="512"/>
      <c r="BW1325" s="515"/>
    </row>
    <row r="1326" spans="2:75" ht="15.75" customHeight="1">
      <c r="B1326" s="250" t="s">
        <v>922</v>
      </c>
      <c r="C1326" s="251">
        <v>17251743000137</v>
      </c>
      <c r="D1326" s="252" t="s">
        <v>11</v>
      </c>
      <c r="E1326" s="252" t="s">
        <v>620</v>
      </c>
      <c r="F1326" s="252" t="s">
        <v>663</v>
      </c>
      <c r="G1326" s="253" t="s">
        <v>738</v>
      </c>
      <c r="H1326" s="253" t="s">
        <v>34</v>
      </c>
      <c r="I1326" s="253"/>
      <c r="J1326" s="253" t="s">
        <v>608</v>
      </c>
      <c r="K1326" s="254" t="s">
        <v>48</v>
      </c>
      <c r="L1326" s="255"/>
      <c r="M1326" s="255" t="s">
        <v>34</v>
      </c>
      <c r="N1326" s="254">
        <v>352349</v>
      </c>
      <c r="O1326" s="254" t="s">
        <v>1321</v>
      </c>
      <c r="P1326" s="258">
        <v>41578</v>
      </c>
      <c r="Q1326" s="259">
        <v>761902169.69000006</v>
      </c>
      <c r="R1326" s="259">
        <v>520811833.84849209</v>
      </c>
      <c r="S1326" s="254">
        <v>91</v>
      </c>
      <c r="T1326" s="256">
        <v>9.1296889906417489E-2</v>
      </c>
      <c r="U1326" s="256">
        <v>1.1802127152721267</v>
      </c>
      <c r="V1326" s="256">
        <v>0.12543413009110638</v>
      </c>
      <c r="W1326" s="256">
        <v>1.22967389342058</v>
      </c>
      <c r="X1326" s="256">
        <v>0.17926478169481586</v>
      </c>
      <c r="Y1326" s="256">
        <v>1.3593974049306088</v>
      </c>
      <c r="Z1326" s="256">
        <v>0.2472336633792791</v>
      </c>
      <c r="AA1326" s="256">
        <v>1.4053562928995662</v>
      </c>
      <c r="AB1326" s="256">
        <v>2.1301643595827702E-3</v>
      </c>
      <c r="AC1326" s="260">
        <v>9.880341706763998</v>
      </c>
      <c r="AD1326" s="405">
        <v>0</v>
      </c>
      <c r="AE1326" s="257" t="s">
        <v>2228</v>
      </c>
      <c r="AF1326" s="257" t="s">
        <v>2109</v>
      </c>
      <c r="AG1326" s="261" t="s">
        <v>1432</v>
      </c>
      <c r="AH1326" s="261" t="s">
        <v>2110</v>
      </c>
      <c r="AI1326" s="261">
        <v>1000</v>
      </c>
      <c r="AJ1326" s="261">
        <v>100</v>
      </c>
      <c r="AK1326" s="261">
        <v>1000</v>
      </c>
      <c r="AL1326" s="256">
        <v>8.0000000000000002E-3</v>
      </c>
      <c r="AM1326" s="256">
        <v>0.2</v>
      </c>
      <c r="AN1326" s="256" t="s">
        <v>64</v>
      </c>
      <c r="AO1326" s="254" t="s">
        <v>1324</v>
      </c>
      <c r="AP1326" s="257" t="s">
        <v>13</v>
      </c>
      <c r="AQ1326" s="263" t="s">
        <v>671</v>
      </c>
      <c r="AR1326" s="256">
        <v>2.3466666666666666E-3</v>
      </c>
      <c r="AS1326" s="256">
        <v>2.3466666666666666E-3</v>
      </c>
      <c r="AT1326" s="256"/>
      <c r="AX1326" s="508"/>
      <c r="AY1326" s="509"/>
      <c r="AZ1326" s="509"/>
      <c r="BA1326" s="509"/>
      <c r="BB1326" s="510"/>
      <c r="BC1326" s="509"/>
      <c r="BD1326" s="509"/>
      <c r="BE1326" s="509"/>
      <c r="BF1326" s="509"/>
      <c r="BG1326" s="510"/>
      <c r="BH1326" s="510"/>
      <c r="BI1326" s="511"/>
      <c r="BJ1326" s="511"/>
      <c r="BK1326" s="511"/>
      <c r="BL1326" s="510"/>
      <c r="BM1326" s="510"/>
      <c r="BN1326" s="510"/>
      <c r="BO1326" s="510"/>
      <c r="BP1326" s="510"/>
      <c r="BQ1326" s="510"/>
      <c r="BR1326" s="510"/>
      <c r="BS1326" s="510"/>
      <c r="BT1326" s="513"/>
      <c r="BU1326" s="514"/>
      <c r="BV1326" s="512"/>
      <c r="BW1326" s="515"/>
    </row>
    <row r="1327" spans="2:75" ht="15.75" customHeight="1">
      <c r="B1327" s="250" t="s">
        <v>260</v>
      </c>
      <c r="C1327" s="251">
        <v>32990051000102</v>
      </c>
      <c r="D1327" s="252" t="s">
        <v>11</v>
      </c>
      <c r="E1327" s="252" t="s">
        <v>620</v>
      </c>
      <c r="F1327" s="252" t="s">
        <v>663</v>
      </c>
      <c r="G1327" s="253" t="s">
        <v>738</v>
      </c>
      <c r="H1327" s="253" t="s">
        <v>34</v>
      </c>
      <c r="I1327" s="253"/>
      <c r="J1327" s="253" t="s">
        <v>608</v>
      </c>
      <c r="K1327" s="254" t="s">
        <v>48</v>
      </c>
      <c r="L1327" s="255"/>
      <c r="M1327" s="255" t="s">
        <v>34</v>
      </c>
      <c r="N1327" s="254">
        <v>534536</v>
      </c>
      <c r="O1327" s="254" t="s">
        <v>1321</v>
      </c>
      <c r="P1327" s="258">
        <v>43935</v>
      </c>
      <c r="Q1327" s="259">
        <v>109010666.04000001</v>
      </c>
      <c r="R1327" s="259">
        <v>100183474.77099207</v>
      </c>
      <c r="S1327" s="254">
        <v>91</v>
      </c>
      <c r="T1327" s="256">
        <v>8.681078687384991E-2</v>
      </c>
      <c r="U1327" s="256">
        <v>1.1222199857663986</v>
      </c>
      <c r="V1327" s="256">
        <v>0.11849517471480842</v>
      </c>
      <c r="W1327" s="256">
        <v>1.1616489287028715</v>
      </c>
      <c r="X1327" s="256">
        <v>0.18339000129421135</v>
      </c>
      <c r="Y1327" s="256">
        <v>1.3906796945424857</v>
      </c>
      <c r="Z1327" s="256" t="s">
        <v>1417</v>
      </c>
      <c r="AA1327" s="256" t="s">
        <v>1417</v>
      </c>
      <c r="AB1327" s="256">
        <v>3.7921990229686326E-3</v>
      </c>
      <c r="AC1327" s="260">
        <v>3.9196675880639855</v>
      </c>
      <c r="AD1327" s="405">
        <v>0</v>
      </c>
      <c r="AE1327" s="257" t="s">
        <v>2295</v>
      </c>
      <c r="AF1327" s="257" t="s">
        <v>2112</v>
      </c>
      <c r="AG1327" s="261" t="s">
        <v>59</v>
      </c>
      <c r="AH1327" s="261" t="s">
        <v>2110</v>
      </c>
      <c r="AI1327" s="261">
        <v>100</v>
      </c>
      <c r="AJ1327" s="261" t="s">
        <v>1427</v>
      </c>
      <c r="AK1327" s="261" t="s">
        <v>1427</v>
      </c>
      <c r="AL1327" s="256">
        <v>8.0000000000000002E-3</v>
      </c>
      <c r="AM1327" s="256" t="s">
        <v>34</v>
      </c>
      <c r="AN1327" s="256" t="s">
        <v>64</v>
      </c>
      <c r="AO1327" s="254" t="s">
        <v>1324</v>
      </c>
      <c r="AP1327" s="257" t="s">
        <v>11</v>
      </c>
      <c r="AQ1327" s="263" t="s">
        <v>675</v>
      </c>
      <c r="AR1327" s="256">
        <v>1.92E-3</v>
      </c>
      <c r="AS1327" s="256">
        <v>1.92E-3</v>
      </c>
      <c r="AT1327" s="256"/>
      <c r="AX1327" s="508"/>
      <c r="AY1327" s="509"/>
      <c r="AZ1327" s="509"/>
      <c r="BA1327" s="509"/>
      <c r="BB1327" s="510"/>
      <c r="BC1327" s="509"/>
      <c r="BD1327" s="509"/>
      <c r="BE1327" s="509"/>
      <c r="BF1327" s="509"/>
      <c r="BG1327" s="510"/>
      <c r="BH1327" s="510"/>
      <c r="BI1327" s="511"/>
      <c r="BJ1327" s="511"/>
      <c r="BK1327" s="511"/>
      <c r="BL1327" s="510"/>
      <c r="BM1327" s="510"/>
      <c r="BN1327" s="510"/>
      <c r="BO1327" s="510"/>
      <c r="BP1327" s="510"/>
      <c r="BQ1327" s="510"/>
      <c r="BR1327" s="510"/>
      <c r="BS1327" s="510"/>
      <c r="BT1327" s="513"/>
      <c r="BU1327" s="514"/>
      <c r="BV1327" s="512"/>
      <c r="BW1327" s="515"/>
    </row>
    <row r="1328" spans="2:75" ht="15.75" customHeight="1">
      <c r="B1328" s="250" t="s">
        <v>287</v>
      </c>
      <c r="C1328" s="251">
        <v>37970369000137</v>
      </c>
      <c r="D1328" s="252" t="s">
        <v>11</v>
      </c>
      <c r="E1328" s="252" t="s">
        <v>620</v>
      </c>
      <c r="F1328" s="252" t="s">
        <v>663</v>
      </c>
      <c r="G1328" s="253" t="s">
        <v>738</v>
      </c>
      <c r="H1328" s="253" t="s">
        <v>34</v>
      </c>
      <c r="I1328" s="253" t="s">
        <v>1304</v>
      </c>
      <c r="J1328" s="253" t="s">
        <v>608</v>
      </c>
      <c r="K1328" s="254" t="s">
        <v>48</v>
      </c>
      <c r="L1328" s="255"/>
      <c r="M1328" s="255" t="s">
        <v>34</v>
      </c>
      <c r="N1328" s="254">
        <v>550779</v>
      </c>
      <c r="O1328" s="254" t="s">
        <v>1321</v>
      </c>
      <c r="P1328" s="258">
        <v>44074</v>
      </c>
      <c r="Q1328" s="259">
        <v>96947551.140000001</v>
      </c>
      <c r="R1328" s="259">
        <v>70688066.399960309</v>
      </c>
      <c r="S1328" s="254">
        <v>91</v>
      </c>
      <c r="T1328" s="256">
        <v>0.10240771745558597</v>
      </c>
      <c r="U1328" s="256">
        <v>1.3238445516267485</v>
      </c>
      <c r="V1328" s="256">
        <v>0.14220721502839972</v>
      </c>
      <c r="W1328" s="256">
        <v>1.3941062105621329</v>
      </c>
      <c r="X1328" s="256" t="s">
        <v>1417</v>
      </c>
      <c r="Y1328" s="256" t="s">
        <v>1417</v>
      </c>
      <c r="Z1328" s="256" t="s">
        <v>1417</v>
      </c>
      <c r="AA1328" s="256" t="s">
        <v>1417</v>
      </c>
      <c r="AB1328" s="256">
        <v>1.4116949514718232E-3</v>
      </c>
      <c r="AC1328" s="260">
        <v>25.392559289912995</v>
      </c>
      <c r="AD1328" s="405">
        <v>0</v>
      </c>
      <c r="AE1328" s="257" t="s">
        <v>2311</v>
      </c>
      <c r="AF1328" s="257" t="s">
        <v>2109</v>
      </c>
      <c r="AG1328" s="261" t="s">
        <v>1432</v>
      </c>
      <c r="AH1328" s="261" t="s">
        <v>2110</v>
      </c>
      <c r="AI1328" s="261">
        <v>100</v>
      </c>
      <c r="AJ1328" s="261">
        <v>0</v>
      </c>
      <c r="AK1328" s="261">
        <v>0</v>
      </c>
      <c r="AL1328" s="256">
        <v>5.0000000000000001E-3</v>
      </c>
      <c r="AM1328" s="256">
        <v>0.2</v>
      </c>
      <c r="AN1328" s="256" t="s">
        <v>34</v>
      </c>
      <c r="AO1328" s="254" t="s">
        <v>1324</v>
      </c>
      <c r="AP1328" s="257" t="s">
        <v>13</v>
      </c>
      <c r="AQ1328" s="263" t="s">
        <v>668</v>
      </c>
      <c r="AR1328" s="256">
        <v>3.3334999999999997E-3</v>
      </c>
      <c r="AS1328" s="256">
        <v>3.3334999999999997E-3</v>
      </c>
      <c r="AT1328" s="256"/>
      <c r="AX1328" s="508"/>
      <c r="AY1328" s="509"/>
      <c r="AZ1328" s="509"/>
      <c r="BA1328" s="509"/>
      <c r="BB1328" s="510"/>
      <c r="BC1328" s="509"/>
      <c r="BD1328" s="509"/>
      <c r="BE1328" s="509"/>
      <c r="BF1328" s="509"/>
      <c r="BG1328" s="510"/>
      <c r="BH1328" s="510"/>
      <c r="BI1328" s="511"/>
      <c r="BJ1328" s="511"/>
      <c r="BK1328" s="511"/>
      <c r="BL1328" s="510"/>
      <c r="BM1328" s="510"/>
      <c r="BN1328" s="510"/>
      <c r="BO1328" s="510"/>
      <c r="BP1328" s="510"/>
      <c r="BQ1328" s="510"/>
      <c r="BR1328" s="510"/>
      <c r="BS1328" s="510"/>
      <c r="BT1328" s="513"/>
      <c r="BU1328" s="514"/>
      <c r="BV1328" s="512"/>
      <c r="BW1328" s="515"/>
    </row>
    <row r="1329" spans="2:75" ht="15.75" customHeight="1">
      <c r="B1329" s="250" t="s">
        <v>768</v>
      </c>
      <c r="C1329" s="251">
        <v>20441301000168</v>
      </c>
      <c r="D1329" s="252" t="s">
        <v>11</v>
      </c>
      <c r="E1329" s="252" t="s">
        <v>620</v>
      </c>
      <c r="F1329" s="252" t="s">
        <v>685</v>
      </c>
      <c r="G1329" s="253" t="s">
        <v>738</v>
      </c>
      <c r="H1329" s="253" t="s">
        <v>34</v>
      </c>
      <c r="I1329" s="253" t="s">
        <v>1319</v>
      </c>
      <c r="J1329" s="253" t="s">
        <v>608</v>
      </c>
      <c r="K1329" s="254" t="s">
        <v>48</v>
      </c>
      <c r="L1329" s="255"/>
      <c r="M1329" s="255" t="s">
        <v>34</v>
      </c>
      <c r="N1329" s="254">
        <v>371688</v>
      </c>
      <c r="O1329" s="254" t="s">
        <v>1321</v>
      </c>
      <c r="P1329" s="258">
        <v>41838</v>
      </c>
      <c r="Q1329" s="259">
        <v>682515998.00999999</v>
      </c>
      <c r="R1329" s="259">
        <v>486807081.08726203</v>
      </c>
      <c r="S1329" s="254">
        <v>91</v>
      </c>
      <c r="T1329" s="256">
        <v>9.4738038684430537E-2</v>
      </c>
      <c r="U1329" s="256">
        <v>1.2246971171736274</v>
      </c>
      <c r="V1329" s="256">
        <v>0.13259015115175954</v>
      </c>
      <c r="W1329" s="256">
        <v>1.2998268276551592</v>
      </c>
      <c r="X1329" s="256">
        <v>0.2105723245245299</v>
      </c>
      <c r="Y1329" s="256">
        <v>1.5968081895537769</v>
      </c>
      <c r="Z1329" s="256">
        <v>0.29166430752908945</v>
      </c>
      <c r="AA1329" s="256">
        <v>1.6579144781404136</v>
      </c>
      <c r="AB1329" s="256">
        <v>1.3041254198817257E-3</v>
      </c>
      <c r="AC1329" s="260">
        <v>21.000063536027646</v>
      </c>
      <c r="AD1329" s="405">
        <v>30576260000170</v>
      </c>
      <c r="AE1329" s="257" t="s">
        <v>2150</v>
      </c>
      <c r="AF1329" s="257" t="s">
        <v>761</v>
      </c>
      <c r="AG1329" s="261" t="s">
        <v>1434</v>
      </c>
      <c r="AH1329" s="261" t="s">
        <v>2110</v>
      </c>
      <c r="AI1329" s="261">
        <v>25000</v>
      </c>
      <c r="AJ1329" s="261">
        <v>5000</v>
      </c>
      <c r="AK1329" s="261">
        <v>5000</v>
      </c>
      <c r="AL1329" s="519">
        <v>0.02</v>
      </c>
      <c r="AM1329" s="519">
        <v>0.2</v>
      </c>
      <c r="AN1329" s="256" t="s">
        <v>64</v>
      </c>
      <c r="AO1329" s="254" t="s">
        <v>1324</v>
      </c>
      <c r="AP1329" s="257" t="s">
        <v>13</v>
      </c>
      <c r="AQ1329" s="263" t="s">
        <v>668</v>
      </c>
      <c r="AR1329" s="256">
        <v>6.6666666666666662E-3</v>
      </c>
      <c r="AS1329" s="256">
        <v>6.6666666666666662E-3</v>
      </c>
      <c r="AT1329" s="256"/>
      <c r="AX1329" s="508"/>
      <c r="AY1329" s="509"/>
      <c r="AZ1329" s="509"/>
      <c r="BA1329" s="509"/>
      <c r="BB1329" s="510"/>
      <c r="BC1329" s="509"/>
      <c r="BD1329" s="509"/>
      <c r="BE1329" s="509"/>
      <c r="BF1329" s="509"/>
      <c r="BG1329" s="510"/>
      <c r="BH1329" s="510"/>
      <c r="BI1329" s="511"/>
      <c r="BJ1329" s="511"/>
      <c r="BK1329" s="511"/>
      <c r="BL1329" s="510"/>
      <c r="BM1329" s="510"/>
      <c r="BN1329" s="510"/>
      <c r="BO1329" s="510"/>
      <c r="BP1329" s="510"/>
      <c r="BQ1329" s="510"/>
      <c r="BR1329" s="510"/>
      <c r="BS1329" s="510"/>
      <c r="BT1329" s="513"/>
      <c r="BU1329" s="514"/>
      <c r="BV1329" s="512"/>
      <c r="BW1329" s="515"/>
    </row>
    <row r="1330" spans="2:75" ht="15.75" customHeight="1">
      <c r="B1330" s="250" t="s">
        <v>139</v>
      </c>
      <c r="C1330" s="251">
        <v>35726300000137</v>
      </c>
      <c r="D1330" s="252" t="s">
        <v>11</v>
      </c>
      <c r="E1330" s="252" t="s">
        <v>620</v>
      </c>
      <c r="F1330" s="252" t="s">
        <v>685</v>
      </c>
      <c r="G1330" s="253" t="s">
        <v>738</v>
      </c>
      <c r="H1330" s="253" t="s">
        <v>34</v>
      </c>
      <c r="I1330" s="253" t="s">
        <v>1319</v>
      </c>
      <c r="J1330" s="253" t="s">
        <v>608</v>
      </c>
      <c r="K1330" s="254" t="s">
        <v>48</v>
      </c>
      <c r="L1330" s="255"/>
      <c r="M1330" s="255" t="s">
        <v>34</v>
      </c>
      <c r="N1330" s="254">
        <v>534331</v>
      </c>
      <c r="O1330" s="254" t="s">
        <v>1321</v>
      </c>
      <c r="P1330" s="258">
        <v>43873</v>
      </c>
      <c r="Q1330" s="259">
        <v>398869779.70999998</v>
      </c>
      <c r="R1330" s="259">
        <v>223576061.10801584</v>
      </c>
      <c r="S1330" s="254">
        <v>91</v>
      </c>
      <c r="T1330" s="256">
        <v>9.8781349384104544E-2</v>
      </c>
      <c r="U1330" s="256">
        <v>1.276965783767227</v>
      </c>
      <c r="V1330" s="256">
        <v>0.13678814568235165</v>
      </c>
      <c r="W1330" s="256">
        <v>1.340981211037434</v>
      </c>
      <c r="X1330" s="256">
        <v>0.20447017912382659</v>
      </c>
      <c r="Y1330" s="256">
        <v>1.5505345124611547</v>
      </c>
      <c r="Z1330" s="256" t="s">
        <v>1417</v>
      </c>
      <c r="AA1330" s="256" t="s">
        <v>1417</v>
      </c>
      <c r="AB1330" s="256">
        <v>1.3876945531213756E-3</v>
      </c>
      <c r="AC1330" s="260">
        <v>22.402894941148126</v>
      </c>
      <c r="AD1330" s="405">
        <v>0</v>
      </c>
      <c r="AE1330" s="257" t="s">
        <v>2185</v>
      </c>
      <c r="AF1330" s="257" t="s">
        <v>2109</v>
      </c>
      <c r="AG1330" s="261" t="s">
        <v>1432</v>
      </c>
      <c r="AH1330" s="261" t="s">
        <v>2110</v>
      </c>
      <c r="AI1330" s="261">
        <v>1000</v>
      </c>
      <c r="AJ1330" s="261">
        <v>1000</v>
      </c>
      <c r="AK1330" s="261">
        <v>1000</v>
      </c>
      <c r="AL1330" s="256">
        <v>9.0000000000000011E-3</v>
      </c>
      <c r="AM1330" s="256" t="s">
        <v>34</v>
      </c>
      <c r="AN1330" s="256" t="s">
        <v>64</v>
      </c>
      <c r="AO1330" s="254" t="s">
        <v>1324</v>
      </c>
      <c r="AP1330" s="257" t="s">
        <v>13</v>
      </c>
      <c r="AQ1330" s="263" t="s">
        <v>686</v>
      </c>
      <c r="AR1330" s="256">
        <v>1.4999999999999998E-3</v>
      </c>
      <c r="AS1330" s="256">
        <v>1.4999999999999998E-3</v>
      </c>
      <c r="AT1330" s="256"/>
      <c r="AX1330" s="508"/>
      <c r="AY1330" s="509"/>
      <c r="AZ1330" s="509"/>
      <c r="BA1330" s="509"/>
      <c r="BB1330" s="510"/>
      <c r="BC1330" s="509"/>
      <c r="BD1330" s="509"/>
      <c r="BE1330" s="509"/>
      <c r="BF1330" s="509"/>
      <c r="BG1330" s="510"/>
      <c r="BH1330" s="510"/>
      <c r="BI1330" s="511"/>
      <c r="BJ1330" s="511"/>
      <c r="BK1330" s="511"/>
      <c r="BL1330" s="510"/>
      <c r="BM1330" s="510"/>
      <c r="BN1330" s="510"/>
      <c r="BO1330" s="510"/>
      <c r="BP1330" s="510"/>
      <c r="BQ1330" s="510"/>
      <c r="BR1330" s="510"/>
      <c r="BS1330" s="510"/>
      <c r="BT1330" s="513"/>
      <c r="BU1330" s="514"/>
      <c r="BV1330" s="512"/>
      <c r="BW1330" s="515"/>
    </row>
    <row r="1331" spans="2:75" ht="15.75" customHeight="1">
      <c r="B1331" s="250" t="s">
        <v>846</v>
      </c>
      <c r="C1331" s="251">
        <v>37287717000176</v>
      </c>
      <c r="D1331" s="252" t="s">
        <v>11</v>
      </c>
      <c r="E1331" s="252" t="s">
        <v>620</v>
      </c>
      <c r="F1331" s="252" t="s">
        <v>685</v>
      </c>
      <c r="G1331" s="253" t="s">
        <v>738</v>
      </c>
      <c r="H1331" s="253" t="s">
        <v>34</v>
      </c>
      <c r="I1331" s="253" t="s">
        <v>1319</v>
      </c>
      <c r="J1331" s="253" t="s">
        <v>608</v>
      </c>
      <c r="K1331" s="254" t="s">
        <v>48</v>
      </c>
      <c r="L1331" s="255"/>
      <c r="M1331" s="255" t="s">
        <v>34</v>
      </c>
      <c r="N1331" s="254">
        <v>543128</v>
      </c>
      <c r="O1331" s="254" t="s">
        <v>1321</v>
      </c>
      <c r="P1331" s="258">
        <v>44015</v>
      </c>
      <c r="Q1331" s="259">
        <v>50422330.060000002</v>
      </c>
      <c r="R1331" s="259">
        <v>32887528.973412707</v>
      </c>
      <c r="S1331" s="254">
        <v>91</v>
      </c>
      <c r="T1331" s="256">
        <v>9.287000098016418E-2</v>
      </c>
      <c r="U1331" s="256">
        <v>1.2005486291644216</v>
      </c>
      <c r="V1331" s="256">
        <v>0.12980041858540381</v>
      </c>
      <c r="W1331" s="256">
        <v>1.272478120377633</v>
      </c>
      <c r="X1331" s="256">
        <v>0.1858553264712548</v>
      </c>
      <c r="Y1331" s="256">
        <v>1.4093747032123336</v>
      </c>
      <c r="Z1331" s="256" t="s">
        <v>1417</v>
      </c>
      <c r="AA1331" s="256" t="s">
        <v>1417</v>
      </c>
      <c r="AB1331" s="256">
        <v>4.3972634356422733E-3</v>
      </c>
      <c r="AC1331" s="260">
        <v>5.6690047177599112</v>
      </c>
      <c r="AD1331" s="405">
        <v>0</v>
      </c>
      <c r="AE1331" s="257" t="s">
        <v>2144</v>
      </c>
      <c r="AF1331" s="257" t="s">
        <v>2109</v>
      </c>
      <c r="AG1331" s="261" t="s">
        <v>1432</v>
      </c>
      <c r="AH1331" s="261" t="s">
        <v>2110</v>
      </c>
      <c r="AI1331" s="261">
        <v>5000</v>
      </c>
      <c r="AJ1331" s="261">
        <v>1000</v>
      </c>
      <c r="AK1331" s="261">
        <v>1000</v>
      </c>
      <c r="AL1331" s="256">
        <v>0.01</v>
      </c>
      <c r="AM1331" s="256">
        <v>0.2</v>
      </c>
      <c r="AN1331" s="256" t="s">
        <v>64</v>
      </c>
      <c r="AO1331" s="254" t="s">
        <v>1324</v>
      </c>
      <c r="AP1331" s="257" t="s">
        <v>13</v>
      </c>
      <c r="AQ1331" s="263" t="s">
        <v>671</v>
      </c>
      <c r="AR1331" s="256">
        <v>3.4999999999999996E-3</v>
      </c>
      <c r="AS1331" s="256">
        <v>3.4999999999999996E-3</v>
      </c>
      <c r="AT1331" s="256"/>
      <c r="AX1331" s="508"/>
      <c r="AY1331" s="509"/>
      <c r="AZ1331" s="509"/>
      <c r="BA1331" s="509"/>
      <c r="BB1331" s="510"/>
      <c r="BC1331" s="509"/>
      <c r="BD1331" s="509"/>
      <c r="BE1331" s="509"/>
      <c r="BF1331" s="509"/>
      <c r="BG1331" s="510"/>
      <c r="BH1331" s="510"/>
      <c r="BI1331" s="511"/>
      <c r="BJ1331" s="511"/>
      <c r="BK1331" s="511"/>
      <c r="BL1331" s="510"/>
      <c r="BM1331" s="510"/>
      <c r="BN1331" s="510"/>
      <c r="BO1331" s="510"/>
      <c r="BP1331" s="510"/>
      <c r="BQ1331" s="510"/>
      <c r="BR1331" s="510"/>
      <c r="BS1331" s="510"/>
      <c r="BT1331" s="513"/>
      <c r="BU1331" s="514"/>
      <c r="BV1331" s="512"/>
      <c r="BW1331" s="515"/>
    </row>
    <row r="1332" spans="2:75" ht="15.75" customHeight="1">
      <c r="B1332" s="250" t="s">
        <v>198</v>
      </c>
      <c r="C1332" s="251">
        <v>38065069000176</v>
      </c>
      <c r="D1332" s="252" t="s">
        <v>11</v>
      </c>
      <c r="E1332" s="252" t="s">
        <v>620</v>
      </c>
      <c r="F1332" s="252" t="s">
        <v>685</v>
      </c>
      <c r="G1332" s="253" t="s">
        <v>738</v>
      </c>
      <c r="H1332" s="253" t="s">
        <v>34</v>
      </c>
      <c r="I1332" s="253" t="s">
        <v>1319</v>
      </c>
      <c r="J1332" s="253" t="s">
        <v>608</v>
      </c>
      <c r="K1332" s="254" t="s">
        <v>48</v>
      </c>
      <c r="L1332" s="255"/>
      <c r="M1332" s="255" t="s">
        <v>34</v>
      </c>
      <c r="N1332" s="254">
        <v>560081</v>
      </c>
      <c r="O1332" s="254" t="s">
        <v>1321</v>
      </c>
      <c r="P1332" s="258">
        <v>44147</v>
      </c>
      <c r="Q1332" s="259">
        <v>20687276.489999998</v>
      </c>
      <c r="R1332" s="259">
        <v>8917759.7807936464</v>
      </c>
      <c r="S1332" s="254">
        <v>91</v>
      </c>
      <c r="T1332" s="256">
        <v>0.10007068392674823</v>
      </c>
      <c r="U1332" s="256">
        <v>1.2936332630540617</v>
      </c>
      <c r="V1332" s="256">
        <v>0.13579961172804644</v>
      </c>
      <c r="W1332" s="256">
        <v>1.3312902728893714</v>
      </c>
      <c r="X1332" s="256" t="s">
        <v>1417</v>
      </c>
      <c r="Y1332" s="256" t="s">
        <v>1417</v>
      </c>
      <c r="Z1332" s="256" t="s">
        <v>1417</v>
      </c>
      <c r="AA1332" s="256" t="s">
        <v>1417</v>
      </c>
      <c r="AB1332" s="256">
        <v>4.161887552523111E-3</v>
      </c>
      <c r="AC1332" s="260">
        <v>7.262480896293483</v>
      </c>
      <c r="AD1332" s="405">
        <v>0</v>
      </c>
      <c r="AE1332" s="257" t="s">
        <v>2236</v>
      </c>
      <c r="AF1332" s="257" t="s">
        <v>2109</v>
      </c>
      <c r="AG1332" s="261" t="s">
        <v>1432</v>
      </c>
      <c r="AH1332" s="261" t="s">
        <v>2110</v>
      </c>
      <c r="AI1332" s="261">
        <v>5000</v>
      </c>
      <c r="AJ1332" s="261">
        <v>1000</v>
      </c>
      <c r="AK1332" s="261">
        <v>1000</v>
      </c>
      <c r="AL1332" s="256">
        <v>0.01</v>
      </c>
      <c r="AM1332" s="256" t="s">
        <v>34</v>
      </c>
      <c r="AN1332" s="256" t="s">
        <v>34</v>
      </c>
      <c r="AO1332" s="254" t="s">
        <v>1324</v>
      </c>
      <c r="AP1332" s="257" t="s">
        <v>13</v>
      </c>
      <c r="AQ1332" s="263" t="s">
        <v>668</v>
      </c>
      <c r="AR1332" s="256">
        <v>3.3333333333333331E-3</v>
      </c>
      <c r="AS1332" s="256">
        <v>3.3333333333333331E-3</v>
      </c>
      <c r="AT1332" s="256"/>
      <c r="AX1332" s="508"/>
      <c r="AY1332" s="509"/>
      <c r="AZ1332" s="509"/>
      <c r="BA1332" s="509"/>
      <c r="BB1332" s="510"/>
      <c r="BC1332" s="509"/>
      <c r="BD1332" s="509"/>
      <c r="BE1332" s="509"/>
      <c r="BF1332" s="509"/>
      <c r="BG1332" s="510"/>
      <c r="BH1332" s="510"/>
      <c r="BI1332" s="511"/>
      <c r="BJ1332" s="511"/>
      <c r="BK1332" s="511"/>
      <c r="BL1332" s="510"/>
      <c r="BM1332" s="510"/>
      <c r="BN1332" s="510"/>
      <c r="BO1332" s="510"/>
      <c r="BP1332" s="510"/>
      <c r="BQ1332" s="510"/>
      <c r="BR1332" s="510"/>
      <c r="BS1332" s="510"/>
      <c r="BT1332" s="513"/>
      <c r="BU1332" s="514"/>
      <c r="BV1332" s="512"/>
      <c r="BW1332" s="515"/>
    </row>
    <row r="1333" spans="2:75" ht="15.75" customHeight="1">
      <c r="B1333" s="250" t="s">
        <v>948</v>
      </c>
      <c r="C1333" s="251">
        <v>36729755000179</v>
      </c>
      <c r="D1333" s="252" t="s">
        <v>11</v>
      </c>
      <c r="E1333" s="252" t="s">
        <v>620</v>
      </c>
      <c r="F1333" s="252" t="s">
        <v>685</v>
      </c>
      <c r="G1333" s="253" t="s">
        <v>738</v>
      </c>
      <c r="H1333" s="253" t="s">
        <v>34</v>
      </c>
      <c r="I1333" s="253" t="s">
        <v>1319</v>
      </c>
      <c r="J1333" s="253" t="s">
        <v>608</v>
      </c>
      <c r="K1333" s="254" t="s">
        <v>48</v>
      </c>
      <c r="L1333" s="255"/>
      <c r="M1333" s="255" t="s">
        <v>34</v>
      </c>
      <c r="N1333" s="254">
        <v>555061</v>
      </c>
      <c r="O1333" s="254" t="s">
        <v>1321</v>
      </c>
      <c r="P1333" s="258">
        <v>44105</v>
      </c>
      <c r="Q1333" s="259">
        <v>140500033.11000001</v>
      </c>
      <c r="R1333" s="259">
        <v>58979814.045238107</v>
      </c>
      <c r="S1333" s="254">
        <v>91</v>
      </c>
      <c r="T1333" s="256">
        <v>0.10813818361352623</v>
      </c>
      <c r="U1333" s="256">
        <v>1.3979234061306662</v>
      </c>
      <c r="V1333" s="256">
        <v>0.15121438651243513</v>
      </c>
      <c r="W1333" s="256">
        <v>1.4824066087028616</v>
      </c>
      <c r="X1333" s="256" t="s">
        <v>1417</v>
      </c>
      <c r="Y1333" s="256" t="s">
        <v>1417</v>
      </c>
      <c r="Z1333" s="256" t="s">
        <v>1417</v>
      </c>
      <c r="AA1333" s="256" t="s">
        <v>1417</v>
      </c>
      <c r="AB1333" s="256">
        <v>6.8544170592602597E-3</v>
      </c>
      <c r="AC1333" s="260">
        <v>6.379540490896269</v>
      </c>
      <c r="AD1333" s="405">
        <v>0</v>
      </c>
      <c r="AE1333" s="257" t="s">
        <v>2178</v>
      </c>
      <c r="AF1333" s="257" t="s">
        <v>2109</v>
      </c>
      <c r="AG1333" s="261" t="s">
        <v>1432</v>
      </c>
      <c r="AH1333" s="261" t="s">
        <v>2110</v>
      </c>
      <c r="AI1333" s="261">
        <v>1000</v>
      </c>
      <c r="AJ1333" s="261">
        <v>1000</v>
      </c>
      <c r="AK1333" s="261">
        <v>1000</v>
      </c>
      <c r="AL1333" s="256">
        <v>9.0000000000000011E-3</v>
      </c>
      <c r="AM1333" s="256">
        <v>0.2</v>
      </c>
      <c r="AN1333" s="256" t="s">
        <v>34</v>
      </c>
      <c r="AO1333" s="254" t="s">
        <v>1324</v>
      </c>
      <c r="AP1333" s="257" t="s">
        <v>13</v>
      </c>
      <c r="AQ1333" s="263" t="s">
        <v>668</v>
      </c>
      <c r="AR1333" s="256">
        <v>4.0000000000000001E-3</v>
      </c>
      <c r="AS1333" s="256">
        <v>4.0000000000000001E-3</v>
      </c>
      <c r="AT1333" s="256"/>
      <c r="AX1333" s="508"/>
      <c r="AY1333" s="509"/>
      <c r="AZ1333" s="509"/>
      <c r="BA1333" s="509"/>
      <c r="BB1333" s="510"/>
      <c r="BC1333" s="509"/>
      <c r="BD1333" s="509"/>
      <c r="BE1333" s="509"/>
      <c r="BF1333" s="509"/>
      <c r="BG1333" s="510"/>
      <c r="BH1333" s="510"/>
      <c r="BI1333" s="511"/>
      <c r="BJ1333" s="511"/>
      <c r="BK1333" s="511"/>
      <c r="BL1333" s="510"/>
      <c r="BM1333" s="510"/>
      <c r="BN1333" s="510"/>
      <c r="BO1333" s="510"/>
      <c r="BP1333" s="510"/>
      <c r="BQ1333" s="510"/>
      <c r="BR1333" s="510"/>
      <c r="BS1333" s="510"/>
      <c r="BT1333" s="513"/>
      <c r="BU1333" s="514"/>
      <c r="BV1333" s="512"/>
      <c r="BW1333" s="515"/>
    </row>
    <row r="1334" spans="2:75" ht="15.75" customHeight="1">
      <c r="B1334" s="250" t="s">
        <v>1037</v>
      </c>
      <c r="C1334" s="251">
        <v>28903657000188</v>
      </c>
      <c r="D1334" s="252" t="s">
        <v>11</v>
      </c>
      <c r="E1334" s="252" t="s">
        <v>620</v>
      </c>
      <c r="F1334" s="252" t="s">
        <v>685</v>
      </c>
      <c r="G1334" s="253" t="s">
        <v>738</v>
      </c>
      <c r="H1334" s="253" t="s">
        <v>34</v>
      </c>
      <c r="I1334" s="253" t="s">
        <v>1319</v>
      </c>
      <c r="J1334" s="253" t="s">
        <v>608</v>
      </c>
      <c r="K1334" s="254" t="s">
        <v>48</v>
      </c>
      <c r="L1334" s="255"/>
      <c r="M1334" s="255" t="s">
        <v>34</v>
      </c>
      <c r="N1334" s="254">
        <v>452599</v>
      </c>
      <c r="O1334" s="254" t="s">
        <v>1321</v>
      </c>
      <c r="P1334" s="258">
        <v>43042</v>
      </c>
      <c r="Q1334" s="259">
        <v>197016133.44</v>
      </c>
      <c r="R1334" s="259">
        <v>151296367.33646828</v>
      </c>
      <c r="S1334" s="254">
        <v>91</v>
      </c>
      <c r="T1334" s="256">
        <v>9.6887938004802443E-2</v>
      </c>
      <c r="U1334" s="256">
        <v>1.2524892853083653</v>
      </c>
      <c r="V1334" s="256">
        <v>0.13415416591668139</v>
      </c>
      <c r="W1334" s="256">
        <v>1.3151594020027617</v>
      </c>
      <c r="X1334" s="256">
        <v>0.20497209486916912</v>
      </c>
      <c r="Y1334" s="256">
        <v>1.5543406307363774</v>
      </c>
      <c r="Z1334" s="256">
        <v>0.28829321290129872</v>
      </c>
      <c r="AA1334" s="256">
        <v>1.6387520834067413</v>
      </c>
      <c r="AB1334" s="256">
        <v>1.3635364242577793E-3</v>
      </c>
      <c r="AC1334" s="260">
        <v>21.097674254454862</v>
      </c>
      <c r="AD1334" s="405">
        <v>0</v>
      </c>
      <c r="AE1334" s="257" t="s">
        <v>2299</v>
      </c>
      <c r="AF1334" s="257" t="s">
        <v>761</v>
      </c>
      <c r="AG1334" s="261" t="s">
        <v>719</v>
      </c>
      <c r="AH1334" s="261" t="s">
        <v>2110</v>
      </c>
      <c r="AI1334" s="261">
        <v>10000</v>
      </c>
      <c r="AJ1334" s="261" t="s">
        <v>1427</v>
      </c>
      <c r="AK1334" s="261" t="s">
        <v>1427</v>
      </c>
      <c r="AL1334" s="256">
        <v>0.02</v>
      </c>
      <c r="AM1334" s="256">
        <v>0.2</v>
      </c>
      <c r="AN1334" s="256" t="s">
        <v>64</v>
      </c>
      <c r="AO1334" s="254" t="s">
        <v>1324</v>
      </c>
      <c r="AP1334" s="257" t="s">
        <v>13</v>
      </c>
      <c r="AQ1334" s="263" t="s">
        <v>668</v>
      </c>
      <c r="AR1334" s="256">
        <v>6.6666666666666662E-3</v>
      </c>
      <c r="AS1334" s="256">
        <v>6.6666666666666662E-3</v>
      </c>
      <c r="AT1334" s="256"/>
      <c r="AX1334" s="508"/>
      <c r="AY1334" s="509"/>
      <c r="AZ1334" s="509"/>
      <c r="BA1334" s="509"/>
      <c r="BB1334" s="510"/>
      <c r="BC1334" s="509"/>
      <c r="BD1334" s="509"/>
      <c r="BE1334" s="509"/>
      <c r="BF1334" s="509"/>
      <c r="BG1334" s="510"/>
      <c r="BH1334" s="510"/>
      <c r="BI1334" s="511"/>
      <c r="BJ1334" s="511"/>
      <c r="BK1334" s="511"/>
      <c r="BL1334" s="510"/>
      <c r="BM1334" s="510"/>
      <c r="BN1334" s="510"/>
      <c r="BO1334" s="510"/>
      <c r="BP1334" s="510"/>
      <c r="BQ1334" s="510"/>
      <c r="BR1334" s="510"/>
      <c r="BS1334" s="510"/>
      <c r="BT1334" s="513"/>
      <c r="BU1334" s="514"/>
      <c r="BV1334" s="512"/>
      <c r="BW1334" s="515"/>
    </row>
    <row r="1335" spans="2:75" ht="15.75" customHeight="1">
      <c r="B1335" s="250" t="s">
        <v>280</v>
      </c>
      <c r="C1335" s="251">
        <v>26841302000186</v>
      </c>
      <c r="D1335" s="252" t="s">
        <v>11</v>
      </c>
      <c r="E1335" s="252" t="s">
        <v>620</v>
      </c>
      <c r="F1335" s="252" t="s">
        <v>685</v>
      </c>
      <c r="G1335" s="253" t="s">
        <v>738</v>
      </c>
      <c r="H1335" s="253" t="s">
        <v>34</v>
      </c>
      <c r="I1335" s="253" t="s">
        <v>1319</v>
      </c>
      <c r="J1335" s="253" t="s">
        <v>608</v>
      </c>
      <c r="K1335" s="254" t="s">
        <v>48</v>
      </c>
      <c r="L1335" s="255"/>
      <c r="M1335" s="255" t="s">
        <v>34</v>
      </c>
      <c r="N1335" s="254">
        <v>446701</v>
      </c>
      <c r="O1335" s="254" t="s">
        <v>1321</v>
      </c>
      <c r="P1335" s="258">
        <v>42927</v>
      </c>
      <c r="Q1335" s="259">
        <v>251966648.78</v>
      </c>
      <c r="R1335" s="259">
        <v>132766470.7224603</v>
      </c>
      <c r="S1335" s="254">
        <v>91</v>
      </c>
      <c r="T1335" s="256">
        <v>0.10235850682570824</v>
      </c>
      <c r="U1335" s="256">
        <v>1.3232083962093211</v>
      </c>
      <c r="V1335" s="256">
        <v>0.14063564792668193</v>
      </c>
      <c r="W1335" s="256">
        <v>1.3786995980609151</v>
      </c>
      <c r="X1335" s="256">
        <v>0.20628573666389816</v>
      </c>
      <c r="Y1335" s="256">
        <v>1.5643022151026984</v>
      </c>
      <c r="Z1335" s="256">
        <v>0.27100186712140717</v>
      </c>
      <c r="AA1335" s="256">
        <v>1.5404624683424943</v>
      </c>
      <c r="AB1335" s="256">
        <v>1.5574822873405528E-3</v>
      </c>
      <c r="AC1335" s="260">
        <v>22.131352327831799</v>
      </c>
      <c r="AD1335" s="405">
        <v>0</v>
      </c>
      <c r="AE1335" s="257" t="s">
        <v>2314</v>
      </c>
      <c r="AF1335" s="257" t="s">
        <v>2109</v>
      </c>
      <c r="AG1335" s="261" t="s">
        <v>1432</v>
      </c>
      <c r="AH1335" s="261" t="s">
        <v>2110</v>
      </c>
      <c r="AI1335" s="261">
        <v>10000</v>
      </c>
      <c r="AJ1335" s="261">
        <v>1000</v>
      </c>
      <c r="AK1335" s="261">
        <v>10000</v>
      </c>
      <c r="AL1335" s="256">
        <v>9.7000000000000003E-3</v>
      </c>
      <c r="AM1335" s="256" t="s">
        <v>34</v>
      </c>
      <c r="AN1335" s="256" t="s">
        <v>2127</v>
      </c>
      <c r="AO1335" s="254" t="s">
        <v>1324</v>
      </c>
      <c r="AP1335" s="257" t="s">
        <v>13</v>
      </c>
      <c r="AQ1335" s="263" t="s">
        <v>668</v>
      </c>
      <c r="AR1335" s="256">
        <v>3.2333333333333333E-3</v>
      </c>
      <c r="AS1335" s="256">
        <v>3.2333333333333333E-3</v>
      </c>
      <c r="AT1335" s="256"/>
      <c r="AX1335" s="508"/>
      <c r="AY1335" s="509"/>
      <c r="AZ1335" s="509"/>
      <c r="BA1335" s="509"/>
      <c r="BB1335" s="510"/>
      <c r="BC1335" s="509"/>
      <c r="BD1335" s="509"/>
      <c r="BE1335" s="509"/>
      <c r="BF1335" s="509"/>
      <c r="BG1335" s="510"/>
      <c r="BH1335" s="510"/>
      <c r="BI1335" s="511"/>
      <c r="BJ1335" s="511"/>
      <c r="BK1335" s="511"/>
      <c r="BL1335" s="510"/>
      <c r="BM1335" s="510"/>
      <c r="BN1335" s="510"/>
      <c r="BO1335" s="510"/>
      <c r="BP1335" s="510"/>
      <c r="BQ1335" s="510"/>
      <c r="BR1335" s="510"/>
      <c r="BS1335" s="510"/>
      <c r="BT1335" s="513"/>
      <c r="BU1335" s="514"/>
      <c r="BV1335" s="512"/>
      <c r="BW1335" s="515"/>
    </row>
    <row r="1336" spans="2:75" ht="15.75" customHeight="1">
      <c r="B1336" s="250" t="s">
        <v>521</v>
      </c>
      <c r="C1336" s="251">
        <v>39806561000118</v>
      </c>
      <c r="D1336" s="252" t="s">
        <v>11</v>
      </c>
      <c r="E1336" s="252" t="s">
        <v>620</v>
      </c>
      <c r="F1336" s="252" t="s">
        <v>685</v>
      </c>
      <c r="G1336" s="253" t="s">
        <v>738</v>
      </c>
      <c r="H1336" s="253" t="s">
        <v>34</v>
      </c>
      <c r="I1336" s="253" t="s">
        <v>1319</v>
      </c>
      <c r="J1336" s="253" t="s">
        <v>608</v>
      </c>
      <c r="K1336" s="254" t="s">
        <v>48</v>
      </c>
      <c r="L1336" s="255"/>
      <c r="M1336" s="255" t="s">
        <v>34</v>
      </c>
      <c r="N1336" s="254">
        <v>581674</v>
      </c>
      <c r="O1336" s="254" t="s">
        <v>1321</v>
      </c>
      <c r="P1336" s="258">
        <v>44281</v>
      </c>
      <c r="Q1336" s="259">
        <v>69301418.980000004</v>
      </c>
      <c r="R1336" s="259">
        <v>39789543.322658725</v>
      </c>
      <c r="S1336" s="254">
        <v>91</v>
      </c>
      <c r="T1336" s="256">
        <v>9.6070522538010072E-2</v>
      </c>
      <c r="U1336" s="256">
        <v>1.2419223960248715</v>
      </c>
      <c r="V1336" s="256">
        <v>0.12976939510859609</v>
      </c>
      <c r="W1336" s="256">
        <v>1.272173986570623</v>
      </c>
      <c r="X1336" s="256" t="s">
        <v>1417</v>
      </c>
      <c r="Y1336" s="256" t="s">
        <v>1417</v>
      </c>
      <c r="Z1336" s="256" t="s">
        <v>1417</v>
      </c>
      <c r="AA1336" s="256" t="s">
        <v>1417</v>
      </c>
      <c r="AB1336" s="256">
        <v>1.778355569240486E-3</v>
      </c>
      <c r="AC1336" s="260">
        <v>13.997528212472082</v>
      </c>
      <c r="AD1336" s="405">
        <v>0</v>
      </c>
      <c r="AE1336" s="257" t="s">
        <v>2336</v>
      </c>
      <c r="AF1336" s="257" t="s">
        <v>741</v>
      </c>
      <c r="AG1336" s="261" t="s">
        <v>741</v>
      </c>
      <c r="AH1336" s="261" t="s">
        <v>2110</v>
      </c>
      <c r="AI1336" s="261">
        <v>1000</v>
      </c>
      <c r="AJ1336" s="261">
        <v>500</v>
      </c>
      <c r="AK1336" s="261">
        <v>500</v>
      </c>
      <c r="AL1336" s="256">
        <v>1.0700000000000001E-2</v>
      </c>
      <c r="AM1336" s="256">
        <v>0.1</v>
      </c>
      <c r="AN1336" s="256" t="s">
        <v>64</v>
      </c>
      <c r="AO1336" s="254" t="s">
        <v>1324</v>
      </c>
      <c r="AP1336" s="257" t="s">
        <v>13</v>
      </c>
      <c r="AQ1336" s="263" t="s">
        <v>668</v>
      </c>
      <c r="AR1336" s="256">
        <v>1.7836899999999997E-3</v>
      </c>
      <c r="AS1336" s="256">
        <v>1.7836899999999997E-3</v>
      </c>
      <c r="AT1336" s="256"/>
      <c r="AX1336" s="508"/>
      <c r="AY1336" s="509"/>
      <c r="AZ1336" s="509"/>
      <c r="BA1336" s="509"/>
      <c r="BB1336" s="510"/>
      <c r="BC1336" s="509"/>
      <c r="BD1336" s="509"/>
      <c r="BE1336" s="509"/>
      <c r="BF1336" s="509"/>
      <c r="BG1336" s="510"/>
      <c r="BH1336" s="510"/>
      <c r="BI1336" s="511"/>
      <c r="BJ1336" s="511"/>
      <c r="BK1336" s="511"/>
      <c r="BL1336" s="510"/>
      <c r="BM1336" s="510"/>
      <c r="BN1336" s="510"/>
      <c r="BO1336" s="510"/>
      <c r="BP1336" s="510"/>
      <c r="BQ1336" s="510"/>
      <c r="BR1336" s="510"/>
      <c r="BS1336" s="510"/>
      <c r="BT1336" s="513"/>
      <c r="BU1336" s="514"/>
      <c r="BV1336" s="512"/>
      <c r="BW1336" s="515"/>
    </row>
    <row r="1337" spans="2:75" ht="15.75" customHeight="1">
      <c r="B1337" s="250" t="s">
        <v>418</v>
      </c>
      <c r="C1337" s="251">
        <v>11701985000107</v>
      </c>
      <c r="D1337" s="252" t="s">
        <v>11</v>
      </c>
      <c r="E1337" s="252" t="s">
        <v>620</v>
      </c>
      <c r="F1337" s="252" t="s">
        <v>685</v>
      </c>
      <c r="G1337" s="253" t="s">
        <v>738</v>
      </c>
      <c r="H1337" s="253" t="s">
        <v>34</v>
      </c>
      <c r="I1337" s="253" t="s">
        <v>1319</v>
      </c>
      <c r="J1337" s="253" t="s">
        <v>608</v>
      </c>
      <c r="K1337" s="254" t="s">
        <v>48</v>
      </c>
      <c r="L1337" s="255"/>
      <c r="M1337" s="255" t="s">
        <v>34</v>
      </c>
      <c r="N1337" s="254">
        <v>248738</v>
      </c>
      <c r="O1337" s="254" t="s">
        <v>1321</v>
      </c>
      <c r="P1337" s="258">
        <v>40319</v>
      </c>
      <c r="Q1337" s="259">
        <v>197675971.12</v>
      </c>
      <c r="R1337" s="259">
        <v>118802121.77714288</v>
      </c>
      <c r="S1337" s="254">
        <v>91</v>
      </c>
      <c r="T1337" s="256">
        <v>9.891484687831098E-2</v>
      </c>
      <c r="U1337" s="256">
        <v>1.278691531931057</v>
      </c>
      <c r="V1337" s="256">
        <v>0.13726858370618089</v>
      </c>
      <c r="W1337" s="256">
        <v>1.3456911101285369</v>
      </c>
      <c r="X1337" s="256">
        <v>0.19501492798334863</v>
      </c>
      <c r="Y1337" s="256">
        <v>1.4788336254167886</v>
      </c>
      <c r="Z1337" s="256">
        <v>0.25501323002964194</v>
      </c>
      <c r="AA1337" s="256">
        <v>1.4495778717844234</v>
      </c>
      <c r="AB1337" s="256">
        <v>1.6860174403163744E-3</v>
      </c>
      <c r="AC1337" s="260">
        <v>18.689952196884533</v>
      </c>
      <c r="AD1337" s="405">
        <v>22128298000152</v>
      </c>
      <c r="AE1337" s="257" t="s">
        <v>2244</v>
      </c>
      <c r="AF1337" s="257" t="s">
        <v>2118</v>
      </c>
      <c r="AG1337" s="261" t="s">
        <v>1433</v>
      </c>
      <c r="AH1337" s="261" t="s">
        <v>2110</v>
      </c>
      <c r="AI1337" s="261">
        <v>1000</v>
      </c>
      <c r="AJ1337" s="261">
        <v>0</v>
      </c>
      <c r="AK1337" s="261">
        <v>0</v>
      </c>
      <c r="AL1337" s="256">
        <v>5.0000000000000001E-3</v>
      </c>
      <c r="AM1337" s="256">
        <v>0.2</v>
      </c>
      <c r="AN1337" s="256" t="s">
        <v>64</v>
      </c>
      <c r="AO1337" s="254" t="s">
        <v>1324</v>
      </c>
      <c r="AP1337" s="257" t="s">
        <v>13</v>
      </c>
      <c r="AQ1337" s="263" t="s">
        <v>686</v>
      </c>
      <c r="AR1337" s="256">
        <v>8.0000000000000004E-4</v>
      </c>
      <c r="AS1337" s="256">
        <v>8.0000000000000004E-4</v>
      </c>
      <c r="AT1337" s="256"/>
      <c r="AX1337" s="508"/>
      <c r="AY1337" s="509"/>
      <c r="AZ1337" s="509"/>
      <c r="BA1337" s="509"/>
      <c r="BB1337" s="510"/>
      <c r="BC1337" s="509"/>
      <c r="BD1337" s="509"/>
      <c r="BE1337" s="509"/>
      <c r="BF1337" s="509"/>
      <c r="BG1337" s="510"/>
      <c r="BH1337" s="510"/>
      <c r="BI1337" s="511"/>
      <c r="BJ1337" s="511"/>
      <c r="BK1337" s="511"/>
      <c r="BL1337" s="510"/>
      <c r="BM1337" s="510"/>
      <c r="BN1337" s="510"/>
      <c r="BO1337" s="510"/>
      <c r="BP1337" s="510"/>
      <c r="BQ1337" s="510"/>
      <c r="BR1337" s="510"/>
      <c r="BS1337" s="510"/>
      <c r="BT1337" s="513"/>
      <c r="BU1337" s="514"/>
      <c r="BV1337" s="512"/>
      <c r="BW1337" s="515"/>
    </row>
    <row r="1338" spans="2:75" ht="15.75" customHeight="1">
      <c r="B1338" s="250" t="s">
        <v>419</v>
      </c>
      <c r="C1338" s="251">
        <v>23729525000168</v>
      </c>
      <c r="D1338" s="252" t="s">
        <v>11</v>
      </c>
      <c r="E1338" s="252" t="s">
        <v>620</v>
      </c>
      <c r="F1338" s="252" t="s">
        <v>685</v>
      </c>
      <c r="G1338" s="253" t="s">
        <v>738</v>
      </c>
      <c r="H1338" s="253" t="s">
        <v>34</v>
      </c>
      <c r="I1338" s="253" t="s">
        <v>1319</v>
      </c>
      <c r="J1338" s="253" t="s">
        <v>608</v>
      </c>
      <c r="K1338" s="254" t="s">
        <v>48</v>
      </c>
      <c r="L1338" s="255"/>
      <c r="M1338" s="255" t="s">
        <v>34</v>
      </c>
      <c r="N1338" s="254">
        <v>424854</v>
      </c>
      <c r="O1338" s="254" t="s">
        <v>1321</v>
      </c>
      <c r="P1338" s="258">
        <v>42552</v>
      </c>
      <c r="Q1338" s="259">
        <v>77771880.790000007</v>
      </c>
      <c r="R1338" s="259">
        <v>35476261.605595239</v>
      </c>
      <c r="S1338" s="254">
        <v>91</v>
      </c>
      <c r="T1338" s="256">
        <v>9.6377733496774587E-2</v>
      </c>
      <c r="U1338" s="256">
        <v>1.2458937720506755</v>
      </c>
      <c r="V1338" s="256">
        <v>0.13320742113852413</v>
      </c>
      <c r="W1338" s="256">
        <v>1.3058781375128923</v>
      </c>
      <c r="X1338" s="256">
        <v>0.18665721031651117</v>
      </c>
      <c r="Y1338" s="256">
        <v>1.4154555340815729</v>
      </c>
      <c r="Z1338" s="256">
        <v>0.2426159062136739</v>
      </c>
      <c r="AA1338" s="256">
        <v>1.3791074641475947</v>
      </c>
      <c r="AB1338" s="256">
        <v>1.6897248609835122E-3</v>
      </c>
      <c r="AC1338" s="260">
        <v>16.530750491182406</v>
      </c>
      <c r="AD1338" s="405">
        <v>22128298000152</v>
      </c>
      <c r="AE1338" s="257" t="s">
        <v>2244</v>
      </c>
      <c r="AF1338" s="257" t="s">
        <v>2118</v>
      </c>
      <c r="AG1338" s="261" t="s">
        <v>1433</v>
      </c>
      <c r="AH1338" s="261" t="s">
        <v>2110</v>
      </c>
      <c r="AI1338" s="261">
        <v>1000</v>
      </c>
      <c r="AJ1338" s="261">
        <v>1000</v>
      </c>
      <c r="AK1338" s="261">
        <v>1000</v>
      </c>
      <c r="AL1338" s="256">
        <v>8.0000000000000002E-3</v>
      </c>
      <c r="AM1338" s="256">
        <v>0.2</v>
      </c>
      <c r="AN1338" s="256" t="s">
        <v>64</v>
      </c>
      <c r="AO1338" s="254" t="s">
        <v>1324</v>
      </c>
      <c r="AP1338" s="257" t="s">
        <v>13</v>
      </c>
      <c r="AQ1338" s="263" t="s">
        <v>686</v>
      </c>
      <c r="AR1338" s="256">
        <v>2.3999999999999998E-3</v>
      </c>
      <c r="AS1338" s="256">
        <v>2.3999999999999998E-3</v>
      </c>
      <c r="AT1338" s="256"/>
      <c r="AX1338" s="508"/>
      <c r="AY1338" s="509"/>
      <c r="AZ1338" s="509"/>
      <c r="BA1338" s="509"/>
      <c r="BB1338" s="510"/>
      <c r="BC1338" s="509"/>
      <c r="BD1338" s="509"/>
      <c r="BE1338" s="509"/>
      <c r="BF1338" s="509"/>
      <c r="BG1338" s="510"/>
      <c r="BH1338" s="510"/>
      <c r="BI1338" s="511"/>
      <c r="BJ1338" s="511"/>
      <c r="BK1338" s="511"/>
      <c r="BL1338" s="510"/>
      <c r="BM1338" s="510"/>
      <c r="BN1338" s="510"/>
      <c r="BO1338" s="510"/>
      <c r="BP1338" s="510"/>
      <c r="BQ1338" s="510"/>
      <c r="BR1338" s="510"/>
      <c r="BS1338" s="510"/>
      <c r="BT1338" s="513"/>
      <c r="BU1338" s="514"/>
      <c r="BV1338" s="512"/>
      <c r="BW1338" s="515"/>
    </row>
    <row r="1339" spans="2:75" ht="15.75" customHeight="1">
      <c r="B1339" s="250" t="s">
        <v>1662</v>
      </c>
      <c r="C1339" s="251">
        <v>21940710000171</v>
      </c>
      <c r="D1339" s="252" t="s">
        <v>13</v>
      </c>
      <c r="E1339" s="252" t="s">
        <v>616</v>
      </c>
      <c r="F1339" s="252" t="s">
        <v>617</v>
      </c>
      <c r="G1339" s="253" t="s">
        <v>34</v>
      </c>
      <c r="H1339" s="253" t="s">
        <v>1337</v>
      </c>
      <c r="I1339" s="253" t="s">
        <v>34</v>
      </c>
      <c r="J1339" s="253" t="s">
        <v>608</v>
      </c>
      <c r="K1339" s="254" t="s">
        <v>48</v>
      </c>
      <c r="L1339" s="255"/>
      <c r="M1339" s="255"/>
      <c r="N1339" s="254">
        <v>397520</v>
      </c>
      <c r="O1339" s="254" t="s">
        <v>1321</v>
      </c>
      <c r="P1339" s="258">
        <v>42163</v>
      </c>
      <c r="Q1339" s="259">
        <v>354774641.12</v>
      </c>
      <c r="R1339" s="259">
        <v>329757691.50460327</v>
      </c>
      <c r="S1339" s="254">
        <v>91</v>
      </c>
      <c r="T1339" s="256">
        <v>0.11797548865910601</v>
      </c>
      <c r="U1339" s="256">
        <v>1.3269780941625038</v>
      </c>
      <c r="V1339" s="256">
        <v>0.12944035519027097</v>
      </c>
      <c r="W1339" s="256">
        <v>1.1879658366981889</v>
      </c>
      <c r="X1339" s="256">
        <v>0.20836296501683482</v>
      </c>
      <c r="Y1339" s="256">
        <v>1.4651647072908556</v>
      </c>
      <c r="Z1339" s="256">
        <v>0.43933946894735931</v>
      </c>
      <c r="AA1339" s="256">
        <v>2.4007985091115058</v>
      </c>
      <c r="AB1339" s="256">
        <v>2.928439320426764E-2</v>
      </c>
      <c r="AC1339" s="260">
        <v>0.63972951723792837</v>
      </c>
      <c r="AD1339" s="405">
        <v>19366052000104</v>
      </c>
      <c r="AE1339" s="257" t="s">
        <v>2318</v>
      </c>
      <c r="AF1339" s="257" t="s">
        <v>2318</v>
      </c>
      <c r="AG1339" s="261" t="s">
        <v>1436</v>
      </c>
      <c r="AH1339" s="261" t="s">
        <v>2319</v>
      </c>
      <c r="AI1339" s="261">
        <v>50000</v>
      </c>
      <c r="AJ1339" s="261">
        <v>5000</v>
      </c>
      <c r="AK1339" s="261">
        <v>5000</v>
      </c>
      <c r="AL1339" s="256">
        <v>0</v>
      </c>
      <c r="AM1339" s="256" t="s">
        <v>34</v>
      </c>
      <c r="AN1339" s="256" t="s">
        <v>64</v>
      </c>
      <c r="AO1339" s="254" t="s">
        <v>1324</v>
      </c>
      <c r="AP1339" s="257" t="s">
        <v>13</v>
      </c>
      <c r="AQ1339" s="263" t="s">
        <v>668</v>
      </c>
      <c r="AR1339" s="256" t="s">
        <v>34</v>
      </c>
      <c r="AS1339" s="256" t="s">
        <v>34</v>
      </c>
      <c r="AT1339" s="256"/>
      <c r="AX1339" s="508"/>
      <c r="AY1339" s="509"/>
      <c r="AZ1339" s="509"/>
      <c r="BA1339" s="509"/>
      <c r="BB1339" s="510"/>
      <c r="BC1339" s="509"/>
      <c r="BD1339" s="509"/>
      <c r="BE1339" s="509"/>
      <c r="BF1339" s="509"/>
      <c r="BG1339" s="510"/>
      <c r="BH1339" s="510"/>
      <c r="BI1339" s="511"/>
      <c r="BJ1339" s="511"/>
      <c r="BK1339" s="511"/>
      <c r="BL1339" s="510"/>
      <c r="BM1339" s="510"/>
      <c r="BN1339" s="510"/>
      <c r="BO1339" s="510"/>
      <c r="BP1339" s="510"/>
      <c r="BQ1339" s="510"/>
      <c r="BR1339" s="510"/>
      <c r="BS1339" s="510"/>
      <c r="BT1339" s="513"/>
      <c r="BU1339" s="514"/>
      <c r="BV1339" s="512"/>
      <c r="BW1339" s="515"/>
    </row>
    <row r="1340" spans="2:75" ht="15.75" customHeight="1">
      <c r="B1340" s="250" t="s">
        <v>73</v>
      </c>
      <c r="C1340" s="251">
        <v>36498353000100</v>
      </c>
      <c r="D1340" s="252" t="s">
        <v>13</v>
      </c>
      <c r="E1340" s="252" t="s">
        <v>615</v>
      </c>
      <c r="F1340" s="252" t="s">
        <v>619</v>
      </c>
      <c r="G1340" s="253" t="s">
        <v>34</v>
      </c>
      <c r="H1340" s="253" t="s">
        <v>1338</v>
      </c>
      <c r="I1340" s="253" t="s">
        <v>34</v>
      </c>
      <c r="J1340" s="253" t="s">
        <v>611</v>
      </c>
      <c r="K1340" s="254" t="s">
        <v>48</v>
      </c>
      <c r="L1340" s="255"/>
      <c r="M1340" s="255" t="s">
        <v>1414</v>
      </c>
      <c r="N1340" s="254">
        <v>533432</v>
      </c>
      <c r="O1340" s="254" t="s">
        <v>1321</v>
      </c>
      <c r="P1340" s="258">
        <v>43928</v>
      </c>
      <c r="Q1340" s="259">
        <v>15636920.42</v>
      </c>
      <c r="R1340" s="259">
        <v>27402740.703928549</v>
      </c>
      <c r="S1340" s="254">
        <v>91</v>
      </c>
      <c r="T1340" s="256">
        <v>-6.909866402520215E-2</v>
      </c>
      <c r="U1340" s="256">
        <v>-0.89325191662556092</v>
      </c>
      <c r="V1340" s="256">
        <v>-7.3735240680520286E-2</v>
      </c>
      <c r="W1340" s="256">
        <v>-0.72285190979570313</v>
      </c>
      <c r="X1340" s="256">
        <v>-4.6349735869766873E-2</v>
      </c>
      <c r="Y1340" s="256">
        <v>-0.35147846701894797</v>
      </c>
      <c r="Z1340" s="256" t="s">
        <v>1417</v>
      </c>
      <c r="AA1340" s="256" t="s">
        <v>1417</v>
      </c>
      <c r="AB1340" s="256">
        <v>0.20347489403718752</v>
      </c>
      <c r="AC1340" s="260">
        <v>-0.75179655825614333</v>
      </c>
      <c r="AD1340" s="405">
        <v>36498324000149</v>
      </c>
      <c r="AE1340" s="257" t="s">
        <v>2123</v>
      </c>
      <c r="AF1340" s="257" t="s">
        <v>2109</v>
      </c>
      <c r="AG1340" s="261" t="s">
        <v>1432</v>
      </c>
      <c r="AH1340" s="261" t="s">
        <v>726</v>
      </c>
      <c r="AI1340" s="261">
        <v>10000</v>
      </c>
      <c r="AJ1340" s="261">
        <v>10000</v>
      </c>
      <c r="AK1340" s="261">
        <v>10000</v>
      </c>
      <c r="AL1340" s="519">
        <v>0</v>
      </c>
      <c r="AM1340" s="519" t="s">
        <v>34</v>
      </c>
      <c r="AN1340" s="256" t="s">
        <v>64</v>
      </c>
      <c r="AO1340" s="254" t="s">
        <v>1324</v>
      </c>
      <c r="AP1340" s="257" t="s">
        <v>13</v>
      </c>
      <c r="AQ1340" s="263" t="s">
        <v>679</v>
      </c>
      <c r="AR1340" s="256" t="s">
        <v>34</v>
      </c>
      <c r="AS1340" s="256" t="s">
        <v>34</v>
      </c>
      <c r="AT1340" s="256"/>
      <c r="AX1340" s="508"/>
      <c r="AY1340" s="509"/>
      <c r="AZ1340" s="509"/>
      <c r="BA1340" s="509"/>
      <c r="BB1340" s="510"/>
      <c r="BC1340" s="509"/>
      <c r="BD1340" s="509"/>
      <c r="BE1340" s="509"/>
      <c r="BF1340" s="509"/>
      <c r="BG1340" s="510"/>
      <c r="BH1340" s="510"/>
      <c r="BI1340" s="511"/>
      <c r="BJ1340" s="511"/>
      <c r="BK1340" s="511"/>
      <c r="BL1340" s="510"/>
      <c r="BM1340" s="510"/>
      <c r="BN1340" s="510"/>
      <c r="BO1340" s="510"/>
      <c r="BP1340" s="510"/>
      <c r="BQ1340" s="510"/>
      <c r="BR1340" s="510"/>
      <c r="BS1340" s="510"/>
      <c r="BT1340" s="513"/>
      <c r="BU1340" s="514"/>
      <c r="BV1340" s="512"/>
      <c r="BW1340" s="515"/>
    </row>
    <row r="1341" spans="2:75" ht="15.75" customHeight="1">
      <c r="B1341" s="250" t="s">
        <v>732</v>
      </c>
      <c r="C1341" s="251">
        <v>24018977000102</v>
      </c>
      <c r="D1341" s="252" t="s">
        <v>13</v>
      </c>
      <c r="E1341" s="252" t="s">
        <v>615</v>
      </c>
      <c r="F1341" s="252" t="s">
        <v>619</v>
      </c>
      <c r="G1341" s="253" t="s">
        <v>34</v>
      </c>
      <c r="H1341" s="253" t="s">
        <v>1338</v>
      </c>
      <c r="I1341" s="253" t="s">
        <v>34</v>
      </c>
      <c r="J1341" s="253" t="s">
        <v>611</v>
      </c>
      <c r="K1341" s="254" t="s">
        <v>48</v>
      </c>
      <c r="L1341" s="255"/>
      <c r="M1341" s="255" t="s">
        <v>1414</v>
      </c>
      <c r="N1341" s="254">
        <v>416762</v>
      </c>
      <c r="O1341" s="254" t="s">
        <v>1321</v>
      </c>
      <c r="P1341" s="258">
        <v>42489</v>
      </c>
      <c r="Q1341" s="259">
        <v>77747867.670000002</v>
      </c>
      <c r="R1341" s="259">
        <v>219893921.13642871</v>
      </c>
      <c r="S1341" s="254">
        <v>91</v>
      </c>
      <c r="T1341" s="256">
        <v>-7.6891838244685817E-2</v>
      </c>
      <c r="U1341" s="256">
        <v>-0.99399580084323158</v>
      </c>
      <c r="V1341" s="256">
        <v>-8.3338920926709581E-2</v>
      </c>
      <c r="W1341" s="256">
        <v>-0.81700008837294047</v>
      </c>
      <c r="X1341" s="256">
        <v>-5.5010589004383603E-2</v>
      </c>
      <c r="Y1341" s="256">
        <v>-0.41715528967408966</v>
      </c>
      <c r="Z1341" s="256">
        <v>-1.3580577097798807E-2</v>
      </c>
      <c r="AA1341" s="256">
        <v>-7.7196402887580479E-2</v>
      </c>
      <c r="AB1341" s="256">
        <v>0.20868896360913203</v>
      </c>
      <c r="AC1341" s="260">
        <v>-0.77774237407836122</v>
      </c>
      <c r="AD1341" s="405">
        <v>23884625000169</v>
      </c>
      <c r="AE1341" s="257" t="s">
        <v>2130</v>
      </c>
      <c r="AF1341" s="257" t="s">
        <v>2118</v>
      </c>
      <c r="AG1341" s="261" t="s">
        <v>1433</v>
      </c>
      <c r="AH1341" s="261" t="s">
        <v>726</v>
      </c>
      <c r="AI1341" s="261">
        <v>500000</v>
      </c>
      <c r="AJ1341" s="261">
        <v>50000</v>
      </c>
      <c r="AK1341" s="261">
        <v>50000</v>
      </c>
      <c r="AL1341" s="519">
        <v>1.9E-2</v>
      </c>
      <c r="AM1341" s="519">
        <v>0.2</v>
      </c>
      <c r="AN1341" s="256" t="s">
        <v>64</v>
      </c>
      <c r="AO1341" s="254" t="s">
        <v>1324</v>
      </c>
      <c r="AP1341" s="257" t="s">
        <v>13</v>
      </c>
      <c r="AQ1341" s="263" t="s">
        <v>679</v>
      </c>
      <c r="AR1341" s="256" t="s">
        <v>34</v>
      </c>
      <c r="AS1341" s="256" t="s">
        <v>34</v>
      </c>
      <c r="AT1341" s="256"/>
      <c r="AX1341" s="508"/>
      <c r="AY1341" s="509"/>
      <c r="AZ1341" s="509"/>
      <c r="BA1341" s="509"/>
      <c r="BB1341" s="510"/>
      <c r="BC1341" s="509"/>
      <c r="BD1341" s="509"/>
      <c r="BE1341" s="509"/>
      <c r="BF1341" s="509"/>
      <c r="BG1341" s="510"/>
      <c r="BH1341" s="510"/>
      <c r="BI1341" s="511"/>
      <c r="BJ1341" s="511"/>
      <c r="BK1341" s="511"/>
      <c r="BL1341" s="510"/>
      <c r="BM1341" s="510"/>
      <c r="BN1341" s="510"/>
      <c r="BO1341" s="510"/>
      <c r="BP1341" s="510"/>
      <c r="BQ1341" s="510"/>
      <c r="BR1341" s="510"/>
      <c r="BS1341" s="510"/>
      <c r="BT1341" s="513"/>
      <c r="BU1341" s="514"/>
      <c r="BV1341" s="512"/>
      <c r="BW1341" s="515"/>
    </row>
    <row r="1342" spans="2:75" ht="15.75" customHeight="1">
      <c r="B1342" s="250" t="s">
        <v>836</v>
      </c>
      <c r="C1342" s="251">
        <v>35726720000113</v>
      </c>
      <c r="D1342" s="252" t="s">
        <v>13</v>
      </c>
      <c r="E1342" s="252" t="s">
        <v>615</v>
      </c>
      <c r="F1342" s="252" t="s">
        <v>619</v>
      </c>
      <c r="G1342" s="253" t="s">
        <v>34</v>
      </c>
      <c r="H1342" s="253" t="s">
        <v>865</v>
      </c>
      <c r="I1342" s="253" t="s">
        <v>34</v>
      </c>
      <c r="J1342" s="253"/>
      <c r="K1342" s="254" t="s">
        <v>48</v>
      </c>
      <c r="L1342" s="255"/>
      <c r="M1342" s="255" t="s">
        <v>34</v>
      </c>
      <c r="N1342" s="254">
        <v>520111</v>
      </c>
      <c r="O1342" s="254" t="s">
        <v>1321</v>
      </c>
      <c r="P1342" s="258">
        <v>43829</v>
      </c>
      <c r="Q1342" s="259">
        <v>21739922.899999999</v>
      </c>
      <c r="R1342" s="259">
        <v>36533802.436309524</v>
      </c>
      <c r="S1342" s="254">
        <v>91</v>
      </c>
      <c r="T1342" s="256">
        <v>0.13376353303767474</v>
      </c>
      <c r="U1342" s="256">
        <v>1.7291872997273907</v>
      </c>
      <c r="V1342" s="256">
        <v>0.11350729385042646</v>
      </c>
      <c r="W1342" s="256">
        <v>1.1127510180786446</v>
      </c>
      <c r="X1342" s="256">
        <v>0.18554371522125557</v>
      </c>
      <c r="Y1342" s="256">
        <v>1.4070116984961185</v>
      </c>
      <c r="Z1342" s="256" t="s">
        <v>1417</v>
      </c>
      <c r="AA1342" s="256" t="s">
        <v>1417</v>
      </c>
      <c r="AB1342" s="256">
        <v>6.5345533262200939E-2</v>
      </c>
      <c r="AC1342" s="260">
        <v>0.19148169513697452</v>
      </c>
      <c r="AD1342" s="405">
        <v>35343618000139</v>
      </c>
      <c r="AE1342" s="257" t="s">
        <v>2123</v>
      </c>
      <c r="AF1342" s="257" t="s">
        <v>2109</v>
      </c>
      <c r="AG1342" s="261" t="s">
        <v>1432</v>
      </c>
      <c r="AH1342" s="261" t="s">
        <v>726</v>
      </c>
      <c r="AI1342" s="261">
        <v>100000</v>
      </c>
      <c r="AJ1342" s="261">
        <v>10000</v>
      </c>
      <c r="AK1342" s="261">
        <v>100000</v>
      </c>
      <c r="AL1342" s="256">
        <v>0.01</v>
      </c>
      <c r="AM1342" s="256">
        <v>0.1</v>
      </c>
      <c r="AN1342" s="256" t="s">
        <v>34</v>
      </c>
      <c r="AO1342" s="254" t="s">
        <v>1324</v>
      </c>
      <c r="AP1342" s="257" t="s">
        <v>13</v>
      </c>
      <c r="AQ1342" s="263" t="s">
        <v>679</v>
      </c>
      <c r="AR1342" s="256">
        <v>8.0000000000000002E-3</v>
      </c>
      <c r="AS1342" s="256">
        <v>8.0000000000000002E-3</v>
      </c>
      <c r="AT1342" s="256"/>
      <c r="AX1342" s="508"/>
      <c r="AY1342" s="509"/>
      <c r="AZ1342" s="509"/>
      <c r="BA1342" s="509"/>
      <c r="BB1342" s="510"/>
      <c r="BC1342" s="509"/>
      <c r="BD1342" s="509"/>
      <c r="BE1342" s="509"/>
      <c r="BF1342" s="509"/>
      <c r="BG1342" s="510"/>
      <c r="BH1342" s="510"/>
      <c r="BI1342" s="511"/>
      <c r="BJ1342" s="511"/>
      <c r="BK1342" s="511"/>
      <c r="BL1342" s="510"/>
      <c r="BM1342" s="510"/>
      <c r="BN1342" s="510"/>
      <c r="BO1342" s="510"/>
      <c r="BP1342" s="510"/>
      <c r="BQ1342" s="510"/>
      <c r="BR1342" s="510"/>
      <c r="BS1342" s="510"/>
      <c r="BT1342" s="513"/>
      <c r="BU1342" s="514"/>
      <c r="BV1342" s="512"/>
      <c r="BW1342" s="515"/>
    </row>
    <row r="1343" spans="2:75" ht="15.75" customHeight="1">
      <c r="B1343" s="250" t="s">
        <v>960</v>
      </c>
      <c r="C1343" s="251">
        <v>23686321000197</v>
      </c>
      <c r="D1343" s="252" t="s">
        <v>13</v>
      </c>
      <c r="E1343" s="252" t="s">
        <v>615</v>
      </c>
      <c r="F1343" s="252" t="s">
        <v>619</v>
      </c>
      <c r="G1343" s="253" t="s">
        <v>34</v>
      </c>
      <c r="H1343" s="253" t="s">
        <v>1337</v>
      </c>
      <c r="I1343" s="253" t="s">
        <v>34</v>
      </c>
      <c r="J1343" s="253"/>
      <c r="K1343" s="254" t="s">
        <v>48</v>
      </c>
      <c r="L1343" s="255"/>
      <c r="M1343" s="255" t="s">
        <v>34</v>
      </c>
      <c r="N1343" s="254">
        <v>415391</v>
      </c>
      <c r="O1343" s="254" t="s">
        <v>1321</v>
      </c>
      <c r="P1343" s="258">
        <v>42426</v>
      </c>
      <c r="Q1343" s="259">
        <v>647458.25</v>
      </c>
      <c r="R1343" s="259">
        <v>96225000.719880998</v>
      </c>
      <c r="S1343" s="254">
        <v>91</v>
      </c>
      <c r="T1343" s="256">
        <v>2.2174832955861312E-3</v>
      </c>
      <c r="U1343" s="256">
        <v>2.8665839373465108E-2</v>
      </c>
      <c r="V1343" s="256">
        <v>-2.4936465313650791E-2</v>
      </c>
      <c r="W1343" s="256">
        <v>-0.24446074101293069</v>
      </c>
      <c r="X1343" s="256">
        <v>-3.9855859928247694E-2</v>
      </c>
      <c r="Y1343" s="256">
        <v>-0.30223422607333356</v>
      </c>
      <c r="Z1343" s="256">
        <v>6.8724571255969202E-3</v>
      </c>
      <c r="AA1343" s="256">
        <v>3.906527427182703E-2</v>
      </c>
      <c r="AB1343" s="256">
        <v>4.7295064418211512E-2</v>
      </c>
      <c r="AC1343" s="260">
        <v>-2.5640040049371753</v>
      </c>
      <c r="AD1343" s="405">
        <v>0</v>
      </c>
      <c r="AE1343" s="257" t="s">
        <v>2144</v>
      </c>
      <c r="AF1343" s="257" t="s">
        <v>2109</v>
      </c>
      <c r="AG1343" s="261" t="s">
        <v>1432</v>
      </c>
      <c r="AH1343" s="261" t="s">
        <v>726</v>
      </c>
      <c r="AI1343" s="261">
        <v>100000</v>
      </c>
      <c r="AJ1343" s="261">
        <v>1000</v>
      </c>
      <c r="AK1343" s="261">
        <v>100000</v>
      </c>
      <c r="AL1343" s="256">
        <v>0.02</v>
      </c>
      <c r="AM1343" s="256">
        <v>0.2</v>
      </c>
      <c r="AN1343" s="256" t="s">
        <v>34</v>
      </c>
      <c r="AO1343" s="254" t="s">
        <v>1324</v>
      </c>
      <c r="AP1343" s="257" t="s">
        <v>13</v>
      </c>
      <c r="AQ1343" s="263" t="s">
        <v>679</v>
      </c>
      <c r="AR1343" s="256">
        <v>6.9999999999999993E-3</v>
      </c>
      <c r="AS1343" s="256">
        <v>6.9999999999999993E-3</v>
      </c>
      <c r="AT1343" s="256"/>
      <c r="AX1343" s="508"/>
      <c r="AY1343" s="509"/>
      <c r="AZ1343" s="509"/>
      <c r="BA1343" s="509"/>
      <c r="BB1343" s="510"/>
      <c r="BC1343" s="509"/>
      <c r="BD1343" s="509"/>
      <c r="BE1343" s="509"/>
      <c r="BF1343" s="509"/>
      <c r="BG1343" s="510"/>
      <c r="BH1343" s="510"/>
      <c r="BI1343" s="511"/>
      <c r="BJ1343" s="511"/>
      <c r="BK1343" s="511"/>
      <c r="BL1343" s="510"/>
      <c r="BM1343" s="510"/>
      <c r="BN1343" s="510"/>
      <c r="BO1343" s="510"/>
      <c r="BP1343" s="510"/>
      <c r="BQ1343" s="510"/>
      <c r="BR1343" s="510"/>
      <c r="BS1343" s="510"/>
      <c r="BT1343" s="513"/>
      <c r="BU1343" s="514"/>
      <c r="BV1343" s="512"/>
      <c r="BW1343" s="515"/>
    </row>
    <row r="1344" spans="2:75" ht="15.75" customHeight="1">
      <c r="B1344" s="250" t="s">
        <v>935</v>
      </c>
      <c r="C1344" s="251">
        <v>14115121000193</v>
      </c>
      <c r="D1344" s="252" t="s">
        <v>11</v>
      </c>
      <c r="E1344" s="252" t="s">
        <v>620</v>
      </c>
      <c r="F1344" s="252" t="s">
        <v>663</v>
      </c>
      <c r="G1344" s="253" t="s">
        <v>738</v>
      </c>
      <c r="H1344" s="253" t="s">
        <v>34</v>
      </c>
      <c r="I1344" s="253" t="s">
        <v>1304</v>
      </c>
      <c r="J1344" s="253" t="s">
        <v>608</v>
      </c>
      <c r="K1344" s="254" t="s">
        <v>48</v>
      </c>
      <c r="L1344" s="255"/>
      <c r="M1344" s="255" t="s">
        <v>34</v>
      </c>
      <c r="N1344" s="254">
        <v>295183</v>
      </c>
      <c r="O1344" s="254" t="s">
        <v>1321</v>
      </c>
      <c r="P1344" s="258">
        <v>40924</v>
      </c>
      <c r="Q1344" s="259">
        <v>296304011.11000001</v>
      </c>
      <c r="R1344" s="259">
        <v>240928816.48428568</v>
      </c>
      <c r="S1344" s="254">
        <v>92</v>
      </c>
      <c r="T1344" s="256">
        <v>9.826089463130816E-2</v>
      </c>
      <c r="U1344" s="256">
        <v>1.2702377635947575</v>
      </c>
      <c r="V1344" s="256">
        <v>0.13847304623369716</v>
      </c>
      <c r="W1344" s="256">
        <v>1.3574988703020587</v>
      </c>
      <c r="X1344" s="256">
        <v>0.19953844361478357</v>
      </c>
      <c r="Y1344" s="256">
        <v>1.5131362661942969</v>
      </c>
      <c r="Z1344" s="256">
        <v>0.25980748987632363</v>
      </c>
      <c r="AA1344" s="256">
        <v>1.4768299989957314</v>
      </c>
      <c r="AB1344" s="256">
        <v>1.9752260112355837E-3</v>
      </c>
      <c r="AC1344" s="260">
        <v>16.48984877653719</v>
      </c>
      <c r="AD1344" s="405">
        <v>0</v>
      </c>
      <c r="AE1344" s="257" t="s">
        <v>2244</v>
      </c>
      <c r="AF1344" s="257" t="s">
        <v>2109</v>
      </c>
      <c r="AG1344" s="261" t="s">
        <v>1432</v>
      </c>
      <c r="AH1344" s="261" t="s">
        <v>2131</v>
      </c>
      <c r="AI1344" s="261">
        <v>0</v>
      </c>
      <c r="AJ1344" s="261">
        <v>0</v>
      </c>
      <c r="AK1344" s="261">
        <v>0</v>
      </c>
      <c r="AL1344" s="256">
        <v>1.1000000000000001E-2</v>
      </c>
      <c r="AM1344" s="256">
        <v>0.15</v>
      </c>
      <c r="AN1344" s="256" t="s">
        <v>64</v>
      </c>
      <c r="AO1344" s="254" t="s">
        <v>1324</v>
      </c>
      <c r="AP1344" s="257" t="s">
        <v>13</v>
      </c>
      <c r="AQ1344" s="263" t="s">
        <v>686</v>
      </c>
      <c r="AR1344" s="256">
        <v>3.6666666666666662E-3</v>
      </c>
      <c r="AS1344" s="256">
        <v>3.6666666666666662E-3</v>
      </c>
      <c r="AT1344" s="256"/>
      <c r="AX1344" s="508"/>
      <c r="AY1344" s="509"/>
      <c r="AZ1344" s="509"/>
      <c r="BA1344" s="509"/>
      <c r="BB1344" s="510"/>
      <c r="BC1344" s="509"/>
      <c r="BD1344" s="509"/>
      <c r="BE1344" s="509"/>
      <c r="BF1344" s="509"/>
      <c r="BG1344" s="510"/>
      <c r="BH1344" s="510"/>
      <c r="BI1344" s="511"/>
      <c r="BJ1344" s="511"/>
      <c r="BK1344" s="511"/>
      <c r="BL1344" s="510"/>
      <c r="BM1344" s="510"/>
      <c r="BN1344" s="510"/>
      <c r="BO1344" s="510"/>
      <c r="BP1344" s="510"/>
      <c r="BQ1344" s="510"/>
      <c r="BR1344" s="510"/>
      <c r="BS1344" s="510"/>
      <c r="BT1344" s="513"/>
      <c r="BU1344" s="514"/>
      <c r="BV1344" s="512"/>
      <c r="BW1344" s="515"/>
    </row>
    <row r="1345" spans="2:75" ht="15.75" customHeight="1">
      <c r="B1345" s="250" t="s">
        <v>1489</v>
      </c>
      <c r="C1345" s="251">
        <v>45295229000139</v>
      </c>
      <c r="D1345" s="252" t="s">
        <v>14</v>
      </c>
      <c r="E1345" s="252" t="s">
        <v>607</v>
      </c>
      <c r="F1345" s="252"/>
      <c r="G1345" s="253"/>
      <c r="H1345" s="253" t="s">
        <v>34</v>
      </c>
      <c r="I1345" s="253" t="s">
        <v>34</v>
      </c>
      <c r="J1345" s="253" t="s">
        <v>612</v>
      </c>
      <c r="K1345" s="254" t="s">
        <v>48</v>
      </c>
      <c r="L1345" s="255"/>
      <c r="M1345" s="255"/>
      <c r="N1345" s="254">
        <v>639605</v>
      </c>
      <c r="O1345" s="254" t="s">
        <v>1321</v>
      </c>
      <c r="P1345" s="258">
        <v>44614</v>
      </c>
      <c r="Q1345" s="259">
        <v>8175814.3600000003</v>
      </c>
      <c r="R1345" s="259" t="s">
        <v>1417</v>
      </c>
      <c r="S1345" s="254">
        <v>92</v>
      </c>
      <c r="T1345" s="256" t="s">
        <v>1417</v>
      </c>
      <c r="U1345" s="256" t="s">
        <v>1417</v>
      </c>
      <c r="V1345" s="256" t="s">
        <v>1417</v>
      </c>
      <c r="W1345" s="256" t="s">
        <v>1417</v>
      </c>
      <c r="X1345" s="256" t="s">
        <v>1417</v>
      </c>
      <c r="Y1345" s="256" t="s">
        <v>1417</v>
      </c>
      <c r="Z1345" s="256" t="s">
        <v>1417</v>
      </c>
      <c r="AA1345" s="256" t="s">
        <v>1417</v>
      </c>
      <c r="AB1345" s="256" t="s">
        <v>1417</v>
      </c>
      <c r="AC1345" s="260" t="s">
        <v>1417</v>
      </c>
      <c r="AD1345" s="405">
        <v>0</v>
      </c>
      <c r="AE1345" s="257" t="s">
        <v>2123</v>
      </c>
      <c r="AF1345" s="257" t="s">
        <v>2109</v>
      </c>
      <c r="AG1345" s="261" t="s">
        <v>1432</v>
      </c>
      <c r="AH1345" s="261" t="s">
        <v>726</v>
      </c>
      <c r="AI1345" s="261">
        <v>0</v>
      </c>
      <c r="AJ1345" s="261">
        <v>0</v>
      </c>
      <c r="AK1345" s="261">
        <v>0</v>
      </c>
      <c r="AL1345" s="519">
        <v>7.4999999999999997E-3</v>
      </c>
      <c r="AM1345" s="519" t="s">
        <v>34</v>
      </c>
      <c r="AN1345" s="256" t="s">
        <v>2127</v>
      </c>
      <c r="AO1345" s="254" t="s">
        <v>1324</v>
      </c>
      <c r="AP1345" s="257" t="s">
        <v>716</v>
      </c>
      <c r="AQ1345" s="263" t="s">
        <v>687</v>
      </c>
      <c r="AR1345" s="256">
        <v>4.9999999999999992E-3</v>
      </c>
      <c r="AS1345" s="256">
        <v>4.9999999999999992E-3</v>
      </c>
      <c r="AT1345" s="256"/>
      <c r="AX1345" s="508"/>
      <c r="AY1345" s="509"/>
      <c r="AZ1345" s="509"/>
      <c r="BA1345" s="509"/>
      <c r="BB1345" s="510"/>
      <c r="BC1345" s="509"/>
      <c r="BD1345" s="509"/>
      <c r="BE1345" s="509"/>
      <c r="BF1345" s="509"/>
      <c r="BG1345" s="510"/>
      <c r="BH1345" s="510"/>
      <c r="BI1345" s="511"/>
      <c r="BJ1345" s="511"/>
      <c r="BK1345" s="511"/>
      <c r="BL1345" s="510"/>
      <c r="BM1345" s="510"/>
      <c r="BN1345" s="510"/>
      <c r="BO1345" s="510"/>
      <c r="BP1345" s="510"/>
      <c r="BQ1345" s="510"/>
      <c r="BR1345" s="510"/>
      <c r="BS1345" s="510"/>
      <c r="BT1345" s="513"/>
      <c r="BU1345" s="514"/>
      <c r="BV1345" s="512"/>
      <c r="BW1345" s="515"/>
    </row>
    <row r="1346" spans="2:75" ht="15.75" customHeight="1">
      <c r="B1346" s="250" t="s">
        <v>1510</v>
      </c>
      <c r="C1346" s="251">
        <v>40779790000170</v>
      </c>
      <c r="D1346" s="252" t="s">
        <v>14</v>
      </c>
      <c r="E1346" s="252" t="s">
        <v>607</v>
      </c>
      <c r="F1346" s="252"/>
      <c r="G1346" s="253"/>
      <c r="H1346" s="253" t="s">
        <v>34</v>
      </c>
      <c r="I1346" s="253" t="s">
        <v>34</v>
      </c>
      <c r="J1346" s="253" t="s">
        <v>608</v>
      </c>
      <c r="K1346" s="254" t="s">
        <v>48</v>
      </c>
      <c r="L1346" s="255"/>
      <c r="M1346" s="255"/>
      <c r="N1346" s="254">
        <v>593397</v>
      </c>
      <c r="O1346" s="254" t="s">
        <v>1321</v>
      </c>
      <c r="P1346" s="258">
        <v>44271</v>
      </c>
      <c r="Q1346" s="259">
        <v>112910867.77</v>
      </c>
      <c r="R1346" s="259">
        <v>96142028.133055538</v>
      </c>
      <c r="S1346" s="254">
        <v>92</v>
      </c>
      <c r="T1346" s="256">
        <v>-3.6712479046050905E-2</v>
      </c>
      <c r="U1346" s="256">
        <v>-0.41293878949107671</v>
      </c>
      <c r="V1346" s="256">
        <v>-0.16841770032054437</v>
      </c>
      <c r="W1346" s="256">
        <v>-1.5456885449825959</v>
      </c>
      <c r="X1346" s="256" t="s">
        <v>1417</v>
      </c>
      <c r="Y1346" s="256" t="s">
        <v>1417</v>
      </c>
      <c r="Z1346" s="256" t="s">
        <v>1417</v>
      </c>
      <c r="AA1346" s="256" t="s">
        <v>1417</v>
      </c>
      <c r="AB1346" s="256">
        <v>0.22902944282317109</v>
      </c>
      <c r="AC1346" s="260">
        <v>-1.1423733179945583</v>
      </c>
      <c r="AD1346" s="405">
        <v>11176045000138</v>
      </c>
      <c r="AE1346" s="257" t="s">
        <v>2180</v>
      </c>
      <c r="AF1346" s="257" t="s">
        <v>2118</v>
      </c>
      <c r="AG1346" s="261" t="s">
        <v>1433</v>
      </c>
      <c r="AH1346" s="261" t="s">
        <v>2131</v>
      </c>
      <c r="AI1346" s="261">
        <v>0</v>
      </c>
      <c r="AJ1346" s="261" t="s">
        <v>1427</v>
      </c>
      <c r="AK1346" s="261">
        <v>0</v>
      </c>
      <c r="AL1346" s="256">
        <v>0</v>
      </c>
      <c r="AM1346" s="256" t="s">
        <v>34</v>
      </c>
      <c r="AN1346" s="256" t="s">
        <v>34</v>
      </c>
      <c r="AO1346" s="254" t="s">
        <v>1324</v>
      </c>
      <c r="AP1346" s="257" t="s">
        <v>716</v>
      </c>
      <c r="AQ1346" s="263" t="s">
        <v>659</v>
      </c>
      <c r="AR1346" s="256" t="s">
        <v>34</v>
      </c>
      <c r="AS1346" s="256" t="s">
        <v>34</v>
      </c>
      <c r="AT1346" s="256"/>
      <c r="AX1346" s="508"/>
      <c r="AY1346" s="509"/>
      <c r="AZ1346" s="509"/>
      <c r="BA1346" s="509"/>
      <c r="BB1346" s="510"/>
      <c r="BC1346" s="509"/>
      <c r="BD1346" s="509"/>
      <c r="BE1346" s="509"/>
      <c r="BF1346" s="509"/>
      <c r="BG1346" s="510"/>
      <c r="BH1346" s="510"/>
      <c r="BI1346" s="511"/>
      <c r="BJ1346" s="511"/>
      <c r="BK1346" s="511"/>
      <c r="BL1346" s="510"/>
      <c r="BM1346" s="510"/>
      <c r="BN1346" s="510"/>
      <c r="BO1346" s="510"/>
      <c r="BP1346" s="510"/>
      <c r="BQ1346" s="510"/>
      <c r="BR1346" s="510"/>
      <c r="BS1346" s="510"/>
      <c r="BT1346" s="513"/>
      <c r="BU1346" s="514"/>
      <c r="BV1346" s="512"/>
      <c r="BW1346" s="515"/>
    </row>
    <row r="1347" spans="2:75" ht="15.75" customHeight="1">
      <c r="B1347" s="250" t="s">
        <v>1559</v>
      </c>
      <c r="C1347" s="251">
        <v>31608483000135</v>
      </c>
      <c r="D1347" s="252" t="s">
        <v>14</v>
      </c>
      <c r="E1347" s="252" t="s">
        <v>614</v>
      </c>
      <c r="F1347" s="252"/>
      <c r="G1347" s="253"/>
      <c r="H1347" s="253" t="s">
        <v>865</v>
      </c>
      <c r="I1347" s="253" t="s">
        <v>34</v>
      </c>
      <c r="J1347" s="253" t="s">
        <v>608</v>
      </c>
      <c r="K1347" s="254" t="s">
        <v>48</v>
      </c>
      <c r="L1347" s="255"/>
      <c r="M1347" s="255"/>
      <c r="N1347" s="254">
        <v>487600</v>
      </c>
      <c r="O1347" s="254" t="s">
        <v>1321</v>
      </c>
      <c r="P1347" s="258">
        <v>43523</v>
      </c>
      <c r="Q1347" s="259">
        <v>360078257.73000002</v>
      </c>
      <c r="R1347" s="259">
        <v>389253918.7048015</v>
      </c>
      <c r="S1347" s="254">
        <v>92</v>
      </c>
      <c r="T1347" s="256">
        <v>0.10658229417932108</v>
      </c>
      <c r="U1347" s="256">
        <v>1.1988284279136678</v>
      </c>
      <c r="V1347" s="256">
        <v>1.2190115431576221E-2</v>
      </c>
      <c r="W1347" s="256">
        <v>0.11187732494115102</v>
      </c>
      <c r="X1347" s="256">
        <v>0.15642348161042885</v>
      </c>
      <c r="Y1347" s="256">
        <v>1.0999371439576284</v>
      </c>
      <c r="Z1347" s="256">
        <v>0.53255279056300542</v>
      </c>
      <c r="AA1347" s="256">
        <v>2.9101686417343684</v>
      </c>
      <c r="AB1347" s="256">
        <v>0.16223956579316837</v>
      </c>
      <c r="AC1347" s="260">
        <v>-0.48213634573960734</v>
      </c>
      <c r="AD1347" s="405">
        <v>32068007000131</v>
      </c>
      <c r="AE1347" s="257" t="s">
        <v>1547</v>
      </c>
      <c r="AF1347" s="257" t="s">
        <v>2121</v>
      </c>
      <c r="AG1347" s="261" t="s">
        <v>1547</v>
      </c>
      <c r="AH1347" s="261" t="s">
        <v>2131</v>
      </c>
      <c r="AI1347" s="261">
        <v>100000</v>
      </c>
      <c r="AJ1347" s="261">
        <v>50000</v>
      </c>
      <c r="AK1347" s="261">
        <v>100000</v>
      </c>
      <c r="AL1347" s="256">
        <v>0</v>
      </c>
      <c r="AM1347" s="256" t="s">
        <v>34</v>
      </c>
      <c r="AN1347" s="256" t="s">
        <v>64</v>
      </c>
      <c r="AO1347" s="254" t="s">
        <v>1324</v>
      </c>
      <c r="AP1347" s="257" t="s">
        <v>716</v>
      </c>
      <c r="AQ1347" s="263" t="s">
        <v>659</v>
      </c>
      <c r="AR1347" s="256" t="s">
        <v>34</v>
      </c>
      <c r="AS1347" s="256" t="s">
        <v>34</v>
      </c>
      <c r="AT1347" s="256"/>
      <c r="AX1347" s="508"/>
      <c r="AY1347" s="509"/>
      <c r="AZ1347" s="509"/>
      <c r="BA1347" s="509"/>
      <c r="BB1347" s="510"/>
      <c r="BC1347" s="509"/>
      <c r="BD1347" s="509"/>
      <c r="BE1347" s="509"/>
      <c r="BF1347" s="509"/>
      <c r="BG1347" s="510"/>
      <c r="BH1347" s="510"/>
      <c r="BI1347" s="511"/>
      <c r="BJ1347" s="511"/>
      <c r="BK1347" s="511"/>
      <c r="BL1347" s="510"/>
      <c r="BM1347" s="510"/>
      <c r="BN1347" s="510"/>
      <c r="BO1347" s="510"/>
      <c r="BP1347" s="510"/>
      <c r="BQ1347" s="510"/>
      <c r="BR1347" s="510"/>
      <c r="BS1347" s="510"/>
      <c r="BT1347" s="513"/>
      <c r="BU1347" s="514"/>
      <c r="BV1347" s="512"/>
      <c r="BW1347" s="515"/>
    </row>
    <row r="1348" spans="2:75" ht="15.75" customHeight="1">
      <c r="B1348" s="250" t="s">
        <v>237</v>
      </c>
      <c r="C1348" s="251">
        <v>40982906000173</v>
      </c>
      <c r="D1348" s="252" t="s">
        <v>14</v>
      </c>
      <c r="E1348" s="252" t="s">
        <v>607</v>
      </c>
      <c r="F1348" s="252"/>
      <c r="G1348" s="253"/>
      <c r="H1348" s="253" t="s">
        <v>34</v>
      </c>
      <c r="I1348" s="253" t="s">
        <v>34</v>
      </c>
      <c r="J1348" s="253" t="s">
        <v>608</v>
      </c>
      <c r="K1348" s="254" t="s">
        <v>48</v>
      </c>
      <c r="L1348" s="255"/>
      <c r="M1348" s="255" t="s">
        <v>1414</v>
      </c>
      <c r="N1348" s="254">
        <v>633860</v>
      </c>
      <c r="O1348" s="254" t="s">
        <v>1324</v>
      </c>
      <c r="P1348" s="258">
        <v>44295</v>
      </c>
      <c r="Q1348" s="259">
        <v>2591337.65</v>
      </c>
      <c r="R1348" s="259">
        <v>4175060.9538888903</v>
      </c>
      <c r="S1348" s="254">
        <v>92</v>
      </c>
      <c r="T1348" s="256">
        <v>-0.57656242620077958</v>
      </c>
      <c r="U1348" s="256">
        <v>-7.4533350177405717</v>
      </c>
      <c r="V1348" s="256">
        <v>-0.64755950082088098</v>
      </c>
      <c r="W1348" s="256">
        <v>-6.3482483756018722</v>
      </c>
      <c r="X1348" s="256" t="s">
        <v>1417</v>
      </c>
      <c r="Y1348" s="256" t="s">
        <v>1417</v>
      </c>
      <c r="Z1348" s="256" t="s">
        <v>1417</v>
      </c>
      <c r="AA1348" s="256" t="s">
        <v>1417</v>
      </c>
      <c r="AB1348" s="256">
        <v>0.88863867812428132</v>
      </c>
      <c r="AC1348" s="260">
        <v>-0.85800313543835038</v>
      </c>
      <c r="AD1348" s="405">
        <v>0</v>
      </c>
      <c r="AE1348" s="257" t="s">
        <v>2277</v>
      </c>
      <c r="AF1348" s="257" t="s">
        <v>2109</v>
      </c>
      <c r="AG1348" s="261" t="s">
        <v>1432</v>
      </c>
      <c r="AH1348" s="261" t="s">
        <v>2110</v>
      </c>
      <c r="AI1348" s="261">
        <v>50000</v>
      </c>
      <c r="AJ1348" s="261">
        <v>10000</v>
      </c>
      <c r="AK1348" s="261">
        <v>10000</v>
      </c>
      <c r="AL1348" s="256">
        <v>5.0000000000000001E-3</v>
      </c>
      <c r="AM1348" s="256">
        <v>0.2</v>
      </c>
      <c r="AN1348" s="256" t="s">
        <v>2141</v>
      </c>
      <c r="AO1348" s="254" t="s">
        <v>1324</v>
      </c>
      <c r="AP1348" s="257" t="s">
        <v>716</v>
      </c>
      <c r="AQ1348" s="263" t="s">
        <v>659</v>
      </c>
      <c r="AR1348" s="256" t="s">
        <v>34</v>
      </c>
      <c r="AS1348" s="256" t="s">
        <v>34</v>
      </c>
      <c r="AT1348" s="256"/>
      <c r="AX1348" s="508"/>
      <c r="AY1348" s="509"/>
      <c r="AZ1348" s="509"/>
      <c r="BA1348" s="509"/>
      <c r="BB1348" s="510"/>
      <c r="BC1348" s="509"/>
      <c r="BD1348" s="509"/>
      <c r="BE1348" s="509"/>
      <c r="BF1348" s="509"/>
      <c r="BG1348" s="510"/>
      <c r="BH1348" s="510"/>
      <c r="BI1348" s="511"/>
      <c r="BJ1348" s="511"/>
      <c r="BK1348" s="511"/>
      <c r="BL1348" s="510"/>
      <c r="BM1348" s="510"/>
      <c r="BN1348" s="510"/>
      <c r="BO1348" s="510"/>
      <c r="BP1348" s="510"/>
      <c r="BQ1348" s="510"/>
      <c r="BR1348" s="510"/>
      <c r="BS1348" s="510"/>
      <c r="BT1348" s="513"/>
      <c r="BU1348" s="514"/>
      <c r="BV1348" s="512"/>
      <c r="BW1348" s="515"/>
    </row>
    <row r="1349" spans="2:75" ht="15.75" customHeight="1">
      <c r="B1349" s="250" t="s">
        <v>238</v>
      </c>
      <c r="C1349" s="251">
        <v>41673186000127</v>
      </c>
      <c r="D1349" s="252" t="s">
        <v>14</v>
      </c>
      <c r="E1349" s="252" t="s">
        <v>607</v>
      </c>
      <c r="F1349" s="252"/>
      <c r="G1349" s="253"/>
      <c r="H1349" s="253" t="s">
        <v>34</v>
      </c>
      <c r="I1349" s="253" t="s">
        <v>34</v>
      </c>
      <c r="J1349" s="253" t="s">
        <v>608</v>
      </c>
      <c r="K1349" s="254" t="s">
        <v>48</v>
      </c>
      <c r="L1349" s="255"/>
      <c r="M1349" s="255" t="s">
        <v>1414</v>
      </c>
      <c r="N1349" s="254">
        <v>589438</v>
      </c>
      <c r="O1349" s="254" t="s">
        <v>1321</v>
      </c>
      <c r="P1349" s="258">
        <v>44330</v>
      </c>
      <c r="Q1349" s="259">
        <v>3915066.86</v>
      </c>
      <c r="R1349" s="259">
        <v>7429838.2403571401</v>
      </c>
      <c r="S1349" s="254">
        <v>92</v>
      </c>
      <c r="T1349" s="256">
        <v>-0.47686784880404254</v>
      </c>
      <c r="U1349" s="256">
        <v>-6.1645637572089518</v>
      </c>
      <c r="V1349" s="256">
        <v>-0.83492058256825086</v>
      </c>
      <c r="W1349" s="256">
        <v>-8.185013462587678</v>
      </c>
      <c r="X1349" s="256" t="s">
        <v>1417</v>
      </c>
      <c r="Y1349" s="256" t="s">
        <v>1417</v>
      </c>
      <c r="Z1349" s="256" t="s">
        <v>1417</v>
      </c>
      <c r="AA1349" s="256" t="s">
        <v>1417</v>
      </c>
      <c r="AB1349" s="256">
        <v>0.73664033258883832</v>
      </c>
      <c r="AC1349" s="260">
        <v>-2.2055186080232105</v>
      </c>
      <c r="AD1349" s="405">
        <v>0</v>
      </c>
      <c r="AE1349" s="257" t="s">
        <v>2277</v>
      </c>
      <c r="AF1349" s="257" t="s">
        <v>2109</v>
      </c>
      <c r="AG1349" s="261" t="s">
        <v>1432</v>
      </c>
      <c r="AH1349" s="261" t="s">
        <v>2110</v>
      </c>
      <c r="AI1349" s="261">
        <v>50000</v>
      </c>
      <c r="AJ1349" s="261">
        <v>10000</v>
      </c>
      <c r="AK1349" s="261">
        <v>10000</v>
      </c>
      <c r="AL1349" s="256">
        <v>5.0000000000000001E-3</v>
      </c>
      <c r="AM1349" s="256">
        <v>0.2</v>
      </c>
      <c r="AN1349" s="256" t="s">
        <v>2141</v>
      </c>
      <c r="AO1349" s="254" t="s">
        <v>1324</v>
      </c>
      <c r="AP1349" s="257" t="s">
        <v>716</v>
      </c>
      <c r="AQ1349" s="263" t="s">
        <v>659</v>
      </c>
      <c r="AR1349" s="256" t="s">
        <v>34</v>
      </c>
      <c r="AS1349" s="256" t="s">
        <v>34</v>
      </c>
      <c r="AT1349" s="256"/>
      <c r="AX1349" s="508"/>
      <c r="AY1349" s="509"/>
      <c r="AZ1349" s="509"/>
      <c r="BA1349" s="509"/>
      <c r="BB1349" s="510"/>
      <c r="BC1349" s="509"/>
      <c r="BD1349" s="509"/>
      <c r="BE1349" s="509"/>
      <c r="BF1349" s="509"/>
      <c r="BG1349" s="510"/>
      <c r="BH1349" s="510"/>
      <c r="BI1349" s="511"/>
      <c r="BJ1349" s="511"/>
      <c r="BK1349" s="511"/>
      <c r="BL1349" s="510"/>
      <c r="BM1349" s="510"/>
      <c r="BN1349" s="510"/>
      <c r="BO1349" s="510"/>
      <c r="BP1349" s="510"/>
      <c r="BQ1349" s="510"/>
      <c r="BR1349" s="510"/>
      <c r="BS1349" s="510"/>
      <c r="BT1349" s="513"/>
      <c r="BU1349" s="514"/>
      <c r="BV1349" s="512"/>
      <c r="BW1349" s="515"/>
    </row>
    <row r="1350" spans="2:75" ht="15.75" customHeight="1">
      <c r="B1350" s="250" t="s">
        <v>1652</v>
      </c>
      <c r="C1350" s="251">
        <v>33019398000167</v>
      </c>
      <c r="D1350" s="252" t="s">
        <v>14</v>
      </c>
      <c r="E1350" s="252" t="s">
        <v>607</v>
      </c>
      <c r="F1350" s="252"/>
      <c r="G1350" s="253"/>
      <c r="H1350" s="253" t="s">
        <v>34</v>
      </c>
      <c r="I1350" s="253" t="s">
        <v>34</v>
      </c>
      <c r="J1350" s="253" t="s">
        <v>608</v>
      </c>
      <c r="K1350" s="254" t="s">
        <v>48</v>
      </c>
      <c r="L1350" s="255"/>
      <c r="M1350" s="255"/>
      <c r="N1350" s="254">
        <v>498262</v>
      </c>
      <c r="O1350" s="254" t="s">
        <v>1321</v>
      </c>
      <c r="P1350" s="258">
        <v>43620</v>
      </c>
      <c r="Q1350" s="259">
        <v>121542664.7</v>
      </c>
      <c r="R1350" s="259">
        <v>251067219.04757917</v>
      </c>
      <c r="S1350" s="254">
        <v>92</v>
      </c>
      <c r="T1350" s="256">
        <v>-5.4341145458004281E-2</v>
      </c>
      <c r="U1350" s="256">
        <v>-0.61122450480228718</v>
      </c>
      <c r="V1350" s="256">
        <v>-0.13975465894402106</v>
      </c>
      <c r="W1350" s="256">
        <v>-1.2826275090241928</v>
      </c>
      <c r="X1350" s="256">
        <v>-3.6119098737636968E-3</v>
      </c>
      <c r="Y1350" s="256">
        <v>-2.5398193352289666E-2</v>
      </c>
      <c r="Z1350" s="256">
        <v>0.14278131906552027</v>
      </c>
      <c r="AA1350" s="256">
        <v>0.78023761161906335</v>
      </c>
      <c r="AB1350" s="256">
        <v>0.25215425148708931</v>
      </c>
      <c r="AC1350" s="260">
        <v>-0.88152256837564613</v>
      </c>
      <c r="AD1350" s="405">
        <v>0</v>
      </c>
      <c r="AE1350" s="257" t="s">
        <v>2318</v>
      </c>
      <c r="AF1350" s="257" t="s">
        <v>2318</v>
      </c>
      <c r="AG1350" s="261" t="s">
        <v>1436</v>
      </c>
      <c r="AH1350" s="261" t="s">
        <v>2110</v>
      </c>
      <c r="AI1350" s="261">
        <v>500000</v>
      </c>
      <c r="AJ1350" s="261">
        <v>10000</v>
      </c>
      <c r="AK1350" s="261">
        <v>500000</v>
      </c>
      <c r="AL1350" s="256">
        <v>0</v>
      </c>
      <c r="AM1350" s="256" t="s">
        <v>34</v>
      </c>
      <c r="AN1350" s="256" t="s">
        <v>666</v>
      </c>
      <c r="AO1350" s="254" t="s">
        <v>1324</v>
      </c>
      <c r="AP1350" s="257" t="s">
        <v>716</v>
      </c>
      <c r="AQ1350" s="263" t="s">
        <v>659</v>
      </c>
      <c r="AR1350" s="256" t="s">
        <v>34</v>
      </c>
      <c r="AS1350" s="256" t="s">
        <v>34</v>
      </c>
      <c r="AT1350" s="256"/>
      <c r="AX1350" s="508"/>
      <c r="AY1350" s="509"/>
      <c r="AZ1350" s="509"/>
      <c r="BA1350" s="509"/>
      <c r="BB1350" s="510"/>
      <c r="BC1350" s="509"/>
      <c r="BD1350" s="509"/>
      <c r="BE1350" s="509"/>
      <c r="BF1350" s="509"/>
      <c r="BG1350" s="510"/>
      <c r="BH1350" s="510"/>
      <c r="BI1350" s="511"/>
      <c r="BJ1350" s="511"/>
      <c r="BK1350" s="511"/>
      <c r="BL1350" s="510"/>
      <c r="BM1350" s="510"/>
      <c r="BN1350" s="510"/>
      <c r="BO1350" s="510"/>
      <c r="BP1350" s="510"/>
      <c r="BQ1350" s="510"/>
      <c r="BR1350" s="510"/>
      <c r="BS1350" s="510"/>
      <c r="BT1350" s="513"/>
      <c r="BU1350" s="514"/>
      <c r="BV1350" s="512"/>
      <c r="BW1350" s="515"/>
    </row>
    <row r="1351" spans="2:75" ht="15.75" customHeight="1">
      <c r="B1351" s="250" t="s">
        <v>371</v>
      </c>
      <c r="C1351" s="251">
        <v>40265128000100</v>
      </c>
      <c r="D1351" s="252" t="s">
        <v>14</v>
      </c>
      <c r="E1351" s="252" t="s">
        <v>614</v>
      </c>
      <c r="F1351" s="252"/>
      <c r="G1351" s="253"/>
      <c r="H1351" s="253" t="s">
        <v>865</v>
      </c>
      <c r="I1351" s="253" t="s">
        <v>34</v>
      </c>
      <c r="J1351" s="253" t="s">
        <v>608</v>
      </c>
      <c r="K1351" s="254" t="s">
        <v>48</v>
      </c>
      <c r="L1351" s="255"/>
      <c r="M1351" s="255" t="s">
        <v>1414</v>
      </c>
      <c r="N1351" s="254">
        <v>576190</v>
      </c>
      <c r="O1351" s="254" t="s">
        <v>1321</v>
      </c>
      <c r="P1351" s="258">
        <v>44252</v>
      </c>
      <c r="Q1351" s="259">
        <v>100611936.29000001</v>
      </c>
      <c r="R1351" s="259">
        <v>79283293.853968263</v>
      </c>
      <c r="S1351" s="254">
        <v>92</v>
      </c>
      <c r="T1351" s="256">
        <v>8.6456408164095278E-2</v>
      </c>
      <c r="U1351" s="256">
        <v>1.1176388630172791</v>
      </c>
      <c r="V1351" s="256">
        <v>-2.1480521489230409E-2</v>
      </c>
      <c r="W1351" s="256">
        <v>-0.21058093577227446</v>
      </c>
      <c r="X1351" s="256" t="s">
        <v>1417</v>
      </c>
      <c r="Y1351" s="256" t="s">
        <v>1417</v>
      </c>
      <c r="Z1351" s="256" t="s">
        <v>1417</v>
      </c>
      <c r="AA1351" s="256" t="s">
        <v>1417</v>
      </c>
      <c r="AB1351" s="256">
        <v>0.15897950180454987</v>
      </c>
      <c r="AC1351" s="260">
        <v>-0.66849910120626188</v>
      </c>
      <c r="AD1351" s="405">
        <v>39959914000110</v>
      </c>
      <c r="AE1351" s="257" t="s">
        <v>2123</v>
      </c>
      <c r="AF1351" s="257" t="s">
        <v>2109</v>
      </c>
      <c r="AG1351" s="261" t="s">
        <v>1432</v>
      </c>
      <c r="AH1351" s="261" t="s">
        <v>2110</v>
      </c>
      <c r="AI1351" s="261">
        <v>5000</v>
      </c>
      <c r="AJ1351" s="261">
        <v>5000</v>
      </c>
      <c r="AK1351" s="261">
        <v>5000</v>
      </c>
      <c r="AL1351" s="256">
        <v>0</v>
      </c>
      <c r="AM1351" s="256" t="s">
        <v>34</v>
      </c>
      <c r="AN1351" s="256" t="s">
        <v>34</v>
      </c>
      <c r="AO1351" s="254" t="s">
        <v>1324</v>
      </c>
      <c r="AP1351" s="257" t="s">
        <v>716</v>
      </c>
      <c r="AQ1351" s="263" t="s">
        <v>659</v>
      </c>
      <c r="AR1351" s="256">
        <v>3.2506499999999999E-3</v>
      </c>
      <c r="AS1351" s="256">
        <v>3.2506499999999999E-3</v>
      </c>
      <c r="AT1351" s="256"/>
      <c r="AX1351" s="508"/>
      <c r="AY1351" s="509"/>
      <c r="AZ1351" s="509"/>
      <c r="BA1351" s="509"/>
      <c r="BB1351" s="510"/>
      <c r="BC1351" s="509"/>
      <c r="BD1351" s="509"/>
      <c r="BE1351" s="509"/>
      <c r="BF1351" s="509"/>
      <c r="BG1351" s="510"/>
      <c r="BH1351" s="510"/>
      <c r="BI1351" s="511"/>
      <c r="BJ1351" s="511"/>
      <c r="BK1351" s="511"/>
      <c r="BL1351" s="510"/>
      <c r="BM1351" s="510"/>
      <c r="BN1351" s="510"/>
      <c r="BO1351" s="510"/>
      <c r="BP1351" s="510"/>
      <c r="BQ1351" s="510"/>
      <c r="BR1351" s="510"/>
      <c r="BS1351" s="510"/>
      <c r="BT1351" s="513"/>
      <c r="BU1351" s="514"/>
      <c r="BV1351" s="512"/>
      <c r="BW1351" s="515"/>
    </row>
    <row r="1352" spans="2:75" ht="15.75" customHeight="1">
      <c r="B1352" s="250" t="s">
        <v>1210</v>
      </c>
      <c r="C1352" s="251">
        <v>42922205000174</v>
      </c>
      <c r="D1352" s="252" t="s">
        <v>14</v>
      </c>
      <c r="E1352" s="252" t="s">
        <v>607</v>
      </c>
      <c r="F1352" s="252"/>
      <c r="G1352" s="253"/>
      <c r="H1352" s="253" t="s">
        <v>34</v>
      </c>
      <c r="I1352" s="253" t="s">
        <v>34</v>
      </c>
      <c r="J1352" s="253" t="s">
        <v>608</v>
      </c>
      <c r="K1352" s="254" t="s">
        <v>48</v>
      </c>
      <c r="L1352" s="255"/>
      <c r="M1352" s="255" t="s">
        <v>1414</v>
      </c>
      <c r="N1352" s="254">
        <v>646581</v>
      </c>
      <c r="O1352" s="254" t="s">
        <v>1321</v>
      </c>
      <c r="P1352" s="258">
        <v>44650</v>
      </c>
      <c r="Q1352" s="259">
        <v>33880792.439999998</v>
      </c>
      <c r="R1352" s="259" t="s">
        <v>1417</v>
      </c>
      <c r="S1352" s="254">
        <v>92</v>
      </c>
      <c r="T1352" s="256" t="s">
        <v>1417</v>
      </c>
      <c r="U1352" s="256" t="s">
        <v>1417</v>
      </c>
      <c r="V1352" s="256" t="s">
        <v>1417</v>
      </c>
      <c r="W1352" s="256" t="s">
        <v>1417</v>
      </c>
      <c r="X1352" s="256" t="s">
        <v>1417</v>
      </c>
      <c r="Y1352" s="256" t="s">
        <v>1417</v>
      </c>
      <c r="Z1352" s="256" t="s">
        <v>1417</v>
      </c>
      <c r="AA1352" s="256" t="s">
        <v>1417</v>
      </c>
      <c r="AB1352" s="256" t="s">
        <v>1417</v>
      </c>
      <c r="AC1352" s="260" t="s">
        <v>1417</v>
      </c>
      <c r="AD1352" s="405">
        <v>27389566000103</v>
      </c>
      <c r="AE1352" s="257" t="s">
        <v>2408</v>
      </c>
      <c r="AF1352" s="257" t="s">
        <v>741</v>
      </c>
      <c r="AG1352" s="261" t="s">
        <v>741</v>
      </c>
      <c r="AH1352" s="261" t="s">
        <v>2113</v>
      </c>
      <c r="AI1352" s="261">
        <v>1000</v>
      </c>
      <c r="AJ1352" s="261">
        <v>1000</v>
      </c>
      <c r="AK1352" s="261">
        <v>0</v>
      </c>
      <c r="AL1352" s="256">
        <v>0.02</v>
      </c>
      <c r="AM1352" s="256">
        <v>0.2</v>
      </c>
      <c r="AN1352" s="256" t="s">
        <v>2122</v>
      </c>
      <c r="AO1352" s="254" t="s">
        <v>1324</v>
      </c>
      <c r="AP1352" s="257" t="s">
        <v>716</v>
      </c>
      <c r="AQ1352" s="263" t="s">
        <v>659</v>
      </c>
      <c r="AR1352" s="256">
        <v>2.333E-3</v>
      </c>
      <c r="AS1352" s="256">
        <v>2.333E-3</v>
      </c>
      <c r="AT1352" s="256"/>
      <c r="AX1352" s="508"/>
      <c r="AY1352" s="509"/>
      <c r="AZ1352" s="509"/>
      <c r="BA1352" s="509"/>
      <c r="BB1352" s="510"/>
      <c r="BC1352" s="509"/>
      <c r="BD1352" s="509"/>
      <c r="BE1352" s="509"/>
      <c r="BF1352" s="509"/>
      <c r="BG1352" s="510"/>
      <c r="BH1352" s="510"/>
      <c r="BI1352" s="511"/>
      <c r="BJ1352" s="511"/>
      <c r="BK1352" s="511"/>
      <c r="BL1352" s="510"/>
      <c r="BM1352" s="510"/>
      <c r="BN1352" s="510"/>
      <c r="BO1352" s="510"/>
      <c r="BP1352" s="510"/>
      <c r="BQ1352" s="510"/>
      <c r="BR1352" s="510"/>
      <c r="BS1352" s="510"/>
      <c r="BT1352" s="513"/>
      <c r="BU1352" s="514"/>
      <c r="BV1352" s="512"/>
      <c r="BW1352" s="515"/>
    </row>
    <row r="1353" spans="2:75" ht="15.75" customHeight="1">
      <c r="B1353" s="250" t="s">
        <v>1211</v>
      </c>
      <c r="C1353" s="251">
        <v>39346123000114</v>
      </c>
      <c r="D1353" s="252" t="s">
        <v>14</v>
      </c>
      <c r="E1353" s="252" t="s">
        <v>607</v>
      </c>
      <c r="F1353" s="252"/>
      <c r="G1353" s="253"/>
      <c r="H1353" s="253" t="s">
        <v>34</v>
      </c>
      <c r="I1353" s="253" t="s">
        <v>34</v>
      </c>
      <c r="J1353" s="253" t="s">
        <v>608</v>
      </c>
      <c r="K1353" s="254" t="s">
        <v>48</v>
      </c>
      <c r="L1353" s="255"/>
      <c r="M1353" s="255" t="s">
        <v>1414</v>
      </c>
      <c r="N1353" s="254">
        <v>560162</v>
      </c>
      <c r="O1353" s="254" t="s">
        <v>1321</v>
      </c>
      <c r="P1353" s="258">
        <v>44146</v>
      </c>
      <c r="Q1353" s="259">
        <v>181521538.66999999</v>
      </c>
      <c r="R1353" s="259">
        <v>131809061.22996029</v>
      </c>
      <c r="S1353" s="254">
        <v>92</v>
      </c>
      <c r="T1353" s="256">
        <v>0.16944923974837889</v>
      </c>
      <c r="U1353" s="256">
        <v>2.1905033955617177</v>
      </c>
      <c r="V1353" s="256">
        <v>0.15520530027144952</v>
      </c>
      <c r="W1353" s="256">
        <v>1.52153090810039</v>
      </c>
      <c r="X1353" s="256" t="s">
        <v>1417</v>
      </c>
      <c r="Y1353" s="256" t="s">
        <v>1417</v>
      </c>
      <c r="Z1353" s="256" t="s">
        <v>1417</v>
      </c>
      <c r="AA1353" s="256" t="s">
        <v>1417</v>
      </c>
      <c r="AB1353" s="256">
        <v>0.20223571168618246</v>
      </c>
      <c r="AC1353" s="260">
        <v>0.33389708741213087</v>
      </c>
      <c r="AD1353" s="405">
        <v>39344744000169</v>
      </c>
      <c r="AE1353" s="257" t="s">
        <v>2408</v>
      </c>
      <c r="AF1353" s="257" t="s">
        <v>741</v>
      </c>
      <c r="AG1353" s="261" t="s">
        <v>741</v>
      </c>
      <c r="AH1353" s="261" t="s">
        <v>2110</v>
      </c>
      <c r="AI1353" s="261">
        <v>1000</v>
      </c>
      <c r="AJ1353" s="261">
        <v>1000</v>
      </c>
      <c r="AK1353" s="261">
        <v>1000</v>
      </c>
      <c r="AL1353" s="256">
        <v>0.02</v>
      </c>
      <c r="AM1353" s="256">
        <v>0.2</v>
      </c>
      <c r="AN1353" s="256" t="s">
        <v>666</v>
      </c>
      <c r="AO1353" s="254" t="s">
        <v>1324</v>
      </c>
      <c r="AP1353" s="257" t="s">
        <v>716</v>
      </c>
      <c r="AQ1353" s="263" t="s">
        <v>659</v>
      </c>
      <c r="AR1353" s="256" t="s">
        <v>34</v>
      </c>
      <c r="AS1353" s="256" t="s">
        <v>34</v>
      </c>
      <c r="AT1353" s="256"/>
      <c r="AX1353" s="508"/>
      <c r="AY1353" s="509"/>
      <c r="AZ1353" s="509"/>
      <c r="BA1353" s="509"/>
      <c r="BB1353" s="510"/>
      <c r="BC1353" s="509"/>
      <c r="BD1353" s="509"/>
      <c r="BE1353" s="509"/>
      <c r="BF1353" s="509"/>
      <c r="BG1353" s="510"/>
      <c r="BH1353" s="510"/>
      <c r="BI1353" s="511"/>
      <c r="BJ1353" s="511"/>
      <c r="BK1353" s="511"/>
      <c r="BL1353" s="510"/>
      <c r="BM1353" s="510"/>
      <c r="BN1353" s="510"/>
      <c r="BO1353" s="510"/>
      <c r="BP1353" s="510"/>
      <c r="BQ1353" s="510"/>
      <c r="BR1353" s="510"/>
      <c r="BS1353" s="510"/>
      <c r="BT1353" s="513"/>
      <c r="BU1353" s="514"/>
      <c r="BV1353" s="512"/>
      <c r="BW1353" s="515"/>
    </row>
    <row r="1354" spans="2:75" ht="15.75" customHeight="1">
      <c r="B1354" s="250" t="s">
        <v>597</v>
      </c>
      <c r="C1354" s="251">
        <v>41574875000184</v>
      </c>
      <c r="D1354" s="252" t="s">
        <v>14</v>
      </c>
      <c r="E1354" s="252" t="s">
        <v>607</v>
      </c>
      <c r="F1354" s="252"/>
      <c r="G1354" s="253"/>
      <c r="H1354" s="253" t="s">
        <v>34</v>
      </c>
      <c r="I1354" s="253" t="s">
        <v>34</v>
      </c>
      <c r="J1354" s="253" t="s">
        <v>608</v>
      </c>
      <c r="K1354" s="254" t="s">
        <v>48</v>
      </c>
      <c r="L1354" s="255"/>
      <c r="M1354" s="255" t="s">
        <v>34</v>
      </c>
      <c r="N1354" s="254">
        <v>624438</v>
      </c>
      <c r="O1354" s="254" t="s">
        <v>1321</v>
      </c>
      <c r="P1354" s="258">
        <v>44355</v>
      </c>
      <c r="Q1354" s="259">
        <v>1313299.49</v>
      </c>
      <c r="R1354" s="259">
        <v>1161445.4335317465</v>
      </c>
      <c r="S1354" s="254">
        <v>92</v>
      </c>
      <c r="T1354" s="256">
        <v>4.1650050562613394E-2</v>
      </c>
      <c r="U1354" s="256">
        <v>0.53841833293675023</v>
      </c>
      <c r="V1354" s="256">
        <v>-0.1013695909350677</v>
      </c>
      <c r="W1354" s="256">
        <v>-0.99376094424251415</v>
      </c>
      <c r="X1354" s="256" t="s">
        <v>1417</v>
      </c>
      <c r="Y1354" s="256" t="s">
        <v>1417</v>
      </c>
      <c r="Z1354" s="256" t="s">
        <v>1417</v>
      </c>
      <c r="AA1354" s="256" t="s">
        <v>1417</v>
      </c>
      <c r="AB1354" s="256">
        <v>0.26291768092307594</v>
      </c>
      <c r="AC1354" s="260">
        <v>-0.64449549948324258</v>
      </c>
      <c r="AD1354" s="405">
        <v>29088425000186</v>
      </c>
      <c r="AE1354" s="257" t="s">
        <v>2260</v>
      </c>
      <c r="AF1354" s="257" t="s">
        <v>2109</v>
      </c>
      <c r="AG1354" s="261" t="s">
        <v>1432</v>
      </c>
      <c r="AH1354" s="261" t="s">
        <v>2113</v>
      </c>
      <c r="AI1354" s="261">
        <v>50</v>
      </c>
      <c r="AJ1354" s="261">
        <v>50</v>
      </c>
      <c r="AK1354" s="261">
        <v>30</v>
      </c>
      <c r="AL1354" s="256">
        <v>0.02</v>
      </c>
      <c r="AM1354" s="256">
        <v>0.2</v>
      </c>
      <c r="AN1354" s="256" t="s">
        <v>34</v>
      </c>
      <c r="AO1354" s="254" t="s">
        <v>1324</v>
      </c>
      <c r="AP1354" s="257" t="s">
        <v>716</v>
      </c>
      <c r="AQ1354" s="263" t="s">
        <v>681</v>
      </c>
      <c r="AR1354" s="256">
        <v>5.3333333333333332E-3</v>
      </c>
      <c r="AS1354" s="256">
        <v>5.3333333333333332E-3</v>
      </c>
      <c r="AT1354" s="256"/>
      <c r="AX1354" s="508"/>
      <c r="AY1354" s="509"/>
      <c r="AZ1354" s="509"/>
      <c r="BA1354" s="509"/>
      <c r="BB1354" s="510"/>
      <c r="BC1354" s="509"/>
      <c r="BD1354" s="509"/>
      <c r="BE1354" s="509"/>
      <c r="BF1354" s="509"/>
      <c r="BG1354" s="510"/>
      <c r="BH1354" s="510"/>
      <c r="BI1354" s="511"/>
      <c r="BJ1354" s="511"/>
      <c r="BK1354" s="511"/>
      <c r="BL1354" s="510"/>
      <c r="BM1354" s="510"/>
      <c r="BN1354" s="510"/>
      <c r="BO1354" s="510"/>
      <c r="BP1354" s="510"/>
      <c r="BQ1354" s="510"/>
      <c r="BR1354" s="510"/>
      <c r="BS1354" s="510"/>
      <c r="BT1354" s="513"/>
      <c r="BU1354" s="514"/>
      <c r="BV1354" s="512"/>
      <c r="BW1354" s="515"/>
    </row>
    <row r="1355" spans="2:75" ht="15.75" customHeight="1">
      <c r="B1355" s="250" t="s">
        <v>599</v>
      </c>
      <c r="C1355" s="251">
        <v>14163402000111</v>
      </c>
      <c r="D1355" s="252" t="s">
        <v>14</v>
      </c>
      <c r="E1355" s="252" t="s">
        <v>607</v>
      </c>
      <c r="F1355" s="252"/>
      <c r="G1355" s="253"/>
      <c r="H1355" s="253" t="s">
        <v>34</v>
      </c>
      <c r="I1355" s="253" t="s">
        <v>34</v>
      </c>
      <c r="J1355" s="253" t="s">
        <v>608</v>
      </c>
      <c r="K1355" s="254" t="s">
        <v>48</v>
      </c>
      <c r="L1355" s="255"/>
      <c r="M1355" s="255" t="s">
        <v>1414</v>
      </c>
      <c r="N1355" s="254">
        <v>297593</v>
      </c>
      <c r="O1355" s="254" t="s">
        <v>1321</v>
      </c>
      <c r="P1355" s="258">
        <v>40947</v>
      </c>
      <c r="Q1355" s="259">
        <v>15310578.109999999</v>
      </c>
      <c r="R1355" s="259">
        <v>12060268.053015867</v>
      </c>
      <c r="S1355" s="254">
        <v>92</v>
      </c>
      <c r="T1355" s="256">
        <v>-7.3062131006467301E-2</v>
      </c>
      <c r="U1355" s="256">
        <v>-0.94448842788728304</v>
      </c>
      <c r="V1355" s="256">
        <v>-0.21240658341198693</v>
      </c>
      <c r="W1355" s="256">
        <v>-2.082294748826901</v>
      </c>
      <c r="X1355" s="256">
        <v>-6.5653451839990828E-2</v>
      </c>
      <c r="Y1355" s="256">
        <v>-0.49786205194481448</v>
      </c>
      <c r="Z1355" s="256">
        <v>0.12593357407092709</v>
      </c>
      <c r="AA1355" s="256">
        <v>0.71584726120570863</v>
      </c>
      <c r="AB1355" s="256">
        <v>0.23095147725779025</v>
      </c>
      <c r="AC1355" s="260">
        <v>-1.3389307693146015</v>
      </c>
      <c r="AD1355" s="405">
        <v>0</v>
      </c>
      <c r="AE1355" s="257" t="s">
        <v>2420</v>
      </c>
      <c r="AF1355" s="257" t="s">
        <v>2109</v>
      </c>
      <c r="AG1355" s="261" t="s">
        <v>1432</v>
      </c>
      <c r="AH1355" s="261" t="s">
        <v>2131</v>
      </c>
      <c r="AI1355" s="261">
        <v>25000</v>
      </c>
      <c r="AJ1355" s="261">
        <v>25000</v>
      </c>
      <c r="AK1355" s="261">
        <v>5000</v>
      </c>
      <c r="AL1355" s="256">
        <v>8.0000000000000004E-4</v>
      </c>
      <c r="AM1355" s="256" t="s">
        <v>34</v>
      </c>
      <c r="AN1355" s="256" t="s">
        <v>2127</v>
      </c>
      <c r="AO1355" s="254" t="s">
        <v>1324</v>
      </c>
      <c r="AP1355" s="257" t="s">
        <v>716</v>
      </c>
      <c r="AQ1355" s="263" t="s">
        <v>659</v>
      </c>
      <c r="AR1355" s="256">
        <v>1.3333333333333334E-4</v>
      </c>
      <c r="AS1355" s="256">
        <v>1.3333333333333334E-4</v>
      </c>
      <c r="AT1355" s="256"/>
      <c r="AX1355" s="508"/>
      <c r="AY1355" s="509"/>
      <c r="AZ1355" s="509"/>
      <c r="BA1355" s="509"/>
      <c r="BB1355" s="510"/>
      <c r="BC1355" s="509"/>
      <c r="BD1355" s="509"/>
      <c r="BE1355" s="509"/>
      <c r="BF1355" s="509"/>
      <c r="BG1355" s="510"/>
      <c r="BH1355" s="510"/>
      <c r="BI1355" s="511"/>
      <c r="BJ1355" s="511"/>
      <c r="BK1355" s="511"/>
      <c r="BL1355" s="510"/>
      <c r="BM1355" s="510"/>
      <c r="BN1355" s="510"/>
      <c r="BO1355" s="510"/>
      <c r="BP1355" s="510"/>
      <c r="BQ1355" s="510"/>
      <c r="BR1355" s="510"/>
      <c r="BS1355" s="510"/>
      <c r="BT1355" s="513"/>
      <c r="BU1355" s="514"/>
      <c r="BV1355" s="512"/>
      <c r="BW1355" s="515"/>
    </row>
    <row r="1356" spans="2:75" ht="15.75" customHeight="1">
      <c r="B1356" s="250" t="s">
        <v>717</v>
      </c>
      <c r="C1356" s="251">
        <v>36498567000187</v>
      </c>
      <c r="D1356" s="252" t="s">
        <v>13</v>
      </c>
      <c r="E1356" s="252" t="s">
        <v>615</v>
      </c>
      <c r="F1356" s="252" t="s">
        <v>619</v>
      </c>
      <c r="G1356" s="253" t="s">
        <v>34</v>
      </c>
      <c r="H1356" s="253" t="s">
        <v>865</v>
      </c>
      <c r="I1356" s="253" t="s">
        <v>34</v>
      </c>
      <c r="J1356" s="253"/>
      <c r="K1356" s="254" t="s">
        <v>48</v>
      </c>
      <c r="L1356" s="255"/>
      <c r="M1356" s="255" t="s">
        <v>1414</v>
      </c>
      <c r="N1356" s="254">
        <v>542407</v>
      </c>
      <c r="O1356" s="254" t="s">
        <v>1321</v>
      </c>
      <c r="P1356" s="258">
        <v>43998</v>
      </c>
      <c r="Q1356" s="259">
        <v>2841709.05</v>
      </c>
      <c r="R1356" s="259">
        <v>2891554.5593650797</v>
      </c>
      <c r="S1356" s="254">
        <v>93</v>
      </c>
      <c r="T1356" s="256">
        <v>6.5592877789339976E-2</v>
      </c>
      <c r="U1356" s="256">
        <v>0.84793193369041708</v>
      </c>
      <c r="V1356" s="256">
        <v>5.9608399686911007E-2</v>
      </c>
      <c r="W1356" s="256">
        <v>0.58436163164152266</v>
      </c>
      <c r="X1356" s="256">
        <v>0.11659989425615125</v>
      </c>
      <c r="Y1356" s="256">
        <v>0.88419817974530368</v>
      </c>
      <c r="Z1356" s="256" t="s">
        <v>1417</v>
      </c>
      <c r="AA1356" s="256" t="s">
        <v>1417</v>
      </c>
      <c r="AB1356" s="256">
        <v>5.76286169029133E-2</v>
      </c>
      <c r="AC1356" s="260">
        <v>-0.65220495393414024</v>
      </c>
      <c r="AD1356" s="405">
        <v>36016411000112</v>
      </c>
      <c r="AE1356" s="257" t="s">
        <v>2108</v>
      </c>
      <c r="AF1356" s="257" t="s">
        <v>2109</v>
      </c>
      <c r="AG1356" s="261" t="s">
        <v>1432</v>
      </c>
      <c r="AH1356" s="261" t="s">
        <v>2110</v>
      </c>
      <c r="AI1356" s="261">
        <v>100</v>
      </c>
      <c r="AJ1356" s="261">
        <v>100</v>
      </c>
      <c r="AK1356" s="261">
        <v>100</v>
      </c>
      <c r="AL1356" s="519">
        <v>6.9999999999999993E-3</v>
      </c>
      <c r="AM1356" s="519">
        <v>0.1</v>
      </c>
      <c r="AN1356" s="256" t="s">
        <v>34</v>
      </c>
      <c r="AO1356" s="254" t="s">
        <v>1324</v>
      </c>
      <c r="AP1356" s="257" t="s">
        <v>13</v>
      </c>
      <c r="AQ1356" s="263" t="s">
        <v>668</v>
      </c>
      <c r="AR1356" s="256">
        <v>2.3E-3</v>
      </c>
      <c r="AS1356" s="256">
        <v>2.3E-3</v>
      </c>
      <c r="AT1356" s="256"/>
      <c r="AX1356" s="508"/>
      <c r="AY1356" s="509"/>
      <c r="AZ1356" s="509"/>
      <c r="BA1356" s="509"/>
      <c r="BB1356" s="510"/>
      <c r="BC1356" s="509"/>
      <c r="BD1356" s="509"/>
      <c r="BE1356" s="509"/>
      <c r="BF1356" s="509"/>
      <c r="BG1356" s="510"/>
      <c r="BH1356" s="510"/>
      <c r="BI1356" s="511"/>
      <c r="BJ1356" s="511"/>
      <c r="BK1356" s="511"/>
      <c r="BL1356" s="510"/>
      <c r="BM1356" s="510"/>
      <c r="BN1356" s="510"/>
      <c r="BO1356" s="510"/>
      <c r="BP1356" s="510"/>
      <c r="BQ1356" s="510"/>
      <c r="BR1356" s="510"/>
      <c r="BS1356" s="510"/>
      <c r="BT1356" s="513"/>
      <c r="BU1356" s="514"/>
      <c r="BV1356" s="512"/>
      <c r="BW1356" s="515"/>
    </row>
    <row r="1357" spans="2:75" ht="15.75" customHeight="1">
      <c r="B1357" s="250" t="s">
        <v>840</v>
      </c>
      <c r="C1357" s="251">
        <v>15912241000184</v>
      </c>
      <c r="D1357" s="252" t="s">
        <v>14</v>
      </c>
      <c r="E1357" s="252" t="s">
        <v>607</v>
      </c>
      <c r="F1357" s="252"/>
      <c r="G1357" s="253"/>
      <c r="H1357" s="253" t="s">
        <v>34</v>
      </c>
      <c r="I1357" s="253" t="s">
        <v>34</v>
      </c>
      <c r="J1357" s="253"/>
      <c r="K1357" s="254" t="s">
        <v>48</v>
      </c>
      <c r="L1357" s="255"/>
      <c r="M1357" s="255" t="s">
        <v>34</v>
      </c>
      <c r="N1357" s="254">
        <v>314153</v>
      </c>
      <c r="O1357" s="254" t="s">
        <v>1321</v>
      </c>
      <c r="P1357" s="258">
        <v>41155</v>
      </c>
      <c r="Q1357" s="259">
        <v>55645333.270000003</v>
      </c>
      <c r="R1357" s="259">
        <v>91181592.497420624</v>
      </c>
      <c r="S1357" s="254">
        <v>94</v>
      </c>
      <c r="T1357" s="256">
        <v>-0.17025672674032222</v>
      </c>
      <c r="U1357" s="256">
        <v>-2.2009419375129848</v>
      </c>
      <c r="V1357" s="256">
        <v>-0.32255624898886837</v>
      </c>
      <c r="W1357" s="256">
        <v>-3.1621297828046449</v>
      </c>
      <c r="X1357" s="256">
        <v>-0.31916264899976166</v>
      </c>
      <c r="Y1357" s="256">
        <v>-2.4202683466275174</v>
      </c>
      <c r="Z1357" s="256">
        <v>-0.18232144102213832</v>
      </c>
      <c r="AA1357" s="256">
        <v>-1.036374177241002</v>
      </c>
      <c r="AB1357" s="256">
        <v>0.19146256755564947</v>
      </c>
      <c r="AC1357" s="260">
        <v>-2.4445901063272819</v>
      </c>
      <c r="AD1357" s="405">
        <v>16565058000112</v>
      </c>
      <c r="AE1357" s="257" t="s">
        <v>2123</v>
      </c>
      <c r="AF1357" s="257" t="s">
        <v>2109</v>
      </c>
      <c r="AG1357" s="261" t="s">
        <v>1432</v>
      </c>
      <c r="AH1357" s="261" t="s">
        <v>2113</v>
      </c>
      <c r="AI1357" s="261">
        <v>5000</v>
      </c>
      <c r="AJ1357" s="261">
        <v>5000</v>
      </c>
      <c r="AK1357" s="261">
        <v>5000</v>
      </c>
      <c r="AL1357" s="256">
        <v>7.4999999999999997E-3</v>
      </c>
      <c r="AM1357" s="256">
        <v>0.1</v>
      </c>
      <c r="AN1357" s="256" t="s">
        <v>2127</v>
      </c>
      <c r="AO1357" s="254" t="s">
        <v>1324</v>
      </c>
      <c r="AP1357" s="257" t="s">
        <v>716</v>
      </c>
      <c r="AQ1357" s="263" t="s">
        <v>659</v>
      </c>
      <c r="AR1357" s="256">
        <v>6.0000000000000001E-3</v>
      </c>
      <c r="AS1357" s="256">
        <v>6.0000000000000001E-3</v>
      </c>
      <c r="AT1357" s="256"/>
      <c r="AX1357" s="508"/>
      <c r="AY1357" s="509"/>
      <c r="AZ1357" s="509"/>
      <c r="BA1357" s="509"/>
      <c r="BB1357" s="510"/>
      <c r="BC1357" s="509"/>
      <c r="BD1357" s="509"/>
      <c r="BE1357" s="509"/>
      <c r="BF1357" s="509"/>
      <c r="BG1357" s="510"/>
      <c r="BH1357" s="510"/>
      <c r="BI1357" s="511"/>
      <c r="BJ1357" s="511"/>
      <c r="BK1357" s="511"/>
      <c r="BL1357" s="510"/>
      <c r="BM1357" s="510"/>
      <c r="BN1357" s="510"/>
      <c r="BO1357" s="510"/>
      <c r="BP1357" s="510"/>
      <c r="BQ1357" s="510"/>
      <c r="BR1357" s="510"/>
      <c r="BS1357" s="510"/>
      <c r="BT1357" s="513"/>
      <c r="BU1357" s="514"/>
      <c r="BV1357" s="512"/>
      <c r="BW1357" s="515"/>
    </row>
    <row r="1358" spans="2:75" ht="15.75" customHeight="1">
      <c r="B1358" s="250" t="s">
        <v>267</v>
      </c>
      <c r="C1358" s="251">
        <v>37008385000143</v>
      </c>
      <c r="D1358" s="252" t="s">
        <v>13</v>
      </c>
      <c r="E1358" s="252" t="s">
        <v>616</v>
      </c>
      <c r="F1358" s="252" t="s">
        <v>619</v>
      </c>
      <c r="G1358" s="253" t="s">
        <v>34</v>
      </c>
      <c r="H1358" s="253" t="s">
        <v>1338</v>
      </c>
      <c r="I1358" s="253" t="s">
        <v>34</v>
      </c>
      <c r="J1358" s="253" t="s">
        <v>611</v>
      </c>
      <c r="K1358" s="254" t="s">
        <v>48</v>
      </c>
      <c r="L1358" s="255"/>
      <c r="M1358" s="255" t="s">
        <v>34</v>
      </c>
      <c r="N1358" s="254">
        <v>537764</v>
      </c>
      <c r="O1358" s="254" t="s">
        <v>1321</v>
      </c>
      <c r="P1358" s="258">
        <v>43971</v>
      </c>
      <c r="Q1358" s="259">
        <v>29626361.210000001</v>
      </c>
      <c r="R1358" s="259">
        <v>32820015.829523824</v>
      </c>
      <c r="S1358" s="254">
        <v>95</v>
      </c>
      <c r="T1358" s="256">
        <v>-4.7027864242204287E-2</v>
      </c>
      <c r="U1358" s="256">
        <v>-0.60793838002185263</v>
      </c>
      <c r="V1358" s="256">
        <v>4.9528986857509283E-2</v>
      </c>
      <c r="W1358" s="256">
        <v>0.48554968302497498</v>
      </c>
      <c r="X1358" s="256">
        <v>0.23270704034821099</v>
      </c>
      <c r="Y1358" s="256">
        <v>1.764659760649399</v>
      </c>
      <c r="Z1358" s="256" t="s">
        <v>1417</v>
      </c>
      <c r="AA1358" s="256" t="s">
        <v>1417</v>
      </c>
      <c r="AB1358" s="256">
        <v>0.26220568481661172</v>
      </c>
      <c r="AC1358" s="260">
        <v>-5.5783764745325856E-2</v>
      </c>
      <c r="AD1358" s="405">
        <v>0</v>
      </c>
      <c r="AE1358" s="257" t="s">
        <v>2301</v>
      </c>
      <c r="AF1358" s="257" t="s">
        <v>2109</v>
      </c>
      <c r="AG1358" s="261" t="s">
        <v>1432</v>
      </c>
      <c r="AH1358" s="261" t="s">
        <v>2113</v>
      </c>
      <c r="AI1358" s="261">
        <v>10000</v>
      </c>
      <c r="AJ1358" s="261">
        <v>1000</v>
      </c>
      <c r="AK1358" s="261">
        <v>5000</v>
      </c>
      <c r="AL1358" s="256">
        <v>1.4999999999999999E-2</v>
      </c>
      <c r="AM1358" s="256">
        <v>0.2</v>
      </c>
      <c r="AN1358" s="256" t="s">
        <v>64</v>
      </c>
      <c r="AO1358" s="254" t="s">
        <v>1324</v>
      </c>
      <c r="AP1358" s="257" t="s">
        <v>13</v>
      </c>
      <c r="AQ1358" s="263" t="s">
        <v>668</v>
      </c>
      <c r="AR1358" s="256">
        <v>4.0000000000000001E-3</v>
      </c>
      <c r="AS1358" s="256">
        <v>4.0000000000000001E-3</v>
      </c>
      <c r="AT1358" s="256"/>
      <c r="AX1358" s="508"/>
      <c r="AY1358" s="509"/>
      <c r="AZ1358" s="509"/>
      <c r="BA1358" s="509"/>
      <c r="BB1358" s="510"/>
      <c r="BC1358" s="509"/>
      <c r="BD1358" s="509"/>
      <c r="BE1358" s="509"/>
      <c r="BF1358" s="509"/>
      <c r="BG1358" s="510"/>
      <c r="BH1358" s="510"/>
      <c r="BI1358" s="511"/>
      <c r="BJ1358" s="511"/>
      <c r="BK1358" s="511"/>
      <c r="BL1358" s="510"/>
      <c r="BM1358" s="510"/>
      <c r="BN1358" s="510"/>
      <c r="BO1358" s="510"/>
      <c r="BP1358" s="510"/>
      <c r="BQ1358" s="510"/>
      <c r="BR1358" s="510"/>
      <c r="BS1358" s="510"/>
      <c r="BT1358" s="513"/>
      <c r="BU1358" s="514"/>
      <c r="BV1358" s="512"/>
      <c r="BW1358" s="515"/>
    </row>
    <row r="1359" spans="2:75" ht="15.75" customHeight="1">
      <c r="B1359" s="250" t="s">
        <v>1608</v>
      </c>
      <c r="C1359" s="251">
        <v>44669531000147</v>
      </c>
      <c r="D1359" s="252" t="s">
        <v>11</v>
      </c>
      <c r="E1359" s="252" t="s">
        <v>620</v>
      </c>
      <c r="F1359" s="252" t="s">
        <v>685</v>
      </c>
      <c r="G1359" s="253" t="s">
        <v>738</v>
      </c>
      <c r="H1359" s="253" t="s">
        <v>34</v>
      </c>
      <c r="I1359" s="253" t="s">
        <v>1319</v>
      </c>
      <c r="J1359" s="253" t="s">
        <v>608</v>
      </c>
      <c r="K1359" s="254" t="s">
        <v>48</v>
      </c>
      <c r="L1359" s="255"/>
      <c r="M1359" s="255"/>
      <c r="N1359" s="254">
        <v>640824</v>
      </c>
      <c r="O1359" s="254" t="s">
        <v>1321</v>
      </c>
      <c r="P1359" s="258">
        <v>44610</v>
      </c>
      <c r="Q1359" s="259">
        <v>1109652.98</v>
      </c>
      <c r="R1359" s="259" t="s">
        <v>1417</v>
      </c>
      <c r="S1359" s="254">
        <v>102</v>
      </c>
      <c r="T1359" s="256" t="s">
        <v>1417</v>
      </c>
      <c r="U1359" s="256" t="s">
        <v>1417</v>
      </c>
      <c r="V1359" s="256" t="s">
        <v>1417</v>
      </c>
      <c r="W1359" s="256" t="s">
        <v>1417</v>
      </c>
      <c r="X1359" s="256" t="s">
        <v>1417</v>
      </c>
      <c r="Y1359" s="256" t="s">
        <v>1417</v>
      </c>
      <c r="Z1359" s="256" t="s">
        <v>1417</v>
      </c>
      <c r="AA1359" s="256" t="s">
        <v>1417</v>
      </c>
      <c r="AB1359" s="256" t="s">
        <v>1417</v>
      </c>
      <c r="AC1359" s="260" t="s">
        <v>1417</v>
      </c>
      <c r="AD1359" s="405">
        <v>42592476000109</v>
      </c>
      <c r="AE1359" s="257" t="s">
        <v>2307</v>
      </c>
      <c r="AF1359" s="257" t="s">
        <v>973</v>
      </c>
      <c r="AG1359" s="261" t="s">
        <v>973</v>
      </c>
      <c r="AH1359" s="261" t="s">
        <v>2131</v>
      </c>
      <c r="AI1359" s="261">
        <v>100000</v>
      </c>
      <c r="AJ1359" s="261">
        <v>100000</v>
      </c>
      <c r="AK1359" s="261">
        <v>100000</v>
      </c>
      <c r="AL1359" s="256">
        <v>5.0000000000000001E-4</v>
      </c>
      <c r="AM1359" s="256" t="s">
        <v>34</v>
      </c>
      <c r="AN1359" s="256" t="s">
        <v>2122</v>
      </c>
      <c r="AO1359" s="254" t="s">
        <v>1324</v>
      </c>
      <c r="AP1359" s="257" t="s">
        <v>13</v>
      </c>
      <c r="AQ1359" s="263" t="s">
        <v>671</v>
      </c>
      <c r="AR1359" s="256" t="s">
        <v>34</v>
      </c>
      <c r="AS1359" s="256" t="s">
        <v>34</v>
      </c>
      <c r="AT1359" s="256"/>
      <c r="AX1359" s="508"/>
      <c r="AY1359" s="509"/>
      <c r="AZ1359" s="509"/>
      <c r="BA1359" s="509"/>
      <c r="BB1359" s="510"/>
      <c r="BC1359" s="509"/>
      <c r="BD1359" s="509"/>
      <c r="BE1359" s="509"/>
      <c r="BF1359" s="509"/>
      <c r="BG1359" s="510"/>
      <c r="BH1359" s="510"/>
      <c r="BI1359" s="511"/>
      <c r="BJ1359" s="511"/>
      <c r="BK1359" s="511"/>
      <c r="BL1359" s="510"/>
      <c r="BM1359" s="510"/>
      <c r="BN1359" s="510"/>
      <c r="BO1359" s="510"/>
      <c r="BP1359" s="510"/>
      <c r="BQ1359" s="510"/>
      <c r="BR1359" s="510"/>
      <c r="BS1359" s="510"/>
      <c r="BT1359" s="513"/>
      <c r="BU1359" s="514"/>
      <c r="BV1359" s="512"/>
      <c r="BW1359" s="515"/>
    </row>
    <row r="1360" spans="2:75" ht="15.75" customHeight="1">
      <c r="B1360" s="250" t="s">
        <v>1605</v>
      </c>
      <c r="C1360" s="251">
        <v>35343303000191</v>
      </c>
      <c r="D1360" s="252" t="s">
        <v>14</v>
      </c>
      <c r="E1360" s="252" t="s">
        <v>607</v>
      </c>
      <c r="F1360" s="252"/>
      <c r="G1360" s="253"/>
      <c r="H1360" s="253" t="s">
        <v>34</v>
      </c>
      <c r="I1360" s="253" t="s">
        <v>34</v>
      </c>
      <c r="J1360" s="253" t="s">
        <v>611</v>
      </c>
      <c r="K1360" s="254" t="s">
        <v>48</v>
      </c>
      <c r="L1360" s="255"/>
      <c r="M1360" s="255"/>
      <c r="N1360" s="254">
        <v>519618</v>
      </c>
      <c r="O1360" s="254" t="s">
        <v>1321</v>
      </c>
      <c r="P1360" s="258">
        <v>43822</v>
      </c>
      <c r="Q1360" s="259" t="s">
        <v>1393</v>
      </c>
      <c r="R1360" s="259" t="s">
        <v>1417</v>
      </c>
      <c r="S1360" s="254">
        <v>102</v>
      </c>
      <c r="T1360" s="256" t="s">
        <v>1417</v>
      </c>
      <c r="U1360" s="256" t="s">
        <v>1417</v>
      </c>
      <c r="V1360" s="256" t="s">
        <v>1417</v>
      </c>
      <c r="W1360" s="256" t="s">
        <v>1417</v>
      </c>
      <c r="X1360" s="256" t="s">
        <v>1417</v>
      </c>
      <c r="Y1360" s="256" t="s">
        <v>1417</v>
      </c>
      <c r="Z1360" s="256" t="s">
        <v>1417</v>
      </c>
      <c r="AA1360" s="256" t="s">
        <v>1417</v>
      </c>
      <c r="AB1360" s="256" t="s">
        <v>1417</v>
      </c>
      <c r="AC1360" s="260" t="s">
        <v>1417</v>
      </c>
      <c r="AD1360" s="405">
        <v>35726390000166</v>
      </c>
      <c r="AE1360" s="257" t="s">
        <v>2302</v>
      </c>
      <c r="AF1360" s="257" t="s">
        <v>2109</v>
      </c>
      <c r="AG1360" s="261" t="s">
        <v>1432</v>
      </c>
      <c r="AH1360" s="261" t="s">
        <v>726</v>
      </c>
      <c r="AI1360" s="261">
        <v>100000</v>
      </c>
      <c r="AJ1360" s="261">
        <v>10000</v>
      </c>
      <c r="AK1360" s="261">
        <v>100000</v>
      </c>
      <c r="AL1360" s="256">
        <v>1.6E-2</v>
      </c>
      <c r="AM1360" s="256">
        <v>0.2</v>
      </c>
      <c r="AN1360" s="256" t="s">
        <v>34</v>
      </c>
      <c r="AO1360" s="254" t="s">
        <v>1324</v>
      </c>
      <c r="AP1360" s="257" t="s">
        <v>716</v>
      </c>
      <c r="AQ1360" s="263" t="s">
        <v>687</v>
      </c>
      <c r="AR1360" s="256">
        <v>3.2000000000000002E-3</v>
      </c>
      <c r="AS1360" s="256">
        <v>3.2000000000000002E-3</v>
      </c>
      <c r="AT1360" s="256"/>
      <c r="AX1360" s="508"/>
      <c r="AY1360" s="509"/>
      <c r="AZ1360" s="509"/>
      <c r="BA1360" s="509"/>
      <c r="BB1360" s="510"/>
      <c r="BC1360" s="509"/>
      <c r="BD1360" s="509"/>
      <c r="BE1360" s="509"/>
      <c r="BF1360" s="509"/>
      <c r="BG1360" s="510"/>
      <c r="BH1360" s="510"/>
      <c r="BI1360" s="511"/>
      <c r="BJ1360" s="511"/>
      <c r="BK1360" s="511"/>
      <c r="BL1360" s="510"/>
      <c r="BM1360" s="510"/>
      <c r="BN1360" s="510"/>
      <c r="BO1360" s="510"/>
      <c r="BP1360" s="510"/>
      <c r="BQ1360" s="510"/>
      <c r="BR1360" s="510"/>
      <c r="BS1360" s="510"/>
      <c r="BT1360" s="513"/>
      <c r="BU1360" s="514"/>
      <c r="BV1360" s="512"/>
      <c r="BW1360" s="515"/>
    </row>
    <row r="1361" spans="2:75" ht="15.75" customHeight="1">
      <c r="B1361" s="250" t="s">
        <v>483</v>
      </c>
      <c r="C1361" s="251">
        <v>31353316000190</v>
      </c>
      <c r="D1361" s="252" t="s">
        <v>11</v>
      </c>
      <c r="E1361" s="252" t="s">
        <v>620</v>
      </c>
      <c r="F1361" s="252" t="s">
        <v>663</v>
      </c>
      <c r="G1361" s="253" t="s">
        <v>738</v>
      </c>
      <c r="H1361" s="253" t="s">
        <v>34</v>
      </c>
      <c r="I1361" s="253"/>
      <c r="J1361" s="253" t="s">
        <v>608</v>
      </c>
      <c r="K1361" s="254" t="s">
        <v>48</v>
      </c>
      <c r="L1361" s="255"/>
      <c r="M1361" s="255" t="s">
        <v>34</v>
      </c>
      <c r="N1361" s="254">
        <v>488569</v>
      </c>
      <c r="O1361" s="254" t="s">
        <v>1321</v>
      </c>
      <c r="P1361" s="258">
        <v>43524</v>
      </c>
      <c r="Q1361" s="259">
        <v>10298983.16</v>
      </c>
      <c r="R1361" s="259">
        <v>10423082.839484131</v>
      </c>
      <c r="S1361" s="254">
        <v>121</v>
      </c>
      <c r="T1361" s="256">
        <v>9.0748571941776657E-2</v>
      </c>
      <c r="U1361" s="256">
        <v>1.1731245019217642</v>
      </c>
      <c r="V1361" s="256">
        <v>0.12420091518347287</v>
      </c>
      <c r="W1361" s="256">
        <v>1.217584263781561</v>
      </c>
      <c r="X1361" s="256">
        <v>0.17654074282416166</v>
      </c>
      <c r="Y1361" s="256">
        <v>1.3387405233240388</v>
      </c>
      <c r="Z1361" s="256">
        <v>0.22711795544944757</v>
      </c>
      <c r="AA1361" s="256">
        <v>1.2910120877500026</v>
      </c>
      <c r="AB1361" s="256">
        <v>1.4511157457170929E-3</v>
      </c>
      <c r="AC1361" s="260">
        <v>13.747118841563063</v>
      </c>
      <c r="AD1361" s="405">
        <v>0</v>
      </c>
      <c r="AE1361" s="257" t="s">
        <v>2228</v>
      </c>
      <c r="AF1361" s="257" t="s">
        <v>2109</v>
      </c>
      <c r="AG1361" s="261" t="s">
        <v>1432</v>
      </c>
      <c r="AH1361" s="261" t="s">
        <v>2110</v>
      </c>
      <c r="AI1361" s="261">
        <v>5000</v>
      </c>
      <c r="AJ1361" s="261">
        <v>1000</v>
      </c>
      <c r="AK1361" s="261">
        <v>1000</v>
      </c>
      <c r="AL1361" s="256">
        <v>9.1999999999999998E-3</v>
      </c>
      <c r="AM1361" s="256">
        <v>0.2</v>
      </c>
      <c r="AN1361" s="256" t="s">
        <v>64</v>
      </c>
      <c r="AO1361" s="254" t="s">
        <v>1324</v>
      </c>
      <c r="AP1361" s="257" t="s">
        <v>13</v>
      </c>
      <c r="AQ1361" s="263" t="s">
        <v>671</v>
      </c>
      <c r="AR1361" s="256">
        <v>1.3493333333333332E-3</v>
      </c>
      <c r="AS1361" s="256">
        <v>1.3493333333333332E-3</v>
      </c>
      <c r="AT1361" s="256"/>
      <c r="AX1361" s="508"/>
      <c r="AY1361" s="509"/>
      <c r="AZ1361" s="509"/>
      <c r="BA1361" s="509"/>
      <c r="BB1361" s="510"/>
      <c r="BC1361" s="509"/>
      <c r="BD1361" s="509"/>
      <c r="BE1361" s="509"/>
      <c r="BF1361" s="509"/>
      <c r="BG1361" s="510"/>
      <c r="BH1361" s="510"/>
      <c r="BI1361" s="511"/>
      <c r="BJ1361" s="511"/>
      <c r="BK1361" s="511"/>
      <c r="BL1361" s="510"/>
      <c r="BM1361" s="510"/>
      <c r="BN1361" s="510"/>
      <c r="BO1361" s="510"/>
      <c r="BP1361" s="510"/>
      <c r="BQ1361" s="510"/>
      <c r="BR1361" s="510"/>
      <c r="BS1361" s="510"/>
      <c r="BT1361" s="513"/>
      <c r="BU1361" s="514"/>
      <c r="BV1361" s="512"/>
      <c r="BW1361" s="515"/>
    </row>
    <row r="1362" spans="2:75" ht="15.75" customHeight="1">
      <c r="B1362" s="250" t="s">
        <v>486</v>
      </c>
      <c r="C1362" s="251">
        <v>41574684000112</v>
      </c>
      <c r="D1362" s="252" t="s">
        <v>11</v>
      </c>
      <c r="E1362" s="252" t="s">
        <v>620</v>
      </c>
      <c r="F1362" s="252" t="s">
        <v>663</v>
      </c>
      <c r="G1362" s="253" t="s">
        <v>738</v>
      </c>
      <c r="H1362" s="253" t="s">
        <v>34</v>
      </c>
      <c r="I1362" s="253" t="s">
        <v>1304</v>
      </c>
      <c r="J1362" s="253" t="s">
        <v>690</v>
      </c>
      <c r="K1362" s="254" t="s">
        <v>48</v>
      </c>
      <c r="L1362" s="255"/>
      <c r="M1362" s="255" t="s">
        <v>34</v>
      </c>
      <c r="N1362" s="254">
        <v>592528</v>
      </c>
      <c r="O1362" s="254" t="s">
        <v>1321</v>
      </c>
      <c r="P1362" s="258">
        <v>44341</v>
      </c>
      <c r="Q1362" s="259">
        <v>134163431.03</v>
      </c>
      <c r="R1362" s="259">
        <v>104980421.97444439</v>
      </c>
      <c r="S1362" s="254">
        <v>121</v>
      </c>
      <c r="T1362" s="256">
        <v>0.10611057408935509</v>
      </c>
      <c r="U1362" s="256">
        <v>1.3717121020601053</v>
      </c>
      <c r="V1362" s="256">
        <v>0.14720190470657246</v>
      </c>
      <c r="W1362" s="256">
        <v>1.4430708703283803</v>
      </c>
      <c r="X1362" s="256" t="s">
        <v>1417</v>
      </c>
      <c r="Y1362" s="256" t="s">
        <v>1417</v>
      </c>
      <c r="Z1362" s="256" t="s">
        <v>1417</v>
      </c>
      <c r="AA1362" s="256" t="s">
        <v>1417</v>
      </c>
      <c r="AB1362" s="256">
        <v>1.5449867240191007E-3</v>
      </c>
      <c r="AC1362" s="260">
        <v>26.027661641726112</v>
      </c>
      <c r="AD1362" s="405">
        <v>0</v>
      </c>
      <c r="AE1362" s="257" t="s">
        <v>2228</v>
      </c>
      <c r="AF1362" s="257" t="s">
        <v>2109</v>
      </c>
      <c r="AG1362" s="261" t="s">
        <v>1432</v>
      </c>
      <c r="AH1362" s="261" t="s">
        <v>2110</v>
      </c>
      <c r="AI1362" s="261">
        <v>1000</v>
      </c>
      <c r="AJ1362" s="261">
        <v>100</v>
      </c>
      <c r="AK1362" s="261">
        <v>1000</v>
      </c>
      <c r="AL1362" s="256">
        <v>0.01</v>
      </c>
      <c r="AM1362" s="256">
        <v>0.15</v>
      </c>
      <c r="AN1362" s="256" t="s">
        <v>34</v>
      </c>
      <c r="AO1362" s="254" t="s">
        <v>1324</v>
      </c>
      <c r="AP1362" s="257" t="s">
        <v>13</v>
      </c>
      <c r="AQ1362" s="263" t="s">
        <v>671</v>
      </c>
      <c r="AR1362" s="256">
        <v>2.1333333333333334E-3</v>
      </c>
      <c r="AS1362" s="256">
        <v>2.1333333333333334E-3</v>
      </c>
      <c r="AT1362" s="256"/>
      <c r="AX1362" s="508"/>
      <c r="AY1362" s="509"/>
      <c r="AZ1362" s="509"/>
      <c r="BA1362" s="509"/>
      <c r="BB1362" s="510"/>
      <c r="BC1362" s="509"/>
      <c r="BD1362" s="509"/>
      <c r="BE1362" s="509"/>
      <c r="BF1362" s="509"/>
      <c r="BG1362" s="510"/>
      <c r="BH1362" s="510"/>
      <c r="BI1362" s="511"/>
      <c r="BJ1362" s="511"/>
      <c r="BK1362" s="511"/>
      <c r="BL1362" s="510"/>
      <c r="BM1362" s="510"/>
      <c r="BN1362" s="510"/>
      <c r="BO1362" s="510"/>
      <c r="BP1362" s="510"/>
      <c r="BQ1362" s="510"/>
      <c r="BR1362" s="510"/>
      <c r="BS1362" s="510"/>
      <c r="BT1362" s="513"/>
      <c r="BU1362" s="514"/>
      <c r="BV1362" s="512"/>
      <c r="BW1362" s="515"/>
    </row>
    <row r="1363" spans="2:75" ht="15.75" customHeight="1">
      <c r="B1363" s="250" t="s">
        <v>1705</v>
      </c>
      <c r="C1363" s="251">
        <v>32397281000154</v>
      </c>
      <c r="D1363" s="252" t="s">
        <v>11</v>
      </c>
      <c r="E1363" s="252" t="s">
        <v>620</v>
      </c>
      <c r="F1363" s="252" t="s">
        <v>663</v>
      </c>
      <c r="G1363" s="253" t="s">
        <v>738</v>
      </c>
      <c r="H1363" s="253" t="s">
        <v>34</v>
      </c>
      <c r="I1363" s="253" t="s">
        <v>1319</v>
      </c>
      <c r="J1363" s="253" t="s">
        <v>608</v>
      </c>
      <c r="K1363" s="254" t="s">
        <v>48</v>
      </c>
      <c r="L1363" s="255"/>
      <c r="M1363" s="255"/>
      <c r="N1363" s="254">
        <v>495174</v>
      </c>
      <c r="O1363" s="254" t="s">
        <v>1321</v>
      </c>
      <c r="P1363" s="258">
        <v>43500</v>
      </c>
      <c r="Q1363" s="259">
        <v>39355500.399999999</v>
      </c>
      <c r="R1363" s="259">
        <v>35485652.018928573</v>
      </c>
      <c r="S1363" s="254">
        <v>121</v>
      </c>
      <c r="T1363" s="256">
        <v>0.11241559956501379</v>
      </c>
      <c r="U1363" s="256">
        <v>1.2644409424398106</v>
      </c>
      <c r="V1363" s="256">
        <v>0.14177358530427719</v>
      </c>
      <c r="W1363" s="256">
        <v>1.3011566264641763</v>
      </c>
      <c r="X1363" s="256">
        <v>0.20959373387126723</v>
      </c>
      <c r="Y1363" s="256">
        <v>1.4738192159661447</v>
      </c>
      <c r="Z1363" s="256">
        <v>0.28269749892199014</v>
      </c>
      <c r="AA1363" s="256">
        <v>1.5448184875526987</v>
      </c>
      <c r="AB1363" s="256">
        <v>2.9953718991341275E-3</v>
      </c>
      <c r="AC1363" s="260">
        <v>9.7409237466492389</v>
      </c>
      <c r="AD1363" s="405">
        <v>0</v>
      </c>
      <c r="AE1363" s="257" t="s">
        <v>2244</v>
      </c>
      <c r="AF1363" s="257" t="s">
        <v>2109</v>
      </c>
      <c r="AG1363" s="261" t="s">
        <v>1432</v>
      </c>
      <c r="AH1363" s="261" t="s">
        <v>2110</v>
      </c>
      <c r="AI1363" s="261">
        <v>0</v>
      </c>
      <c r="AJ1363" s="261">
        <v>0</v>
      </c>
      <c r="AK1363" s="261">
        <v>0</v>
      </c>
      <c r="AL1363" s="256">
        <v>9.0000000000000011E-3</v>
      </c>
      <c r="AM1363" s="256">
        <v>0.2</v>
      </c>
      <c r="AN1363" s="256" t="s">
        <v>34</v>
      </c>
      <c r="AO1363" s="254" t="s">
        <v>1324</v>
      </c>
      <c r="AP1363" s="257" t="s">
        <v>13</v>
      </c>
      <c r="AQ1363" s="263" t="s">
        <v>668</v>
      </c>
      <c r="AR1363" s="256" t="s">
        <v>34</v>
      </c>
      <c r="AS1363" s="256" t="s">
        <v>34</v>
      </c>
      <c r="AT1363" s="256"/>
      <c r="AX1363" s="508"/>
      <c r="AY1363" s="509"/>
      <c r="AZ1363" s="509"/>
      <c r="BA1363" s="509"/>
      <c r="BB1363" s="510"/>
      <c r="BC1363" s="509"/>
      <c r="BD1363" s="509"/>
      <c r="BE1363" s="509"/>
      <c r="BF1363" s="509"/>
      <c r="BG1363" s="510"/>
      <c r="BH1363" s="510"/>
      <c r="BI1363" s="511"/>
      <c r="BJ1363" s="511"/>
      <c r="BK1363" s="511"/>
      <c r="BL1363" s="510"/>
      <c r="BM1363" s="510"/>
      <c r="BN1363" s="510"/>
      <c r="BO1363" s="510"/>
      <c r="BP1363" s="510"/>
      <c r="BQ1363" s="510"/>
      <c r="BR1363" s="510"/>
      <c r="BS1363" s="510"/>
      <c r="BT1363" s="513"/>
      <c r="BU1363" s="514"/>
      <c r="BV1363" s="512"/>
      <c r="BW1363" s="515"/>
    </row>
    <row r="1364" spans="2:75" ht="15.75" customHeight="1">
      <c r="B1364" s="250" t="s">
        <v>223</v>
      </c>
      <c r="C1364" s="251">
        <v>29720571000182</v>
      </c>
      <c r="D1364" s="252" t="s">
        <v>14</v>
      </c>
      <c r="E1364" s="252" t="s">
        <v>15</v>
      </c>
      <c r="F1364" s="252" t="s">
        <v>16</v>
      </c>
      <c r="G1364" s="253"/>
      <c r="H1364" s="253" t="s">
        <v>34</v>
      </c>
      <c r="I1364" s="253" t="s">
        <v>34</v>
      </c>
      <c r="J1364" s="253" t="s">
        <v>690</v>
      </c>
      <c r="K1364" s="254" t="s">
        <v>48</v>
      </c>
      <c r="L1364" s="255"/>
      <c r="M1364" s="255" t="s">
        <v>1414</v>
      </c>
      <c r="N1364" s="254">
        <v>484768</v>
      </c>
      <c r="O1364" s="254" t="s">
        <v>1321</v>
      </c>
      <c r="P1364" s="258">
        <v>43193</v>
      </c>
      <c r="Q1364" s="259">
        <v>225416341.66999999</v>
      </c>
      <c r="R1364" s="259">
        <v>185423970.75821432</v>
      </c>
      <c r="S1364" s="254">
        <v>121</v>
      </c>
      <c r="T1364" s="256">
        <v>0.13149037438503686</v>
      </c>
      <c r="U1364" s="256">
        <v>1.6998017341465252</v>
      </c>
      <c r="V1364" s="256">
        <v>0.21047650385895733</v>
      </c>
      <c r="W1364" s="256">
        <v>2.0633735155320911</v>
      </c>
      <c r="X1364" s="256">
        <v>0.39694538508590815</v>
      </c>
      <c r="Y1364" s="256">
        <v>3.0101089644233761</v>
      </c>
      <c r="Z1364" s="256">
        <v>0.58722263119793783</v>
      </c>
      <c r="AA1364" s="256">
        <v>3.3379638064135433</v>
      </c>
      <c r="AB1364" s="256">
        <v>1.8859296013212394E-2</v>
      </c>
      <c r="AC1364" s="260">
        <v>4.990118646901295</v>
      </c>
      <c r="AD1364" s="405">
        <v>0</v>
      </c>
      <c r="AE1364" s="257" t="s">
        <v>2268</v>
      </c>
      <c r="AF1364" s="257" t="s">
        <v>973</v>
      </c>
      <c r="AG1364" s="261" t="s">
        <v>973</v>
      </c>
      <c r="AH1364" s="261" t="s">
        <v>2110</v>
      </c>
      <c r="AI1364" s="261">
        <v>10000</v>
      </c>
      <c r="AJ1364" s="261">
        <v>1000</v>
      </c>
      <c r="AK1364" s="261">
        <v>10000</v>
      </c>
      <c r="AL1364" s="256">
        <v>1.6E-2</v>
      </c>
      <c r="AM1364" s="256">
        <v>0.2</v>
      </c>
      <c r="AN1364" s="256" t="s">
        <v>2122</v>
      </c>
      <c r="AO1364" s="254" t="s">
        <v>1324</v>
      </c>
      <c r="AP1364" s="257" t="s">
        <v>13</v>
      </c>
      <c r="AQ1364" s="263" t="s">
        <v>668</v>
      </c>
      <c r="AR1364" s="256">
        <v>3.1999999999999997E-3</v>
      </c>
      <c r="AS1364" s="256">
        <v>3.1999999999999997E-3</v>
      </c>
      <c r="AT1364" s="256"/>
      <c r="AX1364" s="508"/>
      <c r="AY1364" s="509"/>
      <c r="AZ1364" s="509"/>
      <c r="BA1364" s="509"/>
      <c r="BB1364" s="510"/>
      <c r="BC1364" s="509"/>
      <c r="BD1364" s="509"/>
      <c r="BE1364" s="509"/>
      <c r="BF1364" s="509"/>
      <c r="BG1364" s="510"/>
      <c r="BH1364" s="510"/>
      <c r="BI1364" s="511"/>
      <c r="BJ1364" s="511"/>
      <c r="BK1364" s="511"/>
      <c r="BL1364" s="510"/>
      <c r="BM1364" s="510"/>
      <c r="BN1364" s="510"/>
      <c r="BO1364" s="510"/>
      <c r="BP1364" s="510"/>
      <c r="BQ1364" s="510"/>
      <c r="BR1364" s="510"/>
      <c r="BS1364" s="510"/>
      <c r="BT1364" s="513"/>
      <c r="BU1364" s="514"/>
      <c r="BV1364" s="512"/>
      <c r="BW1364" s="515"/>
    </row>
    <row r="1365" spans="2:75" ht="15.75" customHeight="1">
      <c r="B1365" s="250" t="s">
        <v>89</v>
      </c>
      <c r="C1365" s="251">
        <v>31848209000133</v>
      </c>
      <c r="D1365" s="252" t="s">
        <v>13</v>
      </c>
      <c r="E1365" s="252" t="s">
        <v>615</v>
      </c>
      <c r="F1365" s="252" t="s">
        <v>619</v>
      </c>
      <c r="G1365" s="253" t="s">
        <v>34</v>
      </c>
      <c r="H1365" s="253" t="s">
        <v>1337</v>
      </c>
      <c r="I1365" s="253" t="s">
        <v>34</v>
      </c>
      <c r="J1365" s="253"/>
      <c r="K1365" s="254" t="s">
        <v>48</v>
      </c>
      <c r="L1365" s="255"/>
      <c r="M1365" s="255" t="s">
        <v>34</v>
      </c>
      <c r="N1365" s="254">
        <v>494747</v>
      </c>
      <c r="O1365" s="254" t="s">
        <v>1321</v>
      </c>
      <c r="P1365" s="258">
        <v>43560</v>
      </c>
      <c r="Q1365" s="259">
        <v>33638931.539999999</v>
      </c>
      <c r="R1365" s="259">
        <v>48668635.234722219</v>
      </c>
      <c r="S1365" s="254">
        <v>121</v>
      </c>
      <c r="T1365" s="256">
        <v>6.9805890790207048E-2</v>
      </c>
      <c r="U1365" s="256">
        <v>0.90239437505426667</v>
      </c>
      <c r="V1365" s="256">
        <v>0.11523754069599712</v>
      </c>
      <c r="W1365" s="256">
        <v>1.1297132226526803</v>
      </c>
      <c r="X1365" s="256">
        <v>0.21022952897328917</v>
      </c>
      <c r="Y1365" s="256">
        <v>1.5942087086162902</v>
      </c>
      <c r="Z1365" s="256">
        <v>0.42857134560128562</v>
      </c>
      <c r="AA1365" s="256">
        <v>2.4361384661975629</v>
      </c>
      <c r="AB1365" s="256">
        <v>2.5630517289940955E-2</v>
      </c>
      <c r="AC1365" s="260">
        <v>0.47854705729517744</v>
      </c>
      <c r="AD1365" s="405">
        <v>0</v>
      </c>
      <c r="AE1365" s="257" t="s">
        <v>2150</v>
      </c>
      <c r="AF1365" s="257" t="s">
        <v>761</v>
      </c>
      <c r="AG1365" s="261" t="s">
        <v>1434</v>
      </c>
      <c r="AH1365" s="261" t="s">
        <v>2110</v>
      </c>
      <c r="AI1365" s="261" t="s">
        <v>1427</v>
      </c>
      <c r="AJ1365" s="261" t="s">
        <v>1427</v>
      </c>
      <c r="AK1365" s="261" t="s">
        <v>1427</v>
      </c>
      <c r="AL1365" s="519">
        <v>0.02</v>
      </c>
      <c r="AM1365" s="519">
        <v>0.2</v>
      </c>
      <c r="AN1365" s="256" t="s">
        <v>64</v>
      </c>
      <c r="AO1365" s="254" t="s">
        <v>1324</v>
      </c>
      <c r="AP1365" s="257" t="s">
        <v>13</v>
      </c>
      <c r="AQ1365" s="263" t="s">
        <v>698</v>
      </c>
      <c r="AR1365" s="256">
        <v>6.6666666666666662E-3</v>
      </c>
      <c r="AS1365" s="256">
        <v>6.6666666666666662E-3</v>
      </c>
      <c r="AT1365" s="256"/>
      <c r="AX1365" s="508"/>
      <c r="AY1365" s="509"/>
      <c r="AZ1365" s="509"/>
      <c r="BA1365" s="509"/>
      <c r="BB1365" s="510"/>
      <c r="BC1365" s="509"/>
      <c r="BD1365" s="509"/>
      <c r="BE1365" s="509"/>
      <c r="BF1365" s="509"/>
      <c r="BG1365" s="510"/>
      <c r="BH1365" s="510"/>
      <c r="BI1365" s="511"/>
      <c r="BJ1365" s="511"/>
      <c r="BK1365" s="511"/>
      <c r="BL1365" s="510"/>
      <c r="BM1365" s="510"/>
      <c r="BN1365" s="510"/>
      <c r="BO1365" s="510"/>
      <c r="BP1365" s="510"/>
      <c r="BQ1365" s="510"/>
      <c r="BR1365" s="510"/>
      <c r="BS1365" s="510"/>
      <c r="BT1365" s="513"/>
      <c r="BU1365" s="514"/>
      <c r="BV1365" s="512"/>
      <c r="BW1365" s="515"/>
    </row>
    <row r="1366" spans="2:75" ht="15.75" customHeight="1">
      <c r="B1366" s="250" t="s">
        <v>875</v>
      </c>
      <c r="C1366" s="251">
        <v>39281097000193</v>
      </c>
      <c r="D1366" s="252" t="s">
        <v>13</v>
      </c>
      <c r="E1366" s="252" t="s">
        <v>615</v>
      </c>
      <c r="F1366" s="252" t="s">
        <v>619</v>
      </c>
      <c r="G1366" s="253" t="s">
        <v>34</v>
      </c>
      <c r="H1366" s="253" t="s">
        <v>1337</v>
      </c>
      <c r="I1366" s="253" t="s">
        <v>34</v>
      </c>
      <c r="J1366" s="253" t="s">
        <v>611</v>
      </c>
      <c r="K1366" s="254" t="s">
        <v>48</v>
      </c>
      <c r="L1366" s="255"/>
      <c r="M1366" s="255" t="s">
        <v>1414</v>
      </c>
      <c r="N1366" s="254">
        <v>558885</v>
      </c>
      <c r="O1366" s="254" t="s">
        <v>1321</v>
      </c>
      <c r="P1366" s="258">
        <v>44134</v>
      </c>
      <c r="Q1366" s="259">
        <v>9636137.8200000003</v>
      </c>
      <c r="R1366" s="259">
        <v>8991444.0489285681</v>
      </c>
      <c r="S1366" s="254">
        <v>121</v>
      </c>
      <c r="T1366" s="256">
        <v>3.0263496022392422E-2</v>
      </c>
      <c r="U1366" s="256">
        <v>0.3912221199520215</v>
      </c>
      <c r="V1366" s="256">
        <v>5.5223231318114463E-2</v>
      </c>
      <c r="W1366" s="256">
        <v>0.54137231878507586</v>
      </c>
      <c r="X1366" s="256" t="s">
        <v>1417</v>
      </c>
      <c r="Y1366" s="256" t="s">
        <v>1417</v>
      </c>
      <c r="Z1366" s="256" t="s">
        <v>1417</v>
      </c>
      <c r="AA1366" s="256" t="s">
        <v>1417</v>
      </c>
      <c r="AB1366" s="256">
        <v>3.0352986794339284E-2</v>
      </c>
      <c r="AC1366" s="260">
        <v>-1.4146394531870381</v>
      </c>
      <c r="AD1366" s="405">
        <v>39363097000132</v>
      </c>
      <c r="AE1366" s="257" t="s">
        <v>2123</v>
      </c>
      <c r="AF1366" s="257" t="s">
        <v>2109</v>
      </c>
      <c r="AG1366" s="261" t="s">
        <v>1432</v>
      </c>
      <c r="AH1366" s="261" t="s">
        <v>726</v>
      </c>
      <c r="AI1366" s="261">
        <v>50000</v>
      </c>
      <c r="AJ1366" s="261">
        <v>50000</v>
      </c>
      <c r="AK1366" s="261">
        <v>50000</v>
      </c>
      <c r="AL1366" s="256">
        <v>5.0000000000000001E-3</v>
      </c>
      <c r="AM1366" s="256" t="s">
        <v>34</v>
      </c>
      <c r="AN1366" s="256" t="s">
        <v>34</v>
      </c>
      <c r="AO1366" s="254" t="s">
        <v>1324</v>
      </c>
      <c r="AP1366" s="257" t="s">
        <v>13</v>
      </c>
      <c r="AQ1366" s="263" t="s">
        <v>679</v>
      </c>
      <c r="AR1366" s="256">
        <v>3.3333333333333331E-3</v>
      </c>
      <c r="AS1366" s="256">
        <v>3.3333333333333331E-3</v>
      </c>
      <c r="AT1366" s="256"/>
      <c r="AX1366" s="508"/>
      <c r="AY1366" s="509"/>
      <c r="AZ1366" s="509"/>
      <c r="BA1366" s="509"/>
      <c r="BB1366" s="510"/>
      <c r="BC1366" s="509"/>
      <c r="BD1366" s="509"/>
      <c r="BE1366" s="509"/>
      <c r="BF1366" s="509"/>
      <c r="BG1366" s="510"/>
      <c r="BH1366" s="510"/>
      <c r="BI1366" s="511"/>
      <c r="BJ1366" s="511"/>
      <c r="BK1366" s="511"/>
      <c r="BL1366" s="510"/>
      <c r="BM1366" s="510"/>
      <c r="BN1366" s="510"/>
      <c r="BO1366" s="510"/>
      <c r="BP1366" s="510"/>
      <c r="BQ1366" s="510"/>
      <c r="BR1366" s="510"/>
      <c r="BS1366" s="510"/>
      <c r="BT1366" s="513"/>
      <c r="BU1366" s="514"/>
      <c r="BV1366" s="512"/>
      <c r="BW1366" s="515"/>
    </row>
    <row r="1367" spans="2:75" ht="15.75" customHeight="1">
      <c r="B1367" s="250" t="s">
        <v>1533</v>
      </c>
      <c r="C1367" s="251">
        <v>39363097000132</v>
      </c>
      <c r="D1367" s="252" t="s">
        <v>13</v>
      </c>
      <c r="E1367" s="252" t="s">
        <v>615</v>
      </c>
      <c r="F1367" s="252" t="s">
        <v>619</v>
      </c>
      <c r="G1367" s="253" t="s">
        <v>34</v>
      </c>
      <c r="H1367" s="253" t="s">
        <v>1337</v>
      </c>
      <c r="I1367" s="253" t="s">
        <v>34</v>
      </c>
      <c r="J1367" s="253" t="s">
        <v>611</v>
      </c>
      <c r="K1367" s="254" t="s">
        <v>48</v>
      </c>
      <c r="L1367" s="255"/>
      <c r="M1367" s="255"/>
      <c r="N1367" s="254">
        <v>558877</v>
      </c>
      <c r="O1367" s="254" t="s">
        <v>1321</v>
      </c>
      <c r="P1367" s="258">
        <v>44134</v>
      </c>
      <c r="Q1367" s="259">
        <v>221966950.93000001</v>
      </c>
      <c r="R1367" s="259">
        <v>219721053.22658721</v>
      </c>
      <c r="S1367" s="254">
        <v>121</v>
      </c>
      <c r="T1367" s="256">
        <v>3.8982256656885594E-2</v>
      </c>
      <c r="U1367" s="256">
        <v>0.43846905177209383</v>
      </c>
      <c r="V1367" s="256">
        <v>5.3258484250659599E-2</v>
      </c>
      <c r="W1367" s="256">
        <v>0.48879083892430175</v>
      </c>
      <c r="X1367" s="256" t="s">
        <v>1417</v>
      </c>
      <c r="Y1367" s="256" t="s">
        <v>1417</v>
      </c>
      <c r="Z1367" s="256" t="s">
        <v>1417</v>
      </c>
      <c r="AA1367" s="256" t="s">
        <v>1417</v>
      </c>
      <c r="AB1367" s="256">
        <v>2.8507471806608238E-2</v>
      </c>
      <c r="AC1367" s="260">
        <v>-1.7942193768823795</v>
      </c>
      <c r="AD1367" s="405">
        <v>0</v>
      </c>
      <c r="AE1367" s="257" t="s">
        <v>2123</v>
      </c>
      <c r="AF1367" s="257" t="s">
        <v>2109</v>
      </c>
      <c r="AG1367" s="261" t="s">
        <v>1432</v>
      </c>
      <c r="AH1367" s="261" t="s">
        <v>726</v>
      </c>
      <c r="AI1367" s="261">
        <v>100000</v>
      </c>
      <c r="AJ1367" s="261">
        <v>100000</v>
      </c>
      <c r="AK1367" s="261">
        <v>100000</v>
      </c>
      <c r="AL1367" s="256">
        <v>1E-3</v>
      </c>
      <c r="AM1367" s="256">
        <v>0.1</v>
      </c>
      <c r="AN1367" s="256" t="s">
        <v>34</v>
      </c>
      <c r="AO1367" s="254" t="s">
        <v>1324</v>
      </c>
      <c r="AP1367" s="257" t="s">
        <v>13</v>
      </c>
      <c r="AQ1367" s="263" t="s">
        <v>679</v>
      </c>
      <c r="AR1367" s="256" t="s">
        <v>34</v>
      </c>
      <c r="AS1367" s="256" t="s">
        <v>34</v>
      </c>
      <c r="AT1367" s="256"/>
      <c r="AX1367" s="508"/>
      <c r="AY1367" s="509"/>
      <c r="AZ1367" s="509"/>
      <c r="BA1367" s="509"/>
      <c r="BB1367" s="510"/>
      <c r="BC1367" s="509"/>
      <c r="BD1367" s="509"/>
      <c r="BE1367" s="509"/>
      <c r="BF1367" s="509"/>
      <c r="BG1367" s="510"/>
      <c r="BH1367" s="510"/>
      <c r="BI1367" s="511"/>
      <c r="BJ1367" s="511"/>
      <c r="BK1367" s="511"/>
      <c r="BL1367" s="510"/>
      <c r="BM1367" s="510"/>
      <c r="BN1367" s="510"/>
      <c r="BO1367" s="510"/>
      <c r="BP1367" s="510"/>
      <c r="BQ1367" s="510"/>
      <c r="BR1367" s="510"/>
      <c r="BS1367" s="510"/>
      <c r="BT1367" s="513"/>
      <c r="BU1367" s="514"/>
      <c r="BV1367" s="512"/>
      <c r="BW1367" s="515"/>
    </row>
    <row r="1368" spans="2:75" ht="15.75" customHeight="1">
      <c r="B1368" s="250" t="s">
        <v>1562</v>
      </c>
      <c r="C1368" s="251">
        <v>19009392000188</v>
      </c>
      <c r="D1368" s="252" t="s">
        <v>13</v>
      </c>
      <c r="E1368" s="252" t="s">
        <v>615</v>
      </c>
      <c r="F1368" s="252" t="s">
        <v>619</v>
      </c>
      <c r="G1368" s="253" t="s">
        <v>34</v>
      </c>
      <c r="H1368" s="253" t="s">
        <v>1338</v>
      </c>
      <c r="I1368" s="253" t="s">
        <v>34</v>
      </c>
      <c r="J1368" s="253" t="s">
        <v>611</v>
      </c>
      <c r="K1368" s="254" t="s">
        <v>48</v>
      </c>
      <c r="L1368" s="255"/>
      <c r="M1368" s="255"/>
      <c r="N1368" s="254">
        <v>357898</v>
      </c>
      <c r="O1368" s="254" t="s">
        <v>1321</v>
      </c>
      <c r="P1368" s="258">
        <v>41635</v>
      </c>
      <c r="Q1368" s="259">
        <v>2696885632.1500001</v>
      </c>
      <c r="R1368" s="259">
        <v>2040937267.2300398</v>
      </c>
      <c r="S1368" s="254">
        <v>121</v>
      </c>
      <c r="T1368" s="256">
        <v>0.53230242447486686</v>
      </c>
      <c r="U1368" s="256">
        <v>5.9872916380856935</v>
      </c>
      <c r="V1368" s="256">
        <v>0.6200521510549466</v>
      </c>
      <c r="W1368" s="256">
        <v>5.6906578426931418</v>
      </c>
      <c r="X1368" s="256">
        <v>0.91424175001763119</v>
      </c>
      <c r="Y1368" s="256">
        <v>6.4287564056761974</v>
      </c>
      <c r="Z1368" s="256">
        <v>1.0970474763257285</v>
      </c>
      <c r="AA1368" s="256">
        <v>5.9948858041318474</v>
      </c>
      <c r="AB1368" s="256">
        <v>0.20550334869406661</v>
      </c>
      <c r="AC1368" s="260">
        <v>1.9428064619164858</v>
      </c>
      <c r="AD1368" s="405">
        <v>18764148000168</v>
      </c>
      <c r="AE1368" s="257" t="s">
        <v>1547</v>
      </c>
      <c r="AF1368" s="257" t="s">
        <v>2121</v>
      </c>
      <c r="AG1368" s="261" t="s">
        <v>1547</v>
      </c>
      <c r="AH1368" s="261" t="s">
        <v>726</v>
      </c>
      <c r="AI1368" s="261">
        <v>1000000</v>
      </c>
      <c r="AJ1368" s="261">
        <v>200000</v>
      </c>
      <c r="AK1368" s="261">
        <v>1000000</v>
      </c>
      <c r="AL1368" s="256">
        <v>0</v>
      </c>
      <c r="AM1368" s="256" t="s">
        <v>34</v>
      </c>
      <c r="AN1368" s="256" t="s">
        <v>64</v>
      </c>
      <c r="AO1368" s="254" t="s">
        <v>1324</v>
      </c>
      <c r="AP1368" s="257" t="s">
        <v>13</v>
      </c>
      <c r="AQ1368" s="263" t="s">
        <v>679</v>
      </c>
      <c r="AR1368" s="256" t="s">
        <v>34</v>
      </c>
      <c r="AS1368" s="256" t="s">
        <v>34</v>
      </c>
      <c r="AT1368" s="256"/>
      <c r="AX1368" s="508"/>
      <c r="AY1368" s="509"/>
      <c r="AZ1368" s="509"/>
      <c r="BA1368" s="509"/>
      <c r="BB1368" s="510"/>
      <c r="BC1368" s="509"/>
      <c r="BD1368" s="509"/>
      <c r="BE1368" s="509"/>
      <c r="BF1368" s="509"/>
      <c r="BG1368" s="510"/>
      <c r="BH1368" s="510"/>
      <c r="BI1368" s="511"/>
      <c r="BJ1368" s="511"/>
      <c r="BK1368" s="511"/>
      <c r="BL1368" s="510"/>
      <c r="BM1368" s="510"/>
      <c r="BN1368" s="510"/>
      <c r="BO1368" s="510"/>
      <c r="BP1368" s="510"/>
      <c r="BQ1368" s="510"/>
      <c r="BR1368" s="510"/>
      <c r="BS1368" s="510"/>
      <c r="BT1368" s="513"/>
      <c r="BU1368" s="514"/>
      <c r="BV1368" s="512"/>
      <c r="BW1368" s="515"/>
    </row>
    <row r="1369" spans="2:75" ht="15.75" customHeight="1">
      <c r="B1369" s="250" t="s">
        <v>1430</v>
      </c>
      <c r="C1369" s="251">
        <v>12809201000113</v>
      </c>
      <c r="D1369" s="252" t="s">
        <v>13</v>
      </c>
      <c r="E1369" s="252" t="s">
        <v>615</v>
      </c>
      <c r="F1369" s="252" t="s">
        <v>619</v>
      </c>
      <c r="G1369" s="253" t="s">
        <v>34</v>
      </c>
      <c r="H1369" s="253" t="s">
        <v>1338</v>
      </c>
      <c r="I1369" s="253" t="s">
        <v>34</v>
      </c>
      <c r="J1369" s="253" t="s">
        <v>611</v>
      </c>
      <c r="K1369" s="254" t="s">
        <v>48</v>
      </c>
      <c r="L1369" s="255"/>
      <c r="M1369" s="255" t="s">
        <v>1414</v>
      </c>
      <c r="N1369" s="254">
        <v>263486</v>
      </c>
      <c r="O1369" s="254" t="s">
        <v>1324</v>
      </c>
      <c r="P1369" s="258">
        <v>40513</v>
      </c>
      <c r="Q1369" s="259">
        <v>2971098406.5999999</v>
      </c>
      <c r="R1369" s="259">
        <v>2522458969.1837339</v>
      </c>
      <c r="S1369" s="254">
        <v>121</v>
      </c>
      <c r="T1369" s="256">
        <v>0.40247498650517444</v>
      </c>
      <c r="U1369" s="256">
        <v>5.2028727061708491</v>
      </c>
      <c r="V1369" s="256">
        <v>0.57934673812714865</v>
      </c>
      <c r="W1369" s="256">
        <v>5.6795352157812404</v>
      </c>
      <c r="X1369" s="256">
        <v>0.81104307429972611</v>
      </c>
      <c r="Y1369" s="256">
        <v>6.1502869669456928</v>
      </c>
      <c r="Z1369" s="256">
        <v>0.98033363629301551</v>
      </c>
      <c r="AA1369" s="256">
        <v>5.5725342013476471</v>
      </c>
      <c r="AB1369" s="256">
        <v>0.19479193613858659</v>
      </c>
      <c r="AC1369" s="260">
        <v>1.9409022306114228</v>
      </c>
      <c r="AD1369" s="405">
        <v>12808980000132</v>
      </c>
      <c r="AE1369" s="257" t="s">
        <v>2399</v>
      </c>
      <c r="AF1369" s="257" t="s">
        <v>2112</v>
      </c>
      <c r="AG1369" s="261" t="s">
        <v>59</v>
      </c>
      <c r="AH1369" s="261" t="s">
        <v>726</v>
      </c>
      <c r="AI1369" s="261">
        <v>1000000</v>
      </c>
      <c r="AJ1369" s="261">
        <v>0</v>
      </c>
      <c r="AK1369" s="261">
        <v>0</v>
      </c>
      <c r="AL1369" s="256">
        <v>6.9999999999999993E-3</v>
      </c>
      <c r="AM1369" s="256">
        <v>0.2</v>
      </c>
      <c r="AN1369" s="256" t="s">
        <v>64</v>
      </c>
      <c r="AO1369" s="254" t="s">
        <v>1324</v>
      </c>
      <c r="AP1369" s="257" t="s">
        <v>13</v>
      </c>
      <c r="AQ1369" s="263" t="s">
        <v>679</v>
      </c>
      <c r="AR1369" s="256" t="s">
        <v>34</v>
      </c>
      <c r="AS1369" s="256" t="s">
        <v>34</v>
      </c>
      <c r="AT1369" s="256"/>
      <c r="AX1369" s="508"/>
      <c r="AY1369" s="509"/>
      <c r="AZ1369" s="509"/>
      <c r="BA1369" s="509"/>
      <c r="BB1369" s="510"/>
      <c r="BC1369" s="509"/>
      <c r="BD1369" s="509"/>
      <c r="BE1369" s="509"/>
      <c r="BF1369" s="509"/>
      <c r="BG1369" s="510"/>
      <c r="BH1369" s="510"/>
      <c r="BI1369" s="511"/>
      <c r="BJ1369" s="511"/>
      <c r="BK1369" s="511"/>
      <c r="BL1369" s="510"/>
      <c r="BM1369" s="510"/>
      <c r="BN1369" s="510"/>
      <c r="BO1369" s="510"/>
      <c r="BP1369" s="510"/>
      <c r="BQ1369" s="510"/>
      <c r="BR1369" s="510"/>
      <c r="BS1369" s="510"/>
      <c r="BT1369" s="513"/>
      <c r="BU1369" s="514"/>
      <c r="BV1369" s="512"/>
      <c r="BW1369" s="515"/>
    </row>
    <row r="1370" spans="2:75" ht="15.75" customHeight="1">
      <c r="B1370" s="250" t="s">
        <v>923</v>
      </c>
      <c r="C1370" s="251">
        <v>22652091000182</v>
      </c>
      <c r="D1370" s="252" t="s">
        <v>11</v>
      </c>
      <c r="E1370" s="252" t="s">
        <v>620</v>
      </c>
      <c r="F1370" s="252" t="s">
        <v>672</v>
      </c>
      <c r="G1370" s="253" t="s">
        <v>738</v>
      </c>
      <c r="H1370" s="253" t="s">
        <v>34</v>
      </c>
      <c r="I1370" s="253" t="s">
        <v>1304</v>
      </c>
      <c r="J1370" s="253" t="s">
        <v>608</v>
      </c>
      <c r="K1370" s="254" t="s">
        <v>48</v>
      </c>
      <c r="L1370" s="255"/>
      <c r="M1370" s="255" t="s">
        <v>34</v>
      </c>
      <c r="N1370" s="254">
        <v>412112</v>
      </c>
      <c r="O1370" s="254" t="s">
        <v>1321</v>
      </c>
      <c r="P1370" s="258">
        <v>42354</v>
      </c>
      <c r="Q1370" s="259">
        <v>1591951921.1900001</v>
      </c>
      <c r="R1370" s="259">
        <v>1253408783.1605954</v>
      </c>
      <c r="S1370" s="254">
        <v>121</v>
      </c>
      <c r="T1370" s="256">
        <v>0.1014433731350044</v>
      </c>
      <c r="U1370" s="256">
        <v>1.3113782843725468</v>
      </c>
      <c r="V1370" s="256">
        <v>0.15493056295190999</v>
      </c>
      <c r="W1370" s="256">
        <v>1.5188375637200309</v>
      </c>
      <c r="X1370" s="256">
        <v>0.28598456047970067</v>
      </c>
      <c r="Y1370" s="256">
        <v>2.1686728742300896</v>
      </c>
      <c r="Z1370" s="256">
        <v>0.39950221548749987</v>
      </c>
      <c r="AA1370" s="256">
        <v>2.2709001067600232</v>
      </c>
      <c r="AB1370" s="256">
        <v>3.2111891198131383E-3</v>
      </c>
      <c r="AC1370" s="260">
        <v>14.615911899718048</v>
      </c>
      <c r="AD1370" s="405">
        <v>0</v>
      </c>
      <c r="AE1370" s="257" t="s">
        <v>2228</v>
      </c>
      <c r="AF1370" s="257" t="s">
        <v>2109</v>
      </c>
      <c r="AG1370" s="261" t="s">
        <v>1432</v>
      </c>
      <c r="AH1370" s="261" t="s">
        <v>2110</v>
      </c>
      <c r="AI1370" s="261">
        <v>1000</v>
      </c>
      <c r="AJ1370" s="261">
        <v>100</v>
      </c>
      <c r="AK1370" s="261">
        <v>1000</v>
      </c>
      <c r="AL1370" s="256">
        <v>0.01</v>
      </c>
      <c r="AM1370" s="256" t="s">
        <v>34</v>
      </c>
      <c r="AN1370" s="256" t="s">
        <v>2141</v>
      </c>
      <c r="AO1370" s="254" t="s">
        <v>1324</v>
      </c>
      <c r="AP1370" s="257" t="s">
        <v>13</v>
      </c>
      <c r="AQ1370" s="263" t="s">
        <v>671</v>
      </c>
      <c r="AR1370" s="256">
        <v>3.0000000000000001E-3</v>
      </c>
      <c r="AS1370" s="256">
        <v>3.0000000000000001E-3</v>
      </c>
      <c r="AT1370" s="256"/>
      <c r="AX1370" s="508"/>
      <c r="AY1370" s="509"/>
      <c r="AZ1370" s="509"/>
      <c r="BA1370" s="509"/>
      <c r="BB1370" s="510"/>
      <c r="BC1370" s="509"/>
      <c r="BD1370" s="509"/>
      <c r="BE1370" s="509"/>
      <c r="BF1370" s="509"/>
      <c r="BG1370" s="510"/>
      <c r="BH1370" s="510"/>
      <c r="BI1370" s="511"/>
      <c r="BJ1370" s="511"/>
      <c r="BK1370" s="511"/>
      <c r="BL1370" s="510"/>
      <c r="BM1370" s="510"/>
      <c r="BN1370" s="510"/>
      <c r="BO1370" s="510"/>
      <c r="BP1370" s="510"/>
      <c r="BQ1370" s="510"/>
      <c r="BR1370" s="510"/>
      <c r="BS1370" s="510"/>
      <c r="BT1370" s="513"/>
      <c r="BU1370" s="514"/>
      <c r="BV1370" s="512"/>
      <c r="BW1370" s="515"/>
    </row>
    <row r="1371" spans="2:75" ht="15.75" customHeight="1">
      <c r="B1371" s="250" t="s">
        <v>1286</v>
      </c>
      <c r="C1371" s="251">
        <v>46329524000121</v>
      </c>
      <c r="D1371" s="252" t="s">
        <v>14</v>
      </c>
      <c r="E1371" s="252" t="s">
        <v>607</v>
      </c>
      <c r="F1371" s="252" t="s">
        <v>1317</v>
      </c>
      <c r="G1371" s="253"/>
      <c r="H1371" s="253" t="s">
        <v>34</v>
      </c>
      <c r="I1371" s="253" t="s">
        <v>34</v>
      </c>
      <c r="J1371" s="253" t="s">
        <v>608</v>
      </c>
      <c r="K1371" s="254" t="s">
        <v>48</v>
      </c>
      <c r="L1371" s="255"/>
      <c r="M1371" s="255" t="s">
        <v>1414</v>
      </c>
      <c r="N1371" s="254">
        <v>659622</v>
      </c>
      <c r="O1371" s="254" t="s">
        <v>1321</v>
      </c>
      <c r="P1371" s="258">
        <v>44725</v>
      </c>
      <c r="Q1371" s="259">
        <v>72542707.579999998</v>
      </c>
      <c r="R1371" s="259" t="s">
        <v>1417</v>
      </c>
      <c r="S1371" s="254">
        <v>122</v>
      </c>
      <c r="T1371" s="256" t="s">
        <v>1417</v>
      </c>
      <c r="U1371" s="256" t="s">
        <v>1417</v>
      </c>
      <c r="V1371" s="256" t="s">
        <v>1417</v>
      </c>
      <c r="W1371" s="256" t="s">
        <v>1417</v>
      </c>
      <c r="X1371" s="256" t="s">
        <v>1417</v>
      </c>
      <c r="Y1371" s="256" t="s">
        <v>1417</v>
      </c>
      <c r="Z1371" s="256" t="s">
        <v>1417</v>
      </c>
      <c r="AA1371" s="256" t="s">
        <v>1417</v>
      </c>
      <c r="AB1371" s="256" t="s">
        <v>1417</v>
      </c>
      <c r="AC1371" s="260" t="s">
        <v>1417</v>
      </c>
      <c r="AD1371" s="405">
        <v>46465003000100</v>
      </c>
      <c r="AE1371" s="257" t="s">
        <v>2123</v>
      </c>
      <c r="AF1371" s="257" t="s">
        <v>2109</v>
      </c>
      <c r="AG1371" s="261" t="s">
        <v>1432</v>
      </c>
      <c r="AH1371" s="261" t="s">
        <v>2110</v>
      </c>
      <c r="AI1371" s="261" t="s">
        <v>1427</v>
      </c>
      <c r="AJ1371" s="261" t="s">
        <v>1427</v>
      </c>
      <c r="AK1371" s="261" t="s">
        <v>1427</v>
      </c>
      <c r="AL1371" s="519">
        <v>0</v>
      </c>
      <c r="AM1371" s="519" t="s">
        <v>34</v>
      </c>
      <c r="AN1371" s="256" t="s">
        <v>2127</v>
      </c>
      <c r="AO1371" s="254" t="s">
        <v>1324</v>
      </c>
      <c r="AP1371" s="257" t="s">
        <v>716</v>
      </c>
      <c r="AQ1371" s="263" t="s">
        <v>659</v>
      </c>
      <c r="AR1371" s="256" t="s">
        <v>34</v>
      </c>
      <c r="AS1371" s="256" t="s">
        <v>34</v>
      </c>
      <c r="AT1371" s="256"/>
      <c r="AX1371" s="508"/>
      <c r="AY1371" s="509"/>
      <c r="AZ1371" s="509"/>
      <c r="BA1371" s="509"/>
      <c r="BB1371" s="510"/>
      <c r="BC1371" s="509"/>
      <c r="BD1371" s="509"/>
      <c r="BE1371" s="509"/>
      <c r="BF1371" s="509"/>
      <c r="BG1371" s="510"/>
      <c r="BH1371" s="510"/>
      <c r="BI1371" s="511"/>
      <c r="BJ1371" s="511"/>
      <c r="BK1371" s="511"/>
      <c r="BL1371" s="510"/>
      <c r="BM1371" s="510"/>
      <c r="BN1371" s="510"/>
      <c r="BO1371" s="510"/>
      <c r="BP1371" s="510"/>
      <c r="BQ1371" s="510"/>
      <c r="BR1371" s="510"/>
      <c r="BS1371" s="510"/>
      <c r="BT1371" s="513"/>
      <c r="BU1371" s="514"/>
      <c r="BV1371" s="512"/>
      <c r="BW1371" s="515"/>
    </row>
    <row r="1372" spans="2:75" ht="15.75" customHeight="1">
      <c r="B1372" s="250" t="s">
        <v>912</v>
      </c>
      <c r="C1372" s="251">
        <v>38948507000144</v>
      </c>
      <c r="D1372" s="252" t="s">
        <v>14</v>
      </c>
      <c r="E1372" s="252" t="s">
        <v>607</v>
      </c>
      <c r="F1372" s="252" t="s">
        <v>1317</v>
      </c>
      <c r="G1372" s="253"/>
      <c r="H1372" s="253" t="s">
        <v>34</v>
      </c>
      <c r="I1372" s="253" t="s">
        <v>34</v>
      </c>
      <c r="J1372" s="253" t="s">
        <v>608</v>
      </c>
      <c r="K1372" s="254" t="s">
        <v>48</v>
      </c>
      <c r="L1372" s="255"/>
      <c r="M1372" s="255" t="s">
        <v>1414</v>
      </c>
      <c r="N1372" s="254">
        <v>558907</v>
      </c>
      <c r="O1372" s="254" t="s">
        <v>1321</v>
      </c>
      <c r="P1372" s="258">
        <v>44134</v>
      </c>
      <c r="Q1372" s="259">
        <v>9171405.2899999991</v>
      </c>
      <c r="R1372" s="259">
        <v>11982373.347460322</v>
      </c>
      <c r="S1372" s="254">
        <v>122</v>
      </c>
      <c r="T1372" s="256">
        <v>-0.10905011277256604</v>
      </c>
      <c r="U1372" s="256">
        <v>-1.4097120923611548</v>
      </c>
      <c r="V1372" s="256">
        <v>-0.33319062378577702</v>
      </c>
      <c r="W1372" s="256">
        <v>-3.2663822143486776</v>
      </c>
      <c r="X1372" s="256" t="s">
        <v>1417</v>
      </c>
      <c r="Y1372" s="256" t="s">
        <v>1417</v>
      </c>
      <c r="Z1372" s="256" t="s">
        <v>1417</v>
      </c>
      <c r="AA1372" s="256" t="s">
        <v>1417</v>
      </c>
      <c r="AB1372" s="256">
        <v>0.27020566091368164</v>
      </c>
      <c r="AC1372" s="260">
        <v>-1.7234151127700654</v>
      </c>
      <c r="AD1372" s="405">
        <v>18872811000148</v>
      </c>
      <c r="AE1372" s="257" t="s">
        <v>2123</v>
      </c>
      <c r="AF1372" s="257" t="s">
        <v>2109</v>
      </c>
      <c r="AG1372" s="261" t="s">
        <v>1432</v>
      </c>
      <c r="AH1372" s="261" t="s">
        <v>2110</v>
      </c>
      <c r="AI1372" s="261">
        <v>0</v>
      </c>
      <c r="AJ1372" s="261">
        <v>0</v>
      </c>
      <c r="AK1372" s="261">
        <v>0</v>
      </c>
      <c r="AL1372" s="256">
        <v>5.0000000000000001E-3</v>
      </c>
      <c r="AM1372" s="256">
        <v>0.05</v>
      </c>
      <c r="AN1372" s="256" t="s">
        <v>34</v>
      </c>
      <c r="AO1372" s="254" t="s">
        <v>1324</v>
      </c>
      <c r="AP1372" s="257" t="s">
        <v>716</v>
      </c>
      <c r="AQ1372" s="263" t="s">
        <v>659</v>
      </c>
      <c r="AR1372" s="256">
        <v>3.3333333333333331E-3</v>
      </c>
      <c r="AS1372" s="256">
        <v>3.3333333333333331E-3</v>
      </c>
      <c r="AT1372" s="256"/>
      <c r="AX1372" s="508"/>
      <c r="AY1372" s="509"/>
      <c r="AZ1372" s="509"/>
      <c r="BA1372" s="509"/>
      <c r="BB1372" s="510"/>
      <c r="BC1372" s="509"/>
      <c r="BD1372" s="509"/>
      <c r="BE1372" s="509"/>
      <c r="BF1372" s="509"/>
      <c r="BG1372" s="510"/>
      <c r="BH1372" s="510"/>
      <c r="BI1372" s="511"/>
      <c r="BJ1372" s="511"/>
      <c r="BK1372" s="511"/>
      <c r="BL1372" s="510"/>
      <c r="BM1372" s="510"/>
      <c r="BN1372" s="510"/>
      <c r="BO1372" s="510"/>
      <c r="BP1372" s="510"/>
      <c r="BQ1372" s="510"/>
      <c r="BR1372" s="510"/>
      <c r="BS1372" s="510"/>
      <c r="BT1372" s="513"/>
      <c r="BU1372" s="514"/>
      <c r="BV1372" s="512"/>
      <c r="BW1372" s="515"/>
    </row>
    <row r="1373" spans="2:75" ht="15.75" customHeight="1">
      <c r="B1373" s="250" t="s">
        <v>387</v>
      </c>
      <c r="C1373" s="251">
        <v>19727078000130</v>
      </c>
      <c r="D1373" s="252" t="s">
        <v>14</v>
      </c>
      <c r="E1373" s="252" t="s">
        <v>607</v>
      </c>
      <c r="F1373" s="252"/>
      <c r="G1373" s="253"/>
      <c r="H1373" s="253" t="s">
        <v>34</v>
      </c>
      <c r="I1373" s="253" t="s">
        <v>34</v>
      </c>
      <c r="J1373" s="253" t="s">
        <v>608</v>
      </c>
      <c r="K1373" s="254" t="s">
        <v>48</v>
      </c>
      <c r="L1373" s="255"/>
      <c r="M1373" s="255" t="s">
        <v>1414</v>
      </c>
      <c r="N1373" s="254">
        <v>569666</v>
      </c>
      <c r="O1373" s="254" t="s">
        <v>1321</v>
      </c>
      <c r="P1373" s="258">
        <v>44214</v>
      </c>
      <c r="Q1373" s="259">
        <v>110801467.72</v>
      </c>
      <c r="R1373" s="259">
        <v>101954874.17968255</v>
      </c>
      <c r="S1373" s="254">
        <v>122</v>
      </c>
      <c r="T1373" s="256">
        <v>-7.133568559159198E-2</v>
      </c>
      <c r="U1373" s="256">
        <v>-0.92217033103921187</v>
      </c>
      <c r="V1373" s="256">
        <v>-0.23940116984352122</v>
      </c>
      <c r="W1373" s="256">
        <v>-2.3469319586073092</v>
      </c>
      <c r="X1373" s="256" t="s">
        <v>1417</v>
      </c>
      <c r="Y1373" s="256" t="s">
        <v>1417</v>
      </c>
      <c r="Z1373" s="256" t="s">
        <v>1417</v>
      </c>
      <c r="AA1373" s="256" t="s">
        <v>1417</v>
      </c>
      <c r="AB1373" s="256">
        <v>0.35322078464257606</v>
      </c>
      <c r="AC1373" s="260">
        <v>-0.87282115068861843</v>
      </c>
      <c r="AD1373" s="405">
        <v>0</v>
      </c>
      <c r="AE1373" s="257" t="s">
        <v>2349</v>
      </c>
      <c r="AF1373" s="257" t="s">
        <v>2109</v>
      </c>
      <c r="AG1373" s="261" t="s">
        <v>1432</v>
      </c>
      <c r="AH1373" s="261" t="s">
        <v>2113</v>
      </c>
      <c r="AI1373" s="261">
        <v>5000</v>
      </c>
      <c r="AJ1373" s="261">
        <v>100</v>
      </c>
      <c r="AK1373" s="261">
        <v>5000</v>
      </c>
      <c r="AL1373" s="256">
        <v>0.02</v>
      </c>
      <c r="AM1373" s="256">
        <v>0.2</v>
      </c>
      <c r="AN1373" s="256" t="s">
        <v>34</v>
      </c>
      <c r="AO1373" s="254" t="s">
        <v>1324</v>
      </c>
      <c r="AP1373" s="257" t="s">
        <v>716</v>
      </c>
      <c r="AQ1373" s="263" t="s">
        <v>659</v>
      </c>
      <c r="AR1373" s="256">
        <v>2E-3</v>
      </c>
      <c r="AS1373" s="256">
        <v>2E-3</v>
      </c>
      <c r="AT1373" s="256"/>
      <c r="AX1373" s="508"/>
      <c r="AY1373" s="509"/>
      <c r="AZ1373" s="509"/>
      <c r="BA1373" s="509"/>
      <c r="BB1373" s="510"/>
      <c r="BC1373" s="509"/>
      <c r="BD1373" s="509"/>
      <c r="BE1373" s="509"/>
      <c r="BF1373" s="509"/>
      <c r="BG1373" s="510"/>
      <c r="BH1373" s="510"/>
      <c r="BI1373" s="511"/>
      <c r="BJ1373" s="511"/>
      <c r="BK1373" s="511"/>
      <c r="BL1373" s="510"/>
      <c r="BM1373" s="510"/>
      <c r="BN1373" s="510"/>
      <c r="BO1373" s="510"/>
      <c r="BP1373" s="510"/>
      <c r="BQ1373" s="510"/>
      <c r="BR1373" s="510"/>
      <c r="BS1373" s="510"/>
      <c r="BT1373" s="513"/>
      <c r="BU1373" s="514"/>
      <c r="BV1373" s="512"/>
      <c r="BW1373" s="515"/>
    </row>
    <row r="1374" spans="2:75" ht="15.75" customHeight="1">
      <c r="B1374" s="250" t="s">
        <v>102</v>
      </c>
      <c r="C1374" s="251">
        <v>17012208000123</v>
      </c>
      <c r="D1374" s="252" t="s">
        <v>11</v>
      </c>
      <c r="E1374" s="252" t="s">
        <v>620</v>
      </c>
      <c r="F1374" s="252" t="s">
        <v>663</v>
      </c>
      <c r="G1374" s="253" t="s">
        <v>738</v>
      </c>
      <c r="H1374" s="253" t="s">
        <v>34</v>
      </c>
      <c r="I1374" s="253" t="s">
        <v>1304</v>
      </c>
      <c r="J1374" s="253" t="s">
        <v>608</v>
      </c>
      <c r="K1374" s="254" t="s">
        <v>48</v>
      </c>
      <c r="L1374" s="255"/>
      <c r="M1374" s="255" t="s">
        <v>34</v>
      </c>
      <c r="N1374" s="254">
        <v>332232</v>
      </c>
      <c r="O1374" s="254" t="s">
        <v>1321</v>
      </c>
      <c r="P1374" s="258">
        <v>41365</v>
      </c>
      <c r="Q1374" s="259">
        <v>876963393.21000004</v>
      </c>
      <c r="R1374" s="259">
        <v>727167328.21642864</v>
      </c>
      <c r="S1374" s="254">
        <v>179</v>
      </c>
      <c r="T1374" s="256">
        <v>9.5041356475034533E-2</v>
      </c>
      <c r="U1374" s="256">
        <v>1.2286181654547466</v>
      </c>
      <c r="V1374" s="256">
        <v>0.13265674010744788</v>
      </c>
      <c r="W1374" s="256">
        <v>1.3004796220767463</v>
      </c>
      <c r="X1374" s="256">
        <v>0.2118071101717276</v>
      </c>
      <c r="Y1374" s="256">
        <v>1.6061717934283168</v>
      </c>
      <c r="Z1374" s="256">
        <v>0.26643381381143816</v>
      </c>
      <c r="AA1374" s="256">
        <v>1.5144961724193653</v>
      </c>
      <c r="AB1374" s="256">
        <v>3.1966645415137038E-3</v>
      </c>
      <c r="AC1374" s="260">
        <v>8.5870057135460449</v>
      </c>
      <c r="AD1374" s="405">
        <v>0</v>
      </c>
      <c r="AE1374" s="257" t="s">
        <v>101</v>
      </c>
      <c r="AF1374" s="257" t="s">
        <v>736</v>
      </c>
      <c r="AG1374" s="261" t="s">
        <v>736</v>
      </c>
      <c r="AH1374" s="261" t="s">
        <v>2110</v>
      </c>
      <c r="AI1374" s="261">
        <v>5000</v>
      </c>
      <c r="AJ1374" s="261">
        <v>5000</v>
      </c>
      <c r="AK1374" s="261">
        <v>5000</v>
      </c>
      <c r="AL1374" s="519">
        <v>1.1000000000000001E-2</v>
      </c>
      <c r="AM1374" s="519">
        <v>0.2</v>
      </c>
      <c r="AN1374" s="256" t="s">
        <v>64</v>
      </c>
      <c r="AO1374" s="254" t="s">
        <v>1324</v>
      </c>
      <c r="AP1374" s="257" t="s">
        <v>13</v>
      </c>
      <c r="AQ1374" s="263" t="s">
        <v>668</v>
      </c>
      <c r="AR1374" s="256">
        <v>1.8333333333333331E-3</v>
      </c>
      <c r="AS1374" s="256">
        <v>1.8333333333333331E-3</v>
      </c>
      <c r="AT1374" s="256"/>
      <c r="AX1374" s="508"/>
      <c r="AY1374" s="509"/>
      <c r="AZ1374" s="509"/>
      <c r="BA1374" s="509"/>
      <c r="BB1374" s="510"/>
      <c r="BC1374" s="509"/>
      <c r="BD1374" s="509"/>
      <c r="BE1374" s="509"/>
      <c r="BF1374" s="509"/>
      <c r="BG1374" s="510"/>
      <c r="BH1374" s="510"/>
      <c r="BI1374" s="511"/>
      <c r="BJ1374" s="511"/>
      <c r="BK1374" s="511"/>
      <c r="BL1374" s="510"/>
      <c r="BM1374" s="510"/>
      <c r="BN1374" s="510"/>
      <c r="BO1374" s="510"/>
      <c r="BP1374" s="510"/>
      <c r="BQ1374" s="510"/>
      <c r="BR1374" s="510"/>
      <c r="BS1374" s="510"/>
      <c r="BT1374" s="513"/>
      <c r="BU1374" s="514"/>
      <c r="BV1374" s="512"/>
      <c r="BW1374" s="515"/>
    </row>
    <row r="1375" spans="2:75" ht="15.75" customHeight="1">
      <c r="B1375" s="250" t="s">
        <v>36</v>
      </c>
      <c r="C1375" s="251">
        <v>23957096000186</v>
      </c>
      <c r="D1375" s="252" t="s">
        <v>11</v>
      </c>
      <c r="E1375" s="252" t="s">
        <v>620</v>
      </c>
      <c r="F1375" s="252" t="s">
        <v>685</v>
      </c>
      <c r="G1375" s="253" t="s">
        <v>738</v>
      </c>
      <c r="H1375" s="253" t="s">
        <v>34</v>
      </c>
      <c r="I1375" s="253" t="s">
        <v>1319</v>
      </c>
      <c r="J1375" s="253" t="s">
        <v>608</v>
      </c>
      <c r="K1375" s="254" t="s">
        <v>48</v>
      </c>
      <c r="L1375" s="255"/>
      <c r="M1375" s="255" t="s">
        <v>34</v>
      </c>
      <c r="N1375" s="254">
        <v>425559</v>
      </c>
      <c r="O1375" s="254" t="s">
        <v>1321</v>
      </c>
      <c r="P1375" s="258">
        <v>42639</v>
      </c>
      <c r="Q1375" s="259">
        <v>304129523.77999997</v>
      </c>
      <c r="R1375" s="259">
        <v>257230996.85984114</v>
      </c>
      <c r="S1375" s="254">
        <v>180</v>
      </c>
      <c r="T1375" s="256">
        <v>8.1361431103017967E-2</v>
      </c>
      <c r="U1375" s="256">
        <v>1.05177510010414</v>
      </c>
      <c r="V1375" s="256">
        <v>0.11064660678341665</v>
      </c>
      <c r="W1375" s="256">
        <v>1.08470671944164</v>
      </c>
      <c r="X1375" s="256">
        <v>0.17408743305494978</v>
      </c>
      <c r="Y1375" s="256">
        <v>1.3201366296745034</v>
      </c>
      <c r="Z1375" s="256">
        <v>0.24907299364897728</v>
      </c>
      <c r="AA1375" s="256">
        <v>1.415811642441815</v>
      </c>
      <c r="AB1375" s="256">
        <v>3.4296322311162843E-3</v>
      </c>
      <c r="AC1375" s="260">
        <v>2.2795483336471598</v>
      </c>
      <c r="AD1375" s="405">
        <v>0</v>
      </c>
      <c r="AE1375" s="257" t="s">
        <v>2202</v>
      </c>
      <c r="AF1375" s="257" t="s">
        <v>736</v>
      </c>
      <c r="AG1375" s="261" t="s">
        <v>736</v>
      </c>
      <c r="AH1375" s="261" t="s">
        <v>2110</v>
      </c>
      <c r="AI1375" s="261">
        <v>5000</v>
      </c>
      <c r="AJ1375" s="261">
        <v>5000</v>
      </c>
      <c r="AK1375" s="261">
        <v>5000</v>
      </c>
      <c r="AL1375" s="256">
        <v>0.02</v>
      </c>
      <c r="AM1375" s="256">
        <v>0.2</v>
      </c>
      <c r="AN1375" s="256" t="s">
        <v>2122</v>
      </c>
      <c r="AO1375" s="254" t="s">
        <v>1324</v>
      </c>
      <c r="AP1375" s="257" t="s">
        <v>13</v>
      </c>
      <c r="AQ1375" s="263" t="s">
        <v>686</v>
      </c>
      <c r="AR1375" s="256">
        <v>3.3333333333333331E-3</v>
      </c>
      <c r="AS1375" s="256">
        <v>3.3333333333333331E-3</v>
      </c>
      <c r="AT1375" s="256"/>
      <c r="AX1375" s="508"/>
      <c r="AY1375" s="509"/>
      <c r="AZ1375" s="509"/>
      <c r="BA1375" s="509"/>
      <c r="BB1375" s="510"/>
      <c r="BC1375" s="509"/>
      <c r="BD1375" s="509"/>
      <c r="BE1375" s="509"/>
      <c r="BF1375" s="509"/>
      <c r="BG1375" s="510"/>
      <c r="BH1375" s="510"/>
      <c r="BI1375" s="511"/>
      <c r="BJ1375" s="511"/>
      <c r="BK1375" s="511"/>
      <c r="BL1375" s="510"/>
      <c r="BM1375" s="510"/>
      <c r="BN1375" s="510"/>
      <c r="BO1375" s="510"/>
      <c r="BP1375" s="510"/>
      <c r="BQ1375" s="510"/>
      <c r="BR1375" s="510"/>
      <c r="BS1375" s="510"/>
      <c r="BT1375" s="513"/>
      <c r="BU1375" s="514"/>
      <c r="BV1375" s="512"/>
      <c r="BW1375" s="515"/>
    </row>
    <row r="1376" spans="2:75" ht="15.75" customHeight="1">
      <c r="B1376" s="250" t="s">
        <v>549</v>
      </c>
      <c r="C1376" s="251">
        <v>21732670000172</v>
      </c>
      <c r="D1376" s="252" t="s">
        <v>14</v>
      </c>
      <c r="E1376" s="252" t="s">
        <v>15</v>
      </c>
      <c r="F1376" s="252" t="s">
        <v>16</v>
      </c>
      <c r="G1376" s="253"/>
      <c r="H1376" s="253" t="s">
        <v>34</v>
      </c>
      <c r="I1376" s="253" t="s">
        <v>34</v>
      </c>
      <c r="J1376" s="253" t="s">
        <v>608</v>
      </c>
      <c r="K1376" s="254" t="s">
        <v>48</v>
      </c>
      <c r="L1376" s="255"/>
      <c r="M1376" s="255" t="s">
        <v>1414</v>
      </c>
      <c r="N1376" s="254">
        <v>403806</v>
      </c>
      <c r="O1376" s="254" t="s">
        <v>1321</v>
      </c>
      <c r="P1376" s="258">
        <v>42202</v>
      </c>
      <c r="Q1376" s="259">
        <v>329414246.22000003</v>
      </c>
      <c r="R1376" s="259">
        <v>331443184.38166672</v>
      </c>
      <c r="S1376" s="254">
        <v>180</v>
      </c>
      <c r="T1376" s="256">
        <v>6.6622258455968364E-2</v>
      </c>
      <c r="U1376" s="256">
        <v>0.86123893848384891</v>
      </c>
      <c r="V1376" s="256">
        <v>7.4870896720413249E-2</v>
      </c>
      <c r="W1376" s="256">
        <v>0.73398513631983553</v>
      </c>
      <c r="X1376" s="256">
        <v>0.1289353601678711</v>
      </c>
      <c r="Y1376" s="256">
        <v>0.97774025862139613</v>
      </c>
      <c r="Z1376" s="256">
        <v>0.22490510919048612</v>
      </c>
      <c r="AA1376" s="256">
        <v>1.2784335522352821</v>
      </c>
      <c r="AB1376" s="256">
        <v>4.6724666902341873E-2</v>
      </c>
      <c r="AC1376" s="260">
        <v>-0.51058976376748244</v>
      </c>
      <c r="AD1376" s="405">
        <v>18447898000106</v>
      </c>
      <c r="AE1376" s="257" t="s">
        <v>2199</v>
      </c>
      <c r="AF1376" s="257" t="s">
        <v>2118</v>
      </c>
      <c r="AG1376" s="261" t="s">
        <v>1433</v>
      </c>
      <c r="AH1376" s="261" t="s">
        <v>2110</v>
      </c>
      <c r="AI1376" s="261">
        <v>25000</v>
      </c>
      <c r="AJ1376" s="261">
        <v>5000</v>
      </c>
      <c r="AK1376" s="261">
        <v>5000</v>
      </c>
      <c r="AL1376" s="256">
        <v>5.5000000000000005E-3</v>
      </c>
      <c r="AM1376" s="256">
        <v>0.2</v>
      </c>
      <c r="AN1376" s="256" t="s">
        <v>2122</v>
      </c>
      <c r="AO1376" s="254" t="s">
        <v>1324</v>
      </c>
      <c r="AP1376" s="257" t="s">
        <v>13</v>
      </c>
      <c r="AQ1376" s="263" t="s">
        <v>671</v>
      </c>
      <c r="AR1376" s="256">
        <v>1.2833333333333332E-3</v>
      </c>
      <c r="AS1376" s="256">
        <v>1.2833333333333332E-3</v>
      </c>
      <c r="AT1376" s="256"/>
      <c r="AX1376" s="508"/>
      <c r="AY1376" s="509"/>
      <c r="AZ1376" s="509"/>
      <c r="BA1376" s="509"/>
      <c r="BB1376" s="510"/>
      <c r="BC1376" s="509"/>
      <c r="BD1376" s="509"/>
      <c r="BE1376" s="509"/>
      <c r="BF1376" s="509"/>
      <c r="BG1376" s="510"/>
      <c r="BH1376" s="510"/>
      <c r="BI1376" s="511"/>
      <c r="BJ1376" s="511"/>
      <c r="BK1376" s="511"/>
      <c r="BL1376" s="510"/>
      <c r="BM1376" s="510"/>
      <c r="BN1376" s="510"/>
      <c r="BO1376" s="510"/>
      <c r="BP1376" s="510"/>
      <c r="BQ1376" s="510"/>
      <c r="BR1376" s="510"/>
      <c r="BS1376" s="510"/>
      <c r="BT1376" s="513"/>
      <c r="BU1376" s="514"/>
      <c r="BV1376" s="512"/>
      <c r="BW1376" s="515"/>
    </row>
    <row r="1377" spans="2:75" ht="15.75" customHeight="1">
      <c r="B1377" s="250" t="s">
        <v>751</v>
      </c>
      <c r="C1377" s="251">
        <v>30910036000173</v>
      </c>
      <c r="D1377" s="252" t="s">
        <v>11</v>
      </c>
      <c r="E1377" s="252" t="s">
        <v>620</v>
      </c>
      <c r="F1377" s="252" t="s">
        <v>663</v>
      </c>
      <c r="G1377" s="253" t="s">
        <v>738</v>
      </c>
      <c r="H1377" s="253" t="s">
        <v>34</v>
      </c>
      <c r="I1377" s="253" t="s">
        <v>1304</v>
      </c>
      <c r="J1377" s="253" t="s">
        <v>608</v>
      </c>
      <c r="K1377" s="254" t="s">
        <v>48</v>
      </c>
      <c r="L1377" s="255"/>
      <c r="M1377" s="255" t="s">
        <v>1414</v>
      </c>
      <c r="N1377" s="254">
        <v>476250</v>
      </c>
      <c r="O1377" s="254" t="s">
        <v>1321</v>
      </c>
      <c r="P1377" s="258">
        <v>43353</v>
      </c>
      <c r="Q1377" s="259">
        <v>622939546.28999996</v>
      </c>
      <c r="R1377" s="259">
        <v>651616455.87658727</v>
      </c>
      <c r="S1377" s="254">
        <v>181</v>
      </c>
      <c r="T1377" s="256">
        <v>8.094198123306362E-2</v>
      </c>
      <c r="U1377" s="256">
        <v>1.0463527897664406</v>
      </c>
      <c r="V1377" s="256">
        <v>0.10868684133839701</v>
      </c>
      <c r="W1377" s="256">
        <v>1.0654944651435632</v>
      </c>
      <c r="X1377" s="256">
        <v>0.17616592451286461</v>
      </c>
      <c r="Y1377" s="256">
        <v>1.335898207979773</v>
      </c>
      <c r="Z1377" s="256">
        <v>0.29269440987213335</v>
      </c>
      <c r="AA1377" s="256">
        <v>1.6637699138053639</v>
      </c>
      <c r="AB1377" s="256">
        <v>4.2821664747503749E-3</v>
      </c>
      <c r="AC1377" s="260">
        <v>1.4138791613717159</v>
      </c>
      <c r="AD1377" s="405">
        <v>0</v>
      </c>
      <c r="AE1377" s="257" t="s">
        <v>2142</v>
      </c>
      <c r="AF1377" s="257" t="s">
        <v>2109</v>
      </c>
      <c r="AG1377" s="261" t="s">
        <v>1432</v>
      </c>
      <c r="AH1377" s="261" t="s">
        <v>2110</v>
      </c>
      <c r="AI1377" s="261">
        <v>25000</v>
      </c>
      <c r="AJ1377" s="261">
        <v>5000</v>
      </c>
      <c r="AK1377" s="261">
        <v>10000</v>
      </c>
      <c r="AL1377" s="519">
        <v>1.6E-2</v>
      </c>
      <c r="AM1377" s="519">
        <v>0.2</v>
      </c>
      <c r="AN1377" s="256" t="s">
        <v>64</v>
      </c>
      <c r="AO1377" s="254" t="s">
        <v>1324</v>
      </c>
      <c r="AP1377" s="257" t="s">
        <v>11</v>
      </c>
      <c r="AQ1377" s="263" t="s">
        <v>675</v>
      </c>
      <c r="AR1377" s="256" t="s">
        <v>34</v>
      </c>
      <c r="AS1377" s="256" t="s">
        <v>34</v>
      </c>
      <c r="AT1377" s="256"/>
      <c r="AX1377" s="508"/>
      <c r="AY1377" s="509"/>
      <c r="AZ1377" s="509"/>
      <c r="BA1377" s="509"/>
      <c r="BB1377" s="510"/>
      <c r="BC1377" s="509"/>
      <c r="BD1377" s="509"/>
      <c r="BE1377" s="509"/>
      <c r="BF1377" s="509"/>
      <c r="BG1377" s="510"/>
      <c r="BH1377" s="510"/>
      <c r="BI1377" s="511"/>
      <c r="BJ1377" s="511"/>
      <c r="BK1377" s="511"/>
      <c r="BL1377" s="510"/>
      <c r="BM1377" s="510"/>
      <c r="BN1377" s="510"/>
      <c r="BO1377" s="510"/>
      <c r="BP1377" s="510"/>
      <c r="BQ1377" s="510"/>
      <c r="BR1377" s="510"/>
      <c r="BS1377" s="510"/>
      <c r="BT1377" s="513"/>
      <c r="BU1377" s="514"/>
      <c r="BV1377" s="512"/>
      <c r="BW1377" s="515"/>
    </row>
    <row r="1378" spans="2:75" ht="15.75" customHeight="1">
      <c r="B1378" s="250" t="s">
        <v>514</v>
      </c>
      <c r="C1378" s="251">
        <v>37284388000100</v>
      </c>
      <c r="D1378" s="252" t="s">
        <v>11</v>
      </c>
      <c r="E1378" s="252" t="s">
        <v>620</v>
      </c>
      <c r="F1378" s="252" t="s">
        <v>663</v>
      </c>
      <c r="G1378" s="253" t="s">
        <v>738</v>
      </c>
      <c r="H1378" s="253" t="s">
        <v>34</v>
      </c>
      <c r="I1378" s="253"/>
      <c r="J1378" s="253" t="s">
        <v>608</v>
      </c>
      <c r="K1378" s="254" t="s">
        <v>48</v>
      </c>
      <c r="L1378" s="255"/>
      <c r="M1378" s="255" t="s">
        <v>34</v>
      </c>
      <c r="N1378" s="254">
        <v>616826</v>
      </c>
      <c r="O1378" s="254" t="s">
        <v>1321</v>
      </c>
      <c r="P1378" s="258">
        <v>44138</v>
      </c>
      <c r="Q1378" s="259">
        <v>6820718</v>
      </c>
      <c r="R1378" s="259">
        <v>7070161.3465476204</v>
      </c>
      <c r="S1378" s="254">
        <v>181</v>
      </c>
      <c r="T1378" s="256">
        <v>8.0377085293827921E-2</v>
      </c>
      <c r="U1378" s="256">
        <v>1.0390502697027786</v>
      </c>
      <c r="V1378" s="256">
        <v>0.10984777893228981</v>
      </c>
      <c r="W1378" s="256">
        <v>1.0768755354317181</v>
      </c>
      <c r="X1378" s="256" t="s">
        <v>1417</v>
      </c>
      <c r="Y1378" s="256" t="s">
        <v>1417</v>
      </c>
      <c r="Z1378" s="256" t="s">
        <v>1417</v>
      </c>
      <c r="AA1378" s="256" t="s">
        <v>1417</v>
      </c>
      <c r="AB1378" s="256">
        <v>1.6993432369640397E-2</v>
      </c>
      <c r="AC1378" s="260">
        <v>0.42581302435346713</v>
      </c>
      <c r="AD1378" s="405">
        <v>0</v>
      </c>
      <c r="AE1378" s="257" t="s">
        <v>2243</v>
      </c>
      <c r="AF1378" s="257" t="s">
        <v>2109</v>
      </c>
      <c r="AG1378" s="261" t="s">
        <v>1432</v>
      </c>
      <c r="AH1378" s="261" t="s">
        <v>2110</v>
      </c>
      <c r="AI1378" s="261">
        <v>25000</v>
      </c>
      <c r="AJ1378" s="261">
        <v>0</v>
      </c>
      <c r="AK1378" s="261">
        <v>25000</v>
      </c>
      <c r="AL1378" s="256">
        <v>1.2500000000000001E-2</v>
      </c>
      <c r="AM1378" s="256">
        <v>0.2</v>
      </c>
      <c r="AN1378" s="256" t="s">
        <v>2127</v>
      </c>
      <c r="AO1378" s="254" t="s">
        <v>1324</v>
      </c>
      <c r="AP1378" s="257" t="s">
        <v>13</v>
      </c>
      <c r="AQ1378" s="263" t="s">
        <v>668</v>
      </c>
      <c r="AR1378" s="256">
        <v>4.1662499999999998E-3</v>
      </c>
      <c r="AS1378" s="256">
        <v>4.1662499999999998E-3</v>
      </c>
      <c r="AT1378" s="256"/>
      <c r="AX1378" s="508"/>
      <c r="AY1378" s="509"/>
      <c r="AZ1378" s="509"/>
      <c r="BA1378" s="509"/>
      <c r="BB1378" s="510"/>
      <c r="BC1378" s="509"/>
      <c r="BD1378" s="509"/>
      <c r="BE1378" s="509"/>
      <c r="BF1378" s="509"/>
      <c r="BG1378" s="510"/>
      <c r="BH1378" s="510"/>
      <c r="BI1378" s="511"/>
      <c r="BJ1378" s="511"/>
      <c r="BK1378" s="511"/>
      <c r="BL1378" s="510"/>
      <c r="BM1378" s="510"/>
      <c r="BN1378" s="510"/>
      <c r="BO1378" s="510"/>
      <c r="BP1378" s="510"/>
      <c r="BQ1378" s="510"/>
      <c r="BR1378" s="510"/>
      <c r="BS1378" s="510"/>
      <c r="BT1378" s="513"/>
      <c r="BU1378" s="514"/>
      <c r="BV1378" s="512"/>
      <c r="BW1378" s="515"/>
    </row>
    <row r="1379" spans="2:75" ht="15.75" customHeight="1">
      <c r="B1379" s="250" t="s">
        <v>1008</v>
      </c>
      <c r="C1379" s="251">
        <v>38281372000106</v>
      </c>
      <c r="D1379" s="252" t="s">
        <v>11</v>
      </c>
      <c r="E1379" s="252" t="s">
        <v>620</v>
      </c>
      <c r="F1379" s="252" t="s">
        <v>663</v>
      </c>
      <c r="G1379" s="253" t="s">
        <v>738</v>
      </c>
      <c r="H1379" s="253" t="s">
        <v>34</v>
      </c>
      <c r="I1379" s="253"/>
      <c r="J1379" s="253" t="s">
        <v>608</v>
      </c>
      <c r="K1379" s="254" t="s">
        <v>48</v>
      </c>
      <c r="L1379" s="255"/>
      <c r="M1379" s="255" t="s">
        <v>34</v>
      </c>
      <c r="N1379" s="254">
        <v>559806</v>
      </c>
      <c r="O1379" s="254" t="s">
        <v>1321</v>
      </c>
      <c r="P1379" s="258">
        <v>44138</v>
      </c>
      <c r="Q1379" s="259">
        <v>72069233.599999994</v>
      </c>
      <c r="R1379" s="259">
        <v>62863739.442579351</v>
      </c>
      <c r="S1379" s="254">
        <v>181</v>
      </c>
      <c r="T1379" s="256">
        <v>9.9027880538314683E-2</v>
      </c>
      <c r="U1379" s="256">
        <v>1.2801527401159893</v>
      </c>
      <c r="V1379" s="256">
        <v>0.1238376740881908</v>
      </c>
      <c r="W1379" s="256">
        <v>1.2140232864657265</v>
      </c>
      <c r="X1379" s="256" t="s">
        <v>1417</v>
      </c>
      <c r="Y1379" s="256" t="s">
        <v>1417</v>
      </c>
      <c r="Z1379" s="256" t="s">
        <v>1417</v>
      </c>
      <c r="AA1379" s="256" t="s">
        <v>1417</v>
      </c>
      <c r="AB1379" s="256">
        <v>5.8899082017287519E-3</v>
      </c>
      <c r="AC1379" s="260">
        <v>3.3347824389126237</v>
      </c>
      <c r="AD1379" s="405">
        <v>38230040000100</v>
      </c>
      <c r="AE1379" s="257" t="s">
        <v>2288</v>
      </c>
      <c r="AF1379" s="257" t="s">
        <v>2118</v>
      </c>
      <c r="AG1379" s="261" t="s">
        <v>1433</v>
      </c>
      <c r="AH1379" s="261" t="s">
        <v>2110</v>
      </c>
      <c r="AI1379" s="261">
        <v>100000</v>
      </c>
      <c r="AJ1379" s="261" t="s">
        <v>1427</v>
      </c>
      <c r="AK1379" s="261">
        <v>100000</v>
      </c>
      <c r="AL1379" s="256">
        <v>6.0000000000000001E-3</v>
      </c>
      <c r="AM1379" s="256">
        <v>0.2</v>
      </c>
      <c r="AN1379" s="256" t="s">
        <v>34</v>
      </c>
      <c r="AO1379" s="254" t="s">
        <v>1324</v>
      </c>
      <c r="AP1379" s="257" t="s">
        <v>13</v>
      </c>
      <c r="AQ1379" s="263" t="s">
        <v>671</v>
      </c>
      <c r="AR1379" s="256">
        <v>6.0000000000000006E-4</v>
      </c>
      <c r="AS1379" s="256">
        <v>6.0000000000000006E-4</v>
      </c>
      <c r="AT1379" s="256"/>
      <c r="AX1379" s="508"/>
      <c r="AY1379" s="509"/>
      <c r="AZ1379" s="509"/>
      <c r="BA1379" s="509"/>
      <c r="BB1379" s="510"/>
      <c r="BC1379" s="509"/>
      <c r="BD1379" s="509"/>
      <c r="BE1379" s="509"/>
      <c r="BF1379" s="509"/>
      <c r="BG1379" s="510"/>
      <c r="BH1379" s="510"/>
      <c r="BI1379" s="511"/>
      <c r="BJ1379" s="511"/>
      <c r="BK1379" s="511"/>
      <c r="BL1379" s="510"/>
      <c r="BM1379" s="510"/>
      <c r="BN1379" s="510"/>
      <c r="BO1379" s="510"/>
      <c r="BP1379" s="510"/>
      <c r="BQ1379" s="510"/>
      <c r="BR1379" s="510"/>
      <c r="BS1379" s="510"/>
      <c r="BT1379" s="513"/>
      <c r="BU1379" s="514"/>
      <c r="BV1379" s="512"/>
      <c r="BW1379" s="515"/>
    </row>
    <row r="1380" spans="2:75" ht="15.75" customHeight="1">
      <c r="B1380" s="250" t="s">
        <v>830</v>
      </c>
      <c r="C1380" s="251">
        <v>36015243000140</v>
      </c>
      <c r="D1380" s="252" t="s">
        <v>11</v>
      </c>
      <c r="E1380" s="252" t="s">
        <v>620</v>
      </c>
      <c r="F1380" s="252" t="s">
        <v>685</v>
      </c>
      <c r="G1380" s="253" t="s">
        <v>738</v>
      </c>
      <c r="H1380" s="253" t="s">
        <v>34</v>
      </c>
      <c r="I1380" s="253" t="s">
        <v>1319</v>
      </c>
      <c r="J1380" s="253" t="s">
        <v>608</v>
      </c>
      <c r="K1380" s="254" t="s">
        <v>48</v>
      </c>
      <c r="L1380" s="255"/>
      <c r="M1380" s="255" t="s">
        <v>1414</v>
      </c>
      <c r="N1380" s="254">
        <v>528889</v>
      </c>
      <c r="O1380" s="254" t="s">
        <v>1321</v>
      </c>
      <c r="P1380" s="258">
        <v>43892</v>
      </c>
      <c r="Q1380" s="259">
        <v>127168148.98</v>
      </c>
      <c r="R1380" s="259">
        <v>99346979.021627009</v>
      </c>
      <c r="S1380" s="254">
        <v>181</v>
      </c>
      <c r="T1380" s="256">
        <v>0.10843556209197103</v>
      </c>
      <c r="U1380" s="256">
        <v>1.4017676757642605</v>
      </c>
      <c r="V1380" s="256">
        <v>0.1498233899478707</v>
      </c>
      <c r="W1380" s="256">
        <v>1.4687701912458246</v>
      </c>
      <c r="X1380" s="256">
        <v>0.23734422760515406</v>
      </c>
      <c r="Y1380" s="256">
        <v>1.7998243940127854</v>
      </c>
      <c r="Z1380" s="256" t="s">
        <v>1417</v>
      </c>
      <c r="AA1380" s="256" t="s">
        <v>1417</v>
      </c>
      <c r="AB1380" s="256">
        <v>2.3482615731913637E-3</v>
      </c>
      <c r="AC1380" s="260">
        <v>18.097518857848588</v>
      </c>
      <c r="AD1380" s="405">
        <v>0</v>
      </c>
      <c r="AE1380" s="257" t="s">
        <v>2185</v>
      </c>
      <c r="AF1380" s="257" t="s">
        <v>2109</v>
      </c>
      <c r="AG1380" s="261" t="s">
        <v>1432</v>
      </c>
      <c r="AH1380" s="261" t="s">
        <v>2131</v>
      </c>
      <c r="AI1380" s="261">
        <v>1000</v>
      </c>
      <c r="AJ1380" s="261">
        <v>1000</v>
      </c>
      <c r="AK1380" s="261">
        <v>1000</v>
      </c>
      <c r="AL1380" s="256">
        <v>6.0000000000000001E-3</v>
      </c>
      <c r="AM1380" s="256">
        <v>0.2</v>
      </c>
      <c r="AN1380" s="256" t="s">
        <v>64</v>
      </c>
      <c r="AO1380" s="254" t="s">
        <v>1324</v>
      </c>
      <c r="AP1380" s="257" t="s">
        <v>13</v>
      </c>
      <c r="AQ1380" s="263" t="s">
        <v>679</v>
      </c>
      <c r="AR1380" s="256" t="s">
        <v>34</v>
      </c>
      <c r="AS1380" s="256" t="s">
        <v>34</v>
      </c>
      <c r="AT1380" s="256"/>
      <c r="AX1380" s="508"/>
      <c r="AY1380" s="509"/>
      <c r="AZ1380" s="509"/>
      <c r="BA1380" s="509"/>
      <c r="BB1380" s="510"/>
      <c r="BC1380" s="509"/>
      <c r="BD1380" s="509"/>
      <c r="BE1380" s="509"/>
      <c r="BF1380" s="509"/>
      <c r="BG1380" s="510"/>
      <c r="BH1380" s="510"/>
      <c r="BI1380" s="511"/>
      <c r="BJ1380" s="511"/>
      <c r="BK1380" s="511"/>
      <c r="BL1380" s="510"/>
      <c r="BM1380" s="510"/>
      <c r="BN1380" s="510"/>
      <c r="BO1380" s="510"/>
      <c r="BP1380" s="510"/>
      <c r="BQ1380" s="510"/>
      <c r="BR1380" s="510"/>
      <c r="BS1380" s="510"/>
      <c r="BT1380" s="513"/>
      <c r="BU1380" s="514"/>
      <c r="BV1380" s="512"/>
      <c r="BW1380" s="515"/>
    </row>
    <row r="1381" spans="2:75" ht="15.75" customHeight="1">
      <c r="B1381" s="250" t="s">
        <v>482</v>
      </c>
      <c r="C1381" s="251">
        <v>40905548000103</v>
      </c>
      <c r="D1381" s="252" t="s">
        <v>11</v>
      </c>
      <c r="E1381" s="252" t="s">
        <v>620</v>
      </c>
      <c r="F1381" s="252" t="s">
        <v>685</v>
      </c>
      <c r="G1381" s="253" t="s">
        <v>738</v>
      </c>
      <c r="H1381" s="253" t="s">
        <v>34</v>
      </c>
      <c r="I1381" s="253" t="s">
        <v>1319</v>
      </c>
      <c r="J1381" s="253" t="s">
        <v>608</v>
      </c>
      <c r="K1381" s="254" t="s">
        <v>48</v>
      </c>
      <c r="L1381" s="255"/>
      <c r="M1381" s="255" t="s">
        <v>34</v>
      </c>
      <c r="N1381" s="254">
        <v>581259</v>
      </c>
      <c r="O1381" s="254" t="s">
        <v>1321</v>
      </c>
      <c r="P1381" s="258">
        <v>44280</v>
      </c>
      <c r="Q1381" s="259">
        <v>42683766.659999996</v>
      </c>
      <c r="R1381" s="259">
        <v>31118862.374206346</v>
      </c>
      <c r="S1381" s="254">
        <v>181</v>
      </c>
      <c r="T1381" s="256">
        <v>0.10660770863499858</v>
      </c>
      <c r="U1381" s="256">
        <v>1.3781386573630392</v>
      </c>
      <c r="V1381" s="256">
        <v>0.15602037513417333</v>
      </c>
      <c r="W1381" s="256">
        <v>1.5295213671496684</v>
      </c>
      <c r="X1381" s="256" t="s">
        <v>1417</v>
      </c>
      <c r="Y1381" s="256" t="s">
        <v>1417</v>
      </c>
      <c r="Z1381" s="256" t="s">
        <v>1417</v>
      </c>
      <c r="AA1381" s="256" t="s">
        <v>1417</v>
      </c>
      <c r="AB1381" s="256">
        <v>3.1082404841923537E-3</v>
      </c>
      <c r="AC1381" s="260">
        <v>15.403521273048048</v>
      </c>
      <c r="AD1381" s="405">
        <v>0</v>
      </c>
      <c r="AE1381" s="257" t="s">
        <v>2228</v>
      </c>
      <c r="AF1381" s="257" t="s">
        <v>2109</v>
      </c>
      <c r="AG1381" s="261" t="s">
        <v>1432</v>
      </c>
      <c r="AH1381" s="261" t="s">
        <v>2110</v>
      </c>
      <c r="AI1381" s="261">
        <v>1000</v>
      </c>
      <c r="AJ1381" s="261">
        <v>100</v>
      </c>
      <c r="AK1381" s="261">
        <v>1000</v>
      </c>
      <c r="AL1381" s="256">
        <v>0.01</v>
      </c>
      <c r="AM1381" s="256">
        <v>0.15</v>
      </c>
      <c r="AN1381" s="256" t="s">
        <v>34</v>
      </c>
      <c r="AO1381" s="254" t="s">
        <v>1324</v>
      </c>
      <c r="AP1381" s="257" t="s">
        <v>13</v>
      </c>
      <c r="AQ1381" s="263" t="s">
        <v>671</v>
      </c>
      <c r="AR1381" s="256">
        <v>2.1333333333333334E-3</v>
      </c>
      <c r="AS1381" s="256">
        <v>2.1333333333333334E-3</v>
      </c>
      <c r="AT1381" s="256"/>
      <c r="AX1381" s="508"/>
      <c r="AY1381" s="509"/>
      <c r="AZ1381" s="509"/>
      <c r="BA1381" s="509"/>
      <c r="BB1381" s="510"/>
      <c r="BC1381" s="509"/>
      <c r="BD1381" s="509"/>
      <c r="BE1381" s="509"/>
      <c r="BF1381" s="509"/>
      <c r="BG1381" s="510"/>
      <c r="BH1381" s="510"/>
      <c r="BI1381" s="511"/>
      <c r="BJ1381" s="511"/>
      <c r="BK1381" s="511"/>
      <c r="BL1381" s="510"/>
      <c r="BM1381" s="510"/>
      <c r="BN1381" s="510"/>
      <c r="BO1381" s="510"/>
      <c r="BP1381" s="510"/>
      <c r="BQ1381" s="510"/>
      <c r="BR1381" s="510"/>
      <c r="BS1381" s="510"/>
      <c r="BT1381" s="513"/>
      <c r="BU1381" s="514"/>
      <c r="BV1381" s="512"/>
      <c r="BW1381" s="515"/>
    </row>
    <row r="1382" spans="2:75" ht="15.75" customHeight="1">
      <c r="B1382" s="250" t="s">
        <v>1592</v>
      </c>
      <c r="C1382" s="251">
        <v>36440431000116</v>
      </c>
      <c r="D1382" s="252" t="s">
        <v>11</v>
      </c>
      <c r="E1382" s="252" t="s">
        <v>620</v>
      </c>
      <c r="F1382" s="252" t="s">
        <v>685</v>
      </c>
      <c r="G1382" s="253" t="s">
        <v>738</v>
      </c>
      <c r="H1382" s="253" t="s">
        <v>34</v>
      </c>
      <c r="I1382" s="253" t="s">
        <v>1319</v>
      </c>
      <c r="J1382" s="253" t="s">
        <v>608</v>
      </c>
      <c r="K1382" s="254" t="s">
        <v>48</v>
      </c>
      <c r="L1382" s="255"/>
      <c r="M1382" s="255"/>
      <c r="N1382" s="254">
        <v>536547</v>
      </c>
      <c r="O1382" s="254" t="s">
        <v>1321</v>
      </c>
      <c r="P1382" s="258">
        <v>43958</v>
      </c>
      <c r="Q1382" s="259">
        <v>68626152.709999993</v>
      </c>
      <c r="R1382" s="259">
        <v>68165376.965992048</v>
      </c>
      <c r="S1382" s="254">
        <v>181</v>
      </c>
      <c r="T1382" s="256">
        <v>0.12641622133852515</v>
      </c>
      <c r="U1382" s="256">
        <v>1.421918725403587</v>
      </c>
      <c r="V1382" s="256">
        <v>0.16062840198154871</v>
      </c>
      <c r="W1382" s="256">
        <v>1.4742006360922446</v>
      </c>
      <c r="X1382" s="256">
        <v>0.25835932466033396</v>
      </c>
      <c r="Y1382" s="256">
        <v>1.8167286315072213</v>
      </c>
      <c r="Z1382" s="256" t="s">
        <v>1417</v>
      </c>
      <c r="AA1382" s="256" t="s">
        <v>1417</v>
      </c>
      <c r="AB1382" s="256">
        <v>1.5995565459589668E-2</v>
      </c>
      <c r="AC1382" s="260">
        <v>2.8563285628216639</v>
      </c>
      <c r="AD1382" s="405">
        <v>0</v>
      </c>
      <c r="AE1382" s="257" t="s">
        <v>2178</v>
      </c>
      <c r="AF1382" s="257" t="s">
        <v>2109</v>
      </c>
      <c r="AG1382" s="261" t="s">
        <v>1432</v>
      </c>
      <c r="AH1382" s="261" t="s">
        <v>2110</v>
      </c>
      <c r="AI1382" s="261">
        <v>100000</v>
      </c>
      <c r="AJ1382" s="261">
        <v>50000</v>
      </c>
      <c r="AK1382" s="261">
        <v>50000</v>
      </c>
      <c r="AL1382" s="256">
        <v>0.02</v>
      </c>
      <c r="AM1382" s="256">
        <v>0.2</v>
      </c>
      <c r="AN1382" s="256" t="s">
        <v>34</v>
      </c>
      <c r="AO1382" s="254" t="s">
        <v>1324</v>
      </c>
      <c r="AP1382" s="257" t="s">
        <v>13</v>
      </c>
      <c r="AQ1382" s="263" t="s">
        <v>668</v>
      </c>
      <c r="AR1382" s="256">
        <v>4.0000000000000001E-3</v>
      </c>
      <c r="AS1382" s="256">
        <v>4.0000000000000001E-3</v>
      </c>
      <c r="AT1382" s="256"/>
      <c r="AX1382" s="508"/>
      <c r="AY1382" s="509"/>
      <c r="AZ1382" s="509"/>
      <c r="BA1382" s="509"/>
      <c r="BB1382" s="510"/>
      <c r="BC1382" s="509"/>
      <c r="BD1382" s="509"/>
      <c r="BE1382" s="509"/>
      <c r="BF1382" s="509"/>
      <c r="BG1382" s="510"/>
      <c r="BH1382" s="510"/>
      <c r="BI1382" s="511"/>
      <c r="BJ1382" s="511"/>
      <c r="BK1382" s="511"/>
      <c r="BL1382" s="510"/>
      <c r="BM1382" s="510"/>
      <c r="BN1382" s="510"/>
      <c r="BO1382" s="510"/>
      <c r="BP1382" s="510"/>
      <c r="BQ1382" s="510"/>
      <c r="BR1382" s="510"/>
      <c r="BS1382" s="510"/>
      <c r="BT1382" s="513"/>
      <c r="BU1382" s="514"/>
      <c r="BV1382" s="512"/>
      <c r="BW1382" s="515"/>
    </row>
    <row r="1383" spans="2:75" ht="15.75" customHeight="1">
      <c r="B1383" s="250" t="s">
        <v>299</v>
      </c>
      <c r="C1383" s="251">
        <v>15585932000110</v>
      </c>
      <c r="D1383" s="252" t="s">
        <v>11</v>
      </c>
      <c r="E1383" s="252" t="s">
        <v>620</v>
      </c>
      <c r="F1383" s="252" t="s">
        <v>685</v>
      </c>
      <c r="G1383" s="253" t="s">
        <v>738</v>
      </c>
      <c r="H1383" s="253" t="s">
        <v>34</v>
      </c>
      <c r="I1383" s="253" t="s">
        <v>1319</v>
      </c>
      <c r="J1383" s="253" t="s">
        <v>608</v>
      </c>
      <c r="K1383" s="254" t="s">
        <v>48</v>
      </c>
      <c r="L1383" s="255"/>
      <c r="M1383" s="255" t="s">
        <v>34</v>
      </c>
      <c r="N1383" s="254">
        <v>308560</v>
      </c>
      <c r="O1383" s="254" t="s">
        <v>1321</v>
      </c>
      <c r="P1383" s="258">
        <v>41095</v>
      </c>
      <c r="Q1383" s="259">
        <v>127052916.28</v>
      </c>
      <c r="R1383" s="259">
        <v>77552462.631587312</v>
      </c>
      <c r="S1383" s="254">
        <v>181</v>
      </c>
      <c r="T1383" s="256">
        <v>0.10703562471896566</v>
      </c>
      <c r="U1383" s="256">
        <v>1.3836704121017285</v>
      </c>
      <c r="V1383" s="256">
        <v>0.14651950709655681</v>
      </c>
      <c r="W1383" s="256">
        <v>1.4363810919932545</v>
      </c>
      <c r="X1383" s="256">
        <v>0.22018002009670012</v>
      </c>
      <c r="Y1383" s="256">
        <v>1.6696650904168047</v>
      </c>
      <c r="Z1383" s="256">
        <v>0.28711704722785258</v>
      </c>
      <c r="AA1383" s="256">
        <v>1.6320663764197676</v>
      </c>
      <c r="AB1383" s="256">
        <v>1.9182126919812248E-3</v>
      </c>
      <c r="AC1383" s="260">
        <v>20.653443697468028</v>
      </c>
      <c r="AD1383" s="405">
        <v>0</v>
      </c>
      <c r="AE1383" s="257" t="s">
        <v>2311</v>
      </c>
      <c r="AF1383" s="257" t="s">
        <v>2109</v>
      </c>
      <c r="AG1383" s="261" t="s">
        <v>1432</v>
      </c>
      <c r="AH1383" s="261" t="s">
        <v>2110</v>
      </c>
      <c r="AI1383" s="261">
        <v>100</v>
      </c>
      <c r="AJ1383" s="261">
        <v>100</v>
      </c>
      <c r="AK1383" s="261">
        <v>100</v>
      </c>
      <c r="AL1383" s="256">
        <v>1.2E-2</v>
      </c>
      <c r="AM1383" s="256">
        <v>0.2</v>
      </c>
      <c r="AN1383" s="256" t="s">
        <v>2127</v>
      </c>
      <c r="AO1383" s="254" t="s">
        <v>1324</v>
      </c>
      <c r="AP1383" s="257" t="s">
        <v>13</v>
      </c>
      <c r="AQ1383" s="263" t="s">
        <v>671</v>
      </c>
      <c r="AR1383" s="256">
        <v>4.0000000000000001E-3</v>
      </c>
      <c r="AS1383" s="256">
        <v>4.0000000000000001E-3</v>
      </c>
      <c r="AT1383" s="256"/>
      <c r="AX1383" s="508"/>
      <c r="AY1383" s="509"/>
      <c r="AZ1383" s="509"/>
      <c r="BA1383" s="509"/>
      <c r="BB1383" s="510"/>
      <c r="BC1383" s="509"/>
      <c r="BD1383" s="509"/>
      <c r="BE1383" s="509"/>
      <c r="BF1383" s="509"/>
      <c r="BG1383" s="510"/>
      <c r="BH1383" s="510"/>
      <c r="BI1383" s="511"/>
      <c r="BJ1383" s="511"/>
      <c r="BK1383" s="511"/>
      <c r="BL1383" s="510"/>
      <c r="BM1383" s="510"/>
      <c r="BN1383" s="510"/>
      <c r="BO1383" s="510"/>
      <c r="BP1383" s="510"/>
      <c r="BQ1383" s="510"/>
      <c r="BR1383" s="510"/>
      <c r="BS1383" s="510"/>
      <c r="BT1383" s="513"/>
      <c r="BU1383" s="514"/>
      <c r="BV1383" s="512"/>
      <c r="BW1383" s="515"/>
    </row>
    <row r="1384" spans="2:75" ht="15.75" customHeight="1">
      <c r="B1384" s="250" t="s">
        <v>1160</v>
      </c>
      <c r="C1384" s="251">
        <v>40265199000102</v>
      </c>
      <c r="D1384" s="252" t="s">
        <v>11</v>
      </c>
      <c r="E1384" s="252" t="s">
        <v>620</v>
      </c>
      <c r="F1384" s="252" t="s">
        <v>685</v>
      </c>
      <c r="G1384" s="253" t="s">
        <v>738</v>
      </c>
      <c r="H1384" s="253" t="s">
        <v>34</v>
      </c>
      <c r="I1384" s="253" t="s">
        <v>1319</v>
      </c>
      <c r="J1384" s="253" t="s">
        <v>608</v>
      </c>
      <c r="K1384" s="254" t="s">
        <v>48</v>
      </c>
      <c r="L1384" s="255"/>
      <c r="M1384" s="255" t="s">
        <v>34</v>
      </c>
      <c r="N1384" s="254">
        <v>573825</v>
      </c>
      <c r="O1384" s="254" t="s">
        <v>1321</v>
      </c>
      <c r="P1384" s="258">
        <v>44238</v>
      </c>
      <c r="Q1384" s="259">
        <v>87949220.579999998</v>
      </c>
      <c r="R1384" s="259">
        <v>65541628.297063537</v>
      </c>
      <c r="S1384" s="254">
        <v>181</v>
      </c>
      <c r="T1384" s="256">
        <v>0.12145363590165181</v>
      </c>
      <c r="U1384" s="256">
        <v>1.570054856787459</v>
      </c>
      <c r="V1384" s="256">
        <v>0.15712346453387482</v>
      </c>
      <c r="W1384" s="256">
        <v>1.5403353317057</v>
      </c>
      <c r="X1384" s="256" t="s">
        <v>1417</v>
      </c>
      <c r="Y1384" s="256" t="s">
        <v>1417</v>
      </c>
      <c r="Z1384" s="256" t="s">
        <v>1417</v>
      </c>
      <c r="AA1384" s="256" t="s">
        <v>1417</v>
      </c>
      <c r="AB1384" s="256">
        <v>3.2883247819660115E-2</v>
      </c>
      <c r="AC1384" s="260">
        <v>1.5012436736373356</v>
      </c>
      <c r="AD1384" s="405">
        <v>36498197000188</v>
      </c>
      <c r="AE1384" s="257" t="s">
        <v>2380</v>
      </c>
      <c r="AF1384" s="257" t="s">
        <v>2109</v>
      </c>
      <c r="AG1384" s="261" t="s">
        <v>1432</v>
      </c>
      <c r="AH1384" s="261" t="s">
        <v>2110</v>
      </c>
      <c r="AI1384" s="261">
        <v>5000</v>
      </c>
      <c r="AJ1384" s="261">
        <v>1000</v>
      </c>
      <c r="AK1384" s="261">
        <v>1000</v>
      </c>
      <c r="AL1384" s="256">
        <v>1.18E-2</v>
      </c>
      <c r="AM1384" s="256">
        <v>0.1</v>
      </c>
      <c r="AN1384" s="256" t="s">
        <v>34</v>
      </c>
      <c r="AO1384" s="254" t="s">
        <v>1324</v>
      </c>
      <c r="AP1384" s="257" t="s">
        <v>13</v>
      </c>
      <c r="AQ1384" s="263" t="s">
        <v>686</v>
      </c>
      <c r="AR1384" s="256">
        <v>5.5066666666666658E-3</v>
      </c>
      <c r="AS1384" s="256">
        <v>5.5066666666666658E-3</v>
      </c>
      <c r="AT1384" s="256"/>
      <c r="AX1384" s="508"/>
      <c r="AY1384" s="509"/>
      <c r="AZ1384" s="509"/>
      <c r="BA1384" s="509"/>
      <c r="BB1384" s="510"/>
      <c r="BC1384" s="509"/>
      <c r="BD1384" s="509"/>
      <c r="BE1384" s="509"/>
      <c r="BF1384" s="509"/>
      <c r="BG1384" s="510"/>
      <c r="BH1384" s="510"/>
      <c r="BI1384" s="511"/>
      <c r="BJ1384" s="511"/>
      <c r="BK1384" s="511"/>
      <c r="BL1384" s="510"/>
      <c r="BM1384" s="510"/>
      <c r="BN1384" s="510"/>
      <c r="BO1384" s="510"/>
      <c r="BP1384" s="510"/>
      <c r="BQ1384" s="510"/>
      <c r="BR1384" s="510"/>
      <c r="BS1384" s="510"/>
      <c r="BT1384" s="513"/>
      <c r="BU1384" s="514"/>
      <c r="BV1384" s="512"/>
      <c r="BW1384" s="515"/>
    </row>
    <row r="1385" spans="2:75" ht="15.75" customHeight="1">
      <c r="B1385" s="250" t="s">
        <v>1242</v>
      </c>
      <c r="C1385" s="251">
        <v>17313316000136</v>
      </c>
      <c r="D1385" s="252" t="s">
        <v>11</v>
      </c>
      <c r="E1385" s="252" t="s">
        <v>620</v>
      </c>
      <c r="F1385" s="252" t="s">
        <v>685</v>
      </c>
      <c r="G1385" s="253" t="s">
        <v>738</v>
      </c>
      <c r="H1385" s="253" t="s">
        <v>34</v>
      </c>
      <c r="I1385" s="253" t="s">
        <v>1319</v>
      </c>
      <c r="J1385" s="253" t="s">
        <v>608</v>
      </c>
      <c r="K1385" s="254" t="s">
        <v>48</v>
      </c>
      <c r="L1385" s="255"/>
      <c r="M1385" s="255" t="s">
        <v>34</v>
      </c>
      <c r="N1385" s="254">
        <v>333468</v>
      </c>
      <c r="O1385" s="254" t="s">
        <v>1321</v>
      </c>
      <c r="P1385" s="258">
        <v>41359</v>
      </c>
      <c r="Q1385" s="259">
        <v>613565934.88</v>
      </c>
      <c r="R1385" s="259">
        <v>223564835.22519839</v>
      </c>
      <c r="S1385" s="254">
        <v>181</v>
      </c>
      <c r="T1385" s="256">
        <v>0.1008775523165073</v>
      </c>
      <c r="U1385" s="256">
        <v>1.3040638082141534</v>
      </c>
      <c r="V1385" s="256">
        <v>0.14005416693771222</v>
      </c>
      <c r="W1385" s="256">
        <v>1.3729991400505068</v>
      </c>
      <c r="X1385" s="256">
        <v>0.21475894013206775</v>
      </c>
      <c r="Y1385" s="256">
        <v>1.6285560562486299</v>
      </c>
      <c r="Z1385" s="256">
        <v>0.29453949250696354</v>
      </c>
      <c r="AA1385" s="256">
        <v>1.6742579616558722</v>
      </c>
      <c r="AB1385" s="256">
        <v>3.1775801982937028E-3</v>
      </c>
      <c r="AC1385" s="260">
        <v>10.688266484046482</v>
      </c>
      <c r="AD1385" s="405">
        <v>0</v>
      </c>
      <c r="AE1385" s="257" t="s">
        <v>2244</v>
      </c>
      <c r="AF1385" s="257" t="s">
        <v>2109</v>
      </c>
      <c r="AG1385" s="261" t="s">
        <v>1432</v>
      </c>
      <c r="AH1385" s="261" t="s">
        <v>726</v>
      </c>
      <c r="AI1385" s="261">
        <v>0</v>
      </c>
      <c r="AJ1385" s="261">
        <v>0</v>
      </c>
      <c r="AK1385" s="261">
        <v>0</v>
      </c>
      <c r="AL1385" s="256">
        <v>1.15E-2</v>
      </c>
      <c r="AM1385" s="256">
        <v>0.2</v>
      </c>
      <c r="AN1385" s="256" t="s">
        <v>64</v>
      </c>
      <c r="AO1385" s="254" t="s">
        <v>1324</v>
      </c>
      <c r="AP1385" s="257" t="s">
        <v>13</v>
      </c>
      <c r="AQ1385" s="263" t="s">
        <v>668</v>
      </c>
      <c r="AR1385" s="256">
        <v>3.0666666666666668E-3</v>
      </c>
      <c r="AS1385" s="256">
        <v>3.0666666666666668E-3</v>
      </c>
      <c r="AT1385" s="256"/>
      <c r="AX1385" s="508"/>
      <c r="AY1385" s="509"/>
      <c r="AZ1385" s="509"/>
      <c r="BA1385" s="509"/>
      <c r="BB1385" s="510"/>
      <c r="BC1385" s="509"/>
      <c r="BD1385" s="509"/>
      <c r="BE1385" s="509"/>
      <c r="BF1385" s="509"/>
      <c r="BG1385" s="510"/>
      <c r="BH1385" s="510"/>
      <c r="BI1385" s="511"/>
      <c r="BJ1385" s="511"/>
      <c r="BK1385" s="511"/>
      <c r="BL1385" s="510"/>
      <c r="BM1385" s="510"/>
      <c r="BN1385" s="510"/>
      <c r="BO1385" s="510"/>
      <c r="BP1385" s="510"/>
      <c r="BQ1385" s="510"/>
      <c r="BR1385" s="510"/>
      <c r="BS1385" s="510"/>
      <c r="BT1385" s="513"/>
      <c r="BU1385" s="514"/>
      <c r="BV1385" s="512"/>
      <c r="BW1385" s="515"/>
    </row>
    <row r="1386" spans="2:75" ht="15.75" customHeight="1">
      <c r="B1386" s="250" t="s">
        <v>1667</v>
      </c>
      <c r="C1386" s="251">
        <v>36400100000152</v>
      </c>
      <c r="D1386" s="252" t="s">
        <v>13</v>
      </c>
      <c r="E1386" s="252" t="s">
        <v>615</v>
      </c>
      <c r="F1386" s="252" t="s">
        <v>619</v>
      </c>
      <c r="G1386" s="253" t="s">
        <v>34</v>
      </c>
      <c r="H1386" s="253" t="s">
        <v>1338</v>
      </c>
      <c r="I1386" s="253" t="s">
        <v>34</v>
      </c>
      <c r="J1386" s="253" t="s">
        <v>611</v>
      </c>
      <c r="K1386" s="254" t="s">
        <v>48</v>
      </c>
      <c r="L1386" s="255"/>
      <c r="M1386" s="255"/>
      <c r="N1386" s="254">
        <v>541893</v>
      </c>
      <c r="O1386" s="254" t="s">
        <v>1321</v>
      </c>
      <c r="P1386" s="258">
        <v>44011</v>
      </c>
      <c r="Q1386" s="259">
        <v>265938748.34</v>
      </c>
      <c r="R1386" s="259">
        <v>211986612.70948413</v>
      </c>
      <c r="S1386" s="254">
        <v>181</v>
      </c>
      <c r="T1386" s="256">
        <v>0.5302229895798225</v>
      </c>
      <c r="U1386" s="256">
        <v>5.9639023342114434</v>
      </c>
      <c r="V1386" s="256">
        <v>0.61730790745901087</v>
      </c>
      <c r="W1386" s="256">
        <v>5.6654719751578027</v>
      </c>
      <c r="X1386" s="256">
        <v>0.90998409788258017</v>
      </c>
      <c r="Y1386" s="256">
        <v>6.3988174880585946</v>
      </c>
      <c r="Z1386" s="256" t="s">
        <v>1417</v>
      </c>
      <c r="AA1386" s="256" t="s">
        <v>1417</v>
      </c>
      <c r="AB1386" s="256">
        <v>0.20449083406907112</v>
      </c>
      <c r="AC1386" s="260">
        <v>1.94318494658751</v>
      </c>
      <c r="AD1386" s="405">
        <v>36181763000123</v>
      </c>
      <c r="AE1386" s="257" t="s">
        <v>2318</v>
      </c>
      <c r="AF1386" s="257" t="s">
        <v>2318</v>
      </c>
      <c r="AG1386" s="261" t="s">
        <v>1436</v>
      </c>
      <c r="AH1386" s="261" t="s">
        <v>2113</v>
      </c>
      <c r="AI1386" s="261" t="s">
        <v>1427</v>
      </c>
      <c r="AJ1386" s="261" t="s">
        <v>1427</v>
      </c>
      <c r="AK1386" s="261" t="s">
        <v>1427</v>
      </c>
      <c r="AL1386" s="256">
        <v>0</v>
      </c>
      <c r="AM1386" s="256" t="s">
        <v>34</v>
      </c>
      <c r="AN1386" s="256" t="s">
        <v>64</v>
      </c>
      <c r="AO1386" s="254" t="s">
        <v>1324</v>
      </c>
      <c r="AP1386" s="257" t="s">
        <v>13</v>
      </c>
      <c r="AQ1386" s="263" t="s">
        <v>679</v>
      </c>
      <c r="AR1386" s="256" t="s">
        <v>34</v>
      </c>
      <c r="AS1386" s="256" t="s">
        <v>34</v>
      </c>
      <c r="AT1386" s="256"/>
      <c r="AX1386" s="508"/>
      <c r="AY1386" s="509"/>
      <c r="AZ1386" s="509"/>
      <c r="BA1386" s="509"/>
      <c r="BB1386" s="510"/>
      <c r="BC1386" s="509"/>
      <c r="BD1386" s="509"/>
      <c r="BE1386" s="509"/>
      <c r="BF1386" s="509"/>
      <c r="BG1386" s="510"/>
      <c r="BH1386" s="510"/>
      <c r="BI1386" s="511"/>
      <c r="BJ1386" s="511"/>
      <c r="BK1386" s="511"/>
      <c r="BL1386" s="510"/>
      <c r="BM1386" s="510"/>
      <c r="BN1386" s="510"/>
      <c r="BO1386" s="510"/>
      <c r="BP1386" s="510"/>
      <c r="BQ1386" s="510"/>
      <c r="BR1386" s="510"/>
      <c r="BS1386" s="510"/>
      <c r="BT1386" s="513"/>
      <c r="BU1386" s="514"/>
      <c r="BV1386" s="512"/>
      <c r="BW1386" s="515"/>
    </row>
    <row r="1387" spans="2:75" ht="15.75" customHeight="1">
      <c r="B1387" s="250" t="s">
        <v>750</v>
      </c>
      <c r="C1387" s="251">
        <v>32238591000126</v>
      </c>
      <c r="D1387" s="252" t="s">
        <v>11</v>
      </c>
      <c r="E1387" s="252" t="s">
        <v>620</v>
      </c>
      <c r="F1387" s="252" t="s">
        <v>685</v>
      </c>
      <c r="G1387" s="253" t="s">
        <v>738</v>
      </c>
      <c r="H1387" s="253" t="s">
        <v>34</v>
      </c>
      <c r="I1387" s="253" t="s">
        <v>1319</v>
      </c>
      <c r="J1387" s="253" t="s">
        <v>608</v>
      </c>
      <c r="K1387" s="254" t="s">
        <v>48</v>
      </c>
      <c r="L1387" s="255"/>
      <c r="M1387" s="255" t="s">
        <v>34</v>
      </c>
      <c r="N1387" s="254">
        <v>491391</v>
      </c>
      <c r="O1387" s="254" t="s">
        <v>1321</v>
      </c>
      <c r="P1387" s="258">
        <v>43557</v>
      </c>
      <c r="Q1387" s="259">
        <v>42376561.920000002</v>
      </c>
      <c r="R1387" s="259">
        <v>57914953.017222188</v>
      </c>
      <c r="S1387" s="254">
        <v>182</v>
      </c>
      <c r="T1387" s="256">
        <v>7.6702142531243744E-2</v>
      </c>
      <c r="U1387" s="256">
        <v>0.99154356733049709</v>
      </c>
      <c r="V1387" s="256">
        <v>0.10221459396200361</v>
      </c>
      <c r="W1387" s="256">
        <v>1.00204479937293</v>
      </c>
      <c r="X1387" s="256">
        <v>0.16173774780295513</v>
      </c>
      <c r="Y1387" s="256">
        <v>1.2264867229580141</v>
      </c>
      <c r="Z1387" s="256">
        <v>0.26728096742852436</v>
      </c>
      <c r="AA1387" s="256">
        <v>1.5193116682161425</v>
      </c>
      <c r="AB1387" s="256">
        <v>4.2094435675179313E-3</v>
      </c>
      <c r="AC1387" s="260">
        <v>4.6790807214594471E-2</v>
      </c>
      <c r="AD1387" s="405">
        <v>30910036000173</v>
      </c>
      <c r="AE1387" s="257" t="s">
        <v>2142</v>
      </c>
      <c r="AF1387" s="257" t="s">
        <v>2109</v>
      </c>
      <c r="AG1387" s="261" t="s">
        <v>1432</v>
      </c>
      <c r="AH1387" s="261" t="s">
        <v>2110</v>
      </c>
      <c r="AI1387" s="261">
        <v>25000</v>
      </c>
      <c r="AJ1387" s="261">
        <v>5000</v>
      </c>
      <c r="AK1387" s="261">
        <v>10000</v>
      </c>
      <c r="AL1387" s="519">
        <v>5.0000000000000001E-3</v>
      </c>
      <c r="AM1387" s="519" t="s">
        <v>34</v>
      </c>
      <c r="AN1387" s="256" t="s">
        <v>64</v>
      </c>
      <c r="AO1387" s="254" t="s">
        <v>1324</v>
      </c>
      <c r="AP1387" s="257" t="s">
        <v>11</v>
      </c>
      <c r="AQ1387" s="263" t="s">
        <v>675</v>
      </c>
      <c r="AR1387" s="256">
        <v>3.3333333333333331E-3</v>
      </c>
      <c r="AS1387" s="256">
        <v>3.3333333333333331E-3</v>
      </c>
      <c r="AT1387" s="256"/>
      <c r="AX1387" s="508"/>
      <c r="AY1387" s="509"/>
      <c r="AZ1387" s="509"/>
      <c r="BA1387" s="509"/>
      <c r="BB1387" s="510"/>
      <c r="BC1387" s="509"/>
      <c r="BD1387" s="509"/>
      <c r="BE1387" s="509"/>
      <c r="BF1387" s="509"/>
      <c r="BG1387" s="510"/>
      <c r="BH1387" s="510"/>
      <c r="BI1387" s="511"/>
      <c r="BJ1387" s="511"/>
      <c r="BK1387" s="511"/>
      <c r="BL1387" s="510"/>
      <c r="BM1387" s="510"/>
      <c r="BN1387" s="510"/>
      <c r="BO1387" s="510"/>
      <c r="BP1387" s="510"/>
      <c r="BQ1387" s="510"/>
      <c r="BR1387" s="510"/>
      <c r="BS1387" s="510"/>
      <c r="BT1387" s="513"/>
      <c r="BU1387" s="514"/>
      <c r="BV1387" s="512"/>
      <c r="BW1387" s="515"/>
    </row>
    <row r="1388" spans="2:75" ht="15.75" customHeight="1">
      <c r="B1388" s="250" t="s">
        <v>1292</v>
      </c>
      <c r="C1388" s="251">
        <v>46420448000165</v>
      </c>
      <c r="D1388" s="252" t="s">
        <v>13</v>
      </c>
      <c r="E1388" s="252" t="s">
        <v>616</v>
      </c>
      <c r="F1388" s="252" t="s">
        <v>619</v>
      </c>
      <c r="G1388" s="253" t="s">
        <v>34</v>
      </c>
      <c r="H1388" s="253" t="s">
        <v>1338</v>
      </c>
      <c r="I1388" s="253" t="s">
        <v>34</v>
      </c>
      <c r="J1388" s="253" t="s">
        <v>611</v>
      </c>
      <c r="K1388" s="254" t="s">
        <v>48</v>
      </c>
      <c r="L1388" s="255"/>
      <c r="M1388" s="255" t="s">
        <v>34</v>
      </c>
      <c r="N1388" s="254">
        <v>654957</v>
      </c>
      <c r="O1388" s="254" t="s">
        <v>1321</v>
      </c>
      <c r="P1388" s="258">
        <v>44722</v>
      </c>
      <c r="Q1388" s="259">
        <v>49028.76</v>
      </c>
      <c r="R1388" s="259" t="s">
        <v>1417</v>
      </c>
      <c r="S1388" s="254">
        <v>182</v>
      </c>
      <c r="T1388" s="256" t="s">
        <v>1417</v>
      </c>
      <c r="U1388" s="256" t="s">
        <v>1417</v>
      </c>
      <c r="V1388" s="256" t="s">
        <v>1417</v>
      </c>
      <c r="W1388" s="256" t="s">
        <v>1417</v>
      </c>
      <c r="X1388" s="256" t="s">
        <v>1417</v>
      </c>
      <c r="Y1388" s="256" t="s">
        <v>1417</v>
      </c>
      <c r="Z1388" s="256" t="s">
        <v>1417</v>
      </c>
      <c r="AA1388" s="256" t="s">
        <v>1417</v>
      </c>
      <c r="AB1388" s="256" t="s">
        <v>1417</v>
      </c>
      <c r="AC1388" s="260" t="s">
        <v>1417</v>
      </c>
      <c r="AD1388" s="405">
        <v>0</v>
      </c>
      <c r="AE1388" s="257" t="s">
        <v>2229</v>
      </c>
      <c r="AF1388" s="257" t="s">
        <v>2109</v>
      </c>
      <c r="AG1388" s="261" t="s">
        <v>1432</v>
      </c>
      <c r="AH1388" s="261" t="s">
        <v>726</v>
      </c>
      <c r="AI1388" s="261">
        <v>100000</v>
      </c>
      <c r="AJ1388" s="261">
        <v>100000</v>
      </c>
      <c r="AK1388" s="261">
        <v>50000</v>
      </c>
      <c r="AL1388" s="256">
        <v>0.02</v>
      </c>
      <c r="AM1388" s="256">
        <v>0.2</v>
      </c>
      <c r="AN1388" s="256" t="s">
        <v>2127</v>
      </c>
      <c r="AO1388" s="254" t="s">
        <v>1324</v>
      </c>
      <c r="AP1388" s="257" t="s">
        <v>13</v>
      </c>
      <c r="AQ1388" s="263" t="s">
        <v>679</v>
      </c>
      <c r="AR1388" s="256">
        <v>6.6660000000000001E-3</v>
      </c>
      <c r="AS1388" s="256">
        <v>6.6660000000000001E-3</v>
      </c>
      <c r="AT1388" s="256"/>
      <c r="AX1388" s="508"/>
      <c r="AY1388" s="509"/>
      <c r="AZ1388" s="509"/>
      <c r="BA1388" s="509"/>
      <c r="BB1388" s="510"/>
      <c r="BC1388" s="509"/>
      <c r="BD1388" s="509"/>
      <c r="BE1388" s="509"/>
      <c r="BF1388" s="509"/>
      <c r="BG1388" s="510"/>
      <c r="BH1388" s="510"/>
      <c r="BI1388" s="511"/>
      <c r="BJ1388" s="511"/>
      <c r="BK1388" s="511"/>
      <c r="BL1388" s="510"/>
      <c r="BM1388" s="510"/>
      <c r="BN1388" s="510"/>
      <c r="BO1388" s="510"/>
      <c r="BP1388" s="510"/>
      <c r="BQ1388" s="510"/>
      <c r="BR1388" s="510"/>
      <c r="BS1388" s="510"/>
      <c r="BT1388" s="513"/>
      <c r="BU1388" s="514"/>
      <c r="BV1388" s="512"/>
      <c r="BW1388" s="515"/>
    </row>
    <row r="1389" spans="2:75" ht="15.75" customHeight="1">
      <c r="B1389" s="250" t="s">
        <v>1497</v>
      </c>
      <c r="C1389" s="251">
        <v>45124029000113</v>
      </c>
      <c r="D1389" s="252" t="s">
        <v>14</v>
      </c>
      <c r="E1389" s="252" t="s">
        <v>607</v>
      </c>
      <c r="F1389" s="252"/>
      <c r="G1389" s="253"/>
      <c r="H1389" s="253" t="s">
        <v>34</v>
      </c>
      <c r="I1389" s="253" t="s">
        <v>34</v>
      </c>
      <c r="J1389" s="253" t="s">
        <v>608</v>
      </c>
      <c r="K1389" s="254" t="s">
        <v>48</v>
      </c>
      <c r="L1389" s="255"/>
      <c r="M1389" s="255"/>
      <c r="N1389" s="254">
        <v>655521</v>
      </c>
      <c r="O1389" s="254" t="s">
        <v>1324</v>
      </c>
      <c r="P1389" s="258">
        <v>44718</v>
      </c>
      <c r="Q1389" s="259">
        <v>861376935.79999995</v>
      </c>
      <c r="R1389" s="259" t="s">
        <v>1417</v>
      </c>
      <c r="S1389" s="254">
        <v>182</v>
      </c>
      <c r="T1389" s="256" t="s">
        <v>1417</v>
      </c>
      <c r="U1389" s="256" t="s">
        <v>1417</v>
      </c>
      <c r="V1389" s="256" t="s">
        <v>1417</v>
      </c>
      <c r="W1389" s="256" t="s">
        <v>1417</v>
      </c>
      <c r="X1389" s="256" t="s">
        <v>1417</v>
      </c>
      <c r="Y1389" s="256" t="s">
        <v>1417</v>
      </c>
      <c r="Z1389" s="256" t="s">
        <v>1417</v>
      </c>
      <c r="AA1389" s="256" t="s">
        <v>1417</v>
      </c>
      <c r="AB1389" s="256" t="s">
        <v>1417</v>
      </c>
      <c r="AC1389" s="260" t="s">
        <v>1417</v>
      </c>
      <c r="AD1389" s="405">
        <v>11188572000162</v>
      </c>
      <c r="AE1389" s="257" t="s">
        <v>2162</v>
      </c>
      <c r="AF1389" s="257" t="s">
        <v>2109</v>
      </c>
      <c r="AG1389" s="261" t="s">
        <v>1432</v>
      </c>
      <c r="AH1389" s="261" t="s">
        <v>2110</v>
      </c>
      <c r="AI1389" s="261">
        <v>500000</v>
      </c>
      <c r="AJ1389" s="261">
        <v>50000</v>
      </c>
      <c r="AK1389" s="261">
        <v>50000</v>
      </c>
      <c r="AL1389" s="519">
        <v>1.3500000000000002E-2</v>
      </c>
      <c r="AM1389" s="519">
        <v>0.2</v>
      </c>
      <c r="AN1389" s="256" t="s">
        <v>2127</v>
      </c>
      <c r="AO1389" s="254" t="s">
        <v>1324</v>
      </c>
      <c r="AP1389" s="257" t="s">
        <v>716</v>
      </c>
      <c r="AQ1389" s="263" t="s">
        <v>659</v>
      </c>
      <c r="AR1389" s="256" t="s">
        <v>34</v>
      </c>
      <c r="AS1389" s="256" t="s">
        <v>34</v>
      </c>
      <c r="AT1389" s="256"/>
      <c r="AX1389" s="508"/>
      <c r="AY1389" s="509"/>
      <c r="AZ1389" s="509"/>
      <c r="BA1389" s="509"/>
      <c r="BB1389" s="510"/>
      <c r="BC1389" s="509"/>
      <c r="BD1389" s="509"/>
      <c r="BE1389" s="509"/>
      <c r="BF1389" s="509"/>
      <c r="BG1389" s="510"/>
      <c r="BH1389" s="510"/>
      <c r="BI1389" s="511"/>
      <c r="BJ1389" s="511"/>
      <c r="BK1389" s="511"/>
      <c r="BL1389" s="510"/>
      <c r="BM1389" s="510"/>
      <c r="BN1389" s="510"/>
      <c r="BO1389" s="510"/>
      <c r="BP1389" s="510"/>
      <c r="BQ1389" s="510"/>
      <c r="BR1389" s="510"/>
      <c r="BS1389" s="510"/>
      <c r="BT1389" s="513"/>
      <c r="BU1389" s="514"/>
      <c r="BV1389" s="512"/>
      <c r="BW1389" s="515"/>
    </row>
    <row r="1390" spans="2:75" ht="15.75" customHeight="1">
      <c r="B1390" s="250" t="s">
        <v>123</v>
      </c>
      <c r="C1390" s="251">
        <v>39974143000130</v>
      </c>
      <c r="D1390" s="252" t="s">
        <v>14</v>
      </c>
      <c r="E1390" s="252" t="s">
        <v>607</v>
      </c>
      <c r="F1390" s="252"/>
      <c r="G1390" s="253"/>
      <c r="H1390" s="253" t="s">
        <v>34</v>
      </c>
      <c r="I1390" s="253" t="s">
        <v>34</v>
      </c>
      <c r="J1390" s="253" t="s">
        <v>608</v>
      </c>
      <c r="K1390" s="254" t="s">
        <v>48</v>
      </c>
      <c r="L1390" s="255"/>
      <c r="M1390" s="255" t="s">
        <v>1414</v>
      </c>
      <c r="N1390" s="254">
        <v>582670</v>
      </c>
      <c r="O1390" s="254" t="s">
        <v>1321</v>
      </c>
      <c r="P1390" s="258">
        <v>44245</v>
      </c>
      <c r="Q1390" s="259">
        <v>20118383.239999998</v>
      </c>
      <c r="R1390" s="259">
        <v>18025872.933492061</v>
      </c>
      <c r="S1390" s="254">
        <v>182</v>
      </c>
      <c r="T1390" s="256">
        <v>-0.16196071023401848</v>
      </c>
      <c r="U1390" s="256">
        <v>-2.0936977129081455</v>
      </c>
      <c r="V1390" s="256">
        <v>-0.27812339099178407</v>
      </c>
      <c r="W1390" s="256">
        <v>-2.7265392027177633</v>
      </c>
      <c r="X1390" s="256" t="s">
        <v>1417</v>
      </c>
      <c r="Y1390" s="256" t="s">
        <v>1417</v>
      </c>
      <c r="Z1390" s="256" t="s">
        <v>1417</v>
      </c>
      <c r="AA1390" s="256" t="s">
        <v>1417</v>
      </c>
      <c r="AB1390" s="256">
        <v>0.50671900126016078</v>
      </c>
      <c r="AC1390" s="260">
        <v>-0.58135006165197012</v>
      </c>
      <c r="AD1390" s="405">
        <v>0</v>
      </c>
      <c r="AE1390" s="257" t="s">
        <v>2138</v>
      </c>
      <c r="AF1390" s="257" t="s">
        <v>2118</v>
      </c>
      <c r="AG1390" s="261" t="s">
        <v>1433</v>
      </c>
      <c r="AH1390" s="261" t="s">
        <v>726</v>
      </c>
      <c r="AI1390" s="261">
        <v>5000</v>
      </c>
      <c r="AJ1390" s="261" t="s">
        <v>1427</v>
      </c>
      <c r="AK1390" s="261">
        <v>1000</v>
      </c>
      <c r="AL1390" s="256">
        <v>5.0000000000000001E-3</v>
      </c>
      <c r="AM1390" s="256">
        <v>0.25</v>
      </c>
      <c r="AN1390" s="256" t="s">
        <v>34</v>
      </c>
      <c r="AO1390" s="254" t="s">
        <v>1324</v>
      </c>
      <c r="AP1390" s="257" t="s">
        <v>716</v>
      </c>
      <c r="AQ1390" s="263" t="s">
        <v>659</v>
      </c>
      <c r="AR1390" s="256" t="s">
        <v>34</v>
      </c>
      <c r="AS1390" s="256" t="s">
        <v>34</v>
      </c>
      <c r="AT1390" s="256"/>
      <c r="AX1390" s="508"/>
      <c r="AY1390" s="509"/>
      <c r="AZ1390" s="509"/>
      <c r="BA1390" s="509"/>
      <c r="BB1390" s="510"/>
      <c r="BC1390" s="509"/>
      <c r="BD1390" s="509"/>
      <c r="BE1390" s="509"/>
      <c r="BF1390" s="509"/>
      <c r="BG1390" s="510"/>
      <c r="BH1390" s="510"/>
      <c r="BI1390" s="511"/>
      <c r="BJ1390" s="511"/>
      <c r="BK1390" s="511"/>
      <c r="BL1390" s="510"/>
      <c r="BM1390" s="510"/>
      <c r="BN1390" s="510"/>
      <c r="BO1390" s="510"/>
      <c r="BP1390" s="510"/>
      <c r="BQ1390" s="510"/>
      <c r="BR1390" s="510"/>
      <c r="BS1390" s="510"/>
      <c r="BT1390" s="513"/>
      <c r="BU1390" s="514"/>
      <c r="BV1390" s="512"/>
      <c r="BW1390" s="515"/>
    </row>
    <row r="1391" spans="2:75" ht="15.75" customHeight="1">
      <c r="B1391" s="250" t="s">
        <v>1088</v>
      </c>
      <c r="C1391" s="251">
        <v>16816153000141</v>
      </c>
      <c r="D1391" s="252" t="s">
        <v>14</v>
      </c>
      <c r="E1391" s="252" t="s">
        <v>607</v>
      </c>
      <c r="F1391" s="252"/>
      <c r="G1391" s="253"/>
      <c r="H1391" s="253" t="s">
        <v>34</v>
      </c>
      <c r="I1391" s="253" t="s">
        <v>34</v>
      </c>
      <c r="J1391" s="253" t="s">
        <v>608</v>
      </c>
      <c r="K1391" s="254" t="s">
        <v>48</v>
      </c>
      <c r="L1391" s="255"/>
      <c r="M1391" s="255" t="s">
        <v>1414</v>
      </c>
      <c r="N1391" s="254">
        <v>318221</v>
      </c>
      <c r="O1391" s="254" t="s">
        <v>1321</v>
      </c>
      <c r="P1391" s="258">
        <v>41214</v>
      </c>
      <c r="Q1391" s="259">
        <v>417186295.80000001</v>
      </c>
      <c r="R1391" s="259">
        <v>497368012.53400791</v>
      </c>
      <c r="S1391" s="254">
        <v>184</v>
      </c>
      <c r="T1391" s="256">
        <v>-0.24753759527948194</v>
      </c>
      <c r="U1391" s="256">
        <v>-3.1999668089043456</v>
      </c>
      <c r="V1391" s="256">
        <v>-0.37166077629595828</v>
      </c>
      <c r="W1391" s="256">
        <v>-3.6435183429551312</v>
      </c>
      <c r="X1391" s="256">
        <v>-0.19463696380827278</v>
      </c>
      <c r="Y1391" s="256">
        <v>-1.4759674544160086</v>
      </c>
      <c r="Z1391" s="256">
        <v>-7.3277511475544066E-2</v>
      </c>
      <c r="AA1391" s="256">
        <v>-0.41653313093611255</v>
      </c>
      <c r="AB1391" s="256">
        <v>0.32736011614757238</v>
      </c>
      <c r="AC1391" s="260">
        <v>-1.5522114086879935</v>
      </c>
      <c r="AD1391" s="405">
        <v>29994412000176</v>
      </c>
      <c r="AE1391" s="257" t="s">
        <v>2334</v>
      </c>
      <c r="AF1391" s="257" t="s">
        <v>2112</v>
      </c>
      <c r="AG1391" s="261" t="s">
        <v>59</v>
      </c>
      <c r="AH1391" s="261" t="s">
        <v>2110</v>
      </c>
      <c r="AI1391" s="261">
        <v>25000</v>
      </c>
      <c r="AJ1391" s="261">
        <v>1000</v>
      </c>
      <c r="AK1391" s="261">
        <v>1000</v>
      </c>
      <c r="AL1391" s="256">
        <v>0.01</v>
      </c>
      <c r="AM1391" s="256">
        <v>0.3</v>
      </c>
      <c r="AN1391" s="256" t="s">
        <v>1428</v>
      </c>
      <c r="AO1391" s="254" t="s">
        <v>1324</v>
      </c>
      <c r="AP1391" s="257" t="s">
        <v>716</v>
      </c>
      <c r="AQ1391" s="263" t="s">
        <v>659</v>
      </c>
      <c r="AR1391" s="256" t="s">
        <v>34</v>
      </c>
      <c r="AS1391" s="256" t="s">
        <v>34</v>
      </c>
      <c r="AT1391" s="256"/>
      <c r="AX1391" s="508"/>
      <c r="AY1391" s="509"/>
      <c r="AZ1391" s="509"/>
      <c r="BA1391" s="509"/>
      <c r="BB1391" s="510"/>
      <c r="BC1391" s="509"/>
      <c r="BD1391" s="509"/>
      <c r="BE1391" s="509"/>
      <c r="BF1391" s="509"/>
      <c r="BG1391" s="510"/>
      <c r="BH1391" s="510"/>
      <c r="BI1391" s="511"/>
      <c r="BJ1391" s="511"/>
      <c r="BK1391" s="511"/>
      <c r="BL1391" s="510"/>
      <c r="BM1391" s="510"/>
      <c r="BN1391" s="510"/>
      <c r="BO1391" s="510"/>
      <c r="BP1391" s="510"/>
      <c r="BQ1391" s="510"/>
      <c r="BR1391" s="510"/>
      <c r="BS1391" s="510"/>
      <c r="BT1391" s="513"/>
      <c r="BU1391" s="514"/>
      <c r="BV1391" s="512"/>
      <c r="BW1391" s="515"/>
    </row>
    <row r="1392" spans="2:75" ht="15.75" customHeight="1">
      <c r="B1392" s="250" t="s">
        <v>1490</v>
      </c>
      <c r="C1392" s="251">
        <v>38064885000165</v>
      </c>
      <c r="D1392" s="252" t="s">
        <v>14</v>
      </c>
      <c r="E1392" s="252" t="s">
        <v>607</v>
      </c>
      <c r="F1392" s="252"/>
      <c r="G1392" s="253"/>
      <c r="H1392" s="253" t="s">
        <v>34</v>
      </c>
      <c r="I1392" s="253" t="s">
        <v>34</v>
      </c>
      <c r="J1392" s="253" t="s">
        <v>612</v>
      </c>
      <c r="K1392" s="254" t="s">
        <v>48</v>
      </c>
      <c r="L1392" s="255"/>
      <c r="M1392" s="255"/>
      <c r="N1392" s="254">
        <v>550681</v>
      </c>
      <c r="O1392" s="254" t="s">
        <v>1321</v>
      </c>
      <c r="P1392" s="258">
        <v>44071</v>
      </c>
      <c r="Q1392" s="259">
        <v>233501487.78999999</v>
      </c>
      <c r="R1392" s="259">
        <v>288473656.85674614</v>
      </c>
      <c r="S1392" s="254">
        <v>212</v>
      </c>
      <c r="T1392" s="256">
        <v>-0.14453867373181439</v>
      </c>
      <c r="U1392" s="256">
        <v>-1.6257585027312775</v>
      </c>
      <c r="V1392" s="256">
        <v>-8.0360398941420108E-2</v>
      </c>
      <c r="W1392" s="256">
        <v>-0.7375243093663868</v>
      </c>
      <c r="X1392" s="256">
        <v>0.10248963828920621</v>
      </c>
      <c r="Y1392" s="256">
        <v>0.72068565962390618</v>
      </c>
      <c r="Z1392" s="256" t="s">
        <v>1417</v>
      </c>
      <c r="AA1392" s="256" t="s">
        <v>1417</v>
      </c>
      <c r="AB1392" s="256">
        <v>0.16968752533225953</v>
      </c>
      <c r="AC1392" s="260">
        <v>-1.019214423794969</v>
      </c>
      <c r="AD1392" s="405">
        <v>0</v>
      </c>
      <c r="AE1392" s="257" t="s">
        <v>2123</v>
      </c>
      <c r="AF1392" s="257" t="s">
        <v>2109</v>
      </c>
      <c r="AG1392" s="261" t="s">
        <v>1432</v>
      </c>
      <c r="AH1392" s="261" t="s">
        <v>726</v>
      </c>
      <c r="AI1392" s="261">
        <v>25000</v>
      </c>
      <c r="AJ1392" s="261">
        <v>25000</v>
      </c>
      <c r="AK1392" s="261">
        <v>25000</v>
      </c>
      <c r="AL1392" s="519">
        <v>7.4999999999999997E-3</v>
      </c>
      <c r="AM1392" s="519" t="s">
        <v>34</v>
      </c>
      <c r="AN1392" s="256" t="s">
        <v>34</v>
      </c>
      <c r="AO1392" s="254" t="s">
        <v>1324</v>
      </c>
      <c r="AP1392" s="257" t="s">
        <v>13</v>
      </c>
      <c r="AQ1392" s="263" t="s">
        <v>679</v>
      </c>
      <c r="AR1392" s="256">
        <v>5.2499999999999995E-3</v>
      </c>
      <c r="AS1392" s="256">
        <v>5.2499999999999995E-3</v>
      </c>
      <c r="AT1392" s="256"/>
      <c r="AX1392" s="508"/>
      <c r="AY1392" s="509"/>
      <c r="AZ1392" s="509"/>
      <c r="BA1392" s="509"/>
      <c r="BB1392" s="510"/>
      <c r="BC1392" s="509"/>
      <c r="BD1392" s="509"/>
      <c r="BE1392" s="509"/>
      <c r="BF1392" s="509"/>
      <c r="BG1392" s="510"/>
      <c r="BH1392" s="510"/>
      <c r="BI1392" s="511"/>
      <c r="BJ1392" s="511"/>
      <c r="BK1392" s="511"/>
      <c r="BL1392" s="510"/>
      <c r="BM1392" s="510"/>
      <c r="BN1392" s="510"/>
      <c r="BO1392" s="510"/>
      <c r="BP1392" s="510"/>
      <c r="BQ1392" s="510"/>
      <c r="BR1392" s="510"/>
      <c r="BS1392" s="510"/>
      <c r="BT1392" s="513"/>
      <c r="BU1392" s="514"/>
      <c r="BV1392" s="512"/>
      <c r="BW1392" s="515"/>
    </row>
    <row r="1393" spans="2:75" ht="15.75" customHeight="1">
      <c r="B1393" s="250" t="s">
        <v>518</v>
      </c>
      <c r="C1393" s="251">
        <v>27500576000174</v>
      </c>
      <c r="D1393" s="252" t="s">
        <v>11</v>
      </c>
      <c r="E1393" s="252" t="s">
        <v>620</v>
      </c>
      <c r="F1393" s="252" t="s">
        <v>685</v>
      </c>
      <c r="G1393" s="253" t="s">
        <v>738</v>
      </c>
      <c r="H1393" s="253" t="s">
        <v>34</v>
      </c>
      <c r="I1393" s="253" t="s">
        <v>1319</v>
      </c>
      <c r="J1393" s="253" t="s">
        <v>608</v>
      </c>
      <c r="K1393" s="254" t="s">
        <v>48</v>
      </c>
      <c r="L1393" s="255"/>
      <c r="M1393" s="255" t="s">
        <v>34</v>
      </c>
      <c r="N1393" s="254">
        <v>458406</v>
      </c>
      <c r="O1393" s="254" t="s">
        <v>1321</v>
      </c>
      <c r="P1393" s="258">
        <v>43109</v>
      </c>
      <c r="Q1393" s="259">
        <v>323711437.73000002</v>
      </c>
      <c r="R1393" s="259">
        <v>288832276.99718255</v>
      </c>
      <c r="S1393" s="254">
        <v>270</v>
      </c>
      <c r="T1393" s="256">
        <v>0.10414106466887363</v>
      </c>
      <c r="U1393" s="256">
        <v>1.3462518693699983</v>
      </c>
      <c r="V1393" s="256">
        <v>0.14248647371165757</v>
      </c>
      <c r="W1393" s="256">
        <v>1.3968438794251747</v>
      </c>
      <c r="X1393" s="256">
        <v>0.20450480501390444</v>
      </c>
      <c r="Y1393" s="256">
        <v>1.5507970868757732</v>
      </c>
      <c r="Z1393" s="256">
        <v>0.27096020750607264</v>
      </c>
      <c r="AA1393" s="256">
        <v>1.5402256615833745</v>
      </c>
      <c r="AB1393" s="256">
        <v>3.4582688338758443E-3</v>
      </c>
      <c r="AC1393" s="260">
        <v>10.437620917766653</v>
      </c>
      <c r="AD1393" s="405">
        <v>0</v>
      </c>
      <c r="AE1393" s="257" t="s">
        <v>2272</v>
      </c>
      <c r="AF1393" s="257" t="s">
        <v>2273</v>
      </c>
      <c r="AG1393" s="261" t="s">
        <v>1434</v>
      </c>
      <c r="AH1393" s="261" t="s">
        <v>726</v>
      </c>
      <c r="AI1393" s="261">
        <v>1000</v>
      </c>
      <c r="AJ1393" s="261">
        <v>1000</v>
      </c>
      <c r="AK1393" s="261">
        <v>1000</v>
      </c>
      <c r="AL1393" s="256">
        <v>1.1000000000000001E-3</v>
      </c>
      <c r="AM1393" s="256">
        <v>0.2</v>
      </c>
      <c r="AN1393" s="256" t="s">
        <v>64</v>
      </c>
      <c r="AO1393" s="254" t="s">
        <v>1324</v>
      </c>
      <c r="AP1393" s="257" t="s">
        <v>13</v>
      </c>
      <c r="AQ1393" s="263" t="s">
        <v>668</v>
      </c>
      <c r="AR1393" s="256">
        <v>3.8800000000000002E-3</v>
      </c>
      <c r="AS1393" s="256">
        <v>3.8800000000000002E-3</v>
      </c>
      <c r="AT1393" s="256"/>
      <c r="AX1393" s="508"/>
      <c r="AY1393" s="509"/>
      <c r="AZ1393" s="509"/>
      <c r="BA1393" s="509"/>
      <c r="BB1393" s="510"/>
      <c r="BC1393" s="509"/>
      <c r="BD1393" s="509"/>
      <c r="BE1393" s="509"/>
      <c r="BF1393" s="509"/>
      <c r="BG1393" s="510"/>
      <c r="BH1393" s="510"/>
      <c r="BI1393" s="511"/>
      <c r="BJ1393" s="511"/>
      <c r="BK1393" s="511"/>
      <c r="BL1393" s="510"/>
      <c r="BM1393" s="510"/>
      <c r="BN1393" s="510"/>
      <c r="BO1393" s="510"/>
      <c r="BP1393" s="510"/>
      <c r="BQ1393" s="510"/>
      <c r="BR1393" s="510"/>
      <c r="BS1393" s="510"/>
      <c r="BT1393" s="513"/>
      <c r="BU1393" s="514"/>
      <c r="BV1393" s="512"/>
      <c r="BW1393" s="515"/>
    </row>
    <row r="1394" spans="2:75" ht="15.75" customHeight="1">
      <c r="B1394" s="250" t="s">
        <v>645</v>
      </c>
      <c r="C1394" s="251">
        <v>22672424000135</v>
      </c>
      <c r="D1394" s="252" t="s">
        <v>11</v>
      </c>
      <c r="E1394" s="252" t="s">
        <v>620</v>
      </c>
      <c r="F1394" s="252" t="s">
        <v>685</v>
      </c>
      <c r="G1394" s="253" t="s">
        <v>738</v>
      </c>
      <c r="H1394" s="253" t="s">
        <v>34</v>
      </c>
      <c r="I1394" s="253" t="s">
        <v>1319</v>
      </c>
      <c r="J1394" s="253" t="s">
        <v>608</v>
      </c>
      <c r="K1394" s="254" t="s">
        <v>48</v>
      </c>
      <c r="L1394" s="255"/>
      <c r="M1394" s="255" t="s">
        <v>34</v>
      </c>
      <c r="N1394" s="254">
        <v>407410</v>
      </c>
      <c r="O1394" s="254" t="s">
        <v>1321</v>
      </c>
      <c r="P1394" s="258">
        <v>42276</v>
      </c>
      <c r="Q1394" s="259">
        <v>199570797.74000001</v>
      </c>
      <c r="R1394" s="259">
        <v>177978751.69452384</v>
      </c>
      <c r="S1394" s="254">
        <v>271</v>
      </c>
      <c r="T1394" s="256">
        <v>9.4414348984181551E-2</v>
      </c>
      <c r="U1394" s="256">
        <v>1.2205127172403103</v>
      </c>
      <c r="V1394" s="256">
        <v>0.14783691381239028</v>
      </c>
      <c r="W1394" s="256">
        <v>1.4492960828677535</v>
      </c>
      <c r="X1394" s="256">
        <v>0.2362619114116753</v>
      </c>
      <c r="Y1394" s="256">
        <v>1.7916169937034812</v>
      </c>
      <c r="Z1394" s="256">
        <v>0.31327555914223693</v>
      </c>
      <c r="AA1394" s="256">
        <v>1.7807598384236532</v>
      </c>
      <c r="AB1394" s="256">
        <v>7.8645007926543935E-3</v>
      </c>
      <c r="AC1394" s="260">
        <v>5.1873049885537901</v>
      </c>
      <c r="AD1394" s="405">
        <v>0</v>
      </c>
      <c r="AE1394" s="257" t="s">
        <v>2307</v>
      </c>
      <c r="AF1394" s="257" t="s">
        <v>2109</v>
      </c>
      <c r="AG1394" s="261" t="s">
        <v>1432</v>
      </c>
      <c r="AH1394" s="261" t="s">
        <v>726</v>
      </c>
      <c r="AI1394" s="261">
        <v>50000</v>
      </c>
      <c r="AJ1394" s="261">
        <v>10000</v>
      </c>
      <c r="AK1394" s="261">
        <v>30000</v>
      </c>
      <c r="AL1394" s="256">
        <v>0.02</v>
      </c>
      <c r="AM1394" s="256">
        <v>0.2</v>
      </c>
      <c r="AN1394" s="256" t="s">
        <v>34</v>
      </c>
      <c r="AO1394" s="254" t="s">
        <v>1324</v>
      </c>
      <c r="AP1394" s="257" t="s">
        <v>13</v>
      </c>
      <c r="AQ1394" s="263" t="s">
        <v>679</v>
      </c>
      <c r="AR1394" s="256">
        <v>6.6666666666666662E-3</v>
      </c>
      <c r="AS1394" s="256">
        <v>6.6666666666666662E-3</v>
      </c>
      <c r="AT1394" s="256"/>
      <c r="AX1394" s="508"/>
      <c r="AY1394" s="509"/>
      <c r="AZ1394" s="509"/>
      <c r="BA1394" s="509"/>
      <c r="BB1394" s="510"/>
      <c r="BC1394" s="509"/>
      <c r="BD1394" s="509"/>
      <c r="BE1394" s="509"/>
      <c r="BF1394" s="509"/>
      <c r="BG1394" s="510"/>
      <c r="BH1394" s="510"/>
      <c r="BI1394" s="511"/>
      <c r="BJ1394" s="511"/>
      <c r="BK1394" s="511"/>
      <c r="BL1394" s="510"/>
      <c r="BM1394" s="510"/>
      <c r="BN1394" s="510"/>
      <c r="BO1394" s="510"/>
      <c r="BP1394" s="510"/>
      <c r="BQ1394" s="510"/>
      <c r="BR1394" s="510"/>
      <c r="BS1394" s="510"/>
      <c r="BT1394" s="513"/>
      <c r="BU1394" s="514"/>
      <c r="BV1394" s="512"/>
      <c r="BW1394" s="515"/>
    </row>
    <row r="1395" spans="2:75" ht="15.75" customHeight="1">
      <c r="B1395" s="250" t="s">
        <v>877</v>
      </c>
      <c r="C1395" s="251">
        <v>39835826000106</v>
      </c>
      <c r="D1395" s="252" t="s">
        <v>13</v>
      </c>
      <c r="E1395" s="252" t="s">
        <v>615</v>
      </c>
      <c r="F1395" s="252" t="s">
        <v>619</v>
      </c>
      <c r="G1395" s="253" t="s">
        <v>34</v>
      </c>
      <c r="H1395" s="253" t="s">
        <v>1338</v>
      </c>
      <c r="I1395" s="253" t="s">
        <v>34</v>
      </c>
      <c r="J1395" s="253"/>
      <c r="K1395" s="254" t="s">
        <v>48</v>
      </c>
      <c r="L1395" s="255"/>
      <c r="M1395" s="255" t="s">
        <v>1414</v>
      </c>
      <c r="N1395" s="254">
        <v>563471</v>
      </c>
      <c r="O1395" s="254" t="s">
        <v>1321</v>
      </c>
      <c r="P1395" s="258">
        <v>44162</v>
      </c>
      <c r="Q1395" s="259">
        <v>270724653.06999999</v>
      </c>
      <c r="R1395" s="259">
        <v>204663285.8802776</v>
      </c>
      <c r="S1395" s="254">
        <v>271</v>
      </c>
      <c r="T1395" s="256">
        <v>0.39652569111297753</v>
      </c>
      <c r="U1395" s="256">
        <v>5.1259650034443061</v>
      </c>
      <c r="V1395" s="256">
        <v>0.57683142534935561</v>
      </c>
      <c r="W1395" s="256">
        <v>5.6548767400187607</v>
      </c>
      <c r="X1395" s="256" t="s">
        <v>1417</v>
      </c>
      <c r="Y1395" s="256" t="s">
        <v>1417</v>
      </c>
      <c r="Z1395" s="256" t="s">
        <v>1417</v>
      </c>
      <c r="AA1395" s="256" t="s">
        <v>1417</v>
      </c>
      <c r="AB1395" s="256">
        <v>0.19317736510082401</v>
      </c>
      <c r="AC1395" s="260">
        <v>1.9474320983696922</v>
      </c>
      <c r="AD1395" s="405">
        <v>32990098000168</v>
      </c>
      <c r="AE1395" s="257" t="s">
        <v>2123</v>
      </c>
      <c r="AF1395" s="257" t="s">
        <v>2109</v>
      </c>
      <c r="AG1395" s="261" t="s">
        <v>1432</v>
      </c>
      <c r="AH1395" s="261" t="s">
        <v>726</v>
      </c>
      <c r="AI1395" s="261">
        <v>500000</v>
      </c>
      <c r="AJ1395" s="261">
        <v>100000</v>
      </c>
      <c r="AK1395" s="261">
        <v>500000</v>
      </c>
      <c r="AL1395" s="256">
        <v>0</v>
      </c>
      <c r="AM1395" s="256" t="s">
        <v>34</v>
      </c>
      <c r="AN1395" s="256" t="s">
        <v>34</v>
      </c>
      <c r="AO1395" s="254" t="s">
        <v>1324</v>
      </c>
      <c r="AP1395" s="257" t="s">
        <v>13</v>
      </c>
      <c r="AQ1395" s="263" t="s">
        <v>679</v>
      </c>
      <c r="AR1395" s="256" t="s">
        <v>34</v>
      </c>
      <c r="AS1395" s="256" t="s">
        <v>34</v>
      </c>
      <c r="AT1395" s="256"/>
      <c r="AX1395" s="508"/>
      <c r="AY1395" s="509"/>
      <c r="AZ1395" s="509"/>
      <c r="BA1395" s="509"/>
      <c r="BB1395" s="510"/>
      <c r="BC1395" s="509"/>
      <c r="BD1395" s="509"/>
      <c r="BE1395" s="509"/>
      <c r="BF1395" s="509"/>
      <c r="BG1395" s="510"/>
      <c r="BH1395" s="510"/>
      <c r="BI1395" s="511"/>
      <c r="BJ1395" s="511"/>
      <c r="BK1395" s="511"/>
      <c r="BL1395" s="510"/>
      <c r="BM1395" s="510"/>
      <c r="BN1395" s="510"/>
      <c r="BO1395" s="510"/>
      <c r="BP1395" s="510"/>
      <c r="BQ1395" s="510"/>
      <c r="BR1395" s="510"/>
      <c r="BS1395" s="510"/>
      <c r="BT1395" s="513"/>
      <c r="BU1395" s="514"/>
      <c r="BV1395" s="512"/>
      <c r="BW1395" s="515"/>
    </row>
    <row r="1396" spans="2:75" ht="15.75" customHeight="1">
      <c r="B1396" s="250" t="s">
        <v>224</v>
      </c>
      <c r="C1396" s="251">
        <v>22922145000182</v>
      </c>
      <c r="D1396" s="252" t="s">
        <v>11</v>
      </c>
      <c r="E1396" s="252" t="s">
        <v>620</v>
      </c>
      <c r="F1396" s="252" t="s">
        <v>663</v>
      </c>
      <c r="G1396" s="253" t="s">
        <v>738</v>
      </c>
      <c r="H1396" s="253" t="s">
        <v>34</v>
      </c>
      <c r="I1396" s="253" t="s">
        <v>1304</v>
      </c>
      <c r="J1396" s="253"/>
      <c r="K1396" s="254" t="s">
        <v>48</v>
      </c>
      <c r="L1396" s="255"/>
      <c r="M1396" s="255" t="s">
        <v>34</v>
      </c>
      <c r="N1396" s="254">
        <v>417122</v>
      </c>
      <c r="O1396" s="254" t="s">
        <v>1321</v>
      </c>
      <c r="P1396" s="258">
        <v>42230</v>
      </c>
      <c r="Q1396" s="259">
        <v>28344597.379999999</v>
      </c>
      <c r="R1396" s="259">
        <v>27403483.957698416</v>
      </c>
      <c r="S1396" s="254">
        <v>361</v>
      </c>
      <c r="T1396" s="256">
        <v>9.5030492086422225E-2</v>
      </c>
      <c r="U1396" s="256">
        <v>1.2284777193826291</v>
      </c>
      <c r="V1396" s="256">
        <v>0.13543475425673268</v>
      </c>
      <c r="W1396" s="256">
        <v>1.3277134496836929</v>
      </c>
      <c r="X1396" s="256">
        <v>0.3626374639238148</v>
      </c>
      <c r="Y1396" s="256">
        <v>2.7499457658553981</v>
      </c>
      <c r="Z1396" s="256">
        <v>0.60088515399541276</v>
      </c>
      <c r="AA1396" s="256">
        <v>3.4156260152239168</v>
      </c>
      <c r="AB1396" s="256">
        <v>5.0084351505620156E-2</v>
      </c>
      <c r="AC1396" s="260">
        <v>0.62186450106745217</v>
      </c>
      <c r="AD1396" s="405">
        <v>0</v>
      </c>
      <c r="AE1396" s="257" t="s">
        <v>2270</v>
      </c>
      <c r="AF1396" s="257" t="s">
        <v>973</v>
      </c>
      <c r="AG1396" s="261" t="s">
        <v>973</v>
      </c>
      <c r="AH1396" s="261" t="s">
        <v>2110</v>
      </c>
      <c r="AI1396" s="261">
        <v>1000</v>
      </c>
      <c r="AJ1396" s="261">
        <v>1000</v>
      </c>
      <c r="AK1396" s="261">
        <v>1000</v>
      </c>
      <c r="AL1396" s="256">
        <v>5.0000000000000001E-3</v>
      </c>
      <c r="AM1396" s="256">
        <v>0.35</v>
      </c>
      <c r="AN1396" s="256" t="s">
        <v>64</v>
      </c>
      <c r="AO1396" s="254" t="s">
        <v>1324</v>
      </c>
      <c r="AP1396" s="257" t="s">
        <v>13</v>
      </c>
      <c r="AQ1396" s="263" t="s">
        <v>698</v>
      </c>
      <c r="AR1396" s="256">
        <v>1.6666666666666666E-3</v>
      </c>
      <c r="AS1396" s="256">
        <v>1.6666666666666666E-3</v>
      </c>
      <c r="AT1396" s="256"/>
      <c r="AX1396" s="508"/>
      <c r="AY1396" s="509"/>
      <c r="AZ1396" s="509"/>
      <c r="BA1396" s="509"/>
      <c r="BB1396" s="510"/>
      <c r="BC1396" s="509"/>
      <c r="BD1396" s="509"/>
      <c r="BE1396" s="509"/>
      <c r="BF1396" s="509"/>
      <c r="BG1396" s="510"/>
      <c r="BH1396" s="510"/>
      <c r="BI1396" s="511"/>
      <c r="BJ1396" s="511"/>
      <c r="BK1396" s="511"/>
      <c r="BL1396" s="510"/>
      <c r="BM1396" s="510"/>
      <c r="BN1396" s="510"/>
      <c r="BO1396" s="510"/>
      <c r="BP1396" s="510"/>
      <c r="BQ1396" s="510"/>
      <c r="BR1396" s="510"/>
      <c r="BS1396" s="510"/>
      <c r="BT1396" s="513"/>
      <c r="BU1396" s="514"/>
      <c r="BV1396" s="512"/>
      <c r="BW1396" s="515"/>
    </row>
    <row r="1397" spans="2:75" ht="15.75" customHeight="1">
      <c r="B1397" s="250" t="s">
        <v>163</v>
      </c>
      <c r="C1397" s="251">
        <v>34431415000131</v>
      </c>
      <c r="D1397" s="252" t="s">
        <v>11</v>
      </c>
      <c r="E1397" s="252" t="s">
        <v>620</v>
      </c>
      <c r="F1397" s="252" t="s">
        <v>685</v>
      </c>
      <c r="G1397" s="253" t="s">
        <v>738</v>
      </c>
      <c r="H1397" s="253" t="s">
        <v>34</v>
      </c>
      <c r="I1397" s="253" t="s">
        <v>1319</v>
      </c>
      <c r="J1397" s="253" t="s">
        <v>608</v>
      </c>
      <c r="K1397" s="254" t="s">
        <v>48</v>
      </c>
      <c r="L1397" s="255"/>
      <c r="M1397" s="255" t="s">
        <v>34</v>
      </c>
      <c r="N1397" s="254">
        <v>512869</v>
      </c>
      <c r="O1397" s="254" t="s">
        <v>1321</v>
      </c>
      <c r="P1397" s="258">
        <v>43768</v>
      </c>
      <c r="Q1397" s="259">
        <v>193336863.66999999</v>
      </c>
      <c r="R1397" s="259">
        <v>160201619.12503964</v>
      </c>
      <c r="S1397" s="254">
        <v>361</v>
      </c>
      <c r="T1397" s="256">
        <v>9.5407728959454596E-2</v>
      </c>
      <c r="U1397" s="256">
        <v>1.2333543340699273</v>
      </c>
      <c r="V1397" s="256">
        <v>0.1393023405216407</v>
      </c>
      <c r="W1397" s="256">
        <v>1.3656287272644843</v>
      </c>
      <c r="X1397" s="256">
        <v>0.20237456449846425</v>
      </c>
      <c r="Y1397" s="256">
        <v>1.5346430860665268</v>
      </c>
      <c r="Z1397" s="256" t="s">
        <v>1417</v>
      </c>
      <c r="AA1397" s="256" t="s">
        <v>1417</v>
      </c>
      <c r="AB1397" s="256">
        <v>8.4041564595350067E-3</v>
      </c>
      <c r="AC1397" s="260">
        <v>3.9662407144310592</v>
      </c>
      <c r="AD1397" s="405">
        <v>34431868000168</v>
      </c>
      <c r="AE1397" s="257" t="s">
        <v>2198</v>
      </c>
      <c r="AF1397" s="257" t="s">
        <v>2118</v>
      </c>
      <c r="AG1397" s="261" t="s">
        <v>1433</v>
      </c>
      <c r="AH1397" s="261" t="s">
        <v>2110</v>
      </c>
      <c r="AI1397" s="261">
        <v>50000</v>
      </c>
      <c r="AJ1397" s="261">
        <v>5000</v>
      </c>
      <c r="AK1397" s="261">
        <v>50000</v>
      </c>
      <c r="AL1397" s="256">
        <v>1.4499999999999999E-2</v>
      </c>
      <c r="AM1397" s="256">
        <v>0.2</v>
      </c>
      <c r="AN1397" s="256" t="s">
        <v>64</v>
      </c>
      <c r="AO1397" s="254" t="s">
        <v>1324</v>
      </c>
      <c r="AP1397" s="257" t="s">
        <v>13</v>
      </c>
      <c r="AQ1397" s="263" t="s">
        <v>664</v>
      </c>
      <c r="AR1397" s="256">
        <v>2.4166666666666668E-3</v>
      </c>
      <c r="AS1397" s="256">
        <v>2.4166666666666668E-3</v>
      </c>
      <c r="AT1397" s="256"/>
      <c r="AX1397" s="508"/>
      <c r="AY1397" s="509"/>
      <c r="AZ1397" s="509"/>
      <c r="BA1397" s="509"/>
      <c r="BB1397" s="510"/>
      <c r="BC1397" s="509"/>
      <c r="BD1397" s="509"/>
      <c r="BE1397" s="509"/>
      <c r="BF1397" s="509"/>
      <c r="BG1397" s="510"/>
      <c r="BH1397" s="510"/>
      <c r="BI1397" s="511"/>
      <c r="BJ1397" s="511"/>
      <c r="BK1397" s="511"/>
      <c r="BL1397" s="510"/>
      <c r="BM1397" s="510"/>
      <c r="BN1397" s="510"/>
      <c r="BO1397" s="510"/>
      <c r="BP1397" s="510"/>
      <c r="BQ1397" s="510"/>
      <c r="BR1397" s="510"/>
      <c r="BS1397" s="510"/>
      <c r="BT1397" s="513"/>
      <c r="BU1397" s="514"/>
      <c r="BV1397" s="512"/>
      <c r="BW1397" s="515"/>
    </row>
    <row r="1398" spans="2:75" ht="15.75" customHeight="1">
      <c r="B1398" s="250" t="s">
        <v>281</v>
      </c>
      <c r="C1398" s="251">
        <v>32300395000134</v>
      </c>
      <c r="D1398" s="252" t="s">
        <v>11</v>
      </c>
      <c r="E1398" s="252" t="s">
        <v>620</v>
      </c>
      <c r="F1398" s="252" t="s">
        <v>685</v>
      </c>
      <c r="G1398" s="253" t="s">
        <v>738</v>
      </c>
      <c r="H1398" s="253" t="s">
        <v>34</v>
      </c>
      <c r="I1398" s="253" t="s">
        <v>1319</v>
      </c>
      <c r="J1398" s="253" t="s">
        <v>608</v>
      </c>
      <c r="K1398" s="254" t="s">
        <v>48</v>
      </c>
      <c r="L1398" s="255"/>
      <c r="M1398" s="255" t="s">
        <v>34</v>
      </c>
      <c r="N1398" s="254">
        <v>490350</v>
      </c>
      <c r="O1398" s="254" t="s">
        <v>1321</v>
      </c>
      <c r="P1398" s="258">
        <v>43542</v>
      </c>
      <c r="Q1398" s="259">
        <v>85140229.319999993</v>
      </c>
      <c r="R1398" s="259">
        <v>61104145.064047664</v>
      </c>
      <c r="S1398" s="254">
        <v>361</v>
      </c>
      <c r="T1398" s="256">
        <v>0.10296140839706402</v>
      </c>
      <c r="U1398" s="256">
        <v>1.3310022224973908</v>
      </c>
      <c r="V1398" s="256">
        <v>0.15850605283324315</v>
      </c>
      <c r="W1398" s="256">
        <v>1.553889320048802</v>
      </c>
      <c r="X1398" s="256">
        <v>0.29881003821891983</v>
      </c>
      <c r="Y1398" s="256">
        <v>2.2659308018099273</v>
      </c>
      <c r="Z1398" s="256">
        <v>0.41932198325531278</v>
      </c>
      <c r="AA1398" s="256">
        <v>2.3835620920883458</v>
      </c>
      <c r="AB1398" s="256">
        <v>4.4430799942065642E-3</v>
      </c>
      <c r="AC1398" s="260">
        <v>11.260657962221311</v>
      </c>
      <c r="AD1398" s="405">
        <v>0</v>
      </c>
      <c r="AE1398" s="257" t="s">
        <v>2314</v>
      </c>
      <c r="AF1398" s="257" t="s">
        <v>2109</v>
      </c>
      <c r="AG1398" s="261" t="s">
        <v>1432</v>
      </c>
      <c r="AH1398" s="261" t="s">
        <v>726</v>
      </c>
      <c r="AI1398" s="261">
        <v>50000</v>
      </c>
      <c r="AJ1398" s="261">
        <v>10000</v>
      </c>
      <c r="AK1398" s="261">
        <v>50000</v>
      </c>
      <c r="AL1398" s="256">
        <v>0.02</v>
      </c>
      <c r="AM1398" s="256">
        <v>0.2</v>
      </c>
      <c r="AN1398" s="256" t="s">
        <v>2127</v>
      </c>
      <c r="AO1398" s="254" t="s">
        <v>1324</v>
      </c>
      <c r="AP1398" s="257" t="s">
        <v>13</v>
      </c>
      <c r="AQ1398" s="263" t="s">
        <v>668</v>
      </c>
      <c r="AR1398" s="256">
        <v>5.3340000000000002E-3</v>
      </c>
      <c r="AS1398" s="256">
        <v>5.3340000000000002E-3</v>
      </c>
      <c r="AT1398" s="256"/>
      <c r="AX1398" s="508"/>
      <c r="AY1398" s="509"/>
      <c r="AZ1398" s="509"/>
      <c r="BA1398" s="509"/>
      <c r="BB1398" s="510"/>
      <c r="BC1398" s="509"/>
      <c r="BD1398" s="509"/>
      <c r="BE1398" s="509"/>
      <c r="BF1398" s="509"/>
      <c r="BG1398" s="510"/>
      <c r="BH1398" s="510"/>
      <c r="BI1398" s="511"/>
      <c r="BJ1398" s="511"/>
      <c r="BK1398" s="511"/>
      <c r="BL1398" s="510"/>
      <c r="BM1398" s="510"/>
      <c r="BN1398" s="510"/>
      <c r="BO1398" s="510"/>
      <c r="BP1398" s="510"/>
      <c r="BQ1398" s="510"/>
      <c r="BR1398" s="510"/>
      <c r="BS1398" s="510"/>
      <c r="BT1398" s="513"/>
      <c r="BU1398" s="514"/>
      <c r="BV1398" s="512"/>
      <c r="BW1398" s="515"/>
    </row>
    <row r="1399" spans="2:75" ht="15.75" customHeight="1">
      <c r="B1399" s="250" t="s">
        <v>1146</v>
      </c>
      <c r="C1399" s="251">
        <v>43985450000193</v>
      </c>
      <c r="D1399" s="252" t="s">
        <v>11</v>
      </c>
      <c r="E1399" s="252" t="s">
        <v>620</v>
      </c>
      <c r="F1399" s="252" t="s">
        <v>685</v>
      </c>
      <c r="G1399" s="253" t="s">
        <v>738</v>
      </c>
      <c r="H1399" s="253" t="s">
        <v>34</v>
      </c>
      <c r="I1399" s="253" t="s">
        <v>1319</v>
      </c>
      <c r="J1399" s="253" t="s">
        <v>608</v>
      </c>
      <c r="K1399" s="254" t="s">
        <v>48</v>
      </c>
      <c r="L1399" s="255"/>
      <c r="M1399" s="255" t="s">
        <v>1414</v>
      </c>
      <c r="N1399" s="254">
        <v>623156</v>
      </c>
      <c r="O1399" s="254" t="s">
        <v>1321</v>
      </c>
      <c r="P1399" s="258">
        <v>44516</v>
      </c>
      <c r="Q1399" s="259">
        <v>99835983.099999994</v>
      </c>
      <c r="R1399" s="259" t="s">
        <v>1417</v>
      </c>
      <c r="S1399" s="254">
        <v>362</v>
      </c>
      <c r="T1399" s="256">
        <v>0.14154801019404872</v>
      </c>
      <c r="U1399" s="256">
        <v>1.8298187553127379</v>
      </c>
      <c r="V1399" s="256" t="s">
        <v>1417</v>
      </c>
      <c r="W1399" s="256" t="s">
        <v>1417</v>
      </c>
      <c r="X1399" s="256" t="s">
        <v>1417</v>
      </c>
      <c r="Y1399" s="256" t="s">
        <v>1417</v>
      </c>
      <c r="Z1399" s="256" t="s">
        <v>1417</v>
      </c>
      <c r="AA1399" s="256" t="s">
        <v>1417</v>
      </c>
      <c r="AB1399" s="256" t="s">
        <v>1417</v>
      </c>
      <c r="AC1399" s="260" t="s">
        <v>1417</v>
      </c>
      <c r="AD1399" s="405">
        <v>0</v>
      </c>
      <c r="AE1399" s="257" t="s">
        <v>2370</v>
      </c>
      <c r="AF1399" s="257" t="s">
        <v>2109</v>
      </c>
      <c r="AG1399" s="261" t="s">
        <v>1432</v>
      </c>
      <c r="AH1399" s="261" t="s">
        <v>2110</v>
      </c>
      <c r="AI1399" s="261">
        <v>25000</v>
      </c>
      <c r="AJ1399" s="261">
        <v>1000</v>
      </c>
      <c r="AK1399" s="261">
        <v>1000</v>
      </c>
      <c r="AL1399" s="256">
        <v>0.01</v>
      </c>
      <c r="AM1399" s="256">
        <v>0.2</v>
      </c>
      <c r="AN1399" s="256" t="s">
        <v>2127</v>
      </c>
      <c r="AO1399" s="254" t="s">
        <v>1324</v>
      </c>
      <c r="AP1399" s="257" t="s">
        <v>13</v>
      </c>
      <c r="AQ1399" s="263" t="s">
        <v>668</v>
      </c>
      <c r="AR1399" s="256" t="s">
        <v>34</v>
      </c>
      <c r="AS1399" s="256" t="s">
        <v>34</v>
      </c>
      <c r="AT1399" s="256"/>
      <c r="AX1399" s="508"/>
      <c r="AY1399" s="509"/>
      <c r="AZ1399" s="509"/>
      <c r="BA1399" s="509"/>
      <c r="BB1399" s="510"/>
      <c r="BC1399" s="509"/>
      <c r="BD1399" s="509"/>
      <c r="BE1399" s="509"/>
      <c r="BF1399" s="509"/>
      <c r="BG1399" s="510"/>
      <c r="BH1399" s="510"/>
      <c r="BI1399" s="511"/>
      <c r="BJ1399" s="511"/>
      <c r="BK1399" s="511"/>
      <c r="BL1399" s="510"/>
      <c r="BM1399" s="510"/>
      <c r="BN1399" s="510"/>
      <c r="BO1399" s="510"/>
      <c r="BP1399" s="510"/>
      <c r="BQ1399" s="510"/>
      <c r="BR1399" s="510"/>
      <c r="BS1399" s="510"/>
      <c r="BT1399" s="513"/>
      <c r="BU1399" s="514"/>
      <c r="BV1399" s="512"/>
      <c r="BW1399" s="515"/>
    </row>
    <row r="1400" spans="2:75" ht="15.75" customHeight="1">
      <c r="B1400" s="250" t="s">
        <v>291</v>
      </c>
      <c r="C1400" s="251">
        <v>32862291000113</v>
      </c>
      <c r="D1400" s="252" t="s">
        <v>14</v>
      </c>
      <c r="E1400" s="252" t="s">
        <v>607</v>
      </c>
      <c r="F1400" s="252"/>
      <c r="G1400" s="253"/>
      <c r="H1400" s="253" t="s">
        <v>34</v>
      </c>
      <c r="I1400" s="253" t="s">
        <v>34</v>
      </c>
      <c r="J1400" s="253" t="s">
        <v>608</v>
      </c>
      <c r="K1400" s="254" t="s">
        <v>48</v>
      </c>
      <c r="L1400" s="255"/>
      <c r="M1400" s="255" t="s">
        <v>1414</v>
      </c>
      <c r="N1400" s="254">
        <v>518761</v>
      </c>
      <c r="O1400" s="254" t="s">
        <v>1321</v>
      </c>
      <c r="P1400" s="258">
        <v>43684</v>
      </c>
      <c r="Q1400" s="259">
        <v>1843223.08</v>
      </c>
      <c r="R1400" s="259">
        <v>2004317.1335714285</v>
      </c>
      <c r="S1400" s="254">
        <v>366</v>
      </c>
      <c r="T1400" s="256">
        <v>-0.14059321264503966</v>
      </c>
      <c r="U1400" s="256">
        <v>-1.8174759010380057</v>
      </c>
      <c r="V1400" s="256">
        <v>-0.28937823587215761</v>
      </c>
      <c r="W1400" s="256">
        <v>-2.8368743157674685</v>
      </c>
      <c r="X1400" s="256">
        <v>-0.29744301766154335</v>
      </c>
      <c r="Y1400" s="256">
        <v>-2.2555644365896352</v>
      </c>
      <c r="Z1400" s="256">
        <v>-0.19310327247638104</v>
      </c>
      <c r="AA1400" s="256">
        <v>-1.0976616025701225</v>
      </c>
      <c r="AB1400" s="256">
        <v>0.21569171729621578</v>
      </c>
      <c r="AC1400" s="260">
        <v>-1.9250256045415928</v>
      </c>
      <c r="AD1400" s="405">
        <v>0</v>
      </c>
      <c r="AE1400" s="257" t="s">
        <v>2325</v>
      </c>
      <c r="AF1400" s="257" t="s">
        <v>2115</v>
      </c>
      <c r="AG1400" s="261" t="s">
        <v>719</v>
      </c>
      <c r="AH1400" s="261" t="s">
        <v>2113</v>
      </c>
      <c r="AI1400" s="261">
        <v>100000</v>
      </c>
      <c r="AJ1400" s="261">
        <v>10000</v>
      </c>
      <c r="AK1400" s="261">
        <v>10000</v>
      </c>
      <c r="AL1400" s="256">
        <v>5.5000000000000003E-4</v>
      </c>
      <c r="AM1400" s="256">
        <v>0.3</v>
      </c>
      <c r="AN1400" s="256" t="s">
        <v>2122</v>
      </c>
      <c r="AO1400" s="254" t="s">
        <v>1324</v>
      </c>
      <c r="AP1400" s="257" t="s">
        <v>716</v>
      </c>
      <c r="AQ1400" s="263" t="s">
        <v>659</v>
      </c>
      <c r="AR1400" s="256" t="s">
        <v>34</v>
      </c>
      <c r="AS1400" s="256" t="s">
        <v>34</v>
      </c>
      <c r="AT1400" s="256"/>
      <c r="AX1400" s="508"/>
      <c r="AY1400" s="509"/>
      <c r="AZ1400" s="509"/>
      <c r="BA1400" s="509"/>
      <c r="BB1400" s="510"/>
      <c r="BC1400" s="509"/>
      <c r="BD1400" s="509"/>
      <c r="BE1400" s="509"/>
      <c r="BF1400" s="509"/>
      <c r="BG1400" s="510"/>
      <c r="BH1400" s="510"/>
      <c r="BI1400" s="511"/>
      <c r="BJ1400" s="511"/>
      <c r="BK1400" s="511"/>
      <c r="BL1400" s="510"/>
      <c r="BM1400" s="510"/>
      <c r="BN1400" s="510"/>
      <c r="BO1400" s="510"/>
      <c r="BP1400" s="510"/>
      <c r="BQ1400" s="510"/>
      <c r="BR1400" s="510"/>
      <c r="BS1400" s="510"/>
      <c r="BT1400" s="513"/>
      <c r="BU1400" s="514"/>
      <c r="BV1400" s="512"/>
      <c r="BW1400" s="515"/>
    </row>
    <row r="1401" spans="2:75" ht="15.75" customHeight="1">
      <c r="B1401" s="250" t="s">
        <v>929</v>
      </c>
      <c r="C1401" s="251">
        <v>37979878000120</v>
      </c>
      <c r="D1401" s="252" t="s">
        <v>11</v>
      </c>
      <c r="E1401" s="252" t="s">
        <v>620</v>
      </c>
      <c r="F1401" s="252" t="s">
        <v>685</v>
      </c>
      <c r="G1401" s="253" t="s">
        <v>738</v>
      </c>
      <c r="H1401" s="253" t="s">
        <v>34</v>
      </c>
      <c r="I1401" s="253" t="s">
        <v>1319</v>
      </c>
      <c r="J1401" s="253" t="s">
        <v>608</v>
      </c>
      <c r="K1401" s="254" t="s">
        <v>48</v>
      </c>
      <c r="L1401" s="255"/>
      <c r="M1401" s="255" t="s">
        <v>34</v>
      </c>
      <c r="N1401" s="254">
        <v>550175</v>
      </c>
      <c r="O1401" s="254" t="s">
        <v>1321</v>
      </c>
      <c r="P1401" s="258">
        <v>44064</v>
      </c>
      <c r="Q1401" s="259">
        <v>90657231.109999999</v>
      </c>
      <c r="R1401" s="259">
        <v>82601183.243214235</v>
      </c>
      <c r="S1401" s="254">
        <v>367</v>
      </c>
      <c r="T1401" s="256">
        <v>6.9144500619448213E-2</v>
      </c>
      <c r="U1401" s="256">
        <v>0.89384445522582889</v>
      </c>
      <c r="V1401" s="256">
        <v>0.10911495664681681</v>
      </c>
      <c r="W1401" s="256">
        <v>1.0696914266703434</v>
      </c>
      <c r="X1401" s="256">
        <v>0.22322404702831222</v>
      </c>
      <c r="Y1401" s="256">
        <v>1.6927484996188256</v>
      </c>
      <c r="Z1401" s="256" t="s">
        <v>1417</v>
      </c>
      <c r="AA1401" s="256" t="s">
        <v>1417</v>
      </c>
      <c r="AB1401" s="256">
        <v>1.3552864753260785E-2</v>
      </c>
      <c r="AC1401" s="260">
        <v>0.48129608319125955</v>
      </c>
      <c r="AD1401" s="405">
        <v>0</v>
      </c>
      <c r="AE1401" s="257" t="s">
        <v>2235</v>
      </c>
      <c r="AF1401" s="257" t="s">
        <v>928</v>
      </c>
      <c r="AG1401" s="261" t="s">
        <v>928</v>
      </c>
      <c r="AH1401" s="261" t="s">
        <v>2110</v>
      </c>
      <c r="AI1401" s="261">
        <v>50000</v>
      </c>
      <c r="AJ1401" s="261">
        <v>25000</v>
      </c>
      <c r="AK1401" s="261">
        <v>25000</v>
      </c>
      <c r="AL1401" s="256">
        <v>1.95E-2</v>
      </c>
      <c r="AM1401" s="256">
        <v>0.2</v>
      </c>
      <c r="AN1401" s="256" t="s">
        <v>34</v>
      </c>
      <c r="AO1401" s="254" t="s">
        <v>1324</v>
      </c>
      <c r="AP1401" s="257" t="s">
        <v>13</v>
      </c>
      <c r="AQ1401" s="263" t="s">
        <v>668</v>
      </c>
      <c r="AR1401" s="256">
        <v>6.4999999999999997E-3</v>
      </c>
      <c r="AS1401" s="256">
        <v>6.4999999999999997E-3</v>
      </c>
      <c r="AT1401" s="256"/>
      <c r="AX1401" s="508"/>
      <c r="AY1401" s="509"/>
      <c r="AZ1401" s="509"/>
      <c r="BA1401" s="509"/>
      <c r="BB1401" s="510"/>
      <c r="BC1401" s="509"/>
      <c r="BD1401" s="509"/>
      <c r="BE1401" s="509"/>
      <c r="BF1401" s="509"/>
      <c r="BG1401" s="510"/>
      <c r="BH1401" s="510"/>
      <c r="BI1401" s="511"/>
      <c r="BJ1401" s="511"/>
      <c r="BK1401" s="511"/>
      <c r="BL1401" s="510"/>
      <c r="BM1401" s="510"/>
      <c r="BN1401" s="510"/>
      <c r="BO1401" s="510"/>
      <c r="BP1401" s="510"/>
      <c r="BQ1401" s="510"/>
      <c r="BR1401" s="510"/>
      <c r="BS1401" s="510"/>
      <c r="BT1401" s="513"/>
      <c r="BU1401" s="514"/>
      <c r="BV1401" s="512"/>
      <c r="BW1401" s="515"/>
    </row>
    <row r="1402" spans="2:75" ht="15.75" customHeight="1">
      <c r="B1402" s="250" t="s">
        <v>853</v>
      </c>
      <c r="C1402" s="251">
        <v>44967234000188</v>
      </c>
      <c r="D1402" s="252" t="s">
        <v>14</v>
      </c>
      <c r="E1402" s="252" t="s">
        <v>607</v>
      </c>
      <c r="F1402" s="252"/>
      <c r="G1402" s="253"/>
      <c r="H1402" s="253" t="s">
        <v>34</v>
      </c>
      <c r="I1402" s="253" t="s">
        <v>34</v>
      </c>
      <c r="J1402" s="253" t="s">
        <v>608</v>
      </c>
      <c r="K1402" s="254" t="s">
        <v>48</v>
      </c>
      <c r="L1402" s="255"/>
      <c r="M1402" s="255" t="s">
        <v>1414</v>
      </c>
      <c r="N1402" s="254">
        <v>640492</v>
      </c>
      <c r="O1402" s="254" t="s">
        <v>1324</v>
      </c>
      <c r="P1402" s="258">
        <v>44614</v>
      </c>
      <c r="Q1402" s="259">
        <v>36961619.289999999</v>
      </c>
      <c r="R1402" s="259" t="s">
        <v>1417</v>
      </c>
      <c r="S1402" s="254">
        <v>367</v>
      </c>
      <c r="T1402" s="256" t="s">
        <v>1417</v>
      </c>
      <c r="U1402" s="256" t="s">
        <v>1417</v>
      </c>
      <c r="V1402" s="256" t="s">
        <v>1417</v>
      </c>
      <c r="W1402" s="256" t="s">
        <v>1417</v>
      </c>
      <c r="X1402" s="256" t="s">
        <v>1417</v>
      </c>
      <c r="Y1402" s="256" t="s">
        <v>1417</v>
      </c>
      <c r="Z1402" s="256" t="s">
        <v>1417</v>
      </c>
      <c r="AA1402" s="256" t="s">
        <v>1417</v>
      </c>
      <c r="AB1402" s="256" t="s">
        <v>1417</v>
      </c>
      <c r="AC1402" s="260" t="s">
        <v>1417</v>
      </c>
      <c r="AD1402" s="405">
        <v>0</v>
      </c>
      <c r="AE1402" s="257" t="s">
        <v>2191</v>
      </c>
      <c r="AF1402" s="257" t="s">
        <v>2109</v>
      </c>
      <c r="AG1402" s="261" t="s">
        <v>1432</v>
      </c>
      <c r="AH1402" s="261" t="s">
        <v>2113</v>
      </c>
      <c r="AI1402" s="261">
        <v>25000</v>
      </c>
      <c r="AJ1402" s="261">
        <v>10000</v>
      </c>
      <c r="AK1402" s="261">
        <v>10000</v>
      </c>
      <c r="AL1402" s="256">
        <v>0.02</v>
      </c>
      <c r="AM1402" s="256">
        <v>0.2</v>
      </c>
      <c r="AN1402" s="256" t="s">
        <v>2127</v>
      </c>
      <c r="AO1402" s="254" t="s">
        <v>1324</v>
      </c>
      <c r="AP1402" s="257" t="s">
        <v>716</v>
      </c>
      <c r="AQ1402" s="263" t="s">
        <v>659</v>
      </c>
      <c r="AR1402" s="256" t="s">
        <v>34</v>
      </c>
      <c r="AS1402" s="256" t="s">
        <v>34</v>
      </c>
      <c r="AT1402" s="256"/>
      <c r="AX1402" s="508"/>
      <c r="AY1402" s="509"/>
      <c r="AZ1402" s="509"/>
      <c r="BA1402" s="509"/>
      <c r="BB1402" s="510"/>
      <c r="BC1402" s="509"/>
      <c r="BD1402" s="509"/>
      <c r="BE1402" s="509"/>
      <c r="BF1402" s="509"/>
      <c r="BG1402" s="510"/>
      <c r="BH1402" s="510"/>
      <c r="BI1402" s="511"/>
      <c r="BJ1402" s="511"/>
      <c r="BK1402" s="511"/>
      <c r="BL1402" s="510"/>
      <c r="BM1402" s="510"/>
      <c r="BN1402" s="510"/>
      <c r="BO1402" s="510"/>
      <c r="BP1402" s="510"/>
      <c r="BQ1402" s="510"/>
      <c r="BR1402" s="510"/>
      <c r="BS1402" s="510"/>
      <c r="BT1402" s="513"/>
      <c r="BU1402" s="514"/>
      <c r="BV1402" s="512"/>
      <c r="BW1402" s="515"/>
    </row>
    <row r="1403" spans="2:75" ht="15.75" customHeight="1">
      <c r="B1403" s="250" t="s">
        <v>1122</v>
      </c>
      <c r="C1403" s="251">
        <v>32320734000144</v>
      </c>
      <c r="D1403" s="252" t="s">
        <v>14</v>
      </c>
      <c r="E1403" s="252" t="s">
        <v>607</v>
      </c>
      <c r="F1403" s="252"/>
      <c r="G1403" s="253"/>
      <c r="H1403" s="253" t="s">
        <v>34</v>
      </c>
      <c r="I1403" s="253" t="s">
        <v>34</v>
      </c>
      <c r="J1403" s="253" t="s">
        <v>608</v>
      </c>
      <c r="K1403" s="254" t="s">
        <v>48</v>
      </c>
      <c r="L1403" s="255"/>
      <c r="M1403" s="255" t="s">
        <v>34</v>
      </c>
      <c r="N1403" s="254">
        <v>512338</v>
      </c>
      <c r="O1403" s="254" t="s">
        <v>1321</v>
      </c>
      <c r="P1403" s="258">
        <v>43686</v>
      </c>
      <c r="Q1403" s="259">
        <v>39253483.909999996</v>
      </c>
      <c r="R1403" s="259">
        <v>44966213.218333319</v>
      </c>
      <c r="S1403" s="254">
        <v>422</v>
      </c>
      <c r="T1403" s="256">
        <v>-0.20692621778523501</v>
      </c>
      <c r="U1403" s="256">
        <v>-2.6749756054519991</v>
      </c>
      <c r="V1403" s="256">
        <v>-0.33278397315797081</v>
      </c>
      <c r="W1403" s="256">
        <v>-3.2623956784641206</v>
      </c>
      <c r="X1403" s="256">
        <v>-0.40796896542416194</v>
      </c>
      <c r="Y1403" s="256">
        <v>-3.093702776678021</v>
      </c>
      <c r="Z1403" s="256">
        <v>-0.29920608038788254</v>
      </c>
      <c r="AA1403" s="256">
        <v>-1.7007843600240324</v>
      </c>
      <c r="AB1403" s="256">
        <v>0.37182566139507184</v>
      </c>
      <c r="AC1403" s="260">
        <v>-1.1640699511655996</v>
      </c>
      <c r="AD1403" s="405">
        <v>20030712000160</v>
      </c>
      <c r="AE1403" s="257" t="s">
        <v>2359</v>
      </c>
      <c r="AF1403" s="257" t="s">
        <v>2112</v>
      </c>
      <c r="AG1403" s="261" t="s">
        <v>59</v>
      </c>
      <c r="AH1403" s="261" t="s">
        <v>2110</v>
      </c>
      <c r="AI1403" s="261">
        <v>100000</v>
      </c>
      <c r="AJ1403" s="261">
        <v>0</v>
      </c>
      <c r="AK1403" s="261">
        <v>0</v>
      </c>
      <c r="AL1403" s="256">
        <v>0.02</v>
      </c>
      <c r="AM1403" s="256">
        <v>0.2</v>
      </c>
      <c r="AN1403" s="256" t="s">
        <v>2141</v>
      </c>
      <c r="AO1403" s="254" t="s">
        <v>1324</v>
      </c>
      <c r="AP1403" s="257" t="s">
        <v>716</v>
      </c>
      <c r="AQ1403" s="263" t="s">
        <v>659</v>
      </c>
      <c r="AR1403" s="256">
        <v>5.3333333333333332E-3</v>
      </c>
      <c r="AS1403" s="256">
        <v>5.3333333333333332E-3</v>
      </c>
      <c r="AT1403" s="256"/>
      <c r="AX1403" s="508"/>
      <c r="AY1403" s="509"/>
      <c r="AZ1403" s="509"/>
      <c r="BA1403" s="509"/>
      <c r="BB1403" s="510"/>
      <c r="BC1403" s="509"/>
      <c r="BD1403" s="509"/>
      <c r="BE1403" s="509"/>
      <c r="BF1403" s="509"/>
      <c r="BG1403" s="510"/>
      <c r="BH1403" s="510"/>
      <c r="BI1403" s="511"/>
      <c r="BJ1403" s="511"/>
      <c r="BK1403" s="511"/>
      <c r="BL1403" s="510"/>
      <c r="BM1403" s="510"/>
      <c r="BN1403" s="510"/>
      <c r="BO1403" s="510"/>
      <c r="BP1403" s="510"/>
      <c r="BQ1403" s="510"/>
      <c r="BR1403" s="510"/>
      <c r="BS1403" s="510"/>
      <c r="BT1403" s="513"/>
      <c r="BU1403" s="514"/>
      <c r="BV1403" s="512"/>
      <c r="BW1403" s="515"/>
    </row>
    <row r="1404" spans="2:75" ht="15.75" customHeight="1">
      <c r="B1404" s="250" t="s">
        <v>103</v>
      </c>
      <c r="C1404" s="251">
        <v>30353549000120</v>
      </c>
      <c r="D1404" s="252" t="s">
        <v>11</v>
      </c>
      <c r="E1404" s="252" t="s">
        <v>620</v>
      </c>
      <c r="F1404" s="252" t="s">
        <v>685</v>
      </c>
      <c r="G1404" s="253" t="s">
        <v>738</v>
      </c>
      <c r="H1404" s="253" t="s">
        <v>34</v>
      </c>
      <c r="I1404" s="253" t="s">
        <v>1319</v>
      </c>
      <c r="J1404" s="253" t="s">
        <v>608</v>
      </c>
      <c r="K1404" s="254" t="s">
        <v>48</v>
      </c>
      <c r="L1404" s="255"/>
      <c r="M1404" s="255" t="s">
        <v>34</v>
      </c>
      <c r="N1404" s="254">
        <v>492221</v>
      </c>
      <c r="O1404" s="254" t="s">
        <v>1321</v>
      </c>
      <c r="P1404" s="258">
        <v>43525</v>
      </c>
      <c r="Q1404" s="259">
        <v>158383604.28999999</v>
      </c>
      <c r="R1404" s="259">
        <v>107964479.34170638</v>
      </c>
      <c r="S1404" s="254">
        <v>721</v>
      </c>
      <c r="T1404" s="256">
        <v>9.6224930183220314E-2</v>
      </c>
      <c r="U1404" s="256">
        <v>1.2439184537919996</v>
      </c>
      <c r="V1404" s="256">
        <v>0.13632438595159191</v>
      </c>
      <c r="W1404" s="256">
        <v>1.3364348149862093</v>
      </c>
      <c r="X1404" s="256">
        <v>0.22215842993562207</v>
      </c>
      <c r="Y1404" s="256">
        <v>1.684667731624369</v>
      </c>
      <c r="Z1404" s="256">
        <v>0.27525250274567381</v>
      </c>
      <c r="AA1404" s="256">
        <v>1.5646244592370031</v>
      </c>
      <c r="AB1404" s="256">
        <v>3.7171675531995625E-3</v>
      </c>
      <c r="AC1404" s="260">
        <v>8.2552225838843203</v>
      </c>
      <c r="AD1404" s="405">
        <v>0</v>
      </c>
      <c r="AE1404" s="257" t="s">
        <v>101</v>
      </c>
      <c r="AF1404" s="257" t="s">
        <v>736</v>
      </c>
      <c r="AG1404" s="261" t="s">
        <v>736</v>
      </c>
      <c r="AH1404" s="261" t="s">
        <v>726</v>
      </c>
      <c r="AI1404" s="261">
        <v>10000</v>
      </c>
      <c r="AJ1404" s="261" t="s">
        <v>1427</v>
      </c>
      <c r="AK1404" s="261">
        <v>5000</v>
      </c>
      <c r="AL1404" s="519">
        <v>1.55E-2</v>
      </c>
      <c r="AM1404" s="519">
        <v>0.2</v>
      </c>
      <c r="AN1404" s="256" t="s">
        <v>64</v>
      </c>
      <c r="AO1404" s="254" t="s">
        <v>1324</v>
      </c>
      <c r="AP1404" s="257" t="s">
        <v>13</v>
      </c>
      <c r="AQ1404" s="263" t="s">
        <v>668</v>
      </c>
      <c r="AR1404" s="256">
        <v>2.5833333333333333E-3</v>
      </c>
      <c r="AS1404" s="256">
        <v>2.5833333333333333E-3</v>
      </c>
      <c r="AT1404" s="256"/>
      <c r="AX1404" s="508"/>
      <c r="AY1404" s="509"/>
      <c r="AZ1404" s="509"/>
      <c r="BA1404" s="509"/>
      <c r="BB1404" s="510"/>
      <c r="BC1404" s="509"/>
      <c r="BD1404" s="509"/>
      <c r="BE1404" s="509"/>
      <c r="BF1404" s="509"/>
      <c r="BG1404" s="510"/>
      <c r="BH1404" s="510"/>
      <c r="BI1404" s="511"/>
      <c r="BJ1404" s="511"/>
      <c r="BK1404" s="511"/>
      <c r="BL1404" s="510"/>
      <c r="BM1404" s="510"/>
      <c r="BN1404" s="510"/>
      <c r="BO1404" s="510"/>
      <c r="BP1404" s="510"/>
      <c r="BQ1404" s="510"/>
      <c r="BR1404" s="510"/>
      <c r="BS1404" s="510"/>
      <c r="BT1404" s="513"/>
      <c r="BU1404" s="514"/>
      <c r="BV1404" s="512"/>
      <c r="BW1404" s="515"/>
    </row>
    <row r="1405" spans="2:75" ht="15.75" customHeight="1">
      <c r="B1405" s="516"/>
      <c r="C1405" s="516"/>
      <c r="D1405" s="516"/>
      <c r="E1405" s="516"/>
      <c r="F1405" s="516"/>
      <c r="G1405" s="516"/>
      <c r="H1405" s="516"/>
      <c r="I1405" s="516"/>
      <c r="J1405" s="516"/>
      <c r="K1405" s="516"/>
      <c r="L1405" s="516"/>
      <c r="M1405" s="516"/>
      <c r="N1405" s="516"/>
      <c r="O1405" s="516"/>
      <c r="P1405" s="516"/>
      <c r="Q1405" s="518"/>
      <c r="R1405" s="517"/>
      <c r="S1405" s="516"/>
      <c r="T1405" s="518"/>
      <c r="U1405" s="518"/>
      <c r="V1405" s="518"/>
      <c r="W1405" s="518"/>
      <c r="X1405" s="518"/>
      <c r="Y1405" s="518"/>
      <c r="Z1405" s="518"/>
      <c r="AA1405" s="518"/>
      <c r="AB1405" s="518"/>
      <c r="AC1405" s="517"/>
      <c r="AD1405" s="516"/>
      <c r="AE1405" s="516"/>
      <c r="AF1405" s="516"/>
      <c r="AG1405" s="516"/>
      <c r="AH1405" s="516"/>
      <c r="AI1405" s="516"/>
      <c r="AJ1405" s="516"/>
      <c r="AK1405" s="516"/>
      <c r="AL1405" s="517"/>
      <c r="AM1405" s="517"/>
      <c r="AN1405" s="517"/>
      <c r="AO1405" s="516"/>
      <c r="AP1405" s="516"/>
      <c r="AQ1405" s="517"/>
      <c r="AR1405" s="517"/>
      <c r="AS1405" s="516"/>
      <c r="AT1405" s="517"/>
    </row>
    <row r="1406" spans="2:75" ht="15.75" customHeight="1">
      <c r="B1406" s="516" t="s">
        <v>12</v>
      </c>
      <c r="C1406" s="516" t="s">
        <v>12</v>
      </c>
      <c r="D1406" s="516" t="s">
        <v>12</v>
      </c>
      <c r="E1406" s="516" t="s">
        <v>12</v>
      </c>
      <c r="F1406" s="516" t="s">
        <v>12</v>
      </c>
      <c r="G1406" s="516" t="s">
        <v>12</v>
      </c>
      <c r="H1406" s="516" t="s">
        <v>12</v>
      </c>
      <c r="I1406" s="516" t="s">
        <v>12</v>
      </c>
      <c r="J1406" s="516" t="s">
        <v>12</v>
      </c>
      <c r="K1406" s="516" t="s">
        <v>12</v>
      </c>
      <c r="L1406" s="516" t="s">
        <v>12</v>
      </c>
      <c r="M1406" s="516" t="s">
        <v>12</v>
      </c>
      <c r="N1406" s="516" t="s">
        <v>12</v>
      </c>
      <c r="O1406" s="516" t="s">
        <v>12</v>
      </c>
      <c r="P1406" s="516" t="s">
        <v>12</v>
      </c>
      <c r="Q1406" s="518" t="s">
        <v>12</v>
      </c>
      <c r="R1406" s="517" t="s">
        <v>12</v>
      </c>
      <c r="S1406" s="516" t="s">
        <v>12</v>
      </c>
      <c r="T1406" s="518" t="s">
        <v>12</v>
      </c>
      <c r="U1406" s="518" t="s">
        <v>12</v>
      </c>
      <c r="V1406" s="518" t="s">
        <v>12</v>
      </c>
      <c r="W1406" s="518" t="s">
        <v>12</v>
      </c>
      <c r="X1406" s="518" t="s">
        <v>12</v>
      </c>
      <c r="Y1406" s="518" t="s">
        <v>12</v>
      </c>
      <c r="Z1406" s="518" t="s">
        <v>12</v>
      </c>
      <c r="AA1406" s="518" t="s">
        <v>12</v>
      </c>
      <c r="AB1406" s="518" t="s">
        <v>12</v>
      </c>
      <c r="AC1406" s="517" t="s">
        <v>12</v>
      </c>
      <c r="AD1406" s="516" t="s">
        <v>12</v>
      </c>
      <c r="AE1406" s="516" t="s">
        <v>12</v>
      </c>
      <c r="AF1406" s="516" t="s">
        <v>12</v>
      </c>
      <c r="AG1406" s="516" t="s">
        <v>12</v>
      </c>
      <c r="AH1406" s="516" t="s">
        <v>12</v>
      </c>
      <c r="AI1406" s="516" t="s">
        <v>12</v>
      </c>
      <c r="AJ1406" s="516" t="s">
        <v>12</v>
      </c>
      <c r="AK1406" s="516" t="s">
        <v>12</v>
      </c>
      <c r="AL1406" s="517" t="s">
        <v>12</v>
      </c>
      <c r="AM1406" s="517" t="s">
        <v>12</v>
      </c>
      <c r="AN1406" s="517" t="s">
        <v>12</v>
      </c>
      <c r="AO1406" s="516" t="s">
        <v>12</v>
      </c>
      <c r="AP1406" s="516" t="s">
        <v>12</v>
      </c>
      <c r="AQ1406" s="517" t="s">
        <v>12</v>
      </c>
      <c r="AR1406" s="517" t="s">
        <v>12</v>
      </c>
      <c r="AS1406" s="516" t="s">
        <v>12</v>
      </c>
      <c r="AT1406" s="517"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4 BB1144:BB1404">
    <cfRule type="expression" dxfId="1014" priority="2216">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4">
    <cfRule type="expression" dxfId="1013" priority="2215">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4">
    <cfRule type="expression" dxfId="1012" priority="2214">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4">
    <cfRule type="expression" dxfId="1011" priority="2213">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1010" priority="2212">
      <formula>AND(AW150&lt;&gt;"",#REF!="",OR(COLUMN(AW150)=COLUMN(#REF!),COLUMN(AW150)=COLUMN(#REF!)))</formula>
    </cfRule>
  </conditionalFormatting>
  <conditionalFormatting sqref="AX1002:BE1002">
    <cfRule type="expression" dxfId="1009" priority="2211">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1008" priority="2210">
      <formula>AND(AW3&lt;&gt;"",#REF!="",OR(COLUMN(AW3)=COLUMN(#REF!),COLUMN(AW3)=COLUMN(#REF!)))</formula>
    </cfRule>
  </conditionalFormatting>
  <conditionalFormatting sqref="AW1065">
    <cfRule type="expression" dxfId="1007" priority="2209">
      <formula>AND(AW1065&lt;&gt;"",#REF!="",OR(COLUMN(AW1065)=COLUMN(#REF!),COLUMN(AW1065)=COLUMN(#REF!)))</formula>
    </cfRule>
  </conditionalFormatting>
  <conditionalFormatting sqref="AW186">
    <cfRule type="expression" dxfId="1006" priority="2208">
      <formula>AND(AW186&lt;&gt;"",#REF!="",OR(COLUMN(AW186)=COLUMN(#REF!),COLUMN(AW186)=COLUMN(#REF!)))</formula>
    </cfRule>
  </conditionalFormatting>
  <conditionalFormatting sqref="AW189">
    <cfRule type="expression" dxfId="1005" priority="2207">
      <formula>AND(AW189&lt;&gt;"",#REF!="",OR(COLUMN(AW189)=COLUMN(#REF!),COLUMN(AW189)=COLUMN(#REF!)))</formula>
    </cfRule>
  </conditionalFormatting>
  <conditionalFormatting sqref="AW235">
    <cfRule type="expression" dxfId="1004" priority="2206">
      <formula>AND(AW235&lt;&gt;"",#REF!="",OR(COLUMN(AW235)=COLUMN(#REF!),COLUMN(AW235)=COLUMN(#REF!)))</formula>
    </cfRule>
  </conditionalFormatting>
  <conditionalFormatting sqref="AW323">
    <cfRule type="expression" dxfId="1003" priority="2205">
      <formula>AND(AW323&lt;&gt;"",#REF!="",OR(COLUMN(AW323)=COLUMN(#REF!),COLUMN(AW323)=COLUMN(#REF!)))</formula>
    </cfRule>
  </conditionalFormatting>
  <conditionalFormatting sqref="AW401">
    <cfRule type="expression" dxfId="1002" priority="2204">
      <formula>AND(AW401&lt;&gt;"",#REF!="",OR(COLUMN(AW401)=COLUMN(#REF!),COLUMN(AW401)=COLUMN(#REF!)))</formula>
    </cfRule>
  </conditionalFormatting>
  <conditionalFormatting sqref="AW419">
    <cfRule type="expression" dxfId="1001" priority="2203">
      <formula>AND(AW419&lt;&gt;"",#REF!="",OR(COLUMN(AW419)=COLUMN(#REF!),COLUMN(AW419)=COLUMN(#REF!)))</formula>
    </cfRule>
  </conditionalFormatting>
  <conditionalFormatting sqref="AW469">
    <cfRule type="expression" dxfId="1000" priority="2202">
      <formula>AND(AW469&lt;&gt;"",#REF!="",OR(COLUMN(AW469)=COLUMN(#REF!),COLUMN(AW469)=COLUMN(#REF!)))</formula>
    </cfRule>
  </conditionalFormatting>
  <conditionalFormatting sqref="AW486">
    <cfRule type="expression" dxfId="999" priority="2201">
      <formula>AND(AW486&lt;&gt;"",#REF!="",OR(COLUMN(AW486)=COLUMN(#REF!),COLUMN(AW486)=COLUMN(#REF!)))</formula>
    </cfRule>
  </conditionalFormatting>
  <conditionalFormatting sqref="AW552">
    <cfRule type="expression" dxfId="998" priority="2200">
      <formula>AND(AW552&lt;&gt;"",#REF!="",OR(COLUMN(AW552)=COLUMN(#REF!),COLUMN(AW552)=COLUMN(#REF!)))</formula>
    </cfRule>
  </conditionalFormatting>
  <conditionalFormatting sqref="AW554">
    <cfRule type="expression" dxfId="997" priority="2199">
      <formula>AND(AW554&lt;&gt;"",#REF!="",OR(COLUMN(AW554)=COLUMN(#REF!),COLUMN(AW554)=COLUMN(#REF!)))</formula>
    </cfRule>
  </conditionalFormatting>
  <conditionalFormatting sqref="AW570">
    <cfRule type="expression" dxfId="996" priority="2198">
      <formula>AND(AW570&lt;&gt;"",#REF!="",OR(COLUMN(AW570)=COLUMN(#REF!),COLUMN(AW570)=COLUMN(#REF!)))</formula>
    </cfRule>
  </conditionalFormatting>
  <conditionalFormatting sqref="AW675">
    <cfRule type="expression" dxfId="995" priority="2197">
      <formula>AND(AW675&lt;&gt;"",#REF!="",OR(COLUMN(AW675)=COLUMN(#REF!),COLUMN(AW675)=COLUMN(#REF!)))</formula>
    </cfRule>
  </conditionalFormatting>
  <conditionalFormatting sqref="AW818">
    <cfRule type="expression" dxfId="994" priority="2196">
      <formula>AND(AW818&lt;&gt;"",#REF!="",OR(COLUMN(AW818)=COLUMN(#REF!),COLUMN(AW818)=COLUMN(#REF!)))</formula>
    </cfRule>
  </conditionalFormatting>
  <conditionalFormatting sqref="AW874">
    <cfRule type="expression" dxfId="993" priority="2195">
      <formula>AND(AW874&lt;&gt;"",#REF!="",OR(COLUMN(AW874)=COLUMN(#REF!),COLUMN(AW874)=COLUMN(#REF!)))</formula>
    </cfRule>
  </conditionalFormatting>
  <conditionalFormatting sqref="AW879">
    <cfRule type="expression" dxfId="992" priority="2194">
      <formula>AND(AW879&lt;&gt;"",#REF!="",OR(COLUMN(AW879)=COLUMN(#REF!),COLUMN(AW879)=COLUMN(#REF!)))</formula>
    </cfRule>
  </conditionalFormatting>
  <conditionalFormatting sqref="AW968">
    <cfRule type="expression" dxfId="991" priority="2193">
      <formula>AND(AW968&lt;&gt;"",#REF!="",OR(COLUMN(AW968)=COLUMN(#REF!),COLUMN(AW968)=COLUMN(#REF!)))</formula>
    </cfRule>
  </conditionalFormatting>
  <conditionalFormatting sqref="AW218">
    <cfRule type="expression" dxfId="990" priority="2192">
      <formula>AND(AW218&lt;&gt;"",#REF!="",OR(COLUMN(AW218)=COLUMN(#REF!),COLUMN(AW218)=COLUMN(#REF!)))</formula>
    </cfRule>
  </conditionalFormatting>
  <conditionalFormatting sqref="AW240">
    <cfRule type="expression" dxfId="989" priority="2191">
      <formula>AND(AW240&lt;&gt;"",#REF!="",OR(COLUMN(AW240)=COLUMN(#REF!),COLUMN(AW240)=COLUMN(#REF!)))</formula>
    </cfRule>
  </conditionalFormatting>
  <conditionalFormatting sqref="AW276">
    <cfRule type="expression" dxfId="988" priority="2190">
      <formula>AND(AW276&lt;&gt;"",#REF!="",OR(COLUMN(AW276)=COLUMN(#REF!),COLUMN(AW276)=COLUMN(#REF!)))</formula>
    </cfRule>
  </conditionalFormatting>
  <conditionalFormatting sqref="AW288">
    <cfRule type="expression" dxfId="987" priority="2189">
      <formula>AND(AW288&lt;&gt;"",#REF!="",OR(COLUMN(AW288)=COLUMN(#REF!),COLUMN(AW288)=COLUMN(#REF!)))</formula>
    </cfRule>
  </conditionalFormatting>
  <conditionalFormatting sqref="AW310">
    <cfRule type="expression" dxfId="986" priority="2188">
      <formula>AND(AW310&lt;&gt;"",#REF!="",OR(COLUMN(AW310)=COLUMN(#REF!),COLUMN(AW310)=COLUMN(#REF!)))</formula>
    </cfRule>
  </conditionalFormatting>
  <conditionalFormatting sqref="AW333">
    <cfRule type="expression" dxfId="985" priority="2187">
      <formula>AND(AW333&lt;&gt;"",#REF!="",OR(COLUMN(AW333)=COLUMN(#REF!),COLUMN(AW333)=COLUMN(#REF!)))</formula>
    </cfRule>
  </conditionalFormatting>
  <conditionalFormatting sqref="AW468">
    <cfRule type="expression" dxfId="984" priority="2186">
      <formula>AND(AW468&lt;&gt;"",#REF!="",OR(COLUMN(AW468)=COLUMN(#REF!),COLUMN(AW468)=COLUMN(#REF!)))</formula>
    </cfRule>
  </conditionalFormatting>
  <conditionalFormatting sqref="AW470">
    <cfRule type="expression" dxfId="983" priority="2185">
      <formula>AND(AW470&lt;&gt;"",#REF!="",OR(COLUMN(AW470)=COLUMN(#REF!),COLUMN(AW470)=COLUMN(#REF!)))</formula>
    </cfRule>
  </conditionalFormatting>
  <conditionalFormatting sqref="AW482">
    <cfRule type="expression" dxfId="982" priority="2184">
      <formula>AND(AW482&lt;&gt;"",#REF!="",OR(COLUMN(AW482)=COLUMN(#REF!),COLUMN(AW482)=COLUMN(#REF!)))</formula>
    </cfRule>
  </conditionalFormatting>
  <conditionalFormatting sqref="AW524">
    <cfRule type="expression" dxfId="981" priority="2183">
      <formula>AND(AW524&lt;&gt;"",#REF!="",OR(COLUMN(AW524)=COLUMN(#REF!),COLUMN(AW524)=COLUMN(#REF!)))</formula>
    </cfRule>
  </conditionalFormatting>
  <conditionalFormatting sqref="AW549">
    <cfRule type="expression" dxfId="980" priority="2182">
      <formula>AND(AW549&lt;&gt;"",#REF!="",OR(COLUMN(AW549)=COLUMN(#REF!),COLUMN(AW549)=COLUMN(#REF!)))</formula>
    </cfRule>
  </conditionalFormatting>
  <conditionalFormatting sqref="AW593">
    <cfRule type="expression" dxfId="979" priority="2181">
      <formula>AND(AW593&lt;&gt;"",#REF!="",OR(COLUMN(AW593)=COLUMN(#REF!),COLUMN(AW593)=COLUMN(#REF!)))</formula>
    </cfRule>
  </conditionalFormatting>
  <conditionalFormatting sqref="AW603">
    <cfRule type="expression" dxfId="978" priority="2180">
      <formula>AND(AW603&lt;&gt;"",#REF!="",OR(COLUMN(AW603)=COLUMN(#REF!),COLUMN(AW603)=COLUMN(#REF!)))</formula>
    </cfRule>
  </conditionalFormatting>
  <conditionalFormatting sqref="AW649">
    <cfRule type="expression" dxfId="977" priority="2179">
      <formula>AND(AW649&lt;&gt;"",#REF!="",OR(COLUMN(AW649)=COLUMN(#REF!),COLUMN(AW649)=COLUMN(#REF!)))</formula>
    </cfRule>
  </conditionalFormatting>
  <conditionalFormatting sqref="AW650">
    <cfRule type="expression" dxfId="976" priority="2178">
      <formula>AND(AW650&lt;&gt;"",#REF!="",OR(COLUMN(AW650)=COLUMN(#REF!),COLUMN(AW650)=COLUMN(#REF!)))</formula>
    </cfRule>
  </conditionalFormatting>
  <conditionalFormatting sqref="AW660">
    <cfRule type="expression" dxfId="975" priority="2177">
      <formula>AND(AW660&lt;&gt;"",#REF!="",OR(COLUMN(AW660)=COLUMN(#REF!),COLUMN(AW660)=COLUMN(#REF!)))</formula>
    </cfRule>
  </conditionalFormatting>
  <conditionalFormatting sqref="AW661">
    <cfRule type="expression" dxfId="974" priority="2176">
      <formula>AND(AW661&lt;&gt;"",#REF!="",OR(COLUMN(AW661)=COLUMN(#REF!),COLUMN(AW661)=COLUMN(#REF!)))</formula>
    </cfRule>
  </conditionalFormatting>
  <conditionalFormatting sqref="AW662">
    <cfRule type="expression" dxfId="973" priority="2175">
      <formula>AND(AW662&lt;&gt;"",#REF!="",OR(COLUMN(AW662)=COLUMN(#REF!),COLUMN(AW662)=COLUMN(#REF!)))</formula>
    </cfRule>
  </conditionalFormatting>
  <conditionalFormatting sqref="AW663">
    <cfRule type="expression" dxfId="972" priority="2174">
      <formula>AND(AW663&lt;&gt;"",#REF!="",OR(COLUMN(AW663)=COLUMN(#REF!),COLUMN(AW663)=COLUMN(#REF!)))</formula>
    </cfRule>
  </conditionalFormatting>
  <conditionalFormatting sqref="AW700">
    <cfRule type="expression" dxfId="971" priority="2173">
      <formula>AND(AW700&lt;&gt;"",#REF!="",OR(COLUMN(AW700)=COLUMN(#REF!),COLUMN(AW700)=COLUMN(#REF!)))</formula>
    </cfRule>
  </conditionalFormatting>
  <conditionalFormatting sqref="AW716">
    <cfRule type="expression" dxfId="970" priority="2172">
      <formula>AND(AW716&lt;&gt;"",#REF!="",OR(COLUMN(AW716)=COLUMN(#REF!),COLUMN(AW716)=COLUMN(#REF!)))</formula>
    </cfRule>
  </conditionalFormatting>
  <conditionalFormatting sqref="AW777">
    <cfRule type="expression" dxfId="969" priority="2171">
      <formula>AND(AW777&lt;&gt;"",#REF!="",OR(COLUMN(AW777)=COLUMN(#REF!),COLUMN(AW777)=COLUMN(#REF!)))</formula>
    </cfRule>
  </conditionalFormatting>
  <conditionalFormatting sqref="AW781">
    <cfRule type="expression" dxfId="968" priority="2170">
      <formula>AND(AW781&lt;&gt;"",#REF!="",OR(COLUMN(AW781)=COLUMN(#REF!),COLUMN(AW781)=COLUMN(#REF!)))</formula>
    </cfRule>
  </conditionalFormatting>
  <conditionalFormatting sqref="AW789">
    <cfRule type="expression" dxfId="967" priority="2169">
      <formula>AND(AW789&lt;&gt;"",#REF!="",OR(COLUMN(AW789)=COLUMN(#REF!),COLUMN(AW789)=COLUMN(#REF!)))</formula>
    </cfRule>
  </conditionalFormatting>
  <conditionalFormatting sqref="AW944">
    <cfRule type="expression" dxfId="966" priority="2168">
      <formula>AND(AW944&lt;&gt;"",#REF!="",OR(COLUMN(AW944)=COLUMN(#REF!),COLUMN(AW944)=COLUMN(#REF!)))</formula>
    </cfRule>
  </conditionalFormatting>
  <conditionalFormatting sqref="AW951">
    <cfRule type="expression" dxfId="965" priority="2167">
      <formula>AND(AW951&lt;&gt;"",#REF!="",OR(COLUMN(AW951)=COLUMN(#REF!),COLUMN(AW951)=COLUMN(#REF!)))</formula>
    </cfRule>
  </conditionalFormatting>
  <conditionalFormatting sqref="AW953">
    <cfRule type="expression" dxfId="964" priority="2166">
      <formula>AND(AW953&lt;&gt;"",#REF!="",OR(COLUMN(AW953)=COLUMN(#REF!),COLUMN(AW953)=COLUMN(#REF!)))</formula>
    </cfRule>
  </conditionalFormatting>
  <conditionalFormatting sqref="AW960">
    <cfRule type="expression" dxfId="963" priority="2165">
      <formula>AND(AW960&lt;&gt;"",#REF!="",OR(COLUMN(AW960)=COLUMN(#REF!),COLUMN(AW960)=COLUMN(#REF!)))</formula>
    </cfRule>
  </conditionalFormatting>
  <conditionalFormatting sqref="AW961">
    <cfRule type="expression" dxfId="962" priority="2164">
      <formula>AND(AW961&lt;&gt;"",#REF!="",OR(COLUMN(AW961)=COLUMN(#REF!),COLUMN(AW961)=COLUMN(#REF!)))</formula>
    </cfRule>
  </conditionalFormatting>
  <conditionalFormatting sqref="AW962">
    <cfRule type="expression" dxfId="961" priority="2163">
      <formula>AND(AW962&lt;&gt;"",#REF!="",OR(COLUMN(AW962)=COLUMN(#REF!),COLUMN(AW962)=COLUMN(#REF!)))</formula>
    </cfRule>
  </conditionalFormatting>
  <conditionalFormatting sqref="AW978">
    <cfRule type="expression" dxfId="960" priority="2162">
      <formula>AND(AW978&lt;&gt;"",#REF!="",OR(COLUMN(AW978)=COLUMN(#REF!),COLUMN(AW978)=COLUMN(#REF!)))</formula>
    </cfRule>
  </conditionalFormatting>
  <conditionalFormatting sqref="AW985">
    <cfRule type="expression" dxfId="959" priority="2161">
      <formula>AND(AW985&lt;&gt;"",#REF!="",OR(COLUMN(AW985)=COLUMN(#REF!),COLUMN(AW985)=COLUMN(#REF!)))</formula>
    </cfRule>
  </conditionalFormatting>
  <conditionalFormatting sqref="AW986">
    <cfRule type="expression" dxfId="958" priority="2160">
      <formula>AND(AW986&lt;&gt;"",#REF!="",OR(COLUMN(AW986)=COLUMN(#REF!),COLUMN(AW986)=COLUMN(#REF!)))</formula>
    </cfRule>
  </conditionalFormatting>
  <conditionalFormatting sqref="AW987">
    <cfRule type="expression" dxfId="957" priority="2159">
      <formula>AND(AW987&lt;&gt;"",#REF!="",OR(COLUMN(AW987)=COLUMN(#REF!),COLUMN(AW987)=COLUMN(#REF!)))</formula>
    </cfRule>
  </conditionalFormatting>
  <conditionalFormatting sqref="AW1035">
    <cfRule type="expression" dxfId="956" priority="2158">
      <formula>AND(AW1035&lt;&gt;"",#REF!="",OR(COLUMN(AW1035)=COLUMN(#REF!),COLUMN(AW1035)=COLUMN(#REF!)))</formula>
    </cfRule>
  </conditionalFormatting>
  <conditionalFormatting sqref="AW1036">
    <cfRule type="expression" dxfId="955" priority="2157">
      <formula>AND(AW1036&lt;&gt;"",#REF!="",OR(COLUMN(AW1036)=COLUMN(#REF!),COLUMN(AW1036)=COLUMN(#REF!)))</formula>
    </cfRule>
  </conditionalFormatting>
  <conditionalFormatting sqref="AW1037">
    <cfRule type="expression" dxfId="954" priority="2156">
      <formula>AND(AW1037&lt;&gt;"",#REF!="",OR(COLUMN(AW1037)=COLUMN(#REF!),COLUMN(AW1037)=COLUMN(#REF!)))</formula>
    </cfRule>
  </conditionalFormatting>
  <conditionalFormatting sqref="AW1058">
    <cfRule type="expression" dxfId="953" priority="2155">
      <formula>AND(AW1058&lt;&gt;"",#REF!="",OR(COLUMN(AW1058)=COLUMN(#REF!),COLUMN(AW1058)=COLUMN(#REF!)))</formula>
    </cfRule>
  </conditionalFormatting>
  <conditionalFormatting sqref="AW1071">
    <cfRule type="expression" dxfId="952" priority="2154">
      <formula>AND(AW1071&lt;&gt;"",#REF!="",OR(COLUMN(AW1071)=COLUMN(#REF!),COLUMN(AW1071)=COLUMN(#REF!)))</formula>
    </cfRule>
  </conditionalFormatting>
  <conditionalFormatting sqref="AW1130">
    <cfRule type="expression" dxfId="951" priority="2153">
      <formula>AND(AW1130&lt;&gt;"",#REF!="",OR(COLUMN(AW1130)=COLUMN(#REF!),COLUMN(AW1130)=COLUMN(#REF!)))</formula>
    </cfRule>
  </conditionalFormatting>
  <conditionalFormatting sqref="AW1143">
    <cfRule type="expression" dxfId="950" priority="2152">
      <formula>AND(AW1143&lt;&gt;"",#REF!="",OR(COLUMN(AW1143)=COLUMN(#REF!),COLUMN(AW1143)=COLUMN(#REF!)))</formula>
    </cfRule>
  </conditionalFormatting>
  <conditionalFormatting sqref="AW474">
    <cfRule type="expression" dxfId="949" priority="2151">
      <formula>AND(AW474&lt;&gt;"",#REF!="",OR(COLUMN(AW474)=COLUMN(#REF!),COLUMN(AW474)=COLUMN(#REF!)))</formula>
    </cfRule>
  </conditionalFormatting>
  <conditionalFormatting sqref="AW475">
    <cfRule type="expression" dxfId="948" priority="2150">
      <formula>AND(AW475&lt;&gt;"",#REF!="",OR(COLUMN(AW475)=COLUMN(#REF!),COLUMN(AW475)=COLUMN(#REF!)))</formula>
    </cfRule>
  </conditionalFormatting>
  <conditionalFormatting sqref="AW483">
    <cfRule type="expression" dxfId="947" priority="2149">
      <formula>AND(AW483&lt;&gt;"",#REF!="",OR(COLUMN(AW483)=COLUMN(#REF!),COLUMN(AW483)=COLUMN(#REF!)))</formula>
    </cfRule>
  </conditionalFormatting>
  <conditionalFormatting sqref="AW522">
    <cfRule type="expression" dxfId="946" priority="2148">
      <formula>AND(AW522&lt;&gt;"",#REF!="",OR(COLUMN(AW522)=COLUMN(#REF!),COLUMN(AW522)=COLUMN(#REF!)))</formula>
    </cfRule>
  </conditionalFormatting>
  <conditionalFormatting sqref="AW523">
    <cfRule type="expression" dxfId="945" priority="2147">
      <formula>AND(AW523&lt;&gt;"",#REF!="",OR(COLUMN(AW523)=COLUMN(#REF!),COLUMN(AW523)=COLUMN(#REF!)))</formula>
    </cfRule>
  </conditionalFormatting>
  <conditionalFormatting sqref="AW568">
    <cfRule type="expression" dxfId="944" priority="2146">
      <formula>AND(AW568&lt;&gt;"",#REF!="",OR(COLUMN(AW568)=COLUMN(#REF!),COLUMN(AW568)=COLUMN(#REF!)))</formula>
    </cfRule>
  </conditionalFormatting>
  <conditionalFormatting sqref="AW952">
    <cfRule type="expression" dxfId="943" priority="2145">
      <formula>AND(AW952&lt;&gt;"",#REF!="",OR(COLUMN(AW952)=COLUMN(#REF!),COLUMN(AW952)=COLUMN(#REF!)))</formula>
    </cfRule>
  </conditionalFormatting>
  <conditionalFormatting sqref="AW982">
    <cfRule type="expression" dxfId="942" priority="2144">
      <formula>AND(AW982&lt;&gt;"",#REF!="",OR(COLUMN(AW982)=COLUMN(#REF!),COLUMN(AW982)=COLUMN(#REF!)))</formula>
    </cfRule>
  </conditionalFormatting>
  <conditionalFormatting sqref="AW983">
    <cfRule type="expression" dxfId="941" priority="2143">
      <formula>AND(AW983&lt;&gt;"",#REF!="",OR(COLUMN(AW983)=COLUMN(#REF!),COLUMN(AW983)=COLUMN(#REF!)))</formula>
    </cfRule>
  </conditionalFormatting>
  <conditionalFormatting sqref="AW1003">
    <cfRule type="expression" dxfId="940" priority="2142">
      <formula>AND(AW1003&lt;&gt;"",#REF!="",OR(COLUMN(AW1003)=COLUMN(#REF!),COLUMN(AW1003)=COLUMN(#REF!)))</formula>
    </cfRule>
  </conditionalFormatting>
  <conditionalFormatting sqref="AW1038">
    <cfRule type="expression" dxfId="939" priority="2141">
      <formula>AND(AW1038&lt;&gt;"",#REF!="",OR(COLUMN(AW1038)=COLUMN(#REF!),COLUMN(AW1038)=COLUMN(#REF!)))</formula>
    </cfRule>
  </conditionalFormatting>
  <conditionalFormatting sqref="AW1051">
    <cfRule type="expression" dxfId="938" priority="2140">
      <formula>AND(AW1051&lt;&gt;"",#REF!="",OR(COLUMN(AW1051)=COLUMN(#REF!),COLUMN(AW1051)=COLUMN(#REF!)))</formula>
    </cfRule>
  </conditionalFormatting>
  <conditionalFormatting sqref="AW1052">
    <cfRule type="expression" dxfId="937" priority="2139">
      <formula>AND(AW1052&lt;&gt;"",#REF!="",OR(COLUMN(AW1052)=COLUMN(#REF!),COLUMN(AW1052)=COLUMN(#REF!)))</formula>
    </cfRule>
  </conditionalFormatting>
  <conditionalFormatting sqref="AW1068">
    <cfRule type="expression" dxfId="936" priority="2138">
      <formula>AND(AW1068&lt;&gt;"",#REF!="",OR(COLUMN(AW1068)=COLUMN(#REF!),COLUMN(AW1068)=COLUMN(#REF!)))</formula>
    </cfRule>
  </conditionalFormatting>
  <conditionalFormatting sqref="AW1125">
    <cfRule type="expression" dxfId="935" priority="2137">
      <formula>AND(AW1125&lt;&gt;"",#REF!="",OR(COLUMN(AW1125)=COLUMN(#REF!),COLUMN(AW1125)=COLUMN(#REF!)))</formula>
    </cfRule>
  </conditionalFormatting>
  <conditionalFormatting sqref="AW1126">
    <cfRule type="expression" dxfId="934" priority="2136">
      <formula>AND(AW1126&lt;&gt;"",#REF!="",OR(COLUMN(AW1126)=COLUMN(#REF!),COLUMN(AW1126)=COLUMN(#REF!)))</formula>
    </cfRule>
  </conditionalFormatting>
  <conditionalFormatting sqref="AW1128">
    <cfRule type="expression" dxfId="933" priority="2135">
      <formula>AND(AW1128&lt;&gt;"",#REF!="",OR(COLUMN(AW1128)=COLUMN(#REF!),COLUMN(AW1128)=COLUMN(#REF!)))</formula>
    </cfRule>
  </conditionalFormatting>
  <conditionalFormatting sqref="AW1129">
    <cfRule type="expression" dxfId="932" priority="2134">
      <formula>AND(AW1129&lt;&gt;"",#REF!="",OR(COLUMN(AW1129)=COLUMN(#REF!),COLUMN(AW1129)=COLUMN(#REF!)))</formula>
    </cfRule>
  </conditionalFormatting>
  <conditionalFormatting sqref="AW230">
    <cfRule type="expression" dxfId="931" priority="2133">
      <formula>AND(AW230&lt;&gt;"",#REF!="",OR(COLUMN(AW230)=COLUMN(#REF!),COLUMN(AW230)=COLUMN(#REF!)))</formula>
    </cfRule>
  </conditionalFormatting>
  <conditionalFormatting sqref="AW413">
    <cfRule type="expression" dxfId="930" priority="2132">
      <formula>AND(AW413&lt;&gt;"",#REF!="",OR(COLUMN(AW413)=COLUMN(#REF!),COLUMN(AW413)=COLUMN(#REF!)))</formula>
    </cfRule>
  </conditionalFormatting>
  <conditionalFormatting sqref="AW415">
    <cfRule type="expression" dxfId="929" priority="2131">
      <formula>AND(AW415&lt;&gt;"",#REF!="",OR(COLUMN(AW415)=COLUMN(#REF!),COLUMN(AW415)=COLUMN(#REF!)))</formula>
    </cfRule>
  </conditionalFormatting>
  <conditionalFormatting sqref="AW802">
    <cfRule type="expression" dxfId="928" priority="2130">
      <formula>AND(AW802&lt;&gt;"",#REF!="",OR(COLUMN(AW802)=COLUMN(#REF!),COLUMN(AW802)=COLUMN(#REF!)))</formula>
    </cfRule>
  </conditionalFormatting>
  <conditionalFormatting sqref="AW809">
    <cfRule type="expression" dxfId="927" priority="2129">
      <formula>AND(AW809&lt;&gt;"",#REF!="",OR(COLUMN(AW809)=COLUMN(#REF!),COLUMN(AW809)=COLUMN(#REF!)))</formula>
    </cfRule>
  </conditionalFormatting>
  <conditionalFormatting sqref="AW204">
    <cfRule type="expression" dxfId="926" priority="2128">
      <formula>AND(AW204&lt;&gt;"",#REF!="",OR(COLUMN(AW204)=COLUMN(#REF!),COLUMN(AW204)=COLUMN(#REF!)))</formula>
    </cfRule>
  </conditionalFormatting>
  <conditionalFormatting sqref="AW205">
    <cfRule type="expression" dxfId="925" priority="2127">
      <formula>AND(AW205&lt;&gt;"",#REF!="",OR(COLUMN(AW205)=COLUMN(#REF!),COLUMN(AW205)=COLUMN(#REF!)))</formula>
    </cfRule>
  </conditionalFormatting>
  <conditionalFormatting sqref="AW206">
    <cfRule type="expression" dxfId="924" priority="2126">
      <formula>AND(AW206&lt;&gt;"",#REF!="",OR(COLUMN(AW206)=COLUMN(#REF!),COLUMN(AW206)=COLUMN(#REF!)))</formula>
    </cfRule>
  </conditionalFormatting>
  <conditionalFormatting sqref="AW207">
    <cfRule type="expression" dxfId="923" priority="2125">
      <formula>AND(AW207&lt;&gt;"",#REF!="",OR(COLUMN(AW207)=COLUMN(#REF!),COLUMN(AW207)=COLUMN(#REF!)))</formula>
    </cfRule>
  </conditionalFormatting>
  <conditionalFormatting sqref="AW208">
    <cfRule type="expression" dxfId="922" priority="2124">
      <formula>AND(AW208&lt;&gt;"",#REF!="",OR(COLUMN(AW208)=COLUMN(#REF!),COLUMN(AW208)=COLUMN(#REF!)))</formula>
    </cfRule>
  </conditionalFormatting>
  <conditionalFormatting sqref="AW209">
    <cfRule type="expression" dxfId="921" priority="2123">
      <formula>AND(AW209&lt;&gt;"",#REF!="",OR(COLUMN(AW209)=COLUMN(#REF!),COLUMN(AW209)=COLUMN(#REF!)))</formula>
    </cfRule>
  </conditionalFormatting>
  <conditionalFormatting sqref="AW259">
    <cfRule type="expression" dxfId="920" priority="2122">
      <formula>AND(AW259&lt;&gt;"",#REF!="",OR(COLUMN(AW259)=COLUMN(#REF!),COLUMN(AW259)=COLUMN(#REF!)))</formula>
    </cfRule>
  </conditionalFormatting>
  <conditionalFormatting sqref="AW289">
    <cfRule type="expression" dxfId="919" priority="2121">
      <formula>AND(AW289&lt;&gt;"",#REF!="",OR(COLUMN(AW289)=COLUMN(#REF!),COLUMN(AW289)=COLUMN(#REF!)))</formula>
    </cfRule>
  </conditionalFormatting>
  <conditionalFormatting sqref="AW290">
    <cfRule type="expression" dxfId="918" priority="2120">
      <formula>AND(AW290&lt;&gt;"",#REF!="",OR(COLUMN(AW290)=COLUMN(#REF!),COLUMN(AW290)=COLUMN(#REF!)))</formula>
    </cfRule>
  </conditionalFormatting>
  <conditionalFormatting sqref="AW291">
    <cfRule type="expression" dxfId="917" priority="2119">
      <formula>AND(AW291&lt;&gt;"",#REF!="",OR(COLUMN(AW291)=COLUMN(#REF!),COLUMN(AW291)=COLUMN(#REF!)))</formula>
    </cfRule>
  </conditionalFormatting>
  <conditionalFormatting sqref="AW292">
    <cfRule type="expression" dxfId="916" priority="2118">
      <formula>AND(AW292&lt;&gt;"",#REF!="",OR(COLUMN(AW292)=COLUMN(#REF!),COLUMN(AW292)=COLUMN(#REF!)))</formula>
    </cfRule>
  </conditionalFormatting>
  <conditionalFormatting sqref="AW293">
    <cfRule type="expression" dxfId="915" priority="2117">
      <formula>AND(AW293&lt;&gt;"",#REF!="",OR(COLUMN(AW293)=COLUMN(#REF!),COLUMN(AW293)=COLUMN(#REF!)))</formula>
    </cfRule>
  </conditionalFormatting>
  <conditionalFormatting sqref="AW294">
    <cfRule type="expression" dxfId="914" priority="2116">
      <formula>AND(AW294&lt;&gt;"",#REF!="",OR(COLUMN(AW294)=COLUMN(#REF!),COLUMN(AW294)=COLUMN(#REF!)))</formula>
    </cfRule>
  </conditionalFormatting>
  <conditionalFormatting sqref="AW295">
    <cfRule type="expression" dxfId="913" priority="2115">
      <formula>AND(AW295&lt;&gt;"",#REF!="",OR(COLUMN(AW295)=COLUMN(#REF!),COLUMN(AW295)=COLUMN(#REF!)))</formula>
    </cfRule>
  </conditionalFormatting>
  <conditionalFormatting sqref="AW296">
    <cfRule type="expression" dxfId="912" priority="2114">
      <formula>AND(AW296&lt;&gt;"",#REF!="",OR(COLUMN(AW296)=COLUMN(#REF!),COLUMN(AW296)=COLUMN(#REF!)))</formula>
    </cfRule>
  </conditionalFormatting>
  <conditionalFormatting sqref="AW345">
    <cfRule type="expression" dxfId="911" priority="2113">
      <formula>AND(AW345&lt;&gt;"",#REF!="",OR(COLUMN(AW345)=COLUMN(#REF!),COLUMN(AW345)=COLUMN(#REF!)))</formula>
    </cfRule>
  </conditionalFormatting>
  <conditionalFormatting sqref="AW346">
    <cfRule type="expression" dxfId="910" priority="2112">
      <formula>AND(AW346&lt;&gt;"",#REF!="",OR(COLUMN(AW346)=COLUMN(#REF!),COLUMN(AW346)=COLUMN(#REF!)))</formula>
    </cfRule>
  </conditionalFormatting>
  <conditionalFormatting sqref="AW347">
    <cfRule type="expression" dxfId="909" priority="2111">
      <formula>AND(AW347&lt;&gt;"",#REF!="",OR(COLUMN(AW347)=COLUMN(#REF!),COLUMN(AW347)=COLUMN(#REF!)))</formula>
    </cfRule>
  </conditionalFormatting>
  <conditionalFormatting sqref="AW348">
    <cfRule type="expression" dxfId="908" priority="2110">
      <formula>AND(AW348&lt;&gt;"",#REF!="",OR(COLUMN(AW348)=COLUMN(#REF!),COLUMN(AW348)=COLUMN(#REF!)))</formula>
    </cfRule>
  </conditionalFormatting>
  <conditionalFormatting sqref="AW349">
    <cfRule type="expression" dxfId="907" priority="2109">
      <formula>AND(AW349&lt;&gt;"",#REF!="",OR(COLUMN(AW349)=COLUMN(#REF!),COLUMN(AW349)=COLUMN(#REF!)))</formula>
    </cfRule>
  </conditionalFormatting>
  <conditionalFormatting sqref="AW350">
    <cfRule type="expression" dxfId="906" priority="2108">
      <formula>AND(AW350&lt;&gt;"",#REF!="",OR(COLUMN(AW350)=COLUMN(#REF!),COLUMN(AW350)=COLUMN(#REF!)))</formula>
    </cfRule>
  </conditionalFormatting>
  <conditionalFormatting sqref="AW351">
    <cfRule type="expression" dxfId="905" priority="2107">
      <formula>AND(AW351&lt;&gt;"",#REF!="",OR(COLUMN(AW351)=COLUMN(#REF!),COLUMN(AW351)=COLUMN(#REF!)))</formula>
    </cfRule>
  </conditionalFormatting>
  <conditionalFormatting sqref="AW352">
    <cfRule type="expression" dxfId="904" priority="2106">
      <formula>AND(AW352&lt;&gt;"",#REF!="",OR(COLUMN(AW352)=COLUMN(#REF!),COLUMN(AW352)=COLUMN(#REF!)))</formula>
    </cfRule>
  </conditionalFormatting>
  <conditionalFormatting sqref="AW353">
    <cfRule type="expression" dxfId="903" priority="2105">
      <formula>AND(AW353&lt;&gt;"",#REF!="",OR(COLUMN(AW353)=COLUMN(#REF!),COLUMN(AW353)=COLUMN(#REF!)))</formula>
    </cfRule>
  </conditionalFormatting>
  <conditionalFormatting sqref="AW354">
    <cfRule type="expression" dxfId="902" priority="2104">
      <formula>AND(AW354&lt;&gt;"",#REF!="",OR(COLUMN(AW354)=COLUMN(#REF!),COLUMN(AW354)=COLUMN(#REF!)))</formula>
    </cfRule>
  </conditionalFormatting>
  <conditionalFormatting sqref="AW355">
    <cfRule type="expression" dxfId="901" priority="2103">
      <formula>AND(AW355&lt;&gt;"",#REF!="",OR(COLUMN(AW355)=COLUMN(#REF!),COLUMN(AW355)=COLUMN(#REF!)))</formula>
    </cfRule>
  </conditionalFormatting>
  <conditionalFormatting sqref="AW356">
    <cfRule type="expression" dxfId="900" priority="2102">
      <formula>AND(AW356&lt;&gt;"",#REF!="",OR(COLUMN(AW356)=COLUMN(#REF!),COLUMN(AW356)=COLUMN(#REF!)))</formula>
    </cfRule>
  </conditionalFormatting>
  <conditionalFormatting sqref="AW357">
    <cfRule type="expression" dxfId="899" priority="2101">
      <formula>AND(AW357&lt;&gt;"",#REF!="",OR(COLUMN(AW357)=COLUMN(#REF!),COLUMN(AW357)=COLUMN(#REF!)))</formula>
    </cfRule>
  </conditionalFormatting>
  <conditionalFormatting sqref="AW358">
    <cfRule type="expression" dxfId="898" priority="2100">
      <formula>AND(AW358&lt;&gt;"",#REF!="",OR(COLUMN(AW358)=COLUMN(#REF!),COLUMN(AW358)=COLUMN(#REF!)))</formula>
    </cfRule>
  </conditionalFormatting>
  <conditionalFormatting sqref="AW359">
    <cfRule type="expression" dxfId="897" priority="2099">
      <formula>AND(AW359&lt;&gt;"",#REF!="",OR(COLUMN(AW359)=COLUMN(#REF!),COLUMN(AW359)=COLUMN(#REF!)))</formula>
    </cfRule>
  </conditionalFormatting>
  <conditionalFormatting sqref="AW360">
    <cfRule type="expression" dxfId="896" priority="2098">
      <formula>AND(AW360&lt;&gt;"",#REF!="",OR(COLUMN(AW360)=COLUMN(#REF!),COLUMN(AW360)=COLUMN(#REF!)))</formula>
    </cfRule>
  </conditionalFormatting>
  <conditionalFormatting sqref="AW361">
    <cfRule type="expression" dxfId="895" priority="2097">
      <formula>AND(AW361&lt;&gt;"",#REF!="",OR(COLUMN(AW361)=COLUMN(#REF!),COLUMN(AW361)=COLUMN(#REF!)))</formula>
    </cfRule>
  </conditionalFormatting>
  <conditionalFormatting sqref="AW362">
    <cfRule type="expression" dxfId="894" priority="2096">
      <formula>AND(AW362&lt;&gt;"",#REF!="",OR(COLUMN(AW362)=COLUMN(#REF!),COLUMN(AW362)=COLUMN(#REF!)))</formula>
    </cfRule>
  </conditionalFormatting>
  <conditionalFormatting sqref="AW363">
    <cfRule type="expression" dxfId="893" priority="2095">
      <formula>AND(AW363&lt;&gt;"",#REF!="",OR(COLUMN(AW363)=COLUMN(#REF!),COLUMN(AW363)=COLUMN(#REF!)))</formula>
    </cfRule>
  </conditionalFormatting>
  <conditionalFormatting sqref="AW364">
    <cfRule type="expression" dxfId="892" priority="2094">
      <formula>AND(AW364&lt;&gt;"",#REF!="",OR(COLUMN(AW364)=COLUMN(#REF!),COLUMN(AW364)=COLUMN(#REF!)))</formula>
    </cfRule>
  </conditionalFormatting>
  <conditionalFormatting sqref="AW365">
    <cfRule type="expression" dxfId="891" priority="2093">
      <formula>AND(AW365&lt;&gt;"",#REF!="",OR(COLUMN(AW365)=COLUMN(#REF!),COLUMN(AW365)=COLUMN(#REF!)))</formula>
    </cfRule>
  </conditionalFormatting>
  <conditionalFormatting sqref="AW613">
    <cfRule type="expression" dxfId="890" priority="2092">
      <formula>AND(AW613&lt;&gt;"",#REF!="",OR(COLUMN(AW613)=COLUMN(#REF!),COLUMN(AW613)=COLUMN(#REF!)))</formula>
    </cfRule>
  </conditionalFormatting>
  <conditionalFormatting sqref="AW614">
    <cfRule type="expression" dxfId="889" priority="2091">
      <formula>AND(AW614&lt;&gt;"",#REF!="",OR(COLUMN(AW614)=COLUMN(#REF!),COLUMN(AW614)=COLUMN(#REF!)))</formula>
    </cfRule>
  </conditionalFormatting>
  <conditionalFormatting sqref="AW615">
    <cfRule type="expression" dxfId="888" priority="2090">
      <formula>AND(AW615&lt;&gt;"",#REF!="",OR(COLUMN(AW615)=COLUMN(#REF!),COLUMN(AW615)=COLUMN(#REF!)))</formula>
    </cfRule>
  </conditionalFormatting>
  <conditionalFormatting sqref="AW616">
    <cfRule type="expression" dxfId="887" priority="2089">
      <formula>AND(AW616&lt;&gt;"",#REF!="",OR(COLUMN(AW616)=COLUMN(#REF!),COLUMN(AW616)=COLUMN(#REF!)))</formula>
    </cfRule>
  </conditionalFormatting>
  <conditionalFormatting sqref="AW636">
    <cfRule type="expression" dxfId="886" priority="2088">
      <formula>AND(AW636&lt;&gt;"",#REF!="",OR(COLUMN(AW636)=COLUMN(#REF!),COLUMN(AW636)=COLUMN(#REF!)))</formula>
    </cfRule>
  </conditionalFormatting>
  <conditionalFormatting sqref="AW637">
    <cfRule type="expression" dxfId="885" priority="2087">
      <formula>AND(AW637&lt;&gt;"",#REF!="",OR(COLUMN(AW637)=COLUMN(#REF!),COLUMN(AW637)=COLUMN(#REF!)))</formula>
    </cfRule>
  </conditionalFormatting>
  <conditionalFormatting sqref="AW638">
    <cfRule type="expression" dxfId="884" priority="2086">
      <formula>AND(AW638&lt;&gt;"",#REF!="",OR(COLUMN(AW638)=COLUMN(#REF!),COLUMN(AW638)=COLUMN(#REF!)))</formula>
    </cfRule>
  </conditionalFormatting>
  <conditionalFormatting sqref="AW639">
    <cfRule type="expression" dxfId="883" priority="2085">
      <formula>AND(AW639&lt;&gt;"",#REF!="",OR(COLUMN(AW639)=COLUMN(#REF!),COLUMN(AW639)=COLUMN(#REF!)))</formula>
    </cfRule>
  </conditionalFormatting>
  <conditionalFormatting sqref="AW640">
    <cfRule type="expression" dxfId="882" priority="2084">
      <formula>AND(AW640&lt;&gt;"",#REF!="",OR(COLUMN(AW640)=COLUMN(#REF!),COLUMN(AW640)=COLUMN(#REF!)))</formula>
    </cfRule>
  </conditionalFormatting>
  <conditionalFormatting sqref="AW693">
    <cfRule type="expression" dxfId="881" priority="2083">
      <formula>AND(AW693&lt;&gt;"",#REF!="",OR(COLUMN(AW693)=COLUMN(#REF!),COLUMN(AW693)=COLUMN(#REF!)))</formula>
    </cfRule>
  </conditionalFormatting>
  <conditionalFormatting sqref="AW694">
    <cfRule type="expression" dxfId="880" priority="2082">
      <formula>AND(AW694&lt;&gt;"",#REF!="",OR(COLUMN(AW694)=COLUMN(#REF!),COLUMN(AW694)=COLUMN(#REF!)))</formula>
    </cfRule>
  </conditionalFormatting>
  <conditionalFormatting sqref="AW695">
    <cfRule type="expression" dxfId="879" priority="2081">
      <formula>AND(AW695&lt;&gt;"",#REF!="",OR(COLUMN(AW695)=COLUMN(#REF!),COLUMN(AW695)=COLUMN(#REF!)))</formula>
    </cfRule>
  </conditionalFormatting>
  <conditionalFormatting sqref="AW696">
    <cfRule type="expression" dxfId="878" priority="2080">
      <formula>AND(AW696&lt;&gt;"",#REF!="",OR(COLUMN(AW696)=COLUMN(#REF!),COLUMN(AW696)=COLUMN(#REF!)))</formula>
    </cfRule>
  </conditionalFormatting>
  <conditionalFormatting sqref="AW697">
    <cfRule type="expression" dxfId="877" priority="2079">
      <formula>AND(AW697&lt;&gt;"",#REF!="",OR(COLUMN(AW697)=COLUMN(#REF!),COLUMN(AW697)=COLUMN(#REF!)))</formula>
    </cfRule>
  </conditionalFormatting>
  <conditionalFormatting sqref="AW698">
    <cfRule type="expression" dxfId="876" priority="2078">
      <formula>AND(AW698&lt;&gt;"",#REF!="",OR(COLUMN(AW698)=COLUMN(#REF!),COLUMN(AW698)=COLUMN(#REF!)))</formula>
    </cfRule>
  </conditionalFormatting>
  <conditionalFormatting sqref="AW710">
    <cfRule type="expression" dxfId="875" priority="2077">
      <formula>AND(AW710&lt;&gt;"",#REF!="",OR(COLUMN(AW710)=COLUMN(#REF!),COLUMN(AW710)=COLUMN(#REF!)))</formula>
    </cfRule>
  </conditionalFormatting>
  <conditionalFormatting sqref="AW711">
    <cfRule type="expression" dxfId="874" priority="2076">
      <formula>AND(AW711&lt;&gt;"",#REF!="",OR(COLUMN(AW711)=COLUMN(#REF!),COLUMN(AW711)=COLUMN(#REF!)))</formula>
    </cfRule>
  </conditionalFormatting>
  <conditionalFormatting sqref="AW712">
    <cfRule type="expression" dxfId="873" priority="2075">
      <formula>AND(AW712&lt;&gt;"",#REF!="",OR(COLUMN(AW712)=COLUMN(#REF!),COLUMN(AW712)=COLUMN(#REF!)))</formula>
    </cfRule>
  </conditionalFormatting>
  <conditionalFormatting sqref="AW713">
    <cfRule type="expression" dxfId="872" priority="2074">
      <formula>AND(AW713&lt;&gt;"",#REF!="",OR(COLUMN(AW713)=COLUMN(#REF!),COLUMN(AW713)=COLUMN(#REF!)))</formula>
    </cfRule>
  </conditionalFormatting>
  <conditionalFormatting sqref="AW3">
    <cfRule type="expression" dxfId="871" priority="2073">
      <formula>AND(AW3&lt;&gt;"",#REF!="",OR(COLUMN(AW3)=COLUMN(#REF!),COLUMN(AW3)=COLUMN(#REF!)))</formula>
    </cfRule>
  </conditionalFormatting>
  <conditionalFormatting sqref="AW165">
    <cfRule type="expression" dxfId="870" priority="2072">
      <formula>AND(AW165&lt;&gt;"",#REF!="",OR(COLUMN(AW165)=COLUMN(#REF!),COLUMN(AW165)=COLUMN(#REF!)))</formula>
    </cfRule>
  </conditionalFormatting>
  <conditionalFormatting sqref="AW175">
    <cfRule type="expression" dxfId="869" priority="2071">
      <formula>AND(AW175&lt;&gt;"",#REF!="",OR(COLUMN(AW175)=COLUMN(#REF!),COLUMN(AW175)=COLUMN(#REF!)))</formula>
    </cfRule>
  </conditionalFormatting>
  <conditionalFormatting sqref="AW199">
    <cfRule type="expression" dxfId="868" priority="2070">
      <formula>AND(AW199&lt;&gt;"",#REF!="",OR(COLUMN(AW199)=COLUMN(#REF!),COLUMN(AW199)=COLUMN(#REF!)))</formula>
    </cfRule>
  </conditionalFormatting>
  <conditionalFormatting sqref="AW200">
    <cfRule type="expression" dxfId="867" priority="2069">
      <formula>AND(AW200&lt;&gt;"",#REF!="",OR(COLUMN(AW200)=COLUMN(#REF!),COLUMN(AW200)=COLUMN(#REF!)))</formula>
    </cfRule>
  </conditionalFormatting>
  <conditionalFormatting sqref="AW251">
    <cfRule type="expression" dxfId="866" priority="2068">
      <formula>AND(AW251&lt;&gt;"",#REF!="",OR(COLUMN(AW251)=COLUMN(#REF!),COLUMN(AW251)=COLUMN(#REF!)))</formula>
    </cfRule>
  </conditionalFormatting>
  <conditionalFormatting sqref="AW252">
    <cfRule type="expression" dxfId="865" priority="2067">
      <formula>AND(AW252&lt;&gt;"",#REF!="",OR(COLUMN(AW252)=COLUMN(#REF!),COLUMN(AW252)=COLUMN(#REF!)))</formula>
    </cfRule>
  </conditionalFormatting>
  <conditionalFormatting sqref="AW257">
    <cfRule type="expression" dxfId="864" priority="2066">
      <formula>AND(AW257&lt;&gt;"",#REF!="",OR(COLUMN(AW257)=COLUMN(#REF!),COLUMN(AW257)=COLUMN(#REF!)))</formula>
    </cfRule>
  </conditionalFormatting>
  <conditionalFormatting sqref="AW263">
    <cfRule type="expression" dxfId="863" priority="2065">
      <formula>AND(AW263&lt;&gt;"",#REF!="",OR(COLUMN(AW263)=COLUMN(#REF!),COLUMN(AW263)=COLUMN(#REF!)))</formula>
    </cfRule>
  </conditionalFormatting>
  <conditionalFormatting sqref="AW285">
    <cfRule type="expression" dxfId="862" priority="2064">
      <formula>AND(AW285&lt;&gt;"",#REF!="",OR(COLUMN(AW285)=COLUMN(#REF!),COLUMN(AW285)=COLUMN(#REF!)))</formula>
    </cfRule>
  </conditionalFormatting>
  <conditionalFormatting sqref="AW311">
    <cfRule type="expression" dxfId="861" priority="2063">
      <formula>AND(AW311&lt;&gt;"",#REF!="",OR(COLUMN(AW311)=COLUMN(#REF!),COLUMN(AW311)=COLUMN(#REF!)))</formula>
    </cfRule>
  </conditionalFormatting>
  <conditionalFormatting sqref="AW312">
    <cfRule type="expression" dxfId="860" priority="2062">
      <formula>AND(AW312&lt;&gt;"",#REF!="",OR(COLUMN(AW312)=COLUMN(#REF!),COLUMN(AW312)=COLUMN(#REF!)))</formula>
    </cfRule>
  </conditionalFormatting>
  <conditionalFormatting sqref="AW313">
    <cfRule type="expression" dxfId="859" priority="2061">
      <formula>AND(AW313&lt;&gt;"",#REF!="",OR(COLUMN(AW313)=COLUMN(#REF!),COLUMN(AW313)=COLUMN(#REF!)))</formula>
    </cfRule>
  </conditionalFormatting>
  <conditionalFormatting sqref="AW314">
    <cfRule type="expression" dxfId="858" priority="2060">
      <formula>AND(AW314&lt;&gt;"",#REF!="",OR(COLUMN(AW314)=COLUMN(#REF!),COLUMN(AW314)=COLUMN(#REF!)))</formula>
    </cfRule>
  </conditionalFormatting>
  <conditionalFormatting sqref="AW315">
    <cfRule type="expression" dxfId="857" priority="2059">
      <formula>AND(AW315&lt;&gt;"",#REF!="",OR(COLUMN(AW315)=COLUMN(#REF!),COLUMN(AW315)=COLUMN(#REF!)))</formula>
    </cfRule>
  </conditionalFormatting>
  <conditionalFormatting sqref="AW316">
    <cfRule type="expression" dxfId="856" priority="2058">
      <formula>AND(AW316&lt;&gt;"",#REF!="",OR(COLUMN(AW316)=COLUMN(#REF!),COLUMN(AW316)=COLUMN(#REF!)))</formula>
    </cfRule>
  </conditionalFormatting>
  <conditionalFormatting sqref="AW317">
    <cfRule type="expression" dxfId="855" priority="2057">
      <formula>AND(AW317&lt;&gt;"",#REF!="",OR(COLUMN(AW317)=COLUMN(#REF!),COLUMN(AW317)=COLUMN(#REF!)))</formula>
    </cfRule>
  </conditionalFormatting>
  <conditionalFormatting sqref="AW318">
    <cfRule type="expression" dxfId="854" priority="2056">
      <formula>AND(AW318&lt;&gt;"",#REF!="",OR(COLUMN(AW318)=COLUMN(#REF!),COLUMN(AW318)=COLUMN(#REF!)))</formula>
    </cfRule>
  </conditionalFormatting>
  <conditionalFormatting sqref="AW366">
    <cfRule type="expression" dxfId="853" priority="2055">
      <formula>AND(AW366&lt;&gt;"",#REF!="",OR(COLUMN(AW366)=COLUMN(#REF!),COLUMN(AW366)=COLUMN(#REF!)))</formula>
    </cfRule>
  </conditionalFormatting>
  <conditionalFormatting sqref="AW367">
    <cfRule type="expression" dxfId="852" priority="2054">
      <formula>AND(AW367&lt;&gt;"",#REF!="",OR(COLUMN(AW367)=COLUMN(#REF!),COLUMN(AW367)=COLUMN(#REF!)))</formula>
    </cfRule>
  </conditionalFormatting>
  <conditionalFormatting sqref="AW368">
    <cfRule type="expression" dxfId="851" priority="2053">
      <formula>AND(AW368&lt;&gt;"",#REF!="",OR(COLUMN(AW368)=COLUMN(#REF!),COLUMN(AW368)=COLUMN(#REF!)))</formula>
    </cfRule>
  </conditionalFormatting>
  <conditionalFormatting sqref="AW369">
    <cfRule type="expression" dxfId="850" priority="2052">
      <formula>AND(AW369&lt;&gt;"",#REF!="",OR(COLUMN(AW369)=COLUMN(#REF!),COLUMN(AW369)=COLUMN(#REF!)))</formula>
    </cfRule>
  </conditionalFormatting>
  <conditionalFormatting sqref="AW370">
    <cfRule type="expression" dxfId="849" priority="2051">
      <formula>AND(AW370&lt;&gt;"",#REF!="",OR(COLUMN(AW370)=COLUMN(#REF!),COLUMN(AW370)=COLUMN(#REF!)))</formula>
    </cfRule>
  </conditionalFormatting>
  <conditionalFormatting sqref="AW371">
    <cfRule type="expression" dxfId="848" priority="2050">
      <formula>AND(AW371&lt;&gt;"",#REF!="",OR(COLUMN(AW371)=COLUMN(#REF!),COLUMN(AW371)=COLUMN(#REF!)))</formula>
    </cfRule>
  </conditionalFormatting>
  <conditionalFormatting sqref="AW372">
    <cfRule type="expression" dxfId="847" priority="2049">
      <formula>AND(AW372&lt;&gt;"",#REF!="",OR(COLUMN(AW372)=COLUMN(#REF!),COLUMN(AW372)=COLUMN(#REF!)))</formula>
    </cfRule>
  </conditionalFormatting>
  <conditionalFormatting sqref="AW373">
    <cfRule type="expression" dxfId="846" priority="2048">
      <formula>AND(AW373&lt;&gt;"",#REF!="",OR(COLUMN(AW373)=COLUMN(#REF!),COLUMN(AW373)=COLUMN(#REF!)))</formula>
    </cfRule>
  </conditionalFormatting>
  <conditionalFormatting sqref="AW374">
    <cfRule type="expression" dxfId="845" priority="2047">
      <formula>AND(AW374&lt;&gt;"",#REF!="",OR(COLUMN(AW374)=COLUMN(#REF!),COLUMN(AW374)=COLUMN(#REF!)))</formula>
    </cfRule>
  </conditionalFormatting>
  <conditionalFormatting sqref="AW375">
    <cfRule type="expression" dxfId="844" priority="2046">
      <formula>AND(AW375&lt;&gt;"",#REF!="",OR(COLUMN(AW375)=COLUMN(#REF!),COLUMN(AW375)=COLUMN(#REF!)))</formula>
    </cfRule>
  </conditionalFormatting>
  <conditionalFormatting sqref="AW376">
    <cfRule type="expression" dxfId="843" priority="2045">
      <formula>AND(AW376&lt;&gt;"",#REF!="",OR(COLUMN(AW376)=COLUMN(#REF!),COLUMN(AW376)=COLUMN(#REF!)))</formula>
    </cfRule>
  </conditionalFormatting>
  <conditionalFormatting sqref="AW377">
    <cfRule type="expression" dxfId="842" priority="2044">
      <formula>AND(AW377&lt;&gt;"",#REF!="",OR(COLUMN(AW377)=COLUMN(#REF!),COLUMN(AW377)=COLUMN(#REF!)))</formula>
    </cfRule>
  </conditionalFormatting>
  <conditionalFormatting sqref="AW378">
    <cfRule type="expression" dxfId="841" priority="2043">
      <formula>AND(AW378&lt;&gt;"",#REF!="",OR(COLUMN(AW378)=COLUMN(#REF!),COLUMN(AW378)=COLUMN(#REF!)))</formula>
    </cfRule>
  </conditionalFormatting>
  <conditionalFormatting sqref="AW379">
    <cfRule type="expression" dxfId="840" priority="2042">
      <formula>AND(AW379&lt;&gt;"",#REF!="",OR(COLUMN(AW379)=COLUMN(#REF!),COLUMN(AW379)=COLUMN(#REF!)))</formula>
    </cfRule>
  </conditionalFormatting>
  <conditionalFormatting sqref="AW380">
    <cfRule type="expression" dxfId="839" priority="2041">
      <formula>AND(AW380&lt;&gt;"",#REF!="",OR(COLUMN(AW380)=COLUMN(#REF!),COLUMN(AW380)=COLUMN(#REF!)))</formula>
    </cfRule>
  </conditionalFormatting>
  <conditionalFormatting sqref="AW381">
    <cfRule type="expression" dxfId="838" priority="2040">
      <formula>AND(AW381&lt;&gt;"",#REF!="",OR(COLUMN(AW381)=COLUMN(#REF!),COLUMN(AW381)=COLUMN(#REF!)))</formula>
    </cfRule>
  </conditionalFormatting>
  <conditionalFormatting sqref="AW382">
    <cfRule type="expression" dxfId="837" priority="2039">
      <formula>AND(AW382&lt;&gt;"",#REF!="",OR(COLUMN(AW382)=COLUMN(#REF!),COLUMN(AW382)=COLUMN(#REF!)))</formula>
    </cfRule>
  </conditionalFormatting>
  <conditionalFormatting sqref="AW383">
    <cfRule type="expression" dxfId="836" priority="2038">
      <formula>AND(AW383&lt;&gt;"",#REF!="",OR(COLUMN(AW383)=COLUMN(#REF!),COLUMN(AW383)=COLUMN(#REF!)))</formula>
    </cfRule>
  </conditionalFormatting>
  <conditionalFormatting sqref="AW384">
    <cfRule type="expression" dxfId="835" priority="2037">
      <formula>AND(AW384&lt;&gt;"",#REF!="",OR(COLUMN(AW384)=COLUMN(#REF!),COLUMN(AW384)=COLUMN(#REF!)))</formula>
    </cfRule>
  </conditionalFormatting>
  <conditionalFormatting sqref="AW385">
    <cfRule type="expression" dxfId="834" priority="2036">
      <formula>AND(AW385&lt;&gt;"",#REF!="",OR(COLUMN(AW385)=COLUMN(#REF!),COLUMN(AW385)=COLUMN(#REF!)))</formula>
    </cfRule>
  </conditionalFormatting>
  <conditionalFormatting sqref="AW386">
    <cfRule type="expression" dxfId="833" priority="2035">
      <formula>AND(AW386&lt;&gt;"",#REF!="",OR(COLUMN(AW386)=COLUMN(#REF!),COLUMN(AW386)=COLUMN(#REF!)))</formula>
    </cfRule>
  </conditionalFormatting>
  <conditionalFormatting sqref="AW387">
    <cfRule type="expression" dxfId="832" priority="2034">
      <formula>AND(AW387&lt;&gt;"",#REF!="",OR(COLUMN(AW387)=COLUMN(#REF!),COLUMN(AW387)=COLUMN(#REF!)))</formula>
    </cfRule>
  </conditionalFormatting>
  <conditionalFormatting sqref="AW388">
    <cfRule type="expression" dxfId="831" priority="2033">
      <formula>AND(AW388&lt;&gt;"",#REF!="",OR(COLUMN(AW388)=COLUMN(#REF!),COLUMN(AW388)=COLUMN(#REF!)))</formula>
    </cfRule>
  </conditionalFormatting>
  <conditionalFormatting sqref="AW389">
    <cfRule type="expression" dxfId="830" priority="2032">
      <formula>AND(AW389&lt;&gt;"",#REF!="",OR(COLUMN(AW389)=COLUMN(#REF!),COLUMN(AW389)=COLUMN(#REF!)))</formula>
    </cfRule>
  </conditionalFormatting>
  <conditionalFormatting sqref="AW390">
    <cfRule type="expression" dxfId="829" priority="2031">
      <formula>AND(AW390&lt;&gt;"",#REF!="",OR(COLUMN(AW390)=COLUMN(#REF!),COLUMN(AW390)=COLUMN(#REF!)))</formula>
    </cfRule>
  </conditionalFormatting>
  <conditionalFormatting sqref="AW391">
    <cfRule type="expression" dxfId="828" priority="2030">
      <formula>AND(AW391&lt;&gt;"",#REF!="",OR(COLUMN(AW391)=COLUMN(#REF!),COLUMN(AW391)=COLUMN(#REF!)))</formula>
    </cfRule>
  </conditionalFormatting>
  <conditionalFormatting sqref="AW456">
    <cfRule type="expression" dxfId="827" priority="2029">
      <formula>AND(AW456&lt;&gt;"",#REF!="",OR(COLUMN(AW456)=COLUMN(#REF!),COLUMN(AW456)=COLUMN(#REF!)))</formula>
    </cfRule>
  </conditionalFormatting>
  <conditionalFormatting sqref="AW462">
    <cfRule type="expression" dxfId="826" priority="2028">
      <formula>AND(AW462&lt;&gt;"",#REF!="",OR(COLUMN(AW462)=COLUMN(#REF!),COLUMN(AW462)=COLUMN(#REF!)))</formula>
    </cfRule>
  </conditionalFormatting>
  <conditionalFormatting sqref="AW492">
    <cfRule type="expression" dxfId="825" priority="2027">
      <formula>AND(AW492&lt;&gt;"",#REF!="",OR(COLUMN(AW492)=COLUMN(#REF!),COLUMN(AW492)=COLUMN(#REF!)))</formula>
    </cfRule>
  </conditionalFormatting>
  <conditionalFormatting sqref="AW493">
    <cfRule type="expression" dxfId="824" priority="2026">
      <formula>AND(AW493&lt;&gt;"",#REF!="",OR(COLUMN(AW493)=COLUMN(#REF!),COLUMN(AW493)=COLUMN(#REF!)))</formula>
    </cfRule>
  </conditionalFormatting>
  <conditionalFormatting sqref="AW494">
    <cfRule type="expression" dxfId="823" priority="2025">
      <formula>AND(AW494&lt;&gt;"",#REF!="",OR(COLUMN(AW494)=COLUMN(#REF!),COLUMN(AW494)=COLUMN(#REF!)))</formula>
    </cfRule>
  </conditionalFormatting>
  <conditionalFormatting sqref="AW505">
    <cfRule type="expression" dxfId="822" priority="2024">
      <formula>AND(AW505&lt;&gt;"",#REF!="",OR(COLUMN(AW505)=COLUMN(#REF!),COLUMN(AW505)=COLUMN(#REF!)))</formula>
    </cfRule>
  </conditionalFormatting>
  <conditionalFormatting sqref="AW619">
    <cfRule type="expression" dxfId="821" priority="2023">
      <formula>AND(AW619&lt;&gt;"",#REF!="",OR(COLUMN(AW619)=COLUMN(#REF!),COLUMN(AW619)=COLUMN(#REF!)))</formula>
    </cfRule>
  </conditionalFormatting>
  <conditionalFormatting sqref="AW620">
    <cfRule type="expression" dxfId="820" priority="2022">
      <formula>AND(AW620&lt;&gt;"",#REF!="",OR(COLUMN(AW620)=COLUMN(#REF!),COLUMN(AW620)=COLUMN(#REF!)))</formula>
    </cfRule>
  </conditionalFormatting>
  <conditionalFormatting sqref="AW621">
    <cfRule type="expression" dxfId="819" priority="2021">
      <formula>AND(AW621&lt;&gt;"",#REF!="",OR(COLUMN(AW621)=COLUMN(#REF!),COLUMN(AW621)=COLUMN(#REF!)))</formula>
    </cfRule>
  </conditionalFormatting>
  <conditionalFormatting sqref="AW622">
    <cfRule type="expression" dxfId="818" priority="2020">
      <formula>AND(AW622&lt;&gt;"",#REF!="",OR(COLUMN(AW622)=COLUMN(#REF!),COLUMN(AW622)=COLUMN(#REF!)))</formula>
    </cfRule>
  </conditionalFormatting>
  <conditionalFormatting sqref="AW643">
    <cfRule type="expression" dxfId="817" priority="2019">
      <formula>AND(AW643&lt;&gt;"",#REF!="",OR(COLUMN(AW643)=COLUMN(#REF!),COLUMN(AW643)=COLUMN(#REF!)))</formula>
    </cfRule>
  </conditionalFormatting>
  <conditionalFormatting sqref="AW644">
    <cfRule type="expression" dxfId="816" priority="2018">
      <formula>AND(AW644&lt;&gt;"",#REF!="",OR(COLUMN(AW644)=COLUMN(#REF!),COLUMN(AW644)=COLUMN(#REF!)))</formula>
    </cfRule>
  </conditionalFormatting>
  <conditionalFormatting sqref="AW645">
    <cfRule type="expression" dxfId="815" priority="2017">
      <formula>AND(AW645&lt;&gt;"",#REF!="",OR(COLUMN(AW645)=COLUMN(#REF!),COLUMN(AW645)=COLUMN(#REF!)))</formula>
    </cfRule>
  </conditionalFormatting>
  <conditionalFormatting sqref="AW668">
    <cfRule type="expression" dxfId="814" priority="2016">
      <formula>AND(AW668&lt;&gt;"",#REF!="",OR(COLUMN(AW668)=COLUMN(#REF!),COLUMN(AW668)=COLUMN(#REF!)))</formula>
    </cfRule>
  </conditionalFormatting>
  <conditionalFormatting sqref="AW669">
    <cfRule type="expression" dxfId="813" priority="2015">
      <formula>AND(AW669&lt;&gt;"",#REF!="",OR(COLUMN(AW669)=COLUMN(#REF!),COLUMN(AW669)=COLUMN(#REF!)))</formula>
    </cfRule>
  </conditionalFormatting>
  <conditionalFormatting sqref="AW670">
    <cfRule type="expression" dxfId="812" priority="2014">
      <formula>AND(AW670&lt;&gt;"",#REF!="",OR(COLUMN(AW670)=COLUMN(#REF!),COLUMN(AW670)=COLUMN(#REF!)))</formula>
    </cfRule>
  </conditionalFormatting>
  <conditionalFormatting sqref="AW671">
    <cfRule type="expression" dxfId="811" priority="2013">
      <formula>AND(AW671&lt;&gt;"",#REF!="",OR(COLUMN(AW671)=COLUMN(#REF!),COLUMN(AW671)=COLUMN(#REF!)))</formula>
    </cfRule>
  </conditionalFormatting>
  <conditionalFormatting sqref="AW672">
    <cfRule type="expression" dxfId="810" priority="2012">
      <formula>AND(AW672&lt;&gt;"",#REF!="",OR(COLUMN(AW672)=COLUMN(#REF!),COLUMN(AW672)=COLUMN(#REF!)))</formula>
    </cfRule>
  </conditionalFormatting>
  <conditionalFormatting sqref="AW673">
    <cfRule type="expression" dxfId="809" priority="2011">
      <formula>AND(AW673&lt;&gt;"",#REF!="",OR(COLUMN(AW673)=COLUMN(#REF!),COLUMN(AW673)=COLUMN(#REF!)))</formula>
    </cfRule>
  </conditionalFormatting>
  <conditionalFormatting sqref="AW685">
    <cfRule type="expression" dxfId="808" priority="2010">
      <formula>AND(AW685&lt;&gt;"",#REF!="",OR(COLUMN(AW685)=COLUMN(#REF!),COLUMN(AW685)=COLUMN(#REF!)))</formula>
    </cfRule>
  </conditionalFormatting>
  <conditionalFormatting sqref="AW686">
    <cfRule type="expression" dxfId="807" priority="2009">
      <formula>AND(AW686&lt;&gt;"",#REF!="",OR(COLUMN(AW686)=COLUMN(#REF!),COLUMN(AW686)=COLUMN(#REF!)))</formula>
    </cfRule>
  </conditionalFormatting>
  <conditionalFormatting sqref="AW687">
    <cfRule type="expression" dxfId="806" priority="2008">
      <formula>AND(AW687&lt;&gt;"",#REF!="",OR(COLUMN(AW687)=COLUMN(#REF!),COLUMN(AW687)=COLUMN(#REF!)))</formula>
    </cfRule>
  </conditionalFormatting>
  <conditionalFormatting sqref="AW688">
    <cfRule type="expression" dxfId="805" priority="2007">
      <formula>AND(AW688&lt;&gt;"",#REF!="",OR(COLUMN(AW688)=COLUMN(#REF!),COLUMN(AW688)=COLUMN(#REF!)))</formula>
    </cfRule>
  </conditionalFormatting>
  <conditionalFormatting sqref="AW149">
    <cfRule type="expression" dxfId="804" priority="289">
      <formula>AND(AW149&lt;&gt;"",#REF!="",OR(COLUMN(AW149)=COLUMN(#REF!),COLUMN(AW149)=COLUMN(#REF!)))</formula>
    </cfRule>
  </conditionalFormatting>
  <conditionalFormatting sqref="AX149">
    <cfRule type="expression" dxfId="803" priority="288">
      <formula>AND(AX149&lt;&gt;"",#REF!="",OR(COLUMN(AX149)=COLUMN(#REF!),COLUMN(AX149)=COLUMN(#REF!)))</formula>
    </cfRule>
  </conditionalFormatting>
  <conditionalFormatting sqref="AX3">
    <cfRule type="expression" dxfId="802" priority="287">
      <formula>AND(AX3&lt;&gt;"",#REF!="",OR(COLUMN(AX3)=COLUMN(#REF!),COLUMN(AX3)=COLUMN(#REF!)))</formula>
    </cfRule>
  </conditionalFormatting>
  <conditionalFormatting sqref="AW6">
    <cfRule type="expression" dxfId="801" priority="286">
      <formula>AND(AW6&lt;&gt;"",#REF!="",OR(COLUMN(AW6)=COLUMN(#REF!),COLUMN(AW6)=COLUMN(#REF!)))</formula>
    </cfRule>
  </conditionalFormatting>
  <conditionalFormatting sqref="AX6">
    <cfRule type="expression" dxfId="800" priority="285">
      <formula>AND(AX6&lt;&gt;"",#REF!="",OR(COLUMN(AX6)=COLUMN(#REF!),COLUMN(AX6)=COLUMN(#REF!)))</formula>
    </cfRule>
  </conditionalFormatting>
  <conditionalFormatting sqref="AW7">
    <cfRule type="expression" dxfId="799" priority="284">
      <formula>AND(AW7&lt;&gt;"",#REF!="",OR(COLUMN(AW7)=COLUMN(#REF!),COLUMN(AW7)=COLUMN(#REF!)))</formula>
    </cfRule>
  </conditionalFormatting>
  <conditionalFormatting sqref="AX7">
    <cfRule type="expression" dxfId="798" priority="283">
      <formula>AND(AX7&lt;&gt;"",#REF!="",OR(COLUMN(AX7)=COLUMN(#REF!),COLUMN(AX7)=COLUMN(#REF!)))</formula>
    </cfRule>
  </conditionalFormatting>
  <conditionalFormatting sqref="AW8">
    <cfRule type="expression" dxfId="797" priority="282">
      <formula>AND(AW8&lt;&gt;"",#REF!="",OR(COLUMN(AW8)=COLUMN(#REF!),COLUMN(AW8)=COLUMN(#REF!)))</formula>
    </cfRule>
  </conditionalFormatting>
  <conditionalFormatting sqref="AX8">
    <cfRule type="expression" dxfId="796" priority="281">
      <formula>AND(AX8&lt;&gt;"",#REF!="",OR(COLUMN(AX8)=COLUMN(#REF!),COLUMN(AX8)=COLUMN(#REF!)))</formula>
    </cfRule>
  </conditionalFormatting>
  <conditionalFormatting sqref="AW9">
    <cfRule type="expression" dxfId="795" priority="280">
      <formula>AND(AW9&lt;&gt;"",#REF!="",OR(COLUMN(AW9)=COLUMN(#REF!),COLUMN(AW9)=COLUMN(#REF!)))</formula>
    </cfRule>
  </conditionalFormatting>
  <conditionalFormatting sqref="AX9">
    <cfRule type="expression" dxfId="794" priority="279">
      <formula>AND(AX9&lt;&gt;"",#REF!="",OR(COLUMN(AX9)=COLUMN(#REF!),COLUMN(AX9)=COLUMN(#REF!)))</formula>
    </cfRule>
  </conditionalFormatting>
  <conditionalFormatting sqref="AW10">
    <cfRule type="expression" dxfId="793" priority="278">
      <formula>AND(AW10&lt;&gt;"",#REF!="",OR(COLUMN(AW10)=COLUMN(#REF!),COLUMN(AW10)=COLUMN(#REF!)))</formula>
    </cfRule>
  </conditionalFormatting>
  <conditionalFormatting sqref="AX10">
    <cfRule type="expression" dxfId="792" priority="277">
      <formula>AND(AX10&lt;&gt;"",#REF!="",OR(COLUMN(AX10)=COLUMN(#REF!),COLUMN(AX10)=COLUMN(#REF!)))</formula>
    </cfRule>
  </conditionalFormatting>
  <conditionalFormatting sqref="AW11">
    <cfRule type="expression" dxfId="791" priority="276">
      <formula>AND(AW11&lt;&gt;"",#REF!="",OR(COLUMN(AW11)=COLUMN(#REF!),COLUMN(AW11)=COLUMN(#REF!)))</formula>
    </cfRule>
  </conditionalFormatting>
  <conditionalFormatting sqref="AX11">
    <cfRule type="expression" dxfId="790" priority="275">
      <formula>AND(AX11&lt;&gt;"",#REF!="",OR(COLUMN(AX11)=COLUMN(#REF!),COLUMN(AX11)=COLUMN(#REF!)))</formula>
    </cfRule>
  </conditionalFormatting>
  <conditionalFormatting sqref="AW12">
    <cfRule type="expression" dxfId="789" priority="274">
      <formula>AND(AW12&lt;&gt;"",#REF!="",OR(COLUMN(AW12)=COLUMN(#REF!),COLUMN(AW12)=COLUMN(#REF!)))</formula>
    </cfRule>
  </conditionalFormatting>
  <conditionalFormatting sqref="AX12">
    <cfRule type="expression" dxfId="788" priority="273">
      <formula>AND(AX12&lt;&gt;"",#REF!="",OR(COLUMN(AX12)=COLUMN(#REF!),COLUMN(AX12)=COLUMN(#REF!)))</formula>
    </cfRule>
  </conditionalFormatting>
  <conditionalFormatting sqref="AW13">
    <cfRule type="expression" dxfId="787" priority="272">
      <formula>AND(AW13&lt;&gt;"",#REF!="",OR(COLUMN(AW13)=COLUMN(#REF!),COLUMN(AW13)=COLUMN(#REF!)))</formula>
    </cfRule>
  </conditionalFormatting>
  <conditionalFormatting sqref="AX13">
    <cfRule type="expression" dxfId="786" priority="271">
      <formula>AND(AX13&lt;&gt;"",#REF!="",OR(COLUMN(AX13)=COLUMN(#REF!),COLUMN(AX13)=COLUMN(#REF!)))</formula>
    </cfRule>
  </conditionalFormatting>
  <conditionalFormatting sqref="AW14">
    <cfRule type="expression" dxfId="785" priority="270">
      <formula>AND(AW14&lt;&gt;"",#REF!="",OR(COLUMN(AW14)=COLUMN(#REF!),COLUMN(AW14)=COLUMN(#REF!)))</formula>
    </cfRule>
  </conditionalFormatting>
  <conditionalFormatting sqref="AX14">
    <cfRule type="expression" dxfId="784" priority="269">
      <formula>AND(AX14&lt;&gt;"",#REF!="",OR(COLUMN(AX14)=COLUMN(#REF!),COLUMN(AX14)=COLUMN(#REF!)))</formula>
    </cfRule>
  </conditionalFormatting>
  <conditionalFormatting sqref="AW15">
    <cfRule type="expression" dxfId="783" priority="268">
      <formula>AND(AW15&lt;&gt;"",#REF!="",OR(COLUMN(AW15)=COLUMN(#REF!),COLUMN(AW15)=COLUMN(#REF!)))</formula>
    </cfRule>
  </conditionalFormatting>
  <conditionalFormatting sqref="AX15">
    <cfRule type="expression" dxfId="782" priority="267">
      <formula>AND(AX15&lt;&gt;"",#REF!="",OR(COLUMN(AX15)=COLUMN(#REF!),COLUMN(AX15)=COLUMN(#REF!)))</formula>
    </cfRule>
  </conditionalFormatting>
  <conditionalFormatting sqref="AW16">
    <cfRule type="expression" dxfId="781" priority="266">
      <formula>AND(AW16&lt;&gt;"",#REF!="",OR(COLUMN(AW16)=COLUMN(#REF!),COLUMN(AW16)=COLUMN(#REF!)))</formula>
    </cfRule>
  </conditionalFormatting>
  <conditionalFormatting sqref="AX16">
    <cfRule type="expression" dxfId="780" priority="265">
      <formula>AND(AX16&lt;&gt;"",#REF!="",OR(COLUMN(AX16)=COLUMN(#REF!),COLUMN(AX16)=COLUMN(#REF!)))</formula>
    </cfRule>
  </conditionalFormatting>
  <conditionalFormatting sqref="AW17">
    <cfRule type="expression" dxfId="779" priority="264">
      <formula>AND(AW17&lt;&gt;"",#REF!="",OR(COLUMN(AW17)=COLUMN(#REF!),COLUMN(AW17)=COLUMN(#REF!)))</formula>
    </cfRule>
  </conditionalFormatting>
  <conditionalFormatting sqref="AX17">
    <cfRule type="expression" dxfId="778" priority="263">
      <formula>AND(AX17&lt;&gt;"",#REF!="",OR(COLUMN(AX17)=COLUMN(#REF!),COLUMN(AX17)=COLUMN(#REF!)))</formula>
    </cfRule>
  </conditionalFormatting>
  <conditionalFormatting sqref="AW18">
    <cfRule type="expression" dxfId="777" priority="262">
      <formula>AND(AW18&lt;&gt;"",#REF!="",OR(COLUMN(AW18)=COLUMN(#REF!),COLUMN(AW18)=COLUMN(#REF!)))</formula>
    </cfRule>
  </conditionalFormatting>
  <conditionalFormatting sqref="AX18">
    <cfRule type="expression" dxfId="776" priority="261">
      <formula>AND(AX18&lt;&gt;"",#REF!="",OR(COLUMN(AX18)=COLUMN(#REF!),COLUMN(AX18)=COLUMN(#REF!)))</formula>
    </cfRule>
  </conditionalFormatting>
  <conditionalFormatting sqref="AW19">
    <cfRule type="expression" dxfId="775" priority="260">
      <formula>AND(AW19&lt;&gt;"",#REF!="",OR(COLUMN(AW19)=COLUMN(#REF!),COLUMN(AW19)=COLUMN(#REF!)))</formula>
    </cfRule>
  </conditionalFormatting>
  <conditionalFormatting sqref="AX19">
    <cfRule type="expression" dxfId="774" priority="259">
      <formula>AND(AX19&lt;&gt;"",#REF!="",OR(COLUMN(AX19)=COLUMN(#REF!),COLUMN(AX19)=COLUMN(#REF!)))</formula>
    </cfRule>
  </conditionalFormatting>
  <conditionalFormatting sqref="AW20">
    <cfRule type="expression" dxfId="773" priority="258">
      <formula>AND(AW20&lt;&gt;"",#REF!="",OR(COLUMN(AW20)=COLUMN(#REF!),COLUMN(AW20)=COLUMN(#REF!)))</formula>
    </cfRule>
  </conditionalFormatting>
  <conditionalFormatting sqref="AX20">
    <cfRule type="expression" dxfId="772" priority="257">
      <formula>AND(AX20&lt;&gt;"",#REF!="",OR(COLUMN(AX20)=COLUMN(#REF!),COLUMN(AX20)=COLUMN(#REF!)))</formula>
    </cfRule>
  </conditionalFormatting>
  <conditionalFormatting sqref="AW21">
    <cfRule type="expression" dxfId="771" priority="256">
      <formula>AND(AW21&lt;&gt;"",#REF!="",OR(COLUMN(AW21)=COLUMN(#REF!),COLUMN(AW21)=COLUMN(#REF!)))</formula>
    </cfRule>
  </conditionalFormatting>
  <conditionalFormatting sqref="AX21">
    <cfRule type="expression" dxfId="770" priority="255">
      <formula>AND(AX21&lt;&gt;"",#REF!="",OR(COLUMN(AX21)=COLUMN(#REF!),COLUMN(AX21)=COLUMN(#REF!)))</formula>
    </cfRule>
  </conditionalFormatting>
  <conditionalFormatting sqref="AW22">
    <cfRule type="expression" dxfId="769" priority="254">
      <formula>AND(AW22&lt;&gt;"",#REF!="",OR(COLUMN(AW22)=COLUMN(#REF!),COLUMN(AW22)=COLUMN(#REF!)))</formula>
    </cfRule>
  </conditionalFormatting>
  <conditionalFormatting sqref="AX22">
    <cfRule type="expression" dxfId="768" priority="253">
      <formula>AND(AX22&lt;&gt;"",#REF!="",OR(COLUMN(AX22)=COLUMN(#REF!),COLUMN(AX22)=COLUMN(#REF!)))</formula>
    </cfRule>
  </conditionalFormatting>
  <conditionalFormatting sqref="AW23">
    <cfRule type="expression" dxfId="767" priority="252">
      <formula>AND(AW23&lt;&gt;"",#REF!="",OR(COLUMN(AW23)=COLUMN(#REF!),COLUMN(AW23)=COLUMN(#REF!)))</formula>
    </cfRule>
  </conditionalFormatting>
  <conditionalFormatting sqref="AX23">
    <cfRule type="expression" dxfId="766" priority="251">
      <formula>AND(AX23&lt;&gt;"",#REF!="",OR(COLUMN(AX23)=COLUMN(#REF!),COLUMN(AX23)=COLUMN(#REF!)))</formula>
    </cfRule>
  </conditionalFormatting>
  <conditionalFormatting sqref="AW24">
    <cfRule type="expression" dxfId="765" priority="250">
      <formula>AND(AW24&lt;&gt;"",#REF!="",OR(COLUMN(AW24)=COLUMN(#REF!),COLUMN(AW24)=COLUMN(#REF!)))</formula>
    </cfRule>
  </conditionalFormatting>
  <conditionalFormatting sqref="AX24">
    <cfRule type="expression" dxfId="764" priority="249">
      <formula>AND(AX24&lt;&gt;"",#REF!="",OR(COLUMN(AX24)=COLUMN(#REF!),COLUMN(AX24)=COLUMN(#REF!)))</formula>
    </cfRule>
  </conditionalFormatting>
  <conditionalFormatting sqref="AW25">
    <cfRule type="expression" dxfId="763" priority="248">
      <formula>AND(AW25&lt;&gt;"",#REF!="",OR(COLUMN(AW25)=COLUMN(#REF!),COLUMN(AW25)=COLUMN(#REF!)))</formula>
    </cfRule>
  </conditionalFormatting>
  <conditionalFormatting sqref="AX25">
    <cfRule type="expression" dxfId="762" priority="247">
      <formula>AND(AX25&lt;&gt;"",#REF!="",OR(COLUMN(AX25)=COLUMN(#REF!),COLUMN(AX25)=COLUMN(#REF!)))</formula>
    </cfRule>
  </conditionalFormatting>
  <conditionalFormatting sqref="AW26">
    <cfRule type="expression" dxfId="761" priority="246">
      <formula>AND(AW26&lt;&gt;"",#REF!="",OR(COLUMN(AW26)=COLUMN(#REF!),COLUMN(AW26)=COLUMN(#REF!)))</formula>
    </cfRule>
  </conditionalFormatting>
  <conditionalFormatting sqref="AX26">
    <cfRule type="expression" dxfId="760" priority="245">
      <formula>AND(AX26&lt;&gt;"",#REF!="",OR(COLUMN(AX26)=COLUMN(#REF!),COLUMN(AX26)=COLUMN(#REF!)))</formula>
    </cfRule>
  </conditionalFormatting>
  <conditionalFormatting sqref="AW27">
    <cfRule type="expression" dxfId="759" priority="244">
      <formula>AND(AW27&lt;&gt;"",#REF!="",OR(COLUMN(AW27)=COLUMN(#REF!),COLUMN(AW27)=COLUMN(#REF!)))</formula>
    </cfRule>
  </conditionalFormatting>
  <conditionalFormatting sqref="AX27">
    <cfRule type="expression" dxfId="758" priority="243">
      <formula>AND(AX27&lt;&gt;"",#REF!="",OR(COLUMN(AX27)=COLUMN(#REF!),COLUMN(AX27)=COLUMN(#REF!)))</formula>
    </cfRule>
  </conditionalFormatting>
  <conditionalFormatting sqref="AW28">
    <cfRule type="expression" dxfId="757" priority="242">
      <formula>AND(AW28&lt;&gt;"",#REF!="",OR(COLUMN(AW28)=COLUMN(#REF!),COLUMN(AW28)=COLUMN(#REF!)))</formula>
    </cfRule>
  </conditionalFormatting>
  <conditionalFormatting sqref="AX28">
    <cfRule type="expression" dxfId="756" priority="241">
      <formula>AND(AX28&lt;&gt;"",#REF!="",OR(COLUMN(AX28)=COLUMN(#REF!),COLUMN(AX28)=COLUMN(#REF!)))</formula>
    </cfRule>
  </conditionalFormatting>
  <conditionalFormatting sqref="AW29">
    <cfRule type="expression" dxfId="755" priority="240">
      <formula>AND(AW29&lt;&gt;"",#REF!="",OR(COLUMN(AW29)=COLUMN(#REF!),COLUMN(AW29)=COLUMN(#REF!)))</formula>
    </cfRule>
  </conditionalFormatting>
  <conditionalFormatting sqref="AX29">
    <cfRule type="expression" dxfId="754" priority="239">
      <formula>AND(AX29&lt;&gt;"",#REF!="",OR(COLUMN(AX29)=COLUMN(#REF!),COLUMN(AX29)=COLUMN(#REF!)))</formula>
    </cfRule>
  </conditionalFormatting>
  <conditionalFormatting sqref="AW30">
    <cfRule type="expression" dxfId="753" priority="238">
      <formula>AND(AW30&lt;&gt;"",#REF!="",OR(COLUMN(AW30)=COLUMN(#REF!),COLUMN(AW30)=COLUMN(#REF!)))</formula>
    </cfRule>
  </conditionalFormatting>
  <conditionalFormatting sqref="AX30">
    <cfRule type="expression" dxfId="752" priority="237">
      <formula>AND(AX30&lt;&gt;"",#REF!="",OR(COLUMN(AX30)=COLUMN(#REF!),COLUMN(AX30)=COLUMN(#REF!)))</formula>
    </cfRule>
  </conditionalFormatting>
  <conditionalFormatting sqref="AW31">
    <cfRule type="expression" dxfId="751" priority="236">
      <formula>AND(AW31&lt;&gt;"",#REF!="",OR(COLUMN(AW31)=COLUMN(#REF!),COLUMN(AW31)=COLUMN(#REF!)))</formula>
    </cfRule>
  </conditionalFormatting>
  <conditionalFormatting sqref="AX31">
    <cfRule type="expression" dxfId="750" priority="235">
      <formula>AND(AX31&lt;&gt;"",#REF!="",OR(COLUMN(AX31)=COLUMN(#REF!),COLUMN(AX31)=COLUMN(#REF!)))</formula>
    </cfRule>
  </conditionalFormatting>
  <conditionalFormatting sqref="AW32">
    <cfRule type="expression" dxfId="749" priority="234">
      <formula>AND(AW32&lt;&gt;"",#REF!="",OR(COLUMN(AW32)=COLUMN(#REF!),COLUMN(AW32)=COLUMN(#REF!)))</formula>
    </cfRule>
  </conditionalFormatting>
  <conditionalFormatting sqref="AX32">
    <cfRule type="expression" dxfId="748" priority="233">
      <formula>AND(AX32&lt;&gt;"",#REF!="",OR(COLUMN(AX32)=COLUMN(#REF!),COLUMN(AX32)=COLUMN(#REF!)))</formula>
    </cfRule>
  </conditionalFormatting>
  <conditionalFormatting sqref="AW33">
    <cfRule type="expression" dxfId="747" priority="232">
      <formula>AND(AW33&lt;&gt;"",#REF!="",OR(COLUMN(AW33)=COLUMN(#REF!),COLUMN(AW33)=COLUMN(#REF!)))</formula>
    </cfRule>
  </conditionalFormatting>
  <conditionalFormatting sqref="AX33">
    <cfRule type="expression" dxfId="746" priority="231">
      <formula>AND(AX33&lt;&gt;"",#REF!="",OR(COLUMN(AX33)=COLUMN(#REF!),COLUMN(AX33)=COLUMN(#REF!)))</formula>
    </cfRule>
  </conditionalFormatting>
  <conditionalFormatting sqref="AW34">
    <cfRule type="expression" dxfId="745" priority="230">
      <formula>AND(AW34&lt;&gt;"",#REF!="",OR(COLUMN(AW34)=COLUMN(#REF!),COLUMN(AW34)=COLUMN(#REF!)))</formula>
    </cfRule>
  </conditionalFormatting>
  <conditionalFormatting sqref="AX34">
    <cfRule type="expression" dxfId="744" priority="229">
      <formula>AND(AX34&lt;&gt;"",#REF!="",OR(COLUMN(AX34)=COLUMN(#REF!),COLUMN(AX34)=COLUMN(#REF!)))</formula>
    </cfRule>
  </conditionalFormatting>
  <conditionalFormatting sqref="AW35">
    <cfRule type="expression" dxfId="743" priority="228">
      <formula>AND(AW35&lt;&gt;"",#REF!="",OR(COLUMN(AW35)=COLUMN(#REF!),COLUMN(AW35)=COLUMN(#REF!)))</formula>
    </cfRule>
  </conditionalFormatting>
  <conditionalFormatting sqref="AX35">
    <cfRule type="expression" dxfId="742" priority="227">
      <formula>AND(AX35&lt;&gt;"",#REF!="",OR(COLUMN(AX35)=COLUMN(#REF!),COLUMN(AX35)=COLUMN(#REF!)))</formula>
    </cfRule>
  </conditionalFormatting>
  <conditionalFormatting sqref="AW36">
    <cfRule type="expression" dxfId="741" priority="226">
      <formula>AND(AW36&lt;&gt;"",#REF!="",OR(COLUMN(AW36)=COLUMN(#REF!),COLUMN(AW36)=COLUMN(#REF!)))</formula>
    </cfRule>
  </conditionalFormatting>
  <conditionalFormatting sqref="AX36">
    <cfRule type="expression" dxfId="740" priority="225">
      <formula>AND(AX36&lt;&gt;"",#REF!="",OR(COLUMN(AX36)=COLUMN(#REF!),COLUMN(AX36)=COLUMN(#REF!)))</formula>
    </cfRule>
  </conditionalFormatting>
  <conditionalFormatting sqref="AW37">
    <cfRule type="expression" dxfId="739" priority="224">
      <formula>AND(AW37&lt;&gt;"",#REF!="",OR(COLUMN(AW37)=COLUMN(#REF!),COLUMN(AW37)=COLUMN(#REF!)))</formula>
    </cfRule>
  </conditionalFormatting>
  <conditionalFormatting sqref="AX37">
    <cfRule type="expression" dxfId="738" priority="223">
      <formula>AND(AX37&lt;&gt;"",#REF!="",OR(COLUMN(AX37)=COLUMN(#REF!),COLUMN(AX37)=COLUMN(#REF!)))</formula>
    </cfRule>
  </conditionalFormatting>
  <conditionalFormatting sqref="AW38">
    <cfRule type="expression" dxfId="737" priority="222">
      <formula>AND(AW38&lt;&gt;"",#REF!="",OR(COLUMN(AW38)=COLUMN(#REF!),COLUMN(AW38)=COLUMN(#REF!)))</formula>
    </cfRule>
  </conditionalFormatting>
  <conditionalFormatting sqref="AX38">
    <cfRule type="expression" dxfId="736" priority="221">
      <formula>AND(AX38&lt;&gt;"",#REF!="",OR(COLUMN(AX38)=COLUMN(#REF!),COLUMN(AX38)=COLUMN(#REF!)))</formula>
    </cfRule>
  </conditionalFormatting>
  <conditionalFormatting sqref="AW39">
    <cfRule type="expression" dxfId="735" priority="220">
      <formula>AND(AW39&lt;&gt;"",#REF!="",OR(COLUMN(AW39)=COLUMN(#REF!),COLUMN(AW39)=COLUMN(#REF!)))</formula>
    </cfRule>
  </conditionalFormatting>
  <conditionalFormatting sqref="AX39">
    <cfRule type="expression" dxfId="734" priority="219">
      <formula>AND(AX39&lt;&gt;"",#REF!="",OR(COLUMN(AX39)=COLUMN(#REF!),COLUMN(AX39)=COLUMN(#REF!)))</formula>
    </cfRule>
  </conditionalFormatting>
  <conditionalFormatting sqref="AW40">
    <cfRule type="expression" dxfId="733" priority="218">
      <formula>AND(AW40&lt;&gt;"",#REF!="",OR(COLUMN(AW40)=COLUMN(#REF!),COLUMN(AW40)=COLUMN(#REF!)))</formula>
    </cfRule>
  </conditionalFormatting>
  <conditionalFormatting sqref="AX40">
    <cfRule type="expression" dxfId="732" priority="217">
      <formula>AND(AX40&lt;&gt;"",#REF!="",OR(COLUMN(AX40)=COLUMN(#REF!),COLUMN(AX40)=COLUMN(#REF!)))</formula>
    </cfRule>
  </conditionalFormatting>
  <conditionalFormatting sqref="AW41">
    <cfRule type="expression" dxfId="731" priority="216">
      <formula>AND(AW41&lt;&gt;"",#REF!="",OR(COLUMN(AW41)=COLUMN(#REF!),COLUMN(AW41)=COLUMN(#REF!)))</formula>
    </cfRule>
  </conditionalFormatting>
  <conditionalFormatting sqref="AX41">
    <cfRule type="expression" dxfId="730" priority="215">
      <formula>AND(AX41&lt;&gt;"",#REF!="",OR(COLUMN(AX41)=COLUMN(#REF!),COLUMN(AX41)=COLUMN(#REF!)))</formula>
    </cfRule>
  </conditionalFormatting>
  <conditionalFormatting sqref="AW42">
    <cfRule type="expression" dxfId="729" priority="214">
      <formula>AND(AW42&lt;&gt;"",#REF!="",OR(COLUMN(AW42)=COLUMN(#REF!),COLUMN(AW42)=COLUMN(#REF!)))</formula>
    </cfRule>
  </conditionalFormatting>
  <conditionalFormatting sqref="AX42">
    <cfRule type="expression" dxfId="728" priority="213">
      <formula>AND(AX42&lt;&gt;"",#REF!="",OR(COLUMN(AX42)=COLUMN(#REF!),COLUMN(AX42)=COLUMN(#REF!)))</formula>
    </cfRule>
  </conditionalFormatting>
  <conditionalFormatting sqref="AW43">
    <cfRule type="expression" dxfId="727" priority="212">
      <formula>AND(AW43&lt;&gt;"",#REF!="",OR(COLUMN(AW43)=COLUMN(#REF!),COLUMN(AW43)=COLUMN(#REF!)))</formula>
    </cfRule>
  </conditionalFormatting>
  <conditionalFormatting sqref="AX43">
    <cfRule type="expression" dxfId="726" priority="211">
      <formula>AND(AX43&lt;&gt;"",#REF!="",OR(COLUMN(AX43)=COLUMN(#REF!),COLUMN(AX43)=COLUMN(#REF!)))</formula>
    </cfRule>
  </conditionalFormatting>
  <conditionalFormatting sqref="AW44">
    <cfRule type="expression" dxfId="725" priority="210">
      <formula>AND(AW44&lt;&gt;"",#REF!="",OR(COLUMN(AW44)=COLUMN(#REF!),COLUMN(AW44)=COLUMN(#REF!)))</formula>
    </cfRule>
  </conditionalFormatting>
  <conditionalFormatting sqref="AX44">
    <cfRule type="expression" dxfId="724" priority="209">
      <formula>AND(AX44&lt;&gt;"",#REF!="",OR(COLUMN(AX44)=COLUMN(#REF!),COLUMN(AX44)=COLUMN(#REF!)))</formula>
    </cfRule>
  </conditionalFormatting>
  <conditionalFormatting sqref="AW45">
    <cfRule type="expression" dxfId="723" priority="208">
      <formula>AND(AW45&lt;&gt;"",#REF!="",OR(COLUMN(AW45)=COLUMN(#REF!),COLUMN(AW45)=COLUMN(#REF!)))</formula>
    </cfRule>
  </conditionalFormatting>
  <conditionalFormatting sqref="AX45">
    <cfRule type="expression" dxfId="722" priority="207">
      <formula>AND(AX45&lt;&gt;"",#REF!="",OR(COLUMN(AX45)=COLUMN(#REF!),COLUMN(AX45)=COLUMN(#REF!)))</formula>
    </cfRule>
  </conditionalFormatting>
  <conditionalFormatting sqref="AW46">
    <cfRule type="expression" dxfId="721" priority="206">
      <formula>AND(AW46&lt;&gt;"",#REF!="",OR(COLUMN(AW46)=COLUMN(#REF!),COLUMN(AW46)=COLUMN(#REF!)))</formula>
    </cfRule>
  </conditionalFormatting>
  <conditionalFormatting sqref="AX46">
    <cfRule type="expression" dxfId="720" priority="205">
      <formula>AND(AX46&lt;&gt;"",#REF!="",OR(COLUMN(AX46)=COLUMN(#REF!),COLUMN(AX46)=COLUMN(#REF!)))</formula>
    </cfRule>
  </conditionalFormatting>
  <conditionalFormatting sqref="AW47">
    <cfRule type="expression" dxfId="719" priority="204">
      <formula>AND(AW47&lt;&gt;"",#REF!="",OR(COLUMN(AW47)=COLUMN(#REF!),COLUMN(AW47)=COLUMN(#REF!)))</formula>
    </cfRule>
  </conditionalFormatting>
  <conditionalFormatting sqref="AX47">
    <cfRule type="expression" dxfId="718" priority="203">
      <formula>AND(AX47&lt;&gt;"",#REF!="",OR(COLUMN(AX47)=COLUMN(#REF!),COLUMN(AX47)=COLUMN(#REF!)))</formula>
    </cfRule>
  </conditionalFormatting>
  <conditionalFormatting sqref="AW48">
    <cfRule type="expression" dxfId="717" priority="202">
      <formula>AND(AW48&lt;&gt;"",#REF!="",OR(COLUMN(AW48)=COLUMN(#REF!),COLUMN(AW48)=COLUMN(#REF!)))</formula>
    </cfRule>
  </conditionalFormatting>
  <conditionalFormatting sqref="AX48">
    <cfRule type="expression" dxfId="716" priority="201">
      <formula>AND(AX48&lt;&gt;"",#REF!="",OR(COLUMN(AX48)=COLUMN(#REF!),COLUMN(AX48)=COLUMN(#REF!)))</formula>
    </cfRule>
  </conditionalFormatting>
  <conditionalFormatting sqref="AW49">
    <cfRule type="expression" dxfId="715" priority="200">
      <formula>AND(AW49&lt;&gt;"",#REF!="",OR(COLUMN(AW49)=COLUMN(#REF!),COLUMN(AW49)=COLUMN(#REF!)))</formula>
    </cfRule>
  </conditionalFormatting>
  <conditionalFormatting sqref="AX49">
    <cfRule type="expression" dxfId="714" priority="199">
      <formula>AND(AX49&lt;&gt;"",#REF!="",OR(COLUMN(AX49)=COLUMN(#REF!),COLUMN(AX49)=COLUMN(#REF!)))</formula>
    </cfRule>
  </conditionalFormatting>
  <conditionalFormatting sqref="AW50">
    <cfRule type="expression" dxfId="713" priority="198">
      <formula>AND(AW50&lt;&gt;"",#REF!="",OR(COLUMN(AW50)=COLUMN(#REF!),COLUMN(AW50)=COLUMN(#REF!)))</formula>
    </cfRule>
  </conditionalFormatting>
  <conditionalFormatting sqref="AX50">
    <cfRule type="expression" dxfId="712" priority="197">
      <formula>AND(AX50&lt;&gt;"",#REF!="",OR(COLUMN(AX50)=COLUMN(#REF!),COLUMN(AX50)=COLUMN(#REF!)))</formula>
    </cfRule>
  </conditionalFormatting>
  <conditionalFormatting sqref="AW51">
    <cfRule type="expression" dxfId="711" priority="196">
      <formula>AND(AW51&lt;&gt;"",#REF!="",OR(COLUMN(AW51)=COLUMN(#REF!),COLUMN(AW51)=COLUMN(#REF!)))</formula>
    </cfRule>
  </conditionalFormatting>
  <conditionalFormatting sqref="AX51">
    <cfRule type="expression" dxfId="710" priority="195">
      <formula>AND(AX51&lt;&gt;"",#REF!="",OR(COLUMN(AX51)=COLUMN(#REF!),COLUMN(AX51)=COLUMN(#REF!)))</formula>
    </cfRule>
  </conditionalFormatting>
  <conditionalFormatting sqref="AW52">
    <cfRule type="expression" dxfId="709" priority="194">
      <formula>AND(AW52&lt;&gt;"",#REF!="",OR(COLUMN(AW52)=COLUMN(#REF!),COLUMN(AW52)=COLUMN(#REF!)))</formula>
    </cfRule>
  </conditionalFormatting>
  <conditionalFormatting sqref="AX52">
    <cfRule type="expression" dxfId="708" priority="193">
      <formula>AND(AX52&lt;&gt;"",#REF!="",OR(COLUMN(AX52)=COLUMN(#REF!),COLUMN(AX52)=COLUMN(#REF!)))</formula>
    </cfRule>
  </conditionalFormatting>
  <conditionalFormatting sqref="AW53">
    <cfRule type="expression" dxfId="707" priority="192">
      <formula>AND(AW53&lt;&gt;"",#REF!="",OR(COLUMN(AW53)=COLUMN(#REF!),COLUMN(AW53)=COLUMN(#REF!)))</formula>
    </cfRule>
  </conditionalFormatting>
  <conditionalFormatting sqref="AX53">
    <cfRule type="expression" dxfId="706" priority="191">
      <formula>AND(AX53&lt;&gt;"",#REF!="",OR(COLUMN(AX53)=COLUMN(#REF!),COLUMN(AX53)=COLUMN(#REF!)))</formula>
    </cfRule>
  </conditionalFormatting>
  <conditionalFormatting sqref="AW54">
    <cfRule type="expression" dxfId="705" priority="190">
      <formula>AND(AW54&lt;&gt;"",#REF!="",OR(COLUMN(AW54)=COLUMN(#REF!),COLUMN(AW54)=COLUMN(#REF!)))</formula>
    </cfRule>
  </conditionalFormatting>
  <conditionalFormatting sqref="AX54">
    <cfRule type="expression" dxfId="704" priority="189">
      <formula>AND(AX54&lt;&gt;"",#REF!="",OR(COLUMN(AX54)=COLUMN(#REF!),COLUMN(AX54)=COLUMN(#REF!)))</formula>
    </cfRule>
  </conditionalFormatting>
  <conditionalFormatting sqref="AW55">
    <cfRule type="expression" dxfId="703" priority="188">
      <formula>AND(AW55&lt;&gt;"",#REF!="",OR(COLUMN(AW55)=COLUMN(#REF!),COLUMN(AW55)=COLUMN(#REF!)))</formula>
    </cfRule>
  </conditionalFormatting>
  <conditionalFormatting sqref="AX55">
    <cfRule type="expression" dxfId="702" priority="187">
      <formula>AND(AX55&lt;&gt;"",#REF!="",OR(COLUMN(AX55)=COLUMN(#REF!),COLUMN(AX55)=COLUMN(#REF!)))</formula>
    </cfRule>
  </conditionalFormatting>
  <conditionalFormatting sqref="AW56">
    <cfRule type="expression" dxfId="701" priority="186">
      <formula>AND(AW56&lt;&gt;"",#REF!="",OR(COLUMN(AW56)=COLUMN(#REF!),COLUMN(AW56)=COLUMN(#REF!)))</formula>
    </cfRule>
  </conditionalFormatting>
  <conditionalFormatting sqref="AX56">
    <cfRule type="expression" dxfId="700" priority="185">
      <formula>AND(AX56&lt;&gt;"",#REF!="",OR(COLUMN(AX56)=COLUMN(#REF!),COLUMN(AX56)=COLUMN(#REF!)))</formula>
    </cfRule>
  </conditionalFormatting>
  <conditionalFormatting sqref="AW57">
    <cfRule type="expression" dxfId="699" priority="184">
      <formula>AND(AW57&lt;&gt;"",#REF!="",OR(COLUMN(AW57)=COLUMN(#REF!),COLUMN(AW57)=COLUMN(#REF!)))</formula>
    </cfRule>
  </conditionalFormatting>
  <conditionalFormatting sqref="AX57">
    <cfRule type="expression" dxfId="698" priority="183">
      <formula>AND(AX57&lt;&gt;"",#REF!="",OR(COLUMN(AX57)=COLUMN(#REF!),COLUMN(AX57)=COLUMN(#REF!)))</formula>
    </cfRule>
  </conditionalFormatting>
  <conditionalFormatting sqref="AW58">
    <cfRule type="expression" dxfId="697" priority="182">
      <formula>AND(AW58&lt;&gt;"",#REF!="",OR(COLUMN(AW58)=COLUMN(#REF!),COLUMN(AW58)=COLUMN(#REF!)))</formula>
    </cfRule>
  </conditionalFormatting>
  <conditionalFormatting sqref="AX58">
    <cfRule type="expression" dxfId="696" priority="181">
      <formula>AND(AX58&lt;&gt;"",#REF!="",OR(COLUMN(AX58)=COLUMN(#REF!),COLUMN(AX58)=COLUMN(#REF!)))</formula>
    </cfRule>
  </conditionalFormatting>
  <conditionalFormatting sqref="AW59">
    <cfRule type="expression" dxfId="695" priority="180">
      <formula>AND(AW59&lt;&gt;"",#REF!="",OR(COLUMN(AW59)=COLUMN(#REF!),COLUMN(AW59)=COLUMN(#REF!)))</formula>
    </cfRule>
  </conditionalFormatting>
  <conditionalFormatting sqref="AX59">
    <cfRule type="expression" dxfId="694" priority="179">
      <formula>AND(AX59&lt;&gt;"",#REF!="",OR(COLUMN(AX59)=COLUMN(#REF!),COLUMN(AX59)=COLUMN(#REF!)))</formula>
    </cfRule>
  </conditionalFormatting>
  <conditionalFormatting sqref="AW60">
    <cfRule type="expression" dxfId="693" priority="178">
      <formula>AND(AW60&lt;&gt;"",#REF!="",OR(COLUMN(AW60)=COLUMN(#REF!),COLUMN(AW60)=COLUMN(#REF!)))</formula>
    </cfRule>
  </conditionalFormatting>
  <conditionalFormatting sqref="AX60">
    <cfRule type="expression" dxfId="692" priority="177">
      <formula>AND(AX60&lt;&gt;"",#REF!="",OR(COLUMN(AX60)=COLUMN(#REF!),COLUMN(AX60)=COLUMN(#REF!)))</formula>
    </cfRule>
  </conditionalFormatting>
  <conditionalFormatting sqref="AW61">
    <cfRule type="expression" dxfId="691" priority="176">
      <formula>AND(AW61&lt;&gt;"",#REF!="",OR(COLUMN(AW61)=COLUMN(#REF!),COLUMN(AW61)=COLUMN(#REF!)))</formula>
    </cfRule>
  </conditionalFormatting>
  <conditionalFormatting sqref="AX61">
    <cfRule type="expression" dxfId="690" priority="175">
      <formula>AND(AX61&lt;&gt;"",#REF!="",OR(COLUMN(AX61)=COLUMN(#REF!),COLUMN(AX61)=COLUMN(#REF!)))</formula>
    </cfRule>
  </conditionalFormatting>
  <conditionalFormatting sqref="AW62">
    <cfRule type="expression" dxfId="689" priority="174">
      <formula>AND(AW62&lt;&gt;"",#REF!="",OR(COLUMN(AW62)=COLUMN(#REF!),COLUMN(AW62)=COLUMN(#REF!)))</formula>
    </cfRule>
  </conditionalFormatting>
  <conditionalFormatting sqref="AX62">
    <cfRule type="expression" dxfId="688" priority="173">
      <formula>AND(AX62&lt;&gt;"",#REF!="",OR(COLUMN(AX62)=COLUMN(#REF!),COLUMN(AX62)=COLUMN(#REF!)))</formula>
    </cfRule>
  </conditionalFormatting>
  <conditionalFormatting sqref="AW63">
    <cfRule type="expression" dxfId="687" priority="172">
      <formula>AND(AW63&lt;&gt;"",#REF!="",OR(COLUMN(AW63)=COLUMN(#REF!),COLUMN(AW63)=COLUMN(#REF!)))</formula>
    </cfRule>
  </conditionalFormatting>
  <conditionalFormatting sqref="AX63">
    <cfRule type="expression" dxfId="686" priority="171">
      <formula>AND(AX63&lt;&gt;"",#REF!="",OR(COLUMN(AX63)=COLUMN(#REF!),COLUMN(AX63)=COLUMN(#REF!)))</formula>
    </cfRule>
  </conditionalFormatting>
  <conditionalFormatting sqref="AW64">
    <cfRule type="expression" dxfId="685" priority="170">
      <formula>AND(AW64&lt;&gt;"",#REF!="",OR(COLUMN(AW64)=COLUMN(#REF!),COLUMN(AW64)=COLUMN(#REF!)))</formula>
    </cfRule>
  </conditionalFormatting>
  <conditionalFormatting sqref="AX64">
    <cfRule type="expression" dxfId="684" priority="169">
      <formula>AND(AX64&lt;&gt;"",#REF!="",OR(COLUMN(AX64)=COLUMN(#REF!),COLUMN(AX64)=COLUMN(#REF!)))</formula>
    </cfRule>
  </conditionalFormatting>
  <conditionalFormatting sqref="AW65">
    <cfRule type="expression" dxfId="683" priority="168">
      <formula>AND(AW65&lt;&gt;"",#REF!="",OR(COLUMN(AW65)=COLUMN(#REF!),COLUMN(AW65)=COLUMN(#REF!)))</formula>
    </cfRule>
  </conditionalFormatting>
  <conditionalFormatting sqref="AX65">
    <cfRule type="expression" dxfId="682" priority="167">
      <formula>AND(AX65&lt;&gt;"",#REF!="",OR(COLUMN(AX65)=COLUMN(#REF!),COLUMN(AX65)=COLUMN(#REF!)))</formula>
    </cfRule>
  </conditionalFormatting>
  <conditionalFormatting sqref="AW66">
    <cfRule type="expression" dxfId="681" priority="166">
      <formula>AND(AW66&lt;&gt;"",#REF!="",OR(COLUMN(AW66)=COLUMN(#REF!),COLUMN(AW66)=COLUMN(#REF!)))</formula>
    </cfRule>
  </conditionalFormatting>
  <conditionalFormatting sqref="AX66">
    <cfRule type="expression" dxfId="680" priority="165">
      <formula>AND(AX66&lt;&gt;"",#REF!="",OR(COLUMN(AX66)=COLUMN(#REF!),COLUMN(AX66)=COLUMN(#REF!)))</formula>
    </cfRule>
  </conditionalFormatting>
  <conditionalFormatting sqref="AW67">
    <cfRule type="expression" dxfId="679" priority="164">
      <formula>AND(AW67&lt;&gt;"",#REF!="",OR(COLUMN(AW67)=COLUMN(#REF!),COLUMN(AW67)=COLUMN(#REF!)))</formula>
    </cfRule>
  </conditionalFormatting>
  <conditionalFormatting sqref="AX67">
    <cfRule type="expression" dxfId="678" priority="163">
      <formula>AND(AX67&lt;&gt;"",#REF!="",OR(COLUMN(AX67)=COLUMN(#REF!),COLUMN(AX67)=COLUMN(#REF!)))</formula>
    </cfRule>
  </conditionalFormatting>
  <conditionalFormatting sqref="AW68">
    <cfRule type="expression" dxfId="677" priority="162">
      <formula>AND(AW68&lt;&gt;"",#REF!="",OR(COLUMN(AW68)=COLUMN(#REF!),COLUMN(AW68)=COLUMN(#REF!)))</formula>
    </cfRule>
  </conditionalFormatting>
  <conditionalFormatting sqref="AX68">
    <cfRule type="expression" dxfId="676" priority="161">
      <formula>AND(AX68&lt;&gt;"",#REF!="",OR(COLUMN(AX68)=COLUMN(#REF!),COLUMN(AX68)=COLUMN(#REF!)))</formula>
    </cfRule>
  </conditionalFormatting>
  <conditionalFormatting sqref="AW69">
    <cfRule type="expression" dxfId="675" priority="160">
      <formula>AND(AW69&lt;&gt;"",#REF!="",OR(COLUMN(AW69)=COLUMN(#REF!),COLUMN(AW69)=COLUMN(#REF!)))</formula>
    </cfRule>
  </conditionalFormatting>
  <conditionalFormatting sqref="AX69">
    <cfRule type="expression" dxfId="674" priority="159">
      <formula>AND(AX69&lt;&gt;"",#REF!="",OR(COLUMN(AX69)=COLUMN(#REF!),COLUMN(AX69)=COLUMN(#REF!)))</formula>
    </cfRule>
  </conditionalFormatting>
  <conditionalFormatting sqref="AW70">
    <cfRule type="expression" dxfId="673" priority="158">
      <formula>AND(AW70&lt;&gt;"",#REF!="",OR(COLUMN(AW70)=COLUMN(#REF!),COLUMN(AW70)=COLUMN(#REF!)))</formula>
    </cfRule>
  </conditionalFormatting>
  <conditionalFormatting sqref="AX70">
    <cfRule type="expression" dxfId="672" priority="157">
      <formula>AND(AX70&lt;&gt;"",#REF!="",OR(COLUMN(AX70)=COLUMN(#REF!),COLUMN(AX70)=COLUMN(#REF!)))</formula>
    </cfRule>
  </conditionalFormatting>
  <conditionalFormatting sqref="AW71">
    <cfRule type="expression" dxfId="671" priority="156">
      <formula>AND(AW71&lt;&gt;"",#REF!="",OR(COLUMN(AW71)=COLUMN(#REF!),COLUMN(AW71)=COLUMN(#REF!)))</formula>
    </cfRule>
  </conditionalFormatting>
  <conditionalFormatting sqref="AX71">
    <cfRule type="expression" dxfId="670" priority="155">
      <formula>AND(AX71&lt;&gt;"",#REF!="",OR(COLUMN(AX71)=COLUMN(#REF!),COLUMN(AX71)=COLUMN(#REF!)))</formula>
    </cfRule>
  </conditionalFormatting>
  <conditionalFormatting sqref="AW72">
    <cfRule type="expression" dxfId="669" priority="154">
      <formula>AND(AW72&lt;&gt;"",#REF!="",OR(COLUMN(AW72)=COLUMN(#REF!),COLUMN(AW72)=COLUMN(#REF!)))</formula>
    </cfRule>
  </conditionalFormatting>
  <conditionalFormatting sqref="AX72">
    <cfRule type="expression" dxfId="668" priority="153">
      <formula>AND(AX72&lt;&gt;"",#REF!="",OR(COLUMN(AX72)=COLUMN(#REF!),COLUMN(AX72)=COLUMN(#REF!)))</formula>
    </cfRule>
  </conditionalFormatting>
  <conditionalFormatting sqref="AW73">
    <cfRule type="expression" dxfId="667" priority="152">
      <formula>AND(AW73&lt;&gt;"",#REF!="",OR(COLUMN(AW73)=COLUMN(#REF!),COLUMN(AW73)=COLUMN(#REF!)))</formula>
    </cfRule>
  </conditionalFormatting>
  <conditionalFormatting sqref="AX73">
    <cfRule type="expression" dxfId="666" priority="151">
      <formula>AND(AX73&lt;&gt;"",#REF!="",OR(COLUMN(AX73)=COLUMN(#REF!),COLUMN(AX73)=COLUMN(#REF!)))</formula>
    </cfRule>
  </conditionalFormatting>
  <conditionalFormatting sqref="AW74">
    <cfRule type="expression" dxfId="665" priority="150">
      <formula>AND(AW74&lt;&gt;"",#REF!="",OR(COLUMN(AW74)=COLUMN(#REF!),COLUMN(AW74)=COLUMN(#REF!)))</formula>
    </cfRule>
  </conditionalFormatting>
  <conditionalFormatting sqref="AX74">
    <cfRule type="expression" dxfId="664" priority="149">
      <formula>AND(AX74&lt;&gt;"",#REF!="",OR(COLUMN(AX74)=COLUMN(#REF!),COLUMN(AX74)=COLUMN(#REF!)))</formula>
    </cfRule>
  </conditionalFormatting>
  <conditionalFormatting sqref="AW75">
    <cfRule type="expression" dxfId="663" priority="148">
      <formula>AND(AW75&lt;&gt;"",#REF!="",OR(COLUMN(AW75)=COLUMN(#REF!),COLUMN(AW75)=COLUMN(#REF!)))</formula>
    </cfRule>
  </conditionalFormatting>
  <conditionalFormatting sqref="AX75">
    <cfRule type="expression" dxfId="662" priority="147">
      <formula>AND(AX75&lt;&gt;"",#REF!="",OR(COLUMN(AX75)=COLUMN(#REF!),COLUMN(AX75)=COLUMN(#REF!)))</formula>
    </cfRule>
  </conditionalFormatting>
  <conditionalFormatting sqref="AW76">
    <cfRule type="expression" dxfId="661" priority="146">
      <formula>AND(AW76&lt;&gt;"",#REF!="",OR(COLUMN(AW76)=COLUMN(#REF!),COLUMN(AW76)=COLUMN(#REF!)))</formula>
    </cfRule>
  </conditionalFormatting>
  <conditionalFormatting sqref="AX76">
    <cfRule type="expression" dxfId="660" priority="145">
      <formula>AND(AX76&lt;&gt;"",#REF!="",OR(COLUMN(AX76)=COLUMN(#REF!),COLUMN(AX76)=COLUMN(#REF!)))</formula>
    </cfRule>
  </conditionalFormatting>
  <conditionalFormatting sqref="AW77">
    <cfRule type="expression" dxfId="659" priority="144">
      <formula>AND(AW77&lt;&gt;"",#REF!="",OR(COLUMN(AW77)=COLUMN(#REF!),COLUMN(AW77)=COLUMN(#REF!)))</formula>
    </cfRule>
  </conditionalFormatting>
  <conditionalFormatting sqref="AX77">
    <cfRule type="expression" dxfId="658" priority="143">
      <formula>AND(AX77&lt;&gt;"",#REF!="",OR(COLUMN(AX77)=COLUMN(#REF!),COLUMN(AX77)=COLUMN(#REF!)))</formula>
    </cfRule>
  </conditionalFormatting>
  <conditionalFormatting sqref="AW78">
    <cfRule type="expression" dxfId="657" priority="142">
      <formula>AND(AW78&lt;&gt;"",#REF!="",OR(COLUMN(AW78)=COLUMN(#REF!),COLUMN(AW78)=COLUMN(#REF!)))</formula>
    </cfRule>
  </conditionalFormatting>
  <conditionalFormatting sqref="AX78">
    <cfRule type="expression" dxfId="656" priority="141">
      <formula>AND(AX78&lt;&gt;"",#REF!="",OR(COLUMN(AX78)=COLUMN(#REF!),COLUMN(AX78)=COLUMN(#REF!)))</formula>
    </cfRule>
  </conditionalFormatting>
  <conditionalFormatting sqref="AW79">
    <cfRule type="expression" dxfId="655" priority="140">
      <formula>AND(AW79&lt;&gt;"",#REF!="",OR(COLUMN(AW79)=COLUMN(#REF!),COLUMN(AW79)=COLUMN(#REF!)))</formula>
    </cfRule>
  </conditionalFormatting>
  <conditionalFormatting sqref="AX79">
    <cfRule type="expression" dxfId="654" priority="139">
      <formula>AND(AX79&lt;&gt;"",#REF!="",OR(COLUMN(AX79)=COLUMN(#REF!),COLUMN(AX79)=COLUMN(#REF!)))</formula>
    </cfRule>
  </conditionalFormatting>
  <conditionalFormatting sqref="AW80">
    <cfRule type="expression" dxfId="653" priority="138">
      <formula>AND(AW80&lt;&gt;"",#REF!="",OR(COLUMN(AW80)=COLUMN(#REF!),COLUMN(AW80)=COLUMN(#REF!)))</formula>
    </cfRule>
  </conditionalFormatting>
  <conditionalFormatting sqref="AX80">
    <cfRule type="expression" dxfId="652" priority="137">
      <formula>AND(AX80&lt;&gt;"",#REF!="",OR(COLUMN(AX80)=COLUMN(#REF!),COLUMN(AX80)=COLUMN(#REF!)))</formula>
    </cfRule>
  </conditionalFormatting>
  <conditionalFormatting sqref="AW81">
    <cfRule type="expression" dxfId="651" priority="136">
      <formula>AND(AW81&lt;&gt;"",#REF!="",OR(COLUMN(AW81)=COLUMN(#REF!),COLUMN(AW81)=COLUMN(#REF!)))</formula>
    </cfRule>
  </conditionalFormatting>
  <conditionalFormatting sqref="AX81">
    <cfRule type="expression" dxfId="650" priority="135">
      <formula>AND(AX81&lt;&gt;"",#REF!="",OR(COLUMN(AX81)=COLUMN(#REF!),COLUMN(AX81)=COLUMN(#REF!)))</formula>
    </cfRule>
  </conditionalFormatting>
  <conditionalFormatting sqref="AW82">
    <cfRule type="expression" dxfId="649" priority="134">
      <formula>AND(AW82&lt;&gt;"",#REF!="",OR(COLUMN(AW82)=COLUMN(#REF!),COLUMN(AW82)=COLUMN(#REF!)))</formula>
    </cfRule>
  </conditionalFormatting>
  <conditionalFormatting sqref="AX82">
    <cfRule type="expression" dxfId="648" priority="133">
      <formula>AND(AX82&lt;&gt;"",#REF!="",OR(COLUMN(AX82)=COLUMN(#REF!),COLUMN(AX82)=COLUMN(#REF!)))</formula>
    </cfRule>
  </conditionalFormatting>
  <conditionalFormatting sqref="AW83">
    <cfRule type="expression" dxfId="647" priority="132">
      <formula>AND(AW83&lt;&gt;"",#REF!="",OR(COLUMN(AW83)=COLUMN(#REF!),COLUMN(AW83)=COLUMN(#REF!)))</formula>
    </cfRule>
  </conditionalFormatting>
  <conditionalFormatting sqref="AX83">
    <cfRule type="expression" dxfId="646" priority="131">
      <formula>AND(AX83&lt;&gt;"",#REF!="",OR(COLUMN(AX83)=COLUMN(#REF!),COLUMN(AX83)=COLUMN(#REF!)))</formula>
    </cfRule>
  </conditionalFormatting>
  <conditionalFormatting sqref="AW84">
    <cfRule type="expression" dxfId="645" priority="130">
      <formula>AND(AW84&lt;&gt;"",#REF!="",OR(COLUMN(AW84)=COLUMN(#REF!),COLUMN(AW84)=COLUMN(#REF!)))</formula>
    </cfRule>
  </conditionalFormatting>
  <conditionalFormatting sqref="AX84">
    <cfRule type="expression" dxfId="644" priority="129">
      <formula>AND(AX84&lt;&gt;"",#REF!="",OR(COLUMN(AX84)=COLUMN(#REF!),COLUMN(AX84)=COLUMN(#REF!)))</formula>
    </cfRule>
  </conditionalFormatting>
  <conditionalFormatting sqref="AW85">
    <cfRule type="expression" dxfId="643" priority="128">
      <formula>AND(AW85&lt;&gt;"",#REF!="",OR(COLUMN(AW85)=COLUMN(#REF!),COLUMN(AW85)=COLUMN(#REF!)))</formula>
    </cfRule>
  </conditionalFormatting>
  <conditionalFormatting sqref="AX85">
    <cfRule type="expression" dxfId="642" priority="127">
      <formula>AND(AX85&lt;&gt;"",#REF!="",OR(COLUMN(AX85)=COLUMN(#REF!),COLUMN(AX85)=COLUMN(#REF!)))</formula>
    </cfRule>
  </conditionalFormatting>
  <conditionalFormatting sqref="AW86">
    <cfRule type="expression" dxfId="641" priority="126">
      <formula>AND(AW86&lt;&gt;"",#REF!="",OR(COLUMN(AW86)=COLUMN(#REF!),COLUMN(AW86)=COLUMN(#REF!)))</formula>
    </cfRule>
  </conditionalFormatting>
  <conditionalFormatting sqref="AX86">
    <cfRule type="expression" dxfId="640" priority="125">
      <formula>AND(AX86&lt;&gt;"",#REF!="",OR(COLUMN(AX86)=COLUMN(#REF!),COLUMN(AX86)=COLUMN(#REF!)))</formula>
    </cfRule>
  </conditionalFormatting>
  <conditionalFormatting sqref="AW87">
    <cfRule type="expression" dxfId="639" priority="124">
      <formula>AND(AW87&lt;&gt;"",#REF!="",OR(COLUMN(AW87)=COLUMN(#REF!),COLUMN(AW87)=COLUMN(#REF!)))</formula>
    </cfRule>
  </conditionalFormatting>
  <conditionalFormatting sqref="AX87">
    <cfRule type="expression" dxfId="638" priority="123">
      <formula>AND(AX87&lt;&gt;"",#REF!="",OR(COLUMN(AX87)=COLUMN(#REF!),COLUMN(AX87)=COLUMN(#REF!)))</formula>
    </cfRule>
  </conditionalFormatting>
  <conditionalFormatting sqref="AW88">
    <cfRule type="expression" dxfId="637" priority="122">
      <formula>AND(AW88&lt;&gt;"",#REF!="",OR(COLUMN(AW88)=COLUMN(#REF!),COLUMN(AW88)=COLUMN(#REF!)))</formula>
    </cfRule>
  </conditionalFormatting>
  <conditionalFormatting sqref="AX88">
    <cfRule type="expression" dxfId="636" priority="121">
      <formula>AND(AX88&lt;&gt;"",#REF!="",OR(COLUMN(AX88)=COLUMN(#REF!),COLUMN(AX88)=COLUMN(#REF!)))</formula>
    </cfRule>
  </conditionalFormatting>
  <conditionalFormatting sqref="AW89">
    <cfRule type="expression" dxfId="635" priority="120">
      <formula>AND(AW89&lt;&gt;"",#REF!="",OR(COLUMN(AW89)=COLUMN(#REF!),COLUMN(AW89)=COLUMN(#REF!)))</formula>
    </cfRule>
  </conditionalFormatting>
  <conditionalFormatting sqref="AX89">
    <cfRule type="expression" dxfId="634" priority="119">
      <formula>AND(AX89&lt;&gt;"",#REF!="",OR(COLUMN(AX89)=COLUMN(#REF!),COLUMN(AX89)=COLUMN(#REF!)))</formula>
    </cfRule>
  </conditionalFormatting>
  <conditionalFormatting sqref="AW90">
    <cfRule type="expression" dxfId="633" priority="118">
      <formula>AND(AW90&lt;&gt;"",#REF!="",OR(COLUMN(AW90)=COLUMN(#REF!),COLUMN(AW90)=COLUMN(#REF!)))</formula>
    </cfRule>
  </conditionalFormatting>
  <conditionalFormatting sqref="AX90">
    <cfRule type="expression" dxfId="632" priority="117">
      <formula>AND(AX90&lt;&gt;"",#REF!="",OR(COLUMN(AX90)=COLUMN(#REF!),COLUMN(AX90)=COLUMN(#REF!)))</formula>
    </cfRule>
  </conditionalFormatting>
  <conditionalFormatting sqref="AW91">
    <cfRule type="expression" dxfId="631" priority="116">
      <formula>AND(AW91&lt;&gt;"",#REF!="",OR(COLUMN(AW91)=COLUMN(#REF!),COLUMN(AW91)=COLUMN(#REF!)))</formula>
    </cfRule>
  </conditionalFormatting>
  <conditionalFormatting sqref="AX91">
    <cfRule type="expression" dxfId="630" priority="115">
      <formula>AND(AX91&lt;&gt;"",#REF!="",OR(COLUMN(AX91)=COLUMN(#REF!),COLUMN(AX91)=COLUMN(#REF!)))</formula>
    </cfRule>
  </conditionalFormatting>
  <conditionalFormatting sqref="AW92">
    <cfRule type="expression" dxfId="629" priority="114">
      <formula>AND(AW92&lt;&gt;"",#REF!="",OR(COLUMN(AW92)=COLUMN(#REF!),COLUMN(AW92)=COLUMN(#REF!)))</formula>
    </cfRule>
  </conditionalFormatting>
  <conditionalFormatting sqref="AX92">
    <cfRule type="expression" dxfId="628" priority="113">
      <formula>AND(AX92&lt;&gt;"",#REF!="",OR(COLUMN(AX92)=COLUMN(#REF!),COLUMN(AX92)=COLUMN(#REF!)))</formula>
    </cfRule>
  </conditionalFormatting>
  <conditionalFormatting sqref="AW93">
    <cfRule type="expression" dxfId="627" priority="112">
      <formula>AND(AW93&lt;&gt;"",#REF!="",OR(COLUMN(AW93)=COLUMN(#REF!),COLUMN(AW93)=COLUMN(#REF!)))</formula>
    </cfRule>
  </conditionalFormatting>
  <conditionalFormatting sqref="AX93">
    <cfRule type="expression" dxfId="626" priority="111">
      <formula>AND(AX93&lt;&gt;"",#REF!="",OR(COLUMN(AX93)=COLUMN(#REF!),COLUMN(AX93)=COLUMN(#REF!)))</formula>
    </cfRule>
  </conditionalFormatting>
  <conditionalFormatting sqref="AW94">
    <cfRule type="expression" dxfId="625" priority="110">
      <formula>AND(AW94&lt;&gt;"",#REF!="",OR(COLUMN(AW94)=COLUMN(#REF!),COLUMN(AW94)=COLUMN(#REF!)))</formula>
    </cfRule>
  </conditionalFormatting>
  <conditionalFormatting sqref="AX94">
    <cfRule type="expression" dxfId="624" priority="109">
      <formula>AND(AX94&lt;&gt;"",#REF!="",OR(COLUMN(AX94)=COLUMN(#REF!),COLUMN(AX94)=COLUMN(#REF!)))</formula>
    </cfRule>
  </conditionalFormatting>
  <conditionalFormatting sqref="AW95">
    <cfRule type="expression" dxfId="623" priority="108">
      <formula>AND(AW95&lt;&gt;"",#REF!="",OR(COLUMN(AW95)=COLUMN(#REF!),COLUMN(AW95)=COLUMN(#REF!)))</formula>
    </cfRule>
  </conditionalFormatting>
  <conditionalFormatting sqref="AX95">
    <cfRule type="expression" dxfId="622" priority="107">
      <formula>AND(AX95&lt;&gt;"",#REF!="",OR(COLUMN(AX95)=COLUMN(#REF!),COLUMN(AX95)=COLUMN(#REF!)))</formula>
    </cfRule>
  </conditionalFormatting>
  <conditionalFormatting sqref="AW96">
    <cfRule type="expression" dxfId="621" priority="106">
      <formula>AND(AW96&lt;&gt;"",#REF!="",OR(COLUMN(AW96)=COLUMN(#REF!),COLUMN(AW96)=COLUMN(#REF!)))</formula>
    </cfRule>
  </conditionalFormatting>
  <conditionalFormatting sqref="AX96">
    <cfRule type="expression" dxfId="620" priority="105">
      <formula>AND(AX96&lt;&gt;"",#REF!="",OR(COLUMN(AX96)=COLUMN(#REF!),COLUMN(AX96)=COLUMN(#REF!)))</formula>
    </cfRule>
  </conditionalFormatting>
  <conditionalFormatting sqref="AW97">
    <cfRule type="expression" dxfId="619" priority="104">
      <formula>AND(AW97&lt;&gt;"",#REF!="",OR(COLUMN(AW97)=COLUMN(#REF!),COLUMN(AW97)=COLUMN(#REF!)))</formula>
    </cfRule>
  </conditionalFormatting>
  <conditionalFormatting sqref="AX97">
    <cfRule type="expression" dxfId="618" priority="103">
      <formula>AND(AX97&lt;&gt;"",#REF!="",OR(COLUMN(AX97)=COLUMN(#REF!),COLUMN(AX97)=COLUMN(#REF!)))</formula>
    </cfRule>
  </conditionalFormatting>
  <conditionalFormatting sqref="AW98">
    <cfRule type="expression" dxfId="617" priority="102">
      <formula>AND(AW98&lt;&gt;"",#REF!="",OR(COLUMN(AW98)=COLUMN(#REF!),COLUMN(AW98)=COLUMN(#REF!)))</formula>
    </cfRule>
  </conditionalFormatting>
  <conditionalFormatting sqref="AX98">
    <cfRule type="expression" dxfId="616" priority="101">
      <formula>AND(AX98&lt;&gt;"",#REF!="",OR(COLUMN(AX98)=COLUMN(#REF!),COLUMN(AX98)=COLUMN(#REF!)))</formula>
    </cfRule>
  </conditionalFormatting>
  <conditionalFormatting sqref="AW99">
    <cfRule type="expression" dxfId="615" priority="100">
      <formula>AND(AW99&lt;&gt;"",#REF!="",OR(COLUMN(AW99)=COLUMN(#REF!),COLUMN(AW99)=COLUMN(#REF!)))</formula>
    </cfRule>
  </conditionalFormatting>
  <conditionalFormatting sqref="AX99">
    <cfRule type="expression" dxfId="614" priority="99">
      <formula>AND(AX99&lt;&gt;"",#REF!="",OR(COLUMN(AX99)=COLUMN(#REF!),COLUMN(AX99)=COLUMN(#REF!)))</formula>
    </cfRule>
  </conditionalFormatting>
  <conditionalFormatting sqref="AW100">
    <cfRule type="expression" dxfId="613" priority="98">
      <formula>AND(AW100&lt;&gt;"",#REF!="",OR(COLUMN(AW100)=COLUMN(#REF!),COLUMN(AW100)=COLUMN(#REF!)))</formula>
    </cfRule>
  </conditionalFormatting>
  <conditionalFormatting sqref="AX100">
    <cfRule type="expression" dxfId="612" priority="97">
      <formula>AND(AX100&lt;&gt;"",#REF!="",OR(COLUMN(AX100)=COLUMN(#REF!),COLUMN(AX100)=COLUMN(#REF!)))</formula>
    </cfRule>
  </conditionalFormatting>
  <conditionalFormatting sqref="AW101">
    <cfRule type="expression" dxfId="611" priority="96">
      <formula>AND(AW101&lt;&gt;"",#REF!="",OR(COLUMN(AW101)=COLUMN(#REF!),COLUMN(AW101)=COLUMN(#REF!)))</formula>
    </cfRule>
  </conditionalFormatting>
  <conditionalFormatting sqref="AX101">
    <cfRule type="expression" dxfId="610" priority="95">
      <formula>AND(AX101&lt;&gt;"",#REF!="",OR(COLUMN(AX101)=COLUMN(#REF!),COLUMN(AX101)=COLUMN(#REF!)))</formula>
    </cfRule>
  </conditionalFormatting>
  <conditionalFormatting sqref="AW102">
    <cfRule type="expression" dxfId="609" priority="94">
      <formula>AND(AW102&lt;&gt;"",#REF!="",OR(COLUMN(AW102)=COLUMN(#REF!),COLUMN(AW102)=COLUMN(#REF!)))</formula>
    </cfRule>
  </conditionalFormatting>
  <conditionalFormatting sqref="AX102">
    <cfRule type="expression" dxfId="608" priority="93">
      <formula>AND(AX102&lt;&gt;"",#REF!="",OR(COLUMN(AX102)=COLUMN(#REF!),COLUMN(AX102)=COLUMN(#REF!)))</formula>
    </cfRule>
  </conditionalFormatting>
  <conditionalFormatting sqref="AW103">
    <cfRule type="expression" dxfId="607" priority="92">
      <formula>AND(AW103&lt;&gt;"",#REF!="",OR(COLUMN(AW103)=COLUMN(#REF!),COLUMN(AW103)=COLUMN(#REF!)))</formula>
    </cfRule>
  </conditionalFormatting>
  <conditionalFormatting sqref="AX103">
    <cfRule type="expression" dxfId="606" priority="91">
      <formula>AND(AX103&lt;&gt;"",#REF!="",OR(COLUMN(AX103)=COLUMN(#REF!),COLUMN(AX103)=COLUMN(#REF!)))</formula>
    </cfRule>
  </conditionalFormatting>
  <conditionalFormatting sqref="AW104">
    <cfRule type="expression" dxfId="605" priority="90">
      <formula>AND(AW104&lt;&gt;"",#REF!="",OR(COLUMN(AW104)=COLUMN(#REF!),COLUMN(AW104)=COLUMN(#REF!)))</formula>
    </cfRule>
  </conditionalFormatting>
  <conditionalFormatting sqref="AX104">
    <cfRule type="expression" dxfId="604" priority="89">
      <formula>AND(AX104&lt;&gt;"",#REF!="",OR(COLUMN(AX104)=COLUMN(#REF!),COLUMN(AX104)=COLUMN(#REF!)))</formula>
    </cfRule>
  </conditionalFormatting>
  <conditionalFormatting sqref="AW105">
    <cfRule type="expression" dxfId="603" priority="88">
      <formula>AND(AW105&lt;&gt;"",#REF!="",OR(COLUMN(AW105)=COLUMN(#REF!),COLUMN(AW105)=COLUMN(#REF!)))</formula>
    </cfRule>
  </conditionalFormatting>
  <conditionalFormatting sqref="AX105">
    <cfRule type="expression" dxfId="602" priority="87">
      <formula>AND(AX105&lt;&gt;"",#REF!="",OR(COLUMN(AX105)=COLUMN(#REF!),COLUMN(AX105)=COLUMN(#REF!)))</formula>
    </cfRule>
  </conditionalFormatting>
  <conditionalFormatting sqref="AW106">
    <cfRule type="expression" dxfId="601" priority="86">
      <formula>AND(AW106&lt;&gt;"",#REF!="",OR(COLUMN(AW106)=COLUMN(#REF!),COLUMN(AW106)=COLUMN(#REF!)))</formula>
    </cfRule>
  </conditionalFormatting>
  <conditionalFormatting sqref="AX106">
    <cfRule type="expression" dxfId="600" priority="85">
      <formula>AND(AX106&lt;&gt;"",#REF!="",OR(COLUMN(AX106)=COLUMN(#REF!),COLUMN(AX106)=COLUMN(#REF!)))</formula>
    </cfRule>
  </conditionalFormatting>
  <conditionalFormatting sqref="AW107">
    <cfRule type="expression" dxfId="599" priority="84">
      <formula>AND(AW107&lt;&gt;"",#REF!="",OR(COLUMN(AW107)=COLUMN(#REF!),COLUMN(AW107)=COLUMN(#REF!)))</formula>
    </cfRule>
  </conditionalFormatting>
  <conditionalFormatting sqref="AX107">
    <cfRule type="expression" dxfId="598" priority="83">
      <formula>AND(AX107&lt;&gt;"",#REF!="",OR(COLUMN(AX107)=COLUMN(#REF!),COLUMN(AX107)=COLUMN(#REF!)))</formula>
    </cfRule>
  </conditionalFormatting>
  <conditionalFormatting sqref="AW108">
    <cfRule type="expression" dxfId="597" priority="82">
      <formula>AND(AW108&lt;&gt;"",#REF!="",OR(COLUMN(AW108)=COLUMN(#REF!),COLUMN(AW108)=COLUMN(#REF!)))</formula>
    </cfRule>
  </conditionalFormatting>
  <conditionalFormatting sqref="AX108">
    <cfRule type="expression" dxfId="596" priority="81">
      <formula>AND(AX108&lt;&gt;"",#REF!="",OR(COLUMN(AX108)=COLUMN(#REF!),COLUMN(AX108)=COLUMN(#REF!)))</formula>
    </cfRule>
  </conditionalFormatting>
  <conditionalFormatting sqref="AW109">
    <cfRule type="expression" dxfId="595" priority="80">
      <formula>AND(AW109&lt;&gt;"",#REF!="",OR(COLUMN(AW109)=COLUMN(#REF!),COLUMN(AW109)=COLUMN(#REF!)))</formula>
    </cfRule>
  </conditionalFormatting>
  <conditionalFormatting sqref="AX109">
    <cfRule type="expression" dxfId="594" priority="79">
      <formula>AND(AX109&lt;&gt;"",#REF!="",OR(COLUMN(AX109)=COLUMN(#REF!),COLUMN(AX109)=COLUMN(#REF!)))</formula>
    </cfRule>
  </conditionalFormatting>
  <conditionalFormatting sqref="AW110">
    <cfRule type="expression" dxfId="593" priority="78">
      <formula>AND(AW110&lt;&gt;"",#REF!="",OR(COLUMN(AW110)=COLUMN(#REF!),COLUMN(AW110)=COLUMN(#REF!)))</formula>
    </cfRule>
  </conditionalFormatting>
  <conditionalFormatting sqref="AX110">
    <cfRule type="expression" dxfId="592" priority="77">
      <formula>AND(AX110&lt;&gt;"",#REF!="",OR(COLUMN(AX110)=COLUMN(#REF!),COLUMN(AX110)=COLUMN(#REF!)))</formula>
    </cfRule>
  </conditionalFormatting>
  <conditionalFormatting sqref="AW111">
    <cfRule type="expression" dxfId="591" priority="76">
      <formula>AND(AW111&lt;&gt;"",#REF!="",OR(COLUMN(AW111)=COLUMN(#REF!),COLUMN(AW111)=COLUMN(#REF!)))</formula>
    </cfRule>
  </conditionalFormatting>
  <conditionalFormatting sqref="AX111">
    <cfRule type="expression" dxfId="590" priority="75">
      <formula>AND(AX111&lt;&gt;"",#REF!="",OR(COLUMN(AX111)=COLUMN(#REF!),COLUMN(AX111)=COLUMN(#REF!)))</formula>
    </cfRule>
  </conditionalFormatting>
  <conditionalFormatting sqref="AW112">
    <cfRule type="expression" dxfId="589" priority="74">
      <formula>AND(AW112&lt;&gt;"",#REF!="",OR(COLUMN(AW112)=COLUMN(#REF!),COLUMN(AW112)=COLUMN(#REF!)))</formula>
    </cfRule>
  </conditionalFormatting>
  <conditionalFormatting sqref="AX112">
    <cfRule type="expression" dxfId="588" priority="73">
      <formula>AND(AX112&lt;&gt;"",#REF!="",OR(COLUMN(AX112)=COLUMN(#REF!),COLUMN(AX112)=COLUMN(#REF!)))</formula>
    </cfRule>
  </conditionalFormatting>
  <conditionalFormatting sqref="AW113">
    <cfRule type="expression" dxfId="587" priority="72">
      <formula>AND(AW113&lt;&gt;"",#REF!="",OR(COLUMN(AW113)=COLUMN(#REF!),COLUMN(AW113)=COLUMN(#REF!)))</formula>
    </cfRule>
  </conditionalFormatting>
  <conditionalFormatting sqref="AX113">
    <cfRule type="expression" dxfId="586" priority="71">
      <formula>AND(AX113&lt;&gt;"",#REF!="",OR(COLUMN(AX113)=COLUMN(#REF!),COLUMN(AX113)=COLUMN(#REF!)))</formula>
    </cfRule>
  </conditionalFormatting>
  <conditionalFormatting sqref="AW114">
    <cfRule type="expression" dxfId="585" priority="70">
      <formula>AND(AW114&lt;&gt;"",#REF!="",OR(COLUMN(AW114)=COLUMN(#REF!),COLUMN(AW114)=COLUMN(#REF!)))</formula>
    </cfRule>
  </conditionalFormatting>
  <conditionalFormatting sqref="AX114">
    <cfRule type="expression" dxfId="584" priority="69">
      <formula>AND(AX114&lt;&gt;"",#REF!="",OR(COLUMN(AX114)=COLUMN(#REF!),COLUMN(AX114)=COLUMN(#REF!)))</formula>
    </cfRule>
  </conditionalFormatting>
  <conditionalFormatting sqref="AW115">
    <cfRule type="expression" dxfId="583" priority="68">
      <formula>AND(AW115&lt;&gt;"",#REF!="",OR(COLUMN(AW115)=COLUMN(#REF!),COLUMN(AW115)=COLUMN(#REF!)))</formula>
    </cfRule>
  </conditionalFormatting>
  <conditionalFormatting sqref="AX115">
    <cfRule type="expression" dxfId="582" priority="67">
      <formula>AND(AX115&lt;&gt;"",#REF!="",OR(COLUMN(AX115)=COLUMN(#REF!),COLUMN(AX115)=COLUMN(#REF!)))</formula>
    </cfRule>
  </conditionalFormatting>
  <conditionalFormatting sqref="AW116">
    <cfRule type="expression" dxfId="581" priority="66">
      <formula>AND(AW116&lt;&gt;"",#REF!="",OR(COLUMN(AW116)=COLUMN(#REF!),COLUMN(AW116)=COLUMN(#REF!)))</formula>
    </cfRule>
  </conditionalFormatting>
  <conditionalFormatting sqref="AX116">
    <cfRule type="expression" dxfId="580" priority="65">
      <formula>AND(AX116&lt;&gt;"",#REF!="",OR(COLUMN(AX116)=COLUMN(#REF!),COLUMN(AX116)=COLUMN(#REF!)))</formula>
    </cfRule>
  </conditionalFormatting>
  <conditionalFormatting sqref="AW117">
    <cfRule type="expression" dxfId="579" priority="64">
      <formula>AND(AW117&lt;&gt;"",#REF!="",OR(COLUMN(AW117)=COLUMN(#REF!),COLUMN(AW117)=COLUMN(#REF!)))</formula>
    </cfRule>
  </conditionalFormatting>
  <conditionalFormatting sqref="AX117">
    <cfRule type="expression" dxfId="578" priority="63">
      <formula>AND(AX117&lt;&gt;"",#REF!="",OR(COLUMN(AX117)=COLUMN(#REF!),COLUMN(AX117)=COLUMN(#REF!)))</formula>
    </cfRule>
  </conditionalFormatting>
  <conditionalFormatting sqref="AW118">
    <cfRule type="expression" dxfId="577" priority="62">
      <formula>AND(AW118&lt;&gt;"",#REF!="",OR(COLUMN(AW118)=COLUMN(#REF!),COLUMN(AW118)=COLUMN(#REF!)))</formula>
    </cfRule>
  </conditionalFormatting>
  <conditionalFormatting sqref="AX118">
    <cfRule type="expression" dxfId="576" priority="61">
      <formula>AND(AX118&lt;&gt;"",#REF!="",OR(COLUMN(AX118)=COLUMN(#REF!),COLUMN(AX118)=COLUMN(#REF!)))</formula>
    </cfRule>
  </conditionalFormatting>
  <conditionalFormatting sqref="AW119">
    <cfRule type="expression" dxfId="575" priority="60">
      <formula>AND(AW119&lt;&gt;"",#REF!="",OR(COLUMN(AW119)=COLUMN(#REF!),COLUMN(AW119)=COLUMN(#REF!)))</formula>
    </cfRule>
  </conditionalFormatting>
  <conditionalFormatting sqref="AX119">
    <cfRule type="expression" dxfId="574" priority="59">
      <formula>AND(AX119&lt;&gt;"",#REF!="",OR(COLUMN(AX119)=COLUMN(#REF!),COLUMN(AX119)=COLUMN(#REF!)))</formula>
    </cfRule>
  </conditionalFormatting>
  <conditionalFormatting sqref="AW120">
    <cfRule type="expression" dxfId="573" priority="58">
      <formula>AND(AW120&lt;&gt;"",#REF!="",OR(COLUMN(AW120)=COLUMN(#REF!),COLUMN(AW120)=COLUMN(#REF!)))</formula>
    </cfRule>
  </conditionalFormatting>
  <conditionalFormatting sqref="AX120">
    <cfRule type="expression" dxfId="572" priority="57">
      <formula>AND(AX120&lt;&gt;"",#REF!="",OR(COLUMN(AX120)=COLUMN(#REF!),COLUMN(AX120)=COLUMN(#REF!)))</formula>
    </cfRule>
  </conditionalFormatting>
  <conditionalFormatting sqref="AW121">
    <cfRule type="expression" dxfId="571" priority="56">
      <formula>AND(AW121&lt;&gt;"",#REF!="",OR(COLUMN(AW121)=COLUMN(#REF!),COLUMN(AW121)=COLUMN(#REF!)))</formula>
    </cfRule>
  </conditionalFormatting>
  <conditionalFormatting sqref="AX121">
    <cfRule type="expression" dxfId="570" priority="55">
      <formula>AND(AX121&lt;&gt;"",#REF!="",OR(COLUMN(AX121)=COLUMN(#REF!),COLUMN(AX121)=COLUMN(#REF!)))</formula>
    </cfRule>
  </conditionalFormatting>
  <conditionalFormatting sqref="AW122">
    <cfRule type="expression" dxfId="569" priority="54">
      <formula>AND(AW122&lt;&gt;"",#REF!="",OR(COLUMN(AW122)=COLUMN(#REF!),COLUMN(AW122)=COLUMN(#REF!)))</formula>
    </cfRule>
  </conditionalFormatting>
  <conditionalFormatting sqref="AX122">
    <cfRule type="expression" dxfId="568" priority="53">
      <formula>AND(AX122&lt;&gt;"",#REF!="",OR(COLUMN(AX122)=COLUMN(#REF!),COLUMN(AX122)=COLUMN(#REF!)))</formula>
    </cfRule>
  </conditionalFormatting>
  <conditionalFormatting sqref="AW123">
    <cfRule type="expression" dxfId="567" priority="52">
      <formula>AND(AW123&lt;&gt;"",#REF!="",OR(COLUMN(AW123)=COLUMN(#REF!),COLUMN(AW123)=COLUMN(#REF!)))</formula>
    </cfRule>
  </conditionalFormatting>
  <conditionalFormatting sqref="AX123">
    <cfRule type="expression" dxfId="566" priority="51">
      <formula>AND(AX123&lt;&gt;"",#REF!="",OR(COLUMN(AX123)=COLUMN(#REF!),COLUMN(AX123)=COLUMN(#REF!)))</formula>
    </cfRule>
  </conditionalFormatting>
  <conditionalFormatting sqref="AW124">
    <cfRule type="expression" dxfId="565" priority="50">
      <formula>AND(AW124&lt;&gt;"",#REF!="",OR(COLUMN(AW124)=COLUMN(#REF!),COLUMN(AW124)=COLUMN(#REF!)))</formula>
    </cfRule>
  </conditionalFormatting>
  <conditionalFormatting sqref="AX124">
    <cfRule type="expression" dxfId="564" priority="49">
      <formula>AND(AX124&lt;&gt;"",#REF!="",OR(COLUMN(AX124)=COLUMN(#REF!),COLUMN(AX124)=COLUMN(#REF!)))</formula>
    </cfRule>
  </conditionalFormatting>
  <conditionalFormatting sqref="AW125">
    <cfRule type="expression" dxfId="563" priority="48">
      <formula>AND(AW125&lt;&gt;"",#REF!="",OR(COLUMN(AW125)=COLUMN(#REF!),COLUMN(AW125)=COLUMN(#REF!)))</formula>
    </cfRule>
  </conditionalFormatting>
  <conditionalFormatting sqref="AX125">
    <cfRule type="expression" dxfId="562" priority="47">
      <formula>AND(AX125&lt;&gt;"",#REF!="",OR(COLUMN(AX125)=COLUMN(#REF!),COLUMN(AX125)=COLUMN(#REF!)))</formula>
    </cfRule>
  </conditionalFormatting>
  <conditionalFormatting sqref="AW126">
    <cfRule type="expression" dxfId="561" priority="46">
      <formula>AND(AW126&lt;&gt;"",#REF!="",OR(COLUMN(AW126)=COLUMN(#REF!),COLUMN(AW126)=COLUMN(#REF!)))</formula>
    </cfRule>
  </conditionalFormatting>
  <conditionalFormatting sqref="AX126">
    <cfRule type="expression" dxfId="560" priority="45">
      <formula>AND(AX126&lt;&gt;"",#REF!="",OR(COLUMN(AX126)=COLUMN(#REF!),COLUMN(AX126)=COLUMN(#REF!)))</formula>
    </cfRule>
  </conditionalFormatting>
  <conditionalFormatting sqref="AW127">
    <cfRule type="expression" dxfId="559" priority="44">
      <formula>AND(AW127&lt;&gt;"",#REF!="",OR(COLUMN(AW127)=COLUMN(#REF!),COLUMN(AW127)=COLUMN(#REF!)))</formula>
    </cfRule>
  </conditionalFormatting>
  <conditionalFormatting sqref="AX127">
    <cfRule type="expression" dxfId="558" priority="43">
      <formula>AND(AX127&lt;&gt;"",#REF!="",OR(COLUMN(AX127)=COLUMN(#REF!),COLUMN(AX127)=COLUMN(#REF!)))</formula>
    </cfRule>
  </conditionalFormatting>
  <conditionalFormatting sqref="AW128">
    <cfRule type="expression" dxfId="557" priority="42">
      <formula>AND(AW128&lt;&gt;"",#REF!="",OR(COLUMN(AW128)=COLUMN(#REF!),COLUMN(AW128)=COLUMN(#REF!)))</formula>
    </cfRule>
  </conditionalFormatting>
  <conditionalFormatting sqref="AX128">
    <cfRule type="expression" dxfId="556" priority="41">
      <formula>AND(AX128&lt;&gt;"",#REF!="",OR(COLUMN(AX128)=COLUMN(#REF!),COLUMN(AX128)=COLUMN(#REF!)))</formula>
    </cfRule>
  </conditionalFormatting>
  <conditionalFormatting sqref="AW129">
    <cfRule type="expression" dxfId="555" priority="40">
      <formula>AND(AW129&lt;&gt;"",#REF!="",OR(COLUMN(AW129)=COLUMN(#REF!),COLUMN(AW129)=COLUMN(#REF!)))</formula>
    </cfRule>
  </conditionalFormatting>
  <conditionalFormatting sqref="AX129">
    <cfRule type="expression" dxfId="554" priority="39">
      <formula>AND(AX129&lt;&gt;"",#REF!="",OR(COLUMN(AX129)=COLUMN(#REF!),COLUMN(AX129)=COLUMN(#REF!)))</formula>
    </cfRule>
  </conditionalFormatting>
  <conditionalFormatting sqref="AW130">
    <cfRule type="expression" dxfId="553" priority="38">
      <formula>AND(AW130&lt;&gt;"",#REF!="",OR(COLUMN(AW130)=COLUMN(#REF!),COLUMN(AW130)=COLUMN(#REF!)))</formula>
    </cfRule>
  </conditionalFormatting>
  <conditionalFormatting sqref="AX130">
    <cfRule type="expression" dxfId="552" priority="37">
      <formula>AND(AX130&lt;&gt;"",#REF!="",OR(COLUMN(AX130)=COLUMN(#REF!),COLUMN(AX130)=COLUMN(#REF!)))</formula>
    </cfRule>
  </conditionalFormatting>
  <conditionalFormatting sqref="AW131">
    <cfRule type="expression" dxfId="551" priority="36">
      <formula>AND(AW131&lt;&gt;"",#REF!="",OR(COLUMN(AW131)=COLUMN(#REF!),COLUMN(AW131)=COLUMN(#REF!)))</formula>
    </cfRule>
  </conditionalFormatting>
  <conditionalFormatting sqref="AX131">
    <cfRule type="expression" dxfId="550" priority="35">
      <formula>AND(AX131&lt;&gt;"",#REF!="",OR(COLUMN(AX131)=COLUMN(#REF!),COLUMN(AX131)=COLUMN(#REF!)))</formula>
    </cfRule>
  </conditionalFormatting>
  <conditionalFormatting sqref="AW132">
    <cfRule type="expression" dxfId="549" priority="34">
      <formula>AND(AW132&lt;&gt;"",#REF!="",OR(COLUMN(AW132)=COLUMN(#REF!),COLUMN(AW132)=COLUMN(#REF!)))</formula>
    </cfRule>
  </conditionalFormatting>
  <conditionalFormatting sqref="AX132">
    <cfRule type="expression" dxfId="548" priority="33">
      <formula>AND(AX132&lt;&gt;"",#REF!="",OR(COLUMN(AX132)=COLUMN(#REF!),COLUMN(AX132)=COLUMN(#REF!)))</formula>
    </cfRule>
  </conditionalFormatting>
  <conditionalFormatting sqref="AW133">
    <cfRule type="expression" dxfId="547" priority="32">
      <formula>AND(AW133&lt;&gt;"",#REF!="",OR(COLUMN(AW133)=COLUMN(#REF!),COLUMN(AW133)=COLUMN(#REF!)))</formula>
    </cfRule>
  </conditionalFormatting>
  <conditionalFormatting sqref="AX133">
    <cfRule type="expression" dxfId="546" priority="31">
      <formula>AND(AX133&lt;&gt;"",#REF!="",OR(COLUMN(AX133)=COLUMN(#REF!),COLUMN(AX133)=COLUMN(#REF!)))</formula>
    </cfRule>
  </conditionalFormatting>
  <conditionalFormatting sqref="AW134">
    <cfRule type="expression" dxfId="545" priority="30">
      <formula>AND(AW134&lt;&gt;"",#REF!="",OR(COLUMN(AW134)=COLUMN(#REF!),COLUMN(AW134)=COLUMN(#REF!)))</formula>
    </cfRule>
  </conditionalFormatting>
  <conditionalFormatting sqref="AX134">
    <cfRule type="expression" dxfId="544" priority="29">
      <formula>AND(AX134&lt;&gt;"",#REF!="",OR(COLUMN(AX134)=COLUMN(#REF!),COLUMN(AX134)=COLUMN(#REF!)))</formula>
    </cfRule>
  </conditionalFormatting>
  <conditionalFormatting sqref="AW135">
    <cfRule type="expression" dxfId="543" priority="28">
      <formula>AND(AW135&lt;&gt;"",#REF!="",OR(COLUMN(AW135)=COLUMN(#REF!),COLUMN(AW135)=COLUMN(#REF!)))</formula>
    </cfRule>
  </conditionalFormatting>
  <conditionalFormatting sqref="AX135">
    <cfRule type="expression" dxfId="542" priority="27">
      <formula>AND(AX135&lt;&gt;"",#REF!="",OR(COLUMN(AX135)=COLUMN(#REF!),COLUMN(AX135)=COLUMN(#REF!)))</formula>
    </cfRule>
  </conditionalFormatting>
  <conditionalFormatting sqref="AW136">
    <cfRule type="expression" dxfId="541" priority="26">
      <formula>AND(AW136&lt;&gt;"",#REF!="",OR(COLUMN(AW136)=COLUMN(#REF!),COLUMN(AW136)=COLUMN(#REF!)))</formula>
    </cfRule>
  </conditionalFormatting>
  <conditionalFormatting sqref="AX136">
    <cfRule type="expression" dxfId="540" priority="25">
      <formula>AND(AX136&lt;&gt;"",#REF!="",OR(COLUMN(AX136)=COLUMN(#REF!),COLUMN(AX136)=COLUMN(#REF!)))</formula>
    </cfRule>
  </conditionalFormatting>
  <conditionalFormatting sqref="AW137">
    <cfRule type="expression" dxfId="539" priority="24">
      <formula>AND(AW137&lt;&gt;"",#REF!="",OR(COLUMN(AW137)=COLUMN(#REF!),COLUMN(AW137)=COLUMN(#REF!)))</formula>
    </cfRule>
  </conditionalFormatting>
  <conditionalFormatting sqref="AX137">
    <cfRule type="expression" dxfId="538" priority="23">
      <formula>AND(AX137&lt;&gt;"",#REF!="",OR(COLUMN(AX137)=COLUMN(#REF!),COLUMN(AX137)=COLUMN(#REF!)))</formula>
    </cfRule>
  </conditionalFormatting>
  <conditionalFormatting sqref="AW138">
    <cfRule type="expression" dxfId="537" priority="22">
      <formula>AND(AW138&lt;&gt;"",#REF!="",OR(COLUMN(AW138)=COLUMN(#REF!),COLUMN(AW138)=COLUMN(#REF!)))</formula>
    </cfRule>
  </conditionalFormatting>
  <conditionalFormatting sqref="AX138">
    <cfRule type="expression" dxfId="536" priority="21">
      <formula>AND(AX138&lt;&gt;"",#REF!="",OR(COLUMN(AX138)=COLUMN(#REF!),COLUMN(AX138)=COLUMN(#REF!)))</formula>
    </cfRule>
  </conditionalFormatting>
  <conditionalFormatting sqref="AW139">
    <cfRule type="expression" dxfId="535" priority="20">
      <formula>AND(AW139&lt;&gt;"",#REF!="",OR(COLUMN(AW139)=COLUMN(#REF!),COLUMN(AW139)=COLUMN(#REF!)))</formula>
    </cfRule>
  </conditionalFormatting>
  <conditionalFormatting sqref="AX139">
    <cfRule type="expression" dxfId="534" priority="19">
      <formula>AND(AX139&lt;&gt;"",#REF!="",OR(COLUMN(AX139)=COLUMN(#REF!),COLUMN(AX139)=COLUMN(#REF!)))</formula>
    </cfRule>
  </conditionalFormatting>
  <conditionalFormatting sqref="AW140">
    <cfRule type="expression" dxfId="533" priority="18">
      <formula>AND(AW140&lt;&gt;"",#REF!="",OR(COLUMN(AW140)=COLUMN(#REF!),COLUMN(AW140)=COLUMN(#REF!)))</formula>
    </cfRule>
  </conditionalFormatting>
  <conditionalFormatting sqref="AX140">
    <cfRule type="expression" dxfId="532" priority="17">
      <formula>AND(AX140&lt;&gt;"",#REF!="",OR(COLUMN(AX140)=COLUMN(#REF!),COLUMN(AX140)=COLUMN(#REF!)))</formula>
    </cfRule>
  </conditionalFormatting>
  <conditionalFormatting sqref="AW141">
    <cfRule type="expression" dxfId="531" priority="16">
      <formula>AND(AW141&lt;&gt;"",#REF!="",OR(COLUMN(AW141)=COLUMN(#REF!),COLUMN(AW141)=COLUMN(#REF!)))</formula>
    </cfRule>
  </conditionalFormatting>
  <conditionalFormatting sqref="AX141">
    <cfRule type="expression" dxfId="530" priority="15">
      <formula>AND(AX141&lt;&gt;"",#REF!="",OR(COLUMN(AX141)=COLUMN(#REF!),COLUMN(AX141)=COLUMN(#REF!)))</formula>
    </cfRule>
  </conditionalFormatting>
  <conditionalFormatting sqref="AW142">
    <cfRule type="expression" dxfId="529" priority="14">
      <formula>AND(AW142&lt;&gt;"",#REF!="",OR(COLUMN(AW142)=COLUMN(#REF!),COLUMN(AW142)=COLUMN(#REF!)))</formula>
    </cfRule>
  </conditionalFormatting>
  <conditionalFormatting sqref="AX142">
    <cfRule type="expression" dxfId="528" priority="13">
      <formula>AND(AX142&lt;&gt;"",#REF!="",OR(COLUMN(AX142)=COLUMN(#REF!),COLUMN(AX142)=COLUMN(#REF!)))</formula>
    </cfRule>
  </conditionalFormatting>
  <conditionalFormatting sqref="AW143">
    <cfRule type="expression" dxfId="527" priority="12">
      <formula>AND(AW143&lt;&gt;"",#REF!="",OR(COLUMN(AW143)=COLUMN(#REF!),COLUMN(AW143)=COLUMN(#REF!)))</formula>
    </cfRule>
  </conditionalFormatting>
  <conditionalFormatting sqref="AX143">
    <cfRule type="expression" dxfId="526" priority="11">
      <formula>AND(AX143&lt;&gt;"",#REF!="",OR(COLUMN(AX143)=COLUMN(#REF!),COLUMN(AX143)=COLUMN(#REF!)))</formula>
    </cfRule>
  </conditionalFormatting>
  <conditionalFormatting sqref="AW144">
    <cfRule type="expression" dxfId="525" priority="10">
      <formula>AND(AW144&lt;&gt;"",#REF!="",OR(COLUMN(AW144)=COLUMN(#REF!),COLUMN(AW144)=COLUMN(#REF!)))</formula>
    </cfRule>
  </conditionalFormatting>
  <conditionalFormatting sqref="AX144">
    <cfRule type="expression" dxfId="524" priority="9">
      <formula>AND(AX144&lt;&gt;"",#REF!="",OR(COLUMN(AX144)=COLUMN(#REF!),COLUMN(AX144)=COLUMN(#REF!)))</formula>
    </cfRule>
  </conditionalFormatting>
  <conditionalFormatting sqref="AW145">
    <cfRule type="expression" dxfId="523" priority="8">
      <formula>AND(AW145&lt;&gt;"",#REF!="",OR(COLUMN(AW145)=COLUMN(#REF!),COLUMN(AW145)=COLUMN(#REF!)))</formula>
    </cfRule>
  </conditionalFormatting>
  <conditionalFormatting sqref="AX145">
    <cfRule type="expression" dxfId="522" priority="7">
      <formula>AND(AX145&lt;&gt;"",#REF!="",OR(COLUMN(AX145)=COLUMN(#REF!),COLUMN(AX145)=COLUMN(#REF!)))</formula>
    </cfRule>
  </conditionalFormatting>
  <conditionalFormatting sqref="AW146">
    <cfRule type="expression" dxfId="521" priority="6">
      <formula>AND(AW146&lt;&gt;"",#REF!="",OR(COLUMN(AW146)=COLUMN(#REF!),COLUMN(AW146)=COLUMN(#REF!)))</formula>
    </cfRule>
  </conditionalFormatting>
  <conditionalFormatting sqref="AX146">
    <cfRule type="expression" dxfId="520" priority="5">
      <formula>AND(AX146&lt;&gt;"",#REF!="",OR(COLUMN(AX146)=COLUMN(#REF!),COLUMN(AX146)=COLUMN(#REF!)))</formula>
    </cfRule>
  </conditionalFormatting>
  <conditionalFormatting sqref="AW147">
    <cfRule type="expression" dxfId="519" priority="4">
      <formula>AND(AW147&lt;&gt;"",#REF!="",OR(COLUMN(AW147)=COLUMN(#REF!),COLUMN(AW147)=COLUMN(#REF!)))</formula>
    </cfRule>
  </conditionalFormatting>
  <conditionalFormatting sqref="AX147">
    <cfRule type="expression" dxfId="518" priority="3">
      <formula>AND(AX147&lt;&gt;"",#REF!="",OR(COLUMN(AX147)=COLUMN(#REF!),COLUMN(AX147)=COLUMN(#REF!)))</formula>
    </cfRule>
  </conditionalFormatting>
  <conditionalFormatting sqref="AW148">
    <cfRule type="expression" dxfId="517" priority="2">
      <formula>AND(AW148&lt;&gt;"",#REF!="",OR(COLUMN(AW148)=COLUMN(#REF!),COLUMN(AW148)=COLUMN(#REF!)))</formula>
    </cfRule>
  </conditionalFormatting>
  <conditionalFormatting sqref="AX148">
    <cfRule type="expression" dxfId="516" priority="1">
      <formula>AND(AX148&lt;&gt;"",#REF!="",OR(COLUMN(AX148)=COLUMN(#REF!),COLUMN(AX148)=COLUMN(#REF!)))</formula>
    </cfRule>
  </conditionalFormatting>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D1585"/>
  <sheetViews>
    <sheetView showGridLines="0" zoomScale="80" zoomScaleNormal="80" workbookViewId="0">
      <pane xSplit="2" ySplit="5" topLeftCell="AK6" activePane="bottomRight" state="frozen"/>
      <selection activeCell="K3" sqref="K3:L3"/>
      <selection pane="topRight" activeCell="K3" sqref="K3:L3"/>
      <selection pane="bottomLeft" activeCell="K3" sqref="K3:L3"/>
      <selection pane="bottomRight" activeCell="AY4" sqref="AY4"/>
    </sheetView>
  </sheetViews>
  <sheetFormatPr defaultColWidth="8.69921875" defaultRowHeight="15.75" customHeight="1"/>
  <cols>
    <col min="1" max="1" width="3.09765625" customWidth="1"/>
    <col min="2" max="2" width="19.796875" style="674" bestFit="1" customWidth="1"/>
    <col min="3" max="3" width="13.5" style="522" bestFit="1" customWidth="1"/>
    <col min="4" max="4" width="9.796875" style="674" bestFit="1" customWidth="1"/>
    <col min="5" max="5" width="13" style="674" bestFit="1" customWidth="1"/>
    <col min="6" max="6" width="12.5" style="524" bestFit="1" customWidth="1"/>
    <col min="7" max="7" width="11.09765625" style="10" bestFit="1" customWidth="1"/>
    <col min="8" max="8" width="13.5" style="10" bestFit="1" customWidth="1"/>
    <col min="9" max="9" width="10" style="675" bestFit="1" customWidth="1"/>
    <col min="10" max="10" width="11.69921875" style="10" bestFit="1" customWidth="1"/>
    <col min="11" max="11" width="9.69921875" style="10" bestFit="1" customWidth="1"/>
    <col min="12" max="12" width="9.19921875" style="676" bestFit="1" customWidth="1"/>
    <col min="13" max="13" width="8.19921875" style="666" bestFit="1" customWidth="1"/>
    <col min="14" max="14" width="16.69921875" style="677" bestFit="1" customWidth="1"/>
    <col min="15" max="15" width="12.19921875" style="675" bestFit="1" customWidth="1"/>
    <col min="16" max="16" width="15.59765625" style="676" bestFit="1" customWidth="1"/>
    <col min="17" max="17" width="9.5" style="664" bestFit="1" customWidth="1"/>
    <col min="18" max="18" width="14.59765625" style="664" bestFit="1" customWidth="1"/>
    <col min="19" max="19" width="13.69921875" style="677" bestFit="1" customWidth="1"/>
    <col min="20" max="20" width="13.19921875" style="406" bestFit="1" customWidth="1"/>
    <col min="21" max="21" width="14.09765625" style="667" bestFit="1" customWidth="1"/>
    <col min="22" max="22" width="13.796875" style="406" bestFit="1" customWidth="1"/>
    <col min="23" max="23" width="14.09765625" style="667" bestFit="1" customWidth="1"/>
    <col min="24" max="24" width="13.796875" style="406" bestFit="1" customWidth="1"/>
    <col min="25" max="25" width="14.09765625" style="667" bestFit="1" customWidth="1"/>
    <col min="26" max="26" width="13.796875" style="406" bestFit="1" customWidth="1"/>
    <col min="27" max="27" width="14.09765625" style="667" bestFit="1" customWidth="1"/>
    <col min="28" max="28" width="15" style="406" bestFit="1" customWidth="1"/>
    <col min="29" max="29" width="13.19921875" style="668" bestFit="1" customWidth="1"/>
    <col min="30" max="30" width="14.3984375" style="678" bestFit="1" customWidth="1"/>
    <col min="31" max="31" width="19.796875" style="679" bestFit="1" customWidth="1"/>
    <col min="32" max="32" width="19.796875" style="680" bestFit="1" customWidth="1"/>
    <col min="33" max="33" width="19.796875" style="681" bestFit="1" customWidth="1"/>
    <col min="34" max="34" width="16.09765625" style="681" bestFit="1" customWidth="1"/>
    <col min="35" max="35" width="11.796875" style="681" bestFit="1" customWidth="1"/>
    <col min="36" max="36" width="15.09765625" style="681" bestFit="1" customWidth="1"/>
    <col min="37" max="37" width="14.3984375" style="681" bestFit="1" customWidth="1"/>
    <col min="38" max="38" width="13.8984375" style="671" bestFit="1" customWidth="1"/>
    <col min="39" max="39" width="13.69921875" style="671" bestFit="1" customWidth="1"/>
    <col min="40" max="40" width="19.796875" style="667" bestFit="1" customWidth="1"/>
    <col min="41" max="41" width="8.69921875" style="675" bestFit="1" customWidth="1"/>
    <col min="42" max="42" width="14.19921875" style="679" bestFit="1" customWidth="1"/>
    <col min="43" max="43" width="19.796875" style="672" bestFit="1" customWidth="1"/>
    <col min="44" max="45" width="14.09765625" style="406" bestFit="1" customWidth="1"/>
    <col min="46" max="46" width="13" style="406" bestFit="1" customWidth="1"/>
    <col min="47" max="47" width="16.09765625" style="406" bestFit="1" customWidth="1"/>
    <col min="48" max="48" width="9.59765625" bestFit="1" customWidth="1"/>
    <col min="49" max="49" width="8.59765625" customWidth="1"/>
    <col min="50" max="50" width="9.59765625" style="86" bestFit="1" customWidth="1"/>
    <col min="51" max="51" width="9.59765625" style="673" bestFit="1" customWidth="1"/>
    <col min="52" max="52" width="9.59765625" bestFit="1" customWidth="1"/>
    <col min="53" max="53" width="7.5" style="86" bestFit="1" customWidth="1"/>
    <col min="54" max="54" width="9.59765625" style="86" bestFit="1" customWidth="1"/>
    <col min="55" max="55" width="8.09765625" style="86" bestFit="1" customWidth="1"/>
    <col min="56" max="56" width="9.59765625" style="86" bestFit="1" customWidth="1"/>
    <col min="57" max="57" width="8.09765625" style="86" bestFit="1" customWidth="1"/>
    <col min="58" max="58" width="9.59765625" style="86" bestFit="1" customWidth="1"/>
    <col min="59" max="59" width="8.09765625" style="86" bestFit="1" customWidth="1"/>
    <col min="60" max="61" width="9.59765625" style="86" bestFit="1" customWidth="1"/>
    <col min="62" max="62" width="9.59765625" style="673" bestFit="1" customWidth="1"/>
    <col min="63" max="63" width="14.09765625" customWidth="1"/>
    <col min="64" max="69" width="9.59765625" bestFit="1" customWidth="1"/>
    <col min="70" max="70" width="9.59765625" style="1" bestFit="1" customWidth="1"/>
    <col min="71" max="73" width="9.59765625" style="673" bestFit="1" customWidth="1"/>
    <col min="74" max="75" width="9.59765625" bestFit="1" customWidth="1"/>
    <col min="76" max="77" width="9.59765625" style="673" bestFit="1" customWidth="1"/>
    <col min="78" max="78" width="9.59765625" bestFit="1" customWidth="1"/>
    <col min="79" max="79" width="9.59765625" style="673" bestFit="1" customWidth="1"/>
    <col min="82" max="82" width="23.09765625" customWidth="1"/>
    <col min="83" max="83" width="24.3984375" customWidth="1"/>
    <col min="84" max="86" width="8.69921875" customWidth="1"/>
    <col min="87" max="87" width="5.69921875" customWidth="1"/>
    <col min="88" max="88" width="8.69921875" customWidth="1"/>
    <col min="90" max="90" width="6.8984375" customWidth="1"/>
    <col min="91" max="91" width="5.8984375" customWidth="1"/>
    <col min="92" max="92" width="6.8984375" customWidth="1"/>
    <col min="93" max="93" width="7.3984375" customWidth="1"/>
    <col min="94" max="94" width="11.3984375" customWidth="1"/>
    <col min="95" max="96" width="12.3984375" customWidth="1"/>
    <col min="97" max="105" width="7.59765625" customWidth="1"/>
    <col min="106" max="106" width="8" customWidth="1"/>
    <col min="107" max="107" width="6.296875" customWidth="1"/>
    <col min="108" max="108" width="13.3984375" customWidth="1"/>
  </cols>
  <sheetData>
    <row r="1" spans="2:108" ht="15.75" customHeight="1">
      <c r="B1" s="523"/>
      <c r="D1" s="523"/>
      <c r="E1" s="523"/>
      <c r="I1" s="525"/>
      <c r="L1" s="10"/>
      <c r="M1" s="10"/>
      <c r="N1" s="624"/>
      <c r="O1" s="525"/>
      <c r="P1" s="625"/>
      <c r="Q1" s="84"/>
      <c r="R1" s="84"/>
      <c r="S1" s="624"/>
      <c r="T1" s="89"/>
      <c r="U1" s="626"/>
      <c r="V1" s="89"/>
      <c r="W1" s="626"/>
      <c r="X1" s="89"/>
      <c r="Y1" s="626"/>
      <c r="Z1" s="89"/>
      <c r="AA1" s="626"/>
      <c r="AB1" s="89"/>
      <c r="AC1" s="627"/>
      <c r="AD1" s="628"/>
      <c r="AE1" s="629"/>
      <c r="AF1" s="630"/>
      <c r="AG1" s="631"/>
      <c r="AH1" s="631"/>
      <c r="AI1" s="631"/>
      <c r="AJ1" s="631"/>
      <c r="AK1" s="631"/>
      <c r="AL1" s="632"/>
      <c r="AM1" s="632"/>
      <c r="AN1" s="626"/>
      <c r="AO1" s="525"/>
      <c r="AP1" s="629"/>
      <c r="AQ1" s="633"/>
      <c r="AR1" s="89"/>
      <c r="AS1" s="89"/>
      <c r="AT1" s="89"/>
      <c r="AU1" s="89"/>
      <c r="AY1" s="85"/>
      <c r="BJ1" s="85"/>
      <c r="BS1" s="85"/>
      <c r="BT1" s="85"/>
      <c r="BU1" s="85"/>
      <c r="BX1" s="85"/>
      <c r="BY1" s="85"/>
      <c r="CA1" s="85"/>
    </row>
    <row r="2" spans="2:108" ht="11.25" customHeight="1">
      <c r="B2"/>
      <c r="C2" s="1"/>
      <c r="D2"/>
      <c r="E2"/>
      <c r="F2"/>
      <c r="G2" s="1"/>
      <c r="H2"/>
      <c r="I2" s="1"/>
      <c r="J2" s="1"/>
      <c r="K2" s="1"/>
      <c r="L2" s="1"/>
      <c r="M2" s="87"/>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7"/>
      <c r="AW2" s="87"/>
      <c r="AX2" s="84"/>
      <c r="AY2" s="89"/>
      <c r="AZ2" s="88"/>
      <c r="BA2" s="84"/>
      <c r="BJ2" s="89"/>
      <c r="BK2" s="87"/>
      <c r="BL2" s="87"/>
      <c r="BM2" s="87"/>
      <c r="BN2" s="87"/>
      <c r="BO2" s="87"/>
      <c r="BP2" s="88"/>
      <c r="BQ2" s="88"/>
      <c r="BR2" s="10"/>
      <c r="BS2" s="89"/>
      <c r="BT2" s="89"/>
      <c r="BU2" s="89"/>
      <c r="BV2" s="87"/>
      <c r="BW2" s="87"/>
      <c r="BX2" s="89"/>
      <c r="BY2" s="89"/>
      <c r="BZ2" s="87"/>
      <c r="CA2" s="89"/>
    </row>
    <row r="3" spans="2:108" ht="15.75" customHeight="1">
      <c r="B3"/>
      <c r="C3" s="91" t="s">
        <v>1316</v>
      </c>
      <c r="D3" s="1073">
        <v>44987.744351851848</v>
      </c>
      <c r="E3" s="1073"/>
      <c r="F3"/>
      <c r="G3"/>
      <c r="H3"/>
      <c r="I3"/>
      <c r="J3"/>
      <c r="K3"/>
      <c r="L3"/>
      <c r="M3"/>
      <c r="N3"/>
      <c r="O3"/>
      <c r="P3"/>
      <c r="Q3"/>
      <c r="R3"/>
      <c r="S3"/>
      <c r="T3"/>
      <c r="U3"/>
      <c r="V3"/>
      <c r="W3"/>
      <c r="X3"/>
      <c r="Y3"/>
      <c r="Z3"/>
      <c r="AA3"/>
      <c r="AB3"/>
      <c r="AC3"/>
      <c r="AD3"/>
      <c r="AE3"/>
      <c r="AF3"/>
      <c r="AG3"/>
      <c r="AH3"/>
      <c r="AI3"/>
      <c r="AJ3"/>
      <c r="AK3"/>
      <c r="AL3"/>
      <c r="AM3"/>
      <c r="AN3"/>
      <c r="AO3"/>
      <c r="AP3"/>
      <c r="AQ3"/>
      <c r="AR3"/>
      <c r="AS3"/>
      <c r="AT3"/>
      <c r="AU3"/>
      <c r="AX3" s="508" t="str">
        <f>IF($B3="", "-", IF(AND($D3="Renda Variável", $J3&lt;&gt;"Brasil"), "Renda Variável "&amp;$J3, $E3&amp;" "&amp;IF($E3="Pré-fixado", $G3, IF($E3="Inflação", $G3, IF($D3="Multimercado", IF(E3="Macro", "-", SUBSTITUTE(SUBSTITUTE(SUBSTITUTE($F3, "Cambial", "Multiestratégia"),"Commodities", "Multiestratégia"),"Criptomoedas", "Multiestratégia")), IF($E3="Long Only", $J3,  IF($E3="Alternativos", "Alternativos", IF(D3="RF Internacional", "RF Internacional","-"))))))))</f>
        <v>-</v>
      </c>
      <c r="AY3" s="509" t="str">
        <f>IF($B3="", "-", SUBSTITUTE(SUBSTITUTE(SUBSTITUTE(SUBSTITUTE(SUBSTITUTE(SUBSTITUTE(SUBSTITUTE(SUBSTITUTE(SUBSTITUTE(SUBSTITUTE(SUBSTITUTE(SUBSTITUTE(SUBSTITUTE(SUBSTITUTE(SUBSTITUTE(SUBSTITUTE(SUBSTITUTE(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Reference", " REF"), " Ref", " REF"), " Di ", " DI "), " Cdi ", " CDI "), " De Fi", " de FI"), " REF Di", " REF DI"), " De ", " de "), " E ", " e "), "RF Di", "RF DI"),"FIC Fi", "FIC FI"), " Ie", " IE"), " Us ", " US "), " Brl", " BRL"), " Usd", " USD"), " Fiq", " FIQ"), "Ii", "II"), " Ls", " LS"), " Lb", " LB"), "Btg", "BTG"), "Jgp", "JGP"), "Arx", "ARX"), "Spx", "SPX"), "Nch", "NCH"),  "Sth ", "STH "), "BTGp", "BTGP"))</f>
        <v>-</v>
      </c>
      <c r="AZ3" s="509" t="str">
        <f>IF($B3="", "-", IF(L3="","-", L3))</f>
        <v>-</v>
      </c>
      <c r="BA3" s="509" t="str">
        <f>IF($B3="", "-", IF(M3="","-", M3))</f>
        <v>-</v>
      </c>
      <c r="BB3" s="509" t="str">
        <f>IF($B3="", "-", IF(O3="","-", O3))</f>
        <v>-</v>
      </c>
      <c r="BC3" s="509" t="str">
        <f>IF($B3="", "-", IF(AO3="","-", AO3))</f>
        <v>-</v>
      </c>
      <c r="BD3" s="509" t="str">
        <f>IF($B3="", "-", IF(F3="","-", F3))</f>
        <v>-</v>
      </c>
      <c r="BE3" s="509" t="str">
        <f>IF($B3="", "-", IF(J3="","-", J3))</f>
        <v>-</v>
      </c>
      <c r="BF3" s="509" t="str">
        <f>IF($B3="", "-", IF(K3="","-", K3))</f>
        <v>-</v>
      </c>
      <c r="BG3" s="509" t="str">
        <f>IF($B3="", "-", S3)</f>
        <v>-</v>
      </c>
      <c r="BH3" s="665" t="str">
        <f>IF($B3="", "-", AL3)</f>
        <v>-</v>
      </c>
      <c r="BI3" s="510" t="str">
        <f>IF($B3="", "-", AR3)</f>
        <v>-</v>
      </c>
      <c r="BJ3" s="511" t="str">
        <f>IF($B3="", "-", AI3)</f>
        <v>-</v>
      </c>
      <c r="BK3" s="511" t="str">
        <f>IF($B3="", "-", IFERROR(IF(FIND("geral", $AH3), "IG"), IFERROR(IF(FIND("qualificado", $AH3), "IQ"), IFERROR(IF(FIND(" profission", $AH3), "IP"), "-"))))</f>
        <v>-</v>
      </c>
      <c r="BL3" s="511" t="str">
        <f>IF($B3="", "-", Q3*1000000)</f>
        <v>-</v>
      </c>
      <c r="BM3" s="195" t="str">
        <f>IF($B3="", "-", P3)</f>
        <v>-</v>
      </c>
      <c r="BN3" s="510" t="str">
        <f t="shared" ref="BN3:BW3" si="0">IF($B3="", "-", IF(T3="", "-", T3))</f>
        <v>-</v>
      </c>
      <c r="BO3" s="510" t="str">
        <f t="shared" si="0"/>
        <v>-</v>
      </c>
      <c r="BP3" s="510" t="str">
        <f t="shared" si="0"/>
        <v>-</v>
      </c>
      <c r="BQ3" s="510" t="str">
        <f t="shared" si="0"/>
        <v>-</v>
      </c>
      <c r="BR3" s="510" t="str">
        <f t="shared" si="0"/>
        <v>-</v>
      </c>
      <c r="BS3" s="510" t="str">
        <f t="shared" si="0"/>
        <v>-</v>
      </c>
      <c r="BT3" s="510" t="str">
        <f t="shared" si="0"/>
        <v>-</v>
      </c>
      <c r="BU3" s="510" t="str">
        <f t="shared" si="0"/>
        <v>-</v>
      </c>
      <c r="BV3" s="510" t="str">
        <f t="shared" si="0"/>
        <v>-</v>
      </c>
      <c r="BW3" s="512" t="str">
        <f t="shared" si="0"/>
        <v>-</v>
      </c>
      <c r="BX3" s="509" t="str">
        <f>IF($B3="", "-", C3)</f>
        <v>-</v>
      </c>
      <c r="BY3" s="89"/>
      <c r="BZ3" s="87"/>
      <c r="CA3" s="89"/>
      <c r="CD3" s="175" t="e">
        <f>IF(#REF!="", "-", IF(AND(#REF!="Renda Variável",#REF!&lt;&gt; "Brasil"), "Renda Variável "&amp;#REF!,#REF!&amp; " "&amp;IF(#REF!="Pré-fixado",#REF!, IF(#REF!= "Inflação",#REF!, IF(#REF!= "Multimercado", IF(#REF!="Macro", "-",#REF!), IF(#REF!="Long Only",#REF!,  IF(#REF!= "Alternativos", "Alternativos", "-")))))))</f>
        <v>#REF!</v>
      </c>
      <c r="CE3" s="175" t="e">
        <f>IF(#REF!="", "-", SUBSTITUTE(SUBSTITUTE(SUBSTITUTE(SUBSTITUTE(SUBSTITUTE(SUBSTITUTE(SUBSTITUTE(SUBSTITUTE( SUBSTITUTE(SUBSTITUTE(SUBSTITUTE(SUBSTITUTE(SUBSTITUTE(SUBSTITUTE(SUBSTITUTE(SUBSTITUTE(SUBSTITUTE(SUBSTITUTE(SUBSTITUTE(SUBSTITUTE(SUBSTITUTE(SUBSTITUTE(SUBSTITUTE(SUBSTITUTE(SUBSTITUTE(SUBSTITUTE(SUBSTITUTE(PROPER(#REF!),"Cdi+", "CDI+"), " Fic", " FIC"), " Fim", " FIM"), " Fia", " FIA"), " Cp", " CP"), " Rf", " RF"), " Fi ", " FI "), " Lp", " LP"), " Mm", " MM"), " Bdr", " BDR"), " Firf", " FIRF"), " Referenciado", " REF"), " Ref", " REF"), " Di ", " DI "), " De Fi", " de FI"), " REF Di", " REF DI"), " De ", " de "), " E ", " e "), "RF Di", "RF DI"),"FIC Fi", "FIC FI"), " Ie", " IE"), " Fiq", " FIQ"), "Ii", "II"), " Ls", " LS"), "Btg", "BTG"), "Jgp", "JGP"), "Arx", "ARX"))</f>
        <v>#REF!</v>
      </c>
      <c r="CF3" s="161" t="e">
        <f>IF(#REF!="", "-", IF(#REF!="","-",#REF!))</f>
        <v>#REF!</v>
      </c>
      <c r="CG3" s="161" t="e">
        <f>IF(#REF!="", "-", IF(#REF!="","-",#REF!))</f>
        <v>#REF!</v>
      </c>
      <c r="CH3" s="161" t="e">
        <f>IF(#REF!="", "-", IF(#REF!="","-",#REF!))</f>
        <v>#REF!</v>
      </c>
      <c r="CI3" s="161" t="e">
        <f>IF(#REF!="", "-", IF(#REF!="","-",#REF!))</f>
        <v>#REF!</v>
      </c>
      <c r="CJ3" s="161" t="e">
        <f>IF(#REF!="", "-", IF(#REF!="","-",#REF!))</f>
        <v>#REF!</v>
      </c>
      <c r="CK3" s="161" t="e">
        <f>IF(#REF!="", "-", IF(#REF!="","-",#REF!))</f>
        <v>#REF!</v>
      </c>
      <c r="CL3" s="161" t="e">
        <f>IF(#REF!="", "-", IF(#REF!="","-",#REF!))</f>
        <v>#REF!</v>
      </c>
      <c r="CM3" s="161" t="e">
        <f xml:space="preserve"> IF(#REF!="", "-",#REF!)</f>
        <v>#REF!</v>
      </c>
      <c r="CN3" s="163" t="e">
        <f xml:space="preserve"> IF(#REF!="", "-",#REF!)</f>
        <v>#REF!</v>
      </c>
      <c r="CO3" s="163" t="e">
        <f>IF(#REF!="", "-", BY3)</f>
        <v>#REF!</v>
      </c>
      <c r="CP3" s="176" t="e">
        <f xml:space="preserve"> IF(#REF!="", "-",#REF!)</f>
        <v>#REF!</v>
      </c>
      <c r="CQ3" s="176" t="e">
        <f>IF(#REF!="", "-", IFERROR(IF( FIND("geral",#REF!), "IG"), IFERROR(IF( FIND("qualificado",#REF!), "IQ"), IFERROR(IF( FIND(" profission",#REF!), "IP"), "-"))))</f>
        <v>#REF!</v>
      </c>
      <c r="CR3" s="176" t="e">
        <f xml:space="preserve"> IF(#REF!="", "-",#REF!)</f>
        <v>#REF!</v>
      </c>
      <c r="CS3" s="195" t="e">
        <f xml:space="preserve"> IF(#REF!="", "-",#REF!)</f>
        <v>#REF!</v>
      </c>
      <c r="CT3" s="163" t="e">
        <f>IF(#REF!="", "-", IF(#REF!="", "-",#REF!))</f>
        <v>#REF!</v>
      </c>
      <c r="CU3" s="163" t="e">
        <f>IF(#REF!="", "-", IF(#REF!="", "-",#REF!))</f>
        <v>#REF!</v>
      </c>
      <c r="CV3" s="163" t="e">
        <f>IF(#REF!="", "-", IF(#REF!="", "-",#REF!))</f>
        <v>#REF!</v>
      </c>
      <c r="CW3" s="163" t="e">
        <f>IF(#REF!="", "-", IF(#REF!="", "-",#REF!))</f>
        <v>#REF!</v>
      </c>
      <c r="CX3" s="163" t="e">
        <f>IF(#REF!="", "-", IF(#REF!="", "-",#REF!))</f>
        <v>#REF!</v>
      </c>
      <c r="CY3" s="163" t="e">
        <f>IF(#REF!="", "-", IF(#REF!="", "-",#REF!))</f>
        <v>#REF!</v>
      </c>
      <c r="CZ3" s="163" t="e">
        <f>IF(#REF!="", "-", IF(#REF!="", "-",#REF!))</f>
        <v>#REF!</v>
      </c>
      <c r="DA3" s="163" t="e">
        <f>IF(#REF!="", "-", IF(#REF!="", "-",#REF!))</f>
        <v>#REF!</v>
      </c>
      <c r="DB3" s="163" t="e">
        <f>IF(#REF!="", "-", IF(#REF!="", "-",#REF!))</f>
        <v>#REF!</v>
      </c>
      <c r="DC3" s="166" t="e">
        <f>IF(#REF!="", "-", IF(#REF!="", "-",#REF!))</f>
        <v>#REF!</v>
      </c>
      <c r="DD3" s="161" t="e">
        <f xml:space="preserve"> IF(#REF!="", "-",#REF!)</f>
        <v>#REF!</v>
      </c>
    </row>
    <row r="4" spans="2:108" ht="11.25" customHeight="1" thickBot="1">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X4" s="84"/>
      <c r="AY4" s="89"/>
      <c r="AZ4" s="88"/>
      <c r="BA4" s="84"/>
      <c r="BB4" s="84"/>
      <c r="BC4" s="664"/>
      <c r="BD4" s="84"/>
      <c r="BE4" s="84"/>
      <c r="BF4" s="84"/>
      <c r="BG4" s="84"/>
      <c r="BH4" s="664"/>
      <c r="BI4" s="84"/>
      <c r="BJ4" s="89"/>
      <c r="BK4" s="87"/>
      <c r="BL4" s="87"/>
      <c r="BM4" s="87"/>
      <c r="BN4" s="87"/>
      <c r="BO4" s="87"/>
      <c r="BP4" s="88"/>
      <c r="BQ4" s="88"/>
      <c r="BR4" s="10"/>
      <c r="BS4" s="89"/>
      <c r="BT4" s="89"/>
      <c r="BU4" s="89"/>
      <c r="BV4" s="87"/>
      <c r="BW4" s="87"/>
      <c r="BX4" s="89"/>
      <c r="BY4" s="89"/>
      <c r="BZ4" s="87"/>
      <c r="CA4" s="89"/>
    </row>
    <row r="5" spans="2:108" s="83" customFormat="1" ht="32.25" thickBot="1">
      <c r="B5" s="247" t="s">
        <v>57</v>
      </c>
      <c r="C5" s="248" t="s">
        <v>31</v>
      </c>
      <c r="D5" s="247" t="s">
        <v>703</v>
      </c>
      <c r="E5" s="247" t="s">
        <v>655</v>
      </c>
      <c r="F5" s="247" t="s">
        <v>656</v>
      </c>
      <c r="G5" s="247" t="s">
        <v>704</v>
      </c>
      <c r="H5" s="247" t="s">
        <v>622</v>
      </c>
      <c r="I5" s="247" t="s">
        <v>705</v>
      </c>
      <c r="J5" s="247" t="s">
        <v>657</v>
      </c>
      <c r="K5" s="247" t="s">
        <v>8</v>
      </c>
      <c r="L5" s="247" t="s">
        <v>32</v>
      </c>
      <c r="M5" s="247" t="s">
        <v>1413</v>
      </c>
      <c r="N5" s="262" t="s">
        <v>2088</v>
      </c>
      <c r="O5" s="249" t="s">
        <v>1438</v>
      </c>
      <c r="P5" s="249" t="s">
        <v>706</v>
      </c>
      <c r="Q5" s="249" t="s">
        <v>707</v>
      </c>
      <c r="R5" s="249" t="s">
        <v>2089</v>
      </c>
      <c r="S5" s="249" t="s">
        <v>33</v>
      </c>
      <c r="T5" s="249" t="s">
        <v>708</v>
      </c>
      <c r="U5" s="249" t="s">
        <v>709</v>
      </c>
      <c r="V5" s="249" t="s">
        <v>710</v>
      </c>
      <c r="W5" s="249" t="s">
        <v>711</v>
      </c>
      <c r="X5" s="249" t="s">
        <v>712</v>
      </c>
      <c r="Y5" s="249" t="s">
        <v>1329</v>
      </c>
      <c r="Z5" s="249" t="s">
        <v>1330</v>
      </c>
      <c r="AA5" s="249" t="s">
        <v>713</v>
      </c>
      <c r="AB5" s="249" t="s">
        <v>714</v>
      </c>
      <c r="AC5" s="249" t="s">
        <v>605</v>
      </c>
      <c r="AD5" s="249" t="s">
        <v>2090</v>
      </c>
      <c r="AE5" s="249" t="s">
        <v>2091</v>
      </c>
      <c r="AF5" s="249" t="s">
        <v>653</v>
      </c>
      <c r="AG5" s="249" t="s">
        <v>2092</v>
      </c>
      <c r="AH5" s="249" t="s">
        <v>2093</v>
      </c>
      <c r="AI5" s="249" t="s">
        <v>2094</v>
      </c>
      <c r="AJ5" s="249" t="s">
        <v>2095</v>
      </c>
      <c r="AK5" s="249" t="s">
        <v>2096</v>
      </c>
      <c r="AL5" s="249" t="s">
        <v>1331</v>
      </c>
      <c r="AM5" s="249" t="s">
        <v>2097</v>
      </c>
      <c r="AN5" s="249" t="s">
        <v>654</v>
      </c>
      <c r="AO5" s="249" t="s">
        <v>1333</v>
      </c>
      <c r="AP5" s="249" t="s">
        <v>2098</v>
      </c>
      <c r="AQ5" s="249" t="s">
        <v>2099</v>
      </c>
      <c r="AR5" s="108" t="s">
        <v>2100</v>
      </c>
      <c r="AS5" s="108" t="s">
        <v>2101</v>
      </c>
      <c r="AT5" s="247" t="s">
        <v>2102</v>
      </c>
      <c r="AU5" s="247" t="s">
        <v>2749</v>
      </c>
      <c r="AV5"/>
      <c r="AW5"/>
      <c r="AX5" s="174" t="s">
        <v>655</v>
      </c>
      <c r="AY5" s="173" t="s">
        <v>1334</v>
      </c>
      <c r="AZ5" s="174" t="s">
        <v>32</v>
      </c>
      <c r="BA5" s="174" t="s">
        <v>1413</v>
      </c>
      <c r="BB5" s="174" t="s">
        <v>1415</v>
      </c>
      <c r="BC5" s="174" t="s">
        <v>4561</v>
      </c>
      <c r="BD5" s="174" t="s">
        <v>656</v>
      </c>
      <c r="BE5" s="174" t="s">
        <v>657</v>
      </c>
      <c r="BF5" s="174" t="s">
        <v>8</v>
      </c>
      <c r="BG5" s="174" t="s">
        <v>33</v>
      </c>
      <c r="BH5" s="174" t="s">
        <v>1331</v>
      </c>
      <c r="BI5" s="174" t="s">
        <v>1408</v>
      </c>
      <c r="BJ5" s="174" t="s">
        <v>1418</v>
      </c>
      <c r="BK5" s="174" t="s">
        <v>1420</v>
      </c>
      <c r="BL5" s="174" t="s">
        <v>707</v>
      </c>
      <c r="BM5" s="174" t="s">
        <v>706</v>
      </c>
      <c r="BN5" s="174" t="s">
        <v>708</v>
      </c>
      <c r="BO5" s="174" t="s">
        <v>709</v>
      </c>
      <c r="BP5" s="174" t="s">
        <v>710</v>
      </c>
      <c r="BQ5" s="174" t="s">
        <v>711</v>
      </c>
      <c r="BR5" s="174" t="s">
        <v>712</v>
      </c>
      <c r="BS5" s="174" t="s">
        <v>1329</v>
      </c>
      <c r="BT5" s="174" t="s">
        <v>1330</v>
      </c>
      <c r="BU5" s="174" t="s">
        <v>713</v>
      </c>
      <c r="BV5" s="174" t="s">
        <v>714</v>
      </c>
      <c r="BW5" s="174" t="s">
        <v>605</v>
      </c>
      <c r="BX5" s="174" t="s">
        <v>31</v>
      </c>
    </row>
    <row r="6" spans="2:108" ht="18.75">
      <c r="B6" s="252" t="s">
        <v>2738</v>
      </c>
      <c r="C6" s="251">
        <v>47612737000129</v>
      </c>
      <c r="D6" s="252" t="s">
        <v>11</v>
      </c>
      <c r="E6" s="252" t="s">
        <v>620</v>
      </c>
      <c r="F6" s="252" t="s">
        <v>692</v>
      </c>
      <c r="G6" s="253" t="s">
        <v>738</v>
      </c>
      <c r="H6" s="253" t="s">
        <v>34</v>
      </c>
      <c r="I6" s="253" t="s">
        <v>1304</v>
      </c>
      <c r="J6" s="253" t="s">
        <v>608</v>
      </c>
      <c r="K6" s="253" t="s">
        <v>48</v>
      </c>
      <c r="L6" s="655" t="s">
        <v>715</v>
      </c>
      <c r="M6" s="655" t="s">
        <v>34</v>
      </c>
      <c r="N6" s="253" t="s">
        <v>2762</v>
      </c>
      <c r="O6" s="253" t="s">
        <v>1321</v>
      </c>
      <c r="P6" s="656">
        <v>44862</v>
      </c>
      <c r="Q6" s="657">
        <v>19.197750389999999</v>
      </c>
      <c r="R6" s="657">
        <v>10.559716636081081</v>
      </c>
      <c r="S6" s="253">
        <v>31</v>
      </c>
      <c r="T6" s="658">
        <v>1.6145765836501402E-2</v>
      </c>
      <c r="U6" s="659">
        <v>0.80735368853833445</v>
      </c>
      <c r="V6" s="658"/>
      <c r="W6" s="659"/>
      <c r="X6" s="658"/>
      <c r="Y6" s="659"/>
      <c r="Z6" s="658"/>
      <c r="AA6" s="659"/>
      <c r="AB6" s="658">
        <v>9.3241473114779681E-3</v>
      </c>
      <c r="AC6" s="660"/>
      <c r="AD6" s="682">
        <v>47628885000131</v>
      </c>
      <c r="AE6" s="944" t="s">
        <v>2739</v>
      </c>
      <c r="AF6" s="661" t="s">
        <v>1729</v>
      </c>
      <c r="AG6" s="662" t="s">
        <v>1433</v>
      </c>
      <c r="AH6" s="662" t="s">
        <v>1734</v>
      </c>
      <c r="AI6" s="662">
        <v>500</v>
      </c>
      <c r="AJ6" s="662">
        <v>0</v>
      </c>
      <c r="AK6" s="662">
        <v>500</v>
      </c>
      <c r="AL6" s="658">
        <v>6.7999999999999996E-3</v>
      </c>
      <c r="AM6" s="658">
        <v>0</v>
      </c>
      <c r="AN6" s="659" t="s">
        <v>64</v>
      </c>
      <c r="AO6" s="253" t="s">
        <v>34</v>
      </c>
      <c r="AP6" s="944" t="s">
        <v>1735</v>
      </c>
      <c r="AQ6" s="663" t="s">
        <v>662</v>
      </c>
      <c r="AR6" s="658">
        <v>2.5999999999999999E-3</v>
      </c>
      <c r="AS6" s="658">
        <v>2.5999999999999999E-3</v>
      </c>
      <c r="AT6" s="658" t="s">
        <v>1417</v>
      </c>
      <c r="AU6" s="658" t="s">
        <v>2751</v>
      </c>
      <c r="AX6" s="508"/>
      <c r="AY6" s="509"/>
      <c r="AZ6" s="509"/>
      <c r="BA6" s="509"/>
      <c r="BB6" s="509"/>
      <c r="BC6" s="509"/>
      <c r="BD6" s="509"/>
      <c r="BE6" s="509"/>
      <c r="BF6" s="509"/>
      <c r="BG6" s="509"/>
      <c r="BH6" s="665"/>
      <c r="BI6" s="510"/>
      <c r="BJ6" s="511"/>
      <c r="BK6" s="511"/>
      <c r="BL6" s="511"/>
      <c r="BM6" s="195"/>
      <c r="BN6" s="510"/>
      <c r="BO6" s="510"/>
      <c r="BP6" s="510"/>
      <c r="BQ6" s="510"/>
      <c r="BR6" s="510"/>
      <c r="BS6" s="510"/>
      <c r="BT6" s="510"/>
      <c r="BU6" s="510"/>
      <c r="BV6" s="510"/>
      <c r="BW6" s="512"/>
      <c r="BX6" s="509"/>
      <c r="BY6"/>
      <c r="CA6"/>
    </row>
    <row r="7" spans="2:108" ht="18.75">
      <c r="B7" s="252" t="s">
        <v>646</v>
      </c>
      <c r="C7" s="251">
        <v>32073525000143</v>
      </c>
      <c r="D7" s="252" t="s">
        <v>14</v>
      </c>
      <c r="E7" s="252" t="s">
        <v>614</v>
      </c>
      <c r="F7" s="252" t="s">
        <v>689</v>
      </c>
      <c r="G7" s="253" t="s">
        <v>1417</v>
      </c>
      <c r="H7" s="253" t="s">
        <v>865</v>
      </c>
      <c r="I7" s="253" t="s">
        <v>34</v>
      </c>
      <c r="J7" s="253" t="s">
        <v>608</v>
      </c>
      <c r="K7" s="253" t="s">
        <v>48</v>
      </c>
      <c r="L7" s="655" t="s">
        <v>715</v>
      </c>
      <c r="M7" s="655" t="s">
        <v>34</v>
      </c>
      <c r="N7" s="253" t="s">
        <v>2765</v>
      </c>
      <c r="O7" s="253" t="s">
        <v>1321</v>
      </c>
      <c r="P7" s="656">
        <v>43463</v>
      </c>
      <c r="Q7" s="657">
        <v>817.83664185999999</v>
      </c>
      <c r="R7" s="657">
        <v>696.84476309015974</v>
      </c>
      <c r="S7" s="253">
        <v>32</v>
      </c>
      <c r="T7" s="658">
        <v>-2.1893079742439148E-2</v>
      </c>
      <c r="U7" s="659">
        <v>-1.0947426627210519</v>
      </c>
      <c r="V7" s="658">
        <v>7.4376809141065703E-2</v>
      </c>
      <c r="W7" s="659">
        <v>0.5768152172535066</v>
      </c>
      <c r="X7" s="658">
        <v>0.27304463427534476</v>
      </c>
      <c r="Y7" s="659">
        <v>1.4140961339277505</v>
      </c>
      <c r="Z7" s="658">
        <v>0.41851000716042064</v>
      </c>
      <c r="AA7" s="659">
        <v>1.8896886159501669</v>
      </c>
      <c r="AB7" s="658">
        <v>0.14983627492398699</v>
      </c>
      <c r="AC7" s="660">
        <v>-0.36417816936122394</v>
      </c>
      <c r="AD7" s="682">
        <v>32071783000190</v>
      </c>
      <c r="AE7" s="944" t="s">
        <v>1879</v>
      </c>
      <c r="AF7" s="661" t="s">
        <v>1729</v>
      </c>
      <c r="AG7" s="662" t="s">
        <v>1433</v>
      </c>
      <c r="AH7" s="662" t="s">
        <v>1730</v>
      </c>
      <c r="AI7" s="662">
        <v>50000</v>
      </c>
      <c r="AJ7" s="662">
        <v>5000</v>
      </c>
      <c r="AK7" s="662">
        <v>25000</v>
      </c>
      <c r="AL7" s="658">
        <v>1.9E-2</v>
      </c>
      <c r="AM7" s="658">
        <v>0.2</v>
      </c>
      <c r="AN7" s="659" t="s">
        <v>34</v>
      </c>
      <c r="AO7" s="253" t="s">
        <v>34</v>
      </c>
      <c r="AP7" s="944" t="s">
        <v>1731</v>
      </c>
      <c r="AQ7" s="663" t="s">
        <v>659</v>
      </c>
      <c r="AR7" s="658">
        <v>4.7499999999999999E-3</v>
      </c>
      <c r="AS7" s="658">
        <v>4.7499999999999999E-3</v>
      </c>
      <c r="AT7" s="658" t="s">
        <v>1417</v>
      </c>
      <c r="AU7" s="658" t="s">
        <v>2751</v>
      </c>
      <c r="AX7" s="508"/>
      <c r="AY7" s="509"/>
      <c r="AZ7" s="509"/>
      <c r="BA7" s="509"/>
      <c r="BB7" s="509"/>
      <c r="BC7" s="509"/>
      <c r="BD7" s="509"/>
      <c r="BE7" s="509"/>
      <c r="BF7" s="509"/>
      <c r="BG7" s="509"/>
      <c r="BH7" s="665"/>
      <c r="BI7" s="510"/>
      <c r="BJ7" s="511"/>
      <c r="BK7" s="511"/>
      <c r="BL7" s="511"/>
      <c r="BM7" s="195"/>
      <c r="BN7" s="510"/>
      <c r="BO7" s="510"/>
      <c r="BP7" s="510"/>
      <c r="BQ7" s="510"/>
      <c r="BR7" s="510"/>
      <c r="BS7" s="510"/>
      <c r="BT7" s="510"/>
      <c r="BU7" s="510"/>
      <c r="BV7" s="510"/>
      <c r="BW7" s="512"/>
      <c r="BX7" s="509"/>
      <c r="BY7"/>
      <c r="CA7"/>
    </row>
    <row r="8" spans="2:108" ht="18.75">
      <c r="B8" s="252" t="s">
        <v>721</v>
      </c>
      <c r="C8" s="251">
        <v>23565803000199</v>
      </c>
      <c r="D8" s="252" t="s">
        <v>13</v>
      </c>
      <c r="E8" s="252" t="s">
        <v>615</v>
      </c>
      <c r="F8" s="252" t="s">
        <v>619</v>
      </c>
      <c r="G8" s="253" t="s">
        <v>34</v>
      </c>
      <c r="H8" s="253" t="s">
        <v>1337</v>
      </c>
      <c r="I8" s="253" t="s">
        <v>34</v>
      </c>
      <c r="J8" s="253" t="s">
        <v>611</v>
      </c>
      <c r="K8" s="253" t="s">
        <v>48</v>
      </c>
      <c r="L8" s="655" t="s">
        <v>715</v>
      </c>
      <c r="M8" s="655" t="s">
        <v>34</v>
      </c>
      <c r="N8" s="253" t="s">
        <v>2770</v>
      </c>
      <c r="O8" s="253" t="s">
        <v>1321</v>
      </c>
      <c r="P8" s="656">
        <v>42368</v>
      </c>
      <c r="Q8" s="657">
        <v>4056.7873599999998</v>
      </c>
      <c r="R8" s="657">
        <v>3495.1455493467724</v>
      </c>
      <c r="S8" s="253">
        <v>30</v>
      </c>
      <c r="T8" s="658">
        <v>4.7074661365311687E-3</v>
      </c>
      <c r="U8" s="659">
        <v>0.23539237391920984</v>
      </c>
      <c r="V8" s="658">
        <v>0.21210714381833018</v>
      </c>
      <c r="W8" s="659">
        <v>1.6449566693637518</v>
      </c>
      <c r="X8" s="658">
        <v>0.35218366063752482</v>
      </c>
      <c r="Y8" s="659">
        <v>1.8239565639580737</v>
      </c>
      <c r="Z8" s="658">
        <v>0.39585799380850806</v>
      </c>
      <c r="AA8" s="659">
        <v>1.7874085007149474</v>
      </c>
      <c r="AB8" s="658">
        <v>3.9507999416992456E-2</v>
      </c>
      <c r="AC8" s="660">
        <v>2.1049720461363877</v>
      </c>
      <c r="AD8" s="682">
        <v>21470947000136</v>
      </c>
      <c r="AE8" s="944" t="s">
        <v>1879</v>
      </c>
      <c r="AF8" s="661" t="s">
        <v>1729</v>
      </c>
      <c r="AG8" s="662" t="s">
        <v>1433</v>
      </c>
      <c r="AH8" s="662" t="s">
        <v>1734</v>
      </c>
      <c r="AI8" s="662">
        <v>10000</v>
      </c>
      <c r="AJ8" s="662">
        <v>10000</v>
      </c>
      <c r="AK8" s="662">
        <v>10000</v>
      </c>
      <c r="AL8" s="658">
        <v>1.9E-2</v>
      </c>
      <c r="AM8" s="658">
        <v>0.2</v>
      </c>
      <c r="AN8" s="659" t="s">
        <v>64</v>
      </c>
      <c r="AO8" s="253" t="s">
        <v>34</v>
      </c>
      <c r="AP8" s="944" t="s">
        <v>1746</v>
      </c>
      <c r="AQ8" s="663" t="s">
        <v>664</v>
      </c>
      <c r="AR8" s="658">
        <v>3.8E-3</v>
      </c>
      <c r="AS8" s="658">
        <v>3.8E-3</v>
      </c>
      <c r="AT8" s="658" t="s">
        <v>1417</v>
      </c>
      <c r="AU8" s="658" t="s">
        <v>2751</v>
      </c>
      <c r="AX8" s="508"/>
      <c r="AY8" s="509"/>
      <c r="AZ8" s="509"/>
      <c r="BA8" s="509"/>
      <c r="BB8" s="509"/>
      <c r="BC8" s="509"/>
      <c r="BD8" s="509"/>
      <c r="BE8" s="509"/>
      <c r="BF8" s="509"/>
      <c r="BG8" s="509"/>
      <c r="BH8" s="665"/>
      <c r="BI8" s="510"/>
      <c r="BJ8" s="511"/>
      <c r="BK8" s="511"/>
      <c r="BL8" s="511"/>
      <c r="BM8" s="195"/>
      <c r="BN8" s="510"/>
      <c r="BO8" s="510"/>
      <c r="BP8" s="510"/>
      <c r="BQ8" s="510"/>
      <c r="BR8" s="510"/>
      <c r="BS8" s="510"/>
      <c r="BT8" s="510"/>
      <c r="BU8" s="510"/>
      <c r="BV8" s="510"/>
      <c r="BW8" s="512"/>
      <c r="BX8" s="509"/>
      <c r="BY8"/>
      <c r="CA8"/>
    </row>
    <row r="9" spans="2:108" ht="18.75">
      <c r="B9" s="252" t="s">
        <v>576</v>
      </c>
      <c r="C9" s="251">
        <v>43096273000194</v>
      </c>
      <c r="D9" s="252" t="s">
        <v>14</v>
      </c>
      <c r="E9" s="252" t="s">
        <v>607</v>
      </c>
      <c r="F9" s="252" t="s">
        <v>1417</v>
      </c>
      <c r="G9" s="253" t="s">
        <v>1417</v>
      </c>
      <c r="H9" s="253" t="s">
        <v>34</v>
      </c>
      <c r="I9" s="253" t="s">
        <v>34</v>
      </c>
      <c r="J9" s="253" t="s">
        <v>612</v>
      </c>
      <c r="K9" s="253" t="s">
        <v>48</v>
      </c>
      <c r="L9" s="655" t="s">
        <v>715</v>
      </c>
      <c r="M9" s="655" t="s">
        <v>1414</v>
      </c>
      <c r="N9" s="253" t="s">
        <v>2782</v>
      </c>
      <c r="O9" s="253" t="s">
        <v>1321</v>
      </c>
      <c r="P9" s="656">
        <v>44436</v>
      </c>
      <c r="Q9" s="657">
        <v>0</v>
      </c>
      <c r="R9" s="657">
        <v>30.793677419354847</v>
      </c>
      <c r="S9" s="253">
        <v>212</v>
      </c>
      <c r="T9" s="658"/>
      <c r="U9" s="659"/>
      <c r="V9" s="658">
        <v>-8.9108910891088966E-2</v>
      </c>
      <c r="W9" s="659">
        <v>-0.69106723437652395</v>
      </c>
      <c r="X9" s="658"/>
      <c r="Y9" s="659"/>
      <c r="Z9" s="658"/>
      <c r="AA9" s="659"/>
      <c r="AB9" s="658">
        <v>0.20143437512512383</v>
      </c>
      <c r="AC9" s="660">
        <v>-1.0825005424343819</v>
      </c>
      <c r="AD9" s="682">
        <v>0</v>
      </c>
      <c r="AE9" s="944" t="s">
        <v>1797</v>
      </c>
      <c r="AF9" s="661" t="s">
        <v>1745</v>
      </c>
      <c r="AG9" s="662" t="s">
        <v>1432</v>
      </c>
      <c r="AH9" s="662" t="s">
        <v>1801</v>
      </c>
      <c r="AI9" s="662">
        <v>10000</v>
      </c>
      <c r="AJ9" s="662">
        <v>10000</v>
      </c>
      <c r="AK9" s="662">
        <v>10000</v>
      </c>
      <c r="AL9" s="658">
        <v>0</v>
      </c>
      <c r="AM9" s="658">
        <v>0</v>
      </c>
      <c r="AN9" s="659" t="s">
        <v>2127</v>
      </c>
      <c r="AO9" s="253" t="s">
        <v>34</v>
      </c>
      <c r="AP9" s="944" t="s">
        <v>1731</v>
      </c>
      <c r="AQ9" s="663" t="s">
        <v>687</v>
      </c>
      <c r="AR9" s="658">
        <v>0</v>
      </c>
      <c r="AS9" s="658">
        <v>0</v>
      </c>
      <c r="AT9" s="658" t="s">
        <v>1417</v>
      </c>
      <c r="AU9" s="658" t="s">
        <v>2751</v>
      </c>
      <c r="AX9" s="508"/>
      <c r="AY9" s="509"/>
      <c r="AZ9" s="509"/>
      <c r="BA9" s="509"/>
      <c r="BB9" s="509"/>
      <c r="BC9" s="509"/>
      <c r="BD9" s="509"/>
      <c r="BE9" s="509"/>
      <c r="BF9" s="509"/>
      <c r="BG9" s="509"/>
      <c r="BH9" s="665"/>
      <c r="BI9" s="510"/>
      <c r="BJ9" s="511"/>
      <c r="BK9" s="511"/>
      <c r="BL9" s="511"/>
      <c r="BM9" s="195"/>
      <c r="BN9" s="510"/>
      <c r="BO9" s="510"/>
      <c r="BP9" s="510"/>
      <c r="BQ9" s="510"/>
      <c r="BR9" s="510"/>
      <c r="BS9" s="510"/>
      <c r="BT9" s="510"/>
      <c r="BU9" s="510"/>
      <c r="BV9" s="510"/>
      <c r="BW9" s="512"/>
      <c r="BX9" s="509"/>
      <c r="BY9"/>
      <c r="CA9"/>
    </row>
    <row r="10" spans="2:108" ht="18.75">
      <c r="B10" s="252" t="s">
        <v>772</v>
      </c>
      <c r="C10" s="251">
        <v>37368116000198</v>
      </c>
      <c r="D10" s="252" t="s">
        <v>11</v>
      </c>
      <c r="E10" s="252" t="s">
        <v>621</v>
      </c>
      <c r="F10" s="252" t="s">
        <v>692</v>
      </c>
      <c r="G10" s="253" t="s">
        <v>866</v>
      </c>
      <c r="H10" s="253" t="s">
        <v>34</v>
      </c>
      <c r="I10" s="253" t="s">
        <v>1417</v>
      </c>
      <c r="J10" s="253" t="s">
        <v>608</v>
      </c>
      <c r="K10" s="253" t="s">
        <v>48</v>
      </c>
      <c r="L10" s="655" t="s">
        <v>715</v>
      </c>
      <c r="M10" s="655" t="s">
        <v>34</v>
      </c>
      <c r="N10" s="253" t="s">
        <v>2858</v>
      </c>
      <c r="O10" s="253" t="s">
        <v>1321</v>
      </c>
      <c r="P10" s="656">
        <v>44043</v>
      </c>
      <c r="Q10" s="657">
        <v>29.13215675</v>
      </c>
      <c r="R10" s="657">
        <v>42.382156214838666</v>
      </c>
      <c r="S10" s="253">
        <v>31</v>
      </c>
      <c r="T10" s="658">
        <v>-9.6665019225847804E-3</v>
      </c>
      <c r="U10" s="659">
        <v>-0.4833642492707439</v>
      </c>
      <c r="V10" s="658">
        <v>3.2428355788192142E-2</v>
      </c>
      <c r="W10" s="659">
        <v>0.25149195434914623</v>
      </c>
      <c r="X10" s="658">
        <v>8.8692388294844271E-2</v>
      </c>
      <c r="Y10" s="659">
        <v>0.45933722055889975</v>
      </c>
      <c r="Z10" s="658"/>
      <c r="AA10" s="659"/>
      <c r="AB10" s="658">
        <v>6.6239239548027143E-2</v>
      </c>
      <c r="AC10" s="660">
        <v>-1.4570752067377986</v>
      </c>
      <c r="AD10" s="682">
        <v>37368078000173</v>
      </c>
      <c r="AE10" s="944" t="s">
        <v>1754</v>
      </c>
      <c r="AF10" s="661" t="s">
        <v>1729</v>
      </c>
      <c r="AG10" s="662" t="s">
        <v>1433</v>
      </c>
      <c r="AH10" s="662" t="s">
        <v>1734</v>
      </c>
      <c r="AI10" s="662">
        <v>500</v>
      </c>
      <c r="AJ10" s="662">
        <v>100</v>
      </c>
      <c r="AK10" s="662">
        <v>100</v>
      </c>
      <c r="AL10" s="658">
        <v>0.01</v>
      </c>
      <c r="AM10" s="658">
        <v>0</v>
      </c>
      <c r="AN10" s="659" t="s">
        <v>636</v>
      </c>
      <c r="AO10" s="253" t="s">
        <v>34</v>
      </c>
      <c r="AP10" s="944" t="s">
        <v>1735</v>
      </c>
      <c r="AQ10" s="663" t="s">
        <v>675</v>
      </c>
      <c r="AR10" s="658">
        <v>1.8666666666666699E-3</v>
      </c>
      <c r="AS10" s="658">
        <v>1.8666666666666699E-3</v>
      </c>
      <c r="AT10" s="658" t="s">
        <v>1417</v>
      </c>
      <c r="AU10" s="658" t="s">
        <v>2751</v>
      </c>
      <c r="AX10" s="508"/>
      <c r="AY10" s="509"/>
      <c r="AZ10" s="509"/>
      <c r="BA10" s="509"/>
      <c r="BB10" s="509"/>
      <c r="BC10" s="509"/>
      <c r="BD10" s="509"/>
      <c r="BE10" s="509"/>
      <c r="BF10" s="509"/>
      <c r="BG10" s="509"/>
      <c r="BH10" s="665"/>
      <c r="BI10" s="510"/>
      <c r="BJ10" s="511"/>
      <c r="BK10" s="511"/>
      <c r="BL10" s="511"/>
      <c r="BM10" s="195"/>
      <c r="BN10" s="510"/>
      <c r="BO10" s="510"/>
      <c r="BP10" s="510"/>
      <c r="BQ10" s="510"/>
      <c r="BR10" s="510"/>
      <c r="BS10" s="510"/>
      <c r="BT10" s="510"/>
      <c r="BU10" s="510"/>
      <c r="BV10" s="510"/>
      <c r="BW10" s="512"/>
      <c r="BX10" s="509"/>
      <c r="BY10"/>
      <c r="CA10"/>
    </row>
    <row r="11" spans="2:108" ht="18.75">
      <c r="B11" s="252" t="s">
        <v>773</v>
      </c>
      <c r="C11" s="251">
        <v>32102131000176</v>
      </c>
      <c r="D11" s="252" t="s">
        <v>11</v>
      </c>
      <c r="E11" s="252" t="s">
        <v>620</v>
      </c>
      <c r="F11" s="252" t="s">
        <v>663</v>
      </c>
      <c r="G11" s="253" t="s">
        <v>738</v>
      </c>
      <c r="H11" s="253" t="s">
        <v>34</v>
      </c>
      <c r="I11" s="253" t="s">
        <v>1417</v>
      </c>
      <c r="J11" s="253" t="s">
        <v>608</v>
      </c>
      <c r="K11" s="253" t="s">
        <v>48</v>
      </c>
      <c r="L11" s="655" t="s">
        <v>715</v>
      </c>
      <c r="M11" s="655" t="s">
        <v>34</v>
      </c>
      <c r="N11" s="253" t="s">
        <v>2859</v>
      </c>
      <c r="O11" s="253" t="s">
        <v>1321</v>
      </c>
      <c r="P11" s="656">
        <v>43449</v>
      </c>
      <c r="Q11" s="657">
        <v>450.68002711000003</v>
      </c>
      <c r="R11" s="657">
        <v>453.97106254975921</v>
      </c>
      <c r="S11" s="253">
        <v>61</v>
      </c>
      <c r="T11" s="658">
        <v>2.451964343888946E-3</v>
      </c>
      <c r="U11" s="659">
        <v>0.12260814861614358</v>
      </c>
      <c r="V11" s="658">
        <v>0.13546834780292238</v>
      </c>
      <c r="W11" s="659">
        <v>1.050599042514889</v>
      </c>
      <c r="X11" s="658">
        <v>0.25273990572719662</v>
      </c>
      <c r="Y11" s="659">
        <v>1.3089380955118262</v>
      </c>
      <c r="Z11" s="658">
        <v>0.30217042260583127</v>
      </c>
      <c r="AA11" s="659">
        <v>1.3643831638563784</v>
      </c>
      <c r="AB11" s="658">
        <v>7.9293197395870554E-3</v>
      </c>
      <c r="AC11" s="660">
        <v>0.82282447554243954</v>
      </c>
      <c r="AD11" s="682">
        <v>34962302000162</v>
      </c>
      <c r="AE11" s="944" t="s">
        <v>1754</v>
      </c>
      <c r="AF11" s="661" t="s">
        <v>1729</v>
      </c>
      <c r="AG11" s="662" t="s">
        <v>1433</v>
      </c>
      <c r="AH11" s="662" t="s">
        <v>1730</v>
      </c>
      <c r="AI11" s="662">
        <v>1000</v>
      </c>
      <c r="AJ11" s="662">
        <v>1000</v>
      </c>
      <c r="AK11" s="662">
        <v>1000</v>
      </c>
      <c r="AL11" s="658">
        <v>0</v>
      </c>
      <c r="AM11" s="658">
        <v>0</v>
      </c>
      <c r="AN11" s="659" t="s">
        <v>64</v>
      </c>
      <c r="AO11" s="253" t="s">
        <v>34</v>
      </c>
      <c r="AP11" s="944" t="s">
        <v>1735</v>
      </c>
      <c r="AQ11" s="663" t="s">
        <v>669</v>
      </c>
      <c r="AR11" s="658">
        <v>1.8666666666666699E-3</v>
      </c>
      <c r="AS11" s="658">
        <v>1.8666666666666699E-3</v>
      </c>
      <c r="AT11" s="658" t="s">
        <v>1417</v>
      </c>
      <c r="AU11" s="658" t="s">
        <v>2751</v>
      </c>
      <c r="AX11" s="508"/>
      <c r="AY11" s="509"/>
      <c r="AZ11" s="509"/>
      <c r="BA11" s="509"/>
      <c r="BB11" s="509"/>
      <c r="BC11" s="509"/>
      <c r="BD11" s="509"/>
      <c r="BE11" s="509"/>
      <c r="BF11" s="509"/>
      <c r="BG11" s="509"/>
      <c r="BH11" s="665"/>
      <c r="BI11" s="510"/>
      <c r="BJ11" s="511"/>
      <c r="BK11" s="511"/>
      <c r="BL11" s="511"/>
      <c r="BM11" s="195"/>
      <c r="BN11" s="510"/>
      <c r="BO11" s="510"/>
      <c r="BP11" s="510"/>
      <c r="BQ11" s="510"/>
      <c r="BR11" s="510"/>
      <c r="BS11" s="510"/>
      <c r="BT11" s="510"/>
      <c r="BU11" s="510"/>
      <c r="BV11" s="510"/>
      <c r="BW11" s="512"/>
      <c r="BX11" s="509"/>
      <c r="BY11"/>
      <c r="CA11"/>
    </row>
    <row r="12" spans="2:108" ht="18.75">
      <c r="B12" s="252" t="s">
        <v>93</v>
      </c>
      <c r="C12" s="251">
        <v>3168062000103</v>
      </c>
      <c r="D12" s="252" t="s">
        <v>14</v>
      </c>
      <c r="E12" s="252" t="s">
        <v>607</v>
      </c>
      <c r="F12" s="252" t="s">
        <v>1417</v>
      </c>
      <c r="G12" s="253" t="s">
        <v>1417</v>
      </c>
      <c r="H12" s="253" t="s">
        <v>34</v>
      </c>
      <c r="I12" s="253" t="s">
        <v>34</v>
      </c>
      <c r="J12" s="253" t="s">
        <v>608</v>
      </c>
      <c r="K12" s="253" t="s">
        <v>48</v>
      </c>
      <c r="L12" s="655" t="s">
        <v>715</v>
      </c>
      <c r="M12" s="655" t="s">
        <v>34</v>
      </c>
      <c r="N12" s="253" t="s">
        <v>2862</v>
      </c>
      <c r="O12" s="253" t="s">
        <v>1321</v>
      </c>
      <c r="P12" s="656">
        <v>36330</v>
      </c>
      <c r="Q12" s="657">
        <v>384.45480400000002</v>
      </c>
      <c r="R12" s="657">
        <v>509.10508979919678</v>
      </c>
      <c r="S12" s="253">
        <v>3</v>
      </c>
      <c r="T12" s="658">
        <v>-6.9252810403528375E-2</v>
      </c>
      <c r="U12" s="659">
        <v>-3.4629210213449961</v>
      </c>
      <c r="V12" s="658">
        <v>-0.16228984856867346</v>
      </c>
      <c r="W12" s="659">
        <v>-1.2586080976212846</v>
      </c>
      <c r="X12" s="658">
        <v>-9.580080187253659E-2</v>
      </c>
      <c r="Y12" s="659">
        <v>-0.49615164170748594</v>
      </c>
      <c r="Z12" s="658">
        <v>-6.2140689508579094E-2</v>
      </c>
      <c r="AA12" s="659">
        <v>-0.28058242704491571</v>
      </c>
      <c r="AB12" s="658">
        <v>0.20911727680424883</v>
      </c>
      <c r="AC12" s="660">
        <v>-1.3926814774280025</v>
      </c>
      <c r="AD12" s="682">
        <v>36352662000178</v>
      </c>
      <c r="AE12" s="944" t="s">
        <v>1754</v>
      </c>
      <c r="AF12" s="661" t="s">
        <v>1729</v>
      </c>
      <c r="AG12" s="662" t="s">
        <v>1433</v>
      </c>
      <c r="AH12" s="662" t="s">
        <v>1734</v>
      </c>
      <c r="AI12" s="662">
        <v>5000</v>
      </c>
      <c r="AJ12" s="662">
        <v>1000</v>
      </c>
      <c r="AK12" s="662">
        <v>1000</v>
      </c>
      <c r="AL12" s="658">
        <v>0.03</v>
      </c>
      <c r="AM12" s="658">
        <v>0</v>
      </c>
      <c r="AN12" s="659" t="s">
        <v>2127</v>
      </c>
      <c r="AO12" s="253" t="s">
        <v>34</v>
      </c>
      <c r="AP12" s="944" t="s">
        <v>1731</v>
      </c>
      <c r="AQ12" s="663" t="s">
        <v>667</v>
      </c>
      <c r="AR12" s="658">
        <v>7.4999999999999997E-3</v>
      </c>
      <c r="AS12" s="658">
        <v>7.4999999999999997E-3</v>
      </c>
      <c r="AT12" s="658" t="s">
        <v>1417</v>
      </c>
      <c r="AU12" s="658" t="s">
        <v>2751</v>
      </c>
      <c r="AX12" s="508"/>
      <c r="AY12" s="509"/>
      <c r="AZ12" s="509"/>
      <c r="BA12" s="509"/>
      <c r="BB12" s="509"/>
      <c r="BC12" s="509"/>
      <c r="BD12" s="509"/>
      <c r="BE12" s="509"/>
      <c r="BF12" s="509"/>
      <c r="BG12" s="509"/>
      <c r="BH12" s="665"/>
      <c r="BI12" s="510"/>
      <c r="BJ12" s="511"/>
      <c r="BK12" s="511"/>
      <c r="BL12" s="511"/>
      <c r="BM12" s="195"/>
      <c r="BN12" s="510"/>
      <c r="BO12" s="510"/>
      <c r="BP12" s="510"/>
      <c r="BQ12" s="510"/>
      <c r="BR12" s="510"/>
      <c r="BS12" s="510"/>
      <c r="BT12" s="510"/>
      <c r="BU12" s="510"/>
      <c r="BV12" s="510"/>
      <c r="BW12" s="512"/>
      <c r="BX12" s="509"/>
      <c r="BY12"/>
      <c r="CA12"/>
    </row>
    <row r="13" spans="2:108" ht="18.75">
      <c r="B13" s="252" t="s">
        <v>774</v>
      </c>
      <c r="C13" s="251">
        <v>17414721000140</v>
      </c>
      <c r="D13" s="252" t="s">
        <v>13</v>
      </c>
      <c r="E13" s="252" t="s">
        <v>615</v>
      </c>
      <c r="F13" s="252" t="s">
        <v>619</v>
      </c>
      <c r="G13" s="253" t="s">
        <v>34</v>
      </c>
      <c r="H13" s="253" t="s">
        <v>1338</v>
      </c>
      <c r="I13" s="253" t="s">
        <v>34</v>
      </c>
      <c r="J13" s="253" t="s">
        <v>611</v>
      </c>
      <c r="K13" s="253" t="s">
        <v>48</v>
      </c>
      <c r="L13" s="655" t="s">
        <v>715</v>
      </c>
      <c r="M13" s="655" t="s">
        <v>34</v>
      </c>
      <c r="N13" s="253" t="s">
        <v>2866</v>
      </c>
      <c r="O13" s="253" t="s">
        <v>1321</v>
      </c>
      <c r="P13" s="656">
        <v>42187</v>
      </c>
      <c r="Q13" s="657">
        <v>280.40779900000001</v>
      </c>
      <c r="R13" s="657">
        <v>670.03504000401608</v>
      </c>
      <c r="S13" s="253">
        <v>1</v>
      </c>
      <c r="T13" s="658">
        <v>-1.227726085553249E-2</v>
      </c>
      <c r="U13" s="659">
        <v>-0.61391277052047832</v>
      </c>
      <c r="V13" s="658">
        <v>-6.3355831601915824E-2</v>
      </c>
      <c r="W13" s="659">
        <v>-0.49134411911142695</v>
      </c>
      <c r="X13" s="658">
        <v>2.0615118469667681E-2</v>
      </c>
      <c r="Y13" s="659">
        <v>0.10676554551525191</v>
      </c>
      <c r="Z13" s="658">
        <v>0.20754578812217228</v>
      </c>
      <c r="AA13" s="659">
        <v>0.93712672670343067</v>
      </c>
      <c r="AB13" s="658">
        <v>0.1236901544060167</v>
      </c>
      <c r="AC13" s="660">
        <v>-1.5546891502574605</v>
      </c>
      <c r="AD13" s="682">
        <v>19736757000176</v>
      </c>
      <c r="AE13" s="944" t="s">
        <v>1754</v>
      </c>
      <c r="AF13" s="661" t="s">
        <v>1729</v>
      </c>
      <c r="AG13" s="662" t="s">
        <v>1433</v>
      </c>
      <c r="AH13" s="662" t="s">
        <v>1734</v>
      </c>
      <c r="AI13" s="662">
        <v>1000</v>
      </c>
      <c r="AJ13" s="662">
        <v>1000</v>
      </c>
      <c r="AK13" s="662">
        <v>1000</v>
      </c>
      <c r="AL13" s="658">
        <v>2.5000000000000001E-2</v>
      </c>
      <c r="AM13" s="658">
        <v>0.2</v>
      </c>
      <c r="AN13" s="659" t="s">
        <v>64</v>
      </c>
      <c r="AO13" s="253" t="s">
        <v>34</v>
      </c>
      <c r="AP13" s="944" t="s">
        <v>1746</v>
      </c>
      <c r="AQ13" s="663" t="s">
        <v>664</v>
      </c>
      <c r="AR13" s="658">
        <v>4.6666666666666697E-3</v>
      </c>
      <c r="AS13" s="658">
        <v>4.6666666666666697E-3</v>
      </c>
      <c r="AT13" s="658" t="s">
        <v>1417</v>
      </c>
      <c r="AU13" s="658" t="s">
        <v>2751</v>
      </c>
      <c r="AX13" s="508"/>
      <c r="AY13" s="509"/>
      <c r="AZ13" s="509"/>
      <c r="BA13" s="509"/>
      <c r="BB13" s="509"/>
      <c r="BC13" s="509"/>
      <c r="BD13" s="509"/>
      <c r="BE13" s="509"/>
      <c r="BF13" s="509"/>
      <c r="BG13" s="509"/>
      <c r="BH13" s="665"/>
      <c r="BI13" s="510"/>
      <c r="BJ13" s="511"/>
      <c r="BK13" s="511"/>
      <c r="BL13" s="511"/>
      <c r="BM13" s="195"/>
      <c r="BN13" s="510"/>
      <c r="BO13" s="510"/>
      <c r="BP13" s="510"/>
      <c r="BQ13" s="510"/>
      <c r="BR13" s="510"/>
      <c r="BS13" s="510"/>
      <c r="BT13" s="510"/>
      <c r="BU13" s="510"/>
      <c r="BV13" s="510"/>
      <c r="BW13" s="512"/>
      <c r="BX13" s="509"/>
      <c r="BY13"/>
      <c r="CA13"/>
    </row>
    <row r="14" spans="2:108" ht="18.75">
      <c r="B14" s="252" t="s">
        <v>775</v>
      </c>
      <c r="C14" s="251">
        <v>30910553000142</v>
      </c>
      <c r="D14" s="252" t="s">
        <v>11</v>
      </c>
      <c r="E14" s="252" t="s">
        <v>620</v>
      </c>
      <c r="F14" s="252" t="s">
        <v>663</v>
      </c>
      <c r="G14" s="253" t="s">
        <v>738</v>
      </c>
      <c r="H14" s="253" t="s">
        <v>34</v>
      </c>
      <c r="I14" s="253" t="s">
        <v>1417</v>
      </c>
      <c r="J14" s="253" t="s">
        <v>608</v>
      </c>
      <c r="K14" s="253" t="s">
        <v>48</v>
      </c>
      <c r="L14" s="655" t="s">
        <v>715</v>
      </c>
      <c r="M14" s="655" t="s">
        <v>34</v>
      </c>
      <c r="N14" s="253" t="s">
        <v>2867</v>
      </c>
      <c r="O14" s="253" t="s">
        <v>1321</v>
      </c>
      <c r="P14" s="656">
        <v>43338</v>
      </c>
      <c r="Q14" s="657">
        <v>1012.61313192</v>
      </c>
      <c r="R14" s="657">
        <v>1305.8504019988709</v>
      </c>
      <c r="S14" s="253">
        <v>31</v>
      </c>
      <c r="T14" s="658">
        <v>2.9260241024913203E-3</v>
      </c>
      <c r="U14" s="659">
        <v>0.14631305667506991</v>
      </c>
      <c r="V14" s="658">
        <v>0.12736183307442994</v>
      </c>
      <c r="W14" s="659">
        <v>0.98773050717055166</v>
      </c>
      <c r="X14" s="658">
        <v>0.23312828396245555</v>
      </c>
      <c r="Y14" s="659">
        <v>1.2073696519817938</v>
      </c>
      <c r="Z14" s="658">
        <v>0.26475901784366696</v>
      </c>
      <c r="AA14" s="659">
        <v>1.1954603078285486</v>
      </c>
      <c r="AB14" s="658">
        <v>7.1215012475241441E-3</v>
      </c>
      <c r="AC14" s="660">
        <v>-0.22215489647052061</v>
      </c>
      <c r="AD14" s="682">
        <v>34474470000109</v>
      </c>
      <c r="AE14" s="944" t="s">
        <v>1754</v>
      </c>
      <c r="AF14" s="661" t="s">
        <v>1729</v>
      </c>
      <c r="AG14" s="662" t="s">
        <v>1433</v>
      </c>
      <c r="AH14" s="662" t="s">
        <v>1734</v>
      </c>
      <c r="AI14" s="662">
        <v>1000</v>
      </c>
      <c r="AJ14" s="662">
        <v>1000</v>
      </c>
      <c r="AK14" s="662">
        <v>1000</v>
      </c>
      <c r="AL14" s="658">
        <v>9.0000000000000011E-3</v>
      </c>
      <c r="AM14" s="658">
        <v>0</v>
      </c>
      <c r="AN14" s="659" t="s">
        <v>64</v>
      </c>
      <c r="AO14" s="253" t="s">
        <v>34</v>
      </c>
      <c r="AP14" s="944" t="s">
        <v>1735</v>
      </c>
      <c r="AQ14" s="663" t="s">
        <v>662</v>
      </c>
      <c r="AR14" s="658">
        <v>1.4E-3</v>
      </c>
      <c r="AS14" s="658">
        <v>1.4E-3</v>
      </c>
      <c r="AT14" s="658" t="s">
        <v>1417</v>
      </c>
      <c r="AU14" s="658" t="s">
        <v>2751</v>
      </c>
      <c r="AX14" s="508"/>
      <c r="AY14" s="509"/>
      <c r="AZ14" s="509"/>
      <c r="BA14" s="509"/>
      <c r="BB14" s="509"/>
      <c r="BC14" s="509"/>
      <c r="BD14" s="509"/>
      <c r="BE14" s="509"/>
      <c r="BF14" s="509"/>
      <c r="BG14" s="509"/>
      <c r="BH14" s="665"/>
      <c r="BI14" s="510"/>
      <c r="BJ14" s="511"/>
      <c r="BK14" s="511"/>
      <c r="BL14" s="511"/>
      <c r="BM14" s="195"/>
      <c r="BN14" s="510"/>
      <c r="BO14" s="510"/>
      <c r="BP14" s="510"/>
      <c r="BQ14" s="510"/>
      <c r="BR14" s="510"/>
      <c r="BS14" s="510"/>
      <c r="BT14" s="510"/>
      <c r="BU14" s="510"/>
      <c r="BV14" s="510"/>
      <c r="BW14" s="512"/>
      <c r="BX14" s="509"/>
      <c r="BY14"/>
      <c r="CA14"/>
    </row>
    <row r="15" spans="2:108" ht="18.75">
      <c r="B15" s="252" t="s">
        <v>35</v>
      </c>
      <c r="C15" s="251">
        <v>27717359000130</v>
      </c>
      <c r="D15" s="252" t="s">
        <v>11</v>
      </c>
      <c r="E15" s="252" t="s">
        <v>620</v>
      </c>
      <c r="F15" s="252" t="s">
        <v>663</v>
      </c>
      <c r="G15" s="253" t="s">
        <v>738</v>
      </c>
      <c r="H15" s="253" t="s">
        <v>34</v>
      </c>
      <c r="I15" s="253" t="s">
        <v>1304</v>
      </c>
      <c r="J15" s="253" t="s">
        <v>608</v>
      </c>
      <c r="K15" s="253" t="s">
        <v>48</v>
      </c>
      <c r="L15" s="655" t="s">
        <v>715</v>
      </c>
      <c r="M15" s="655" t="s">
        <v>34</v>
      </c>
      <c r="N15" s="253" t="s">
        <v>3029</v>
      </c>
      <c r="O15" s="253" t="s">
        <v>1321</v>
      </c>
      <c r="P15" s="656">
        <v>43061</v>
      </c>
      <c r="Q15" s="657">
        <v>5634.1116523600003</v>
      </c>
      <c r="R15" s="657">
        <v>4068.4134849520874</v>
      </c>
      <c r="S15" s="253">
        <v>0</v>
      </c>
      <c r="T15" s="658">
        <v>2.0671156751377318E-2</v>
      </c>
      <c r="U15" s="659">
        <v>1.033641563898394</v>
      </c>
      <c r="V15" s="658">
        <v>0.13483779765072024</v>
      </c>
      <c r="W15" s="659">
        <v>1.0457089305669309</v>
      </c>
      <c r="X15" s="658">
        <v>0.20581046421173821</v>
      </c>
      <c r="Y15" s="659">
        <v>1.0658908662904072</v>
      </c>
      <c r="Z15" s="658">
        <v>0.20845120672731832</v>
      </c>
      <c r="AA15" s="659">
        <v>0.94121494252035398</v>
      </c>
      <c r="AB15" s="658">
        <v>8.9493726359862432E-4</v>
      </c>
      <c r="AC15" s="660">
        <v>6.5858115911187154</v>
      </c>
      <c r="AD15" s="682">
        <v>0</v>
      </c>
      <c r="AE15" s="944" t="s">
        <v>1747</v>
      </c>
      <c r="AF15" s="661" t="s">
        <v>1745</v>
      </c>
      <c r="AG15" s="662" t="s">
        <v>1432</v>
      </c>
      <c r="AH15" s="662" t="s">
        <v>1734</v>
      </c>
      <c r="AI15" s="662">
        <v>500</v>
      </c>
      <c r="AJ15" s="662">
        <v>100</v>
      </c>
      <c r="AK15" s="662">
        <v>100</v>
      </c>
      <c r="AL15" s="658">
        <v>3.0000000000000001E-3</v>
      </c>
      <c r="AM15" s="658">
        <v>0</v>
      </c>
      <c r="AN15" s="659" t="s">
        <v>64</v>
      </c>
      <c r="AO15" s="253" t="s">
        <v>34</v>
      </c>
      <c r="AP15" s="944" t="s">
        <v>1735</v>
      </c>
      <c r="AQ15" s="663" t="s">
        <v>669</v>
      </c>
      <c r="AR15" s="658">
        <v>1.0499999999999999E-3</v>
      </c>
      <c r="AS15" s="658">
        <v>1.0499999999999999E-3</v>
      </c>
      <c r="AT15" s="658" t="s">
        <v>1417</v>
      </c>
      <c r="AU15" s="658" t="s">
        <v>2751</v>
      </c>
      <c r="AX15" s="508"/>
      <c r="AY15" s="509"/>
      <c r="AZ15" s="509"/>
      <c r="BA15" s="509"/>
      <c r="BB15" s="509"/>
      <c r="BC15" s="509"/>
      <c r="BD15" s="509"/>
      <c r="BE15" s="509"/>
      <c r="BF15" s="509"/>
      <c r="BG15" s="509"/>
      <c r="BH15" s="665"/>
      <c r="BI15" s="510"/>
      <c r="BJ15" s="511"/>
      <c r="BK15" s="511"/>
      <c r="BL15" s="511"/>
      <c r="BM15" s="195"/>
      <c r="BN15" s="510"/>
      <c r="BO15" s="510"/>
      <c r="BP15" s="510"/>
      <c r="BQ15" s="510"/>
      <c r="BR15" s="510"/>
      <c r="BS15" s="510"/>
      <c r="BT15" s="510"/>
      <c r="BU15" s="510"/>
      <c r="BV15" s="510"/>
      <c r="BW15" s="512"/>
      <c r="BX15" s="509"/>
      <c r="BY15"/>
      <c r="CA15"/>
    </row>
    <row r="16" spans="2:108" ht="18.75">
      <c r="B16" s="252" t="s">
        <v>20</v>
      </c>
      <c r="C16" s="251">
        <v>33599991000120</v>
      </c>
      <c r="D16" s="252" t="s">
        <v>11</v>
      </c>
      <c r="E16" s="252" t="s">
        <v>620</v>
      </c>
      <c r="F16" s="252" t="s">
        <v>663</v>
      </c>
      <c r="G16" s="253" t="s">
        <v>738</v>
      </c>
      <c r="H16" s="253" t="s">
        <v>34</v>
      </c>
      <c r="I16" s="253" t="s">
        <v>1319</v>
      </c>
      <c r="J16" s="253" t="s">
        <v>608</v>
      </c>
      <c r="K16" s="253" t="s">
        <v>48</v>
      </c>
      <c r="L16" s="655" t="s">
        <v>715</v>
      </c>
      <c r="M16" s="655" t="s">
        <v>34</v>
      </c>
      <c r="N16" s="253" t="s">
        <v>3031</v>
      </c>
      <c r="O16" s="253" t="s">
        <v>1321</v>
      </c>
      <c r="P16" s="656">
        <v>43646</v>
      </c>
      <c r="Q16" s="657">
        <v>91.521518499999999</v>
      </c>
      <c r="R16" s="657">
        <v>164.39674328592739</v>
      </c>
      <c r="S16" s="253">
        <v>60</v>
      </c>
      <c r="T16" s="658">
        <v>2.4008241250130791E-3</v>
      </c>
      <c r="U16" s="659">
        <v>0.12005093053431393</v>
      </c>
      <c r="V16" s="658">
        <v>8.8038521323582142E-2</v>
      </c>
      <c r="W16" s="659">
        <v>0.68276603137981673</v>
      </c>
      <c r="X16" s="658">
        <v>0.19670760744077942</v>
      </c>
      <c r="Y16" s="659">
        <v>1.0187472386499163</v>
      </c>
      <c r="Z16" s="658">
        <v>0.27447570811264876</v>
      </c>
      <c r="AA16" s="659">
        <v>1.2393338560636102</v>
      </c>
      <c r="AB16" s="658">
        <v>2.2572696017014438E-2</v>
      </c>
      <c r="AC16" s="660">
        <v>-1.8121622730564966</v>
      </c>
      <c r="AD16" s="682">
        <v>0</v>
      </c>
      <c r="AE16" s="944" t="s">
        <v>1747</v>
      </c>
      <c r="AF16" s="661" t="s">
        <v>1745</v>
      </c>
      <c r="AG16" s="662" t="s">
        <v>1432</v>
      </c>
      <c r="AH16" s="662" t="s">
        <v>1730</v>
      </c>
      <c r="AI16" s="662">
        <v>5000</v>
      </c>
      <c r="AJ16" s="662">
        <v>1000</v>
      </c>
      <c r="AK16" s="662">
        <v>1000</v>
      </c>
      <c r="AL16" s="658">
        <v>0.01</v>
      </c>
      <c r="AM16" s="658">
        <v>0.2</v>
      </c>
      <c r="AN16" s="659" t="s">
        <v>64</v>
      </c>
      <c r="AO16" s="253" t="s">
        <v>34</v>
      </c>
      <c r="AP16" s="944" t="s">
        <v>1746</v>
      </c>
      <c r="AQ16" s="663" t="s">
        <v>668</v>
      </c>
      <c r="AR16" s="658">
        <v>3.5000000000000001E-3</v>
      </c>
      <c r="AS16" s="658">
        <v>3.5000000000000001E-3</v>
      </c>
      <c r="AT16" s="658" t="s">
        <v>1417</v>
      </c>
      <c r="AU16" s="658" t="s">
        <v>2751</v>
      </c>
      <c r="AX16" s="508"/>
      <c r="AY16" s="509"/>
      <c r="AZ16" s="509"/>
      <c r="BA16" s="509"/>
      <c r="BB16" s="509"/>
      <c r="BC16" s="509"/>
      <c r="BD16" s="509"/>
      <c r="BE16" s="509"/>
      <c r="BF16" s="509"/>
      <c r="BG16" s="509"/>
      <c r="BH16" s="665"/>
      <c r="BI16" s="510"/>
      <c r="BJ16" s="511"/>
      <c r="BK16" s="511"/>
      <c r="BL16" s="511"/>
      <c r="BM16" s="195"/>
      <c r="BN16" s="510"/>
      <c r="BO16" s="510"/>
      <c r="BP16" s="510"/>
      <c r="BQ16" s="510"/>
      <c r="BR16" s="510"/>
      <c r="BS16" s="510"/>
      <c r="BT16" s="510"/>
      <c r="BU16" s="510"/>
      <c r="BV16" s="510"/>
      <c r="BW16" s="512"/>
      <c r="BX16" s="509"/>
      <c r="BY16"/>
      <c r="CA16"/>
    </row>
    <row r="17" spans="2:79" ht="18.75">
      <c r="B17" s="252" t="s">
        <v>848</v>
      </c>
      <c r="C17" s="251">
        <v>34096235000140</v>
      </c>
      <c r="D17" s="252" t="s">
        <v>11</v>
      </c>
      <c r="E17" s="252" t="s">
        <v>621</v>
      </c>
      <c r="F17" s="252" t="s">
        <v>692</v>
      </c>
      <c r="G17" s="253" t="s">
        <v>865</v>
      </c>
      <c r="H17" s="253" t="s">
        <v>34</v>
      </c>
      <c r="I17" s="253" t="s">
        <v>1417</v>
      </c>
      <c r="J17" s="253" t="s">
        <v>608</v>
      </c>
      <c r="K17" s="253" t="s">
        <v>48</v>
      </c>
      <c r="L17" s="655" t="s">
        <v>715</v>
      </c>
      <c r="M17" s="655" t="s">
        <v>34</v>
      </c>
      <c r="N17" s="253" t="s">
        <v>3037</v>
      </c>
      <c r="O17" s="253" t="s">
        <v>1321</v>
      </c>
      <c r="P17" s="656">
        <v>43679</v>
      </c>
      <c r="Q17" s="657">
        <v>93.970502780000004</v>
      </c>
      <c r="R17" s="657">
        <v>128.27933679164664</v>
      </c>
      <c r="S17" s="253">
        <v>31</v>
      </c>
      <c r="T17" s="658">
        <v>2.8574910717820146E-3</v>
      </c>
      <c r="U17" s="659">
        <v>0.1428861275538274</v>
      </c>
      <c r="V17" s="658">
        <v>8.4930845238177177E-2</v>
      </c>
      <c r="W17" s="659">
        <v>0.65866503972586488</v>
      </c>
      <c r="X17" s="658">
        <v>0.18044270096062687</v>
      </c>
      <c r="Y17" s="659">
        <v>0.93451140873396843</v>
      </c>
      <c r="Z17" s="658">
        <v>0.26066102007175185</v>
      </c>
      <c r="AA17" s="659">
        <v>1.1769567126808016</v>
      </c>
      <c r="AB17" s="658">
        <v>3.9835866658353314E-2</v>
      </c>
      <c r="AC17" s="660">
        <v>-1.1048602151945885</v>
      </c>
      <c r="AD17" s="682">
        <v>34172617000106</v>
      </c>
      <c r="AE17" s="944" t="s">
        <v>1747</v>
      </c>
      <c r="AF17" s="661" t="s">
        <v>1745</v>
      </c>
      <c r="AG17" s="662" t="s">
        <v>1432</v>
      </c>
      <c r="AH17" s="662" t="s">
        <v>1734</v>
      </c>
      <c r="AI17" s="662">
        <v>500</v>
      </c>
      <c r="AJ17" s="662">
        <v>100</v>
      </c>
      <c r="AK17" s="662">
        <v>100</v>
      </c>
      <c r="AL17" s="658">
        <v>8.0000000000000002E-3</v>
      </c>
      <c r="AM17" s="658">
        <v>0.2</v>
      </c>
      <c r="AN17" s="659" t="s">
        <v>34</v>
      </c>
      <c r="AO17" s="253" t="s">
        <v>34</v>
      </c>
      <c r="AP17" s="944" t="s">
        <v>1735</v>
      </c>
      <c r="AQ17" s="663" t="s">
        <v>675</v>
      </c>
      <c r="AR17" s="658">
        <v>2.8E-3</v>
      </c>
      <c r="AS17" s="658">
        <v>2.8E-3</v>
      </c>
      <c r="AT17" s="658" t="s">
        <v>1417</v>
      </c>
      <c r="AU17" s="658" t="s">
        <v>2751</v>
      </c>
      <c r="AX17" s="508"/>
      <c r="AY17" s="509"/>
      <c r="AZ17" s="509"/>
      <c r="BA17" s="509"/>
      <c r="BB17" s="509"/>
      <c r="BC17" s="509"/>
      <c r="BD17" s="509"/>
      <c r="BE17" s="509"/>
      <c r="BF17" s="509"/>
      <c r="BG17" s="509"/>
      <c r="BH17" s="665"/>
      <c r="BI17" s="510"/>
      <c r="BJ17" s="511"/>
      <c r="BK17" s="511"/>
      <c r="BL17" s="511"/>
      <c r="BM17" s="195"/>
      <c r="BN17" s="510"/>
      <c r="BO17" s="510"/>
      <c r="BP17" s="510"/>
      <c r="BQ17" s="510"/>
      <c r="BR17" s="510"/>
      <c r="BS17" s="510"/>
      <c r="BT17" s="510"/>
      <c r="BU17" s="510"/>
      <c r="BV17" s="510"/>
      <c r="BW17" s="512"/>
      <c r="BX17" s="509"/>
      <c r="BY17"/>
      <c r="CA17"/>
    </row>
    <row r="18" spans="2:79" ht="18.75">
      <c r="B18" s="252" t="s">
        <v>165</v>
      </c>
      <c r="C18" s="251">
        <v>35726908000161</v>
      </c>
      <c r="D18" s="252" t="s">
        <v>13</v>
      </c>
      <c r="E18" s="252" t="s">
        <v>615</v>
      </c>
      <c r="F18" s="252" t="s">
        <v>619</v>
      </c>
      <c r="G18" s="253" t="s">
        <v>34</v>
      </c>
      <c r="H18" s="253" t="s">
        <v>865</v>
      </c>
      <c r="I18" s="253" t="s">
        <v>34</v>
      </c>
      <c r="J18" s="253" t="s">
        <v>611</v>
      </c>
      <c r="K18" s="253" t="s">
        <v>48</v>
      </c>
      <c r="L18" s="655" t="s">
        <v>715</v>
      </c>
      <c r="M18" s="655" t="s">
        <v>1414</v>
      </c>
      <c r="N18" s="253" t="s">
        <v>3143</v>
      </c>
      <c r="O18" s="253" t="s">
        <v>1324</v>
      </c>
      <c r="P18" s="656">
        <v>43859</v>
      </c>
      <c r="Q18" s="657">
        <v>1092.8615017300001</v>
      </c>
      <c r="R18" s="657">
        <v>964.38805130747005</v>
      </c>
      <c r="S18" s="253">
        <v>91</v>
      </c>
      <c r="T18" s="658">
        <v>2.4807200609695101E-2</v>
      </c>
      <c r="U18" s="659">
        <v>1.2404605094215606</v>
      </c>
      <c r="V18" s="658">
        <v>0.26248270605186486</v>
      </c>
      <c r="W18" s="659">
        <v>2.0356347746706436</v>
      </c>
      <c r="X18" s="658">
        <v>0.51778537376798672</v>
      </c>
      <c r="Y18" s="659">
        <v>2.681606606893725</v>
      </c>
      <c r="Z18" s="658">
        <v>0.90205189999999624</v>
      </c>
      <c r="AA18" s="659">
        <v>4.0730142105605989</v>
      </c>
      <c r="AB18" s="658">
        <v>7.1615368564584378E-2</v>
      </c>
      <c r="AC18" s="660">
        <v>1.86466675074985</v>
      </c>
      <c r="AD18" s="682">
        <v>35803288000117</v>
      </c>
      <c r="AE18" s="944" t="s">
        <v>2009</v>
      </c>
      <c r="AF18" s="661" t="s">
        <v>1745</v>
      </c>
      <c r="AG18" s="662" t="s">
        <v>1432</v>
      </c>
      <c r="AH18" s="662" t="s">
        <v>1730</v>
      </c>
      <c r="AI18" s="662">
        <v>50000</v>
      </c>
      <c r="AJ18" s="662">
        <v>10000</v>
      </c>
      <c r="AK18" s="662">
        <v>50000</v>
      </c>
      <c r="AL18" s="658">
        <v>1.9E-2</v>
      </c>
      <c r="AM18" s="658">
        <v>0.2</v>
      </c>
      <c r="AN18" s="659" t="s">
        <v>34</v>
      </c>
      <c r="AO18" s="253" t="s">
        <v>34</v>
      </c>
      <c r="AP18" s="944" t="s">
        <v>1746</v>
      </c>
      <c r="AQ18" s="663" t="s">
        <v>664</v>
      </c>
      <c r="AR18" s="658">
        <v>0</v>
      </c>
      <c r="AS18" s="658">
        <v>0</v>
      </c>
      <c r="AT18" s="658" t="s">
        <v>1417</v>
      </c>
      <c r="AU18" s="658" t="s">
        <v>2751</v>
      </c>
      <c r="AX18" s="508"/>
      <c r="AY18" s="509"/>
      <c r="AZ18" s="509"/>
      <c r="BA18" s="509"/>
      <c r="BB18" s="509"/>
      <c r="BC18" s="509"/>
      <c r="BD18" s="509"/>
      <c r="BE18" s="509"/>
      <c r="BF18" s="509"/>
      <c r="BG18" s="509"/>
      <c r="BH18" s="665"/>
      <c r="BI18" s="510"/>
      <c r="BJ18" s="511"/>
      <c r="BK18" s="511"/>
      <c r="BL18" s="511"/>
      <c r="BM18" s="195"/>
      <c r="BN18" s="510"/>
      <c r="BO18" s="510"/>
      <c r="BP18" s="510"/>
      <c r="BQ18" s="510"/>
      <c r="BR18" s="510"/>
      <c r="BS18" s="510"/>
      <c r="BT18" s="510"/>
      <c r="BU18" s="510"/>
      <c r="BV18" s="510"/>
      <c r="BW18" s="512"/>
      <c r="BX18" s="509"/>
      <c r="BY18"/>
      <c r="CA18"/>
    </row>
    <row r="19" spans="2:79" ht="18.75">
      <c r="B19" s="252" t="s">
        <v>176</v>
      </c>
      <c r="C19" s="251">
        <v>41907541000185</v>
      </c>
      <c r="D19" s="252" t="s">
        <v>14</v>
      </c>
      <c r="E19" s="252" t="s">
        <v>614</v>
      </c>
      <c r="F19" s="252" t="s">
        <v>689</v>
      </c>
      <c r="G19" s="253" t="s">
        <v>1417</v>
      </c>
      <c r="H19" s="253" t="s">
        <v>865</v>
      </c>
      <c r="I19" s="253" t="s">
        <v>34</v>
      </c>
      <c r="J19" s="253" t="s">
        <v>608</v>
      </c>
      <c r="K19" s="253" t="s">
        <v>48</v>
      </c>
      <c r="L19" s="655" t="s">
        <v>715</v>
      </c>
      <c r="M19" s="655" t="s">
        <v>34</v>
      </c>
      <c r="N19" s="253" t="s">
        <v>3169</v>
      </c>
      <c r="O19" s="253" t="s">
        <v>1321</v>
      </c>
      <c r="P19" s="656">
        <v>44351</v>
      </c>
      <c r="Q19" s="657">
        <v>386.29987275000002</v>
      </c>
      <c r="R19" s="657">
        <v>388.15205260465871</v>
      </c>
      <c r="S19" s="253">
        <v>32</v>
      </c>
      <c r="T19" s="658">
        <v>4.8467102563757303E-2</v>
      </c>
      <c r="U19" s="659">
        <v>2.4235514390498714</v>
      </c>
      <c r="V19" s="658">
        <v>6.2955561689407968E-2</v>
      </c>
      <c r="W19" s="659">
        <v>0.48823990182636751</v>
      </c>
      <c r="X19" s="658"/>
      <c r="Y19" s="659"/>
      <c r="Z19" s="658"/>
      <c r="AA19" s="659"/>
      <c r="AB19" s="658">
        <v>0.12624671303335716</v>
      </c>
      <c r="AC19" s="660">
        <v>-0.52269359076259525</v>
      </c>
      <c r="AD19" s="682">
        <v>41907552000165</v>
      </c>
      <c r="AE19" s="944" t="s">
        <v>1797</v>
      </c>
      <c r="AF19" s="661" t="s">
        <v>1745</v>
      </c>
      <c r="AG19" s="662" t="s">
        <v>1432</v>
      </c>
      <c r="AH19" s="662" t="s">
        <v>1730</v>
      </c>
      <c r="AI19" s="662">
        <v>5000</v>
      </c>
      <c r="AJ19" s="662">
        <v>1000</v>
      </c>
      <c r="AK19" s="662">
        <v>1000</v>
      </c>
      <c r="AL19" s="658">
        <v>0</v>
      </c>
      <c r="AM19" s="658">
        <v>0</v>
      </c>
      <c r="AN19" s="659" t="s">
        <v>34</v>
      </c>
      <c r="AO19" s="253" t="s">
        <v>34</v>
      </c>
      <c r="AP19" s="944" t="s">
        <v>1746</v>
      </c>
      <c r="AQ19" s="663" t="s">
        <v>668</v>
      </c>
      <c r="AR19" s="658">
        <v>4.0000000000000001E-3</v>
      </c>
      <c r="AS19" s="658">
        <v>4.0000000000000001E-3</v>
      </c>
      <c r="AT19" s="658" t="s">
        <v>1417</v>
      </c>
      <c r="AU19" s="658" t="s">
        <v>2751</v>
      </c>
      <c r="AX19" s="508"/>
      <c r="AY19" s="509"/>
      <c r="AZ19" s="509"/>
      <c r="BA19" s="509"/>
      <c r="BB19" s="509"/>
      <c r="BC19" s="509"/>
      <c r="BD19" s="509"/>
      <c r="BE19" s="509"/>
      <c r="BF19" s="509"/>
      <c r="BG19" s="509"/>
      <c r="BH19" s="665"/>
      <c r="BI19" s="510"/>
      <c r="BJ19" s="511"/>
      <c r="BK19" s="511"/>
      <c r="BL19" s="511"/>
      <c r="BM19" s="195"/>
      <c r="BN19" s="510"/>
      <c r="BO19" s="510"/>
      <c r="BP19" s="510"/>
      <c r="BQ19" s="510"/>
      <c r="BR19" s="510"/>
      <c r="BS19" s="510"/>
      <c r="BT19" s="510"/>
      <c r="BU19" s="510"/>
      <c r="BV19" s="510"/>
      <c r="BW19" s="512"/>
      <c r="BX19" s="509"/>
      <c r="BY19"/>
      <c r="CA19"/>
    </row>
    <row r="20" spans="2:79" ht="18.75">
      <c r="B20" s="252" t="s">
        <v>181</v>
      </c>
      <c r="C20" s="251">
        <v>34702572000134</v>
      </c>
      <c r="D20" s="252" t="s">
        <v>13</v>
      </c>
      <c r="E20" s="252" t="s">
        <v>616</v>
      </c>
      <c r="F20" s="252" t="s">
        <v>610</v>
      </c>
      <c r="G20" s="253" t="s">
        <v>34</v>
      </c>
      <c r="H20" s="253" t="s">
        <v>1338</v>
      </c>
      <c r="I20" s="253" t="s">
        <v>34</v>
      </c>
      <c r="J20" s="253" t="s">
        <v>611</v>
      </c>
      <c r="K20" s="253" t="s">
        <v>48</v>
      </c>
      <c r="L20" s="655" t="s">
        <v>715</v>
      </c>
      <c r="M20" s="655" t="s">
        <v>34</v>
      </c>
      <c r="N20" s="253" t="s">
        <v>3232</v>
      </c>
      <c r="O20" s="253" t="s">
        <v>1321</v>
      </c>
      <c r="P20" s="656">
        <v>43889</v>
      </c>
      <c r="Q20" s="657">
        <v>143.42336793000001</v>
      </c>
      <c r="R20" s="657">
        <v>183.50865608257035</v>
      </c>
      <c r="S20" s="253">
        <v>18</v>
      </c>
      <c r="T20" s="658">
        <v>3.0128441737167E-2</v>
      </c>
      <c r="U20" s="659">
        <v>1.506544118918355</v>
      </c>
      <c r="V20" s="658">
        <v>0.10365215511677994</v>
      </c>
      <c r="W20" s="659">
        <v>0.80385460283840993</v>
      </c>
      <c r="X20" s="658">
        <v>0.32492074756695466</v>
      </c>
      <c r="Y20" s="659">
        <v>1.6827621395555621</v>
      </c>
      <c r="Z20" s="658"/>
      <c r="AA20" s="659"/>
      <c r="AB20" s="658">
        <v>8.2979032822175613E-2</v>
      </c>
      <c r="AC20" s="660">
        <v>-0.30479692845069351</v>
      </c>
      <c r="AD20" s="682">
        <v>41036284000153</v>
      </c>
      <c r="AE20" s="944" t="s">
        <v>2006</v>
      </c>
      <c r="AF20" s="661" t="s">
        <v>1729</v>
      </c>
      <c r="AG20" s="662" t="s">
        <v>1433</v>
      </c>
      <c r="AH20" s="662" t="s">
        <v>1730</v>
      </c>
      <c r="AI20" s="662">
        <v>10000</v>
      </c>
      <c r="AJ20" s="662">
        <v>1000</v>
      </c>
      <c r="AK20" s="662">
        <v>0</v>
      </c>
      <c r="AL20" s="658">
        <v>0.02</v>
      </c>
      <c r="AM20" s="658">
        <v>0.2</v>
      </c>
      <c r="AN20" s="659" t="s">
        <v>2127</v>
      </c>
      <c r="AO20" s="253" t="s">
        <v>34</v>
      </c>
      <c r="AP20" s="944" t="s">
        <v>1746</v>
      </c>
      <c r="AQ20" s="663" t="s">
        <v>668</v>
      </c>
      <c r="AR20" s="658">
        <v>4.0000000000000001E-3</v>
      </c>
      <c r="AS20" s="658">
        <v>4.0000000000000001E-3</v>
      </c>
      <c r="AT20" s="658" t="s">
        <v>1417</v>
      </c>
      <c r="AU20" s="658" t="s">
        <v>2751</v>
      </c>
      <c r="AX20" s="508"/>
      <c r="AY20" s="509"/>
      <c r="AZ20" s="509"/>
      <c r="BA20" s="509"/>
      <c r="BB20" s="509"/>
      <c r="BC20" s="509"/>
      <c r="BD20" s="509"/>
      <c r="BE20" s="509"/>
      <c r="BF20" s="509"/>
      <c r="BG20" s="509"/>
      <c r="BH20" s="665"/>
      <c r="BI20" s="510"/>
      <c r="BJ20" s="511"/>
      <c r="BK20" s="511"/>
      <c r="BL20" s="511"/>
      <c r="BM20" s="195"/>
      <c r="BN20" s="510"/>
      <c r="BO20" s="510"/>
      <c r="BP20" s="510"/>
      <c r="BQ20" s="510"/>
      <c r="BR20" s="510"/>
      <c r="BS20" s="510"/>
      <c r="BT20" s="510"/>
      <c r="BU20" s="510"/>
      <c r="BV20" s="510"/>
      <c r="BW20" s="512"/>
      <c r="BX20" s="509"/>
      <c r="BY20"/>
      <c r="CA20"/>
    </row>
    <row r="21" spans="2:79" ht="18.75">
      <c r="B21" s="252" t="s">
        <v>18</v>
      </c>
      <c r="C21" s="251">
        <v>37806055000101</v>
      </c>
      <c r="D21" s="252" t="s">
        <v>11</v>
      </c>
      <c r="E21" s="252" t="s">
        <v>620</v>
      </c>
      <c r="F21" s="252" t="s">
        <v>685</v>
      </c>
      <c r="G21" s="253" t="s">
        <v>738</v>
      </c>
      <c r="H21" s="253" t="s">
        <v>34</v>
      </c>
      <c r="I21" s="253" t="s">
        <v>1319</v>
      </c>
      <c r="J21" s="253" t="s">
        <v>608</v>
      </c>
      <c r="K21" s="253" t="s">
        <v>48</v>
      </c>
      <c r="L21" s="655" t="s">
        <v>715</v>
      </c>
      <c r="M21" s="655" t="s">
        <v>34</v>
      </c>
      <c r="N21" s="253" t="s">
        <v>3275</v>
      </c>
      <c r="O21" s="253" t="s">
        <v>1321</v>
      </c>
      <c r="P21" s="656">
        <v>44071</v>
      </c>
      <c r="Q21" s="657">
        <v>145.70612978</v>
      </c>
      <c r="R21" s="657">
        <v>169.98017109236937</v>
      </c>
      <c r="S21" s="253">
        <v>91</v>
      </c>
      <c r="T21" s="658">
        <v>2.4205551061643904E-2</v>
      </c>
      <c r="U21" s="659">
        <v>1.210375595101274</v>
      </c>
      <c r="V21" s="658">
        <v>0.16221149808917446</v>
      </c>
      <c r="W21" s="659">
        <v>1.2580004653582706</v>
      </c>
      <c r="X21" s="658">
        <v>0.27302355558583891</v>
      </c>
      <c r="Y21" s="659">
        <v>1.4139869675512802</v>
      </c>
      <c r="Z21" s="658"/>
      <c r="AA21" s="659"/>
      <c r="AB21" s="658">
        <v>1.9859386588395415E-3</v>
      </c>
      <c r="AC21" s="660">
        <v>16.751569085132569</v>
      </c>
      <c r="AD21" s="682">
        <v>0</v>
      </c>
      <c r="AE21" s="944" t="s">
        <v>2029</v>
      </c>
      <c r="AF21" s="661" t="s">
        <v>2028</v>
      </c>
      <c r="AG21" s="662" t="s">
        <v>1432</v>
      </c>
      <c r="AH21" s="662" t="s">
        <v>1730</v>
      </c>
      <c r="AI21" s="662">
        <v>5000</v>
      </c>
      <c r="AJ21" s="662">
        <v>5000</v>
      </c>
      <c r="AK21" s="662">
        <v>5000</v>
      </c>
      <c r="AL21" s="658">
        <v>1.95E-2</v>
      </c>
      <c r="AM21" s="658">
        <v>0.2</v>
      </c>
      <c r="AN21" s="659" t="s">
        <v>34</v>
      </c>
      <c r="AO21" s="253" t="s">
        <v>34</v>
      </c>
      <c r="AP21" s="944" t="s">
        <v>1746</v>
      </c>
      <c r="AQ21" s="663" t="s">
        <v>668</v>
      </c>
      <c r="AR21" s="658">
        <v>3.33333333333333E-4</v>
      </c>
      <c r="AS21" s="658">
        <v>6.46666666666667E-3</v>
      </c>
      <c r="AT21" s="658" t="s">
        <v>1417</v>
      </c>
      <c r="AU21" s="658" t="s">
        <v>2751</v>
      </c>
      <c r="AX21" s="508"/>
      <c r="AY21" s="509"/>
      <c r="AZ21" s="509"/>
      <c r="BA21" s="509"/>
      <c r="BB21" s="509"/>
      <c r="BC21" s="509"/>
      <c r="BD21" s="509"/>
      <c r="BE21" s="509"/>
      <c r="BF21" s="509"/>
      <c r="BG21" s="509"/>
      <c r="BH21" s="665"/>
      <c r="BI21" s="510"/>
      <c r="BJ21" s="511"/>
      <c r="BK21" s="511"/>
      <c r="BL21" s="511"/>
      <c r="BM21" s="195"/>
      <c r="BN21" s="510"/>
      <c r="BO21" s="510"/>
      <c r="BP21" s="510"/>
      <c r="BQ21" s="510"/>
      <c r="BR21" s="510"/>
      <c r="BS21" s="510"/>
      <c r="BT21" s="510"/>
      <c r="BU21" s="510"/>
      <c r="BV21" s="510"/>
      <c r="BW21" s="512"/>
      <c r="BX21" s="509"/>
      <c r="BY21"/>
      <c r="CA21"/>
    </row>
    <row r="22" spans="2:79" ht="18.75">
      <c r="B22" s="252" t="s">
        <v>647</v>
      </c>
      <c r="C22" s="251">
        <v>28470590000135</v>
      </c>
      <c r="D22" s="252" t="s">
        <v>14</v>
      </c>
      <c r="E22" s="252" t="s">
        <v>614</v>
      </c>
      <c r="F22" s="252" t="s">
        <v>689</v>
      </c>
      <c r="G22" s="253" t="s">
        <v>1417</v>
      </c>
      <c r="H22" s="253" t="s">
        <v>865</v>
      </c>
      <c r="I22" s="253" t="s">
        <v>34</v>
      </c>
      <c r="J22" s="253" t="s">
        <v>608</v>
      </c>
      <c r="K22" s="253" t="s">
        <v>48</v>
      </c>
      <c r="L22" s="655" t="s">
        <v>715</v>
      </c>
      <c r="M22" s="655" t="s">
        <v>34</v>
      </c>
      <c r="N22" s="253" t="s">
        <v>3327</v>
      </c>
      <c r="O22" s="253" t="s">
        <v>1321</v>
      </c>
      <c r="P22" s="656">
        <v>43005</v>
      </c>
      <c r="Q22" s="657">
        <v>29.93505935</v>
      </c>
      <c r="R22" s="657">
        <v>57.67074866570286</v>
      </c>
      <c r="S22" s="253">
        <v>10</v>
      </c>
      <c r="T22" s="658">
        <v>-2.4652592226194314E-2</v>
      </c>
      <c r="U22" s="659">
        <v>-1.2327294640216506</v>
      </c>
      <c r="V22" s="658">
        <v>-1.3591869873019413E-2</v>
      </c>
      <c r="W22" s="659">
        <v>-0.10540916535982965</v>
      </c>
      <c r="X22" s="658">
        <v>4.0975495239533366E-2</v>
      </c>
      <c r="Y22" s="659">
        <v>0.2122117856583392</v>
      </c>
      <c r="Z22" s="658">
        <v>0.28729805957906551</v>
      </c>
      <c r="AA22" s="659">
        <v>1.2972303249203558</v>
      </c>
      <c r="AB22" s="658">
        <v>0.11842337545276652</v>
      </c>
      <c r="AC22" s="660">
        <v>-1.203611861043925</v>
      </c>
      <c r="AD22" s="682">
        <v>0</v>
      </c>
      <c r="AE22" s="944" t="s">
        <v>1818</v>
      </c>
      <c r="AF22" s="661" t="s">
        <v>1745</v>
      </c>
      <c r="AG22" s="662" t="s">
        <v>1432</v>
      </c>
      <c r="AH22" s="662" t="s">
        <v>1734</v>
      </c>
      <c r="AI22" s="662">
        <v>1000</v>
      </c>
      <c r="AJ22" s="662">
        <v>300</v>
      </c>
      <c r="AK22" s="662">
        <v>1000</v>
      </c>
      <c r="AL22" s="658">
        <v>1.15E-2</v>
      </c>
      <c r="AM22" s="658">
        <v>0.25</v>
      </c>
      <c r="AN22" s="659" t="s">
        <v>34</v>
      </c>
      <c r="AO22" s="253" t="s">
        <v>34</v>
      </c>
      <c r="AP22" s="944" t="s">
        <v>1746</v>
      </c>
      <c r="AQ22" s="663" t="s">
        <v>668</v>
      </c>
      <c r="AR22" s="658">
        <v>4.0000000000000001E-3</v>
      </c>
      <c r="AS22" s="658">
        <v>4.0000000000000001E-3</v>
      </c>
      <c r="AT22" s="658" t="s">
        <v>1417</v>
      </c>
      <c r="AU22" s="658" t="s">
        <v>2751</v>
      </c>
      <c r="AX22" s="508"/>
      <c r="AY22" s="509"/>
      <c r="AZ22" s="509"/>
      <c r="BA22" s="509"/>
      <c r="BB22" s="509"/>
      <c r="BC22" s="509"/>
      <c r="BD22" s="509"/>
      <c r="BE22" s="509"/>
      <c r="BF22" s="509"/>
      <c r="BG22" s="509"/>
      <c r="BH22" s="665"/>
      <c r="BI22" s="510"/>
      <c r="BJ22" s="511"/>
      <c r="BK22" s="511"/>
      <c r="BL22" s="511"/>
      <c r="BM22" s="195"/>
      <c r="BN22" s="510"/>
      <c r="BO22" s="510"/>
      <c r="BP22" s="510"/>
      <c r="BQ22" s="510"/>
      <c r="BR22" s="510"/>
      <c r="BS22" s="510"/>
      <c r="BT22" s="510"/>
      <c r="BU22" s="510"/>
      <c r="BV22" s="510"/>
      <c r="BW22" s="512"/>
      <c r="BX22" s="509"/>
      <c r="BY22"/>
      <c r="CA22"/>
    </row>
    <row r="23" spans="2:79" ht="18.75">
      <c r="B23" s="252" t="s">
        <v>21</v>
      </c>
      <c r="C23" s="251">
        <v>8893082000152</v>
      </c>
      <c r="D23" s="252" t="s">
        <v>13</v>
      </c>
      <c r="E23" s="252" t="s">
        <v>615</v>
      </c>
      <c r="F23" s="252" t="s">
        <v>619</v>
      </c>
      <c r="G23" s="253" t="s">
        <v>34</v>
      </c>
      <c r="H23" s="253" t="s">
        <v>1337</v>
      </c>
      <c r="I23" s="253" t="s">
        <v>34</v>
      </c>
      <c r="J23" s="253" t="s">
        <v>611</v>
      </c>
      <c r="K23" s="253" t="s">
        <v>48</v>
      </c>
      <c r="L23" s="655" t="s">
        <v>715</v>
      </c>
      <c r="M23" s="655" t="s">
        <v>34</v>
      </c>
      <c r="N23" s="253" t="s">
        <v>3335</v>
      </c>
      <c r="O23" s="253" t="s">
        <v>1321</v>
      </c>
      <c r="P23" s="656">
        <v>39631</v>
      </c>
      <c r="Q23" s="657">
        <v>1104.4667710000001</v>
      </c>
      <c r="R23" s="657">
        <v>1075.9573167651824</v>
      </c>
      <c r="S23" s="253">
        <v>30</v>
      </c>
      <c r="T23" s="658">
        <v>3.0125050532667785E-2</v>
      </c>
      <c r="U23" s="659">
        <v>1.50637454495768</v>
      </c>
      <c r="V23" s="658">
        <v>0.18376137182684427</v>
      </c>
      <c r="W23" s="659">
        <v>1.4251264182638854</v>
      </c>
      <c r="X23" s="658">
        <v>0.25981728015614736</v>
      </c>
      <c r="Y23" s="659">
        <v>1.3455917651395031</v>
      </c>
      <c r="Z23" s="658">
        <v>0.42328067278750692</v>
      </c>
      <c r="AA23" s="659">
        <v>1.9112294928032121</v>
      </c>
      <c r="AB23" s="658">
        <v>3.5076267837354479E-2</v>
      </c>
      <c r="AC23" s="660">
        <v>1.5628077261309439</v>
      </c>
      <c r="AD23" s="682">
        <v>8875020000118</v>
      </c>
      <c r="AE23" s="944" t="s">
        <v>1800</v>
      </c>
      <c r="AF23" s="661" t="s">
        <v>1769</v>
      </c>
      <c r="AG23" s="662" t="s">
        <v>719</v>
      </c>
      <c r="AH23" s="662" t="s">
        <v>1734</v>
      </c>
      <c r="AI23" s="662">
        <v>1000</v>
      </c>
      <c r="AJ23" s="662">
        <v>1000</v>
      </c>
      <c r="AK23" s="662">
        <v>1000</v>
      </c>
      <c r="AL23" s="658">
        <v>1.9799999999999998E-2</v>
      </c>
      <c r="AM23" s="658">
        <v>0.2</v>
      </c>
      <c r="AN23" s="659" t="s">
        <v>64</v>
      </c>
      <c r="AO23" s="253" t="s">
        <v>34</v>
      </c>
      <c r="AP23" s="944" t="s">
        <v>1746</v>
      </c>
      <c r="AQ23" s="663" t="s">
        <v>668</v>
      </c>
      <c r="AR23" s="658">
        <v>3.9500000000000004E-3</v>
      </c>
      <c r="AS23" s="658">
        <v>3.9500000000000004E-3</v>
      </c>
      <c r="AT23" s="658" t="s">
        <v>1417</v>
      </c>
      <c r="AU23" s="658" t="s">
        <v>2751</v>
      </c>
      <c r="AX23" s="508"/>
      <c r="AY23" s="509"/>
      <c r="AZ23" s="509"/>
      <c r="BA23" s="509"/>
      <c r="BB23" s="509"/>
      <c r="BC23" s="509"/>
      <c r="BD23" s="509"/>
      <c r="BE23" s="509"/>
      <c r="BF23" s="509"/>
      <c r="BG23" s="509"/>
      <c r="BH23" s="665"/>
      <c r="BI23" s="510"/>
      <c r="BJ23" s="511"/>
      <c r="BK23" s="511"/>
      <c r="BL23" s="511"/>
      <c r="BM23" s="195"/>
      <c r="BN23" s="510"/>
      <c r="BO23" s="510"/>
      <c r="BP23" s="510"/>
      <c r="BQ23" s="510"/>
      <c r="BR23" s="510"/>
      <c r="BS23" s="510"/>
      <c r="BT23" s="510"/>
      <c r="BU23" s="510"/>
      <c r="BV23" s="510"/>
      <c r="BW23" s="512"/>
      <c r="BX23" s="509"/>
      <c r="BY23"/>
      <c r="CA23"/>
    </row>
    <row r="24" spans="2:79" ht="18.75">
      <c r="B24" s="252" t="s">
        <v>648</v>
      </c>
      <c r="C24" s="251">
        <v>30556738000109</v>
      </c>
      <c r="D24" s="252" t="s">
        <v>13</v>
      </c>
      <c r="E24" s="252" t="s">
        <v>615</v>
      </c>
      <c r="F24" s="252" t="s">
        <v>619</v>
      </c>
      <c r="G24" s="253" t="s">
        <v>34</v>
      </c>
      <c r="H24" s="253" t="s">
        <v>865</v>
      </c>
      <c r="I24" s="253" t="s">
        <v>34</v>
      </c>
      <c r="J24" s="253" t="s">
        <v>611</v>
      </c>
      <c r="K24" s="253" t="s">
        <v>48</v>
      </c>
      <c r="L24" s="655" t="s">
        <v>715</v>
      </c>
      <c r="M24" s="655" t="s">
        <v>34</v>
      </c>
      <c r="N24" s="253" t="s">
        <v>3337</v>
      </c>
      <c r="O24" s="253" t="s">
        <v>1321</v>
      </c>
      <c r="P24" s="656">
        <v>43371</v>
      </c>
      <c r="Q24" s="657">
        <v>871.75195231999999</v>
      </c>
      <c r="R24" s="657">
        <v>679.49765691213702</v>
      </c>
      <c r="S24" s="253">
        <v>90</v>
      </c>
      <c r="T24" s="658">
        <v>3.5971970928075248E-2</v>
      </c>
      <c r="U24" s="659">
        <v>1.7987442470594117</v>
      </c>
      <c r="V24" s="658">
        <v>0.21994802752675469</v>
      </c>
      <c r="W24" s="659">
        <v>1.7057651537820113</v>
      </c>
      <c r="X24" s="658">
        <v>0.31329405623504991</v>
      </c>
      <c r="Y24" s="659">
        <v>1.6225475914599639</v>
      </c>
      <c r="Z24" s="658">
        <v>0.56250950246143994</v>
      </c>
      <c r="AA24" s="659">
        <v>2.53988622727897</v>
      </c>
      <c r="AB24" s="658">
        <v>5.1871533492231628E-2</v>
      </c>
      <c r="AC24" s="660">
        <v>1.7544134895027785</v>
      </c>
      <c r="AD24" s="682">
        <v>24300684000105</v>
      </c>
      <c r="AE24" s="944" t="s">
        <v>1800</v>
      </c>
      <c r="AF24" s="661" t="s">
        <v>1769</v>
      </c>
      <c r="AG24" s="662" t="s">
        <v>719</v>
      </c>
      <c r="AH24" s="662" t="s">
        <v>1730</v>
      </c>
      <c r="AI24" s="662">
        <v>50000</v>
      </c>
      <c r="AJ24" s="662">
        <v>25000</v>
      </c>
      <c r="AK24" s="662">
        <v>50000</v>
      </c>
      <c r="AL24" s="658">
        <v>1.9799999999999998E-2</v>
      </c>
      <c r="AM24" s="658">
        <v>0.2</v>
      </c>
      <c r="AN24" s="659" t="s">
        <v>64</v>
      </c>
      <c r="AO24" s="253" t="s">
        <v>34</v>
      </c>
      <c r="AP24" s="944" t="s">
        <v>1746</v>
      </c>
      <c r="AQ24" s="663" t="s">
        <v>668</v>
      </c>
      <c r="AR24" s="658">
        <v>3.9500000000000004E-3</v>
      </c>
      <c r="AS24" s="658">
        <v>3.9500000000000004E-3</v>
      </c>
      <c r="AT24" s="658" t="s">
        <v>1417</v>
      </c>
      <c r="AU24" s="658" t="s">
        <v>2751</v>
      </c>
      <c r="AX24" s="508"/>
      <c r="AY24" s="509"/>
      <c r="AZ24" s="509"/>
      <c r="BA24" s="509"/>
      <c r="BB24" s="509"/>
      <c r="BC24" s="509"/>
      <c r="BD24" s="509"/>
      <c r="BE24" s="509"/>
      <c r="BF24" s="509"/>
      <c r="BG24" s="509"/>
      <c r="BH24" s="665"/>
      <c r="BI24" s="510"/>
      <c r="BJ24" s="511"/>
      <c r="BK24" s="511"/>
      <c r="BL24" s="511"/>
      <c r="BM24" s="195"/>
      <c r="BN24" s="510"/>
      <c r="BO24" s="510"/>
      <c r="BP24" s="510"/>
      <c r="BQ24" s="510"/>
      <c r="BR24" s="510"/>
      <c r="BS24" s="510"/>
      <c r="BT24" s="510"/>
      <c r="BU24" s="510"/>
      <c r="BV24" s="510"/>
      <c r="BW24" s="512"/>
      <c r="BX24" s="509"/>
      <c r="BY24"/>
      <c r="CA24"/>
    </row>
    <row r="25" spans="2:79" ht="18.75">
      <c r="B25" s="252" t="s">
        <v>535</v>
      </c>
      <c r="C25" s="251">
        <v>37495383000126</v>
      </c>
      <c r="D25" s="252" t="s">
        <v>14</v>
      </c>
      <c r="E25" s="252" t="s">
        <v>614</v>
      </c>
      <c r="F25" s="252" t="s">
        <v>1417</v>
      </c>
      <c r="G25" s="253" t="s">
        <v>1417</v>
      </c>
      <c r="H25" s="253" t="s">
        <v>865</v>
      </c>
      <c r="I25" s="253" t="s">
        <v>34</v>
      </c>
      <c r="J25" s="253" t="s">
        <v>608</v>
      </c>
      <c r="K25" s="253" t="s">
        <v>48</v>
      </c>
      <c r="L25" s="655" t="s">
        <v>715</v>
      </c>
      <c r="M25" s="655" t="s">
        <v>34</v>
      </c>
      <c r="N25" s="253" t="s">
        <v>3340</v>
      </c>
      <c r="O25" s="253" t="s">
        <v>1321</v>
      </c>
      <c r="P25" s="656">
        <v>44318</v>
      </c>
      <c r="Q25" s="657">
        <v>32.284672610000001</v>
      </c>
      <c r="R25" s="657">
        <v>36.110876835080646</v>
      </c>
      <c r="S25" s="253">
        <v>32</v>
      </c>
      <c r="T25" s="658">
        <v>-4.2925712566731278E-2</v>
      </c>
      <c r="U25" s="659">
        <v>-2.1464594943857076</v>
      </c>
      <c r="V25" s="658">
        <v>7.7965470145649585E-2</v>
      </c>
      <c r="W25" s="659">
        <v>0.60464639609693094</v>
      </c>
      <c r="X25" s="658"/>
      <c r="Y25" s="659"/>
      <c r="Z25" s="658"/>
      <c r="AA25" s="659"/>
      <c r="AB25" s="658">
        <v>0.150458249379265</v>
      </c>
      <c r="AC25" s="660">
        <v>-0.33882116475139729</v>
      </c>
      <c r="AD25" s="682">
        <v>37487877000169</v>
      </c>
      <c r="AE25" s="944" t="s">
        <v>2019</v>
      </c>
      <c r="AF25" s="661" t="s">
        <v>1783</v>
      </c>
      <c r="AG25" s="662" t="s">
        <v>736</v>
      </c>
      <c r="AH25" s="662" t="s">
        <v>1730</v>
      </c>
      <c r="AI25" s="662">
        <v>25000</v>
      </c>
      <c r="AJ25" s="662">
        <v>5000</v>
      </c>
      <c r="AK25" s="662">
        <v>10000</v>
      </c>
      <c r="AL25" s="658">
        <v>0</v>
      </c>
      <c r="AM25" s="658">
        <v>0</v>
      </c>
      <c r="AN25" s="659" t="s">
        <v>2122</v>
      </c>
      <c r="AO25" s="253" t="s">
        <v>34</v>
      </c>
      <c r="AP25" s="944" t="s">
        <v>1746</v>
      </c>
      <c r="AQ25" s="663" t="s">
        <v>668</v>
      </c>
      <c r="AR25" s="658">
        <v>5.0673000000000003E-3</v>
      </c>
      <c r="AS25" s="658">
        <v>5.0673000000000003E-3</v>
      </c>
      <c r="AT25" s="658" t="s">
        <v>1417</v>
      </c>
      <c r="AU25" s="658" t="s">
        <v>2751</v>
      </c>
      <c r="AX25" s="508"/>
      <c r="AY25" s="509"/>
      <c r="AZ25" s="509"/>
      <c r="BA25" s="509"/>
      <c r="BB25" s="509"/>
      <c r="BC25" s="509"/>
      <c r="BD25" s="509"/>
      <c r="BE25" s="509"/>
      <c r="BF25" s="509"/>
      <c r="BG25" s="509"/>
      <c r="BH25" s="665"/>
      <c r="BI25" s="510"/>
      <c r="BJ25" s="511"/>
      <c r="BK25" s="511"/>
      <c r="BL25" s="511"/>
      <c r="BM25" s="195"/>
      <c r="BN25" s="510"/>
      <c r="BO25" s="510"/>
      <c r="BP25" s="510"/>
      <c r="BQ25" s="510"/>
      <c r="BR25" s="510"/>
      <c r="BS25" s="510"/>
      <c r="BT25" s="510"/>
      <c r="BU25" s="510"/>
      <c r="BV25" s="510"/>
      <c r="BW25" s="512"/>
      <c r="BX25" s="509"/>
      <c r="BY25"/>
      <c r="CA25"/>
    </row>
    <row r="26" spans="2:79" ht="18.75">
      <c r="B26" s="252" t="s">
        <v>516</v>
      </c>
      <c r="C26" s="251">
        <v>35828684000107</v>
      </c>
      <c r="D26" s="252" t="s">
        <v>13</v>
      </c>
      <c r="E26" s="252" t="s">
        <v>615</v>
      </c>
      <c r="F26" s="252" t="s">
        <v>619</v>
      </c>
      <c r="G26" s="253" t="s">
        <v>34</v>
      </c>
      <c r="H26" s="253" t="s">
        <v>1337</v>
      </c>
      <c r="I26" s="253" t="s">
        <v>34</v>
      </c>
      <c r="J26" s="253" t="s">
        <v>611</v>
      </c>
      <c r="K26" s="253" t="s">
        <v>48</v>
      </c>
      <c r="L26" s="655" t="s">
        <v>715</v>
      </c>
      <c r="M26" s="655" t="s">
        <v>34</v>
      </c>
      <c r="N26" s="253" t="s">
        <v>3343</v>
      </c>
      <c r="O26" s="253" t="s">
        <v>1321</v>
      </c>
      <c r="P26" s="656">
        <v>44014</v>
      </c>
      <c r="Q26" s="657">
        <v>414.98961625999999</v>
      </c>
      <c r="R26" s="657">
        <v>529.80957733887078</v>
      </c>
      <c r="S26" s="253">
        <v>31</v>
      </c>
      <c r="T26" s="658">
        <v>2.2503307187067501E-2</v>
      </c>
      <c r="U26" s="659">
        <v>1.1252565066140572</v>
      </c>
      <c r="V26" s="658">
        <v>0.21215789336499391</v>
      </c>
      <c r="W26" s="659">
        <v>1.6453502478342779</v>
      </c>
      <c r="X26" s="658">
        <v>0.35793057733767819</v>
      </c>
      <c r="Y26" s="659">
        <v>1.8537198028851445</v>
      </c>
      <c r="Z26" s="658"/>
      <c r="AA26" s="659"/>
      <c r="AB26" s="658">
        <v>3.8645832143997486E-2</v>
      </c>
      <c r="AC26" s="660">
        <v>2.1532460113200189</v>
      </c>
      <c r="AD26" s="682">
        <v>35828652000101</v>
      </c>
      <c r="AE26" s="944" t="s">
        <v>2019</v>
      </c>
      <c r="AF26" s="661" t="s">
        <v>1783</v>
      </c>
      <c r="AG26" s="662" t="s">
        <v>736</v>
      </c>
      <c r="AH26" s="662" t="s">
        <v>1734</v>
      </c>
      <c r="AI26" s="662">
        <v>500</v>
      </c>
      <c r="AJ26" s="662">
        <v>500</v>
      </c>
      <c r="AK26" s="662">
        <v>500</v>
      </c>
      <c r="AL26" s="658">
        <v>2.5000000000000001E-2</v>
      </c>
      <c r="AM26" s="658">
        <v>0.2</v>
      </c>
      <c r="AN26" s="659" t="s">
        <v>64</v>
      </c>
      <c r="AO26" s="253" t="s">
        <v>34</v>
      </c>
      <c r="AP26" s="944" t="s">
        <v>1746</v>
      </c>
      <c r="AQ26" s="663" t="s">
        <v>668</v>
      </c>
      <c r="AR26" s="658">
        <v>5.0673000000000003E-3</v>
      </c>
      <c r="AS26" s="658">
        <v>5.0673000000000003E-3</v>
      </c>
      <c r="AT26" s="658" t="s">
        <v>1417</v>
      </c>
      <c r="AU26" s="658" t="s">
        <v>2751</v>
      </c>
      <c r="AX26" s="508"/>
      <c r="AY26" s="509"/>
      <c r="AZ26" s="509"/>
      <c r="BA26" s="509"/>
      <c r="BB26" s="509"/>
      <c r="BC26" s="509"/>
      <c r="BD26" s="509"/>
      <c r="BE26" s="509"/>
      <c r="BF26" s="509"/>
      <c r="BG26" s="509"/>
      <c r="BH26" s="665"/>
      <c r="BI26" s="510"/>
      <c r="BJ26" s="511"/>
      <c r="BK26" s="511"/>
      <c r="BL26" s="511"/>
      <c r="BM26" s="195"/>
      <c r="BN26" s="510"/>
      <c r="BO26" s="510"/>
      <c r="BP26" s="510"/>
      <c r="BQ26" s="510"/>
      <c r="BR26" s="510"/>
      <c r="BS26" s="510"/>
      <c r="BT26" s="510"/>
      <c r="BU26" s="510"/>
      <c r="BV26" s="510"/>
      <c r="BW26" s="512"/>
      <c r="BX26" s="509"/>
      <c r="BY26"/>
      <c r="CA26"/>
    </row>
    <row r="27" spans="2:79" ht="18.75">
      <c r="B27" s="252" t="s">
        <v>212</v>
      </c>
      <c r="C27" s="251">
        <v>11052478000181</v>
      </c>
      <c r="D27" s="252" t="s">
        <v>13</v>
      </c>
      <c r="E27" s="252" t="s">
        <v>616</v>
      </c>
      <c r="F27" s="252" t="s">
        <v>610</v>
      </c>
      <c r="G27" s="253" t="s">
        <v>34</v>
      </c>
      <c r="H27" s="253" t="s">
        <v>865</v>
      </c>
      <c r="I27" s="253" t="s">
        <v>34</v>
      </c>
      <c r="J27" s="253" t="s">
        <v>611</v>
      </c>
      <c r="K27" s="253" t="s">
        <v>48</v>
      </c>
      <c r="L27" s="655" t="s">
        <v>715</v>
      </c>
      <c r="M27" s="655" t="s">
        <v>1414</v>
      </c>
      <c r="N27" s="253" t="s">
        <v>3352</v>
      </c>
      <c r="O27" s="253" t="s">
        <v>1321</v>
      </c>
      <c r="P27" s="656">
        <v>40977</v>
      </c>
      <c r="Q27" s="657">
        <v>686.35131000000001</v>
      </c>
      <c r="R27" s="657">
        <v>641.51485559879518</v>
      </c>
      <c r="S27" s="253">
        <v>33</v>
      </c>
      <c r="T27" s="658">
        <v>6.1146276544841172E-3</v>
      </c>
      <c r="U27" s="659">
        <v>0.3057561493754436</v>
      </c>
      <c r="V27" s="658">
        <v>8.1101039744795989E-2</v>
      </c>
      <c r="W27" s="659">
        <v>0.62896371059901968</v>
      </c>
      <c r="X27" s="658">
        <v>0.2289821953584914</v>
      </c>
      <c r="Y27" s="659">
        <v>1.1858970898809205</v>
      </c>
      <c r="Z27" s="658">
        <v>0.24757751647223358</v>
      </c>
      <c r="AA27" s="659">
        <v>1.1178810696000001</v>
      </c>
      <c r="AB27" s="658">
        <v>5.1809388343881345E-2</v>
      </c>
      <c r="AC27" s="660">
        <v>-0.92344015691593428</v>
      </c>
      <c r="AD27" s="682">
        <v>22099965000116</v>
      </c>
      <c r="AE27" s="944" t="s">
        <v>1874</v>
      </c>
      <c r="AF27" s="661" t="s">
        <v>1729</v>
      </c>
      <c r="AG27" s="662" t="s">
        <v>1433</v>
      </c>
      <c r="AH27" s="662" t="s">
        <v>1734</v>
      </c>
      <c r="AI27" s="662">
        <v>50000</v>
      </c>
      <c r="AJ27" s="662">
        <v>20000</v>
      </c>
      <c r="AK27" s="662">
        <v>20000</v>
      </c>
      <c r="AL27" s="658">
        <v>0.01</v>
      </c>
      <c r="AM27" s="658">
        <v>0.27500000000000002</v>
      </c>
      <c r="AN27" s="659" t="s">
        <v>64</v>
      </c>
      <c r="AO27" s="253" t="s">
        <v>34</v>
      </c>
      <c r="AP27" s="944" t="s">
        <v>1746</v>
      </c>
      <c r="AQ27" s="663" t="s">
        <v>668</v>
      </c>
      <c r="AR27" s="658">
        <v>1.9E-3</v>
      </c>
      <c r="AS27" s="658">
        <v>1.9E-3</v>
      </c>
      <c r="AT27" s="658" t="s">
        <v>1417</v>
      </c>
      <c r="AU27" s="658" t="s">
        <v>2751</v>
      </c>
      <c r="AX27" s="508"/>
      <c r="AY27" s="509"/>
      <c r="AZ27" s="509"/>
      <c r="BA27" s="509"/>
      <c r="BB27" s="509"/>
      <c r="BC27" s="509"/>
      <c r="BD27" s="509"/>
      <c r="BE27" s="509"/>
      <c r="BF27" s="509"/>
      <c r="BG27" s="509"/>
      <c r="BH27" s="665"/>
      <c r="BI27" s="510"/>
      <c r="BJ27" s="511"/>
      <c r="BK27" s="511"/>
      <c r="BL27" s="511"/>
      <c r="BM27" s="195"/>
      <c r="BN27" s="510"/>
      <c r="BO27" s="510"/>
      <c r="BP27" s="510"/>
      <c r="BQ27" s="510"/>
      <c r="BR27" s="510"/>
      <c r="BS27" s="510"/>
      <c r="BT27" s="510"/>
      <c r="BU27" s="510"/>
      <c r="BV27" s="510"/>
      <c r="BW27" s="512"/>
      <c r="BX27" s="509"/>
      <c r="BY27"/>
      <c r="CA27"/>
    </row>
    <row r="28" spans="2:79" ht="18.75">
      <c r="B28" s="252" t="s">
        <v>41</v>
      </c>
      <c r="C28" s="251">
        <v>15799713000134</v>
      </c>
      <c r="D28" s="252" t="s">
        <v>13</v>
      </c>
      <c r="E28" s="252" t="s">
        <v>615</v>
      </c>
      <c r="F28" s="252" t="s">
        <v>619</v>
      </c>
      <c r="G28" s="253" t="s">
        <v>34</v>
      </c>
      <c r="H28" s="253" t="s">
        <v>865</v>
      </c>
      <c r="I28" s="253" t="s">
        <v>34</v>
      </c>
      <c r="J28" s="253" t="s">
        <v>611</v>
      </c>
      <c r="K28" s="253" t="s">
        <v>48</v>
      </c>
      <c r="L28" s="655" t="s">
        <v>715</v>
      </c>
      <c r="M28" s="655" t="s">
        <v>34</v>
      </c>
      <c r="N28" s="253" t="s">
        <v>3391</v>
      </c>
      <c r="O28" s="253" t="s">
        <v>1324</v>
      </c>
      <c r="P28" s="656">
        <v>41245</v>
      </c>
      <c r="Q28" s="657">
        <v>5115.1068607999996</v>
      </c>
      <c r="R28" s="657">
        <v>5094.0801769679983</v>
      </c>
      <c r="S28" s="253">
        <v>31</v>
      </c>
      <c r="T28" s="658">
        <v>-2.5737806460035539E-4</v>
      </c>
      <c r="U28" s="659">
        <v>-1.2869945712589464E-2</v>
      </c>
      <c r="V28" s="658">
        <v>0.15587905671375912</v>
      </c>
      <c r="W28" s="659">
        <v>1.2088904189622556</v>
      </c>
      <c r="X28" s="658">
        <v>0.28504004481149647</v>
      </c>
      <c r="Y28" s="659">
        <v>1.4762202760449064</v>
      </c>
      <c r="Z28" s="658">
        <v>0.4866402558192664</v>
      </c>
      <c r="AA28" s="659">
        <v>2.1973155617572839</v>
      </c>
      <c r="AB28" s="658">
        <v>5.6264586210355162E-2</v>
      </c>
      <c r="AC28" s="660">
        <v>0.47872292468781219</v>
      </c>
      <c r="AD28" s="682">
        <v>15487918000184</v>
      </c>
      <c r="AE28" s="944" t="s">
        <v>1833</v>
      </c>
      <c r="AF28" s="661" t="s">
        <v>1769</v>
      </c>
      <c r="AG28" s="662" t="s">
        <v>719</v>
      </c>
      <c r="AH28" s="662" t="s">
        <v>1734</v>
      </c>
      <c r="AI28" s="662">
        <v>5000</v>
      </c>
      <c r="AJ28" s="662">
        <v>1000</v>
      </c>
      <c r="AK28" s="662">
        <v>5000</v>
      </c>
      <c r="AL28" s="658">
        <v>1.9599999999999999E-2</v>
      </c>
      <c r="AM28" s="658">
        <v>0</v>
      </c>
      <c r="AN28" s="659" t="s">
        <v>64</v>
      </c>
      <c r="AO28" s="253" t="s">
        <v>34</v>
      </c>
      <c r="AP28" s="944" t="s">
        <v>1746</v>
      </c>
      <c r="AQ28" s="663" t="s">
        <v>664</v>
      </c>
      <c r="AR28" s="658">
        <v>4.8937499999999997E-3</v>
      </c>
      <c r="AS28" s="658">
        <v>4.8937499999999997E-3</v>
      </c>
      <c r="AT28" s="658" t="s">
        <v>1417</v>
      </c>
      <c r="AU28" s="658" t="s">
        <v>2751</v>
      </c>
      <c r="AX28" s="508"/>
      <c r="AY28" s="509"/>
      <c r="AZ28" s="509"/>
      <c r="BA28" s="509"/>
      <c r="BB28" s="509"/>
      <c r="BC28" s="509"/>
      <c r="BD28" s="509"/>
      <c r="BE28" s="509"/>
      <c r="BF28" s="509"/>
      <c r="BG28" s="509"/>
      <c r="BH28" s="665"/>
      <c r="BI28" s="510"/>
      <c r="BJ28" s="511"/>
      <c r="BK28" s="511"/>
      <c r="BL28" s="511"/>
      <c r="BM28" s="195"/>
      <c r="BN28" s="510"/>
      <c r="BO28" s="510"/>
      <c r="BP28" s="510"/>
      <c r="BQ28" s="510"/>
      <c r="BR28" s="510"/>
      <c r="BS28" s="510"/>
      <c r="BT28" s="510"/>
      <c r="BU28" s="510"/>
      <c r="BV28" s="510"/>
      <c r="BW28" s="512"/>
      <c r="BX28" s="509"/>
      <c r="BY28"/>
      <c r="CA28"/>
    </row>
    <row r="29" spans="2:79" ht="18.75">
      <c r="B29" s="252" t="s">
        <v>999</v>
      </c>
      <c r="C29" s="251">
        <v>29993583000180</v>
      </c>
      <c r="D29" s="252" t="s">
        <v>13</v>
      </c>
      <c r="E29" s="252" t="s">
        <v>615</v>
      </c>
      <c r="F29" s="252" t="s">
        <v>619</v>
      </c>
      <c r="G29" s="253" t="s">
        <v>34</v>
      </c>
      <c r="H29" s="253" t="s">
        <v>1337</v>
      </c>
      <c r="I29" s="253" t="s">
        <v>34</v>
      </c>
      <c r="J29" s="253" t="s">
        <v>611</v>
      </c>
      <c r="K29" s="253" t="s">
        <v>48</v>
      </c>
      <c r="L29" s="655" t="s">
        <v>715</v>
      </c>
      <c r="M29" s="655" t="s">
        <v>34</v>
      </c>
      <c r="N29" s="253" t="s">
        <v>3436</v>
      </c>
      <c r="O29" s="253" t="s">
        <v>1324</v>
      </c>
      <c r="P29" s="656">
        <v>43282</v>
      </c>
      <c r="Q29" s="657">
        <v>140.21600595999999</v>
      </c>
      <c r="R29" s="657">
        <v>200.37485892598394</v>
      </c>
      <c r="S29" s="253">
        <v>43</v>
      </c>
      <c r="T29" s="658">
        <v>-4.2733427552801295E-3</v>
      </c>
      <c r="U29" s="659">
        <v>-0.21368444648591398</v>
      </c>
      <c r="V29" s="658">
        <v>6.9198649293152226E-2</v>
      </c>
      <c r="W29" s="659">
        <v>0.53665698201673206</v>
      </c>
      <c r="X29" s="658">
        <v>0.15606815680362129</v>
      </c>
      <c r="Y29" s="659">
        <v>0.80827582549260535</v>
      </c>
      <c r="Z29" s="658">
        <v>0.32222444383354154</v>
      </c>
      <c r="AA29" s="659">
        <v>1.454932624967594</v>
      </c>
      <c r="AB29" s="658">
        <v>4.8787784994119412E-2</v>
      </c>
      <c r="AC29" s="660">
        <v>-1.2245946431230166</v>
      </c>
      <c r="AD29" s="682">
        <v>11419627000106</v>
      </c>
      <c r="AE29" s="944" t="s">
        <v>1815</v>
      </c>
      <c r="AF29" s="661" t="s">
        <v>1767</v>
      </c>
      <c r="AG29" s="662" t="s">
        <v>59</v>
      </c>
      <c r="AH29" s="662" t="s">
        <v>1734</v>
      </c>
      <c r="AI29" s="662">
        <v>10000</v>
      </c>
      <c r="AJ29" s="662">
        <v>0</v>
      </c>
      <c r="AK29" s="662">
        <v>10000</v>
      </c>
      <c r="AL29" s="658">
        <v>0</v>
      </c>
      <c r="AM29" s="658">
        <v>0</v>
      </c>
      <c r="AN29" s="659" t="s">
        <v>64</v>
      </c>
      <c r="AO29" s="253" t="s">
        <v>34</v>
      </c>
      <c r="AP29" s="944" t="s">
        <v>1746</v>
      </c>
      <c r="AQ29" s="663" t="s">
        <v>668</v>
      </c>
      <c r="AR29" s="658">
        <v>4.6666666666666697E-3</v>
      </c>
      <c r="AS29" s="658">
        <v>4.6666666666666697E-3</v>
      </c>
      <c r="AT29" s="658" t="s">
        <v>1417</v>
      </c>
      <c r="AU29" s="658" t="s">
        <v>2751</v>
      </c>
      <c r="AX29" s="508"/>
      <c r="AY29" s="509"/>
      <c r="AZ29" s="509"/>
      <c r="BA29" s="509"/>
      <c r="BB29" s="509"/>
      <c r="BC29" s="509"/>
      <c r="BD29" s="509"/>
      <c r="BE29" s="509"/>
      <c r="BF29" s="509"/>
      <c r="BG29" s="509"/>
      <c r="BH29" s="665"/>
      <c r="BI29" s="510"/>
      <c r="BJ29" s="511"/>
      <c r="BK29" s="511"/>
      <c r="BL29" s="511"/>
      <c r="BM29" s="195"/>
      <c r="BN29" s="510"/>
      <c r="BO29" s="510"/>
      <c r="BP29" s="510"/>
      <c r="BQ29" s="510"/>
      <c r="BR29" s="510"/>
      <c r="BS29" s="510"/>
      <c r="BT29" s="510"/>
      <c r="BU29" s="510"/>
      <c r="BV29" s="510"/>
      <c r="BW29" s="512"/>
      <c r="BX29" s="509"/>
      <c r="BY29"/>
      <c r="CA29"/>
    </row>
    <row r="30" spans="2:79" ht="18.75">
      <c r="B30" s="252" t="s">
        <v>4312</v>
      </c>
      <c r="C30" s="251">
        <v>28840420000103</v>
      </c>
      <c r="D30" s="252" t="s">
        <v>11</v>
      </c>
      <c r="E30" s="252" t="s">
        <v>620</v>
      </c>
      <c r="F30" s="252" t="s">
        <v>663</v>
      </c>
      <c r="G30" s="253" t="s">
        <v>738</v>
      </c>
      <c r="H30" s="253" t="s">
        <v>34</v>
      </c>
      <c r="I30" s="253" t="s">
        <v>1304</v>
      </c>
      <c r="J30" s="253" t="s">
        <v>608</v>
      </c>
      <c r="K30" s="253" t="s">
        <v>48</v>
      </c>
      <c r="L30" s="655" t="s">
        <v>715</v>
      </c>
      <c r="M30" s="655" t="s">
        <v>34</v>
      </c>
      <c r="N30" s="253" t="s">
        <v>4313</v>
      </c>
      <c r="O30" s="253" t="s">
        <v>1321</v>
      </c>
      <c r="P30" s="656">
        <v>44753</v>
      </c>
      <c r="Q30" s="657">
        <v>249.85153126</v>
      </c>
      <c r="R30" s="657">
        <v>211.04174937479996</v>
      </c>
      <c r="S30" s="253">
        <v>22</v>
      </c>
      <c r="T30" s="658">
        <v>-5.6917836517563769E-3</v>
      </c>
      <c r="U30" s="659">
        <v>-0.28461223655423989</v>
      </c>
      <c r="V30" s="658"/>
      <c r="W30" s="659"/>
      <c r="X30" s="658"/>
      <c r="Y30" s="659"/>
      <c r="Z30" s="658"/>
      <c r="AA30" s="659"/>
      <c r="AB30" s="658">
        <v>1.4649383541037264E-2</v>
      </c>
      <c r="AC30" s="660"/>
      <c r="AD30" s="682">
        <v>28840203000105</v>
      </c>
      <c r="AE30" s="944" t="s">
        <v>2047</v>
      </c>
      <c r="AF30" s="661" t="s">
        <v>1767</v>
      </c>
      <c r="AG30" s="662" t="s">
        <v>59</v>
      </c>
      <c r="AH30" s="662" t="s">
        <v>1730</v>
      </c>
      <c r="AI30" s="662">
        <v>1000000</v>
      </c>
      <c r="AJ30" s="662">
        <v>1</v>
      </c>
      <c r="AK30" s="662">
        <v>50000</v>
      </c>
      <c r="AL30" s="658">
        <v>6.0000000000000001E-3</v>
      </c>
      <c r="AM30" s="658">
        <v>0.2</v>
      </c>
      <c r="AN30" s="659" t="s">
        <v>64</v>
      </c>
      <c r="AO30" s="253" t="s">
        <v>34</v>
      </c>
      <c r="AP30" s="944" t="s">
        <v>1746</v>
      </c>
      <c r="AQ30" s="663" t="s">
        <v>668</v>
      </c>
      <c r="AR30" s="658">
        <v>1.3999999800000001E-3</v>
      </c>
      <c r="AS30" s="658">
        <v>1.3999999800000001E-3</v>
      </c>
      <c r="AT30" s="658" t="s">
        <v>1417</v>
      </c>
      <c r="AU30" s="658" t="s">
        <v>2751</v>
      </c>
      <c r="AX30" s="508"/>
      <c r="AY30" s="509"/>
      <c r="AZ30" s="509"/>
      <c r="BA30" s="509"/>
      <c r="BB30" s="509"/>
      <c r="BC30" s="509"/>
      <c r="BD30" s="509"/>
      <c r="BE30" s="509"/>
      <c r="BF30" s="509"/>
      <c r="BG30" s="509"/>
      <c r="BH30" s="665"/>
      <c r="BI30" s="510"/>
      <c r="BJ30" s="511"/>
      <c r="BK30" s="511"/>
      <c r="BL30" s="511"/>
      <c r="BM30" s="195"/>
      <c r="BN30" s="510"/>
      <c r="BO30" s="510"/>
      <c r="BP30" s="510"/>
      <c r="BQ30" s="510"/>
      <c r="BR30" s="510"/>
      <c r="BS30" s="510"/>
      <c r="BT30" s="510"/>
      <c r="BU30" s="510"/>
      <c r="BV30" s="510"/>
      <c r="BW30" s="512"/>
      <c r="BX30" s="509"/>
      <c r="BY30"/>
      <c r="CA30"/>
    </row>
    <row r="31" spans="2:79" ht="18.75">
      <c r="B31" s="252" t="s">
        <v>1379</v>
      </c>
      <c r="C31" s="251">
        <v>32892819000105</v>
      </c>
      <c r="D31" s="252" t="s">
        <v>11</v>
      </c>
      <c r="E31" s="252" t="s">
        <v>620</v>
      </c>
      <c r="F31" s="252" t="s">
        <v>663</v>
      </c>
      <c r="G31" s="253" t="s">
        <v>738</v>
      </c>
      <c r="H31" s="253" t="s">
        <v>34</v>
      </c>
      <c r="I31" s="253" t="s">
        <v>1417</v>
      </c>
      <c r="J31" s="253" t="s">
        <v>608</v>
      </c>
      <c r="K31" s="253" t="s">
        <v>48</v>
      </c>
      <c r="L31" s="655" t="s">
        <v>715</v>
      </c>
      <c r="M31" s="655" t="s">
        <v>34</v>
      </c>
      <c r="N31" s="253" t="s">
        <v>3442</v>
      </c>
      <c r="O31" s="253" t="s">
        <v>1324</v>
      </c>
      <c r="P31" s="656">
        <v>44546</v>
      </c>
      <c r="Q31" s="657">
        <v>52.925322710000003</v>
      </c>
      <c r="R31" s="657">
        <v>52.61196917776315</v>
      </c>
      <c r="S31" s="253">
        <v>1</v>
      </c>
      <c r="T31" s="658">
        <v>2.1486416018906773E-2</v>
      </c>
      <c r="U31" s="659">
        <v>1.0744078293961223</v>
      </c>
      <c r="V31" s="658">
        <v>0.16149674907750011</v>
      </c>
      <c r="W31" s="659">
        <v>1.2524573651471722</v>
      </c>
      <c r="X31" s="658"/>
      <c r="Y31" s="659"/>
      <c r="Z31" s="658"/>
      <c r="AA31" s="659"/>
      <c r="AB31" s="658">
        <v>1.3545230673698614E-2</v>
      </c>
      <c r="AC31" s="660">
        <v>2.4032694912993309</v>
      </c>
      <c r="AD31" s="682">
        <v>40668849000152</v>
      </c>
      <c r="AE31" s="944" t="s">
        <v>1815</v>
      </c>
      <c r="AF31" s="661" t="s">
        <v>1767</v>
      </c>
      <c r="AG31" s="662" t="s">
        <v>59</v>
      </c>
      <c r="AH31" s="662" t="s">
        <v>1734</v>
      </c>
      <c r="AI31" s="662">
        <v>100</v>
      </c>
      <c r="AJ31" s="662">
        <v>1</v>
      </c>
      <c r="AK31" s="662">
        <v>100</v>
      </c>
      <c r="AL31" s="658">
        <v>0</v>
      </c>
      <c r="AM31" s="658">
        <v>0</v>
      </c>
      <c r="AN31" s="659" t="s">
        <v>64</v>
      </c>
      <c r="AO31" s="253" t="s">
        <v>34</v>
      </c>
      <c r="AP31" s="944" t="s">
        <v>1735</v>
      </c>
      <c r="AQ31" s="663" t="s">
        <v>669</v>
      </c>
      <c r="AR31" s="658">
        <v>2.0999999999999999E-3</v>
      </c>
      <c r="AS31" s="658">
        <v>2.0999999999999999E-3</v>
      </c>
      <c r="AT31" s="658" t="s">
        <v>1417</v>
      </c>
      <c r="AU31" s="658" t="s">
        <v>2751</v>
      </c>
      <c r="AX31" s="508"/>
      <c r="AY31" s="509"/>
      <c r="AZ31" s="509"/>
      <c r="BA31" s="509"/>
      <c r="BB31" s="509"/>
      <c r="BC31" s="509"/>
      <c r="BD31" s="509"/>
      <c r="BE31" s="509"/>
      <c r="BF31" s="509"/>
      <c r="BG31" s="509"/>
      <c r="BH31" s="665"/>
      <c r="BI31" s="510"/>
      <c r="BJ31" s="511"/>
      <c r="BK31" s="511"/>
      <c r="BL31" s="511"/>
      <c r="BM31" s="195"/>
      <c r="BN31" s="510"/>
      <c r="BO31" s="510"/>
      <c r="BP31" s="510"/>
      <c r="BQ31" s="510"/>
      <c r="BR31" s="510"/>
      <c r="BS31" s="510"/>
      <c r="BT31" s="510"/>
      <c r="BU31" s="510"/>
      <c r="BV31" s="510"/>
      <c r="BW31" s="512"/>
      <c r="BX31" s="509"/>
      <c r="BY31"/>
      <c r="CA31"/>
    </row>
    <row r="32" spans="2:79" ht="18.75">
      <c r="B32" s="252" t="s">
        <v>4314</v>
      </c>
      <c r="C32" s="251">
        <v>26199519000134</v>
      </c>
      <c r="D32" s="252" t="s">
        <v>11</v>
      </c>
      <c r="E32" s="252" t="s">
        <v>620</v>
      </c>
      <c r="F32" s="252" t="s">
        <v>672</v>
      </c>
      <c r="G32" s="253" t="s">
        <v>738</v>
      </c>
      <c r="H32" s="253" t="s">
        <v>34</v>
      </c>
      <c r="I32" s="253" t="s">
        <v>1304</v>
      </c>
      <c r="J32" s="253" t="s">
        <v>608</v>
      </c>
      <c r="K32" s="253" t="s">
        <v>48</v>
      </c>
      <c r="L32" s="655" t="s">
        <v>715</v>
      </c>
      <c r="M32" s="655" t="s">
        <v>1414</v>
      </c>
      <c r="N32" s="253" t="s">
        <v>4315</v>
      </c>
      <c r="O32" s="253" t="s">
        <v>1321</v>
      </c>
      <c r="P32" s="656">
        <v>44498</v>
      </c>
      <c r="Q32" s="657">
        <v>43250.643859999996</v>
      </c>
      <c r="R32" s="657">
        <v>7176.2633460016395</v>
      </c>
      <c r="S32" s="253">
        <v>0</v>
      </c>
      <c r="T32" s="658">
        <v>0.3347050566695724</v>
      </c>
      <c r="U32" s="659">
        <v>16.736608520835961</v>
      </c>
      <c r="V32" s="658">
        <v>0.22194909166373944</v>
      </c>
      <c r="W32" s="659">
        <v>1.7212840266436298</v>
      </c>
      <c r="X32" s="658"/>
      <c r="Y32" s="659"/>
      <c r="Z32" s="658"/>
      <c r="AA32" s="659"/>
      <c r="AB32" s="658">
        <v>0.70696376644228431</v>
      </c>
      <c r="AC32" s="660">
        <v>0.13155579766837161</v>
      </c>
      <c r="AD32" s="682">
        <v>0</v>
      </c>
      <c r="AE32" s="944" t="s">
        <v>2047</v>
      </c>
      <c r="AF32" s="661" t="s">
        <v>1767</v>
      </c>
      <c r="AG32" s="662" t="s">
        <v>59</v>
      </c>
      <c r="AH32" s="662" t="s">
        <v>1734</v>
      </c>
      <c r="AI32" s="662">
        <v>1</v>
      </c>
      <c r="AJ32" s="662">
        <v>1</v>
      </c>
      <c r="AK32" s="662">
        <v>1</v>
      </c>
      <c r="AL32" s="658">
        <v>3.0000000000000001E-3</v>
      </c>
      <c r="AM32" s="658">
        <v>0</v>
      </c>
      <c r="AN32" s="659" t="s">
        <v>64</v>
      </c>
      <c r="AO32" s="253" t="s">
        <v>34</v>
      </c>
      <c r="AP32" s="944" t="s">
        <v>1735</v>
      </c>
      <c r="AQ32" s="663" t="s">
        <v>662</v>
      </c>
      <c r="AR32" s="658">
        <v>6.9999999999999999E-4</v>
      </c>
      <c r="AS32" s="658">
        <v>6.9999999999999999E-4</v>
      </c>
      <c r="AT32" s="658" t="s">
        <v>1417</v>
      </c>
      <c r="AU32" s="658" t="s">
        <v>2751</v>
      </c>
      <c r="AX32" s="508"/>
      <c r="AY32" s="509"/>
      <c r="AZ32" s="509"/>
      <c r="BA32" s="509"/>
      <c r="BB32" s="509"/>
      <c r="BC32" s="509"/>
      <c r="BD32" s="509"/>
      <c r="BE32" s="509"/>
      <c r="BF32" s="509"/>
      <c r="BG32" s="509"/>
      <c r="BH32" s="665"/>
      <c r="BI32" s="510"/>
      <c r="BJ32" s="511"/>
      <c r="BK32" s="511"/>
      <c r="BL32" s="511"/>
      <c r="BM32" s="195"/>
      <c r="BN32" s="510"/>
      <c r="BO32" s="510"/>
      <c r="BP32" s="510"/>
      <c r="BQ32" s="510"/>
      <c r="BR32" s="510"/>
      <c r="BS32" s="510"/>
      <c r="BT32" s="510"/>
      <c r="BU32" s="510"/>
      <c r="BV32" s="510"/>
      <c r="BW32" s="512"/>
      <c r="BX32" s="509"/>
      <c r="BY32"/>
      <c r="CA32"/>
    </row>
    <row r="33" spans="2:79" ht="18.75">
      <c r="B33" s="252" t="s">
        <v>1010</v>
      </c>
      <c r="C33" s="251">
        <v>41594333000173</v>
      </c>
      <c r="D33" s="252" t="s">
        <v>11</v>
      </c>
      <c r="E33" s="252" t="s">
        <v>621</v>
      </c>
      <c r="F33" s="252" t="s">
        <v>692</v>
      </c>
      <c r="G33" s="253" t="s">
        <v>865</v>
      </c>
      <c r="H33" s="253" t="s">
        <v>34</v>
      </c>
      <c r="I33" s="253" t="s">
        <v>1417</v>
      </c>
      <c r="J33" s="253" t="s">
        <v>608</v>
      </c>
      <c r="K33" s="253" t="s">
        <v>48</v>
      </c>
      <c r="L33" s="655" t="s">
        <v>715</v>
      </c>
      <c r="M33" s="655" t="s">
        <v>34</v>
      </c>
      <c r="N33" s="253" t="s">
        <v>3456</v>
      </c>
      <c r="O33" s="253" t="s">
        <v>1321</v>
      </c>
      <c r="P33" s="656">
        <v>44390</v>
      </c>
      <c r="Q33" s="657">
        <v>41.839200390000002</v>
      </c>
      <c r="R33" s="657">
        <v>26.634561185347604</v>
      </c>
      <c r="S33" s="253">
        <v>31</v>
      </c>
      <c r="T33" s="658">
        <v>8.9883829254986392E-3</v>
      </c>
      <c r="U33" s="659">
        <v>0.44945555276731153</v>
      </c>
      <c r="V33" s="658">
        <v>0.12479442173245303</v>
      </c>
      <c r="W33" s="659">
        <v>0.96781943612429633</v>
      </c>
      <c r="X33" s="658"/>
      <c r="Y33" s="659"/>
      <c r="Z33" s="658"/>
      <c r="AA33" s="659"/>
      <c r="AB33" s="658">
        <v>4.3099343278109777E-2</v>
      </c>
      <c r="AC33" s="660">
        <v>-9.6277284030980848E-2</v>
      </c>
      <c r="AD33" s="682">
        <v>41594289000100</v>
      </c>
      <c r="AE33" s="944" t="s">
        <v>1910</v>
      </c>
      <c r="AF33" s="661" t="s">
        <v>1729</v>
      </c>
      <c r="AG33" s="662" t="s">
        <v>1433</v>
      </c>
      <c r="AH33" s="662" t="s">
        <v>1734</v>
      </c>
      <c r="AI33" s="662">
        <v>50000</v>
      </c>
      <c r="AJ33" s="662">
        <v>10000</v>
      </c>
      <c r="AK33" s="662">
        <v>50000</v>
      </c>
      <c r="AL33" s="658">
        <v>0</v>
      </c>
      <c r="AM33" s="658">
        <v>0</v>
      </c>
      <c r="AN33" s="659" t="s">
        <v>2218</v>
      </c>
      <c r="AO33" s="253" t="s">
        <v>34</v>
      </c>
      <c r="AP33" s="944" t="s">
        <v>1746</v>
      </c>
      <c r="AQ33" s="663" t="s">
        <v>671</v>
      </c>
      <c r="AR33" s="658">
        <v>2.2669500000000002E-3</v>
      </c>
      <c r="AS33" s="658">
        <v>2.2669500000000002E-3</v>
      </c>
      <c r="AT33" s="658" t="s">
        <v>1417</v>
      </c>
      <c r="AU33" s="658" t="s">
        <v>2751</v>
      </c>
      <c r="AX33" s="508"/>
      <c r="AY33" s="509"/>
      <c r="AZ33" s="509"/>
      <c r="BA33" s="509"/>
      <c r="BB33" s="509"/>
      <c r="BC33" s="509"/>
      <c r="BD33" s="509"/>
      <c r="BE33" s="509"/>
      <c r="BF33" s="509"/>
      <c r="BG33" s="509"/>
      <c r="BH33" s="665"/>
      <c r="BI33" s="510"/>
      <c r="BJ33" s="511"/>
      <c r="BK33" s="511"/>
      <c r="BL33" s="511"/>
      <c r="BM33" s="195"/>
      <c r="BN33" s="510"/>
      <c r="BO33" s="510"/>
      <c r="BP33" s="510"/>
      <c r="BQ33" s="510"/>
      <c r="BR33" s="510"/>
      <c r="BS33" s="510"/>
      <c r="BT33" s="510"/>
      <c r="BU33" s="510"/>
      <c r="BV33" s="510"/>
      <c r="BW33" s="512"/>
      <c r="BX33" s="509"/>
      <c r="BY33"/>
      <c r="CA33"/>
    </row>
    <row r="34" spans="2:79" ht="18.75">
      <c r="B34" s="252" t="s">
        <v>254</v>
      </c>
      <c r="C34" s="251">
        <v>28558421000151</v>
      </c>
      <c r="D34" s="252" t="s">
        <v>13</v>
      </c>
      <c r="E34" s="252" t="s">
        <v>616</v>
      </c>
      <c r="F34" s="252" t="s">
        <v>619</v>
      </c>
      <c r="G34" s="253" t="s">
        <v>34</v>
      </c>
      <c r="H34" s="253" t="s">
        <v>865</v>
      </c>
      <c r="I34" s="253" t="s">
        <v>34</v>
      </c>
      <c r="J34" s="253" t="s">
        <v>611</v>
      </c>
      <c r="K34" s="253" t="s">
        <v>48</v>
      </c>
      <c r="L34" s="655" t="s">
        <v>715</v>
      </c>
      <c r="M34" s="655" t="s">
        <v>34</v>
      </c>
      <c r="N34" s="253" t="s">
        <v>3491</v>
      </c>
      <c r="O34" s="253" t="s">
        <v>1321</v>
      </c>
      <c r="P34" s="656">
        <v>43048</v>
      </c>
      <c r="Q34" s="657">
        <v>99.192548220000006</v>
      </c>
      <c r="R34" s="657">
        <v>49.536839511463427</v>
      </c>
      <c r="S34" s="253">
        <v>31</v>
      </c>
      <c r="T34" s="658">
        <v>2.4274600012174963E-2</v>
      </c>
      <c r="U34" s="659">
        <v>1.2138283223032826</v>
      </c>
      <c r="V34" s="658">
        <v>0.28269828452909884</v>
      </c>
      <c r="W34" s="659">
        <v>2.1924128541004162</v>
      </c>
      <c r="X34" s="658">
        <v>0.50470117750455423</v>
      </c>
      <c r="Y34" s="659">
        <v>2.6138436515777319</v>
      </c>
      <c r="Z34" s="658">
        <v>0.55732595677017716</v>
      </c>
      <c r="AA34" s="659">
        <v>2.5164810825621262</v>
      </c>
      <c r="AB34" s="658">
        <v>0.18352847779586115</v>
      </c>
      <c r="AC34" s="660">
        <v>0.83776848655243352</v>
      </c>
      <c r="AD34" s="682">
        <v>0</v>
      </c>
      <c r="AE34" s="944" t="s">
        <v>1829</v>
      </c>
      <c r="AF34" s="661" t="s">
        <v>1769</v>
      </c>
      <c r="AG34" s="662" t="s">
        <v>719</v>
      </c>
      <c r="AH34" s="662" t="s">
        <v>1730</v>
      </c>
      <c r="AI34" s="662">
        <v>50000</v>
      </c>
      <c r="AJ34" s="662">
        <v>10000</v>
      </c>
      <c r="AK34" s="662">
        <v>20000</v>
      </c>
      <c r="AL34" s="658">
        <v>0.02</v>
      </c>
      <c r="AM34" s="658">
        <v>0.2</v>
      </c>
      <c r="AN34" s="659" t="s">
        <v>64</v>
      </c>
      <c r="AO34" s="253" t="s">
        <v>34</v>
      </c>
      <c r="AP34" s="944" t="s">
        <v>1746</v>
      </c>
      <c r="AQ34" s="663" t="s">
        <v>664</v>
      </c>
      <c r="AR34" s="658">
        <v>4.0000000000000001E-3</v>
      </c>
      <c r="AS34" s="658">
        <v>4.0000000000000001E-3</v>
      </c>
      <c r="AT34" s="658" t="s">
        <v>1417</v>
      </c>
      <c r="AU34" s="658" t="s">
        <v>2751</v>
      </c>
      <c r="AX34" s="508"/>
      <c r="AY34" s="509"/>
      <c r="AZ34" s="509"/>
      <c r="BA34" s="509"/>
      <c r="BB34" s="509"/>
      <c r="BC34" s="509"/>
      <c r="BD34" s="509"/>
      <c r="BE34" s="509"/>
      <c r="BF34" s="509"/>
      <c r="BG34" s="509"/>
      <c r="BH34" s="665"/>
      <c r="BI34" s="510"/>
      <c r="BJ34" s="511"/>
      <c r="BK34" s="511"/>
      <c r="BL34" s="511"/>
      <c r="BM34" s="195"/>
      <c r="BN34" s="510"/>
      <c r="BO34" s="510"/>
      <c r="BP34" s="510"/>
      <c r="BQ34" s="510"/>
      <c r="BR34" s="510"/>
      <c r="BS34" s="510"/>
      <c r="BT34" s="510"/>
      <c r="BU34" s="510"/>
      <c r="BV34" s="510"/>
      <c r="BW34" s="512"/>
      <c r="BX34" s="509"/>
      <c r="BY34"/>
      <c r="CA34"/>
    </row>
    <row r="35" spans="2:79" ht="18.75">
      <c r="B35" s="252" t="s">
        <v>256</v>
      </c>
      <c r="C35" s="251">
        <v>29726133000121</v>
      </c>
      <c r="D35" s="252" t="s">
        <v>13</v>
      </c>
      <c r="E35" s="252" t="s">
        <v>615</v>
      </c>
      <c r="F35" s="252" t="s">
        <v>619</v>
      </c>
      <c r="G35" s="253" t="s">
        <v>34</v>
      </c>
      <c r="H35" s="253" t="s">
        <v>865</v>
      </c>
      <c r="I35" s="253" t="s">
        <v>34</v>
      </c>
      <c r="J35" s="253" t="s">
        <v>611</v>
      </c>
      <c r="K35" s="253" t="s">
        <v>48</v>
      </c>
      <c r="L35" s="655" t="s">
        <v>715</v>
      </c>
      <c r="M35" s="655" t="s">
        <v>34</v>
      </c>
      <c r="N35" s="253" t="s">
        <v>3493</v>
      </c>
      <c r="O35" s="253" t="s">
        <v>1321</v>
      </c>
      <c r="P35" s="656">
        <v>43238</v>
      </c>
      <c r="Q35" s="657">
        <v>3282.5156220899999</v>
      </c>
      <c r="R35" s="657">
        <v>3166.3727712939767</v>
      </c>
      <c r="S35" s="253">
        <v>31</v>
      </c>
      <c r="T35" s="658">
        <v>5.7795740939399209E-3</v>
      </c>
      <c r="U35" s="659">
        <v>0.28900211424929845</v>
      </c>
      <c r="V35" s="658">
        <v>0.17608815716939219</v>
      </c>
      <c r="W35" s="659">
        <v>1.3656182593258426</v>
      </c>
      <c r="X35" s="658">
        <v>0.39809694711376542</v>
      </c>
      <c r="Y35" s="659">
        <v>2.0617411337749498</v>
      </c>
      <c r="Z35" s="658">
        <v>0.6520930547594681</v>
      </c>
      <c r="AA35" s="659">
        <v>2.9443807819075549</v>
      </c>
      <c r="AB35" s="658">
        <v>4.8796642688519555E-2</v>
      </c>
      <c r="AC35" s="660">
        <v>0.96613711774264177</v>
      </c>
      <c r="AD35" s="682">
        <v>29726117000139</v>
      </c>
      <c r="AE35" s="944" t="s">
        <v>1963</v>
      </c>
      <c r="AF35" s="661" t="s">
        <v>1769</v>
      </c>
      <c r="AG35" s="662" t="s">
        <v>719</v>
      </c>
      <c r="AH35" s="662" t="s">
        <v>1734</v>
      </c>
      <c r="AI35" s="662">
        <v>500</v>
      </c>
      <c r="AJ35" s="662">
        <v>500</v>
      </c>
      <c r="AK35" s="662">
        <v>500</v>
      </c>
      <c r="AL35" s="658">
        <v>2.2000000000000002E-2</v>
      </c>
      <c r="AM35" s="658">
        <v>0.2</v>
      </c>
      <c r="AN35" s="659" t="s">
        <v>64</v>
      </c>
      <c r="AO35" s="253" t="s">
        <v>34</v>
      </c>
      <c r="AP35" s="944" t="s">
        <v>1746</v>
      </c>
      <c r="AQ35" s="663" t="s">
        <v>664</v>
      </c>
      <c r="AR35" s="658">
        <v>4.0000000000000001E-3</v>
      </c>
      <c r="AS35" s="658">
        <v>4.0000000000000001E-3</v>
      </c>
      <c r="AT35" s="658" t="s">
        <v>1417</v>
      </c>
      <c r="AU35" s="658" t="s">
        <v>2751</v>
      </c>
      <c r="AX35" s="508"/>
      <c r="AY35" s="509"/>
      <c r="AZ35" s="509"/>
      <c r="BA35" s="509"/>
      <c r="BB35" s="509"/>
      <c r="BC35" s="509"/>
      <c r="BD35" s="509"/>
      <c r="BE35" s="509"/>
      <c r="BF35" s="509"/>
      <c r="BG35" s="509"/>
      <c r="BH35" s="665"/>
      <c r="BI35" s="510"/>
      <c r="BJ35" s="511"/>
      <c r="BK35" s="511"/>
      <c r="BL35" s="511"/>
      <c r="BM35" s="195"/>
      <c r="BN35" s="510"/>
      <c r="BO35" s="510"/>
      <c r="BP35" s="510"/>
      <c r="BQ35" s="510"/>
      <c r="BR35" s="510"/>
      <c r="BS35" s="510"/>
      <c r="BT35" s="510"/>
      <c r="BU35" s="510"/>
      <c r="BV35" s="510"/>
      <c r="BW35" s="512"/>
      <c r="BX35" s="509"/>
      <c r="BY35"/>
      <c r="CA35"/>
    </row>
    <row r="36" spans="2:79" ht="18.75">
      <c r="B36" s="252" t="s">
        <v>1040</v>
      </c>
      <c r="C36" s="251">
        <v>30338679000194</v>
      </c>
      <c r="D36" s="252" t="s">
        <v>13</v>
      </c>
      <c r="E36" s="252" t="s">
        <v>615</v>
      </c>
      <c r="F36" s="252" t="s">
        <v>619</v>
      </c>
      <c r="G36" s="253" t="s">
        <v>34</v>
      </c>
      <c r="H36" s="253" t="s">
        <v>865</v>
      </c>
      <c r="I36" s="253" t="s">
        <v>34</v>
      </c>
      <c r="J36" s="253" t="s">
        <v>611</v>
      </c>
      <c r="K36" s="253" t="s">
        <v>48</v>
      </c>
      <c r="L36" s="655" t="s">
        <v>715</v>
      </c>
      <c r="M36" s="655" t="s">
        <v>34</v>
      </c>
      <c r="N36" s="253" t="s">
        <v>3530</v>
      </c>
      <c r="O36" s="253" t="s">
        <v>1321</v>
      </c>
      <c r="P36" s="656">
        <v>43281</v>
      </c>
      <c r="Q36" s="657">
        <v>1418.5278477100001</v>
      </c>
      <c r="R36" s="657">
        <v>1246.1056837831604</v>
      </c>
      <c r="S36" s="253">
        <v>31</v>
      </c>
      <c r="T36" s="658">
        <v>7.8713747216658803E-3</v>
      </c>
      <c r="U36" s="659">
        <v>0.39360061825233339</v>
      </c>
      <c r="V36" s="658">
        <v>0.1800861959922091</v>
      </c>
      <c r="W36" s="659">
        <v>1.396624290087356</v>
      </c>
      <c r="X36" s="658">
        <v>0.28709664051683736</v>
      </c>
      <c r="Y36" s="659">
        <v>1.4868713699354468</v>
      </c>
      <c r="Z36" s="658">
        <v>0.44500619876991321</v>
      </c>
      <c r="AA36" s="659">
        <v>2.0093262609140545</v>
      </c>
      <c r="AB36" s="658">
        <v>5.3613898034118618E-2</v>
      </c>
      <c r="AC36" s="660">
        <v>0.95389979875880326</v>
      </c>
      <c r="AD36" s="682">
        <v>0</v>
      </c>
      <c r="AE36" s="944" t="s">
        <v>1797</v>
      </c>
      <c r="AF36" s="661" t="s">
        <v>1745</v>
      </c>
      <c r="AG36" s="662" t="s">
        <v>1432</v>
      </c>
      <c r="AH36" s="662" t="s">
        <v>1734</v>
      </c>
      <c r="AI36" s="662">
        <v>100</v>
      </c>
      <c r="AJ36" s="662">
        <v>100</v>
      </c>
      <c r="AK36" s="662">
        <v>100</v>
      </c>
      <c r="AL36" s="658">
        <v>0</v>
      </c>
      <c r="AM36" s="658">
        <v>0</v>
      </c>
      <c r="AN36" s="659" t="s">
        <v>34</v>
      </c>
      <c r="AO36" s="253" t="s">
        <v>34</v>
      </c>
      <c r="AP36" s="944" t="s">
        <v>1746</v>
      </c>
      <c r="AQ36" s="663" t="s">
        <v>664</v>
      </c>
      <c r="AR36" s="658">
        <v>4.7499999999999999E-3</v>
      </c>
      <c r="AS36" s="658">
        <v>4.7499999999999999E-3</v>
      </c>
      <c r="AT36" s="658" t="s">
        <v>1417</v>
      </c>
      <c r="AU36" s="658" t="s">
        <v>2751</v>
      </c>
      <c r="AX36" s="508"/>
      <c r="AY36" s="509"/>
      <c r="AZ36" s="509"/>
      <c r="BA36" s="509"/>
      <c r="BB36" s="509"/>
      <c r="BC36" s="509"/>
      <c r="BD36" s="509"/>
      <c r="BE36" s="509"/>
      <c r="BF36" s="509"/>
      <c r="BG36" s="509"/>
      <c r="BH36" s="665"/>
      <c r="BI36" s="510"/>
      <c r="BJ36" s="511"/>
      <c r="BK36" s="511"/>
      <c r="BL36" s="511"/>
      <c r="BM36" s="195"/>
      <c r="BN36" s="510"/>
      <c r="BO36" s="510"/>
      <c r="BP36" s="510"/>
      <c r="BQ36" s="510"/>
      <c r="BR36" s="510"/>
      <c r="BS36" s="510"/>
      <c r="BT36" s="510"/>
      <c r="BU36" s="510"/>
      <c r="BV36" s="510"/>
      <c r="BW36" s="512"/>
      <c r="BX36" s="509"/>
      <c r="BY36"/>
      <c r="CA36"/>
    </row>
    <row r="37" spans="2:79" ht="18.75">
      <c r="B37" s="252" t="s">
        <v>1049</v>
      </c>
      <c r="C37" s="251">
        <v>30877877000126</v>
      </c>
      <c r="D37" s="252" t="s">
        <v>11</v>
      </c>
      <c r="E37" s="252" t="s">
        <v>620</v>
      </c>
      <c r="F37" s="252" t="s">
        <v>685</v>
      </c>
      <c r="G37" s="253" t="s">
        <v>738</v>
      </c>
      <c r="H37" s="253" t="s">
        <v>34</v>
      </c>
      <c r="I37" s="253" t="s">
        <v>1319</v>
      </c>
      <c r="J37" s="253" t="s">
        <v>608</v>
      </c>
      <c r="K37" s="253" t="s">
        <v>48</v>
      </c>
      <c r="L37" s="655" t="s">
        <v>715</v>
      </c>
      <c r="M37" s="655" t="s">
        <v>34</v>
      </c>
      <c r="N37" s="253" t="s">
        <v>3545</v>
      </c>
      <c r="O37" s="253" t="s">
        <v>1321</v>
      </c>
      <c r="P37" s="656">
        <v>43313</v>
      </c>
      <c r="Q37" s="657">
        <v>61.492813079999998</v>
      </c>
      <c r="R37" s="657">
        <v>71.51226210052215</v>
      </c>
      <c r="S37" s="253">
        <v>271</v>
      </c>
      <c r="T37" s="658">
        <v>2.1350350816435659E-2</v>
      </c>
      <c r="U37" s="659">
        <v>1.0676040181548854</v>
      </c>
      <c r="V37" s="658">
        <v>0.12410627569105714</v>
      </c>
      <c r="W37" s="659">
        <v>0.96248265019661461</v>
      </c>
      <c r="X37" s="658">
        <v>0.2524889658041447</v>
      </c>
      <c r="Y37" s="659">
        <v>1.3076384795132272</v>
      </c>
      <c r="Z37" s="658">
        <v>0.31418651789187613</v>
      </c>
      <c r="AA37" s="659">
        <v>1.4186391627135519</v>
      </c>
      <c r="AB37" s="658">
        <v>1.5361707947187515E-2</v>
      </c>
      <c r="AC37" s="660">
        <v>-0.31491509748542651</v>
      </c>
      <c r="AD37" s="682">
        <v>22672424000135</v>
      </c>
      <c r="AE37" s="944" t="s">
        <v>1797</v>
      </c>
      <c r="AF37" s="661" t="s">
        <v>1745</v>
      </c>
      <c r="AG37" s="662" t="s">
        <v>1432</v>
      </c>
      <c r="AH37" s="662" t="s">
        <v>1801</v>
      </c>
      <c r="AI37" s="662">
        <v>50000</v>
      </c>
      <c r="AJ37" s="662">
        <v>50000</v>
      </c>
      <c r="AK37" s="662">
        <v>0</v>
      </c>
      <c r="AL37" s="658">
        <v>0</v>
      </c>
      <c r="AM37" s="658">
        <v>0</v>
      </c>
      <c r="AN37" s="659" t="s">
        <v>34</v>
      </c>
      <c r="AO37" s="253" t="s">
        <v>34</v>
      </c>
      <c r="AP37" s="944" t="s">
        <v>1746</v>
      </c>
      <c r="AQ37" s="663" t="s">
        <v>679</v>
      </c>
      <c r="AR37" s="658">
        <v>6.6666666666666697E-3</v>
      </c>
      <c r="AS37" s="658">
        <v>6.6666666666666697E-3</v>
      </c>
      <c r="AT37" s="658" t="s">
        <v>1417</v>
      </c>
      <c r="AU37" s="658" t="s">
        <v>2751</v>
      </c>
      <c r="AX37" s="508"/>
      <c r="AY37" s="509"/>
      <c r="AZ37" s="509"/>
      <c r="BA37" s="509"/>
      <c r="BB37" s="509"/>
      <c r="BC37" s="509"/>
      <c r="BD37" s="509"/>
      <c r="BE37" s="509"/>
      <c r="BF37" s="509"/>
      <c r="BG37" s="509"/>
      <c r="BH37" s="665"/>
      <c r="BI37" s="510"/>
      <c r="BJ37" s="511"/>
      <c r="BK37" s="511"/>
      <c r="BL37" s="511"/>
      <c r="BM37" s="195"/>
      <c r="BN37" s="510"/>
      <c r="BO37" s="510"/>
      <c r="BP37" s="510"/>
      <c r="BQ37" s="510"/>
      <c r="BR37" s="510"/>
      <c r="BS37" s="510"/>
      <c r="BT37" s="510"/>
      <c r="BU37" s="510"/>
      <c r="BV37" s="510"/>
      <c r="BW37" s="512"/>
      <c r="BX37" s="509"/>
      <c r="BY37"/>
      <c r="CA37"/>
    </row>
    <row r="38" spans="2:79" ht="18.75">
      <c r="B38" s="252" t="s">
        <v>2608</v>
      </c>
      <c r="C38" s="251">
        <v>17899612000160</v>
      </c>
      <c r="D38" s="252" t="s">
        <v>11</v>
      </c>
      <c r="E38" s="252" t="s">
        <v>620</v>
      </c>
      <c r="F38" s="252" t="s">
        <v>663</v>
      </c>
      <c r="G38" s="253" t="s">
        <v>738</v>
      </c>
      <c r="H38" s="253" t="s">
        <v>34</v>
      </c>
      <c r="I38" s="253" t="s">
        <v>1304</v>
      </c>
      <c r="J38" s="253" t="s">
        <v>608</v>
      </c>
      <c r="K38" s="253" t="s">
        <v>48</v>
      </c>
      <c r="L38" s="655" t="s">
        <v>715</v>
      </c>
      <c r="M38" s="655" t="s">
        <v>34</v>
      </c>
      <c r="N38" s="253" t="s">
        <v>3699</v>
      </c>
      <c r="O38" s="253" t="s">
        <v>1321</v>
      </c>
      <c r="P38" s="656">
        <v>41915</v>
      </c>
      <c r="Q38" s="657">
        <v>317.83893399999999</v>
      </c>
      <c r="R38" s="657">
        <v>367.95584790243907</v>
      </c>
      <c r="S38" s="253">
        <v>2</v>
      </c>
      <c r="T38" s="658">
        <v>2.0120015654215395E-2</v>
      </c>
      <c r="U38" s="659">
        <v>1.0060822767016984</v>
      </c>
      <c r="V38" s="658">
        <v>0.13116337628244645</v>
      </c>
      <c r="W38" s="659">
        <v>1.0172126535109749</v>
      </c>
      <c r="X38" s="658">
        <v>0.20201431345568333</v>
      </c>
      <c r="Y38" s="659">
        <v>1.0462306297060444</v>
      </c>
      <c r="Z38" s="658">
        <v>0.23756890857030455</v>
      </c>
      <c r="AA38" s="659">
        <v>1.072689432386569</v>
      </c>
      <c r="AB38" s="658">
        <v>1.8845226477034859E-3</v>
      </c>
      <c r="AC38" s="660">
        <v>1.1777342333151499</v>
      </c>
      <c r="AD38" s="682">
        <v>0</v>
      </c>
      <c r="AE38" s="944" t="s">
        <v>1773</v>
      </c>
      <c r="AF38" s="661" t="s">
        <v>1745</v>
      </c>
      <c r="AG38" s="662" t="s">
        <v>1432</v>
      </c>
      <c r="AH38" s="662" t="s">
        <v>1734</v>
      </c>
      <c r="AI38" s="662">
        <v>100</v>
      </c>
      <c r="AJ38" s="662">
        <v>100</v>
      </c>
      <c r="AK38" s="662">
        <v>100</v>
      </c>
      <c r="AL38" s="658">
        <v>8.0000000000000002E-3</v>
      </c>
      <c r="AM38" s="658">
        <v>0.2</v>
      </c>
      <c r="AN38" s="659" t="s">
        <v>64</v>
      </c>
      <c r="AO38" s="253" t="s">
        <v>34</v>
      </c>
      <c r="AP38" s="944" t="s">
        <v>1746</v>
      </c>
      <c r="AQ38" s="663" t="s">
        <v>686</v>
      </c>
      <c r="AR38" s="658">
        <v>1.6000000000000001E-3</v>
      </c>
      <c r="AS38" s="658">
        <v>1.6000000000000001E-3</v>
      </c>
      <c r="AT38" s="658" t="s">
        <v>1417</v>
      </c>
      <c r="AU38" s="658" t="s">
        <v>2751</v>
      </c>
      <c r="AX38" s="508"/>
      <c r="AY38" s="509"/>
      <c r="AZ38" s="509"/>
      <c r="BA38" s="509"/>
      <c r="BB38" s="509"/>
      <c r="BC38" s="509"/>
      <c r="BD38" s="509"/>
      <c r="BE38" s="509"/>
      <c r="BF38" s="509"/>
      <c r="BG38" s="509"/>
      <c r="BH38" s="665"/>
      <c r="BI38" s="510"/>
      <c r="BJ38" s="511"/>
      <c r="BK38" s="511"/>
      <c r="BL38" s="511"/>
      <c r="BM38" s="195"/>
      <c r="BN38" s="510"/>
      <c r="BO38" s="510"/>
      <c r="BP38" s="510"/>
      <c r="BQ38" s="510"/>
      <c r="BR38" s="510"/>
      <c r="BS38" s="510"/>
      <c r="BT38" s="510"/>
      <c r="BU38" s="510"/>
      <c r="BV38" s="510"/>
      <c r="BW38" s="512"/>
      <c r="BX38" s="509"/>
      <c r="BY38"/>
      <c r="CA38"/>
    </row>
    <row r="39" spans="2:79" ht="18.75">
      <c r="B39" s="252" t="s">
        <v>2647</v>
      </c>
      <c r="C39" s="251">
        <v>31006911000150</v>
      </c>
      <c r="D39" s="252" t="s">
        <v>13</v>
      </c>
      <c r="E39" s="252" t="s">
        <v>616</v>
      </c>
      <c r="F39" s="252" t="s">
        <v>617</v>
      </c>
      <c r="G39" s="253" t="s">
        <v>34</v>
      </c>
      <c r="H39" s="253" t="s">
        <v>865</v>
      </c>
      <c r="I39" s="253" t="s">
        <v>34</v>
      </c>
      <c r="J39" s="253" t="s">
        <v>608</v>
      </c>
      <c r="K39" s="253" t="s">
        <v>48</v>
      </c>
      <c r="L39" s="655" t="s">
        <v>715</v>
      </c>
      <c r="M39" s="655" t="s">
        <v>34</v>
      </c>
      <c r="N39" s="253" t="s">
        <v>3704</v>
      </c>
      <c r="O39" s="253" t="s">
        <v>1321</v>
      </c>
      <c r="P39" s="656">
        <v>43388</v>
      </c>
      <c r="Q39" s="657">
        <v>9.0320246599999994</v>
      </c>
      <c r="R39" s="657">
        <v>22.811145903951612</v>
      </c>
      <c r="S39" s="253">
        <v>32</v>
      </c>
      <c r="T39" s="658">
        <v>2.4999802797031512E-2</v>
      </c>
      <c r="U39" s="659">
        <v>1.2500913989031275</v>
      </c>
      <c r="V39" s="658">
        <v>0.1412030197998837</v>
      </c>
      <c r="W39" s="659">
        <v>1.0950732020278504</v>
      </c>
      <c r="X39" s="658">
        <v>0.22383453831510769</v>
      </c>
      <c r="Y39" s="659">
        <v>1.1592374122675737</v>
      </c>
      <c r="Z39" s="658">
        <v>0.2842665259187922</v>
      </c>
      <c r="AA39" s="659">
        <v>1.2835421106634088</v>
      </c>
      <c r="AB39" s="658">
        <v>6.9985462465054105E-2</v>
      </c>
      <c r="AC39" s="660">
        <v>0.17516652632275881</v>
      </c>
      <c r="AD39" s="682">
        <v>30658590000105</v>
      </c>
      <c r="AE39" s="944" t="s">
        <v>1793</v>
      </c>
      <c r="AF39" s="661" t="s">
        <v>1767</v>
      </c>
      <c r="AG39" s="662" t="s">
        <v>59</v>
      </c>
      <c r="AH39" s="662" t="s">
        <v>1734</v>
      </c>
      <c r="AI39" s="662">
        <v>1000</v>
      </c>
      <c r="AJ39" s="662">
        <v>1000</v>
      </c>
      <c r="AK39" s="662">
        <v>1000</v>
      </c>
      <c r="AL39" s="658">
        <v>0.02</v>
      </c>
      <c r="AM39" s="658">
        <v>0.2</v>
      </c>
      <c r="AN39" s="659" t="s">
        <v>64</v>
      </c>
      <c r="AO39" s="253" t="s">
        <v>34</v>
      </c>
      <c r="AP39" s="944" t="s">
        <v>1746</v>
      </c>
      <c r="AQ39" s="663" t="s">
        <v>674</v>
      </c>
      <c r="AR39" s="658">
        <v>5.3333333333333297E-3</v>
      </c>
      <c r="AS39" s="658">
        <v>5.3333333333333297E-3</v>
      </c>
      <c r="AT39" s="658" t="s">
        <v>1417</v>
      </c>
      <c r="AU39" s="658" t="s">
        <v>2751</v>
      </c>
      <c r="AX39" s="508"/>
      <c r="AY39" s="509"/>
      <c r="AZ39" s="509"/>
      <c r="BA39" s="509"/>
      <c r="BB39" s="509"/>
      <c r="BC39" s="509"/>
      <c r="BD39" s="509"/>
      <c r="BE39" s="509"/>
      <c r="BF39" s="509"/>
      <c r="BG39" s="509"/>
      <c r="BH39" s="665"/>
      <c r="BI39" s="510"/>
      <c r="BJ39" s="511"/>
      <c r="BK39" s="511"/>
      <c r="BL39" s="511"/>
      <c r="BM39" s="195"/>
      <c r="BN39" s="510"/>
      <c r="BO39" s="510"/>
      <c r="BP39" s="510"/>
      <c r="BQ39" s="510"/>
      <c r="BR39" s="510"/>
      <c r="BS39" s="510"/>
      <c r="BT39" s="510"/>
      <c r="BU39" s="510"/>
      <c r="BV39" s="510"/>
      <c r="BW39" s="512"/>
      <c r="BX39" s="509"/>
      <c r="BY39"/>
      <c r="CA39"/>
    </row>
    <row r="40" spans="2:79" ht="18.75">
      <c r="B40" s="252" t="s">
        <v>583</v>
      </c>
      <c r="C40" s="251">
        <v>37994000000164</v>
      </c>
      <c r="D40" s="252" t="s">
        <v>14</v>
      </c>
      <c r="E40" s="252" t="s">
        <v>607</v>
      </c>
      <c r="F40" s="252" t="s">
        <v>1417</v>
      </c>
      <c r="G40" s="253" t="s">
        <v>866</v>
      </c>
      <c r="H40" s="253" t="s">
        <v>34</v>
      </c>
      <c r="I40" s="253" t="s">
        <v>34</v>
      </c>
      <c r="J40" s="253" t="s">
        <v>611</v>
      </c>
      <c r="K40" s="253" t="s">
        <v>49</v>
      </c>
      <c r="L40" s="655" t="s">
        <v>715</v>
      </c>
      <c r="M40" s="655" t="s">
        <v>1414</v>
      </c>
      <c r="N40" s="253" t="s">
        <v>3720</v>
      </c>
      <c r="O40" s="253" t="s">
        <v>1321</v>
      </c>
      <c r="P40" s="656">
        <v>44181</v>
      </c>
      <c r="Q40" s="657">
        <v>4.8788143000000002</v>
      </c>
      <c r="R40" s="657">
        <v>5.9379080729317257</v>
      </c>
      <c r="S40" s="253">
        <v>10</v>
      </c>
      <c r="T40" s="658">
        <v>4.859091233718571E-2</v>
      </c>
      <c r="U40" s="659">
        <v>2.4297424291996568</v>
      </c>
      <c r="V40" s="658">
        <v>-0.22558096336564371</v>
      </c>
      <c r="W40" s="659">
        <v>-1.7494503178433165</v>
      </c>
      <c r="X40" s="658">
        <v>-0.35354113701838041</v>
      </c>
      <c r="Y40" s="659">
        <v>-1.8309869240571128</v>
      </c>
      <c r="Z40" s="658"/>
      <c r="AA40" s="659"/>
      <c r="AB40" s="658">
        <v>0.34770393705816333</v>
      </c>
      <c r="AC40" s="660">
        <v>-1.0196170794382686</v>
      </c>
      <c r="AD40" s="682">
        <v>0</v>
      </c>
      <c r="AE40" s="944" t="s">
        <v>2042</v>
      </c>
      <c r="AF40" s="661" t="s">
        <v>1742</v>
      </c>
      <c r="AG40" s="662" t="s">
        <v>741</v>
      </c>
      <c r="AH40" s="662" t="s">
        <v>1730</v>
      </c>
      <c r="AI40" s="662">
        <v>1000</v>
      </c>
      <c r="AJ40" s="662">
        <v>1000</v>
      </c>
      <c r="AK40" s="662">
        <v>1000</v>
      </c>
      <c r="AL40" s="658">
        <v>0</v>
      </c>
      <c r="AM40" s="658">
        <v>0</v>
      </c>
      <c r="AN40" s="659" t="s">
        <v>2122</v>
      </c>
      <c r="AO40" s="253" t="s">
        <v>34</v>
      </c>
      <c r="AP40" s="944" t="s">
        <v>1731</v>
      </c>
      <c r="AQ40" s="663" t="s">
        <v>687</v>
      </c>
      <c r="AR40" s="658">
        <v>5.0000000000000001E-4</v>
      </c>
      <c r="AS40" s="658">
        <v>5.0000000000000001E-4</v>
      </c>
      <c r="AT40" s="658" t="s">
        <v>1417</v>
      </c>
      <c r="AU40" s="658" t="s">
        <v>2751</v>
      </c>
      <c r="AX40" s="508"/>
      <c r="AY40" s="509"/>
      <c r="AZ40" s="509"/>
      <c r="BA40" s="509"/>
      <c r="BB40" s="509"/>
      <c r="BC40" s="509"/>
      <c r="BD40" s="509"/>
      <c r="BE40" s="509"/>
      <c r="BF40" s="509"/>
      <c r="BG40" s="509"/>
      <c r="BH40" s="665"/>
      <c r="BI40" s="510"/>
      <c r="BJ40" s="511"/>
      <c r="BK40" s="511"/>
      <c r="BL40" s="511"/>
      <c r="BM40" s="195"/>
      <c r="BN40" s="510"/>
      <c r="BO40" s="510"/>
      <c r="BP40" s="510"/>
      <c r="BQ40" s="510"/>
      <c r="BR40" s="510"/>
      <c r="BS40" s="510"/>
      <c r="BT40" s="510"/>
      <c r="BU40" s="510"/>
      <c r="BV40" s="510"/>
      <c r="BW40" s="512"/>
      <c r="BX40" s="509"/>
      <c r="BY40"/>
      <c r="CA40"/>
    </row>
    <row r="41" spans="2:79" ht="18.75">
      <c r="B41" s="252" t="s">
        <v>1093</v>
      </c>
      <c r="C41" s="251">
        <v>37467515000106</v>
      </c>
      <c r="D41" s="252" t="s">
        <v>14</v>
      </c>
      <c r="E41" s="252" t="s">
        <v>614</v>
      </c>
      <c r="F41" s="252" t="s">
        <v>689</v>
      </c>
      <c r="G41" s="253" t="s">
        <v>1417</v>
      </c>
      <c r="H41" s="253" t="s">
        <v>865</v>
      </c>
      <c r="I41" s="253" t="s">
        <v>34</v>
      </c>
      <c r="J41" s="253" t="s">
        <v>608</v>
      </c>
      <c r="K41" s="253" t="s">
        <v>48</v>
      </c>
      <c r="L41" s="655" t="s">
        <v>715</v>
      </c>
      <c r="M41" s="655" t="s">
        <v>1414</v>
      </c>
      <c r="N41" s="253" t="s">
        <v>3724</v>
      </c>
      <c r="O41" s="253" t="s">
        <v>1321</v>
      </c>
      <c r="P41" s="656">
        <v>44227</v>
      </c>
      <c r="Q41" s="657">
        <v>463.60227450000002</v>
      </c>
      <c r="R41" s="657">
        <v>286.94864312987897</v>
      </c>
      <c r="S41" s="253">
        <v>32</v>
      </c>
      <c r="T41" s="658">
        <v>-1.420579947578049E-3</v>
      </c>
      <c r="U41" s="659">
        <v>-7.1034751287415779E-2</v>
      </c>
      <c r="V41" s="658">
        <v>0.22458003083821465</v>
      </c>
      <c r="W41" s="659">
        <v>1.7416877757292812</v>
      </c>
      <c r="X41" s="658">
        <v>0.23286256157268315</v>
      </c>
      <c r="Y41" s="659">
        <v>1.2059934776977892</v>
      </c>
      <c r="Z41" s="658"/>
      <c r="AA41" s="659"/>
      <c r="AB41" s="658">
        <v>0.1720803587381261</v>
      </c>
      <c r="AC41" s="660">
        <v>0.55576430740109317</v>
      </c>
      <c r="AD41" s="682">
        <v>37467474000158</v>
      </c>
      <c r="AE41" s="944" t="s">
        <v>2044</v>
      </c>
      <c r="AF41" s="661" t="s">
        <v>1783</v>
      </c>
      <c r="AG41" s="662" t="s">
        <v>736</v>
      </c>
      <c r="AH41" s="662" t="s">
        <v>1730</v>
      </c>
      <c r="AI41" s="662">
        <v>0</v>
      </c>
      <c r="AJ41" s="662">
        <v>0</v>
      </c>
      <c r="AK41" s="662">
        <v>0</v>
      </c>
      <c r="AL41" s="658">
        <v>0</v>
      </c>
      <c r="AM41" s="658">
        <v>0</v>
      </c>
      <c r="AN41" s="659" t="s">
        <v>64</v>
      </c>
      <c r="AO41" s="253" t="s">
        <v>34</v>
      </c>
      <c r="AP41" s="944" t="s">
        <v>1746</v>
      </c>
      <c r="AQ41" s="663" t="s">
        <v>668</v>
      </c>
      <c r="AR41" s="658">
        <v>3.5999999999999999E-3</v>
      </c>
      <c r="AS41" s="658">
        <v>3.5999999999999999E-3</v>
      </c>
      <c r="AT41" s="658" t="s">
        <v>1417</v>
      </c>
      <c r="AU41" s="658" t="s">
        <v>2751</v>
      </c>
      <c r="AX41" s="508"/>
      <c r="AY41" s="509"/>
      <c r="AZ41" s="509"/>
      <c r="BA41" s="509"/>
      <c r="BB41" s="509"/>
      <c r="BC41" s="509"/>
      <c r="BD41" s="509"/>
      <c r="BE41" s="509"/>
      <c r="BF41" s="509"/>
      <c r="BG41" s="509"/>
      <c r="BH41" s="665"/>
      <c r="BI41" s="510"/>
      <c r="BJ41" s="511"/>
      <c r="BK41" s="511"/>
      <c r="BL41" s="511"/>
      <c r="BM41" s="195"/>
      <c r="BN41" s="510"/>
      <c r="BO41" s="510"/>
      <c r="BP41" s="510"/>
      <c r="BQ41" s="510"/>
      <c r="BR41" s="510"/>
      <c r="BS41" s="510"/>
      <c r="BT41" s="510"/>
      <c r="BU41" s="510"/>
      <c r="BV41" s="510"/>
      <c r="BW41" s="512"/>
      <c r="BX41" s="509"/>
      <c r="BY41"/>
      <c r="CA41"/>
    </row>
    <row r="42" spans="2:79" ht="18.75">
      <c r="B42" s="252" t="s">
        <v>1145</v>
      </c>
      <c r="C42" s="251">
        <v>27928186000108</v>
      </c>
      <c r="D42" s="252" t="s">
        <v>13</v>
      </c>
      <c r="E42" s="252" t="s">
        <v>615</v>
      </c>
      <c r="F42" s="252" t="s">
        <v>619</v>
      </c>
      <c r="G42" s="253" t="s">
        <v>34</v>
      </c>
      <c r="H42" s="253" t="s">
        <v>1337</v>
      </c>
      <c r="I42" s="253" t="s">
        <v>34</v>
      </c>
      <c r="J42" s="253" t="s">
        <v>608</v>
      </c>
      <c r="K42" s="253" t="s">
        <v>48</v>
      </c>
      <c r="L42" s="655" t="s">
        <v>715</v>
      </c>
      <c r="M42" s="655" t="s">
        <v>34</v>
      </c>
      <c r="N42" s="253" t="s">
        <v>3833</v>
      </c>
      <c r="O42" s="253" t="s">
        <v>1321</v>
      </c>
      <c r="P42" s="656">
        <v>42965</v>
      </c>
      <c r="Q42" s="657">
        <v>635.37986398999999</v>
      </c>
      <c r="R42" s="657">
        <v>323.3395534704033</v>
      </c>
      <c r="S42" s="253">
        <v>15</v>
      </c>
      <c r="T42" s="658">
        <v>1.5682012738987616E-2</v>
      </c>
      <c r="U42" s="659">
        <v>0.78416415527987593</v>
      </c>
      <c r="V42" s="658">
        <v>0.17549308497256622</v>
      </c>
      <c r="W42" s="659">
        <v>1.3610032899226423</v>
      </c>
      <c r="X42" s="658">
        <v>0.2797813342170421</v>
      </c>
      <c r="Y42" s="659">
        <v>1.4489854529149857</v>
      </c>
      <c r="Z42" s="658">
        <v>0.48589063573520153</v>
      </c>
      <c r="AA42" s="659">
        <v>2.1939308194215958</v>
      </c>
      <c r="AB42" s="658">
        <v>2.4972455256781236E-2</v>
      </c>
      <c r="AC42" s="660">
        <v>1.8640207799806749</v>
      </c>
      <c r="AD42" s="682">
        <v>0</v>
      </c>
      <c r="AE42" s="944" t="s">
        <v>1838</v>
      </c>
      <c r="AF42" s="661" t="s">
        <v>1767</v>
      </c>
      <c r="AG42" s="662" t="s">
        <v>59</v>
      </c>
      <c r="AH42" s="662" t="s">
        <v>1734</v>
      </c>
      <c r="AI42" s="662">
        <v>1000</v>
      </c>
      <c r="AJ42" s="662">
        <v>1000</v>
      </c>
      <c r="AK42" s="662">
        <v>1000</v>
      </c>
      <c r="AL42" s="658">
        <v>1.8000000000000002E-2</v>
      </c>
      <c r="AM42" s="658">
        <v>0</v>
      </c>
      <c r="AN42" s="659" t="s">
        <v>64</v>
      </c>
      <c r="AO42" s="253" t="s">
        <v>34</v>
      </c>
      <c r="AP42" s="944" t="s">
        <v>1746</v>
      </c>
      <c r="AQ42" s="663" t="s">
        <v>671</v>
      </c>
      <c r="AR42" s="658">
        <v>5.0004000000000003E-3</v>
      </c>
      <c r="AS42" s="658">
        <v>5.0004000000000003E-3</v>
      </c>
      <c r="AT42" s="658" t="s">
        <v>1417</v>
      </c>
      <c r="AU42" s="658" t="s">
        <v>2751</v>
      </c>
      <c r="AX42" s="508"/>
      <c r="AY42" s="509"/>
      <c r="AZ42" s="509"/>
      <c r="BA42" s="509"/>
      <c r="BB42" s="509"/>
      <c r="BC42" s="509"/>
      <c r="BD42" s="509"/>
      <c r="BE42" s="509"/>
      <c r="BF42" s="509"/>
      <c r="BG42" s="509"/>
      <c r="BH42" s="665"/>
      <c r="BI42" s="510"/>
      <c r="BJ42" s="511"/>
      <c r="BK42" s="511"/>
      <c r="BL42" s="511"/>
      <c r="BM42" s="195"/>
      <c r="BN42" s="510"/>
      <c r="BO42" s="510"/>
      <c r="BP42" s="510"/>
      <c r="BQ42" s="510"/>
      <c r="BR42" s="510"/>
      <c r="BS42" s="510"/>
      <c r="BT42" s="510"/>
      <c r="BU42" s="510"/>
      <c r="BV42" s="510"/>
      <c r="BW42" s="512"/>
      <c r="BX42" s="509"/>
      <c r="BY42"/>
      <c r="CA42"/>
    </row>
    <row r="43" spans="2:79" ht="18.75">
      <c r="B43" s="252" t="s">
        <v>1153</v>
      </c>
      <c r="C43" s="251">
        <v>10500884000105</v>
      </c>
      <c r="D43" s="252" t="s">
        <v>14</v>
      </c>
      <c r="E43" s="252" t="s">
        <v>607</v>
      </c>
      <c r="F43" s="252" t="s">
        <v>1417</v>
      </c>
      <c r="G43" s="253" t="s">
        <v>1417</v>
      </c>
      <c r="H43" s="253" t="s">
        <v>34</v>
      </c>
      <c r="I43" s="253" t="s">
        <v>34</v>
      </c>
      <c r="J43" s="253" t="s">
        <v>608</v>
      </c>
      <c r="K43" s="253" t="s">
        <v>48</v>
      </c>
      <c r="L43" s="655" t="s">
        <v>715</v>
      </c>
      <c r="M43" s="655" t="s">
        <v>34</v>
      </c>
      <c r="N43" s="253" t="s">
        <v>3851</v>
      </c>
      <c r="O43" s="253" t="s">
        <v>1321</v>
      </c>
      <c r="P43" s="656">
        <v>40951</v>
      </c>
      <c r="Q43" s="657">
        <v>1296.649109</v>
      </c>
      <c r="R43" s="657">
        <v>1889.3476739758059</v>
      </c>
      <c r="S43" s="253">
        <v>29</v>
      </c>
      <c r="T43" s="658">
        <v>-1.6676777533729092E-2</v>
      </c>
      <c r="U43" s="659">
        <v>-0.83390642420631778</v>
      </c>
      <c r="V43" s="658">
        <v>-1.1492638300759195E-2</v>
      </c>
      <c r="W43" s="659">
        <v>-8.912897359841486E-2</v>
      </c>
      <c r="X43" s="658">
        <v>9.7492964956394701E-2</v>
      </c>
      <c r="Y43" s="659">
        <v>0.50491534175678254</v>
      </c>
      <c r="Z43" s="658">
        <v>5.6454798672230133E-2</v>
      </c>
      <c r="AA43" s="659">
        <v>0.25490905484078236</v>
      </c>
      <c r="AB43" s="658">
        <v>0.1915416873262159</v>
      </c>
      <c r="AC43" s="660">
        <v>-0.73319051172588423</v>
      </c>
      <c r="AD43" s="682">
        <v>36352539000157</v>
      </c>
      <c r="AE43" s="944" t="s">
        <v>1854</v>
      </c>
      <c r="AF43" s="661" t="s">
        <v>1729</v>
      </c>
      <c r="AG43" s="662" t="s">
        <v>1433</v>
      </c>
      <c r="AH43" s="662" t="s">
        <v>1734</v>
      </c>
      <c r="AI43" s="662">
        <v>5000</v>
      </c>
      <c r="AJ43" s="662">
        <v>1000</v>
      </c>
      <c r="AK43" s="662">
        <v>5000</v>
      </c>
      <c r="AL43" s="658">
        <v>2.2000000000000002E-2</v>
      </c>
      <c r="AM43" s="658">
        <v>0.15</v>
      </c>
      <c r="AN43" s="659" t="s">
        <v>666</v>
      </c>
      <c r="AO43" s="253" t="s">
        <v>34</v>
      </c>
      <c r="AP43" s="944" t="s">
        <v>1731</v>
      </c>
      <c r="AQ43" s="663" t="s">
        <v>659</v>
      </c>
      <c r="AR43" s="658">
        <v>5.3333333333333297E-3</v>
      </c>
      <c r="AS43" s="658">
        <v>5.3333333333333297E-3</v>
      </c>
      <c r="AT43" s="658" t="s">
        <v>1417</v>
      </c>
      <c r="AU43" s="658" t="s">
        <v>2751</v>
      </c>
      <c r="AX43" s="508"/>
      <c r="AY43" s="509"/>
      <c r="AZ43" s="509"/>
      <c r="BA43" s="509"/>
      <c r="BB43" s="509"/>
      <c r="BC43" s="509"/>
      <c r="BD43" s="509"/>
      <c r="BE43" s="509"/>
      <c r="BF43" s="509"/>
      <c r="BG43" s="509"/>
      <c r="BH43" s="665"/>
      <c r="BI43" s="510"/>
      <c r="BJ43" s="511"/>
      <c r="BK43" s="511"/>
      <c r="BL43" s="511"/>
      <c r="BM43" s="195"/>
      <c r="BN43" s="510"/>
      <c r="BO43" s="510"/>
      <c r="BP43" s="510"/>
      <c r="BQ43" s="510"/>
      <c r="BR43" s="510"/>
      <c r="BS43" s="510"/>
      <c r="BT43" s="510"/>
      <c r="BU43" s="510"/>
      <c r="BV43" s="510"/>
      <c r="BW43" s="512"/>
      <c r="BX43" s="509"/>
      <c r="BY43"/>
      <c r="CA43"/>
    </row>
    <row r="44" spans="2:79" ht="18.75">
      <c r="B44" s="252" t="s">
        <v>359</v>
      </c>
      <c r="C44" s="251">
        <v>32295829000155</v>
      </c>
      <c r="D44" s="252" t="s">
        <v>14</v>
      </c>
      <c r="E44" s="252" t="s">
        <v>614</v>
      </c>
      <c r="F44" s="252" t="s">
        <v>1417</v>
      </c>
      <c r="G44" s="253" t="s">
        <v>1417</v>
      </c>
      <c r="H44" s="253" t="s">
        <v>1338</v>
      </c>
      <c r="I44" s="253" t="s">
        <v>34</v>
      </c>
      <c r="J44" s="253" t="s">
        <v>608</v>
      </c>
      <c r="K44" s="253" t="s">
        <v>48</v>
      </c>
      <c r="L44" s="655" t="s">
        <v>715</v>
      </c>
      <c r="M44" s="655" t="s">
        <v>34</v>
      </c>
      <c r="N44" s="253" t="s">
        <v>3872</v>
      </c>
      <c r="O44" s="253" t="s">
        <v>1321</v>
      </c>
      <c r="P44" s="656">
        <v>43523</v>
      </c>
      <c r="Q44" s="657">
        <v>19.281418469999998</v>
      </c>
      <c r="R44" s="657">
        <v>5.5059011623999989</v>
      </c>
      <c r="S44" s="253">
        <v>61</v>
      </c>
      <c r="T44" s="658">
        <v>-5.1987175660859197E-3</v>
      </c>
      <c r="U44" s="659">
        <v>-0.25995693515879609</v>
      </c>
      <c r="V44" s="658">
        <v>0.16114079164815909</v>
      </c>
      <c r="W44" s="659">
        <v>1.2496968049092503</v>
      </c>
      <c r="X44" s="658">
        <v>0.10111537415727412</v>
      </c>
      <c r="Y44" s="659">
        <v>0.52367577211668592</v>
      </c>
      <c r="Z44" s="658">
        <v>0.32990953698811842</v>
      </c>
      <c r="AA44" s="659">
        <v>1.489632949447897</v>
      </c>
      <c r="AB44" s="658">
        <v>0.18787019449253148</v>
      </c>
      <c r="AC44" s="660">
        <v>0.17137834071199984</v>
      </c>
      <c r="AD44" s="682">
        <v>32041623000107</v>
      </c>
      <c r="AE44" s="944" t="s">
        <v>1797</v>
      </c>
      <c r="AF44" s="661" t="s">
        <v>1745</v>
      </c>
      <c r="AG44" s="662" t="s">
        <v>1432</v>
      </c>
      <c r="AH44" s="662" t="s">
        <v>1730</v>
      </c>
      <c r="AI44" s="662">
        <v>500</v>
      </c>
      <c r="AJ44" s="662">
        <v>100</v>
      </c>
      <c r="AK44" s="662">
        <v>100</v>
      </c>
      <c r="AL44" s="658">
        <v>0</v>
      </c>
      <c r="AM44" s="658">
        <v>0</v>
      </c>
      <c r="AN44" s="659" t="s">
        <v>34</v>
      </c>
      <c r="AO44" s="253" t="s">
        <v>34</v>
      </c>
      <c r="AP44" s="944" t="s">
        <v>1731</v>
      </c>
      <c r="AQ44" s="663" t="s">
        <v>659</v>
      </c>
      <c r="AR44" s="658">
        <v>7.9333333333333304E-3</v>
      </c>
      <c r="AS44" s="658">
        <v>7.9333333333333304E-3</v>
      </c>
      <c r="AT44" s="658" t="s">
        <v>1417</v>
      </c>
      <c r="AU44" s="658" t="s">
        <v>2751</v>
      </c>
      <c r="AX44" s="508"/>
      <c r="AY44" s="509"/>
      <c r="AZ44" s="509"/>
      <c r="BA44" s="509"/>
      <c r="BB44" s="509"/>
      <c r="BC44" s="509"/>
      <c r="BD44" s="509"/>
      <c r="BE44" s="509"/>
      <c r="BF44" s="509"/>
      <c r="BG44" s="509"/>
      <c r="BH44" s="665"/>
      <c r="BI44" s="510"/>
      <c r="BJ44" s="511"/>
      <c r="BK44" s="511"/>
      <c r="BL44" s="511"/>
      <c r="BM44" s="195"/>
      <c r="BN44" s="510"/>
      <c r="BO44" s="510"/>
      <c r="BP44" s="510"/>
      <c r="BQ44" s="510"/>
      <c r="BR44" s="510"/>
      <c r="BS44" s="510"/>
      <c r="BT44" s="510"/>
      <c r="BU44" s="510"/>
      <c r="BV44" s="510"/>
      <c r="BW44" s="512"/>
      <c r="BX44" s="509"/>
      <c r="BY44"/>
      <c r="CA44"/>
    </row>
    <row r="45" spans="2:79" ht="18.75">
      <c r="B45" s="252" t="s">
        <v>650</v>
      </c>
      <c r="C45" s="251">
        <v>18772290000157</v>
      </c>
      <c r="D45" s="252" t="s">
        <v>13</v>
      </c>
      <c r="E45" s="252" t="s">
        <v>616</v>
      </c>
      <c r="F45" s="252" t="s">
        <v>617</v>
      </c>
      <c r="G45" s="253" t="s">
        <v>34</v>
      </c>
      <c r="H45" s="253" t="s">
        <v>1337</v>
      </c>
      <c r="I45" s="253" t="s">
        <v>34</v>
      </c>
      <c r="J45" s="253" t="s">
        <v>608</v>
      </c>
      <c r="K45" s="253" t="s">
        <v>48</v>
      </c>
      <c r="L45" s="655" t="s">
        <v>715</v>
      </c>
      <c r="M45" s="655" t="s">
        <v>34</v>
      </c>
      <c r="N45" s="253" t="s">
        <v>3926</v>
      </c>
      <c r="O45" s="253" t="s">
        <v>1321</v>
      </c>
      <c r="P45" s="656">
        <v>41579</v>
      </c>
      <c r="Q45" s="657">
        <v>460.30376000000001</v>
      </c>
      <c r="R45" s="657">
        <v>499.95126433333331</v>
      </c>
      <c r="S45" s="253">
        <v>15</v>
      </c>
      <c r="T45" s="658">
        <v>1.4227225742384109E-2</v>
      </c>
      <c r="U45" s="659">
        <v>0.71141891298916071</v>
      </c>
      <c r="V45" s="658">
        <v>0.15999245559616715</v>
      </c>
      <c r="W45" s="659">
        <v>1.2407911027561305</v>
      </c>
      <c r="X45" s="658">
        <v>0.23492320829518087</v>
      </c>
      <c r="Y45" s="659">
        <v>1.2166655517761116</v>
      </c>
      <c r="Z45" s="658">
        <v>0.30361884073575185</v>
      </c>
      <c r="AA45" s="659">
        <v>1.3709231729467646</v>
      </c>
      <c r="AB45" s="658">
        <v>4.4947462097997742E-2</v>
      </c>
      <c r="AC45" s="660">
        <v>0.69077417723128587</v>
      </c>
      <c r="AD45" s="682">
        <v>18816393000171</v>
      </c>
      <c r="AE45" s="944" t="s">
        <v>1886</v>
      </c>
      <c r="AF45" s="661" t="s">
        <v>1769</v>
      </c>
      <c r="AG45" s="662" t="s">
        <v>1432</v>
      </c>
      <c r="AH45" s="662" t="s">
        <v>1734</v>
      </c>
      <c r="AI45" s="662">
        <v>10000</v>
      </c>
      <c r="AJ45" s="662">
        <v>5000</v>
      </c>
      <c r="AK45" s="662">
        <v>10000</v>
      </c>
      <c r="AL45" s="658">
        <v>2.3E-2</v>
      </c>
      <c r="AM45" s="658">
        <v>0.2</v>
      </c>
      <c r="AN45" s="659" t="s">
        <v>2127</v>
      </c>
      <c r="AO45" s="253" t="s">
        <v>34</v>
      </c>
      <c r="AP45" s="944" t="s">
        <v>1746</v>
      </c>
      <c r="AQ45" s="663" t="s">
        <v>668</v>
      </c>
      <c r="AR45" s="658">
        <v>4.6249999999999998E-3</v>
      </c>
      <c r="AS45" s="658">
        <v>4.6249999999999998E-3</v>
      </c>
      <c r="AT45" s="658" t="s">
        <v>1417</v>
      </c>
      <c r="AU45" s="658" t="s">
        <v>2751</v>
      </c>
      <c r="AX45" s="508"/>
      <c r="AY45" s="509"/>
      <c r="AZ45" s="509"/>
      <c r="BA45" s="509"/>
      <c r="BB45" s="509"/>
      <c r="BC45" s="509"/>
      <c r="BD45" s="509"/>
      <c r="BE45" s="509"/>
      <c r="BF45" s="509"/>
      <c r="BG45" s="509"/>
      <c r="BH45" s="665"/>
      <c r="BI45" s="510"/>
      <c r="BJ45" s="511"/>
      <c r="BK45" s="511"/>
      <c r="BL45" s="511"/>
      <c r="BM45" s="195"/>
      <c r="BN45" s="510"/>
      <c r="BO45" s="510"/>
      <c r="BP45" s="510"/>
      <c r="BQ45" s="510"/>
      <c r="BR45" s="510"/>
      <c r="BS45" s="510"/>
      <c r="BT45" s="510"/>
      <c r="BU45" s="510"/>
      <c r="BV45" s="510"/>
      <c r="BW45" s="512"/>
      <c r="BX45" s="509"/>
      <c r="BY45"/>
      <c r="CA45"/>
    </row>
    <row r="46" spans="2:79" ht="18.75">
      <c r="B46" s="252" t="s">
        <v>380</v>
      </c>
      <c r="C46" s="251">
        <v>39959025000152</v>
      </c>
      <c r="D46" s="252" t="s">
        <v>11</v>
      </c>
      <c r="E46" s="252" t="s">
        <v>621</v>
      </c>
      <c r="F46" s="252" t="s">
        <v>692</v>
      </c>
      <c r="G46" s="253" t="s">
        <v>865</v>
      </c>
      <c r="H46" s="253" t="s">
        <v>34</v>
      </c>
      <c r="I46" s="253" t="s">
        <v>1417</v>
      </c>
      <c r="J46" s="253" t="s">
        <v>608</v>
      </c>
      <c r="K46" s="253" t="s">
        <v>48</v>
      </c>
      <c r="L46" s="655" t="s">
        <v>715</v>
      </c>
      <c r="M46" s="655" t="s">
        <v>34</v>
      </c>
      <c r="N46" s="253" t="s">
        <v>3936</v>
      </c>
      <c r="O46" s="253" t="s">
        <v>1321</v>
      </c>
      <c r="P46" s="656">
        <v>44201</v>
      </c>
      <c r="Q46" s="657">
        <v>167.40272701999999</v>
      </c>
      <c r="R46" s="657">
        <v>122.66120075657257</v>
      </c>
      <c r="S46" s="253">
        <v>32</v>
      </c>
      <c r="T46" s="658">
        <v>5.0811367580643196E-3</v>
      </c>
      <c r="U46" s="659">
        <v>0.2540774185091153</v>
      </c>
      <c r="V46" s="658">
        <v>8.927598360295641E-2</v>
      </c>
      <c r="W46" s="659">
        <v>0.69236293506207192</v>
      </c>
      <c r="X46" s="658">
        <v>0.222026989665981</v>
      </c>
      <c r="Y46" s="659">
        <v>1.1498761312323316</v>
      </c>
      <c r="Z46" s="658"/>
      <c r="AA46" s="659"/>
      <c r="AB46" s="658">
        <v>2.674129488402717E-2</v>
      </c>
      <c r="AC46" s="660">
        <v>-1.4833958495976189</v>
      </c>
      <c r="AD46" s="682">
        <v>39723106000159</v>
      </c>
      <c r="AE46" s="944" t="s">
        <v>1781</v>
      </c>
      <c r="AF46" s="661" t="s">
        <v>1729</v>
      </c>
      <c r="AG46" s="662" t="s">
        <v>1433</v>
      </c>
      <c r="AH46" s="662" t="s">
        <v>1734</v>
      </c>
      <c r="AI46" s="662">
        <v>5000</v>
      </c>
      <c r="AJ46" s="662">
        <v>3000</v>
      </c>
      <c r="AK46" s="662">
        <v>3000</v>
      </c>
      <c r="AL46" s="658">
        <v>8.5000000000000006E-3</v>
      </c>
      <c r="AM46" s="658">
        <v>0</v>
      </c>
      <c r="AN46" s="659" t="s">
        <v>636</v>
      </c>
      <c r="AO46" s="253" t="s">
        <v>34</v>
      </c>
      <c r="AP46" s="944" t="s">
        <v>1735</v>
      </c>
      <c r="AQ46" s="663" t="s">
        <v>675</v>
      </c>
      <c r="AR46" s="658">
        <v>1.6000000000000001E-3</v>
      </c>
      <c r="AS46" s="658">
        <v>1.6000000000000001E-3</v>
      </c>
      <c r="AT46" s="658" t="s">
        <v>1417</v>
      </c>
      <c r="AU46" s="658" t="s">
        <v>2751</v>
      </c>
      <c r="AX46" s="508"/>
      <c r="AY46" s="509"/>
      <c r="AZ46" s="509"/>
      <c r="BA46" s="509"/>
      <c r="BB46" s="509"/>
      <c r="BC46" s="509"/>
      <c r="BD46" s="509"/>
      <c r="BE46" s="509"/>
      <c r="BF46" s="509"/>
      <c r="BG46" s="509"/>
      <c r="BH46" s="665"/>
      <c r="BI46" s="510"/>
      <c r="BJ46" s="511"/>
      <c r="BK46" s="511"/>
      <c r="BL46" s="511"/>
      <c r="BM46" s="195"/>
      <c r="BN46" s="510"/>
      <c r="BO46" s="510"/>
      <c r="BP46" s="510"/>
      <c r="BQ46" s="510"/>
      <c r="BR46" s="510"/>
      <c r="BS46" s="510"/>
      <c r="BT46" s="510"/>
      <c r="BU46" s="510"/>
      <c r="BV46" s="510"/>
      <c r="BW46" s="512"/>
      <c r="BX46" s="509"/>
      <c r="BY46"/>
      <c r="CA46"/>
    </row>
    <row r="47" spans="2:79" ht="18.75">
      <c r="B47" s="252" t="s">
        <v>1195</v>
      </c>
      <c r="C47" s="251">
        <v>26773148000152</v>
      </c>
      <c r="D47" s="252" t="s">
        <v>11</v>
      </c>
      <c r="E47" s="252" t="s">
        <v>620</v>
      </c>
      <c r="F47" s="252" t="s">
        <v>663</v>
      </c>
      <c r="G47" s="253" t="s">
        <v>738</v>
      </c>
      <c r="H47" s="253" t="s">
        <v>34</v>
      </c>
      <c r="I47" s="253" t="s">
        <v>1417</v>
      </c>
      <c r="J47" s="253" t="s">
        <v>608</v>
      </c>
      <c r="K47" s="253" t="s">
        <v>48</v>
      </c>
      <c r="L47" s="655" t="s">
        <v>715</v>
      </c>
      <c r="M47" s="655" t="s">
        <v>34</v>
      </c>
      <c r="N47" s="253" t="s">
        <v>3940</v>
      </c>
      <c r="O47" s="253" t="s">
        <v>1324</v>
      </c>
      <c r="P47" s="656">
        <v>42851</v>
      </c>
      <c r="Q47" s="657">
        <v>315.391749</v>
      </c>
      <c r="R47" s="657">
        <v>245.80107572177405</v>
      </c>
      <c r="S47" s="253">
        <v>31</v>
      </c>
      <c r="T47" s="658">
        <v>-5.7894530317753601E-3</v>
      </c>
      <c r="U47" s="659">
        <v>-0.28949610115466107</v>
      </c>
      <c r="V47" s="658">
        <v>0.11678005108621514</v>
      </c>
      <c r="W47" s="659">
        <v>0.90566550670938895</v>
      </c>
      <c r="X47" s="658">
        <v>0.21382862923176793</v>
      </c>
      <c r="Y47" s="659">
        <v>1.1074168834051943</v>
      </c>
      <c r="Z47" s="658">
        <v>0.25772861138485603</v>
      </c>
      <c r="AA47" s="659">
        <v>1.1637160751377755</v>
      </c>
      <c r="AB47" s="658">
        <v>1.2585570694878461E-2</v>
      </c>
      <c r="AC47" s="660">
        <v>-0.96649239478056714</v>
      </c>
      <c r="AD47" s="682">
        <v>24444154000130</v>
      </c>
      <c r="AE47" s="944" t="s">
        <v>1781</v>
      </c>
      <c r="AF47" s="661" t="s">
        <v>1729</v>
      </c>
      <c r="AG47" s="662" t="s">
        <v>1433</v>
      </c>
      <c r="AH47" s="662" t="s">
        <v>1730</v>
      </c>
      <c r="AI47" s="662">
        <v>1000</v>
      </c>
      <c r="AJ47" s="662">
        <v>100</v>
      </c>
      <c r="AK47" s="662">
        <v>100</v>
      </c>
      <c r="AL47" s="658">
        <v>8.0000000000000002E-3</v>
      </c>
      <c r="AM47" s="658">
        <v>0.2</v>
      </c>
      <c r="AN47" s="659" t="s">
        <v>64</v>
      </c>
      <c r="AO47" s="253" t="s">
        <v>34</v>
      </c>
      <c r="AP47" s="944" t="s">
        <v>1735</v>
      </c>
      <c r="AQ47" s="663" t="s">
        <v>1374</v>
      </c>
      <c r="AR47" s="658">
        <v>1.5983333333333301E-3</v>
      </c>
      <c r="AS47" s="658">
        <v>1.5983333333333301E-3</v>
      </c>
      <c r="AT47" s="658" t="s">
        <v>1417</v>
      </c>
      <c r="AU47" s="658" t="s">
        <v>2751</v>
      </c>
      <c r="AX47" s="508"/>
      <c r="AY47" s="509"/>
      <c r="AZ47" s="509"/>
      <c r="BA47" s="509"/>
      <c r="BB47" s="509"/>
      <c r="BC47" s="509"/>
      <c r="BD47" s="509"/>
      <c r="BE47" s="509"/>
      <c r="BF47" s="509"/>
      <c r="BG47" s="509"/>
      <c r="BH47" s="665"/>
      <c r="BI47" s="510"/>
      <c r="BJ47" s="511"/>
      <c r="BK47" s="511"/>
      <c r="BL47" s="511"/>
      <c r="BM47" s="195"/>
      <c r="BN47" s="510"/>
      <c r="BO47" s="510"/>
      <c r="BP47" s="510"/>
      <c r="BQ47" s="510"/>
      <c r="BR47" s="510"/>
      <c r="BS47" s="510"/>
      <c r="BT47" s="510"/>
      <c r="BU47" s="510"/>
      <c r="BV47" s="510"/>
      <c r="BW47" s="512"/>
      <c r="BX47" s="509"/>
      <c r="BY47"/>
      <c r="CA47"/>
    </row>
    <row r="48" spans="2:79" ht="18.75">
      <c r="B48" s="252" t="s">
        <v>538</v>
      </c>
      <c r="C48" s="251">
        <v>12831360000114</v>
      </c>
      <c r="D48" s="252" t="s">
        <v>13</v>
      </c>
      <c r="E48" s="252" t="s">
        <v>615</v>
      </c>
      <c r="F48" s="252" t="s">
        <v>619</v>
      </c>
      <c r="G48" s="253" t="s">
        <v>34</v>
      </c>
      <c r="H48" s="253" t="s">
        <v>1338</v>
      </c>
      <c r="I48" s="253" t="s">
        <v>34</v>
      </c>
      <c r="J48" s="253" t="s">
        <v>611</v>
      </c>
      <c r="K48" s="253" t="s">
        <v>48</v>
      </c>
      <c r="L48" s="655" t="s">
        <v>715</v>
      </c>
      <c r="M48" s="655" t="s">
        <v>1414</v>
      </c>
      <c r="N48" s="253" t="s">
        <v>3950</v>
      </c>
      <c r="O48" s="253" t="s">
        <v>1321</v>
      </c>
      <c r="P48" s="656">
        <v>40515</v>
      </c>
      <c r="Q48" s="657">
        <v>839.26084779999996</v>
      </c>
      <c r="R48" s="657">
        <v>941.27145614717767</v>
      </c>
      <c r="S48" s="253">
        <v>61</v>
      </c>
      <c r="T48" s="658">
        <v>2.232923411945742E-2</v>
      </c>
      <c r="U48" s="659">
        <v>1.1165521481690424</v>
      </c>
      <c r="V48" s="658">
        <v>0.180583743347005</v>
      </c>
      <c r="W48" s="659">
        <v>1.40048292410063</v>
      </c>
      <c r="X48" s="658">
        <v>0.32789497529870837</v>
      </c>
      <c r="Y48" s="659">
        <v>1.6981656428987275</v>
      </c>
      <c r="Z48" s="658">
        <v>0.48234648164362248</v>
      </c>
      <c r="AA48" s="659">
        <v>2.1779279819136677</v>
      </c>
      <c r="AB48" s="658">
        <v>7.8453091987259013E-2</v>
      </c>
      <c r="AC48" s="660">
        <v>0.65822560452560741</v>
      </c>
      <c r="AD48" s="682">
        <v>12798221000136</v>
      </c>
      <c r="AE48" s="944" t="s">
        <v>1834</v>
      </c>
      <c r="AF48" s="661" t="s">
        <v>1767</v>
      </c>
      <c r="AG48" s="662" t="s">
        <v>59</v>
      </c>
      <c r="AH48" s="662" t="s">
        <v>1730</v>
      </c>
      <c r="AI48" s="662">
        <v>5000</v>
      </c>
      <c r="AJ48" s="662">
        <v>5000</v>
      </c>
      <c r="AK48" s="662">
        <v>5000</v>
      </c>
      <c r="AL48" s="658">
        <v>2.3E-2</v>
      </c>
      <c r="AM48" s="658">
        <v>0.2</v>
      </c>
      <c r="AN48" s="659" t="s">
        <v>64</v>
      </c>
      <c r="AO48" s="253" t="s">
        <v>34</v>
      </c>
      <c r="AP48" s="944" t="s">
        <v>1746</v>
      </c>
      <c r="AQ48" s="663" t="s">
        <v>664</v>
      </c>
      <c r="AR48" s="658">
        <v>3.16666E-3</v>
      </c>
      <c r="AS48" s="658">
        <v>3.16666E-3</v>
      </c>
      <c r="AT48" s="658" t="s">
        <v>1417</v>
      </c>
      <c r="AU48" s="658" t="s">
        <v>2751</v>
      </c>
      <c r="AX48" s="508"/>
      <c r="AY48" s="509"/>
      <c r="AZ48" s="509"/>
      <c r="BA48" s="509"/>
      <c r="BB48" s="509"/>
      <c r="BC48" s="509"/>
      <c r="BD48" s="509"/>
      <c r="BE48" s="509"/>
      <c r="BF48" s="509"/>
      <c r="BG48" s="509"/>
      <c r="BH48" s="665"/>
      <c r="BI48" s="510"/>
      <c r="BJ48" s="511"/>
      <c r="BK48" s="511"/>
      <c r="BL48" s="511"/>
      <c r="BM48" s="195"/>
      <c r="BN48" s="510"/>
      <c r="BO48" s="510"/>
      <c r="BP48" s="510"/>
      <c r="BQ48" s="510"/>
      <c r="BR48" s="510"/>
      <c r="BS48" s="510"/>
      <c r="BT48" s="510"/>
      <c r="BU48" s="510"/>
      <c r="BV48" s="510"/>
      <c r="BW48" s="512"/>
      <c r="BX48" s="509"/>
      <c r="BY48"/>
      <c r="CA48"/>
    </row>
    <row r="49" spans="2:79" ht="18.75">
      <c r="B49" s="252" t="s">
        <v>1223</v>
      </c>
      <c r="C49" s="251">
        <v>29562673000117</v>
      </c>
      <c r="D49" s="252" t="s">
        <v>11</v>
      </c>
      <c r="E49" s="252" t="s">
        <v>620</v>
      </c>
      <c r="F49" s="252" t="s">
        <v>672</v>
      </c>
      <c r="G49" s="253" t="s">
        <v>738</v>
      </c>
      <c r="H49" s="253" t="s">
        <v>34</v>
      </c>
      <c r="I49" s="253" t="s">
        <v>1304</v>
      </c>
      <c r="J49" s="253" t="s">
        <v>608</v>
      </c>
      <c r="K49" s="253" t="s">
        <v>48</v>
      </c>
      <c r="L49" s="655" t="s">
        <v>715</v>
      </c>
      <c r="M49" s="655" t="s">
        <v>1414</v>
      </c>
      <c r="N49" s="253" t="s">
        <v>4015</v>
      </c>
      <c r="O49" s="253" t="s">
        <v>1321</v>
      </c>
      <c r="P49" s="656">
        <v>43230</v>
      </c>
      <c r="Q49" s="657">
        <v>4350.84808178</v>
      </c>
      <c r="R49" s="657">
        <v>3250.1417418869883</v>
      </c>
      <c r="S49" s="253">
        <v>0</v>
      </c>
      <c r="T49" s="658">
        <v>2.0148736676176782E-2</v>
      </c>
      <c r="U49" s="659">
        <v>1.007518444131223</v>
      </c>
      <c r="V49" s="658">
        <v>0.12978335932931917</v>
      </c>
      <c r="W49" s="659">
        <v>1.0065101941311718</v>
      </c>
      <c r="X49" s="658">
        <v>0.19587094298353436</v>
      </c>
      <c r="Y49" s="659">
        <v>1.0144141596369374</v>
      </c>
      <c r="Z49" s="658">
        <v>0.21584304867569437</v>
      </c>
      <c r="AA49" s="659">
        <v>0.97459115656962736</v>
      </c>
      <c r="AB49" s="658">
        <v>8.1111845541716025E-4</v>
      </c>
      <c r="AC49" s="660">
        <v>1.0349288404479555</v>
      </c>
      <c r="AD49" s="682">
        <v>0</v>
      </c>
      <c r="AE49" s="944" t="s">
        <v>1747</v>
      </c>
      <c r="AF49" s="661" t="s">
        <v>1745</v>
      </c>
      <c r="AG49" s="662" t="s">
        <v>1432</v>
      </c>
      <c r="AH49" s="662" t="s">
        <v>1734</v>
      </c>
      <c r="AI49" s="662">
        <v>500</v>
      </c>
      <c r="AJ49" s="662">
        <v>100</v>
      </c>
      <c r="AK49" s="662">
        <v>500</v>
      </c>
      <c r="AL49" s="658">
        <v>0</v>
      </c>
      <c r="AM49" s="658">
        <v>0</v>
      </c>
      <c r="AN49" s="659" t="s">
        <v>64</v>
      </c>
      <c r="AO49" s="253" t="s">
        <v>34</v>
      </c>
      <c r="AP49" s="944" t="s">
        <v>1735</v>
      </c>
      <c r="AQ49" s="663" t="s">
        <v>684</v>
      </c>
      <c r="AR49" s="658">
        <v>0</v>
      </c>
      <c r="AS49" s="658">
        <v>0</v>
      </c>
      <c r="AT49" s="658" t="s">
        <v>1417</v>
      </c>
      <c r="AU49" s="658" t="s">
        <v>2751</v>
      </c>
      <c r="AX49" s="508"/>
      <c r="AY49" s="509"/>
      <c r="AZ49" s="509"/>
      <c r="BA49" s="509"/>
      <c r="BB49" s="509"/>
      <c r="BC49" s="509"/>
      <c r="BD49" s="509"/>
      <c r="BE49" s="509"/>
      <c r="BF49" s="509"/>
      <c r="BG49" s="509"/>
      <c r="BH49" s="665"/>
      <c r="BI49" s="510"/>
      <c r="BJ49" s="511"/>
      <c r="BK49" s="511"/>
      <c r="BL49" s="511"/>
      <c r="BM49" s="195"/>
      <c r="BN49" s="510"/>
      <c r="BO49" s="510"/>
      <c r="BP49" s="510"/>
      <c r="BQ49" s="510"/>
      <c r="BR49" s="510"/>
      <c r="BS49" s="510"/>
      <c r="BT49" s="510"/>
      <c r="BU49" s="510"/>
      <c r="BV49" s="510"/>
      <c r="BW49" s="512"/>
      <c r="BX49" s="509"/>
      <c r="BY49"/>
      <c r="CA49"/>
    </row>
    <row r="50" spans="2:79" ht="18.75">
      <c r="B50" s="252" t="s">
        <v>1224</v>
      </c>
      <c r="C50" s="251">
        <v>29177024000100</v>
      </c>
      <c r="D50" s="252" t="s">
        <v>14</v>
      </c>
      <c r="E50" s="252" t="s">
        <v>607</v>
      </c>
      <c r="F50" s="252" t="s">
        <v>1317</v>
      </c>
      <c r="G50" s="253" t="s">
        <v>1417</v>
      </c>
      <c r="H50" s="253" t="s">
        <v>34</v>
      </c>
      <c r="I50" s="253" t="s">
        <v>34</v>
      </c>
      <c r="J50" s="253" t="s">
        <v>608</v>
      </c>
      <c r="K50" s="253" t="s">
        <v>48</v>
      </c>
      <c r="L50" s="655" t="s">
        <v>715</v>
      </c>
      <c r="M50" s="655" t="s">
        <v>34</v>
      </c>
      <c r="N50" s="253" t="s">
        <v>4028</v>
      </c>
      <c r="O50" s="253" t="s">
        <v>1321</v>
      </c>
      <c r="P50" s="656">
        <v>43212</v>
      </c>
      <c r="Q50" s="657">
        <v>422.99241108000001</v>
      </c>
      <c r="R50" s="657">
        <v>362.05237757634575</v>
      </c>
      <c r="S50" s="253">
        <v>32</v>
      </c>
      <c r="T50" s="658">
        <v>8.5945405375384976E-3</v>
      </c>
      <c r="U50" s="659">
        <v>0.42976183815245456</v>
      </c>
      <c r="V50" s="658">
        <v>0.18889997875013065</v>
      </c>
      <c r="W50" s="659">
        <v>1.4649779083058168</v>
      </c>
      <c r="X50" s="658">
        <v>0.60336643537340606</v>
      </c>
      <c r="Y50" s="659">
        <v>3.1248302896254527</v>
      </c>
      <c r="Z50" s="658">
        <v>0.95678338575933908</v>
      </c>
      <c r="AA50" s="659">
        <v>4.3201420302158748</v>
      </c>
      <c r="AB50" s="658">
        <v>0.22000782409146938</v>
      </c>
      <c r="AC50" s="660">
        <v>0.27251789590180781</v>
      </c>
      <c r="AD50" s="682">
        <v>29088410000118</v>
      </c>
      <c r="AE50" s="944" t="s">
        <v>1959</v>
      </c>
      <c r="AF50" s="661" t="s">
        <v>1745</v>
      </c>
      <c r="AG50" s="662" t="s">
        <v>1432</v>
      </c>
      <c r="AH50" s="662" t="s">
        <v>1734</v>
      </c>
      <c r="AI50" s="662">
        <v>50</v>
      </c>
      <c r="AJ50" s="662">
        <v>50</v>
      </c>
      <c r="AK50" s="662">
        <v>30</v>
      </c>
      <c r="AL50" s="658">
        <v>0.02</v>
      </c>
      <c r="AM50" s="658">
        <v>0.2</v>
      </c>
      <c r="AN50" s="659" t="s">
        <v>34</v>
      </c>
      <c r="AO50" s="253" t="s">
        <v>34</v>
      </c>
      <c r="AP50" s="944" t="s">
        <v>1731</v>
      </c>
      <c r="AQ50" s="663" t="s">
        <v>667</v>
      </c>
      <c r="AR50" s="658">
        <v>5.3333333333333297E-3</v>
      </c>
      <c r="AS50" s="658">
        <v>5.3333333333333297E-3</v>
      </c>
      <c r="AT50" s="658" t="s">
        <v>1417</v>
      </c>
      <c r="AU50" s="658" t="s">
        <v>2751</v>
      </c>
      <c r="AX50" s="508"/>
      <c r="AY50" s="509"/>
      <c r="AZ50" s="509"/>
      <c r="BA50" s="509"/>
      <c r="BB50" s="509"/>
      <c r="BC50" s="509"/>
      <c r="BD50" s="509"/>
      <c r="BE50" s="509"/>
      <c r="BF50" s="509"/>
      <c r="BG50" s="509"/>
      <c r="BH50" s="665"/>
      <c r="BI50" s="510"/>
      <c r="BJ50" s="511"/>
      <c r="BK50" s="511"/>
      <c r="BL50" s="511"/>
      <c r="BM50" s="195"/>
      <c r="BN50" s="510"/>
      <c r="BO50" s="510"/>
      <c r="BP50" s="510"/>
      <c r="BQ50" s="510"/>
      <c r="BR50" s="510"/>
      <c r="BS50" s="510"/>
      <c r="BT50" s="510"/>
      <c r="BU50" s="510"/>
      <c r="BV50" s="510"/>
      <c r="BW50" s="512"/>
      <c r="BX50" s="509"/>
      <c r="BY50"/>
      <c r="CA50"/>
    </row>
    <row r="51" spans="2:79" ht="18.75">
      <c r="B51" s="252" t="s">
        <v>1226</v>
      </c>
      <c r="C51" s="251">
        <v>29177013000112</v>
      </c>
      <c r="D51" s="252" t="s">
        <v>14</v>
      </c>
      <c r="E51" s="252" t="s">
        <v>607</v>
      </c>
      <c r="F51" s="252" t="s">
        <v>1417</v>
      </c>
      <c r="G51" s="253" t="s">
        <v>1417</v>
      </c>
      <c r="H51" s="253" t="s">
        <v>34</v>
      </c>
      <c r="I51" s="253" t="s">
        <v>34</v>
      </c>
      <c r="J51" s="253" t="s">
        <v>608</v>
      </c>
      <c r="K51" s="253" t="s">
        <v>48</v>
      </c>
      <c r="L51" s="655" t="s">
        <v>715</v>
      </c>
      <c r="M51" s="655" t="s">
        <v>34</v>
      </c>
      <c r="N51" s="253" t="s">
        <v>4031</v>
      </c>
      <c r="O51" s="253" t="s">
        <v>1324</v>
      </c>
      <c r="P51" s="656">
        <v>43211</v>
      </c>
      <c r="Q51" s="657">
        <v>209.45765660999999</v>
      </c>
      <c r="R51" s="657">
        <v>181.75759956831314</v>
      </c>
      <c r="S51" s="253">
        <v>32</v>
      </c>
      <c r="T51" s="658">
        <v>-9.2008572673779598E-3</v>
      </c>
      <c r="U51" s="659">
        <v>-0.46008013046607965</v>
      </c>
      <c r="V51" s="658">
        <v>0.12003776938631261</v>
      </c>
      <c r="W51" s="659">
        <v>0.93093012226257132</v>
      </c>
      <c r="X51" s="658">
        <v>0.42444839622411989</v>
      </c>
      <c r="Y51" s="659">
        <v>2.1982150930938822</v>
      </c>
      <c r="Z51" s="658">
        <v>0.65694668773742659</v>
      </c>
      <c r="AA51" s="659">
        <v>2.9662962793330028</v>
      </c>
      <c r="AB51" s="658">
        <v>0.20794424664945876</v>
      </c>
      <c r="AC51" s="660">
        <v>-4.2829461280980932E-2</v>
      </c>
      <c r="AD51" s="682">
        <v>29088425000186</v>
      </c>
      <c r="AE51" s="944" t="s">
        <v>1959</v>
      </c>
      <c r="AF51" s="661" t="s">
        <v>1745</v>
      </c>
      <c r="AG51" s="662" t="s">
        <v>1432</v>
      </c>
      <c r="AH51" s="662" t="s">
        <v>1734</v>
      </c>
      <c r="AI51" s="662">
        <v>50</v>
      </c>
      <c r="AJ51" s="662">
        <v>50</v>
      </c>
      <c r="AK51" s="662">
        <v>30</v>
      </c>
      <c r="AL51" s="658">
        <v>0.02</v>
      </c>
      <c r="AM51" s="658">
        <v>0.2</v>
      </c>
      <c r="AN51" s="659" t="s">
        <v>34</v>
      </c>
      <c r="AO51" s="253" t="s">
        <v>34</v>
      </c>
      <c r="AP51" s="944" t="s">
        <v>1731</v>
      </c>
      <c r="AQ51" s="663" t="s">
        <v>681</v>
      </c>
      <c r="AR51" s="658">
        <v>5.3333333333333297E-3</v>
      </c>
      <c r="AS51" s="658">
        <v>5.3333333333333297E-3</v>
      </c>
      <c r="AT51" s="658" t="s">
        <v>1417</v>
      </c>
      <c r="AU51" s="658" t="s">
        <v>2751</v>
      </c>
      <c r="AX51" s="508"/>
      <c r="AY51" s="509"/>
      <c r="AZ51" s="509"/>
      <c r="BA51" s="509"/>
      <c r="BB51" s="509"/>
      <c r="BC51" s="509"/>
      <c r="BD51" s="509"/>
      <c r="BE51" s="509"/>
      <c r="BF51" s="509"/>
      <c r="BG51" s="509"/>
      <c r="BH51" s="665"/>
      <c r="BI51" s="510"/>
      <c r="BJ51" s="511"/>
      <c r="BK51" s="511"/>
      <c r="BL51" s="511"/>
      <c r="BM51" s="195"/>
      <c r="BN51" s="510"/>
      <c r="BO51" s="510"/>
      <c r="BP51" s="510"/>
      <c r="BQ51" s="510"/>
      <c r="BR51" s="510"/>
      <c r="BS51" s="510"/>
      <c r="BT51" s="510"/>
      <c r="BU51" s="510"/>
      <c r="BV51" s="510"/>
      <c r="BW51" s="512"/>
      <c r="BX51" s="509"/>
      <c r="BY51"/>
      <c r="CA51"/>
    </row>
    <row r="52" spans="2:79" ht="18.75">
      <c r="B52" s="252" t="s">
        <v>37</v>
      </c>
      <c r="C52" s="251">
        <v>13396703000122</v>
      </c>
      <c r="D52" s="252" t="s">
        <v>11</v>
      </c>
      <c r="E52" s="252" t="s">
        <v>621</v>
      </c>
      <c r="F52" s="252" t="s">
        <v>672</v>
      </c>
      <c r="G52" s="253" t="s">
        <v>738</v>
      </c>
      <c r="H52" s="253" t="s">
        <v>34</v>
      </c>
      <c r="I52" s="253" t="s">
        <v>34</v>
      </c>
      <c r="J52" s="253" t="s">
        <v>608</v>
      </c>
      <c r="K52" s="253" t="s">
        <v>48</v>
      </c>
      <c r="L52" s="655" t="s">
        <v>715</v>
      </c>
      <c r="M52" s="655" t="s">
        <v>34</v>
      </c>
      <c r="N52" s="253" t="s">
        <v>4111</v>
      </c>
      <c r="O52" s="253" t="s">
        <v>1321</v>
      </c>
      <c r="P52" s="656">
        <v>41144</v>
      </c>
      <c r="Q52" s="657">
        <v>1531.044748</v>
      </c>
      <c r="R52" s="657">
        <v>2439.1091248653061</v>
      </c>
      <c r="S52" s="253">
        <v>2</v>
      </c>
      <c r="T52" s="658">
        <v>2.5877777223175968E-2</v>
      </c>
      <c r="U52" s="659">
        <v>1.2939936763527087</v>
      </c>
      <c r="V52" s="658">
        <v>0.10720754101450836</v>
      </c>
      <c r="W52" s="659">
        <v>0.83142772291040234</v>
      </c>
      <c r="X52" s="658">
        <v>0.1703451160757945</v>
      </c>
      <c r="Y52" s="659">
        <v>0.88221609157622671</v>
      </c>
      <c r="Z52" s="658">
        <v>0.23653273832657318</v>
      </c>
      <c r="AA52" s="659">
        <v>1.0680108367012453</v>
      </c>
      <c r="AB52" s="658">
        <v>2.2889930691158685E-2</v>
      </c>
      <c r="AC52" s="660">
        <v>-0.94960394269239723</v>
      </c>
      <c r="AD52" s="682">
        <v>0</v>
      </c>
      <c r="AE52" s="944" t="s">
        <v>1863</v>
      </c>
      <c r="AF52" s="661" t="s">
        <v>1769</v>
      </c>
      <c r="AG52" s="662" t="s">
        <v>719</v>
      </c>
      <c r="AH52" s="662" t="s">
        <v>1734</v>
      </c>
      <c r="AI52" s="662">
        <v>500</v>
      </c>
      <c r="AJ52" s="662">
        <v>0</v>
      </c>
      <c r="AK52" s="662">
        <v>500</v>
      </c>
      <c r="AL52" s="658">
        <v>9.5999999999999992E-3</v>
      </c>
      <c r="AM52" s="658">
        <v>0.2</v>
      </c>
      <c r="AN52" s="659" t="s">
        <v>635</v>
      </c>
      <c r="AO52" s="253" t="s">
        <v>34</v>
      </c>
      <c r="AP52" s="944" t="s">
        <v>1746</v>
      </c>
      <c r="AQ52" s="663" t="s">
        <v>688</v>
      </c>
      <c r="AR52" s="658">
        <v>2.8800000000000002E-3</v>
      </c>
      <c r="AS52" s="658">
        <v>2.8800000000000002E-3</v>
      </c>
      <c r="AT52" s="658" t="s">
        <v>1417</v>
      </c>
      <c r="AU52" s="658" t="s">
        <v>2751</v>
      </c>
      <c r="AX52" s="508"/>
      <c r="AY52" s="509"/>
      <c r="AZ52" s="509"/>
      <c r="BA52" s="509"/>
      <c r="BB52" s="509"/>
      <c r="BC52" s="509"/>
      <c r="BD52" s="509"/>
      <c r="BE52" s="509"/>
      <c r="BF52" s="509"/>
      <c r="BG52" s="509"/>
      <c r="BH52" s="665"/>
      <c r="BI52" s="510"/>
      <c r="BJ52" s="511"/>
      <c r="BK52" s="511"/>
      <c r="BL52" s="511"/>
      <c r="BM52" s="195"/>
      <c r="BN52" s="510"/>
      <c r="BO52" s="510"/>
      <c r="BP52" s="510"/>
      <c r="BQ52" s="510"/>
      <c r="BR52" s="510"/>
      <c r="BS52" s="510"/>
      <c r="BT52" s="510"/>
      <c r="BU52" s="510"/>
      <c r="BV52" s="510"/>
      <c r="BW52" s="512"/>
      <c r="BX52" s="509"/>
      <c r="BY52"/>
      <c r="CA52"/>
    </row>
    <row r="53" spans="2:79" ht="18.75">
      <c r="B53" s="252" t="s">
        <v>26</v>
      </c>
      <c r="C53" s="251">
        <v>28581159000166</v>
      </c>
      <c r="D53" s="252" t="s">
        <v>14</v>
      </c>
      <c r="E53" s="252" t="s">
        <v>614</v>
      </c>
      <c r="F53" s="252" t="s">
        <v>689</v>
      </c>
      <c r="G53" s="253" t="s">
        <v>1417</v>
      </c>
      <c r="H53" s="253" t="s">
        <v>865</v>
      </c>
      <c r="I53" s="253" t="s">
        <v>34</v>
      </c>
      <c r="J53" s="253" t="s">
        <v>608</v>
      </c>
      <c r="K53" s="253" t="s">
        <v>48</v>
      </c>
      <c r="L53" s="655" t="s">
        <v>715</v>
      </c>
      <c r="M53" s="655" t="s">
        <v>34</v>
      </c>
      <c r="N53" s="253" t="s">
        <v>4112</v>
      </c>
      <c r="O53" s="253" t="s">
        <v>1321</v>
      </c>
      <c r="P53" s="656">
        <v>43190</v>
      </c>
      <c r="Q53" s="657">
        <v>46.327852559999997</v>
      </c>
      <c r="R53" s="657">
        <v>65.560632795806427</v>
      </c>
      <c r="S53" s="253">
        <v>33</v>
      </c>
      <c r="T53" s="658">
        <v>-2.7852945686364983E-2</v>
      </c>
      <c r="U53" s="659">
        <v>-1.3927600997226757</v>
      </c>
      <c r="V53" s="658">
        <v>-1.81885808581983E-3</v>
      </c>
      <c r="W53" s="659">
        <v>-1.4105808437353323E-2</v>
      </c>
      <c r="X53" s="658">
        <v>5.4218067551673244E-2</v>
      </c>
      <c r="Y53" s="659">
        <v>0.28079496935486131</v>
      </c>
      <c r="Z53" s="658">
        <v>0.1894563251400887</v>
      </c>
      <c r="AA53" s="659">
        <v>0.85544779028365636</v>
      </c>
      <c r="AB53" s="658">
        <v>0.10681093494234549</v>
      </c>
      <c r="AC53" s="660">
        <v>-1.2242451356051836</v>
      </c>
      <c r="AD53" s="682">
        <v>28581136000151</v>
      </c>
      <c r="AE53" s="944" t="s">
        <v>1961</v>
      </c>
      <c r="AF53" s="661" t="s">
        <v>1767</v>
      </c>
      <c r="AG53" s="662" t="s">
        <v>59</v>
      </c>
      <c r="AH53" s="662" t="s">
        <v>1730</v>
      </c>
      <c r="AI53" s="662">
        <v>1000</v>
      </c>
      <c r="AJ53" s="662">
        <v>1000</v>
      </c>
      <c r="AK53" s="662">
        <v>1000</v>
      </c>
      <c r="AL53" s="658">
        <v>0</v>
      </c>
      <c r="AM53" s="658">
        <v>0</v>
      </c>
      <c r="AN53" s="659" t="s">
        <v>2122</v>
      </c>
      <c r="AO53" s="253" t="s">
        <v>34</v>
      </c>
      <c r="AP53" s="944" t="s">
        <v>1746</v>
      </c>
      <c r="AQ53" s="663" t="s">
        <v>668</v>
      </c>
      <c r="AR53" s="658">
        <v>4.7499999999999999E-3</v>
      </c>
      <c r="AS53" s="658">
        <v>4.7499999999999999E-3</v>
      </c>
      <c r="AT53" s="658" t="s">
        <v>1417</v>
      </c>
      <c r="AU53" s="658" t="s">
        <v>2751</v>
      </c>
      <c r="AX53" s="508"/>
      <c r="AY53" s="509"/>
      <c r="AZ53" s="509"/>
      <c r="BA53" s="509"/>
      <c r="BB53" s="509"/>
      <c r="BC53" s="509"/>
      <c r="BD53" s="509"/>
      <c r="BE53" s="509"/>
      <c r="BF53" s="509"/>
      <c r="BG53" s="509"/>
      <c r="BH53" s="665"/>
      <c r="BI53" s="510"/>
      <c r="BJ53" s="511"/>
      <c r="BK53" s="511"/>
      <c r="BL53" s="511"/>
      <c r="BM53" s="195"/>
      <c r="BN53" s="510"/>
      <c r="BO53" s="510"/>
      <c r="BP53" s="510"/>
      <c r="BQ53" s="510"/>
      <c r="BR53" s="510"/>
      <c r="BS53" s="510"/>
      <c r="BT53" s="510"/>
      <c r="BU53" s="510"/>
      <c r="BV53" s="510"/>
      <c r="BW53" s="512"/>
      <c r="BX53" s="509"/>
      <c r="BY53"/>
      <c r="CA53"/>
    </row>
    <row r="54" spans="2:79" ht="18.75">
      <c r="B54" s="252" t="s">
        <v>651</v>
      </c>
      <c r="C54" s="251">
        <v>29148660000104</v>
      </c>
      <c r="D54" s="252" t="s">
        <v>13</v>
      </c>
      <c r="E54" s="252" t="s">
        <v>615</v>
      </c>
      <c r="F54" s="252" t="s">
        <v>619</v>
      </c>
      <c r="G54" s="253" t="s">
        <v>34</v>
      </c>
      <c r="H54" s="253" t="s">
        <v>1337</v>
      </c>
      <c r="I54" s="253" t="s">
        <v>34</v>
      </c>
      <c r="J54" s="253" t="s">
        <v>611</v>
      </c>
      <c r="K54" s="253" t="s">
        <v>48</v>
      </c>
      <c r="L54" s="655" t="s">
        <v>715</v>
      </c>
      <c r="M54" s="655" t="s">
        <v>34</v>
      </c>
      <c r="N54" s="253" t="s">
        <v>4114</v>
      </c>
      <c r="O54" s="253" t="s">
        <v>1321</v>
      </c>
      <c r="P54" s="656">
        <v>43190</v>
      </c>
      <c r="Q54" s="657">
        <v>264.06694960999999</v>
      </c>
      <c r="R54" s="657">
        <v>229.07063986437757</v>
      </c>
      <c r="S54" s="253">
        <v>31</v>
      </c>
      <c r="T54" s="658">
        <v>-4.5566462456680945E-3</v>
      </c>
      <c r="U54" s="659">
        <v>-0.22785076849607327</v>
      </c>
      <c r="V54" s="658">
        <v>0.14287065991521297</v>
      </c>
      <c r="W54" s="659">
        <v>1.108006268215187</v>
      </c>
      <c r="X54" s="658">
        <v>0.28438213573764126</v>
      </c>
      <c r="Y54" s="659">
        <v>1.4728129698354884</v>
      </c>
      <c r="Z54" s="658">
        <v>0.38907211805200492</v>
      </c>
      <c r="AA54" s="659">
        <v>1.756768391883808</v>
      </c>
      <c r="AB54" s="658">
        <v>3.0219029266551765E-2</v>
      </c>
      <c r="AC54" s="660">
        <v>0.46086028593379019</v>
      </c>
      <c r="AD54" s="682">
        <v>28581119000114</v>
      </c>
      <c r="AE54" s="944" t="s">
        <v>1797</v>
      </c>
      <c r="AF54" s="661" t="s">
        <v>1745</v>
      </c>
      <c r="AG54" s="662" t="s">
        <v>1432</v>
      </c>
      <c r="AH54" s="662" t="s">
        <v>1730</v>
      </c>
      <c r="AI54" s="662">
        <v>10000</v>
      </c>
      <c r="AJ54" s="662">
        <v>10000</v>
      </c>
      <c r="AK54" s="662">
        <v>10000</v>
      </c>
      <c r="AL54" s="658">
        <v>0</v>
      </c>
      <c r="AM54" s="658">
        <v>0</v>
      </c>
      <c r="AN54" s="659" t="s">
        <v>34</v>
      </c>
      <c r="AO54" s="253" t="s">
        <v>34</v>
      </c>
      <c r="AP54" s="944" t="s">
        <v>1746</v>
      </c>
      <c r="AQ54" s="663" t="s">
        <v>664</v>
      </c>
      <c r="AR54" s="658">
        <v>4.7499999999999999E-3</v>
      </c>
      <c r="AS54" s="658">
        <v>4.7499999999999999E-3</v>
      </c>
      <c r="AT54" s="658" t="s">
        <v>1417</v>
      </c>
      <c r="AU54" s="658" t="s">
        <v>2751</v>
      </c>
      <c r="AX54" s="508"/>
      <c r="AY54" s="509"/>
      <c r="AZ54" s="509"/>
      <c r="BA54" s="509"/>
      <c r="BB54" s="509"/>
      <c r="BC54" s="509"/>
      <c r="BD54" s="509"/>
      <c r="BE54" s="509"/>
      <c r="BF54" s="509"/>
      <c r="BG54" s="509"/>
      <c r="BH54" s="665"/>
      <c r="BI54" s="510"/>
      <c r="BJ54" s="511"/>
      <c r="BK54" s="511"/>
      <c r="BL54" s="511"/>
      <c r="BM54" s="195"/>
      <c r="BN54" s="510"/>
      <c r="BO54" s="510"/>
      <c r="BP54" s="510"/>
      <c r="BQ54" s="510"/>
      <c r="BR54" s="510"/>
      <c r="BS54" s="510"/>
      <c r="BT54" s="510"/>
      <c r="BU54" s="510"/>
      <c r="BV54" s="510"/>
      <c r="BW54" s="512"/>
      <c r="BX54" s="509"/>
      <c r="BY54"/>
      <c r="CA54"/>
    </row>
    <row r="55" spans="2:79" ht="18.75">
      <c r="B55" s="252" t="s">
        <v>434</v>
      </c>
      <c r="C55" s="251">
        <v>30593439000136</v>
      </c>
      <c r="D55" s="252" t="s">
        <v>13</v>
      </c>
      <c r="E55" s="252" t="s">
        <v>615</v>
      </c>
      <c r="F55" s="252" t="s">
        <v>619</v>
      </c>
      <c r="G55" s="253" t="s">
        <v>34</v>
      </c>
      <c r="H55" s="253" t="s">
        <v>1338</v>
      </c>
      <c r="I55" s="253" t="s">
        <v>34</v>
      </c>
      <c r="J55" s="253" t="s">
        <v>611</v>
      </c>
      <c r="K55" s="253" t="s">
        <v>48</v>
      </c>
      <c r="L55" s="655" t="s">
        <v>715</v>
      </c>
      <c r="M55" s="655" t="s">
        <v>1414</v>
      </c>
      <c r="N55" s="253" t="s">
        <v>4116</v>
      </c>
      <c r="O55" s="253" t="s">
        <v>1324</v>
      </c>
      <c r="P55" s="656">
        <v>43338</v>
      </c>
      <c r="Q55" s="657">
        <v>518.18517627000006</v>
      </c>
      <c r="R55" s="657">
        <v>694.50984171120967</v>
      </c>
      <c r="S55" s="253">
        <v>61</v>
      </c>
      <c r="T55" s="658">
        <v>-2.558472228373132E-2</v>
      </c>
      <c r="U55" s="659">
        <v>-1.2793397423925044</v>
      </c>
      <c r="V55" s="658">
        <v>0.17510067136446406</v>
      </c>
      <c r="W55" s="659">
        <v>1.35796000071429</v>
      </c>
      <c r="X55" s="658">
        <v>0.42857342205527504</v>
      </c>
      <c r="Y55" s="659">
        <v>2.2195785712507399</v>
      </c>
      <c r="Z55" s="658">
        <v>0.65310730086144497</v>
      </c>
      <c r="AA55" s="659">
        <v>2.9489603840195366</v>
      </c>
      <c r="AB55" s="658">
        <v>6.0632883104905715E-2</v>
      </c>
      <c r="AC55" s="660">
        <v>0.76124966444060171</v>
      </c>
      <c r="AD55" s="682">
        <v>28692461000191</v>
      </c>
      <c r="AE55" s="944" t="s">
        <v>1961</v>
      </c>
      <c r="AF55" s="661" t="s">
        <v>1767</v>
      </c>
      <c r="AG55" s="662" t="s">
        <v>59</v>
      </c>
      <c r="AH55" s="662" t="s">
        <v>1730</v>
      </c>
      <c r="AI55" s="662">
        <v>1000</v>
      </c>
      <c r="AJ55" s="662">
        <v>1000</v>
      </c>
      <c r="AK55" s="662">
        <v>1000</v>
      </c>
      <c r="AL55" s="658">
        <v>0</v>
      </c>
      <c r="AM55" s="658">
        <v>0</v>
      </c>
      <c r="AN55" s="659" t="s">
        <v>64</v>
      </c>
      <c r="AO55" s="253" t="s">
        <v>34</v>
      </c>
      <c r="AP55" s="944" t="s">
        <v>1746</v>
      </c>
      <c r="AQ55" s="663" t="s">
        <v>664</v>
      </c>
      <c r="AR55" s="658">
        <v>1.2666666666666701E-3</v>
      </c>
      <c r="AS55" s="658">
        <v>2.5327000000000001E-3</v>
      </c>
      <c r="AT55" s="658" t="s">
        <v>1417</v>
      </c>
      <c r="AU55" s="658" t="s">
        <v>2751</v>
      </c>
      <c r="AX55" s="508"/>
      <c r="AY55" s="509"/>
      <c r="AZ55" s="509"/>
      <c r="BA55" s="509"/>
      <c r="BB55" s="509"/>
      <c r="BC55" s="509"/>
      <c r="BD55" s="509"/>
      <c r="BE55" s="509"/>
      <c r="BF55" s="509"/>
      <c r="BG55" s="509"/>
      <c r="BH55" s="665"/>
      <c r="BI55" s="510"/>
      <c r="BJ55" s="511"/>
      <c r="BK55" s="511"/>
      <c r="BL55" s="511"/>
      <c r="BM55" s="195"/>
      <c r="BN55" s="510"/>
      <c r="BO55" s="510"/>
      <c r="BP55" s="510"/>
      <c r="BQ55" s="510"/>
      <c r="BR55" s="510"/>
      <c r="BS55" s="510"/>
      <c r="BT55" s="510"/>
      <c r="BU55" s="510"/>
      <c r="BV55" s="510"/>
      <c r="BW55" s="512"/>
      <c r="BX55" s="509"/>
      <c r="BY55"/>
      <c r="CA55"/>
    </row>
    <row r="56" spans="2:79" ht="18.75">
      <c r="B56" s="252" t="s">
        <v>4285</v>
      </c>
      <c r="C56" s="251">
        <v>47212318000108</v>
      </c>
      <c r="D56" s="252" t="s">
        <v>13</v>
      </c>
      <c r="E56" s="252" t="s">
        <v>615</v>
      </c>
      <c r="F56" s="252" t="s">
        <v>619</v>
      </c>
      <c r="G56" s="253" t="s">
        <v>34</v>
      </c>
      <c r="H56" s="253" t="s">
        <v>1338</v>
      </c>
      <c r="I56" s="253" t="s">
        <v>34</v>
      </c>
      <c r="J56" s="253" t="s">
        <v>611</v>
      </c>
      <c r="K56" s="253" t="s">
        <v>48</v>
      </c>
      <c r="L56" s="655" t="s">
        <v>715</v>
      </c>
      <c r="M56" s="655" t="s">
        <v>1414</v>
      </c>
      <c r="N56" s="253" t="s">
        <v>4286</v>
      </c>
      <c r="O56" s="253" t="s">
        <v>1321</v>
      </c>
      <c r="P56" s="656">
        <v>44876</v>
      </c>
      <c r="Q56" s="657">
        <v>445.81113776000001</v>
      </c>
      <c r="R56" s="657">
        <v>439.61199570146658</v>
      </c>
      <c r="S56" s="253">
        <v>61</v>
      </c>
      <c r="T56" s="658">
        <v>-2.5558737304619661E-2</v>
      </c>
      <c r="U56" s="659">
        <v>-1.2780403881875175</v>
      </c>
      <c r="V56" s="658"/>
      <c r="W56" s="659"/>
      <c r="X56" s="658"/>
      <c r="Y56" s="659"/>
      <c r="Z56" s="658"/>
      <c r="AA56" s="659"/>
      <c r="AB56" s="658">
        <v>5.3605171068584048E-2</v>
      </c>
      <c r="AC56" s="660"/>
      <c r="AD56" s="682">
        <v>28692461000191</v>
      </c>
      <c r="AE56" s="944" t="s">
        <v>1961</v>
      </c>
      <c r="AF56" s="661" t="s">
        <v>1767</v>
      </c>
      <c r="AG56" s="662" t="s">
        <v>59</v>
      </c>
      <c r="AH56" s="662" t="s">
        <v>1730</v>
      </c>
      <c r="AI56" s="662">
        <v>1000</v>
      </c>
      <c r="AJ56" s="662">
        <v>0</v>
      </c>
      <c r="AK56" s="662">
        <v>0</v>
      </c>
      <c r="AL56" s="658">
        <v>1.9E-2</v>
      </c>
      <c r="AM56" s="658">
        <v>0.2</v>
      </c>
      <c r="AN56" s="659" t="s">
        <v>64</v>
      </c>
      <c r="AO56" s="253"/>
      <c r="AP56" s="944" t="s">
        <v>1746</v>
      </c>
      <c r="AQ56" s="663" t="s">
        <v>664</v>
      </c>
      <c r="AR56" s="658">
        <v>0</v>
      </c>
      <c r="AS56" s="658">
        <v>0</v>
      </c>
      <c r="AT56" s="658" t="s">
        <v>1417</v>
      </c>
      <c r="AU56" s="658" t="s">
        <v>2751</v>
      </c>
      <c r="AX56" s="508"/>
      <c r="AY56" s="509"/>
      <c r="AZ56" s="509"/>
      <c r="BA56" s="509"/>
      <c r="BB56" s="509"/>
      <c r="BC56" s="509"/>
      <c r="BD56" s="509"/>
      <c r="BE56" s="509"/>
      <c r="BF56" s="509"/>
      <c r="BG56" s="509"/>
      <c r="BH56" s="665"/>
      <c r="BI56" s="510"/>
      <c r="BJ56" s="511"/>
      <c r="BK56" s="511"/>
      <c r="BL56" s="511"/>
      <c r="BM56" s="195"/>
      <c r="BN56" s="510"/>
      <c r="BO56" s="510"/>
      <c r="BP56" s="510"/>
      <c r="BQ56" s="510"/>
      <c r="BR56" s="510"/>
      <c r="BS56" s="510"/>
      <c r="BT56" s="510"/>
      <c r="BU56" s="510"/>
      <c r="BV56" s="510"/>
      <c r="BW56" s="512"/>
      <c r="BX56" s="509"/>
      <c r="BY56"/>
      <c r="CA56"/>
    </row>
    <row r="57" spans="2:79" ht="18.75">
      <c r="B57" s="252" t="s">
        <v>1309</v>
      </c>
      <c r="C57" s="251">
        <v>34687428000176</v>
      </c>
      <c r="D57" s="252" t="s">
        <v>11</v>
      </c>
      <c r="E57" s="252" t="s">
        <v>620</v>
      </c>
      <c r="F57" s="252" t="s">
        <v>619</v>
      </c>
      <c r="G57" s="253" t="s">
        <v>738</v>
      </c>
      <c r="H57" s="253" t="s">
        <v>34</v>
      </c>
      <c r="I57" s="253" t="s">
        <v>1417</v>
      </c>
      <c r="J57" s="253" t="s">
        <v>608</v>
      </c>
      <c r="K57" s="253" t="s">
        <v>48</v>
      </c>
      <c r="L57" s="655" t="s">
        <v>715</v>
      </c>
      <c r="M57" s="655" t="s">
        <v>34</v>
      </c>
      <c r="N57" s="253" t="s">
        <v>4117</v>
      </c>
      <c r="O57" s="253" t="s">
        <v>1321</v>
      </c>
      <c r="P57" s="656">
        <v>44287</v>
      </c>
      <c r="Q57" s="657">
        <v>61.989225650000002</v>
      </c>
      <c r="R57" s="657">
        <v>20.722019656363642</v>
      </c>
      <c r="S57" s="253">
        <v>1</v>
      </c>
      <c r="T57" s="658">
        <v>1.9569819858972881E-2</v>
      </c>
      <c r="U57" s="659">
        <v>0.97857025842981804</v>
      </c>
      <c r="V57" s="658">
        <v>0.13150040565836707</v>
      </c>
      <c r="W57" s="659">
        <v>1.0198264208255119</v>
      </c>
      <c r="X57" s="658"/>
      <c r="Y57" s="659"/>
      <c r="Z57" s="658"/>
      <c r="AA57" s="659"/>
      <c r="AB57" s="658">
        <v>1.098995038559299E-2</v>
      </c>
      <c r="AC57" s="660">
        <v>0.2326212696037368</v>
      </c>
      <c r="AD57" s="682">
        <v>34687399000142</v>
      </c>
      <c r="AE57" s="944" t="s">
        <v>1961</v>
      </c>
      <c r="AF57" s="661" t="s">
        <v>1767</v>
      </c>
      <c r="AG57" s="662" t="s">
        <v>59</v>
      </c>
      <c r="AH57" s="662" t="s">
        <v>1734</v>
      </c>
      <c r="AI57" s="662">
        <v>1000</v>
      </c>
      <c r="AJ57" s="662">
        <v>1000</v>
      </c>
      <c r="AK57" s="662">
        <v>1000</v>
      </c>
      <c r="AL57" s="658">
        <v>0</v>
      </c>
      <c r="AM57" s="658">
        <v>0</v>
      </c>
      <c r="AN57" s="659" t="s">
        <v>64</v>
      </c>
      <c r="AO57" s="253" t="s">
        <v>34</v>
      </c>
      <c r="AP57" s="944" t="s">
        <v>1735</v>
      </c>
      <c r="AQ57" s="663" t="s">
        <v>675</v>
      </c>
      <c r="AR57" s="658">
        <v>1.6000000000000001E-3</v>
      </c>
      <c r="AS57" s="658">
        <v>1.6000000000000001E-3</v>
      </c>
      <c r="AT57" s="658" t="s">
        <v>1417</v>
      </c>
      <c r="AU57" s="658" t="s">
        <v>2751</v>
      </c>
      <c r="AX57" s="508"/>
      <c r="AY57" s="509"/>
      <c r="AZ57" s="509"/>
      <c r="BA57" s="509"/>
      <c r="BB57" s="509"/>
      <c r="BC57" s="509"/>
      <c r="BD57" s="509"/>
      <c r="BE57" s="509"/>
      <c r="BF57" s="509"/>
      <c r="BG57" s="509"/>
      <c r="BH57" s="665"/>
      <c r="BI57" s="510"/>
      <c r="BJ57" s="511"/>
      <c r="BK57" s="511"/>
      <c r="BL57" s="511"/>
      <c r="BM57" s="195"/>
      <c r="BN57" s="510"/>
      <c r="BO57" s="510"/>
      <c r="BP57" s="510"/>
      <c r="BQ57" s="510"/>
      <c r="BR57" s="510"/>
      <c r="BS57" s="510"/>
      <c r="BT57" s="510"/>
      <c r="BU57" s="510"/>
      <c r="BV57" s="510"/>
      <c r="BW57" s="512"/>
      <c r="BX57" s="509"/>
      <c r="BY57"/>
      <c r="CA57"/>
    </row>
    <row r="58" spans="2:79" ht="18.75">
      <c r="B58" s="252" t="s">
        <v>2635</v>
      </c>
      <c r="C58" s="251">
        <v>19831126000136</v>
      </c>
      <c r="D58" s="252" t="s">
        <v>14</v>
      </c>
      <c r="E58" s="252" t="s">
        <v>607</v>
      </c>
      <c r="F58" s="252" t="s">
        <v>1417</v>
      </c>
      <c r="G58" s="253" t="s">
        <v>1417</v>
      </c>
      <c r="H58" s="253" t="s">
        <v>34</v>
      </c>
      <c r="I58" s="253" t="s">
        <v>34</v>
      </c>
      <c r="J58" s="253" t="s">
        <v>611</v>
      </c>
      <c r="K58" s="253" t="s">
        <v>49</v>
      </c>
      <c r="L58" s="655" t="s">
        <v>715</v>
      </c>
      <c r="M58" s="655" t="s">
        <v>34</v>
      </c>
      <c r="N58" s="253" t="s">
        <v>4169</v>
      </c>
      <c r="O58" s="253" t="s">
        <v>1321</v>
      </c>
      <c r="P58" s="656">
        <v>41767</v>
      </c>
      <c r="Q58" s="657">
        <v>1429.4435209999999</v>
      </c>
      <c r="R58" s="657">
        <v>1825.3570681975807</v>
      </c>
      <c r="S58" s="253">
        <v>4</v>
      </c>
      <c r="T58" s="658">
        <v>7.255984580305852E-2</v>
      </c>
      <c r="U58" s="659">
        <v>3.628286186117883</v>
      </c>
      <c r="V58" s="658">
        <v>-0.14347807826534975</v>
      </c>
      <c r="W58" s="659">
        <v>-1.1127169858655421</v>
      </c>
      <c r="X58" s="658">
        <v>-0.17411910580509982</v>
      </c>
      <c r="Y58" s="659">
        <v>-0.90176155636756905</v>
      </c>
      <c r="Z58" s="658">
        <v>0.36737870255081662</v>
      </c>
      <c r="AA58" s="659">
        <v>1.6588166114907552</v>
      </c>
      <c r="AB58" s="658">
        <v>0.29931777311870794</v>
      </c>
      <c r="AC58" s="660">
        <v>-0.91014303919766537</v>
      </c>
      <c r="AD58" s="682">
        <v>0</v>
      </c>
      <c r="AE58" s="944" t="s">
        <v>1738</v>
      </c>
      <c r="AF58" s="661" t="s">
        <v>1739</v>
      </c>
      <c r="AG58" s="662" t="s">
        <v>728</v>
      </c>
      <c r="AH58" s="662" t="s">
        <v>1734</v>
      </c>
      <c r="AI58" s="662">
        <v>1000</v>
      </c>
      <c r="AJ58" s="662">
        <v>100</v>
      </c>
      <c r="AK58" s="662">
        <v>500</v>
      </c>
      <c r="AL58" s="658">
        <v>1.4999999999999999E-2</v>
      </c>
      <c r="AM58" s="658">
        <v>0</v>
      </c>
      <c r="AN58" s="659" t="s">
        <v>2122</v>
      </c>
      <c r="AO58" s="253" t="s">
        <v>34</v>
      </c>
      <c r="AP58" s="944" t="s">
        <v>1731</v>
      </c>
      <c r="AQ58" s="663" t="s">
        <v>659</v>
      </c>
      <c r="AR58" s="658">
        <v>4.0000000000000001E-3</v>
      </c>
      <c r="AS58" s="658">
        <v>4.0000000000000001E-3</v>
      </c>
      <c r="AT58" s="658" t="s">
        <v>1417</v>
      </c>
      <c r="AU58" s="658" t="s">
        <v>2751</v>
      </c>
      <c r="AX58" s="508"/>
      <c r="AY58" s="509"/>
      <c r="AZ58" s="509"/>
      <c r="BA58" s="509"/>
      <c r="BB58" s="509"/>
      <c r="BC58" s="509"/>
      <c r="BD58" s="509"/>
      <c r="BE58" s="509"/>
      <c r="BF58" s="509"/>
      <c r="BG58" s="509"/>
      <c r="BH58" s="665"/>
      <c r="BI58" s="510"/>
      <c r="BJ58" s="511"/>
      <c r="BK58" s="511"/>
      <c r="BL58" s="511"/>
      <c r="BM58" s="195"/>
      <c r="BN58" s="510"/>
      <c r="BO58" s="510"/>
      <c r="BP58" s="510"/>
      <c r="BQ58" s="510"/>
      <c r="BR58" s="510"/>
      <c r="BS58" s="510"/>
      <c r="BT58" s="510"/>
      <c r="BU58" s="510"/>
      <c r="BV58" s="510"/>
      <c r="BW58" s="512"/>
      <c r="BX58" s="509"/>
      <c r="BY58"/>
      <c r="CA58"/>
    </row>
    <row r="59" spans="2:79" ht="18.75">
      <c r="B59" s="252" t="s">
        <v>439</v>
      </c>
      <c r="C59" s="251">
        <v>17453850000148</v>
      </c>
      <c r="D59" s="252" t="s">
        <v>14</v>
      </c>
      <c r="E59" s="252" t="s">
        <v>607</v>
      </c>
      <c r="F59" s="252" t="s">
        <v>672</v>
      </c>
      <c r="G59" s="253" t="s">
        <v>1417</v>
      </c>
      <c r="H59" s="253" t="s">
        <v>34</v>
      </c>
      <c r="I59" s="253" t="s">
        <v>34</v>
      </c>
      <c r="J59" s="253" t="s">
        <v>690</v>
      </c>
      <c r="K59" s="253" t="s">
        <v>48</v>
      </c>
      <c r="L59" s="655" t="s">
        <v>715</v>
      </c>
      <c r="M59" s="655" t="s">
        <v>1414</v>
      </c>
      <c r="N59" s="253" t="s">
        <v>4177</v>
      </c>
      <c r="O59" s="253" t="s">
        <v>1321</v>
      </c>
      <c r="P59" s="656">
        <v>41396</v>
      </c>
      <c r="Q59" s="657">
        <v>843.260221</v>
      </c>
      <c r="R59" s="657">
        <v>1279.9473082610443</v>
      </c>
      <c r="S59" s="253">
        <v>1</v>
      </c>
      <c r="T59" s="658">
        <v>4.688407599205946E-2</v>
      </c>
      <c r="U59" s="659">
        <v>2.3443936985836324</v>
      </c>
      <c r="V59" s="658">
        <v>-7.3175456943002093E-3</v>
      </c>
      <c r="W59" s="659">
        <v>-5.6749835844863705E-2</v>
      </c>
      <c r="X59" s="658">
        <v>0.19046177221742067</v>
      </c>
      <c r="Y59" s="659">
        <v>0.98640010439495507</v>
      </c>
      <c r="Z59" s="658">
        <v>0.47444092570790186</v>
      </c>
      <c r="AA59" s="659">
        <v>2.142232206904966</v>
      </c>
      <c r="AB59" s="658">
        <v>0.28211646326955314</v>
      </c>
      <c r="AC59" s="660">
        <v>-0.48299717627927002</v>
      </c>
      <c r="AD59" s="682">
        <v>0</v>
      </c>
      <c r="AE59" s="944" t="s">
        <v>1738</v>
      </c>
      <c r="AF59" s="661" t="s">
        <v>1739</v>
      </c>
      <c r="AG59" s="662" t="s">
        <v>728</v>
      </c>
      <c r="AH59" s="662" t="s">
        <v>1734</v>
      </c>
      <c r="AI59" s="662">
        <v>1000</v>
      </c>
      <c r="AJ59" s="662">
        <v>100</v>
      </c>
      <c r="AK59" s="662">
        <v>500</v>
      </c>
      <c r="AL59" s="658">
        <v>0.01</v>
      </c>
      <c r="AM59" s="658">
        <v>0</v>
      </c>
      <c r="AN59" s="659" t="s">
        <v>2122</v>
      </c>
      <c r="AO59" s="253" t="s">
        <v>34</v>
      </c>
      <c r="AP59" s="944" t="s">
        <v>1746</v>
      </c>
      <c r="AQ59" s="663" t="s">
        <v>671</v>
      </c>
      <c r="AR59" s="658">
        <v>2.66666666666667E-3</v>
      </c>
      <c r="AS59" s="658">
        <v>2.66666666666667E-3</v>
      </c>
      <c r="AT59" s="658" t="s">
        <v>1417</v>
      </c>
      <c r="AU59" s="658" t="s">
        <v>2751</v>
      </c>
      <c r="AX59" s="508"/>
      <c r="AY59" s="509"/>
      <c r="AZ59" s="509"/>
      <c r="BA59" s="509"/>
      <c r="BB59" s="509"/>
      <c r="BC59" s="509"/>
      <c r="BD59" s="509"/>
      <c r="BE59" s="509"/>
      <c r="BF59" s="509"/>
      <c r="BG59" s="509"/>
      <c r="BH59" s="665"/>
      <c r="BI59" s="510"/>
      <c r="BJ59" s="511"/>
      <c r="BK59" s="511"/>
      <c r="BL59" s="511"/>
      <c r="BM59" s="195"/>
      <c r="BN59" s="510"/>
      <c r="BO59" s="510"/>
      <c r="BP59" s="510"/>
      <c r="BQ59" s="510"/>
      <c r="BR59" s="510"/>
      <c r="BS59" s="510"/>
      <c r="BT59" s="510"/>
      <c r="BU59" s="510"/>
      <c r="BV59" s="510"/>
      <c r="BW59" s="512"/>
      <c r="BX59" s="509"/>
      <c r="BY59"/>
      <c r="CA59"/>
    </row>
    <row r="60" spans="2:79" ht="18.75">
      <c r="B60" s="252" t="s">
        <v>4401</v>
      </c>
      <c r="C60" s="251">
        <v>43985398000175</v>
      </c>
      <c r="D60" s="252" t="s">
        <v>11</v>
      </c>
      <c r="E60" s="252" t="s">
        <v>620</v>
      </c>
      <c r="F60" s="252" t="s">
        <v>663</v>
      </c>
      <c r="G60" s="253" t="s">
        <v>1417</v>
      </c>
      <c r="H60" s="253" t="s">
        <v>34</v>
      </c>
      <c r="I60" s="253" t="s">
        <v>1417</v>
      </c>
      <c r="J60" s="253" t="s">
        <v>608</v>
      </c>
      <c r="K60" s="253" t="s">
        <v>48</v>
      </c>
      <c r="L60" s="655" t="s">
        <v>4572</v>
      </c>
      <c r="M60" s="655" t="s">
        <v>34</v>
      </c>
      <c r="N60" s="253" t="s">
        <v>4402</v>
      </c>
      <c r="O60" s="253" t="s">
        <v>1321</v>
      </c>
      <c r="P60" s="656">
        <v>44586</v>
      </c>
      <c r="Q60" s="657"/>
      <c r="R60" s="657"/>
      <c r="S60" s="253">
        <v>9</v>
      </c>
      <c r="T60" s="658"/>
      <c r="U60" s="659"/>
      <c r="V60" s="658"/>
      <c r="W60" s="659"/>
      <c r="X60" s="658"/>
      <c r="Y60" s="659"/>
      <c r="Z60" s="658"/>
      <c r="AA60" s="659"/>
      <c r="AB60" s="658"/>
      <c r="AC60" s="660"/>
      <c r="AD60" s="682">
        <v>42014178000131</v>
      </c>
      <c r="AE60" s="944" t="s">
        <v>1797</v>
      </c>
      <c r="AF60" s="661" t="s">
        <v>1745</v>
      </c>
      <c r="AG60" s="662" t="s">
        <v>1432</v>
      </c>
      <c r="AH60" s="662" t="s">
        <v>2119</v>
      </c>
      <c r="AI60" s="662">
        <v>0</v>
      </c>
      <c r="AJ60" s="662">
        <v>0</v>
      </c>
      <c r="AK60" s="662">
        <v>0</v>
      </c>
      <c r="AL60" s="658">
        <v>2.8E-3</v>
      </c>
      <c r="AM60" s="658">
        <v>0</v>
      </c>
      <c r="AN60" s="659" t="s">
        <v>2127</v>
      </c>
      <c r="AO60" s="253" t="s">
        <v>4400</v>
      </c>
      <c r="AP60" s="944" t="s">
        <v>1746</v>
      </c>
      <c r="AQ60" s="663" t="s">
        <v>2177</v>
      </c>
      <c r="AR60" s="658">
        <v>0</v>
      </c>
      <c r="AS60" s="658">
        <v>0</v>
      </c>
      <c r="AT60" s="658" t="s">
        <v>1417</v>
      </c>
      <c r="AU60" s="658" t="s">
        <v>2751</v>
      </c>
      <c r="AX60" s="508"/>
      <c r="AY60" s="509"/>
      <c r="AZ60" s="509"/>
      <c r="BA60" s="509"/>
      <c r="BB60" s="509"/>
      <c r="BC60" s="509"/>
      <c r="BD60" s="509"/>
      <c r="BE60" s="509"/>
      <c r="BF60" s="509"/>
      <c r="BG60" s="509"/>
      <c r="BH60" s="665"/>
      <c r="BI60" s="510"/>
      <c r="BJ60" s="511"/>
      <c r="BK60" s="511"/>
      <c r="BL60" s="511"/>
      <c r="BM60" s="195"/>
      <c r="BN60" s="510"/>
      <c r="BO60" s="510"/>
      <c r="BP60" s="510"/>
      <c r="BQ60" s="510"/>
      <c r="BR60" s="510"/>
      <c r="BS60" s="510"/>
      <c r="BT60" s="510"/>
      <c r="BU60" s="510"/>
      <c r="BV60" s="510"/>
      <c r="BW60" s="512"/>
      <c r="BX60" s="509"/>
      <c r="BY60"/>
      <c r="CA60"/>
    </row>
    <row r="61" spans="2:79" ht="18.75">
      <c r="B61" s="252" t="s">
        <v>4406</v>
      </c>
      <c r="C61" s="251">
        <v>43509130000167</v>
      </c>
      <c r="D61" s="252" t="s">
        <v>13</v>
      </c>
      <c r="E61" s="252" t="s">
        <v>615</v>
      </c>
      <c r="F61" s="252" t="s">
        <v>619</v>
      </c>
      <c r="G61" s="253" t="s">
        <v>34</v>
      </c>
      <c r="H61" s="253" t="s">
        <v>34</v>
      </c>
      <c r="I61" s="253" t="s">
        <v>34</v>
      </c>
      <c r="J61" s="253" t="s">
        <v>608</v>
      </c>
      <c r="K61" s="253" t="s">
        <v>48</v>
      </c>
      <c r="L61" s="655" t="s">
        <v>4572</v>
      </c>
      <c r="M61" s="655" t="s">
        <v>34</v>
      </c>
      <c r="N61" s="253" t="s">
        <v>4407</v>
      </c>
      <c r="O61" s="253" t="s">
        <v>1321</v>
      </c>
      <c r="P61" s="656">
        <v>44840</v>
      </c>
      <c r="Q61" s="657"/>
      <c r="R61" s="657"/>
      <c r="S61" s="253">
        <v>177</v>
      </c>
      <c r="T61" s="658"/>
      <c r="U61" s="659"/>
      <c r="V61" s="658"/>
      <c r="W61" s="659"/>
      <c r="X61" s="658"/>
      <c r="Y61" s="659"/>
      <c r="Z61" s="658"/>
      <c r="AA61" s="659"/>
      <c r="AB61" s="658"/>
      <c r="AC61" s="660"/>
      <c r="AD61" s="682">
        <v>45681910000115</v>
      </c>
      <c r="AE61" s="944" t="s">
        <v>1797</v>
      </c>
      <c r="AF61" s="661" t="s">
        <v>1745</v>
      </c>
      <c r="AG61" s="662" t="s">
        <v>1432</v>
      </c>
      <c r="AH61" s="662" t="s">
        <v>2119</v>
      </c>
      <c r="AI61" s="662">
        <v>0</v>
      </c>
      <c r="AJ61" s="662">
        <v>0</v>
      </c>
      <c r="AK61" s="662">
        <v>0</v>
      </c>
      <c r="AL61" s="658">
        <v>0</v>
      </c>
      <c r="AM61" s="658">
        <v>0</v>
      </c>
      <c r="AN61" s="659" t="s">
        <v>2127</v>
      </c>
      <c r="AO61" s="253" t="s">
        <v>4400</v>
      </c>
      <c r="AP61" s="944" t="s">
        <v>1746</v>
      </c>
      <c r="AQ61" s="663" t="s">
        <v>2177</v>
      </c>
      <c r="AR61" s="658">
        <v>0</v>
      </c>
      <c r="AS61" s="658">
        <v>0</v>
      </c>
      <c r="AT61" s="658" t="s">
        <v>1417</v>
      </c>
      <c r="AU61" s="658" t="s">
        <v>2751</v>
      </c>
      <c r="AX61" s="508"/>
      <c r="AY61" s="509"/>
      <c r="AZ61" s="509"/>
      <c r="BA61" s="509"/>
      <c r="BB61" s="509"/>
      <c r="BC61" s="509"/>
      <c r="BD61" s="509"/>
      <c r="BE61" s="509"/>
      <c r="BF61" s="509"/>
      <c r="BG61" s="509"/>
      <c r="BH61" s="665"/>
      <c r="BI61" s="510"/>
      <c r="BJ61" s="511"/>
      <c r="BK61" s="511"/>
      <c r="BL61" s="511"/>
      <c r="BM61" s="195"/>
      <c r="BN61" s="510"/>
      <c r="BO61" s="510"/>
      <c r="BP61" s="510"/>
      <c r="BQ61" s="510"/>
      <c r="BR61" s="510"/>
      <c r="BS61" s="510"/>
      <c r="BT61" s="510"/>
      <c r="BU61" s="510"/>
      <c r="BV61" s="510"/>
      <c r="BW61" s="512"/>
      <c r="BX61" s="509"/>
      <c r="BY61"/>
      <c r="CA61"/>
    </row>
    <row r="62" spans="2:79" ht="18.75">
      <c r="B62" s="252" t="s">
        <v>2636</v>
      </c>
      <c r="C62" s="251">
        <v>22187479000150</v>
      </c>
      <c r="D62" s="252" t="s">
        <v>11</v>
      </c>
      <c r="E62" s="252" t="s">
        <v>621</v>
      </c>
      <c r="F62" s="252" t="s">
        <v>672</v>
      </c>
      <c r="G62" s="253" t="s">
        <v>865</v>
      </c>
      <c r="H62" s="253" t="s">
        <v>34</v>
      </c>
      <c r="I62" s="253" t="s">
        <v>34</v>
      </c>
      <c r="J62" s="253" t="s">
        <v>608</v>
      </c>
      <c r="K62" s="253" t="s">
        <v>48</v>
      </c>
      <c r="L62" s="655" t="s">
        <v>4572</v>
      </c>
      <c r="M62" s="655" t="s">
        <v>34</v>
      </c>
      <c r="N62" s="253" t="s">
        <v>3061</v>
      </c>
      <c r="O62" s="253" t="s">
        <v>1321</v>
      </c>
      <c r="P62" s="656">
        <v>42216</v>
      </c>
      <c r="Q62" s="657"/>
      <c r="R62" s="657"/>
      <c r="S62" s="253">
        <v>2</v>
      </c>
      <c r="T62" s="658"/>
      <c r="U62" s="659"/>
      <c r="V62" s="658"/>
      <c r="W62" s="659"/>
      <c r="X62" s="658"/>
      <c r="Y62" s="659"/>
      <c r="Z62" s="658"/>
      <c r="AA62" s="659"/>
      <c r="AB62" s="658"/>
      <c r="AC62" s="660"/>
      <c r="AD62" s="682">
        <v>22242894000169</v>
      </c>
      <c r="AE62" s="944" t="s">
        <v>1747</v>
      </c>
      <c r="AF62" s="661" t="s">
        <v>1745</v>
      </c>
      <c r="AG62" s="662" t="s">
        <v>1432</v>
      </c>
      <c r="AH62" s="662" t="s">
        <v>2119</v>
      </c>
      <c r="AI62" s="662">
        <v>10000</v>
      </c>
      <c r="AJ62" s="662">
        <v>0</v>
      </c>
      <c r="AK62" s="662">
        <v>0</v>
      </c>
      <c r="AL62" s="658">
        <v>0</v>
      </c>
      <c r="AM62" s="658">
        <v>0</v>
      </c>
      <c r="AN62" s="659" t="s">
        <v>34</v>
      </c>
      <c r="AO62" s="253" t="s">
        <v>4400</v>
      </c>
      <c r="AP62" s="944" t="s">
        <v>1735</v>
      </c>
      <c r="AQ62" s="663" t="s">
        <v>2637</v>
      </c>
      <c r="AR62" s="658">
        <v>0</v>
      </c>
      <c r="AS62" s="658">
        <v>0</v>
      </c>
      <c r="AT62" s="658" t="s">
        <v>1417</v>
      </c>
      <c r="AU62" s="658" t="s">
        <v>2751</v>
      </c>
      <c r="AX62" s="508"/>
      <c r="AY62" s="509"/>
      <c r="AZ62" s="509"/>
      <c r="BA62" s="509"/>
      <c r="BB62" s="509"/>
      <c r="BC62" s="509"/>
      <c r="BD62" s="509"/>
      <c r="BE62" s="509"/>
      <c r="BF62" s="509"/>
      <c r="BG62" s="509"/>
      <c r="BH62" s="665"/>
      <c r="BI62" s="510"/>
      <c r="BJ62" s="511"/>
      <c r="BK62" s="511"/>
      <c r="BL62" s="511"/>
      <c r="BM62" s="195"/>
      <c r="BN62" s="510"/>
      <c r="BO62" s="510"/>
      <c r="BP62" s="510"/>
      <c r="BQ62" s="510"/>
      <c r="BR62" s="510"/>
      <c r="BS62" s="510"/>
      <c r="BT62" s="510"/>
      <c r="BU62" s="510"/>
      <c r="BV62" s="510"/>
      <c r="BW62" s="512"/>
      <c r="BX62" s="509"/>
      <c r="BY62"/>
      <c r="CA62"/>
    </row>
    <row r="63" spans="2:79" ht="18.75">
      <c r="B63" s="252" t="s">
        <v>4443</v>
      </c>
      <c r="C63" s="251">
        <v>44025397000141</v>
      </c>
      <c r="D63" s="252" t="s">
        <v>14</v>
      </c>
      <c r="E63" s="252" t="s">
        <v>607</v>
      </c>
      <c r="F63" s="252" t="s">
        <v>1417</v>
      </c>
      <c r="G63" s="253" t="s">
        <v>34</v>
      </c>
      <c r="H63" s="253" t="s">
        <v>34</v>
      </c>
      <c r="I63" s="253" t="s">
        <v>34</v>
      </c>
      <c r="J63" s="253" t="s">
        <v>690</v>
      </c>
      <c r="K63" s="253" t="s">
        <v>49</v>
      </c>
      <c r="L63" s="655" t="s">
        <v>4572</v>
      </c>
      <c r="M63" s="655" t="s">
        <v>34</v>
      </c>
      <c r="N63" s="253" t="s">
        <v>4444</v>
      </c>
      <c r="O63" s="253" t="s">
        <v>1321</v>
      </c>
      <c r="P63" s="656">
        <v>44614</v>
      </c>
      <c r="Q63" s="657"/>
      <c r="R63" s="657"/>
      <c r="S63" s="253">
        <v>3</v>
      </c>
      <c r="T63" s="658"/>
      <c r="U63" s="659"/>
      <c r="V63" s="658"/>
      <c r="W63" s="659"/>
      <c r="X63" s="658"/>
      <c r="Y63" s="659"/>
      <c r="Z63" s="658"/>
      <c r="AA63" s="659"/>
      <c r="AB63" s="658"/>
      <c r="AC63" s="660"/>
      <c r="AD63" s="682">
        <v>0</v>
      </c>
      <c r="AE63" s="944" t="s">
        <v>1747</v>
      </c>
      <c r="AF63" s="661" t="s">
        <v>1745</v>
      </c>
      <c r="AG63" s="662" t="s">
        <v>1432</v>
      </c>
      <c r="AH63" s="662" t="s">
        <v>2119</v>
      </c>
      <c r="AI63" s="662">
        <v>0</v>
      </c>
      <c r="AJ63" s="662">
        <v>0</v>
      </c>
      <c r="AK63" s="662">
        <v>0</v>
      </c>
      <c r="AL63" s="658">
        <v>6.0000000000000001E-3</v>
      </c>
      <c r="AM63" s="658">
        <v>0</v>
      </c>
      <c r="AN63" s="659" t="s">
        <v>2127</v>
      </c>
      <c r="AO63" s="253" t="s">
        <v>4400</v>
      </c>
      <c r="AP63" s="944" t="s">
        <v>1746</v>
      </c>
      <c r="AQ63" s="663" t="s">
        <v>2177</v>
      </c>
      <c r="AR63" s="658">
        <v>0</v>
      </c>
      <c r="AS63" s="658">
        <v>0</v>
      </c>
      <c r="AT63" s="658" t="s">
        <v>1417</v>
      </c>
      <c r="AU63" s="658" t="s">
        <v>2751</v>
      </c>
      <c r="AX63" s="508"/>
      <c r="AY63" s="509"/>
      <c r="AZ63" s="509"/>
      <c r="BA63" s="509"/>
      <c r="BB63" s="509"/>
      <c r="BC63" s="509"/>
      <c r="BD63" s="509"/>
      <c r="BE63" s="509"/>
      <c r="BF63" s="509"/>
      <c r="BG63" s="509"/>
      <c r="BH63" s="665"/>
      <c r="BI63" s="510"/>
      <c r="BJ63" s="511"/>
      <c r="BK63" s="511"/>
      <c r="BL63" s="511"/>
      <c r="BM63" s="195"/>
      <c r="BN63" s="510"/>
      <c r="BO63" s="510"/>
      <c r="BP63" s="510"/>
      <c r="BQ63" s="510"/>
      <c r="BR63" s="510"/>
      <c r="BS63" s="510"/>
      <c r="BT63" s="510"/>
      <c r="BU63" s="510"/>
      <c r="BV63" s="510"/>
      <c r="BW63" s="512"/>
      <c r="BX63" s="509"/>
      <c r="BY63"/>
      <c r="CA63"/>
    </row>
    <row r="64" spans="2:79" ht="18.75">
      <c r="B64" s="252" t="s">
        <v>2733</v>
      </c>
      <c r="C64" s="251">
        <v>29078039000103</v>
      </c>
      <c r="D64" s="252" t="s">
        <v>11</v>
      </c>
      <c r="E64" s="252" t="s">
        <v>620</v>
      </c>
      <c r="F64" s="252" t="s">
        <v>672</v>
      </c>
      <c r="G64" s="253" t="s">
        <v>738</v>
      </c>
      <c r="H64" s="253" t="s">
        <v>34</v>
      </c>
      <c r="I64" s="253" t="s">
        <v>34</v>
      </c>
      <c r="J64" s="253" t="s">
        <v>608</v>
      </c>
      <c r="K64" s="253" t="s">
        <v>48</v>
      </c>
      <c r="L64" s="655" t="s">
        <v>4572</v>
      </c>
      <c r="M64" s="655" t="s">
        <v>34</v>
      </c>
      <c r="N64" s="253" t="s">
        <v>3080</v>
      </c>
      <c r="O64" s="253" t="s">
        <v>1321</v>
      </c>
      <c r="P64" s="656">
        <v>43229</v>
      </c>
      <c r="Q64" s="657"/>
      <c r="R64" s="657"/>
      <c r="S64" s="253">
        <v>1</v>
      </c>
      <c r="T64" s="658"/>
      <c r="U64" s="659"/>
      <c r="V64" s="658"/>
      <c r="W64" s="659"/>
      <c r="X64" s="658"/>
      <c r="Y64" s="659"/>
      <c r="Z64" s="658"/>
      <c r="AA64" s="659"/>
      <c r="AB64" s="658"/>
      <c r="AC64" s="660"/>
      <c r="AD64" s="682">
        <v>0</v>
      </c>
      <c r="AE64" s="944" t="s">
        <v>1747</v>
      </c>
      <c r="AF64" s="661" t="s">
        <v>1745</v>
      </c>
      <c r="AG64" s="662" t="s">
        <v>1432</v>
      </c>
      <c r="AH64" s="662" t="s">
        <v>2119</v>
      </c>
      <c r="AI64" s="662">
        <v>500</v>
      </c>
      <c r="AJ64" s="662">
        <v>0</v>
      </c>
      <c r="AK64" s="662">
        <v>500</v>
      </c>
      <c r="AL64" s="658">
        <v>0</v>
      </c>
      <c r="AM64" s="658">
        <v>0</v>
      </c>
      <c r="AN64" s="659" t="s">
        <v>64</v>
      </c>
      <c r="AO64" s="253" t="s">
        <v>4400</v>
      </c>
      <c r="AP64" s="944" t="s">
        <v>1735</v>
      </c>
      <c r="AQ64" s="663" t="s">
        <v>2645</v>
      </c>
      <c r="AR64" s="658">
        <v>0</v>
      </c>
      <c r="AS64" s="658">
        <v>0</v>
      </c>
      <c r="AT64" s="658" t="s">
        <v>1417</v>
      </c>
      <c r="AU64" s="658" t="s">
        <v>2751</v>
      </c>
      <c r="AX64" s="508"/>
      <c r="AY64" s="509"/>
      <c r="AZ64" s="509"/>
      <c r="BA64" s="509"/>
      <c r="BB64" s="509"/>
      <c r="BC64" s="509"/>
      <c r="BD64" s="509"/>
      <c r="BE64" s="509"/>
      <c r="BF64" s="509"/>
      <c r="BG64" s="509"/>
      <c r="BH64" s="665"/>
      <c r="BI64" s="510"/>
      <c r="BJ64" s="511"/>
      <c r="BK64" s="511"/>
      <c r="BL64" s="511"/>
      <c r="BM64" s="195"/>
      <c r="BN64" s="510"/>
      <c r="BO64" s="510"/>
      <c r="BP64" s="510"/>
      <c r="BQ64" s="510"/>
      <c r="BR64" s="510"/>
      <c r="BS64" s="510"/>
      <c r="BT64" s="510"/>
      <c r="BU64" s="510"/>
      <c r="BV64" s="510"/>
      <c r="BW64" s="512"/>
      <c r="BX64" s="509"/>
      <c r="BY64"/>
      <c r="CA64"/>
    </row>
    <row r="65" spans="2:79" ht="18.75">
      <c r="B65" s="252" t="s">
        <v>2672</v>
      </c>
      <c r="C65" s="251">
        <v>42535251000110</v>
      </c>
      <c r="D65" s="252" t="s">
        <v>13</v>
      </c>
      <c r="E65" s="252" t="s">
        <v>615</v>
      </c>
      <c r="F65" s="252" t="s">
        <v>619</v>
      </c>
      <c r="G65" s="253" t="s">
        <v>34</v>
      </c>
      <c r="H65" s="253" t="s">
        <v>1337</v>
      </c>
      <c r="I65" s="253" t="s">
        <v>34</v>
      </c>
      <c r="J65" s="253" t="s">
        <v>608</v>
      </c>
      <c r="K65" s="253" t="s">
        <v>48</v>
      </c>
      <c r="L65" s="655" t="s">
        <v>4572</v>
      </c>
      <c r="M65" s="655" t="s">
        <v>34</v>
      </c>
      <c r="N65" s="253" t="s">
        <v>3341</v>
      </c>
      <c r="O65" s="253" t="s">
        <v>1321</v>
      </c>
      <c r="P65" s="656">
        <v>44652</v>
      </c>
      <c r="Q65" s="657"/>
      <c r="R65" s="657"/>
      <c r="S65" s="253">
        <v>7</v>
      </c>
      <c r="T65" s="658"/>
      <c r="U65" s="659"/>
      <c r="V65" s="658"/>
      <c r="W65" s="659"/>
      <c r="X65" s="658"/>
      <c r="Y65" s="659"/>
      <c r="Z65" s="658"/>
      <c r="AA65" s="659"/>
      <c r="AB65" s="658"/>
      <c r="AC65" s="660"/>
      <c r="AD65" s="682">
        <v>41575755000100</v>
      </c>
      <c r="AE65" s="944" t="s">
        <v>2019</v>
      </c>
      <c r="AF65" s="661" t="s">
        <v>1767</v>
      </c>
      <c r="AG65" s="662" t="s">
        <v>59</v>
      </c>
      <c r="AH65" s="662" t="s">
        <v>2119</v>
      </c>
      <c r="AI65" s="662">
        <v>0</v>
      </c>
      <c r="AJ65" s="662">
        <v>0</v>
      </c>
      <c r="AK65" s="662">
        <v>0</v>
      </c>
      <c r="AL65" s="658">
        <v>0.02</v>
      </c>
      <c r="AM65" s="658">
        <v>0.2</v>
      </c>
      <c r="AN65" s="659" t="s">
        <v>64</v>
      </c>
      <c r="AO65" s="253" t="s">
        <v>4400</v>
      </c>
      <c r="AP65" s="944" t="s">
        <v>1746</v>
      </c>
      <c r="AQ65" s="663" t="s">
        <v>2177</v>
      </c>
      <c r="AR65" s="658">
        <v>0</v>
      </c>
      <c r="AS65" s="658">
        <v>0</v>
      </c>
      <c r="AT65" s="658" t="s">
        <v>1417</v>
      </c>
      <c r="AU65" s="658" t="s">
        <v>2751</v>
      </c>
      <c r="AX65" s="508"/>
      <c r="AY65" s="509"/>
      <c r="AZ65" s="509"/>
      <c r="BA65" s="509"/>
      <c r="BB65" s="509"/>
      <c r="BC65" s="509"/>
      <c r="BD65" s="509"/>
      <c r="BE65" s="509"/>
      <c r="BF65" s="509"/>
      <c r="BG65" s="509"/>
      <c r="BH65" s="665"/>
      <c r="BI65" s="510"/>
      <c r="BJ65" s="511"/>
      <c r="BK65" s="511"/>
      <c r="BL65" s="511"/>
      <c r="BM65" s="195"/>
      <c r="BN65" s="510"/>
      <c r="BO65" s="510"/>
      <c r="BP65" s="510"/>
      <c r="BQ65" s="510"/>
      <c r="BR65" s="510"/>
      <c r="BS65" s="510"/>
      <c r="BT65" s="510"/>
      <c r="BU65" s="510"/>
      <c r="BV65" s="510"/>
      <c r="BW65" s="512"/>
      <c r="BX65" s="509"/>
      <c r="BY65"/>
      <c r="CA65"/>
    </row>
    <row r="66" spans="2:79" ht="18.75">
      <c r="B66" s="252" t="s">
        <v>2737</v>
      </c>
      <c r="C66" s="251">
        <v>44672717000155</v>
      </c>
      <c r="D66" s="252" t="s">
        <v>13</v>
      </c>
      <c r="E66" s="252" t="s">
        <v>615</v>
      </c>
      <c r="F66" s="252" t="s">
        <v>619</v>
      </c>
      <c r="G66" s="253" t="s">
        <v>34</v>
      </c>
      <c r="H66" s="253" t="s">
        <v>1338</v>
      </c>
      <c r="I66" s="253" t="s">
        <v>34</v>
      </c>
      <c r="J66" s="253" t="s">
        <v>608</v>
      </c>
      <c r="K66" s="253" t="s">
        <v>48</v>
      </c>
      <c r="L66" s="655" t="s">
        <v>4572</v>
      </c>
      <c r="M66" s="655" t="s">
        <v>34</v>
      </c>
      <c r="N66" s="253" t="s">
        <v>3395</v>
      </c>
      <c r="O66" s="253" t="s">
        <v>1321</v>
      </c>
      <c r="P66" s="656">
        <v>44734</v>
      </c>
      <c r="Q66" s="657"/>
      <c r="R66" s="657"/>
      <c r="S66" s="253">
        <v>31</v>
      </c>
      <c r="T66" s="658"/>
      <c r="U66" s="659"/>
      <c r="V66" s="658"/>
      <c r="W66" s="659"/>
      <c r="X66" s="658"/>
      <c r="Y66" s="659"/>
      <c r="Z66" s="658"/>
      <c r="AA66" s="659"/>
      <c r="AB66" s="658"/>
      <c r="AC66" s="660"/>
      <c r="AD66" s="682">
        <v>44703269000100</v>
      </c>
      <c r="AE66" s="944" t="s">
        <v>1797</v>
      </c>
      <c r="AF66" s="661" t="s">
        <v>1745</v>
      </c>
      <c r="AG66" s="662" t="s">
        <v>1432</v>
      </c>
      <c r="AH66" s="662" t="s">
        <v>2119</v>
      </c>
      <c r="AI66" s="662">
        <v>0</v>
      </c>
      <c r="AJ66" s="662">
        <v>0</v>
      </c>
      <c r="AK66" s="662">
        <v>0</v>
      </c>
      <c r="AL66" s="658">
        <v>0.01</v>
      </c>
      <c r="AM66" s="658">
        <v>0</v>
      </c>
      <c r="AN66" s="659" t="s">
        <v>2127</v>
      </c>
      <c r="AO66" s="253" t="s">
        <v>4400</v>
      </c>
      <c r="AP66" s="944" t="s">
        <v>1746</v>
      </c>
      <c r="AQ66" s="663" t="s">
        <v>2177</v>
      </c>
      <c r="AR66" s="658">
        <v>0</v>
      </c>
      <c r="AS66" s="658">
        <v>0</v>
      </c>
      <c r="AT66" s="658" t="s">
        <v>1417</v>
      </c>
      <c r="AU66" s="658" t="s">
        <v>2751</v>
      </c>
      <c r="AX66" s="508"/>
      <c r="AY66" s="509"/>
      <c r="AZ66" s="509"/>
      <c r="BA66" s="509"/>
      <c r="BB66" s="509"/>
      <c r="BC66" s="509"/>
      <c r="BD66" s="509"/>
      <c r="BE66" s="509"/>
      <c r="BF66" s="509"/>
      <c r="BG66" s="509"/>
      <c r="BH66" s="665"/>
      <c r="BI66" s="510"/>
      <c r="BJ66" s="511"/>
      <c r="BK66" s="511"/>
      <c r="BL66" s="511"/>
      <c r="BM66" s="195"/>
      <c r="BN66" s="510"/>
      <c r="BO66" s="510"/>
      <c r="BP66" s="510"/>
      <c r="BQ66" s="510"/>
      <c r="BR66" s="510"/>
      <c r="BS66" s="510"/>
      <c r="BT66" s="510"/>
      <c r="BU66" s="510"/>
      <c r="BV66" s="510"/>
      <c r="BW66" s="512"/>
      <c r="BX66" s="509"/>
      <c r="BY66"/>
      <c r="CA66"/>
    </row>
    <row r="67" spans="2:79" ht="18.75">
      <c r="B67" s="252" t="s">
        <v>4503</v>
      </c>
      <c r="C67" s="251">
        <v>30419083000119</v>
      </c>
      <c r="D67" s="252" t="s">
        <v>11</v>
      </c>
      <c r="E67" s="252" t="s">
        <v>620</v>
      </c>
      <c r="F67" s="252" t="s">
        <v>663</v>
      </c>
      <c r="G67" s="253" t="s">
        <v>1417</v>
      </c>
      <c r="H67" s="253" t="s">
        <v>34</v>
      </c>
      <c r="I67" s="253" t="s">
        <v>1417</v>
      </c>
      <c r="J67" s="253" t="s">
        <v>608</v>
      </c>
      <c r="K67" s="253" t="s">
        <v>48</v>
      </c>
      <c r="L67" s="655" t="s">
        <v>4572</v>
      </c>
      <c r="M67" s="655" t="s">
        <v>34</v>
      </c>
      <c r="N67" s="253" t="s">
        <v>4504</v>
      </c>
      <c r="O67" s="253" t="s">
        <v>1321</v>
      </c>
      <c r="P67" s="656">
        <v>44587</v>
      </c>
      <c r="Q67" s="657">
        <v>188.11173811</v>
      </c>
      <c r="R67" s="657">
        <v>187.889438195</v>
      </c>
      <c r="S67" s="253">
        <v>1</v>
      </c>
      <c r="T67" s="658">
        <v>1.1017999931624001E-3</v>
      </c>
      <c r="U67" s="659">
        <v>5.5094462382214805E-2</v>
      </c>
      <c r="V67" s="658">
        <v>1.1017999931624001E-3</v>
      </c>
      <c r="W67" s="659">
        <v>8.5448005872435801E-3</v>
      </c>
      <c r="X67" s="658"/>
      <c r="Y67" s="659"/>
      <c r="Z67" s="658"/>
      <c r="AA67" s="659"/>
      <c r="AB67" s="658">
        <v>1.1265400671026297E-2</v>
      </c>
      <c r="AC67" s="660">
        <v>-11.348207949889041</v>
      </c>
      <c r="AD67" s="682">
        <v>40498472000130</v>
      </c>
      <c r="AE67" s="944" t="s">
        <v>2047</v>
      </c>
      <c r="AF67" s="661" t="s">
        <v>1767</v>
      </c>
      <c r="AG67" s="662" t="s">
        <v>59</v>
      </c>
      <c r="AH67" s="662" t="s">
        <v>2119</v>
      </c>
      <c r="AI67" s="662">
        <v>1</v>
      </c>
      <c r="AJ67" s="662">
        <v>0</v>
      </c>
      <c r="AK67" s="662">
        <v>0</v>
      </c>
      <c r="AL67" s="658">
        <v>8.9999999999999993E-3</v>
      </c>
      <c r="AM67" s="658">
        <v>0.2</v>
      </c>
      <c r="AN67" s="659" t="s">
        <v>64</v>
      </c>
      <c r="AO67" s="253" t="s">
        <v>4400</v>
      </c>
      <c r="AP67" s="944" t="s">
        <v>1735</v>
      </c>
      <c r="AQ67" s="663" t="s">
        <v>2190</v>
      </c>
      <c r="AR67" s="658">
        <v>0</v>
      </c>
      <c r="AS67" s="658">
        <v>0</v>
      </c>
      <c r="AT67" s="658" t="s">
        <v>1417</v>
      </c>
      <c r="AU67" s="658" t="s">
        <v>2751</v>
      </c>
      <c r="AX67" s="508"/>
      <c r="AY67" s="509"/>
      <c r="AZ67" s="509"/>
      <c r="BA67" s="509"/>
      <c r="BB67" s="509"/>
      <c r="BC67" s="509"/>
      <c r="BD67" s="509"/>
      <c r="BE67" s="509"/>
      <c r="BF67" s="509"/>
      <c r="BG67" s="509"/>
      <c r="BH67" s="665"/>
      <c r="BI67" s="510"/>
      <c r="BJ67" s="511"/>
      <c r="BK67" s="511"/>
      <c r="BL67" s="511"/>
      <c r="BM67" s="195"/>
      <c r="BN67" s="510"/>
      <c r="BO67" s="510"/>
      <c r="BP67" s="510"/>
      <c r="BQ67" s="510"/>
      <c r="BR67" s="510"/>
      <c r="BS67" s="510"/>
      <c r="BT67" s="510"/>
      <c r="BU67" s="510"/>
      <c r="BV67" s="510"/>
      <c r="BW67" s="512"/>
      <c r="BX67" s="509"/>
      <c r="BY67"/>
      <c r="CA67"/>
    </row>
    <row r="68" spans="2:79" ht="18.75">
      <c r="B68" s="252" t="s">
        <v>2669</v>
      </c>
      <c r="C68" s="251">
        <v>41498482000139</v>
      </c>
      <c r="D68" s="252" t="s">
        <v>13</v>
      </c>
      <c r="E68" s="252" t="s">
        <v>615</v>
      </c>
      <c r="F68" s="252" t="s">
        <v>619</v>
      </c>
      <c r="G68" s="253" t="s">
        <v>34</v>
      </c>
      <c r="H68" s="253" t="s">
        <v>1337</v>
      </c>
      <c r="I68" s="253" t="s">
        <v>34</v>
      </c>
      <c r="J68" s="253" t="s">
        <v>608</v>
      </c>
      <c r="K68" s="253" t="s">
        <v>48</v>
      </c>
      <c r="L68" s="655" t="s">
        <v>4572</v>
      </c>
      <c r="M68" s="655" t="s">
        <v>34</v>
      </c>
      <c r="N68" s="253" t="s">
        <v>3494</v>
      </c>
      <c r="O68" s="253" t="s">
        <v>1321</v>
      </c>
      <c r="P68" s="656">
        <v>44511</v>
      </c>
      <c r="Q68" s="657">
        <v>487.38241369000002</v>
      </c>
      <c r="R68" s="657">
        <v>258.39139295540002</v>
      </c>
      <c r="S68" s="253">
        <v>9</v>
      </c>
      <c r="T68" s="658">
        <v>5.7259032203766935E-3</v>
      </c>
      <c r="U68" s="659">
        <v>0.28631835318295218</v>
      </c>
      <c r="V68" s="658">
        <v>0.17656505869549743</v>
      </c>
      <c r="W68" s="659">
        <v>1.3693167785358722</v>
      </c>
      <c r="X68" s="658"/>
      <c r="Y68" s="659"/>
      <c r="Z68" s="658"/>
      <c r="AA68" s="659"/>
      <c r="AB68" s="658">
        <v>4.8499959772593346E-2</v>
      </c>
      <c r="AC68" s="660">
        <v>0.98188018035468827</v>
      </c>
      <c r="AD68" s="682">
        <v>41575707000103</v>
      </c>
      <c r="AE68" s="944" t="s">
        <v>1963</v>
      </c>
      <c r="AF68" s="661" t="s">
        <v>1767</v>
      </c>
      <c r="AG68" s="662" t="s">
        <v>59</v>
      </c>
      <c r="AH68" s="662" t="s">
        <v>1801</v>
      </c>
      <c r="AI68" s="662">
        <v>1</v>
      </c>
      <c r="AJ68" s="662">
        <v>0</v>
      </c>
      <c r="AK68" s="662">
        <v>0</v>
      </c>
      <c r="AL68" s="658">
        <v>2.2000000000000002E-2</v>
      </c>
      <c r="AM68" s="658">
        <v>0</v>
      </c>
      <c r="AN68" s="659" t="s">
        <v>64</v>
      </c>
      <c r="AO68" s="253" t="s">
        <v>4400</v>
      </c>
      <c r="AP68" s="944" t="s">
        <v>1746</v>
      </c>
      <c r="AQ68" s="663" t="s">
        <v>2177</v>
      </c>
      <c r="AR68" s="658">
        <v>0</v>
      </c>
      <c r="AS68" s="658">
        <v>0</v>
      </c>
      <c r="AT68" s="658" t="s">
        <v>1417</v>
      </c>
      <c r="AU68" s="658" t="s">
        <v>2751</v>
      </c>
      <c r="AX68" s="508"/>
      <c r="AY68" s="509"/>
      <c r="AZ68" s="509"/>
      <c r="BA68" s="509"/>
      <c r="BB68" s="509"/>
      <c r="BC68" s="509"/>
      <c r="BD68" s="509"/>
      <c r="BE68" s="509"/>
      <c r="BF68" s="509"/>
      <c r="BG68" s="509"/>
      <c r="BH68" s="665"/>
      <c r="BI68" s="510"/>
      <c r="BJ68" s="511"/>
      <c r="BK68" s="511"/>
      <c r="BL68" s="511"/>
      <c r="BM68" s="195"/>
      <c r="BN68" s="510"/>
      <c r="BO68" s="510"/>
      <c r="BP68" s="510"/>
      <c r="BQ68" s="510"/>
      <c r="BR68" s="510"/>
      <c r="BS68" s="510"/>
      <c r="BT68" s="510"/>
      <c r="BU68" s="510"/>
      <c r="BV68" s="510"/>
      <c r="BW68" s="512"/>
      <c r="BX68" s="509"/>
      <c r="BY68"/>
      <c r="CA68"/>
    </row>
    <row r="69" spans="2:79" ht="18.75">
      <c r="B69" s="252" t="s">
        <v>4530</v>
      </c>
      <c r="C69" s="251">
        <v>40213012000119</v>
      </c>
      <c r="D69" s="252" t="s">
        <v>14</v>
      </c>
      <c r="E69" s="252" t="s">
        <v>607</v>
      </c>
      <c r="F69" s="252" t="s">
        <v>1417</v>
      </c>
      <c r="G69" s="253" t="s">
        <v>1417</v>
      </c>
      <c r="H69" s="253" t="s">
        <v>1417</v>
      </c>
      <c r="I69" s="253" t="s">
        <v>1417</v>
      </c>
      <c r="J69" s="253" t="s">
        <v>608</v>
      </c>
      <c r="K69" s="253" t="s">
        <v>48</v>
      </c>
      <c r="L69" s="655" t="s">
        <v>4572</v>
      </c>
      <c r="M69" s="655" t="s">
        <v>34</v>
      </c>
      <c r="N69" s="253" t="s">
        <v>4531</v>
      </c>
      <c r="O69" s="253" t="s">
        <v>1321</v>
      </c>
      <c r="P69" s="656">
        <v>44377</v>
      </c>
      <c r="Q69" s="657">
        <v>39.712072509999999</v>
      </c>
      <c r="R69" s="657">
        <v>40.046168242500002</v>
      </c>
      <c r="S69" s="253">
        <v>22</v>
      </c>
      <c r="T69" s="658">
        <v>-8.5341768304114662E-3</v>
      </c>
      <c r="U69" s="659">
        <v>-0.42674340829930513</v>
      </c>
      <c r="V69" s="658">
        <v>-8.5341768304114662E-3</v>
      </c>
      <c r="W69" s="659">
        <v>-6.6185187551904417E-2</v>
      </c>
      <c r="X69" s="658"/>
      <c r="Y69" s="659"/>
      <c r="Z69" s="658"/>
      <c r="AA69" s="659"/>
      <c r="AB69" s="658">
        <v>9.5157584075587956E-2</v>
      </c>
      <c r="AC69" s="660">
        <v>-1.4447412427788706</v>
      </c>
      <c r="AD69" s="682">
        <v>40213005000117</v>
      </c>
      <c r="AE69" s="944" t="s">
        <v>1854</v>
      </c>
      <c r="AF69" s="661" t="s">
        <v>1729</v>
      </c>
      <c r="AG69" s="662" t="s">
        <v>1433</v>
      </c>
      <c r="AH69" s="662" t="s">
        <v>2119</v>
      </c>
      <c r="AI69" s="662">
        <v>0</v>
      </c>
      <c r="AJ69" s="662">
        <v>0</v>
      </c>
      <c r="AK69" s="662">
        <v>0</v>
      </c>
      <c r="AL69" s="658">
        <v>0</v>
      </c>
      <c r="AM69" s="658">
        <v>0</v>
      </c>
      <c r="AN69" s="659" t="s">
        <v>34</v>
      </c>
      <c r="AO69" s="253" t="s">
        <v>4397</v>
      </c>
      <c r="AP69" s="944" t="s">
        <v>1731</v>
      </c>
      <c r="AQ69" s="663" t="s">
        <v>2120</v>
      </c>
      <c r="AR69" s="658">
        <v>0</v>
      </c>
      <c r="AS69" s="658">
        <v>0</v>
      </c>
      <c r="AT69" s="658" t="s">
        <v>1417</v>
      </c>
      <c r="AU69" s="658" t="s">
        <v>2751</v>
      </c>
      <c r="AX69" s="508"/>
      <c r="AY69" s="509"/>
      <c r="AZ69" s="509"/>
      <c r="BA69" s="509"/>
      <c r="BB69" s="509"/>
      <c r="BC69" s="509"/>
      <c r="BD69" s="509"/>
      <c r="BE69" s="509"/>
      <c r="BF69" s="509"/>
      <c r="BG69" s="509"/>
      <c r="BH69" s="665"/>
      <c r="BI69" s="510"/>
      <c r="BJ69" s="511"/>
      <c r="BK69" s="511"/>
      <c r="BL69" s="511"/>
      <c r="BM69" s="195"/>
      <c r="BN69" s="510"/>
      <c r="BO69" s="510"/>
      <c r="BP69" s="510"/>
      <c r="BQ69" s="510"/>
      <c r="BR69" s="510"/>
      <c r="BS69" s="510"/>
      <c r="BT69" s="510"/>
      <c r="BU69" s="510"/>
      <c r="BV69" s="510"/>
      <c r="BW69" s="512"/>
      <c r="BX69" s="509"/>
      <c r="BY69"/>
      <c r="CA69"/>
    </row>
    <row r="70" spans="2:79" ht="18.75">
      <c r="B70" s="252" t="s">
        <v>2652</v>
      </c>
      <c r="C70" s="251">
        <v>33588607000193</v>
      </c>
      <c r="D70" s="252" t="s">
        <v>14</v>
      </c>
      <c r="E70" s="252" t="s">
        <v>607</v>
      </c>
      <c r="F70" s="252" t="s">
        <v>1417</v>
      </c>
      <c r="G70" s="253" t="s">
        <v>1417</v>
      </c>
      <c r="H70" s="253" t="s">
        <v>1417</v>
      </c>
      <c r="I70" s="253" t="s">
        <v>1417</v>
      </c>
      <c r="J70" s="253" t="s">
        <v>608</v>
      </c>
      <c r="K70" s="253" t="s">
        <v>48</v>
      </c>
      <c r="L70" s="655" t="s">
        <v>4572</v>
      </c>
      <c r="M70" s="655" t="s">
        <v>34</v>
      </c>
      <c r="N70" s="253" t="s">
        <v>3850</v>
      </c>
      <c r="O70" s="253" t="s">
        <v>1321</v>
      </c>
      <c r="P70" s="656">
        <v>43707</v>
      </c>
      <c r="Q70" s="657"/>
      <c r="R70" s="657"/>
      <c r="S70" s="253">
        <v>9</v>
      </c>
      <c r="T70" s="658"/>
      <c r="U70" s="659"/>
      <c r="V70" s="658"/>
      <c r="W70" s="659"/>
      <c r="X70" s="658"/>
      <c r="Y70" s="659"/>
      <c r="Z70" s="658"/>
      <c r="AA70" s="659"/>
      <c r="AB70" s="658"/>
      <c r="AC70" s="660"/>
      <c r="AD70" s="682">
        <v>0</v>
      </c>
      <c r="AE70" s="944" t="s">
        <v>1854</v>
      </c>
      <c r="AF70" s="661" t="s">
        <v>1745</v>
      </c>
      <c r="AG70" s="662" t="s">
        <v>1432</v>
      </c>
      <c r="AH70" s="662" t="s">
        <v>2119</v>
      </c>
      <c r="AI70" s="662">
        <v>1000</v>
      </c>
      <c r="AJ70" s="662">
        <v>0</v>
      </c>
      <c r="AK70" s="662">
        <v>1000</v>
      </c>
      <c r="AL70" s="658">
        <v>1.9E-2</v>
      </c>
      <c r="AM70" s="658">
        <v>0.15</v>
      </c>
      <c r="AN70" s="659" t="s">
        <v>34</v>
      </c>
      <c r="AO70" s="253" t="s">
        <v>4400</v>
      </c>
      <c r="AP70" s="944" t="s">
        <v>1746</v>
      </c>
      <c r="AQ70" s="663" t="s">
        <v>2177</v>
      </c>
      <c r="AR70" s="658">
        <v>0</v>
      </c>
      <c r="AS70" s="658">
        <v>0</v>
      </c>
      <c r="AT70" s="658" t="s">
        <v>1417</v>
      </c>
      <c r="AU70" s="658" t="s">
        <v>2751</v>
      </c>
      <c r="AX70" s="508"/>
      <c r="AY70" s="509"/>
      <c r="AZ70" s="509"/>
      <c r="BA70" s="509"/>
      <c r="BB70" s="509"/>
      <c r="BC70" s="509"/>
      <c r="BD70" s="509"/>
      <c r="BE70" s="509"/>
      <c r="BF70" s="509"/>
      <c r="BG70" s="509"/>
      <c r="BH70" s="665"/>
      <c r="BI70" s="510"/>
      <c r="BJ70" s="511"/>
      <c r="BK70" s="511"/>
      <c r="BL70" s="511"/>
      <c r="BM70" s="195"/>
      <c r="BN70" s="510"/>
      <c r="BO70" s="510"/>
      <c r="BP70" s="510"/>
      <c r="BQ70" s="510"/>
      <c r="BR70" s="510"/>
      <c r="BS70" s="510"/>
      <c r="BT70" s="510"/>
      <c r="BU70" s="510"/>
      <c r="BV70" s="510"/>
      <c r="BW70" s="512"/>
      <c r="BX70" s="509"/>
      <c r="BY70"/>
      <c r="CA70"/>
    </row>
    <row r="71" spans="2:79" ht="18.75">
      <c r="B71" s="252" t="s">
        <v>2644</v>
      </c>
      <c r="C71" s="251">
        <v>28692566000140</v>
      </c>
      <c r="D71" s="252" t="s">
        <v>13</v>
      </c>
      <c r="E71" s="252" t="s">
        <v>615</v>
      </c>
      <c r="F71" s="252" t="s">
        <v>619</v>
      </c>
      <c r="G71" s="253" t="s">
        <v>34</v>
      </c>
      <c r="H71" s="253" t="s">
        <v>1338</v>
      </c>
      <c r="I71" s="253" t="s">
        <v>34</v>
      </c>
      <c r="J71" s="253" t="s">
        <v>608</v>
      </c>
      <c r="K71" s="253" t="s">
        <v>48</v>
      </c>
      <c r="L71" s="655" t="s">
        <v>4572</v>
      </c>
      <c r="M71" s="655" t="s">
        <v>34</v>
      </c>
      <c r="N71" s="253" t="s">
        <v>3947</v>
      </c>
      <c r="O71" s="253" t="s">
        <v>1321</v>
      </c>
      <c r="P71" s="656">
        <v>43201</v>
      </c>
      <c r="Q71" s="657"/>
      <c r="R71" s="657"/>
      <c r="S71" s="253">
        <v>5</v>
      </c>
      <c r="T71" s="658"/>
      <c r="U71" s="659"/>
      <c r="V71" s="658"/>
      <c r="W71" s="659"/>
      <c r="X71" s="658"/>
      <c r="Y71" s="659"/>
      <c r="Z71" s="658"/>
      <c r="AA71" s="659"/>
      <c r="AB71" s="658"/>
      <c r="AC71" s="660"/>
      <c r="AD71" s="682">
        <v>26491368000193</v>
      </c>
      <c r="AE71" s="944" t="s">
        <v>1834</v>
      </c>
      <c r="AF71" s="661" t="s">
        <v>1767</v>
      </c>
      <c r="AG71" s="662" t="s">
        <v>59</v>
      </c>
      <c r="AH71" s="662" t="s">
        <v>2119</v>
      </c>
      <c r="AI71" s="662">
        <v>0</v>
      </c>
      <c r="AJ71" s="662">
        <v>0</v>
      </c>
      <c r="AK71" s="662">
        <v>0</v>
      </c>
      <c r="AL71" s="658">
        <v>0.02</v>
      </c>
      <c r="AM71" s="658">
        <v>0</v>
      </c>
      <c r="AN71" s="659" t="s">
        <v>64</v>
      </c>
      <c r="AO71" s="253" t="s">
        <v>4400</v>
      </c>
      <c r="AP71" s="944" t="s">
        <v>1746</v>
      </c>
      <c r="AQ71" s="663" t="s">
        <v>2177</v>
      </c>
      <c r="AR71" s="658">
        <v>0</v>
      </c>
      <c r="AS71" s="658">
        <v>0</v>
      </c>
      <c r="AT71" s="658" t="s">
        <v>1417</v>
      </c>
      <c r="AU71" s="658" t="s">
        <v>2751</v>
      </c>
      <c r="AX71" s="508"/>
      <c r="AY71" s="509"/>
      <c r="AZ71" s="509"/>
      <c r="BA71" s="509"/>
      <c r="BB71" s="509"/>
      <c r="BC71" s="509"/>
      <c r="BD71" s="509"/>
      <c r="BE71" s="509"/>
      <c r="BF71" s="509"/>
      <c r="BG71" s="509"/>
      <c r="BH71" s="665"/>
      <c r="BI71" s="510"/>
      <c r="BJ71" s="511"/>
      <c r="BK71" s="511"/>
      <c r="BL71" s="511"/>
      <c r="BM71" s="195"/>
      <c r="BN71" s="510"/>
      <c r="BO71" s="510"/>
      <c r="BP71" s="510"/>
      <c r="BQ71" s="510"/>
      <c r="BR71" s="510"/>
      <c r="BS71" s="510"/>
      <c r="BT71" s="510"/>
      <c r="BU71" s="510"/>
      <c r="BV71" s="510"/>
      <c r="BW71" s="512"/>
      <c r="BX71" s="509"/>
      <c r="BY71"/>
      <c r="CA71"/>
    </row>
    <row r="72" spans="2:79" ht="18.75">
      <c r="B72" s="252" t="s">
        <v>2653</v>
      </c>
      <c r="C72" s="251">
        <v>33146130000196</v>
      </c>
      <c r="D72" s="252" t="s">
        <v>14</v>
      </c>
      <c r="E72" s="252" t="s">
        <v>607</v>
      </c>
      <c r="F72" s="252" t="s">
        <v>1317</v>
      </c>
      <c r="G72" s="253" t="s">
        <v>34</v>
      </c>
      <c r="H72" s="253" t="s">
        <v>1338</v>
      </c>
      <c r="I72" s="253" t="s">
        <v>34</v>
      </c>
      <c r="J72" s="253" t="s">
        <v>608</v>
      </c>
      <c r="K72" s="253" t="s">
        <v>48</v>
      </c>
      <c r="L72" s="655" t="s">
        <v>4572</v>
      </c>
      <c r="M72" s="655" t="s">
        <v>34</v>
      </c>
      <c r="N72" s="253" t="s">
        <v>4027</v>
      </c>
      <c r="O72" s="253" t="s">
        <v>1321</v>
      </c>
      <c r="P72" s="656">
        <v>43712</v>
      </c>
      <c r="Q72" s="657">
        <v>268.12595454000001</v>
      </c>
      <c r="R72" s="657">
        <v>273.00618107891552</v>
      </c>
      <c r="S72" s="253">
        <v>9</v>
      </c>
      <c r="T72" s="658">
        <v>3.6153585855750014E-2</v>
      </c>
      <c r="U72" s="659">
        <v>1.8078257290551656</v>
      </c>
      <c r="V72" s="658">
        <v>0.1985640617143245</v>
      </c>
      <c r="W72" s="659">
        <v>1.5399258682804751</v>
      </c>
      <c r="X72" s="658">
        <v>0.3638028098977566</v>
      </c>
      <c r="Y72" s="659">
        <v>1.8841320517204674</v>
      </c>
      <c r="Z72" s="658">
        <v>0.54511761930334623</v>
      </c>
      <c r="AA72" s="659">
        <v>2.4613570570047036</v>
      </c>
      <c r="AB72" s="658">
        <v>0.17938224348859252</v>
      </c>
      <c r="AC72" s="660">
        <v>0.38811061180625445</v>
      </c>
      <c r="AD72" s="682">
        <v>33600869000126</v>
      </c>
      <c r="AE72" s="944" t="s">
        <v>1959</v>
      </c>
      <c r="AF72" s="661" t="s">
        <v>1745</v>
      </c>
      <c r="AG72" s="662" t="s">
        <v>1432</v>
      </c>
      <c r="AH72" s="662" t="s">
        <v>1801</v>
      </c>
      <c r="AI72" s="662">
        <v>1000</v>
      </c>
      <c r="AJ72" s="662">
        <v>0</v>
      </c>
      <c r="AK72" s="662">
        <v>1000</v>
      </c>
      <c r="AL72" s="658">
        <v>0.02</v>
      </c>
      <c r="AM72" s="658">
        <v>0.2</v>
      </c>
      <c r="AN72" s="659" t="s">
        <v>34</v>
      </c>
      <c r="AO72" s="253" t="s">
        <v>4400</v>
      </c>
      <c r="AP72" s="944" t="s">
        <v>1746</v>
      </c>
      <c r="AQ72" s="663" t="s">
        <v>2177</v>
      </c>
      <c r="AR72" s="658">
        <v>0</v>
      </c>
      <c r="AS72" s="658">
        <v>0</v>
      </c>
      <c r="AT72" s="658" t="s">
        <v>1417</v>
      </c>
      <c r="AU72" s="658" t="s">
        <v>2751</v>
      </c>
      <c r="AX72" s="508"/>
      <c r="AY72" s="509"/>
      <c r="AZ72" s="509"/>
      <c r="BA72" s="509"/>
      <c r="BB72" s="509"/>
      <c r="BC72" s="509"/>
      <c r="BD72" s="509"/>
      <c r="BE72" s="509"/>
      <c r="BF72" s="509"/>
      <c r="BG72" s="509"/>
      <c r="BH72" s="665"/>
      <c r="BI72" s="510"/>
      <c r="BJ72" s="511"/>
      <c r="BK72" s="511"/>
      <c r="BL72" s="511"/>
      <c r="BM72" s="195"/>
      <c r="BN72" s="510"/>
      <c r="BO72" s="510"/>
      <c r="BP72" s="510"/>
      <c r="BQ72" s="510"/>
      <c r="BR72" s="510"/>
      <c r="BS72" s="510"/>
      <c r="BT72" s="510"/>
      <c r="BU72" s="510"/>
      <c r="BV72" s="510"/>
      <c r="BW72" s="512"/>
      <c r="BX72" s="509"/>
      <c r="BY72"/>
      <c r="CA72"/>
    </row>
    <row r="73" spans="2:79" ht="18.75">
      <c r="B73" s="252" t="s">
        <v>2659</v>
      </c>
      <c r="C73" s="251">
        <v>35610342000108</v>
      </c>
      <c r="D73" s="252" t="s">
        <v>14</v>
      </c>
      <c r="E73" s="252" t="s">
        <v>607</v>
      </c>
      <c r="F73" s="252" t="s">
        <v>1417</v>
      </c>
      <c r="G73" s="253" t="s">
        <v>1417</v>
      </c>
      <c r="H73" s="253" t="s">
        <v>1417</v>
      </c>
      <c r="I73" s="253" t="s">
        <v>1417</v>
      </c>
      <c r="J73" s="253" t="s">
        <v>608</v>
      </c>
      <c r="K73" s="253" t="s">
        <v>48</v>
      </c>
      <c r="L73" s="655" t="s">
        <v>4572</v>
      </c>
      <c r="M73" s="655" t="s">
        <v>34</v>
      </c>
      <c r="N73" s="253" t="s">
        <v>4033</v>
      </c>
      <c r="O73" s="253" t="s">
        <v>1321</v>
      </c>
      <c r="P73" s="656">
        <v>44026</v>
      </c>
      <c r="Q73" s="657"/>
      <c r="R73" s="657"/>
      <c r="S73" s="253">
        <v>32</v>
      </c>
      <c r="T73" s="658"/>
      <c r="U73" s="659"/>
      <c r="V73" s="658"/>
      <c r="W73" s="659"/>
      <c r="X73" s="658"/>
      <c r="Y73" s="659"/>
      <c r="Z73" s="658"/>
      <c r="AA73" s="659"/>
      <c r="AB73" s="658"/>
      <c r="AC73" s="660"/>
      <c r="AD73" s="682">
        <v>35610398000162</v>
      </c>
      <c r="AE73" s="944" t="s">
        <v>2629</v>
      </c>
      <c r="AF73" s="661" t="s">
        <v>1769</v>
      </c>
      <c r="AG73" s="662" t="s">
        <v>719</v>
      </c>
      <c r="AH73" s="662" t="s">
        <v>2119</v>
      </c>
      <c r="AI73" s="662">
        <v>0</v>
      </c>
      <c r="AJ73" s="662">
        <v>0</v>
      </c>
      <c r="AK73" s="662">
        <v>0</v>
      </c>
      <c r="AL73" s="658">
        <v>0.02</v>
      </c>
      <c r="AM73" s="658">
        <v>0</v>
      </c>
      <c r="AN73" s="659" t="s">
        <v>666</v>
      </c>
      <c r="AO73" s="253" t="s">
        <v>4397</v>
      </c>
      <c r="AP73" s="944" t="s">
        <v>1731</v>
      </c>
      <c r="AQ73" s="663" t="s">
        <v>2120</v>
      </c>
      <c r="AR73" s="658">
        <v>0</v>
      </c>
      <c r="AS73" s="658">
        <v>0</v>
      </c>
      <c r="AT73" s="658" t="s">
        <v>1417</v>
      </c>
      <c r="AU73" s="658" t="s">
        <v>2751</v>
      </c>
      <c r="AX73" s="508"/>
      <c r="AY73" s="509"/>
      <c r="AZ73" s="509"/>
      <c r="BA73" s="509"/>
      <c r="BB73" s="509"/>
      <c r="BC73" s="509"/>
      <c r="BD73" s="509"/>
      <c r="BE73" s="509"/>
      <c r="BF73" s="509"/>
      <c r="BG73" s="509"/>
      <c r="BH73" s="665"/>
      <c r="BI73" s="510"/>
      <c r="BJ73" s="511"/>
      <c r="BK73" s="511"/>
      <c r="BL73" s="511"/>
      <c r="BM73" s="195"/>
      <c r="BN73" s="510"/>
      <c r="BO73" s="510"/>
      <c r="BP73" s="510"/>
      <c r="BQ73" s="510"/>
      <c r="BR73" s="510"/>
      <c r="BS73" s="510"/>
      <c r="BT73" s="510"/>
      <c r="BU73" s="510"/>
      <c r="BV73" s="510"/>
      <c r="BW73" s="512"/>
      <c r="BX73" s="509"/>
      <c r="BY73"/>
      <c r="CA73"/>
    </row>
    <row r="74" spans="2:79" ht="18.75">
      <c r="B74" s="252" t="s">
        <v>4548</v>
      </c>
      <c r="C74" s="251">
        <v>45599105000147</v>
      </c>
      <c r="D74" s="252" t="s">
        <v>11</v>
      </c>
      <c r="E74" s="252" t="s">
        <v>620</v>
      </c>
      <c r="F74" s="252" t="s">
        <v>663</v>
      </c>
      <c r="G74" s="253" t="s">
        <v>1417</v>
      </c>
      <c r="H74" s="253" t="s">
        <v>34</v>
      </c>
      <c r="I74" s="253" t="s">
        <v>1417</v>
      </c>
      <c r="J74" s="253" t="s">
        <v>608</v>
      </c>
      <c r="K74" s="253" t="s">
        <v>48</v>
      </c>
      <c r="L74" s="655" t="s">
        <v>4572</v>
      </c>
      <c r="M74" s="655" t="s">
        <v>34</v>
      </c>
      <c r="N74" s="253" t="s">
        <v>4549</v>
      </c>
      <c r="O74" s="253" t="s">
        <v>1321</v>
      </c>
      <c r="P74" s="656">
        <v>44834</v>
      </c>
      <c r="Q74" s="657">
        <v>134.87770025</v>
      </c>
      <c r="R74" s="657">
        <v>121.83148627</v>
      </c>
      <c r="S74" s="253">
        <v>1</v>
      </c>
      <c r="T74" s="658">
        <v>1.8549116456954007E-3</v>
      </c>
      <c r="U74" s="659">
        <v>9.2753095407792668E-2</v>
      </c>
      <c r="V74" s="658"/>
      <c r="W74" s="659"/>
      <c r="X74" s="658"/>
      <c r="Y74" s="659"/>
      <c r="Z74" s="658"/>
      <c r="AA74" s="659"/>
      <c r="AB74" s="658">
        <v>4.6191727263211581E-3</v>
      </c>
      <c r="AC74" s="660"/>
      <c r="AD74" s="682">
        <v>37110309000144</v>
      </c>
      <c r="AE74" s="944" t="s">
        <v>1961</v>
      </c>
      <c r="AF74" s="661" t="s">
        <v>1767</v>
      </c>
      <c r="AG74" s="662" t="s">
        <v>59</v>
      </c>
      <c r="AH74" s="662" t="s">
        <v>2119</v>
      </c>
      <c r="AI74" s="662">
        <v>1</v>
      </c>
      <c r="AJ74" s="662">
        <v>0</v>
      </c>
      <c r="AK74" s="662">
        <v>0</v>
      </c>
      <c r="AL74" s="658">
        <v>8.0000000000000002E-3</v>
      </c>
      <c r="AM74" s="658">
        <v>0.2</v>
      </c>
      <c r="AN74" s="659" t="s">
        <v>64</v>
      </c>
      <c r="AO74" s="253" t="s">
        <v>4400</v>
      </c>
      <c r="AP74" s="944" t="s">
        <v>1735</v>
      </c>
      <c r="AQ74" s="663" t="s">
        <v>4405</v>
      </c>
      <c r="AR74" s="658">
        <v>0</v>
      </c>
      <c r="AS74" s="658">
        <v>0</v>
      </c>
      <c r="AT74" s="658" t="s">
        <v>1417</v>
      </c>
      <c r="AU74" s="658" t="s">
        <v>2751</v>
      </c>
      <c r="AX74" s="508"/>
      <c r="AY74" s="509"/>
      <c r="AZ74" s="509"/>
      <c r="BA74" s="509"/>
      <c r="BB74" s="509"/>
      <c r="BC74" s="509"/>
      <c r="BD74" s="509"/>
      <c r="BE74" s="509"/>
      <c r="BF74" s="509"/>
      <c r="BG74" s="509"/>
      <c r="BH74" s="665"/>
      <c r="BI74" s="510"/>
      <c r="BJ74" s="511"/>
      <c r="BK74" s="511"/>
      <c r="BL74" s="511"/>
      <c r="BM74" s="195"/>
      <c r="BN74" s="510"/>
      <c r="BO74" s="510"/>
      <c r="BP74" s="510"/>
      <c r="BQ74" s="510"/>
      <c r="BR74" s="510"/>
      <c r="BS74" s="510"/>
      <c r="BT74" s="510"/>
      <c r="BU74" s="510"/>
      <c r="BV74" s="510"/>
      <c r="BW74" s="512"/>
      <c r="BX74" s="509"/>
      <c r="BY74"/>
      <c r="CA74"/>
    </row>
    <row r="75" spans="2:79" ht="18.75">
      <c r="B75" s="252" t="s">
        <v>4550</v>
      </c>
      <c r="C75" s="251">
        <v>43794322000162</v>
      </c>
      <c r="D75" s="252" t="s">
        <v>13</v>
      </c>
      <c r="E75" s="252" t="s">
        <v>615</v>
      </c>
      <c r="F75" s="252" t="s">
        <v>619</v>
      </c>
      <c r="G75" s="253" t="s">
        <v>34</v>
      </c>
      <c r="H75" s="253" t="s">
        <v>34</v>
      </c>
      <c r="I75" s="253" t="s">
        <v>34</v>
      </c>
      <c r="J75" s="253" t="s">
        <v>608</v>
      </c>
      <c r="K75" s="253" t="s">
        <v>48</v>
      </c>
      <c r="L75" s="655" t="s">
        <v>4572</v>
      </c>
      <c r="M75" s="655" t="s">
        <v>34</v>
      </c>
      <c r="N75" s="253" t="s">
        <v>4551</v>
      </c>
      <c r="O75" s="253" t="s">
        <v>1321</v>
      </c>
      <c r="P75" s="656">
        <v>44844</v>
      </c>
      <c r="Q75" s="657">
        <v>61.238052760000002</v>
      </c>
      <c r="R75" s="657">
        <v>58.464166652499998</v>
      </c>
      <c r="S75" s="253">
        <v>10</v>
      </c>
      <c r="T75" s="658">
        <v>1.6392945111280977E-3</v>
      </c>
      <c r="U75" s="659">
        <v>8.1971365345076763E-2</v>
      </c>
      <c r="V75" s="658"/>
      <c r="W75" s="659"/>
      <c r="X75" s="658"/>
      <c r="Y75" s="659"/>
      <c r="Z75" s="658"/>
      <c r="AA75" s="659"/>
      <c r="AB75" s="658">
        <v>2.8819153443257729E-2</v>
      </c>
      <c r="AC75" s="660"/>
      <c r="AD75" s="682">
        <v>43794389000105</v>
      </c>
      <c r="AE75" s="944" t="s">
        <v>1961</v>
      </c>
      <c r="AF75" s="661" t="s">
        <v>1767</v>
      </c>
      <c r="AG75" s="662" t="s">
        <v>59</v>
      </c>
      <c r="AH75" s="662" t="s">
        <v>2119</v>
      </c>
      <c r="AI75" s="662">
        <v>1000</v>
      </c>
      <c r="AJ75" s="662">
        <v>0</v>
      </c>
      <c r="AK75" s="662">
        <v>0</v>
      </c>
      <c r="AL75" s="658">
        <v>1.9E-2</v>
      </c>
      <c r="AM75" s="658">
        <v>0.2</v>
      </c>
      <c r="AN75" s="659" t="s">
        <v>64</v>
      </c>
      <c r="AO75" s="253" t="s">
        <v>4400</v>
      </c>
      <c r="AP75" s="944" t="s">
        <v>1746</v>
      </c>
      <c r="AQ75" s="663" t="s">
        <v>2177</v>
      </c>
      <c r="AR75" s="658">
        <v>0</v>
      </c>
      <c r="AS75" s="658">
        <v>0</v>
      </c>
      <c r="AT75" s="658" t="s">
        <v>1417</v>
      </c>
      <c r="AU75" s="658" t="s">
        <v>2751</v>
      </c>
      <c r="AX75" s="508"/>
      <c r="AY75" s="509"/>
      <c r="AZ75" s="509"/>
      <c r="BA75" s="509"/>
      <c r="BB75" s="509"/>
      <c r="BC75" s="509"/>
      <c r="BD75" s="509"/>
      <c r="BE75" s="509"/>
      <c r="BF75" s="509"/>
      <c r="BG75" s="509"/>
      <c r="BH75" s="665"/>
      <c r="BI75" s="510"/>
      <c r="BJ75" s="511"/>
      <c r="BK75" s="511"/>
      <c r="BL75" s="511"/>
      <c r="BM75" s="195"/>
      <c r="BN75" s="510"/>
      <c r="BO75" s="510"/>
      <c r="BP75" s="510"/>
      <c r="BQ75" s="510"/>
      <c r="BR75" s="510"/>
      <c r="BS75" s="510"/>
      <c r="BT75" s="510"/>
      <c r="BU75" s="510"/>
      <c r="BV75" s="510"/>
      <c r="BW75" s="512"/>
      <c r="BX75" s="509"/>
      <c r="BY75"/>
      <c r="CA75"/>
    </row>
    <row r="76" spans="2:79" ht="18.75">
      <c r="B76" s="252" t="s">
        <v>65</v>
      </c>
      <c r="C76" s="251">
        <v>21983042000160</v>
      </c>
      <c r="D76" s="252" t="s">
        <v>13</v>
      </c>
      <c r="E76" s="252" t="s">
        <v>615</v>
      </c>
      <c r="F76" s="252" t="s">
        <v>619</v>
      </c>
      <c r="G76" s="253" t="s">
        <v>34</v>
      </c>
      <c r="H76" s="253" t="s">
        <v>1337</v>
      </c>
      <c r="I76" s="253" t="s">
        <v>34</v>
      </c>
      <c r="J76" s="253" t="s">
        <v>611</v>
      </c>
      <c r="K76" s="253" t="s">
        <v>48</v>
      </c>
      <c r="L76" s="655" t="s">
        <v>1339</v>
      </c>
      <c r="M76" s="655" t="s">
        <v>34</v>
      </c>
      <c r="N76" s="253" t="s">
        <v>2759</v>
      </c>
      <c r="O76" s="253" t="s">
        <v>1321</v>
      </c>
      <c r="P76" s="656">
        <v>42155</v>
      </c>
      <c r="Q76" s="657">
        <v>565.52746100000002</v>
      </c>
      <c r="R76" s="657">
        <v>697.15333850200784</v>
      </c>
      <c r="S76" s="253">
        <v>18</v>
      </c>
      <c r="T76" s="658">
        <v>1.4443629607447495E-2</v>
      </c>
      <c r="U76" s="659">
        <v>0.72223998276324919</v>
      </c>
      <c r="V76" s="658">
        <v>0.10669777165747218</v>
      </c>
      <c r="W76" s="659">
        <v>0.82747430348002171</v>
      </c>
      <c r="X76" s="658">
        <v>0.17636067494852803</v>
      </c>
      <c r="Y76" s="659">
        <v>0.91337062632078803</v>
      </c>
      <c r="Z76" s="658">
        <v>0.19454706632429941</v>
      </c>
      <c r="AA76" s="659">
        <v>0.8784338969429033</v>
      </c>
      <c r="AB76" s="658">
        <v>2.2678674392056369E-2</v>
      </c>
      <c r="AC76" s="660">
        <v>-0.98092760647016886</v>
      </c>
      <c r="AD76" s="682">
        <v>21983079000198</v>
      </c>
      <c r="AE76" s="944" t="s">
        <v>1879</v>
      </c>
      <c r="AF76" s="661" t="s">
        <v>1729</v>
      </c>
      <c r="AG76" s="662" t="s">
        <v>1433</v>
      </c>
      <c r="AH76" s="662" t="s">
        <v>1734</v>
      </c>
      <c r="AI76" s="662">
        <v>50000</v>
      </c>
      <c r="AJ76" s="662">
        <v>5000</v>
      </c>
      <c r="AK76" s="662">
        <v>25000</v>
      </c>
      <c r="AL76" s="658">
        <v>1.9E-2</v>
      </c>
      <c r="AM76" s="658">
        <v>0.2</v>
      </c>
      <c r="AN76" s="659" t="s">
        <v>64</v>
      </c>
      <c r="AO76" s="253" t="s">
        <v>34</v>
      </c>
      <c r="AP76" s="944" t="s">
        <v>1746</v>
      </c>
      <c r="AQ76" s="663" t="s">
        <v>671</v>
      </c>
      <c r="AR76" s="658">
        <v>3.8E-3</v>
      </c>
      <c r="AS76" s="658">
        <v>3.8E-3</v>
      </c>
      <c r="AT76" s="658" t="s">
        <v>1417</v>
      </c>
      <c r="AU76" s="658" t="s">
        <v>2751</v>
      </c>
      <c r="AX76" s="508"/>
      <c r="AY76" s="509"/>
      <c r="AZ76" s="509"/>
      <c r="BA76" s="509"/>
      <c r="BB76" s="509"/>
      <c r="BC76" s="509"/>
      <c r="BD76" s="509"/>
      <c r="BE76" s="509"/>
      <c r="BF76" s="509"/>
      <c r="BG76" s="509"/>
      <c r="BH76" s="665"/>
      <c r="BI76" s="510"/>
      <c r="BJ76" s="511"/>
      <c r="BK76" s="511"/>
      <c r="BL76" s="511"/>
      <c r="BM76" s="195"/>
      <c r="BN76" s="510"/>
      <c r="BO76" s="510"/>
      <c r="BP76" s="510"/>
      <c r="BQ76" s="510"/>
      <c r="BR76" s="510"/>
      <c r="BS76" s="510"/>
      <c r="BT76" s="510"/>
      <c r="BU76" s="510"/>
      <c r="BV76" s="510"/>
      <c r="BW76" s="512"/>
      <c r="BX76" s="509"/>
      <c r="BY76"/>
      <c r="CA76"/>
    </row>
    <row r="77" spans="2:79" ht="18.75">
      <c r="B77" s="252" t="s">
        <v>66</v>
      </c>
      <c r="C77" s="251">
        <v>35618055000144</v>
      </c>
      <c r="D77" s="252" t="s">
        <v>13</v>
      </c>
      <c r="E77" s="252" t="s">
        <v>616</v>
      </c>
      <c r="F77" s="252" t="s">
        <v>618</v>
      </c>
      <c r="G77" s="253" t="s">
        <v>34</v>
      </c>
      <c r="H77" s="253" t="s">
        <v>1338</v>
      </c>
      <c r="I77" s="253" t="s">
        <v>34</v>
      </c>
      <c r="J77" s="253" t="s">
        <v>611</v>
      </c>
      <c r="K77" s="253" t="s">
        <v>48</v>
      </c>
      <c r="L77" s="655" t="s">
        <v>1339</v>
      </c>
      <c r="M77" s="655" t="s">
        <v>34</v>
      </c>
      <c r="N77" s="253" t="s">
        <v>2760</v>
      </c>
      <c r="O77" s="253" t="s">
        <v>1321</v>
      </c>
      <c r="P77" s="656">
        <v>43828</v>
      </c>
      <c r="Q77" s="657">
        <v>441.76801835999999</v>
      </c>
      <c r="R77" s="657">
        <v>550.04147678168658</v>
      </c>
      <c r="S77" s="253">
        <v>18</v>
      </c>
      <c r="T77" s="658">
        <v>8.7669957262488385E-3</v>
      </c>
      <c r="U77" s="659">
        <v>0.43838529609943533</v>
      </c>
      <c r="V77" s="658">
        <v>9.8555849376637195E-2</v>
      </c>
      <c r="W77" s="659">
        <v>0.7643311715882829</v>
      </c>
      <c r="X77" s="658">
        <v>0.20502405881960528</v>
      </c>
      <c r="Y77" s="659">
        <v>1.0618180786025391</v>
      </c>
      <c r="Z77" s="658">
        <v>0.25545615717205927</v>
      </c>
      <c r="AA77" s="659">
        <v>1.1534553148627076</v>
      </c>
      <c r="AB77" s="658">
        <v>7.3459063418209902E-2</v>
      </c>
      <c r="AC77" s="660">
        <v>-0.41367339380777085</v>
      </c>
      <c r="AD77" s="682">
        <v>35618088000194</v>
      </c>
      <c r="AE77" s="944" t="s">
        <v>1879</v>
      </c>
      <c r="AF77" s="661" t="s">
        <v>1729</v>
      </c>
      <c r="AG77" s="662" t="s">
        <v>1433</v>
      </c>
      <c r="AH77" s="662" t="s">
        <v>1730</v>
      </c>
      <c r="AI77" s="662">
        <v>50000</v>
      </c>
      <c r="AJ77" s="662">
        <v>5000</v>
      </c>
      <c r="AK77" s="662">
        <v>25000</v>
      </c>
      <c r="AL77" s="658">
        <v>2.5000000000000001E-2</v>
      </c>
      <c r="AM77" s="658">
        <v>0.2</v>
      </c>
      <c r="AN77" s="659" t="s">
        <v>64</v>
      </c>
      <c r="AO77" s="253" t="s">
        <v>34</v>
      </c>
      <c r="AP77" s="944" t="s">
        <v>1746</v>
      </c>
      <c r="AQ77" s="663" t="s">
        <v>671</v>
      </c>
      <c r="AR77" s="658">
        <v>3.8E-3</v>
      </c>
      <c r="AS77" s="658">
        <v>3.8E-3</v>
      </c>
      <c r="AT77" s="658" t="s">
        <v>1417</v>
      </c>
      <c r="AU77" s="658" t="s">
        <v>2751</v>
      </c>
      <c r="AX77" s="508"/>
      <c r="AY77" s="509"/>
      <c r="AZ77" s="509"/>
      <c r="BA77" s="509"/>
      <c r="BB77" s="509"/>
      <c r="BC77" s="509"/>
      <c r="BD77" s="509"/>
      <c r="BE77" s="509"/>
      <c r="BF77" s="509"/>
      <c r="BG77" s="509"/>
      <c r="BH77" s="665"/>
      <c r="BI77" s="510"/>
      <c r="BJ77" s="511"/>
      <c r="BK77" s="511"/>
      <c r="BL77" s="511"/>
      <c r="BM77" s="195"/>
      <c r="BN77" s="510"/>
      <c r="BO77" s="510"/>
      <c r="BP77" s="510"/>
      <c r="BQ77" s="510"/>
      <c r="BR77" s="510"/>
      <c r="BS77" s="510"/>
      <c r="BT77" s="510"/>
      <c r="BU77" s="510"/>
      <c r="BV77" s="510"/>
      <c r="BW77" s="512"/>
      <c r="BX77" s="509"/>
      <c r="BY77"/>
      <c r="CA77"/>
    </row>
    <row r="78" spans="2:79" ht="18.75">
      <c r="B78" s="252" t="s">
        <v>720</v>
      </c>
      <c r="C78" s="251">
        <v>18860059000115</v>
      </c>
      <c r="D78" s="252" t="s">
        <v>13</v>
      </c>
      <c r="E78" s="252" t="s">
        <v>615</v>
      </c>
      <c r="F78" s="252" t="s">
        <v>619</v>
      </c>
      <c r="G78" s="253" t="s">
        <v>34</v>
      </c>
      <c r="H78" s="253" t="s">
        <v>1337</v>
      </c>
      <c r="I78" s="253" t="s">
        <v>34</v>
      </c>
      <c r="J78" s="253" t="s">
        <v>608</v>
      </c>
      <c r="K78" s="253" t="s">
        <v>48</v>
      </c>
      <c r="L78" s="655" t="s">
        <v>1339</v>
      </c>
      <c r="M78" s="655" t="s">
        <v>34</v>
      </c>
      <c r="N78" s="253" t="s">
        <v>2761</v>
      </c>
      <c r="O78" s="253" t="s">
        <v>1321</v>
      </c>
      <c r="P78" s="656">
        <v>41549</v>
      </c>
      <c r="Q78" s="657">
        <v>2095.7555689999999</v>
      </c>
      <c r="R78" s="657">
        <v>1073.1492552811244</v>
      </c>
      <c r="S78" s="253">
        <v>5</v>
      </c>
      <c r="T78" s="658">
        <v>1.1211992291118467E-2</v>
      </c>
      <c r="U78" s="659">
        <v>0.56064502754236256</v>
      </c>
      <c r="V78" s="658">
        <v>0.16011469345726481</v>
      </c>
      <c r="W78" s="659">
        <v>1.2417390952718073</v>
      </c>
      <c r="X78" s="658">
        <v>0.25236630745315947</v>
      </c>
      <c r="Y78" s="659">
        <v>1.3070032328240457</v>
      </c>
      <c r="Z78" s="658">
        <v>0.27866650536029924</v>
      </c>
      <c r="AA78" s="659">
        <v>1.2582564665511651</v>
      </c>
      <c r="AB78" s="658">
        <v>1.9447611954958685E-2</v>
      </c>
      <c r="AC78" s="660">
        <v>1.6028077937110752</v>
      </c>
      <c r="AD78" s="682">
        <v>18422264000107</v>
      </c>
      <c r="AE78" s="944" t="s">
        <v>1879</v>
      </c>
      <c r="AF78" s="661" t="s">
        <v>1729</v>
      </c>
      <c r="AG78" s="662" t="s">
        <v>1433</v>
      </c>
      <c r="AH78" s="662" t="s">
        <v>1734</v>
      </c>
      <c r="AI78" s="662">
        <v>50000</v>
      </c>
      <c r="AJ78" s="662">
        <v>5000</v>
      </c>
      <c r="AK78" s="662">
        <v>25000</v>
      </c>
      <c r="AL78" s="658">
        <v>1.9E-2</v>
      </c>
      <c r="AM78" s="658">
        <v>0.2</v>
      </c>
      <c r="AN78" s="659" t="s">
        <v>64</v>
      </c>
      <c r="AO78" s="253" t="s">
        <v>34</v>
      </c>
      <c r="AP78" s="944" t="s">
        <v>1746</v>
      </c>
      <c r="AQ78" s="663" t="s">
        <v>664</v>
      </c>
      <c r="AR78" s="658">
        <v>4.7499999999999999E-3</v>
      </c>
      <c r="AS78" s="658">
        <v>4.7499999999999999E-3</v>
      </c>
      <c r="AT78" s="658" t="s">
        <v>1417</v>
      </c>
      <c r="AU78" s="658" t="s">
        <v>2751</v>
      </c>
      <c r="AX78" s="508"/>
      <c r="AY78" s="509"/>
      <c r="AZ78" s="509"/>
      <c r="BA78" s="509"/>
      <c r="BB78" s="509"/>
      <c r="BC78" s="509"/>
      <c r="BD78" s="509"/>
      <c r="BE78" s="509"/>
      <c r="BF78" s="509"/>
      <c r="BG78" s="509"/>
      <c r="BH78" s="665"/>
      <c r="BI78" s="510"/>
      <c r="BJ78" s="511"/>
      <c r="BK78" s="511"/>
      <c r="BL78" s="511"/>
      <c r="BM78" s="195"/>
      <c r="BN78" s="510"/>
      <c r="BO78" s="510"/>
      <c r="BP78" s="510"/>
      <c r="BQ78" s="510"/>
      <c r="BR78" s="510"/>
      <c r="BS78" s="510"/>
      <c r="BT78" s="510"/>
      <c r="BU78" s="510"/>
      <c r="BV78" s="510"/>
      <c r="BW78" s="512"/>
      <c r="BX78" s="509"/>
      <c r="BY78"/>
      <c r="CA78"/>
    </row>
    <row r="79" spans="2:79" ht="18.75">
      <c r="B79" s="252" t="s">
        <v>46</v>
      </c>
      <c r="C79" s="251">
        <v>34581406000127</v>
      </c>
      <c r="D79" s="252" t="s">
        <v>14</v>
      </c>
      <c r="E79" s="252" t="s">
        <v>607</v>
      </c>
      <c r="F79" s="252" t="s">
        <v>1317</v>
      </c>
      <c r="G79" s="253" t="s">
        <v>1417</v>
      </c>
      <c r="H79" s="253" t="s">
        <v>34</v>
      </c>
      <c r="I79" s="253" t="s">
        <v>34</v>
      </c>
      <c r="J79" s="253" t="s">
        <v>608</v>
      </c>
      <c r="K79" s="253" t="s">
        <v>48</v>
      </c>
      <c r="L79" s="655" t="s">
        <v>1339</v>
      </c>
      <c r="M79" s="655" t="s">
        <v>1414</v>
      </c>
      <c r="N79" s="253" t="s">
        <v>2771</v>
      </c>
      <c r="O79" s="253" t="s">
        <v>1321</v>
      </c>
      <c r="P79" s="656">
        <v>43727</v>
      </c>
      <c r="Q79" s="657">
        <v>279.07305955999999</v>
      </c>
      <c r="R79" s="657">
        <v>324.83743895939762</v>
      </c>
      <c r="S79" s="253">
        <v>62</v>
      </c>
      <c r="T79" s="658">
        <v>8.6485903217825566E-3</v>
      </c>
      <c r="U79" s="659">
        <v>0.43246454628757997</v>
      </c>
      <c r="V79" s="658">
        <v>-0.15837774821400874</v>
      </c>
      <c r="W79" s="659">
        <v>-1.2282685463276335</v>
      </c>
      <c r="X79" s="658">
        <v>-0.37372695010429136</v>
      </c>
      <c r="Y79" s="659">
        <v>-1.9355291001768959</v>
      </c>
      <c r="Z79" s="658">
        <v>-6.7231343603570415E-2</v>
      </c>
      <c r="AA79" s="659">
        <v>-0.30356814047221214</v>
      </c>
      <c r="AB79" s="658">
        <v>0.26435878642374666</v>
      </c>
      <c r="AC79" s="660">
        <v>-1.0868625232688227</v>
      </c>
      <c r="AD79" s="682">
        <v>34270949000123</v>
      </c>
      <c r="AE79" s="944" t="s">
        <v>1797</v>
      </c>
      <c r="AF79" s="661" t="s">
        <v>1745</v>
      </c>
      <c r="AG79" s="662" t="s">
        <v>1432</v>
      </c>
      <c r="AH79" s="662" t="s">
        <v>1730</v>
      </c>
      <c r="AI79" s="662">
        <v>10000</v>
      </c>
      <c r="AJ79" s="662">
        <v>10000</v>
      </c>
      <c r="AK79" s="662">
        <v>10000</v>
      </c>
      <c r="AL79" s="658">
        <v>0</v>
      </c>
      <c r="AM79" s="658">
        <v>0</v>
      </c>
      <c r="AN79" s="659" t="s">
        <v>34</v>
      </c>
      <c r="AO79" s="253" t="s">
        <v>34</v>
      </c>
      <c r="AP79" s="944" t="s">
        <v>1731</v>
      </c>
      <c r="AQ79" s="663" t="s">
        <v>659</v>
      </c>
      <c r="AR79" s="658">
        <v>2.28395061728395E-3</v>
      </c>
      <c r="AS79" s="658">
        <v>2.28395061728395E-3</v>
      </c>
      <c r="AT79" s="658" t="s">
        <v>1417</v>
      </c>
      <c r="AU79" s="658" t="s">
        <v>2751</v>
      </c>
      <c r="AX79" s="508"/>
      <c r="AY79" s="509"/>
      <c r="AZ79" s="509"/>
      <c r="BA79" s="509"/>
      <c r="BB79" s="509"/>
      <c r="BC79" s="509"/>
      <c r="BD79" s="509"/>
      <c r="BE79" s="509"/>
      <c r="BF79" s="509"/>
      <c r="BG79" s="509"/>
      <c r="BH79" s="665"/>
      <c r="BI79" s="510"/>
      <c r="BJ79" s="511"/>
      <c r="BK79" s="511"/>
      <c r="BL79" s="511"/>
      <c r="BM79" s="195"/>
      <c r="BN79" s="510"/>
      <c r="BO79" s="510"/>
      <c r="BP79" s="510"/>
      <c r="BQ79" s="510"/>
      <c r="BR79" s="510"/>
      <c r="BS79" s="510"/>
      <c r="BT79" s="510"/>
      <c r="BU79" s="510"/>
      <c r="BV79" s="510"/>
      <c r="BW79" s="512"/>
      <c r="BX79" s="509"/>
      <c r="BY79"/>
      <c r="CA79"/>
    </row>
    <row r="80" spans="2:79" ht="18.75">
      <c r="B80" s="252" t="s">
        <v>72</v>
      </c>
      <c r="C80" s="251">
        <v>34774662000130</v>
      </c>
      <c r="D80" s="252" t="s">
        <v>13</v>
      </c>
      <c r="E80" s="252" t="s">
        <v>615</v>
      </c>
      <c r="F80" s="252" t="s">
        <v>619</v>
      </c>
      <c r="G80" s="253" t="s">
        <v>34</v>
      </c>
      <c r="H80" s="253" t="s">
        <v>1337</v>
      </c>
      <c r="I80" s="253" t="s">
        <v>34</v>
      </c>
      <c r="J80" s="253" t="s">
        <v>611</v>
      </c>
      <c r="K80" s="253" t="s">
        <v>48</v>
      </c>
      <c r="L80" s="655" t="s">
        <v>1339</v>
      </c>
      <c r="M80" s="655" t="s">
        <v>34</v>
      </c>
      <c r="N80" s="253" t="s">
        <v>2790</v>
      </c>
      <c r="O80" s="253" t="s">
        <v>1321</v>
      </c>
      <c r="P80" s="656">
        <v>43740</v>
      </c>
      <c r="Q80" s="657">
        <v>316.41695116</v>
      </c>
      <c r="R80" s="657">
        <v>300.92759136395165</v>
      </c>
      <c r="S80" s="253">
        <v>31</v>
      </c>
      <c r="T80" s="658">
        <v>3.4676404754722112E-2</v>
      </c>
      <c r="U80" s="659">
        <v>1.7339606908382841</v>
      </c>
      <c r="V80" s="658">
        <v>0.17195342178594086</v>
      </c>
      <c r="W80" s="659">
        <v>1.3335521043504686</v>
      </c>
      <c r="X80" s="658">
        <v>0.28165863614183073</v>
      </c>
      <c r="Y80" s="659">
        <v>1.4587079856470579</v>
      </c>
      <c r="Z80" s="658">
        <v>0.38497387456995424</v>
      </c>
      <c r="AA80" s="659">
        <v>1.7382636872867334</v>
      </c>
      <c r="AB80" s="658">
        <v>4.064926792440747E-2</v>
      </c>
      <c r="AC80" s="660">
        <v>1.0580636389106495</v>
      </c>
      <c r="AD80" s="682">
        <v>34687549000118</v>
      </c>
      <c r="AE80" s="944" t="s">
        <v>1988</v>
      </c>
      <c r="AF80" s="661" t="s">
        <v>1767</v>
      </c>
      <c r="AG80" s="662" t="s">
        <v>59</v>
      </c>
      <c r="AH80" s="662" t="s">
        <v>1734</v>
      </c>
      <c r="AI80" s="662">
        <v>500</v>
      </c>
      <c r="AJ80" s="662">
        <v>100</v>
      </c>
      <c r="AK80" s="662">
        <v>100</v>
      </c>
      <c r="AL80" s="658">
        <v>0</v>
      </c>
      <c r="AM80" s="658">
        <v>0</v>
      </c>
      <c r="AN80" s="659" t="s">
        <v>64</v>
      </c>
      <c r="AO80" s="253" t="s">
        <v>34</v>
      </c>
      <c r="AP80" s="944" t="s">
        <v>1746</v>
      </c>
      <c r="AQ80" s="663" t="s">
        <v>664</v>
      </c>
      <c r="AR80" s="658">
        <v>4.7999999999999996E-3</v>
      </c>
      <c r="AS80" s="658">
        <v>4.7999999999999996E-3</v>
      </c>
      <c r="AT80" s="658" t="s">
        <v>1417</v>
      </c>
      <c r="AU80" s="658" t="s">
        <v>2751</v>
      </c>
      <c r="AX80" s="508"/>
      <c r="AY80" s="509"/>
      <c r="AZ80" s="509"/>
      <c r="BA80" s="509"/>
      <c r="BB80" s="509"/>
      <c r="BC80" s="509"/>
      <c r="BD80" s="509"/>
      <c r="BE80" s="509"/>
      <c r="BF80" s="509"/>
      <c r="BG80" s="509"/>
      <c r="BH80" s="665"/>
      <c r="BI80" s="510"/>
      <c r="BJ80" s="511"/>
      <c r="BK80" s="511"/>
      <c r="BL80" s="511"/>
      <c r="BM80" s="195"/>
      <c r="BN80" s="510"/>
      <c r="BO80" s="510"/>
      <c r="BP80" s="510"/>
      <c r="BQ80" s="510"/>
      <c r="BR80" s="510"/>
      <c r="BS80" s="510"/>
      <c r="BT80" s="510"/>
      <c r="BU80" s="510"/>
      <c r="BV80" s="510"/>
      <c r="BW80" s="512"/>
      <c r="BX80" s="509"/>
      <c r="BY80"/>
      <c r="CA80"/>
    </row>
    <row r="81" spans="2:79" ht="18.75">
      <c r="B81" s="252" t="s">
        <v>752</v>
      </c>
      <c r="C81" s="251">
        <v>9620860000100</v>
      </c>
      <c r="D81" s="252" t="s">
        <v>11</v>
      </c>
      <c r="E81" s="252" t="s">
        <v>620</v>
      </c>
      <c r="F81" s="252" t="s">
        <v>663</v>
      </c>
      <c r="G81" s="253" t="s">
        <v>738</v>
      </c>
      <c r="H81" s="253" t="s">
        <v>34</v>
      </c>
      <c r="I81" s="253" t="s">
        <v>1417</v>
      </c>
      <c r="J81" s="253" t="s">
        <v>608</v>
      </c>
      <c r="K81" s="253" t="s">
        <v>48</v>
      </c>
      <c r="L81" s="655" t="s">
        <v>1339</v>
      </c>
      <c r="M81" s="655" t="s">
        <v>34</v>
      </c>
      <c r="N81" s="253" t="s">
        <v>2825</v>
      </c>
      <c r="O81" s="253" t="s">
        <v>1321</v>
      </c>
      <c r="P81" s="656">
        <v>39634</v>
      </c>
      <c r="Q81" s="657">
        <v>194.582641</v>
      </c>
      <c r="R81" s="657">
        <v>290.65665068145159</v>
      </c>
      <c r="S81" s="253">
        <v>4</v>
      </c>
      <c r="T81" s="658">
        <v>1.7650524196546558E-2</v>
      </c>
      <c r="U81" s="659">
        <v>0.88259770140484339</v>
      </c>
      <c r="V81" s="658">
        <v>0.1248388882054714</v>
      </c>
      <c r="W81" s="659">
        <v>0.96816428741048077</v>
      </c>
      <c r="X81" s="658">
        <v>0.19375864001755727</v>
      </c>
      <c r="Y81" s="659">
        <v>1.0034745582571127</v>
      </c>
      <c r="Z81" s="658">
        <v>0.22964592175498932</v>
      </c>
      <c r="AA81" s="659">
        <v>1.0369149521278795</v>
      </c>
      <c r="AB81" s="658">
        <v>3.2728501310200311E-3</v>
      </c>
      <c r="AC81" s="660">
        <v>-1.2542649608088114</v>
      </c>
      <c r="AD81" s="682">
        <v>0</v>
      </c>
      <c r="AE81" s="944" t="s">
        <v>1802</v>
      </c>
      <c r="AF81" s="661" t="s">
        <v>1729</v>
      </c>
      <c r="AG81" s="662" t="s">
        <v>1433</v>
      </c>
      <c r="AH81" s="662" t="s">
        <v>1734</v>
      </c>
      <c r="AI81" s="662">
        <v>1000</v>
      </c>
      <c r="AJ81" s="662">
        <v>500</v>
      </c>
      <c r="AK81" s="662">
        <v>500</v>
      </c>
      <c r="AL81" s="658">
        <v>2.5000000000000001E-2</v>
      </c>
      <c r="AM81" s="658">
        <v>0.2</v>
      </c>
      <c r="AN81" s="659" t="s">
        <v>64</v>
      </c>
      <c r="AO81" s="253" t="s">
        <v>34</v>
      </c>
      <c r="AP81" s="944" t="s">
        <v>1746</v>
      </c>
      <c r="AQ81" s="663" t="s">
        <v>668</v>
      </c>
      <c r="AR81" s="658">
        <v>4.1999999999999997E-3</v>
      </c>
      <c r="AS81" s="658">
        <v>4.1999999999999997E-3</v>
      </c>
      <c r="AT81" s="658" t="s">
        <v>1417</v>
      </c>
      <c r="AU81" s="658" t="s">
        <v>2751</v>
      </c>
      <c r="AX81" s="508"/>
      <c r="AY81" s="509"/>
      <c r="AZ81" s="509"/>
      <c r="BA81" s="509"/>
      <c r="BB81" s="509"/>
      <c r="BC81" s="509"/>
      <c r="BD81" s="509"/>
      <c r="BE81" s="509"/>
      <c r="BF81" s="509"/>
      <c r="BG81" s="509"/>
      <c r="BH81" s="665"/>
      <c r="BI81" s="510"/>
      <c r="BJ81" s="511"/>
      <c r="BK81" s="511"/>
      <c r="BL81" s="511"/>
      <c r="BM81" s="195"/>
      <c r="BN81" s="510"/>
      <c r="BO81" s="510"/>
      <c r="BP81" s="510"/>
      <c r="BQ81" s="510"/>
      <c r="BR81" s="510"/>
      <c r="BS81" s="510"/>
      <c r="BT81" s="510"/>
      <c r="BU81" s="510"/>
      <c r="BV81" s="510"/>
      <c r="BW81" s="512"/>
      <c r="BX81" s="509"/>
      <c r="BY81"/>
      <c r="CA81"/>
    </row>
    <row r="82" spans="2:79" ht="18.75">
      <c r="B82" s="252" t="s">
        <v>764</v>
      </c>
      <c r="C82" s="251">
        <v>44417227000102</v>
      </c>
      <c r="D82" s="252" t="s">
        <v>13</v>
      </c>
      <c r="E82" s="252" t="s">
        <v>615</v>
      </c>
      <c r="F82" s="252" t="s">
        <v>619</v>
      </c>
      <c r="G82" s="253" t="s">
        <v>34</v>
      </c>
      <c r="H82" s="253" t="s">
        <v>1338</v>
      </c>
      <c r="I82" s="253" t="s">
        <v>34</v>
      </c>
      <c r="J82" s="253" t="s">
        <v>611</v>
      </c>
      <c r="K82" s="253" t="s">
        <v>48</v>
      </c>
      <c r="L82" s="655" t="s">
        <v>1339</v>
      </c>
      <c r="M82" s="655" t="s">
        <v>34</v>
      </c>
      <c r="N82" s="253" t="s">
        <v>2843</v>
      </c>
      <c r="O82" s="253" t="s">
        <v>1321</v>
      </c>
      <c r="P82" s="656">
        <v>44538</v>
      </c>
      <c r="Q82" s="657">
        <v>16.758160409999999</v>
      </c>
      <c r="R82" s="657">
        <v>14.784039540000002</v>
      </c>
      <c r="S82" s="253">
        <v>46</v>
      </c>
      <c r="T82" s="658">
        <v>6.6459372665932381E-3</v>
      </c>
      <c r="U82" s="659">
        <v>0.33232378199417106</v>
      </c>
      <c r="V82" s="658">
        <v>0.12007109317034526</v>
      </c>
      <c r="W82" s="659">
        <v>0.93118855854060589</v>
      </c>
      <c r="X82" s="658"/>
      <c r="Y82" s="659"/>
      <c r="Z82" s="658"/>
      <c r="AA82" s="659"/>
      <c r="AB82" s="658">
        <v>2.8365913342791028E-2</v>
      </c>
      <c r="AC82" s="660">
        <v>-0.31279853989605633</v>
      </c>
      <c r="AD82" s="682">
        <v>0</v>
      </c>
      <c r="AE82" s="944" t="s">
        <v>2000</v>
      </c>
      <c r="AF82" s="661" t="s">
        <v>1745</v>
      </c>
      <c r="AG82" s="662" t="s">
        <v>1432</v>
      </c>
      <c r="AH82" s="662" t="s">
        <v>1734</v>
      </c>
      <c r="AI82" s="662">
        <v>0</v>
      </c>
      <c r="AJ82" s="662">
        <v>0</v>
      </c>
      <c r="AK82" s="662">
        <v>0</v>
      </c>
      <c r="AL82" s="658">
        <v>0</v>
      </c>
      <c r="AM82" s="658">
        <v>0</v>
      </c>
      <c r="AN82" s="659" t="s">
        <v>64</v>
      </c>
      <c r="AO82" s="253" t="s">
        <v>34</v>
      </c>
      <c r="AP82" s="944" t="s">
        <v>1746</v>
      </c>
      <c r="AQ82" s="663" t="s">
        <v>664</v>
      </c>
      <c r="AR82" s="658">
        <v>5.4000000000000003E-3</v>
      </c>
      <c r="AS82" s="658">
        <v>5.4000000000000003E-3</v>
      </c>
      <c r="AT82" s="658" t="s">
        <v>1417</v>
      </c>
      <c r="AU82" s="658" t="s">
        <v>2751</v>
      </c>
      <c r="AX82" s="508"/>
      <c r="AY82" s="509"/>
      <c r="AZ82" s="509"/>
      <c r="BA82" s="509"/>
      <c r="BB82" s="509"/>
      <c r="BC82" s="509"/>
      <c r="BD82" s="509"/>
      <c r="BE82" s="509"/>
      <c r="BF82" s="509"/>
      <c r="BG82" s="509"/>
      <c r="BH82" s="665"/>
      <c r="BI82" s="510"/>
      <c r="BJ82" s="511"/>
      <c r="BK82" s="511"/>
      <c r="BL82" s="511"/>
      <c r="BM82" s="195"/>
      <c r="BN82" s="510"/>
      <c r="BO82" s="510"/>
      <c r="BP82" s="510"/>
      <c r="BQ82" s="510"/>
      <c r="BR82" s="510"/>
      <c r="BS82" s="510"/>
      <c r="BT82" s="510"/>
      <c r="BU82" s="510"/>
      <c r="BV82" s="510"/>
      <c r="BW82" s="512"/>
      <c r="BX82" s="509"/>
      <c r="BY82"/>
      <c r="CA82"/>
    </row>
    <row r="83" spans="2:79" ht="18.75">
      <c r="B83" s="252" t="s">
        <v>770</v>
      </c>
      <c r="C83" s="251">
        <v>30921203000181</v>
      </c>
      <c r="D83" s="252" t="s">
        <v>11</v>
      </c>
      <c r="E83" s="252" t="s">
        <v>620</v>
      </c>
      <c r="F83" s="252" t="s">
        <v>663</v>
      </c>
      <c r="G83" s="253" t="s">
        <v>738</v>
      </c>
      <c r="H83" s="253" t="s">
        <v>34</v>
      </c>
      <c r="I83" s="253" t="s">
        <v>1304</v>
      </c>
      <c r="J83" s="253" t="s">
        <v>608</v>
      </c>
      <c r="K83" s="253" t="s">
        <v>48</v>
      </c>
      <c r="L83" s="655" t="s">
        <v>1339</v>
      </c>
      <c r="M83" s="655" t="s">
        <v>34</v>
      </c>
      <c r="N83" s="253" t="s">
        <v>2854</v>
      </c>
      <c r="O83" s="253" t="s">
        <v>1321</v>
      </c>
      <c r="P83" s="656">
        <v>43338</v>
      </c>
      <c r="Q83" s="657">
        <v>527.71126561000005</v>
      </c>
      <c r="R83" s="657">
        <v>731.78447068132459</v>
      </c>
      <c r="S83" s="253">
        <v>1</v>
      </c>
      <c r="T83" s="658">
        <v>1.2962592128415551E-2</v>
      </c>
      <c r="U83" s="659">
        <v>0.64818211002631532</v>
      </c>
      <c r="V83" s="658">
        <v>0.13142163821741271</v>
      </c>
      <c r="W83" s="659">
        <v>1.0192155548971225</v>
      </c>
      <c r="X83" s="658">
        <v>0.21890725885147422</v>
      </c>
      <c r="Y83" s="659">
        <v>1.1337190685037504</v>
      </c>
      <c r="Z83" s="658">
        <v>0.24360750665840114</v>
      </c>
      <c r="AA83" s="659">
        <v>1.0999553755376024</v>
      </c>
      <c r="AB83" s="658">
        <v>2.8133048378588088E-3</v>
      </c>
      <c r="AC83" s="660">
        <v>0.88071819920877847</v>
      </c>
      <c r="AD83" s="682">
        <v>34474989000197</v>
      </c>
      <c r="AE83" s="944" t="s">
        <v>1754</v>
      </c>
      <c r="AF83" s="661" t="s">
        <v>1729</v>
      </c>
      <c r="AG83" s="662" t="s">
        <v>1433</v>
      </c>
      <c r="AH83" s="662" t="s">
        <v>1734</v>
      </c>
      <c r="AI83" s="662">
        <v>1000</v>
      </c>
      <c r="AJ83" s="662">
        <v>1000</v>
      </c>
      <c r="AK83" s="662">
        <v>1000</v>
      </c>
      <c r="AL83" s="658">
        <v>4.0000000000000001E-3</v>
      </c>
      <c r="AM83" s="658">
        <v>0</v>
      </c>
      <c r="AN83" s="659" t="s">
        <v>64</v>
      </c>
      <c r="AO83" s="253" t="s">
        <v>34</v>
      </c>
      <c r="AP83" s="944" t="s">
        <v>1735</v>
      </c>
      <c r="AQ83" s="663" t="s">
        <v>662</v>
      </c>
      <c r="AR83" s="658">
        <v>1.1199999999999999E-3</v>
      </c>
      <c r="AS83" s="658">
        <v>1.1199999999999999E-3</v>
      </c>
      <c r="AT83" s="658" t="s">
        <v>1417</v>
      </c>
      <c r="AU83" s="658" t="s">
        <v>2751</v>
      </c>
      <c r="AX83" s="508"/>
      <c r="AY83" s="509"/>
      <c r="AZ83" s="509"/>
      <c r="BA83" s="509"/>
      <c r="BB83" s="509"/>
      <c r="BC83" s="509"/>
      <c r="BD83" s="509"/>
      <c r="BE83" s="509"/>
      <c r="BF83" s="509"/>
      <c r="BG83" s="509"/>
      <c r="BH83" s="665"/>
      <c r="BI83" s="510"/>
      <c r="BJ83" s="511"/>
      <c r="BK83" s="511"/>
      <c r="BL83" s="511"/>
      <c r="BM83" s="195"/>
      <c r="BN83" s="510"/>
      <c r="BO83" s="510"/>
      <c r="BP83" s="510"/>
      <c r="BQ83" s="510"/>
      <c r="BR83" s="510"/>
      <c r="BS83" s="510"/>
      <c r="BT83" s="510"/>
      <c r="BU83" s="510"/>
      <c r="BV83" s="510"/>
      <c r="BW83" s="512"/>
      <c r="BX83" s="509"/>
      <c r="BY83"/>
      <c r="CA83"/>
    </row>
    <row r="84" spans="2:79" ht="18.75">
      <c r="B84" s="252" t="s">
        <v>771</v>
      </c>
      <c r="C84" s="251">
        <v>30910199000156</v>
      </c>
      <c r="D84" s="252" t="s">
        <v>11</v>
      </c>
      <c r="E84" s="252" t="s">
        <v>621</v>
      </c>
      <c r="F84" s="252" t="s">
        <v>692</v>
      </c>
      <c r="G84" s="253" t="s">
        <v>865</v>
      </c>
      <c r="H84" s="253" t="s">
        <v>34</v>
      </c>
      <c r="I84" s="253" t="s">
        <v>34</v>
      </c>
      <c r="J84" s="253" t="s">
        <v>608</v>
      </c>
      <c r="K84" s="253" t="s">
        <v>48</v>
      </c>
      <c r="L84" s="655" t="s">
        <v>1339</v>
      </c>
      <c r="M84" s="655" t="s">
        <v>34</v>
      </c>
      <c r="N84" s="253" t="s">
        <v>2857</v>
      </c>
      <c r="O84" s="253" t="s">
        <v>1321</v>
      </c>
      <c r="P84" s="656">
        <v>43338</v>
      </c>
      <c r="Q84" s="657">
        <v>462.34535116000001</v>
      </c>
      <c r="R84" s="657">
        <v>787.95064788305183</v>
      </c>
      <c r="S84" s="253">
        <v>31</v>
      </c>
      <c r="T84" s="658">
        <v>4.0688396495034418E-3</v>
      </c>
      <c r="U84" s="659">
        <v>0.2034584628789245</v>
      </c>
      <c r="V84" s="658">
        <v>6.5044141743471728E-2</v>
      </c>
      <c r="W84" s="659">
        <v>0.50443748776140274</v>
      </c>
      <c r="X84" s="658">
        <v>0.15660516226945487</v>
      </c>
      <c r="Y84" s="659">
        <v>0.81105697281362377</v>
      </c>
      <c r="Z84" s="658">
        <v>0.2572405494329888</v>
      </c>
      <c r="AA84" s="659">
        <v>1.1615123402245302</v>
      </c>
      <c r="AB84" s="658">
        <v>3.6904124271183079E-2</v>
      </c>
      <c r="AC84" s="660">
        <v>-1.7315074931398207</v>
      </c>
      <c r="AD84" s="682">
        <v>32319373000116</v>
      </c>
      <c r="AE84" s="944" t="s">
        <v>1754</v>
      </c>
      <c r="AF84" s="661" t="s">
        <v>1729</v>
      </c>
      <c r="AG84" s="662" t="s">
        <v>1433</v>
      </c>
      <c r="AH84" s="662" t="s">
        <v>1734</v>
      </c>
      <c r="AI84" s="662">
        <v>500</v>
      </c>
      <c r="AJ84" s="662">
        <v>100</v>
      </c>
      <c r="AK84" s="662">
        <v>100</v>
      </c>
      <c r="AL84" s="658">
        <v>0.01</v>
      </c>
      <c r="AM84" s="658">
        <v>0</v>
      </c>
      <c r="AN84" s="659" t="s">
        <v>636</v>
      </c>
      <c r="AO84" s="253" t="s">
        <v>34</v>
      </c>
      <c r="AP84" s="944" t="s">
        <v>1735</v>
      </c>
      <c r="AQ84" s="663" t="s">
        <v>675</v>
      </c>
      <c r="AR84" s="658">
        <v>1.9599999999999999E-3</v>
      </c>
      <c r="AS84" s="658">
        <v>1.9599999999999999E-3</v>
      </c>
      <c r="AT84" s="658" t="s">
        <v>1417</v>
      </c>
      <c r="AU84" s="658" t="s">
        <v>2751</v>
      </c>
      <c r="AX84" s="508"/>
      <c r="AY84" s="509"/>
      <c r="AZ84" s="509"/>
      <c r="BA84" s="509"/>
      <c r="BB84" s="509"/>
      <c r="BC84" s="509"/>
      <c r="BD84" s="509"/>
      <c r="BE84" s="509"/>
      <c r="BF84" s="509"/>
      <c r="BG84" s="509"/>
      <c r="BH84" s="665"/>
      <c r="BI84" s="510"/>
      <c r="BJ84" s="511"/>
      <c r="BK84" s="511"/>
      <c r="BL84" s="511"/>
      <c r="BM84" s="195"/>
      <c r="BN84" s="510"/>
      <c r="BO84" s="510"/>
      <c r="BP84" s="510"/>
      <c r="BQ84" s="510"/>
      <c r="BR84" s="510"/>
      <c r="BS84" s="510"/>
      <c r="BT84" s="510"/>
      <c r="BU84" s="510"/>
      <c r="BV84" s="510"/>
      <c r="BW84" s="512"/>
      <c r="BX84" s="509"/>
      <c r="BY84"/>
      <c r="CA84"/>
    </row>
    <row r="85" spans="2:79" ht="18.75">
      <c r="B85" s="252" t="s">
        <v>102</v>
      </c>
      <c r="C85" s="251">
        <v>17012208000123</v>
      </c>
      <c r="D85" s="252" t="s">
        <v>11</v>
      </c>
      <c r="E85" s="252" t="s">
        <v>620</v>
      </c>
      <c r="F85" s="252" t="s">
        <v>663</v>
      </c>
      <c r="G85" s="253" t="s">
        <v>738</v>
      </c>
      <c r="H85" s="253" t="s">
        <v>34</v>
      </c>
      <c r="I85" s="253" t="s">
        <v>1304</v>
      </c>
      <c r="J85" s="253" t="s">
        <v>608</v>
      </c>
      <c r="K85" s="253" t="s">
        <v>48</v>
      </c>
      <c r="L85" s="655" t="s">
        <v>1339</v>
      </c>
      <c r="M85" s="655" t="s">
        <v>34</v>
      </c>
      <c r="N85" s="253" t="s">
        <v>2887</v>
      </c>
      <c r="O85" s="253" t="s">
        <v>1321</v>
      </c>
      <c r="P85" s="656">
        <v>41367</v>
      </c>
      <c r="Q85" s="657">
        <v>876.647876</v>
      </c>
      <c r="R85" s="657">
        <v>842.52133827419334</v>
      </c>
      <c r="S85" s="253">
        <v>179</v>
      </c>
      <c r="T85" s="658">
        <v>-1.1840803792747656E-2</v>
      </c>
      <c r="U85" s="659">
        <v>-0.59208814955816302</v>
      </c>
      <c r="V85" s="658">
        <v>0.11012128896752382</v>
      </c>
      <c r="W85" s="659">
        <v>0.85402474176547194</v>
      </c>
      <c r="X85" s="658">
        <v>0.21671966914506924</v>
      </c>
      <c r="Y85" s="659">
        <v>1.1223895576541509</v>
      </c>
      <c r="Z85" s="658">
        <v>0.26924432296580747</v>
      </c>
      <c r="AA85" s="659">
        <v>1.2157127029525749</v>
      </c>
      <c r="AB85" s="658">
        <v>1.9341416010396833E-2</v>
      </c>
      <c r="AC85" s="660">
        <v>-0.97317696228376305</v>
      </c>
      <c r="AD85" s="682">
        <v>0</v>
      </c>
      <c r="AE85" s="944" t="s">
        <v>1873</v>
      </c>
      <c r="AF85" s="661" t="s">
        <v>1783</v>
      </c>
      <c r="AG85" s="662" t="s">
        <v>736</v>
      </c>
      <c r="AH85" s="662" t="s">
        <v>1730</v>
      </c>
      <c r="AI85" s="662">
        <v>5000</v>
      </c>
      <c r="AJ85" s="662">
        <v>5000</v>
      </c>
      <c r="AK85" s="662">
        <v>5000</v>
      </c>
      <c r="AL85" s="658">
        <v>1.1000000000000001E-2</v>
      </c>
      <c r="AM85" s="658">
        <v>0.2</v>
      </c>
      <c r="AN85" s="659" t="s">
        <v>64</v>
      </c>
      <c r="AO85" s="253" t="s">
        <v>34</v>
      </c>
      <c r="AP85" s="944" t="s">
        <v>1746</v>
      </c>
      <c r="AQ85" s="663" t="s">
        <v>668</v>
      </c>
      <c r="AR85" s="658">
        <v>1.83333333333333E-3</v>
      </c>
      <c r="AS85" s="658">
        <v>1.83333333333333E-3</v>
      </c>
      <c r="AT85" s="658" t="s">
        <v>1417</v>
      </c>
      <c r="AU85" s="658" t="s">
        <v>2751</v>
      </c>
      <c r="AX85" s="508"/>
      <c r="AY85" s="509"/>
      <c r="AZ85" s="509"/>
      <c r="BA85" s="509"/>
      <c r="BB85" s="509"/>
      <c r="BC85" s="509"/>
      <c r="BD85" s="509"/>
      <c r="BE85" s="509"/>
      <c r="BF85" s="509"/>
      <c r="BG85" s="509"/>
      <c r="BH85" s="665"/>
      <c r="BI85" s="510"/>
      <c r="BJ85" s="511"/>
      <c r="BK85" s="511"/>
      <c r="BL85" s="511"/>
      <c r="BM85" s="195"/>
      <c r="BN85" s="510"/>
      <c r="BO85" s="510"/>
      <c r="BP85" s="510"/>
      <c r="BQ85" s="510"/>
      <c r="BR85" s="510"/>
      <c r="BS85" s="510"/>
      <c r="BT85" s="510"/>
      <c r="BU85" s="510"/>
      <c r="BV85" s="510"/>
      <c r="BW85" s="512"/>
      <c r="BX85" s="509"/>
      <c r="BY85"/>
      <c r="CA85"/>
    </row>
    <row r="86" spans="2:79" ht="18.75">
      <c r="B86" s="252" t="s">
        <v>801</v>
      </c>
      <c r="C86" s="251">
        <v>33361657000133</v>
      </c>
      <c r="D86" s="252" t="s">
        <v>13</v>
      </c>
      <c r="E86" s="252" t="s">
        <v>616</v>
      </c>
      <c r="F86" s="252" t="s">
        <v>618</v>
      </c>
      <c r="G86" s="253" t="s">
        <v>34</v>
      </c>
      <c r="H86" s="253" t="s">
        <v>865</v>
      </c>
      <c r="I86" s="253" t="s">
        <v>34</v>
      </c>
      <c r="J86" s="253" t="s">
        <v>611</v>
      </c>
      <c r="K86" s="253" t="s">
        <v>1417</v>
      </c>
      <c r="L86" s="655" t="s">
        <v>1339</v>
      </c>
      <c r="M86" s="655" t="s">
        <v>34</v>
      </c>
      <c r="N86" s="253" t="s">
        <v>2936</v>
      </c>
      <c r="O86" s="253" t="s">
        <v>1321</v>
      </c>
      <c r="P86" s="656">
        <v>43554</v>
      </c>
      <c r="Q86" s="657">
        <v>116.73150569000001</v>
      </c>
      <c r="R86" s="657">
        <v>230.6104252710843</v>
      </c>
      <c r="S86" s="253">
        <v>5</v>
      </c>
      <c r="T86" s="658">
        <v>3.9195973439209109E-2</v>
      </c>
      <c r="U86" s="659">
        <v>1.9599574310965706</v>
      </c>
      <c r="V86" s="658">
        <v>9.4675108601150582E-2</v>
      </c>
      <c r="W86" s="659">
        <v>0.73423482355496927</v>
      </c>
      <c r="X86" s="658">
        <v>0.14679599271264054</v>
      </c>
      <c r="Y86" s="659">
        <v>0.76025535649859688</v>
      </c>
      <c r="Z86" s="658">
        <v>0.23874437791206971</v>
      </c>
      <c r="AA86" s="659">
        <v>1.0779970020874785</v>
      </c>
      <c r="AB86" s="658">
        <v>7.5332040347985102E-2</v>
      </c>
      <c r="AC86" s="660">
        <v>-0.45490339419107945</v>
      </c>
      <c r="AD86" s="682">
        <v>33361873000189</v>
      </c>
      <c r="AE86" s="944" t="s">
        <v>1982</v>
      </c>
      <c r="AF86" s="661" t="s">
        <v>1739</v>
      </c>
      <c r="AG86" s="662" t="s">
        <v>728</v>
      </c>
      <c r="AH86" s="662" t="s">
        <v>1801</v>
      </c>
      <c r="AI86" s="662">
        <v>1</v>
      </c>
      <c r="AJ86" s="662">
        <v>5000</v>
      </c>
      <c r="AK86" s="662">
        <v>500</v>
      </c>
      <c r="AL86" s="658">
        <v>9.0000000000000011E-3</v>
      </c>
      <c r="AM86" s="658">
        <v>0</v>
      </c>
      <c r="AN86" s="659" t="s">
        <v>34</v>
      </c>
      <c r="AO86" s="253" t="s">
        <v>34</v>
      </c>
      <c r="AP86" s="944" t="s">
        <v>1746</v>
      </c>
      <c r="AQ86" s="663" t="s">
        <v>679</v>
      </c>
      <c r="AR86" s="658">
        <v>5.3334000000000003E-3</v>
      </c>
      <c r="AS86" s="658">
        <v>5.3334000000000003E-3</v>
      </c>
      <c r="AT86" s="658" t="s">
        <v>1417</v>
      </c>
      <c r="AU86" s="658" t="s">
        <v>2751</v>
      </c>
      <c r="AX86" s="508"/>
      <c r="AY86" s="509"/>
      <c r="AZ86" s="509"/>
      <c r="BA86" s="509"/>
      <c r="BB86" s="509"/>
      <c r="BC86" s="509"/>
      <c r="BD86" s="509"/>
      <c r="BE86" s="509"/>
      <c r="BF86" s="509"/>
      <c r="BG86" s="509"/>
      <c r="BH86" s="665"/>
      <c r="BI86" s="510"/>
      <c r="BJ86" s="511"/>
      <c r="BK86" s="511"/>
      <c r="BL86" s="511"/>
      <c r="BM86" s="195"/>
      <c r="BN86" s="510"/>
      <c r="BO86" s="510"/>
      <c r="BP86" s="510"/>
      <c r="BQ86" s="510"/>
      <c r="BR86" s="510"/>
      <c r="BS86" s="510"/>
      <c r="BT86" s="510"/>
      <c r="BU86" s="510"/>
      <c r="BV86" s="510"/>
      <c r="BW86" s="512"/>
      <c r="BX86" s="509"/>
      <c r="BY86"/>
      <c r="CA86"/>
    </row>
    <row r="87" spans="2:79" ht="18.75">
      <c r="B87" s="252" t="s">
        <v>849</v>
      </c>
      <c r="C87" s="251">
        <v>33144687000198</v>
      </c>
      <c r="D87" s="252" t="s">
        <v>13</v>
      </c>
      <c r="E87" s="252" t="s">
        <v>616</v>
      </c>
      <c r="F87" s="252" t="s">
        <v>17</v>
      </c>
      <c r="G87" s="253" t="s">
        <v>1417</v>
      </c>
      <c r="H87" s="253" t="s">
        <v>34</v>
      </c>
      <c r="I87" s="253" t="s">
        <v>34</v>
      </c>
      <c r="J87" s="253" t="s">
        <v>611</v>
      </c>
      <c r="K87" s="253" t="s">
        <v>49</v>
      </c>
      <c r="L87" s="655" t="s">
        <v>1339</v>
      </c>
      <c r="M87" s="655" t="s">
        <v>1414</v>
      </c>
      <c r="N87" s="253" t="s">
        <v>3039</v>
      </c>
      <c r="O87" s="253" t="s">
        <v>1321</v>
      </c>
      <c r="P87" s="656">
        <v>43594</v>
      </c>
      <c r="Q87" s="657">
        <v>303.01519889999997</v>
      </c>
      <c r="R87" s="657">
        <v>256.32955652373477</v>
      </c>
      <c r="S87" s="253">
        <v>1</v>
      </c>
      <c r="T87" s="658">
        <v>-1.0436734659237445E-2</v>
      </c>
      <c r="U87" s="659">
        <v>-0.52187900584944158</v>
      </c>
      <c r="V87" s="658">
        <v>3.5826748682597609E-2</v>
      </c>
      <c r="W87" s="659">
        <v>0.27784754500081554</v>
      </c>
      <c r="X87" s="658">
        <v>-3.81147007194097E-2</v>
      </c>
      <c r="Y87" s="659">
        <v>-0.19739575207611887</v>
      </c>
      <c r="Z87" s="658">
        <v>0.19082164718915684</v>
      </c>
      <c r="AA87" s="659">
        <v>0.86161259755011876</v>
      </c>
      <c r="AB87" s="658">
        <v>0.18385117782965996</v>
      </c>
      <c r="AC87" s="660">
        <v>-0.506481176043728</v>
      </c>
      <c r="AD87" s="682">
        <v>0</v>
      </c>
      <c r="AE87" s="944" t="s">
        <v>1747</v>
      </c>
      <c r="AF87" s="661" t="s">
        <v>1745</v>
      </c>
      <c r="AG87" s="662" t="s">
        <v>1432</v>
      </c>
      <c r="AH87" s="662" t="s">
        <v>1734</v>
      </c>
      <c r="AI87" s="662">
        <v>500</v>
      </c>
      <c r="AJ87" s="662">
        <v>500</v>
      </c>
      <c r="AK87" s="662">
        <v>500</v>
      </c>
      <c r="AL87" s="658">
        <v>1E-3</v>
      </c>
      <c r="AM87" s="658">
        <v>0</v>
      </c>
      <c r="AN87" s="659" t="s">
        <v>34</v>
      </c>
      <c r="AO87" s="253" t="s">
        <v>34</v>
      </c>
      <c r="AP87" s="944" t="s">
        <v>1740</v>
      </c>
      <c r="AQ87" s="663" t="s">
        <v>17</v>
      </c>
      <c r="AR87" s="658">
        <v>3.5E-4</v>
      </c>
      <c r="AS87" s="658">
        <v>3.5E-4</v>
      </c>
      <c r="AT87" s="658" t="s">
        <v>1417</v>
      </c>
      <c r="AU87" s="658" t="s">
        <v>2751</v>
      </c>
      <c r="AX87" s="508"/>
      <c r="AY87" s="509"/>
      <c r="AZ87" s="509"/>
      <c r="BA87" s="509"/>
      <c r="BB87" s="509"/>
      <c r="BC87" s="509"/>
      <c r="BD87" s="509"/>
      <c r="BE87" s="509"/>
      <c r="BF87" s="509"/>
      <c r="BG87" s="509"/>
      <c r="BH87" s="665"/>
      <c r="BI87" s="510"/>
      <c r="BJ87" s="511"/>
      <c r="BK87" s="511"/>
      <c r="BL87" s="511"/>
      <c r="BM87" s="195"/>
      <c r="BN87" s="510"/>
      <c r="BO87" s="510"/>
      <c r="BP87" s="510"/>
      <c r="BQ87" s="510"/>
      <c r="BR87" s="510"/>
      <c r="BS87" s="510"/>
      <c r="BT87" s="510"/>
      <c r="BU87" s="510"/>
      <c r="BV87" s="510"/>
      <c r="BW87" s="512"/>
      <c r="BX87" s="509"/>
      <c r="BY87"/>
      <c r="CA87"/>
    </row>
    <row r="88" spans="2:79" ht="18.75">
      <c r="B88" s="252" t="s">
        <v>50</v>
      </c>
      <c r="C88" s="251">
        <v>33600729000158</v>
      </c>
      <c r="D88" s="252" t="s">
        <v>13</v>
      </c>
      <c r="E88" s="252" t="s">
        <v>616</v>
      </c>
      <c r="F88" s="252" t="s">
        <v>699</v>
      </c>
      <c r="G88" s="253" t="s">
        <v>1417</v>
      </c>
      <c r="H88" s="253" t="s">
        <v>34</v>
      </c>
      <c r="I88" s="253" t="s">
        <v>34</v>
      </c>
      <c r="J88" s="253" t="s">
        <v>611</v>
      </c>
      <c r="K88" s="253" t="s">
        <v>48</v>
      </c>
      <c r="L88" s="655" t="s">
        <v>1339</v>
      </c>
      <c r="M88" s="655" t="s">
        <v>1414</v>
      </c>
      <c r="N88" s="253" t="s">
        <v>3059</v>
      </c>
      <c r="O88" s="253" t="s">
        <v>1321</v>
      </c>
      <c r="P88" s="656">
        <v>43637</v>
      </c>
      <c r="Q88" s="657">
        <v>76.918302130000001</v>
      </c>
      <c r="R88" s="657">
        <v>90.839279093453825</v>
      </c>
      <c r="S88" s="253">
        <v>8</v>
      </c>
      <c r="T88" s="658">
        <v>4.7702691525510765E-3</v>
      </c>
      <c r="U88" s="659">
        <v>0.23853277909716525</v>
      </c>
      <c r="V88" s="658">
        <v>2.7508800708135661E-2</v>
      </c>
      <c r="W88" s="659">
        <v>0.21333927927389076</v>
      </c>
      <c r="X88" s="658">
        <v>0.15110145353560567</v>
      </c>
      <c r="Y88" s="659">
        <v>0.78255330613855478</v>
      </c>
      <c r="Z88" s="658">
        <v>0.23479924216777803</v>
      </c>
      <c r="AA88" s="659">
        <v>1.0601836213395519</v>
      </c>
      <c r="AB88" s="658">
        <v>0.15225562659747091</v>
      </c>
      <c r="AC88" s="660">
        <v>-0.66621583060982004</v>
      </c>
      <c r="AD88" s="682">
        <v>0</v>
      </c>
      <c r="AE88" s="944" t="s">
        <v>1747</v>
      </c>
      <c r="AF88" s="661" t="s">
        <v>1745</v>
      </c>
      <c r="AG88" s="662" t="s">
        <v>1432</v>
      </c>
      <c r="AH88" s="662" t="s">
        <v>1734</v>
      </c>
      <c r="AI88" s="662">
        <v>500</v>
      </c>
      <c r="AJ88" s="662">
        <v>500</v>
      </c>
      <c r="AK88" s="662">
        <v>500</v>
      </c>
      <c r="AL88" s="658">
        <v>1E-3</v>
      </c>
      <c r="AM88" s="658">
        <v>0</v>
      </c>
      <c r="AN88" s="659" t="s">
        <v>64</v>
      </c>
      <c r="AO88" s="253" t="s">
        <v>34</v>
      </c>
      <c r="AP88" s="944" t="s">
        <v>1746</v>
      </c>
      <c r="AQ88" s="663" t="s">
        <v>671</v>
      </c>
      <c r="AR88" s="658">
        <v>3.5E-4</v>
      </c>
      <c r="AS88" s="658">
        <v>3.5E-4</v>
      </c>
      <c r="AT88" s="658" t="s">
        <v>1417</v>
      </c>
      <c r="AU88" s="658" t="s">
        <v>2751</v>
      </c>
      <c r="AX88" s="508"/>
      <c r="AY88" s="509"/>
      <c r="AZ88" s="509"/>
      <c r="BA88" s="509"/>
      <c r="BB88" s="509"/>
      <c r="BC88" s="509"/>
      <c r="BD88" s="509"/>
      <c r="BE88" s="509"/>
      <c r="BF88" s="509"/>
      <c r="BG88" s="509"/>
      <c r="BH88" s="665"/>
      <c r="BI88" s="510"/>
      <c r="BJ88" s="511"/>
      <c r="BK88" s="511"/>
      <c r="BL88" s="511"/>
      <c r="BM88" s="195"/>
      <c r="BN88" s="510"/>
      <c r="BO88" s="510"/>
      <c r="BP88" s="510"/>
      <c r="BQ88" s="510"/>
      <c r="BR88" s="510"/>
      <c r="BS88" s="510"/>
      <c r="BT88" s="510"/>
      <c r="BU88" s="510"/>
      <c r="BV88" s="510"/>
      <c r="BW88" s="512"/>
      <c r="BX88" s="509"/>
      <c r="BY88"/>
      <c r="CA88"/>
    </row>
    <row r="89" spans="2:79" ht="18.75">
      <c r="B89" s="252" t="s">
        <v>858</v>
      </c>
      <c r="C89" s="251">
        <v>34979818000110</v>
      </c>
      <c r="D89" s="252" t="s">
        <v>13</v>
      </c>
      <c r="E89" s="252" t="s">
        <v>616</v>
      </c>
      <c r="F89" s="252" t="s">
        <v>699</v>
      </c>
      <c r="G89" s="253" t="s">
        <v>1417</v>
      </c>
      <c r="H89" s="253" t="s">
        <v>34</v>
      </c>
      <c r="I89" s="253" t="s">
        <v>34</v>
      </c>
      <c r="J89" s="253" t="s">
        <v>611</v>
      </c>
      <c r="K89" s="253" t="s">
        <v>49</v>
      </c>
      <c r="L89" s="655" t="s">
        <v>1339</v>
      </c>
      <c r="M89" s="655" t="s">
        <v>1414</v>
      </c>
      <c r="N89" s="253" t="s">
        <v>3060</v>
      </c>
      <c r="O89" s="253" t="s">
        <v>1321</v>
      </c>
      <c r="P89" s="656">
        <v>43792</v>
      </c>
      <c r="Q89" s="657">
        <v>70.82650289</v>
      </c>
      <c r="R89" s="657">
        <v>85.300110443855473</v>
      </c>
      <c r="S89" s="253">
        <v>5</v>
      </c>
      <c r="T89" s="658">
        <v>-2.5338359218778583E-2</v>
      </c>
      <c r="U89" s="659">
        <v>-1.2670205912773844</v>
      </c>
      <c r="V89" s="658">
        <v>-4.8218155009386643E-2</v>
      </c>
      <c r="W89" s="659">
        <v>-0.37394674332629074</v>
      </c>
      <c r="X89" s="658">
        <v>-5.5773392494024465E-2</v>
      </c>
      <c r="Y89" s="659">
        <v>-0.28884998568513043</v>
      </c>
      <c r="Z89" s="658">
        <v>0.23855062776293035</v>
      </c>
      <c r="AA89" s="659">
        <v>1.0771221664923838</v>
      </c>
      <c r="AB89" s="658">
        <v>0.20753733429115981</v>
      </c>
      <c r="AC89" s="660">
        <v>-0.85363949123307847</v>
      </c>
      <c r="AD89" s="682">
        <v>0</v>
      </c>
      <c r="AE89" s="944" t="s">
        <v>1747</v>
      </c>
      <c r="AF89" s="661" t="s">
        <v>1745</v>
      </c>
      <c r="AG89" s="662" t="s">
        <v>1432</v>
      </c>
      <c r="AH89" s="662" t="s">
        <v>1734</v>
      </c>
      <c r="AI89" s="662">
        <v>500</v>
      </c>
      <c r="AJ89" s="662">
        <v>500</v>
      </c>
      <c r="AK89" s="662">
        <v>500</v>
      </c>
      <c r="AL89" s="658">
        <v>1E-3</v>
      </c>
      <c r="AM89" s="658">
        <v>0</v>
      </c>
      <c r="AN89" s="659" t="s">
        <v>34</v>
      </c>
      <c r="AO89" s="253" t="s">
        <v>34</v>
      </c>
      <c r="AP89" s="944" t="s">
        <v>1746</v>
      </c>
      <c r="AQ89" s="663" t="s">
        <v>671</v>
      </c>
      <c r="AR89" s="658">
        <v>3.5E-4</v>
      </c>
      <c r="AS89" s="658">
        <v>3.5E-4</v>
      </c>
      <c r="AT89" s="658" t="s">
        <v>1417</v>
      </c>
      <c r="AU89" s="658" t="s">
        <v>2751</v>
      </c>
      <c r="AX89" s="508"/>
      <c r="AY89" s="509"/>
      <c r="AZ89" s="509"/>
      <c r="BA89" s="509"/>
      <c r="BB89" s="509"/>
      <c r="BC89" s="509"/>
      <c r="BD89" s="509"/>
      <c r="BE89" s="509"/>
      <c r="BF89" s="509"/>
      <c r="BG89" s="509"/>
      <c r="BH89" s="665"/>
      <c r="BI89" s="510"/>
      <c r="BJ89" s="511"/>
      <c r="BK89" s="511"/>
      <c r="BL89" s="511"/>
      <c r="BM89" s="195"/>
      <c r="BN89" s="510"/>
      <c r="BO89" s="510"/>
      <c r="BP89" s="510"/>
      <c r="BQ89" s="510"/>
      <c r="BR89" s="510"/>
      <c r="BS89" s="510"/>
      <c r="BT89" s="510"/>
      <c r="BU89" s="510"/>
      <c r="BV89" s="510"/>
      <c r="BW89" s="512"/>
      <c r="BX89" s="509"/>
      <c r="BY89"/>
      <c r="CA89"/>
    </row>
    <row r="90" spans="2:79" ht="18.75">
      <c r="B90" s="252" t="s">
        <v>864</v>
      </c>
      <c r="C90" s="251">
        <v>9814233000100</v>
      </c>
      <c r="D90" s="252" t="s">
        <v>11</v>
      </c>
      <c r="E90" s="252" t="s">
        <v>621</v>
      </c>
      <c r="F90" s="252" t="s">
        <v>672</v>
      </c>
      <c r="G90" s="253" t="s">
        <v>865</v>
      </c>
      <c r="H90" s="253" t="s">
        <v>34</v>
      </c>
      <c r="I90" s="253" t="s">
        <v>1417</v>
      </c>
      <c r="J90" s="253" t="s">
        <v>608</v>
      </c>
      <c r="K90" s="253" t="s">
        <v>48</v>
      </c>
      <c r="L90" s="655" t="s">
        <v>1339</v>
      </c>
      <c r="M90" s="655" t="s">
        <v>1414</v>
      </c>
      <c r="N90" s="253" t="s">
        <v>3074</v>
      </c>
      <c r="O90" s="253" t="s">
        <v>1321</v>
      </c>
      <c r="P90" s="656">
        <v>39654</v>
      </c>
      <c r="Q90" s="657">
        <v>396.70871499999998</v>
      </c>
      <c r="R90" s="657">
        <v>375.09096531048385</v>
      </c>
      <c r="S90" s="253">
        <v>2</v>
      </c>
      <c r="T90" s="658">
        <v>1.5297419215507313E-2</v>
      </c>
      <c r="U90" s="659">
        <v>0.76493292135055624</v>
      </c>
      <c r="V90" s="658">
        <v>7.9099040033106416E-2</v>
      </c>
      <c r="W90" s="659">
        <v>0.61343758206546728</v>
      </c>
      <c r="X90" s="658">
        <v>8.5158881571676392E-2</v>
      </c>
      <c r="Y90" s="659">
        <v>0.44103721547108471</v>
      </c>
      <c r="Z90" s="658">
        <v>0.1174206892023506</v>
      </c>
      <c r="AA90" s="659">
        <v>0.53018693906081837</v>
      </c>
      <c r="AB90" s="658">
        <v>5.6321926301955656E-2</v>
      </c>
      <c r="AC90" s="660">
        <v>-0.88499937211755453</v>
      </c>
      <c r="AD90" s="682">
        <v>0</v>
      </c>
      <c r="AE90" s="944" t="s">
        <v>1747</v>
      </c>
      <c r="AF90" s="661" t="s">
        <v>1745</v>
      </c>
      <c r="AG90" s="662" t="s">
        <v>1432</v>
      </c>
      <c r="AH90" s="662" t="s">
        <v>1734</v>
      </c>
      <c r="AI90" s="662">
        <v>3000</v>
      </c>
      <c r="AJ90" s="662">
        <v>1000</v>
      </c>
      <c r="AK90" s="662">
        <v>1000</v>
      </c>
      <c r="AL90" s="658">
        <v>2E-3</v>
      </c>
      <c r="AM90" s="658">
        <v>0</v>
      </c>
      <c r="AN90" s="659" t="s">
        <v>2122</v>
      </c>
      <c r="AO90" s="253" t="s">
        <v>34</v>
      </c>
      <c r="AP90" s="944" t="s">
        <v>1735</v>
      </c>
      <c r="AQ90" s="663" t="s">
        <v>680</v>
      </c>
      <c r="AR90" s="658">
        <v>6.9999999999999999E-4</v>
      </c>
      <c r="AS90" s="658">
        <v>6.9999999999999999E-4</v>
      </c>
      <c r="AT90" s="658" t="s">
        <v>1417</v>
      </c>
      <c r="AU90" s="658" t="s">
        <v>2751</v>
      </c>
      <c r="AX90" s="508"/>
      <c r="AY90" s="509"/>
      <c r="AZ90" s="509"/>
      <c r="BA90" s="509"/>
      <c r="BB90" s="509"/>
      <c r="BC90" s="509"/>
      <c r="BD90" s="509"/>
      <c r="BE90" s="509"/>
      <c r="BF90" s="509"/>
      <c r="BG90" s="509"/>
      <c r="BH90" s="665"/>
      <c r="BI90" s="510"/>
      <c r="BJ90" s="511"/>
      <c r="BK90" s="511"/>
      <c r="BL90" s="511"/>
      <c r="BM90" s="195"/>
      <c r="BN90" s="510"/>
      <c r="BO90" s="510"/>
      <c r="BP90" s="510"/>
      <c r="BQ90" s="510"/>
      <c r="BR90" s="510"/>
      <c r="BS90" s="510"/>
      <c r="BT90" s="510"/>
      <c r="BU90" s="510"/>
      <c r="BV90" s="510"/>
      <c r="BW90" s="512"/>
      <c r="BX90" s="509"/>
      <c r="BY90"/>
      <c r="CA90"/>
    </row>
    <row r="91" spans="2:79" ht="18.75">
      <c r="B91" s="252" t="s">
        <v>1380</v>
      </c>
      <c r="C91" s="251">
        <v>20374752000120</v>
      </c>
      <c r="D91" s="252" t="s">
        <v>11</v>
      </c>
      <c r="E91" s="252" t="s">
        <v>621</v>
      </c>
      <c r="F91" s="252" t="s">
        <v>672</v>
      </c>
      <c r="G91" s="253" t="s">
        <v>866</v>
      </c>
      <c r="H91" s="253" t="s">
        <v>34</v>
      </c>
      <c r="I91" s="253" t="s">
        <v>1417</v>
      </c>
      <c r="J91" s="253" t="s">
        <v>608</v>
      </c>
      <c r="K91" s="253" t="s">
        <v>48</v>
      </c>
      <c r="L91" s="655" t="s">
        <v>1339</v>
      </c>
      <c r="M91" s="655" t="s">
        <v>1414</v>
      </c>
      <c r="N91" s="253" t="s">
        <v>3076</v>
      </c>
      <c r="O91" s="253" t="s">
        <v>1321</v>
      </c>
      <c r="P91" s="656">
        <v>41867</v>
      </c>
      <c r="Q91" s="657">
        <v>256.60942399999999</v>
      </c>
      <c r="R91" s="657">
        <v>278.1289047469881</v>
      </c>
      <c r="S91" s="253">
        <v>2</v>
      </c>
      <c r="T91" s="658">
        <v>4.0384078273143498E-3</v>
      </c>
      <c r="U91" s="659">
        <v>0.20193674850859952</v>
      </c>
      <c r="V91" s="658">
        <v>5.1415558650780957E-2</v>
      </c>
      <c r="W91" s="659">
        <v>0.3987435999991823</v>
      </c>
      <c r="X91" s="658">
        <v>3.7897112699709634E-3</v>
      </c>
      <c r="Y91" s="659">
        <v>1.9626886533738671E-2</v>
      </c>
      <c r="Z91" s="658">
        <v>1.0367848560753457E-2</v>
      </c>
      <c r="AA91" s="659">
        <v>4.6813708303135616E-2</v>
      </c>
      <c r="AB91" s="658">
        <v>8.8350883288976723E-2</v>
      </c>
      <c r="AC91" s="660">
        <v>-0.87750510136303728</v>
      </c>
      <c r="AD91" s="682">
        <v>0</v>
      </c>
      <c r="AE91" s="944" t="s">
        <v>1747</v>
      </c>
      <c r="AF91" s="661" t="s">
        <v>1745</v>
      </c>
      <c r="AG91" s="662" t="s">
        <v>1432</v>
      </c>
      <c r="AH91" s="662" t="s">
        <v>1734</v>
      </c>
      <c r="AI91" s="662">
        <v>3000</v>
      </c>
      <c r="AJ91" s="662">
        <v>1000</v>
      </c>
      <c r="AK91" s="662">
        <v>1000</v>
      </c>
      <c r="AL91" s="658">
        <v>2E-3</v>
      </c>
      <c r="AM91" s="658">
        <v>0</v>
      </c>
      <c r="AN91" s="659" t="s">
        <v>2122</v>
      </c>
      <c r="AO91" s="253" t="s">
        <v>34</v>
      </c>
      <c r="AP91" s="944" t="s">
        <v>1735</v>
      </c>
      <c r="AQ91" s="663" t="s">
        <v>680</v>
      </c>
      <c r="AR91" s="658">
        <v>6.9999999999999999E-4</v>
      </c>
      <c r="AS91" s="658">
        <v>6.9999999999999999E-4</v>
      </c>
      <c r="AT91" s="658" t="s">
        <v>1417</v>
      </c>
      <c r="AU91" s="658" t="s">
        <v>2751</v>
      </c>
      <c r="AX91" s="508"/>
      <c r="AY91" s="509"/>
      <c r="AZ91" s="509"/>
      <c r="BA91" s="509"/>
      <c r="BB91" s="509"/>
      <c r="BC91" s="509"/>
      <c r="BD91" s="509"/>
      <c r="BE91" s="509"/>
      <c r="BF91" s="509"/>
      <c r="BG91" s="509"/>
      <c r="BH91" s="665"/>
      <c r="BI91" s="510"/>
      <c r="BJ91" s="511"/>
      <c r="BK91" s="511"/>
      <c r="BL91" s="511"/>
      <c r="BM91" s="195"/>
      <c r="BN91" s="510"/>
      <c r="BO91" s="510"/>
      <c r="BP91" s="510"/>
      <c r="BQ91" s="510"/>
      <c r="BR91" s="510"/>
      <c r="BS91" s="510"/>
      <c r="BT91" s="510"/>
      <c r="BU91" s="510"/>
      <c r="BV91" s="510"/>
      <c r="BW91" s="512"/>
      <c r="BX91" s="509"/>
      <c r="BY91"/>
      <c r="CA91"/>
    </row>
    <row r="92" spans="2:79" ht="18.75">
      <c r="B92" s="252" t="s">
        <v>874</v>
      </c>
      <c r="C92" s="251">
        <v>31964074000171</v>
      </c>
      <c r="D92" s="252" t="s">
        <v>14</v>
      </c>
      <c r="E92" s="252" t="s">
        <v>607</v>
      </c>
      <c r="F92" s="252" t="s">
        <v>1317</v>
      </c>
      <c r="G92" s="253" t="s">
        <v>1417</v>
      </c>
      <c r="H92" s="253" t="s">
        <v>34</v>
      </c>
      <c r="I92" s="253" t="s">
        <v>34</v>
      </c>
      <c r="J92" s="253" t="s">
        <v>696</v>
      </c>
      <c r="K92" s="253" t="s">
        <v>1417</v>
      </c>
      <c r="L92" s="655" t="s">
        <v>1339</v>
      </c>
      <c r="M92" s="655" t="s">
        <v>34</v>
      </c>
      <c r="N92" s="253" t="s">
        <v>3093</v>
      </c>
      <c r="O92" s="253" t="s">
        <v>1321</v>
      </c>
      <c r="P92" s="656">
        <v>43447</v>
      </c>
      <c r="Q92" s="657">
        <v>46.458007690000002</v>
      </c>
      <c r="R92" s="657">
        <v>68.836736717148682</v>
      </c>
      <c r="S92" s="253">
        <v>5</v>
      </c>
      <c r="T92" s="658">
        <v>1.2462345122398855E-2</v>
      </c>
      <c r="U92" s="659">
        <v>0.62316773352800281</v>
      </c>
      <c r="V92" s="658">
        <v>-0.16289022140216336</v>
      </c>
      <c r="W92" s="659">
        <v>-1.2632641751054068</v>
      </c>
      <c r="X92" s="658">
        <v>-0.12301006259354041</v>
      </c>
      <c r="Y92" s="659">
        <v>-0.63706820098988903</v>
      </c>
      <c r="Z92" s="658">
        <v>0.37607338922508426</v>
      </c>
      <c r="AA92" s="659">
        <v>1.6980755303851827</v>
      </c>
      <c r="AB92" s="658">
        <v>0.25879279733675858</v>
      </c>
      <c r="AC92" s="660">
        <v>-1.1276748574621167</v>
      </c>
      <c r="AD92" s="682">
        <v>0</v>
      </c>
      <c r="AE92" s="944" t="s">
        <v>1747</v>
      </c>
      <c r="AF92" s="661" t="s">
        <v>1745</v>
      </c>
      <c r="AG92" s="662" t="s">
        <v>1432</v>
      </c>
      <c r="AH92" s="662" t="s">
        <v>1801</v>
      </c>
      <c r="AI92" s="662">
        <v>5000</v>
      </c>
      <c r="AJ92" s="662">
        <v>5000</v>
      </c>
      <c r="AK92" s="662">
        <v>5000</v>
      </c>
      <c r="AL92" s="658">
        <v>0.01</v>
      </c>
      <c r="AM92" s="658">
        <v>0</v>
      </c>
      <c r="AN92" s="659" t="s">
        <v>34</v>
      </c>
      <c r="AO92" s="253" t="s">
        <v>34</v>
      </c>
      <c r="AP92" s="944" t="s">
        <v>1746</v>
      </c>
      <c r="AQ92" s="663" t="s">
        <v>679</v>
      </c>
      <c r="AR92" s="658">
        <v>4.0000000000000001E-3</v>
      </c>
      <c r="AS92" s="658">
        <v>4.0000000000000001E-3</v>
      </c>
      <c r="AT92" s="658" t="s">
        <v>1417</v>
      </c>
      <c r="AU92" s="658" t="s">
        <v>2751</v>
      </c>
      <c r="AX92" s="508"/>
      <c r="AY92" s="509"/>
      <c r="AZ92" s="509"/>
      <c r="BA92" s="509"/>
      <c r="BB92" s="509"/>
      <c r="BC92" s="509"/>
      <c r="BD92" s="509"/>
      <c r="BE92" s="509"/>
      <c r="BF92" s="509"/>
      <c r="BG92" s="509"/>
      <c r="BH92" s="665"/>
      <c r="BI92" s="510"/>
      <c r="BJ92" s="511"/>
      <c r="BK92" s="511"/>
      <c r="BL92" s="511"/>
      <c r="BM92" s="195"/>
      <c r="BN92" s="510"/>
      <c r="BO92" s="510"/>
      <c r="BP92" s="510"/>
      <c r="BQ92" s="510"/>
      <c r="BR92" s="510"/>
      <c r="BS92" s="510"/>
      <c r="BT92" s="510"/>
      <c r="BU92" s="510"/>
      <c r="BV92" s="510"/>
      <c r="BW92" s="512"/>
      <c r="BX92" s="509"/>
      <c r="BY92"/>
      <c r="CA92"/>
    </row>
    <row r="93" spans="2:79" ht="18.75">
      <c r="B93" s="252" t="s">
        <v>644</v>
      </c>
      <c r="C93" s="251">
        <v>20146294000171</v>
      </c>
      <c r="D93" s="252" t="s">
        <v>11</v>
      </c>
      <c r="E93" s="252" t="s">
        <v>620</v>
      </c>
      <c r="F93" s="252" t="s">
        <v>663</v>
      </c>
      <c r="G93" s="253" t="s">
        <v>738</v>
      </c>
      <c r="H93" s="253" t="s">
        <v>34</v>
      </c>
      <c r="I93" s="253" t="s">
        <v>34</v>
      </c>
      <c r="J93" s="253" t="s">
        <v>608</v>
      </c>
      <c r="K93" s="253" t="s">
        <v>48</v>
      </c>
      <c r="L93" s="655" t="s">
        <v>1339</v>
      </c>
      <c r="M93" s="655" t="s">
        <v>34</v>
      </c>
      <c r="N93" s="253" t="s">
        <v>3138</v>
      </c>
      <c r="O93" s="253" t="s">
        <v>1321</v>
      </c>
      <c r="P93" s="656">
        <v>41951</v>
      </c>
      <c r="Q93" s="657">
        <v>1498.9496160000001</v>
      </c>
      <c r="R93" s="657">
        <v>1282.2563083734944</v>
      </c>
      <c r="S93" s="253">
        <v>45</v>
      </c>
      <c r="T93" s="658">
        <v>-5.5996725601747954E-5</v>
      </c>
      <c r="U93" s="659">
        <v>-2.8000630888894702E-3</v>
      </c>
      <c r="V93" s="658">
        <v>0.11706267056460007</v>
      </c>
      <c r="W93" s="659">
        <v>0.90785730839740553</v>
      </c>
      <c r="X93" s="658">
        <v>0.21409844661466826</v>
      </c>
      <c r="Y93" s="659">
        <v>1.1088142656282087</v>
      </c>
      <c r="Z93" s="658">
        <v>0.25612412311908939</v>
      </c>
      <c r="AA93" s="659">
        <v>1.156471366150249</v>
      </c>
      <c r="AB93" s="658">
        <v>8.2490536099368485E-3</v>
      </c>
      <c r="AC93" s="660">
        <v>-1.4403153918015621</v>
      </c>
      <c r="AD93" s="682">
        <v>20146318000192</v>
      </c>
      <c r="AE93" s="944" t="s">
        <v>1847</v>
      </c>
      <c r="AF93" s="661" t="s">
        <v>1729</v>
      </c>
      <c r="AG93" s="662" t="s">
        <v>1433</v>
      </c>
      <c r="AH93" s="662" t="s">
        <v>1734</v>
      </c>
      <c r="AI93" s="662">
        <v>1000</v>
      </c>
      <c r="AJ93" s="662">
        <v>1000</v>
      </c>
      <c r="AK93" s="662">
        <v>1000</v>
      </c>
      <c r="AL93" s="658">
        <v>7.4999999999999997E-3</v>
      </c>
      <c r="AM93" s="658">
        <v>0.15</v>
      </c>
      <c r="AN93" s="659" t="s">
        <v>64</v>
      </c>
      <c r="AO93" s="253" t="s">
        <v>34</v>
      </c>
      <c r="AP93" s="944" t="s">
        <v>1735</v>
      </c>
      <c r="AQ93" s="663" t="s">
        <v>1374</v>
      </c>
      <c r="AR93" s="658">
        <v>1.65E-3</v>
      </c>
      <c r="AS93" s="658">
        <v>1.65E-3</v>
      </c>
      <c r="AT93" s="658" t="s">
        <v>1417</v>
      </c>
      <c r="AU93" s="658" t="s">
        <v>2751</v>
      </c>
      <c r="AX93" s="508"/>
      <c r="AY93" s="509"/>
      <c r="AZ93" s="509"/>
      <c r="BA93" s="509"/>
      <c r="BB93" s="509"/>
      <c r="BC93" s="509"/>
      <c r="BD93" s="509"/>
      <c r="BE93" s="509"/>
      <c r="BF93" s="509"/>
      <c r="BG93" s="509"/>
      <c r="BH93" s="665"/>
      <c r="BI93" s="510"/>
      <c r="BJ93" s="511"/>
      <c r="BK93" s="511"/>
      <c r="BL93" s="511"/>
      <c r="BM93" s="195"/>
      <c r="BN93" s="510"/>
      <c r="BO93" s="510"/>
      <c r="BP93" s="510"/>
      <c r="BQ93" s="510"/>
      <c r="BR93" s="510"/>
      <c r="BS93" s="510"/>
      <c r="BT93" s="510"/>
      <c r="BU93" s="510"/>
      <c r="BV93" s="510"/>
      <c r="BW93" s="512"/>
      <c r="BX93" s="509"/>
      <c r="BY93"/>
      <c r="CA93"/>
    </row>
    <row r="94" spans="2:79" ht="18.75">
      <c r="B94" s="252" t="s">
        <v>901</v>
      </c>
      <c r="C94" s="251">
        <v>13615411000133</v>
      </c>
      <c r="D94" s="252" t="s">
        <v>11</v>
      </c>
      <c r="E94" s="252" t="s">
        <v>620</v>
      </c>
      <c r="F94" s="252" t="s">
        <v>663</v>
      </c>
      <c r="G94" s="253" t="s">
        <v>738</v>
      </c>
      <c r="H94" s="253" t="s">
        <v>34</v>
      </c>
      <c r="I94" s="253" t="s">
        <v>1417</v>
      </c>
      <c r="J94" s="253" t="s">
        <v>608</v>
      </c>
      <c r="K94" s="253" t="s">
        <v>48</v>
      </c>
      <c r="L94" s="655" t="s">
        <v>1339</v>
      </c>
      <c r="M94" s="655" t="s">
        <v>34</v>
      </c>
      <c r="N94" s="253" t="s">
        <v>3142</v>
      </c>
      <c r="O94" s="253" t="s">
        <v>1321</v>
      </c>
      <c r="P94" s="656">
        <v>40777</v>
      </c>
      <c r="Q94" s="657">
        <v>2020.0233639999999</v>
      </c>
      <c r="R94" s="657">
        <v>2477.9891612064775</v>
      </c>
      <c r="S94" s="253">
        <v>1</v>
      </c>
      <c r="T94" s="658">
        <v>7.9283428326242245E-3</v>
      </c>
      <c r="U94" s="659">
        <v>0.39644925454354607</v>
      </c>
      <c r="V94" s="658">
        <v>0.12086491996825521</v>
      </c>
      <c r="W94" s="659">
        <v>0.93734493150397991</v>
      </c>
      <c r="X94" s="658">
        <v>0.20583818061201087</v>
      </c>
      <c r="Y94" s="659">
        <v>1.0660344093216629</v>
      </c>
      <c r="Z94" s="658">
        <v>0.22370890253741171</v>
      </c>
      <c r="AA94" s="659">
        <v>1.0101076657161274</v>
      </c>
      <c r="AB94" s="658">
        <v>5.5314777666695906E-3</v>
      </c>
      <c r="AC94" s="660">
        <v>-1.4605481246284322</v>
      </c>
      <c r="AD94" s="682">
        <v>13106998000155</v>
      </c>
      <c r="AE94" s="944" t="s">
        <v>1847</v>
      </c>
      <c r="AF94" s="661" t="s">
        <v>1729</v>
      </c>
      <c r="AG94" s="662" t="s">
        <v>1433</v>
      </c>
      <c r="AH94" s="662" t="s">
        <v>1734</v>
      </c>
      <c r="AI94" s="662">
        <v>1000</v>
      </c>
      <c r="AJ94" s="662">
        <v>1000</v>
      </c>
      <c r="AK94" s="662">
        <v>1000</v>
      </c>
      <c r="AL94" s="658">
        <v>8.0000000000000002E-3</v>
      </c>
      <c r="AM94" s="658">
        <v>0</v>
      </c>
      <c r="AN94" s="659" t="s">
        <v>64</v>
      </c>
      <c r="AO94" s="253" t="s">
        <v>34</v>
      </c>
      <c r="AP94" s="944" t="s">
        <v>1735</v>
      </c>
      <c r="AQ94" s="663" t="s">
        <v>1374</v>
      </c>
      <c r="AR94" s="658">
        <v>9.6000000000000002E-4</v>
      </c>
      <c r="AS94" s="658">
        <v>9.6000000000000002E-4</v>
      </c>
      <c r="AT94" s="658" t="s">
        <v>1417</v>
      </c>
      <c r="AU94" s="658" t="s">
        <v>2751</v>
      </c>
      <c r="AX94" s="508"/>
      <c r="AY94" s="509"/>
      <c r="AZ94" s="509"/>
      <c r="BA94" s="509"/>
      <c r="BB94" s="509"/>
      <c r="BC94" s="509"/>
      <c r="BD94" s="509"/>
      <c r="BE94" s="509"/>
      <c r="BF94" s="509"/>
      <c r="BG94" s="509"/>
      <c r="BH94" s="665"/>
      <c r="BI94" s="510"/>
      <c r="BJ94" s="511"/>
      <c r="BK94" s="511"/>
      <c r="BL94" s="511"/>
      <c r="BM94" s="195"/>
      <c r="BN94" s="510"/>
      <c r="BO94" s="510"/>
      <c r="BP94" s="510"/>
      <c r="BQ94" s="510"/>
      <c r="BR94" s="510"/>
      <c r="BS94" s="510"/>
      <c r="BT94" s="510"/>
      <c r="BU94" s="510"/>
      <c r="BV94" s="510"/>
      <c r="BW94" s="512"/>
      <c r="BX94" s="509"/>
      <c r="BY94"/>
      <c r="CA94"/>
    </row>
    <row r="95" spans="2:79" ht="18.75">
      <c r="B95" s="252" t="s">
        <v>173</v>
      </c>
      <c r="C95" s="251">
        <v>31416575000113</v>
      </c>
      <c r="D95" s="252" t="s">
        <v>13</v>
      </c>
      <c r="E95" s="252" t="s">
        <v>616</v>
      </c>
      <c r="F95" s="252" t="s">
        <v>610</v>
      </c>
      <c r="G95" s="253" t="s">
        <v>34</v>
      </c>
      <c r="H95" s="253" t="s">
        <v>865</v>
      </c>
      <c r="I95" s="253" t="s">
        <v>34</v>
      </c>
      <c r="J95" s="253" t="s">
        <v>1417</v>
      </c>
      <c r="K95" s="253" t="s">
        <v>48</v>
      </c>
      <c r="L95" s="655" t="s">
        <v>1339</v>
      </c>
      <c r="M95" s="655" t="s">
        <v>34</v>
      </c>
      <c r="N95" s="253" t="s">
        <v>3162</v>
      </c>
      <c r="O95" s="253" t="s">
        <v>1321</v>
      </c>
      <c r="P95" s="656">
        <v>43448</v>
      </c>
      <c r="Q95" s="657">
        <v>120.45332327</v>
      </c>
      <c r="R95" s="657">
        <v>155.51393037935736</v>
      </c>
      <c r="S95" s="253">
        <v>17</v>
      </c>
      <c r="T95" s="658">
        <v>1.6461775062850181E-2</v>
      </c>
      <c r="U95" s="659">
        <v>0.82315542981765155</v>
      </c>
      <c r="V95" s="658">
        <v>0.11446694746145214</v>
      </c>
      <c r="W95" s="659">
        <v>0.88772667086450907</v>
      </c>
      <c r="X95" s="658">
        <v>0.27381609707385302</v>
      </c>
      <c r="Y95" s="659">
        <v>1.4180915340341649</v>
      </c>
      <c r="Z95" s="658">
        <v>0.2996188784053293</v>
      </c>
      <c r="AA95" s="659">
        <v>1.3528622349746611</v>
      </c>
      <c r="AB95" s="658">
        <v>4.4287013967836568E-2</v>
      </c>
      <c r="AC95" s="660">
        <v>-0.3268895481607792</v>
      </c>
      <c r="AD95" s="682">
        <v>31392821000144</v>
      </c>
      <c r="AE95" s="944" t="s">
        <v>1762</v>
      </c>
      <c r="AF95" s="661" t="s">
        <v>1729</v>
      </c>
      <c r="AG95" s="662" t="s">
        <v>1433</v>
      </c>
      <c r="AH95" s="662" t="s">
        <v>1734</v>
      </c>
      <c r="AI95" s="662">
        <v>1000</v>
      </c>
      <c r="AJ95" s="662">
        <v>1</v>
      </c>
      <c r="AK95" s="662">
        <v>1000</v>
      </c>
      <c r="AL95" s="658">
        <v>1.4999999999999999E-2</v>
      </c>
      <c r="AM95" s="658">
        <v>0.2</v>
      </c>
      <c r="AN95" s="659" t="s">
        <v>64</v>
      </c>
      <c r="AO95" s="253" t="s">
        <v>34</v>
      </c>
      <c r="AP95" s="944" t="s">
        <v>1746</v>
      </c>
      <c r="AQ95" s="663" t="s">
        <v>668</v>
      </c>
      <c r="AR95" s="658">
        <v>5.0000000000000001E-3</v>
      </c>
      <c r="AS95" s="658">
        <v>5.0000000000000001E-3</v>
      </c>
      <c r="AT95" s="658" t="s">
        <v>1417</v>
      </c>
      <c r="AU95" s="658" t="s">
        <v>2751</v>
      </c>
      <c r="AX95" s="508"/>
      <c r="AY95" s="509"/>
      <c r="AZ95" s="509"/>
      <c r="BA95" s="509"/>
      <c r="BB95" s="509"/>
      <c r="BC95" s="509"/>
      <c r="BD95" s="509"/>
      <c r="BE95" s="509"/>
      <c r="BF95" s="509"/>
      <c r="BG95" s="509"/>
      <c r="BH95" s="665"/>
      <c r="BI95" s="510"/>
      <c r="BJ95" s="511"/>
      <c r="BK95" s="511"/>
      <c r="BL95" s="511"/>
      <c r="BM95" s="195"/>
      <c r="BN95" s="510"/>
      <c r="BO95" s="510"/>
      <c r="BP95" s="510"/>
      <c r="BQ95" s="510"/>
      <c r="BR95" s="510"/>
      <c r="BS95" s="510"/>
      <c r="BT95" s="510"/>
      <c r="BU95" s="510"/>
      <c r="BV95" s="510"/>
      <c r="BW95" s="512"/>
      <c r="BX95" s="509"/>
      <c r="BY95"/>
      <c r="CA95"/>
    </row>
    <row r="96" spans="2:79" ht="18.75">
      <c r="B96" s="252" t="s">
        <v>461</v>
      </c>
      <c r="C96" s="251">
        <v>20226378000115</v>
      </c>
      <c r="D96" s="252" t="s">
        <v>13</v>
      </c>
      <c r="E96" s="252" t="s">
        <v>615</v>
      </c>
      <c r="F96" s="252" t="s">
        <v>619</v>
      </c>
      <c r="G96" s="253" t="s">
        <v>34</v>
      </c>
      <c r="H96" s="253" t="s">
        <v>1338</v>
      </c>
      <c r="I96" s="253" t="s">
        <v>34</v>
      </c>
      <c r="J96" s="253" t="s">
        <v>611</v>
      </c>
      <c r="K96" s="253" t="s">
        <v>48</v>
      </c>
      <c r="L96" s="655" t="s">
        <v>1339</v>
      </c>
      <c r="M96" s="655" t="s">
        <v>34</v>
      </c>
      <c r="N96" s="253" t="s">
        <v>3167</v>
      </c>
      <c r="O96" s="253" t="s">
        <v>1321</v>
      </c>
      <c r="P96" s="656">
        <v>41854</v>
      </c>
      <c r="Q96" s="657">
        <v>1059.890492</v>
      </c>
      <c r="R96" s="657">
        <v>944.35972391599989</v>
      </c>
      <c r="S96" s="253">
        <v>31</v>
      </c>
      <c r="T96" s="658">
        <v>1.2439522895118404E-2</v>
      </c>
      <c r="U96" s="659">
        <v>0.62202652972496753</v>
      </c>
      <c r="V96" s="658">
        <v>0.18536805464152262</v>
      </c>
      <c r="W96" s="659">
        <v>1.4375867416833594</v>
      </c>
      <c r="X96" s="658">
        <v>0.28482506004003016</v>
      </c>
      <c r="Y96" s="659">
        <v>1.4751068715094511</v>
      </c>
      <c r="Z96" s="658">
        <v>0.36272396270419649</v>
      </c>
      <c r="AA96" s="659">
        <v>1.6377991716497144</v>
      </c>
      <c r="AB96" s="658">
        <v>7.02428910151391E-2</v>
      </c>
      <c r="AC96" s="660">
        <v>0.80327196644815557</v>
      </c>
      <c r="AD96" s="682">
        <v>20226388000150</v>
      </c>
      <c r="AE96" s="944" t="s">
        <v>1797</v>
      </c>
      <c r="AF96" s="661" t="s">
        <v>1745</v>
      </c>
      <c r="AG96" s="662" t="s">
        <v>1432</v>
      </c>
      <c r="AH96" s="662" t="s">
        <v>1734</v>
      </c>
      <c r="AI96" s="662">
        <v>500</v>
      </c>
      <c r="AJ96" s="662">
        <v>100</v>
      </c>
      <c r="AK96" s="662">
        <v>100</v>
      </c>
      <c r="AL96" s="658">
        <v>0</v>
      </c>
      <c r="AM96" s="658">
        <v>0</v>
      </c>
      <c r="AN96" s="659" t="s">
        <v>34</v>
      </c>
      <c r="AO96" s="253" t="s">
        <v>34</v>
      </c>
      <c r="AP96" s="944" t="s">
        <v>1746</v>
      </c>
      <c r="AQ96" s="663" t="s">
        <v>664</v>
      </c>
      <c r="AR96" s="658">
        <v>4.0000000000000001E-3</v>
      </c>
      <c r="AS96" s="658">
        <v>4.0000000000000001E-3</v>
      </c>
      <c r="AT96" s="658" t="s">
        <v>1417</v>
      </c>
      <c r="AU96" s="658" t="s">
        <v>2751</v>
      </c>
      <c r="AX96" s="508"/>
      <c r="AY96" s="509"/>
      <c r="AZ96" s="509"/>
      <c r="BA96" s="509"/>
      <c r="BB96" s="509"/>
      <c r="BC96" s="509"/>
      <c r="BD96" s="509"/>
      <c r="BE96" s="509"/>
      <c r="BF96" s="509"/>
      <c r="BG96" s="509"/>
      <c r="BH96" s="665"/>
      <c r="BI96" s="510"/>
      <c r="BJ96" s="511"/>
      <c r="BK96" s="511"/>
      <c r="BL96" s="511"/>
      <c r="BM96" s="195"/>
      <c r="BN96" s="510"/>
      <c r="BO96" s="510"/>
      <c r="BP96" s="510"/>
      <c r="BQ96" s="510"/>
      <c r="BR96" s="510"/>
      <c r="BS96" s="510"/>
      <c r="BT96" s="510"/>
      <c r="BU96" s="510"/>
      <c r="BV96" s="510"/>
      <c r="BW96" s="512"/>
      <c r="BX96" s="509"/>
      <c r="BY96"/>
      <c r="CA96"/>
    </row>
    <row r="97" spans="2:79" ht="18.75">
      <c r="B97" s="252" t="s">
        <v>913</v>
      </c>
      <c r="C97" s="251">
        <v>27717327000135</v>
      </c>
      <c r="D97" s="252" t="s">
        <v>14</v>
      </c>
      <c r="E97" s="252" t="s">
        <v>607</v>
      </c>
      <c r="F97" s="252" t="s">
        <v>1317</v>
      </c>
      <c r="G97" s="253" t="s">
        <v>1417</v>
      </c>
      <c r="H97" s="253" t="s">
        <v>34</v>
      </c>
      <c r="I97" s="253" t="s">
        <v>34</v>
      </c>
      <c r="J97" s="253" t="s">
        <v>608</v>
      </c>
      <c r="K97" s="253" t="s">
        <v>48</v>
      </c>
      <c r="L97" s="655" t="s">
        <v>1339</v>
      </c>
      <c r="M97" s="655" t="s">
        <v>34</v>
      </c>
      <c r="N97" s="253" t="s">
        <v>3182</v>
      </c>
      <c r="O97" s="253" t="s">
        <v>1321</v>
      </c>
      <c r="P97" s="656">
        <v>42960</v>
      </c>
      <c r="Q97" s="657">
        <v>55.377531329999997</v>
      </c>
      <c r="R97" s="657">
        <v>86.391691836169343</v>
      </c>
      <c r="S97" s="253">
        <v>62</v>
      </c>
      <c r="T97" s="658">
        <v>-2.8741330519777453E-2</v>
      </c>
      <c r="U97" s="659">
        <v>-1.4371829397019087</v>
      </c>
      <c r="V97" s="658">
        <v>-0.16673779762650909</v>
      </c>
      <c r="W97" s="659">
        <v>-1.2931033217611356</v>
      </c>
      <c r="X97" s="658">
        <v>-0.38595420503595268</v>
      </c>
      <c r="Y97" s="659">
        <v>-1.9988539626972675</v>
      </c>
      <c r="Z97" s="658">
        <v>-0.2617379475778131</v>
      </c>
      <c r="AA97" s="659">
        <v>-1.1818193386959246</v>
      </c>
      <c r="AB97" s="658">
        <v>0.25822288035851443</v>
      </c>
      <c r="AC97" s="660">
        <v>-1.145063933384894</v>
      </c>
      <c r="AD97" s="682">
        <v>34473526000100</v>
      </c>
      <c r="AE97" s="944" t="s">
        <v>1797</v>
      </c>
      <c r="AF97" s="661" t="s">
        <v>1745</v>
      </c>
      <c r="AG97" s="662" t="s">
        <v>1432</v>
      </c>
      <c r="AH97" s="662" t="s">
        <v>1734</v>
      </c>
      <c r="AI97" s="662">
        <v>5000</v>
      </c>
      <c r="AJ97" s="662">
        <v>1000</v>
      </c>
      <c r="AK97" s="662">
        <v>5000</v>
      </c>
      <c r="AL97" s="658">
        <v>0</v>
      </c>
      <c r="AM97" s="658">
        <v>0</v>
      </c>
      <c r="AN97" s="659" t="s">
        <v>34</v>
      </c>
      <c r="AO97" s="253" t="s">
        <v>34</v>
      </c>
      <c r="AP97" s="944" t="s">
        <v>1731</v>
      </c>
      <c r="AQ97" s="663" t="s">
        <v>665</v>
      </c>
      <c r="AR97" s="658">
        <v>5.3333333333333297E-3</v>
      </c>
      <c r="AS97" s="658">
        <v>5.3333333333333297E-3</v>
      </c>
      <c r="AT97" s="658" t="s">
        <v>1417</v>
      </c>
      <c r="AU97" s="658" t="s">
        <v>2751</v>
      </c>
      <c r="AX97" s="508"/>
      <c r="AY97" s="509"/>
      <c r="AZ97" s="509"/>
      <c r="BA97" s="509"/>
      <c r="BB97" s="509"/>
      <c r="BC97" s="509"/>
      <c r="BD97" s="509"/>
      <c r="BE97" s="509"/>
      <c r="BF97" s="509"/>
      <c r="BG97" s="509"/>
      <c r="BH97" s="665"/>
      <c r="BI97" s="510"/>
      <c r="BJ97" s="511"/>
      <c r="BK97" s="511"/>
      <c r="BL97" s="511"/>
      <c r="BM97" s="195"/>
      <c r="BN97" s="510"/>
      <c r="BO97" s="510"/>
      <c r="BP97" s="510"/>
      <c r="BQ97" s="510"/>
      <c r="BR97" s="510"/>
      <c r="BS97" s="510"/>
      <c r="BT97" s="510"/>
      <c r="BU97" s="510"/>
      <c r="BV97" s="510"/>
      <c r="BW97" s="512"/>
      <c r="BX97" s="509"/>
      <c r="BY97"/>
      <c r="CA97"/>
    </row>
    <row r="98" spans="2:79" ht="18.75">
      <c r="B98" s="252" t="s">
        <v>42</v>
      </c>
      <c r="C98" s="251">
        <v>35432385000140</v>
      </c>
      <c r="D98" s="252" t="s">
        <v>13</v>
      </c>
      <c r="E98" s="252" t="s">
        <v>616</v>
      </c>
      <c r="F98" s="252" t="s">
        <v>619</v>
      </c>
      <c r="G98" s="253" t="s">
        <v>34</v>
      </c>
      <c r="H98" s="253" t="s">
        <v>865</v>
      </c>
      <c r="I98" s="253" t="s">
        <v>34</v>
      </c>
      <c r="J98" s="253" t="s">
        <v>611</v>
      </c>
      <c r="K98" s="253" t="s">
        <v>48</v>
      </c>
      <c r="L98" s="655" t="s">
        <v>1339</v>
      </c>
      <c r="M98" s="655" t="s">
        <v>1414</v>
      </c>
      <c r="N98" s="253" t="s">
        <v>3236</v>
      </c>
      <c r="O98" s="253" t="s">
        <v>1321</v>
      </c>
      <c r="P98" s="656">
        <v>43810</v>
      </c>
      <c r="Q98" s="657">
        <v>195.88383228999999</v>
      </c>
      <c r="R98" s="657">
        <v>265.19916627947578</v>
      </c>
      <c r="S98" s="253">
        <v>32</v>
      </c>
      <c r="T98" s="658">
        <v>1.6783335755696793E-3</v>
      </c>
      <c r="U98" s="659">
        <v>8.3923476690748705E-2</v>
      </c>
      <c r="V98" s="658">
        <v>7.8138061592547547E-3</v>
      </c>
      <c r="W98" s="659">
        <v>6.0598489628386057E-2</v>
      </c>
      <c r="X98" s="658">
        <v>1.3594849436221024E-2</v>
      </c>
      <c r="Y98" s="659">
        <v>7.0407624306960875E-2</v>
      </c>
      <c r="Z98" s="658">
        <v>0.3178488017342338</v>
      </c>
      <c r="AA98" s="659">
        <v>1.4351753887699787</v>
      </c>
      <c r="AB98" s="658">
        <v>4.1596426830736249E-2</v>
      </c>
      <c r="AC98" s="660">
        <v>-2.9120314535773701</v>
      </c>
      <c r="AD98" s="682">
        <v>32785900000188</v>
      </c>
      <c r="AE98" s="944" t="s">
        <v>1964</v>
      </c>
      <c r="AF98" s="661" t="s">
        <v>1729</v>
      </c>
      <c r="AG98" s="662" t="s">
        <v>1433</v>
      </c>
      <c r="AH98" s="662" t="s">
        <v>1730</v>
      </c>
      <c r="AI98" s="662">
        <v>500</v>
      </c>
      <c r="AJ98" s="662">
        <v>100</v>
      </c>
      <c r="AK98" s="662">
        <v>100</v>
      </c>
      <c r="AL98" s="658">
        <v>0.02</v>
      </c>
      <c r="AM98" s="658">
        <v>0.15</v>
      </c>
      <c r="AN98" s="659" t="s">
        <v>34</v>
      </c>
      <c r="AO98" s="253" t="s">
        <v>34</v>
      </c>
      <c r="AP98" s="944" t="s">
        <v>1746</v>
      </c>
      <c r="AQ98" s="663" t="s">
        <v>668</v>
      </c>
      <c r="AR98" s="658">
        <v>3.15E-3</v>
      </c>
      <c r="AS98" s="658">
        <v>3.15E-3</v>
      </c>
      <c r="AT98" s="658" t="s">
        <v>1417</v>
      </c>
      <c r="AU98" s="658" t="s">
        <v>2751</v>
      </c>
      <c r="AX98" s="508"/>
      <c r="AY98" s="509"/>
      <c r="AZ98" s="509"/>
      <c r="BA98" s="509"/>
      <c r="BB98" s="509"/>
      <c r="BC98" s="509"/>
      <c r="BD98" s="509"/>
      <c r="BE98" s="509"/>
      <c r="BF98" s="509"/>
      <c r="BG98" s="509"/>
      <c r="BH98" s="665"/>
      <c r="BI98" s="510"/>
      <c r="BJ98" s="511"/>
      <c r="BK98" s="511"/>
      <c r="BL98" s="511"/>
      <c r="BM98" s="195"/>
      <c r="BN98" s="510"/>
      <c r="BO98" s="510"/>
      <c r="BP98" s="510"/>
      <c r="BQ98" s="510"/>
      <c r="BR98" s="510"/>
      <c r="BS98" s="510"/>
      <c r="BT98" s="510"/>
      <c r="BU98" s="510"/>
      <c r="BV98" s="510"/>
      <c r="BW98" s="512"/>
      <c r="BX98" s="509"/>
      <c r="BY98"/>
      <c r="CA98"/>
    </row>
    <row r="99" spans="2:79" ht="18.75">
      <c r="B99" s="252" t="s">
        <v>44</v>
      </c>
      <c r="C99" s="251">
        <v>30317454000151</v>
      </c>
      <c r="D99" s="252" t="s">
        <v>14</v>
      </c>
      <c r="E99" s="252" t="s">
        <v>614</v>
      </c>
      <c r="F99" s="252" t="s">
        <v>1317</v>
      </c>
      <c r="G99" s="253" t="s">
        <v>1417</v>
      </c>
      <c r="H99" s="253" t="s">
        <v>865</v>
      </c>
      <c r="I99" s="253" t="s">
        <v>34</v>
      </c>
      <c r="J99" s="253" t="s">
        <v>608</v>
      </c>
      <c r="K99" s="253" t="s">
        <v>48</v>
      </c>
      <c r="L99" s="655" t="s">
        <v>1339</v>
      </c>
      <c r="M99" s="655" t="s">
        <v>34</v>
      </c>
      <c r="N99" s="253" t="s">
        <v>3237</v>
      </c>
      <c r="O99" s="253" t="s">
        <v>1321</v>
      </c>
      <c r="P99" s="656">
        <v>43252</v>
      </c>
      <c r="Q99" s="657">
        <v>672.42746084999999</v>
      </c>
      <c r="R99" s="657">
        <v>918.27451757704011</v>
      </c>
      <c r="S99" s="253">
        <v>32</v>
      </c>
      <c r="T99" s="658">
        <v>-6.698124761606028E-5</v>
      </c>
      <c r="U99" s="659">
        <v>-3.3493336812472786E-3</v>
      </c>
      <c r="V99" s="658">
        <v>-1.3489220682197711E-2</v>
      </c>
      <c r="W99" s="659">
        <v>-0.10461308905609339</v>
      </c>
      <c r="X99" s="658">
        <v>-7.8970516884808051E-2</v>
      </c>
      <c r="Y99" s="659">
        <v>-0.40898772069796685</v>
      </c>
      <c r="Z99" s="658">
        <v>0.11779947944203006</v>
      </c>
      <c r="AA99" s="659">
        <v>0.53189728192361385</v>
      </c>
      <c r="AB99" s="658">
        <v>0.12925687327873264</v>
      </c>
      <c r="AC99" s="660">
        <v>-1.1019385392515246</v>
      </c>
      <c r="AD99" s="682">
        <v>30317436000170</v>
      </c>
      <c r="AE99" s="944" t="s">
        <v>1964</v>
      </c>
      <c r="AF99" s="661" t="s">
        <v>1729</v>
      </c>
      <c r="AG99" s="662" t="s">
        <v>1433</v>
      </c>
      <c r="AH99" s="662" t="s">
        <v>1734</v>
      </c>
      <c r="AI99" s="662">
        <v>500</v>
      </c>
      <c r="AJ99" s="662">
        <v>100</v>
      </c>
      <c r="AK99" s="662">
        <v>100</v>
      </c>
      <c r="AL99" s="658">
        <v>1.8500000000000003E-2</v>
      </c>
      <c r="AM99" s="658">
        <v>0.2</v>
      </c>
      <c r="AN99" s="659" t="s">
        <v>2127</v>
      </c>
      <c r="AO99" s="253" t="s">
        <v>34</v>
      </c>
      <c r="AP99" s="944" t="s">
        <v>1746</v>
      </c>
      <c r="AQ99" s="663" t="s">
        <v>668</v>
      </c>
      <c r="AR99" s="658">
        <v>4.6249999999999998E-3</v>
      </c>
      <c r="AS99" s="658">
        <v>4.6249999999999998E-3</v>
      </c>
      <c r="AT99" s="658" t="s">
        <v>1417</v>
      </c>
      <c r="AU99" s="658" t="s">
        <v>2751</v>
      </c>
      <c r="AX99" s="508"/>
      <c r="AY99" s="509"/>
      <c r="AZ99" s="509"/>
      <c r="BA99" s="509"/>
      <c r="BB99" s="509"/>
      <c r="BC99" s="509"/>
      <c r="BD99" s="509"/>
      <c r="BE99" s="509"/>
      <c r="BF99" s="509"/>
      <c r="BG99" s="509"/>
      <c r="BH99" s="665"/>
      <c r="BI99" s="510"/>
      <c r="BJ99" s="511"/>
      <c r="BK99" s="511"/>
      <c r="BL99" s="511"/>
      <c r="BM99" s="195"/>
      <c r="BN99" s="510"/>
      <c r="BO99" s="510"/>
      <c r="BP99" s="510"/>
      <c r="BQ99" s="510"/>
      <c r="BR99" s="510"/>
      <c r="BS99" s="510"/>
      <c r="BT99" s="510"/>
      <c r="BU99" s="510"/>
      <c r="BV99" s="510"/>
      <c r="BW99" s="512"/>
      <c r="BX99" s="509"/>
      <c r="BY99"/>
      <c r="CA99"/>
    </row>
    <row r="100" spans="2:79" ht="18.75">
      <c r="B100" s="252" t="s">
        <v>183</v>
      </c>
      <c r="C100" s="251">
        <v>40920066000114</v>
      </c>
      <c r="D100" s="252" t="s">
        <v>14</v>
      </c>
      <c r="E100" s="252" t="s">
        <v>614</v>
      </c>
      <c r="F100" s="252" t="s">
        <v>610</v>
      </c>
      <c r="G100" s="253" t="s">
        <v>1417</v>
      </c>
      <c r="H100" s="253" t="s">
        <v>865</v>
      </c>
      <c r="I100" s="253" t="s">
        <v>34</v>
      </c>
      <c r="J100" s="253" t="s">
        <v>608</v>
      </c>
      <c r="K100" s="253" t="s">
        <v>48</v>
      </c>
      <c r="L100" s="655" t="s">
        <v>1339</v>
      </c>
      <c r="M100" s="655" t="s">
        <v>34</v>
      </c>
      <c r="N100" s="253" t="s">
        <v>3238</v>
      </c>
      <c r="O100" s="253" t="s">
        <v>1321</v>
      </c>
      <c r="P100" s="656">
        <v>44279</v>
      </c>
      <c r="Q100" s="657">
        <v>111.93996235</v>
      </c>
      <c r="R100" s="657">
        <v>95.674687895800034</v>
      </c>
      <c r="S100" s="253">
        <v>32</v>
      </c>
      <c r="T100" s="658">
        <v>-2.1657662750283468E-2</v>
      </c>
      <c r="U100" s="659">
        <v>-1.0829708595816925</v>
      </c>
      <c r="V100" s="658">
        <v>7.467392345753554E-2</v>
      </c>
      <c r="W100" s="659">
        <v>0.57911943090535378</v>
      </c>
      <c r="X100" s="658"/>
      <c r="Y100" s="659"/>
      <c r="Z100" s="658"/>
      <c r="AA100" s="659"/>
      <c r="AB100" s="658">
        <v>0.1144444067001085</v>
      </c>
      <c r="AC100" s="660">
        <v>-0.47420391746590584</v>
      </c>
      <c r="AD100" s="682">
        <v>0</v>
      </c>
      <c r="AE100" s="944" t="s">
        <v>2048</v>
      </c>
      <c r="AF100" s="661" t="s">
        <v>1745</v>
      </c>
      <c r="AG100" s="662" t="s">
        <v>1432</v>
      </c>
      <c r="AH100" s="662" t="s">
        <v>1734</v>
      </c>
      <c r="AI100" s="662">
        <v>500</v>
      </c>
      <c r="AJ100" s="662">
        <v>500</v>
      </c>
      <c r="AK100" s="662">
        <v>500</v>
      </c>
      <c r="AL100" s="658">
        <v>0.02</v>
      </c>
      <c r="AM100" s="658">
        <v>0.2</v>
      </c>
      <c r="AN100" s="659" t="s">
        <v>34</v>
      </c>
      <c r="AO100" s="253" t="s">
        <v>34</v>
      </c>
      <c r="AP100" s="944" t="s">
        <v>1746</v>
      </c>
      <c r="AQ100" s="663" t="s">
        <v>674</v>
      </c>
      <c r="AR100" s="658">
        <v>4.0000000000000001E-3</v>
      </c>
      <c r="AS100" s="658">
        <v>4.0000000000000001E-3</v>
      </c>
      <c r="AT100" s="658" t="s">
        <v>1417</v>
      </c>
      <c r="AU100" s="658" t="s">
        <v>2751</v>
      </c>
      <c r="AX100" s="508"/>
      <c r="AY100" s="509"/>
      <c r="AZ100" s="509"/>
      <c r="BA100" s="509"/>
      <c r="BB100" s="509"/>
      <c r="BC100" s="509"/>
      <c r="BD100" s="509"/>
      <c r="BE100" s="509"/>
      <c r="BF100" s="509"/>
      <c r="BG100" s="509"/>
      <c r="BH100" s="665"/>
      <c r="BI100" s="510"/>
      <c r="BJ100" s="511"/>
      <c r="BK100" s="511"/>
      <c r="BL100" s="511"/>
      <c r="BM100" s="195"/>
      <c r="BN100" s="510"/>
      <c r="BO100" s="510"/>
      <c r="BP100" s="510"/>
      <c r="BQ100" s="510"/>
      <c r="BR100" s="510"/>
      <c r="BS100" s="510"/>
      <c r="BT100" s="510"/>
      <c r="BU100" s="510"/>
      <c r="BV100" s="510"/>
      <c r="BW100" s="512"/>
      <c r="BX100" s="509"/>
      <c r="BY100"/>
      <c r="CA100"/>
    </row>
    <row r="101" spans="2:79" ht="18.75">
      <c r="B101" s="252" t="s">
        <v>24</v>
      </c>
      <c r="C101" s="251">
        <v>24592505000150</v>
      </c>
      <c r="D101" s="252" t="s">
        <v>13</v>
      </c>
      <c r="E101" s="252" t="s">
        <v>615</v>
      </c>
      <c r="F101" s="252" t="s">
        <v>619</v>
      </c>
      <c r="G101" s="253" t="s">
        <v>34</v>
      </c>
      <c r="H101" s="253" t="s">
        <v>1338</v>
      </c>
      <c r="I101" s="253" t="s">
        <v>34</v>
      </c>
      <c r="J101" s="253" t="s">
        <v>611</v>
      </c>
      <c r="K101" s="253" t="s">
        <v>48</v>
      </c>
      <c r="L101" s="655" t="s">
        <v>1339</v>
      </c>
      <c r="M101" s="655" t="s">
        <v>34</v>
      </c>
      <c r="N101" s="253" t="s">
        <v>3332</v>
      </c>
      <c r="O101" s="253" t="s">
        <v>1321</v>
      </c>
      <c r="P101" s="656">
        <v>42652</v>
      </c>
      <c r="Q101" s="657">
        <v>264.24071199999997</v>
      </c>
      <c r="R101" s="657">
        <v>432.63941866666664</v>
      </c>
      <c r="S101" s="253">
        <v>30</v>
      </c>
      <c r="T101" s="658">
        <v>-1.1958896947821374E-2</v>
      </c>
      <c r="U101" s="659">
        <v>-0.59799328563565701</v>
      </c>
      <c r="V101" s="658">
        <v>0.1322521494210962</v>
      </c>
      <c r="W101" s="659">
        <v>1.0256564268021753</v>
      </c>
      <c r="X101" s="658">
        <v>2.1343735979040046E-2</v>
      </c>
      <c r="Y101" s="659">
        <v>0.11053905018729945</v>
      </c>
      <c r="Z101" s="658">
        <v>0.28655213047818373</v>
      </c>
      <c r="AA101" s="659">
        <v>1.2938622483961977</v>
      </c>
      <c r="AB101" s="658">
        <v>6.5811913816818071E-2</v>
      </c>
      <c r="AC101" s="660">
        <v>5.0268101661897498E-2</v>
      </c>
      <c r="AD101" s="682">
        <v>20216114000180</v>
      </c>
      <c r="AE101" s="944" t="s">
        <v>1901</v>
      </c>
      <c r="AF101" s="661" t="s">
        <v>1729</v>
      </c>
      <c r="AG101" s="662" t="s">
        <v>1433</v>
      </c>
      <c r="AH101" s="662" t="s">
        <v>1730</v>
      </c>
      <c r="AI101" s="662">
        <v>500</v>
      </c>
      <c r="AJ101" s="662">
        <v>100</v>
      </c>
      <c r="AK101" s="662">
        <v>500</v>
      </c>
      <c r="AL101" s="658">
        <v>1.95E-2</v>
      </c>
      <c r="AM101" s="658">
        <v>0.2</v>
      </c>
      <c r="AN101" s="659" t="s">
        <v>64</v>
      </c>
      <c r="AO101" s="253" t="s">
        <v>34</v>
      </c>
      <c r="AP101" s="944" t="s">
        <v>1746</v>
      </c>
      <c r="AQ101" s="663" t="s">
        <v>664</v>
      </c>
      <c r="AR101" s="658">
        <v>4.875E-3</v>
      </c>
      <c r="AS101" s="658">
        <v>4.875E-3</v>
      </c>
      <c r="AT101" s="658" t="s">
        <v>1417</v>
      </c>
      <c r="AU101" s="658" t="s">
        <v>2751</v>
      </c>
      <c r="AX101" s="508"/>
      <c r="AY101" s="509"/>
      <c r="AZ101" s="509"/>
      <c r="BA101" s="509"/>
      <c r="BB101" s="509"/>
      <c r="BC101" s="509"/>
      <c r="BD101" s="509"/>
      <c r="BE101" s="509"/>
      <c r="BF101" s="509"/>
      <c r="BG101" s="509"/>
      <c r="BH101" s="665"/>
      <c r="BI101" s="510"/>
      <c r="BJ101" s="511"/>
      <c r="BK101" s="511"/>
      <c r="BL101" s="511"/>
      <c r="BM101" s="195"/>
      <c r="BN101" s="510"/>
      <c r="BO101" s="510"/>
      <c r="BP101" s="510"/>
      <c r="BQ101" s="510"/>
      <c r="BR101" s="510"/>
      <c r="BS101" s="510"/>
      <c r="BT101" s="510"/>
      <c r="BU101" s="510"/>
      <c r="BV101" s="510"/>
      <c r="BW101" s="512"/>
      <c r="BX101" s="509"/>
      <c r="BY101"/>
      <c r="CA101"/>
    </row>
    <row r="102" spans="2:79" ht="18.75">
      <c r="B102" s="252" t="s">
        <v>959</v>
      </c>
      <c r="C102" s="251">
        <v>18391171000154</v>
      </c>
      <c r="D102" s="252" t="s">
        <v>13</v>
      </c>
      <c r="E102" s="252" t="s">
        <v>615</v>
      </c>
      <c r="F102" s="252" t="s">
        <v>619</v>
      </c>
      <c r="G102" s="253" t="s">
        <v>34</v>
      </c>
      <c r="H102" s="253" t="s">
        <v>1338</v>
      </c>
      <c r="I102" s="253" t="s">
        <v>34</v>
      </c>
      <c r="J102" s="253" t="s">
        <v>611</v>
      </c>
      <c r="K102" s="253" t="s">
        <v>49</v>
      </c>
      <c r="L102" s="655" t="s">
        <v>1339</v>
      </c>
      <c r="M102" s="655" t="s">
        <v>34</v>
      </c>
      <c r="N102" s="253" t="s">
        <v>3334</v>
      </c>
      <c r="O102" s="253" t="s">
        <v>1324</v>
      </c>
      <c r="P102" s="656">
        <v>41502</v>
      </c>
      <c r="Q102" s="657">
        <v>30.058111</v>
      </c>
      <c r="R102" s="657">
        <v>32.549962931174086</v>
      </c>
      <c r="S102" s="253">
        <v>30</v>
      </c>
      <c r="T102" s="658">
        <v>-2.1694482239910107E-3</v>
      </c>
      <c r="U102" s="659">
        <v>-0.10848119831964648</v>
      </c>
      <c r="V102" s="658">
        <v>8.2851069866606064E-2</v>
      </c>
      <c r="W102" s="659">
        <v>0.64253573683366916</v>
      </c>
      <c r="X102" s="658">
        <v>1.2329970791657319E-2</v>
      </c>
      <c r="Y102" s="659">
        <v>6.3856827196765401E-2</v>
      </c>
      <c r="Z102" s="658">
        <v>0.39546691678432344</v>
      </c>
      <c r="AA102" s="659">
        <v>1.7856426796164853</v>
      </c>
      <c r="AB102" s="658">
        <v>0.19921576845485173</v>
      </c>
      <c r="AC102" s="660">
        <v>-0.2313714418175101</v>
      </c>
      <c r="AD102" s="682">
        <v>18391155000161</v>
      </c>
      <c r="AE102" s="944" t="s">
        <v>1800</v>
      </c>
      <c r="AF102" s="661" t="s">
        <v>1769</v>
      </c>
      <c r="AG102" s="662" t="s">
        <v>719</v>
      </c>
      <c r="AH102" s="662" t="s">
        <v>1730</v>
      </c>
      <c r="AI102" s="662">
        <v>50000</v>
      </c>
      <c r="AJ102" s="662">
        <v>25000</v>
      </c>
      <c r="AK102" s="662">
        <v>50000</v>
      </c>
      <c r="AL102" s="658">
        <v>1.9799999999999998E-2</v>
      </c>
      <c r="AM102" s="658">
        <v>0.2</v>
      </c>
      <c r="AN102" s="659" t="s">
        <v>2122</v>
      </c>
      <c r="AO102" s="253" t="s">
        <v>34</v>
      </c>
      <c r="AP102" s="944" t="s">
        <v>1746</v>
      </c>
      <c r="AQ102" s="663" t="s">
        <v>668</v>
      </c>
      <c r="AR102" s="658">
        <v>3.9500000000000004E-3</v>
      </c>
      <c r="AS102" s="658">
        <v>3.9500000000000004E-3</v>
      </c>
      <c r="AT102" s="658" t="s">
        <v>1417</v>
      </c>
      <c r="AU102" s="658" t="s">
        <v>2751</v>
      </c>
      <c r="AX102" s="508"/>
      <c r="AY102" s="509"/>
      <c r="AZ102" s="509"/>
      <c r="BA102" s="509"/>
      <c r="BB102" s="509"/>
      <c r="BC102" s="509"/>
      <c r="BD102" s="509"/>
      <c r="BE102" s="509"/>
      <c r="BF102" s="509"/>
      <c r="BG102" s="509"/>
      <c r="BH102" s="665"/>
      <c r="BI102" s="510"/>
      <c r="BJ102" s="511"/>
      <c r="BK102" s="511"/>
      <c r="BL102" s="511"/>
      <c r="BM102" s="195"/>
      <c r="BN102" s="510"/>
      <c r="BO102" s="510"/>
      <c r="BP102" s="510"/>
      <c r="BQ102" s="510"/>
      <c r="BR102" s="510"/>
      <c r="BS102" s="510"/>
      <c r="BT102" s="510"/>
      <c r="BU102" s="510"/>
      <c r="BV102" s="510"/>
      <c r="BW102" s="512"/>
      <c r="BX102" s="509"/>
      <c r="BY102"/>
      <c r="CA102"/>
    </row>
    <row r="103" spans="2:79" ht="18.75">
      <c r="B103" s="252" t="s">
        <v>2663</v>
      </c>
      <c r="C103" s="251">
        <v>36327405000186</v>
      </c>
      <c r="D103" s="252" t="s">
        <v>13</v>
      </c>
      <c r="E103" s="252" t="s">
        <v>616</v>
      </c>
      <c r="F103" s="252" t="s">
        <v>610</v>
      </c>
      <c r="G103" s="253" t="s">
        <v>34</v>
      </c>
      <c r="H103" s="253" t="s">
        <v>1337</v>
      </c>
      <c r="I103" s="253" t="s">
        <v>34</v>
      </c>
      <c r="J103" s="253" t="s">
        <v>608</v>
      </c>
      <c r="K103" s="253" t="s">
        <v>48</v>
      </c>
      <c r="L103" s="655" t="s">
        <v>1339</v>
      </c>
      <c r="M103" s="655" t="s">
        <v>34</v>
      </c>
      <c r="N103" s="253" t="s">
        <v>3350</v>
      </c>
      <c r="O103" s="253" t="s">
        <v>1321</v>
      </c>
      <c r="P103" s="656">
        <v>44167</v>
      </c>
      <c r="Q103" s="657"/>
      <c r="R103" s="657"/>
      <c r="S103" s="253">
        <v>9</v>
      </c>
      <c r="T103" s="658"/>
      <c r="U103" s="659"/>
      <c r="V103" s="658"/>
      <c r="W103" s="659"/>
      <c r="X103" s="658"/>
      <c r="Y103" s="659"/>
      <c r="Z103" s="658"/>
      <c r="AA103" s="659"/>
      <c r="AB103" s="658"/>
      <c r="AC103" s="660"/>
      <c r="AD103" s="682">
        <v>32849296000106</v>
      </c>
      <c r="AE103" s="944" t="s">
        <v>1950</v>
      </c>
      <c r="AF103" s="661" t="s">
        <v>1729</v>
      </c>
      <c r="AG103" s="662" t="s">
        <v>1433</v>
      </c>
      <c r="AH103" s="662" t="s">
        <v>2119</v>
      </c>
      <c r="AI103" s="662">
        <v>5000</v>
      </c>
      <c r="AJ103" s="662">
        <v>100</v>
      </c>
      <c r="AK103" s="662">
        <v>5000</v>
      </c>
      <c r="AL103" s="658">
        <v>1.4500000000000001E-2</v>
      </c>
      <c r="AM103" s="658">
        <v>0.2</v>
      </c>
      <c r="AN103" s="659" t="s">
        <v>34</v>
      </c>
      <c r="AO103" s="253" t="s">
        <v>4400</v>
      </c>
      <c r="AP103" s="944" t="s">
        <v>1746</v>
      </c>
      <c r="AQ103" s="663" t="s">
        <v>2177</v>
      </c>
      <c r="AR103" s="658">
        <v>0</v>
      </c>
      <c r="AS103" s="658">
        <v>0</v>
      </c>
      <c r="AT103" s="658" t="s">
        <v>1417</v>
      </c>
      <c r="AU103" s="658" t="s">
        <v>2751</v>
      </c>
      <c r="AX103" s="508"/>
      <c r="AY103" s="509"/>
      <c r="AZ103" s="509"/>
      <c r="BA103" s="509"/>
      <c r="BB103" s="509"/>
      <c r="BC103" s="509"/>
      <c r="BD103" s="509"/>
      <c r="BE103" s="509"/>
      <c r="BF103" s="509"/>
      <c r="BG103" s="509"/>
      <c r="BH103" s="665"/>
      <c r="BI103" s="510"/>
      <c r="BJ103" s="511"/>
      <c r="BK103" s="511"/>
      <c r="BL103" s="511"/>
      <c r="BM103" s="195"/>
      <c r="BN103" s="510"/>
      <c r="BO103" s="510"/>
      <c r="BP103" s="510"/>
      <c r="BQ103" s="510"/>
      <c r="BR103" s="510"/>
      <c r="BS103" s="510"/>
      <c r="BT103" s="510"/>
      <c r="BU103" s="510"/>
      <c r="BV103" s="510"/>
      <c r="BW103" s="512"/>
      <c r="BX103" s="509"/>
      <c r="BY103"/>
      <c r="CA103"/>
    </row>
    <row r="104" spans="2:79" ht="18.75">
      <c r="B104" s="252" t="s">
        <v>211</v>
      </c>
      <c r="C104" s="251">
        <v>29826089000121</v>
      </c>
      <c r="D104" s="252" t="s">
        <v>13</v>
      </c>
      <c r="E104" s="252" t="s">
        <v>616</v>
      </c>
      <c r="F104" s="252" t="s">
        <v>610</v>
      </c>
      <c r="G104" s="253" t="s">
        <v>34</v>
      </c>
      <c r="H104" s="253" t="s">
        <v>1338</v>
      </c>
      <c r="I104" s="253" t="s">
        <v>34</v>
      </c>
      <c r="J104" s="253" t="s">
        <v>611</v>
      </c>
      <c r="K104" s="253" t="s">
        <v>48</v>
      </c>
      <c r="L104" s="655" t="s">
        <v>1339</v>
      </c>
      <c r="M104" s="655" t="s">
        <v>1414</v>
      </c>
      <c r="N104" s="253" t="s">
        <v>3351</v>
      </c>
      <c r="O104" s="253" t="s">
        <v>1321</v>
      </c>
      <c r="P104" s="656">
        <v>43196</v>
      </c>
      <c r="Q104" s="657">
        <v>202.34143509</v>
      </c>
      <c r="R104" s="657">
        <v>289.95536599923702</v>
      </c>
      <c r="S104" s="253">
        <v>13</v>
      </c>
      <c r="T104" s="658">
        <v>1.8519978083527455E-2</v>
      </c>
      <c r="U104" s="659">
        <v>0.9260739173847059</v>
      </c>
      <c r="V104" s="658">
        <v>3.4408593875260518E-2</v>
      </c>
      <c r="W104" s="659">
        <v>0.26684931473603263</v>
      </c>
      <c r="X104" s="658">
        <v>7.5919352285992225E-2</v>
      </c>
      <c r="Y104" s="659">
        <v>0.39318576189143822</v>
      </c>
      <c r="Z104" s="658">
        <v>0.10237945478367516</v>
      </c>
      <c r="AA104" s="659">
        <v>0.46227159901038617</v>
      </c>
      <c r="AB104" s="658">
        <v>7.6951392551466546E-2</v>
      </c>
      <c r="AC104" s="660">
        <v>-1.228506885152219</v>
      </c>
      <c r="AD104" s="682">
        <v>26450646000164</v>
      </c>
      <c r="AE104" s="944" t="s">
        <v>1950</v>
      </c>
      <c r="AF104" s="661" t="s">
        <v>1729</v>
      </c>
      <c r="AG104" s="662" t="s">
        <v>1433</v>
      </c>
      <c r="AH104" s="662" t="s">
        <v>1734</v>
      </c>
      <c r="AI104" s="662">
        <v>25000</v>
      </c>
      <c r="AJ104" s="662">
        <v>10000</v>
      </c>
      <c r="AK104" s="662">
        <v>20000</v>
      </c>
      <c r="AL104" s="658">
        <v>1.4499999999999999E-2</v>
      </c>
      <c r="AM104" s="658">
        <v>0.2</v>
      </c>
      <c r="AN104" s="659" t="s">
        <v>64</v>
      </c>
      <c r="AO104" s="253" t="s">
        <v>34</v>
      </c>
      <c r="AP104" s="944" t="s">
        <v>1746</v>
      </c>
      <c r="AQ104" s="663" t="s">
        <v>668</v>
      </c>
      <c r="AR104" s="658">
        <v>2.8999999999999998E-3</v>
      </c>
      <c r="AS104" s="658">
        <v>2.8999999999999998E-3</v>
      </c>
      <c r="AT104" s="658" t="s">
        <v>1417</v>
      </c>
      <c r="AU104" s="658" t="s">
        <v>2751</v>
      </c>
      <c r="AX104" s="508"/>
      <c r="AY104" s="509"/>
      <c r="AZ104" s="509"/>
      <c r="BA104" s="509"/>
      <c r="BB104" s="509"/>
      <c r="BC104" s="509"/>
      <c r="BD104" s="509"/>
      <c r="BE104" s="509"/>
      <c r="BF104" s="509"/>
      <c r="BG104" s="509"/>
      <c r="BH104" s="665"/>
      <c r="BI104" s="510"/>
      <c r="BJ104" s="511"/>
      <c r="BK104" s="511"/>
      <c r="BL104" s="511"/>
      <c r="BM104" s="195"/>
      <c r="BN104" s="510"/>
      <c r="BO104" s="510"/>
      <c r="BP104" s="510"/>
      <c r="BQ104" s="510"/>
      <c r="BR104" s="510"/>
      <c r="BS104" s="510"/>
      <c r="BT104" s="510"/>
      <c r="BU104" s="510"/>
      <c r="BV104" s="510"/>
      <c r="BW104" s="512"/>
      <c r="BX104" s="509"/>
      <c r="BY104"/>
      <c r="CA104"/>
    </row>
    <row r="105" spans="2:79" ht="18.75">
      <c r="B105" s="252" t="s">
        <v>25</v>
      </c>
      <c r="C105" s="251">
        <v>38954217000103</v>
      </c>
      <c r="D105" s="252" t="s">
        <v>14</v>
      </c>
      <c r="E105" s="252" t="s">
        <v>614</v>
      </c>
      <c r="F105" s="252" t="s">
        <v>1417</v>
      </c>
      <c r="G105" s="253" t="s">
        <v>1417</v>
      </c>
      <c r="H105" s="253" t="s">
        <v>1338</v>
      </c>
      <c r="I105" s="253" t="s">
        <v>34</v>
      </c>
      <c r="J105" s="253" t="s">
        <v>608</v>
      </c>
      <c r="K105" s="253" t="s">
        <v>48</v>
      </c>
      <c r="L105" s="655" t="s">
        <v>1339</v>
      </c>
      <c r="M105" s="655" t="s">
        <v>34</v>
      </c>
      <c r="N105" s="253" t="s">
        <v>3376</v>
      </c>
      <c r="O105" s="253" t="s">
        <v>1321</v>
      </c>
      <c r="P105" s="656">
        <v>44128</v>
      </c>
      <c r="Q105" s="657">
        <v>91.007135250000005</v>
      </c>
      <c r="R105" s="657">
        <v>114.58284986469883</v>
      </c>
      <c r="S105" s="253">
        <v>32</v>
      </c>
      <c r="T105" s="658">
        <v>-5.7115785813629971E-2</v>
      </c>
      <c r="U105" s="659">
        <v>-2.8560206321183523</v>
      </c>
      <c r="V105" s="658">
        <v>-7.9780965675407489E-2</v>
      </c>
      <c r="W105" s="659">
        <v>-0.61872612686938055</v>
      </c>
      <c r="X105" s="658">
        <v>-6.4376531726750841E-5</v>
      </c>
      <c r="Y105" s="659">
        <v>-3.3340557990483731E-4</v>
      </c>
      <c r="Z105" s="658"/>
      <c r="AA105" s="659"/>
      <c r="AB105" s="658">
        <v>0.22814100526834441</v>
      </c>
      <c r="AC105" s="660">
        <v>-0.91489416765166398</v>
      </c>
      <c r="AD105" s="682">
        <v>38948845000186</v>
      </c>
      <c r="AE105" s="944" t="s">
        <v>2030</v>
      </c>
      <c r="AF105" s="661" t="s">
        <v>1745</v>
      </c>
      <c r="AG105" s="662" t="s">
        <v>1432</v>
      </c>
      <c r="AH105" s="662" t="s">
        <v>1734</v>
      </c>
      <c r="AI105" s="662">
        <v>1000</v>
      </c>
      <c r="AJ105" s="662">
        <v>0</v>
      </c>
      <c r="AK105" s="662">
        <v>1000</v>
      </c>
      <c r="AL105" s="658">
        <v>1.8500000000000003E-2</v>
      </c>
      <c r="AM105" s="658">
        <v>0.2</v>
      </c>
      <c r="AN105" s="659" t="s">
        <v>34</v>
      </c>
      <c r="AO105" s="253" t="s">
        <v>34</v>
      </c>
      <c r="AP105" s="944" t="s">
        <v>1746</v>
      </c>
      <c r="AQ105" s="663" t="s">
        <v>668</v>
      </c>
      <c r="AR105" s="658">
        <v>4.9333333333333304E-3</v>
      </c>
      <c r="AS105" s="658">
        <v>4.9333333333333304E-3</v>
      </c>
      <c r="AT105" s="658" t="s">
        <v>1417</v>
      </c>
      <c r="AU105" s="658" t="s">
        <v>2751</v>
      </c>
      <c r="AX105" s="508"/>
      <c r="AY105" s="509"/>
      <c r="AZ105" s="509"/>
      <c r="BA105" s="509"/>
      <c r="BB105" s="509"/>
      <c r="BC105" s="509"/>
      <c r="BD105" s="509"/>
      <c r="BE105" s="509"/>
      <c r="BF105" s="509"/>
      <c r="BG105" s="509"/>
      <c r="BH105" s="665"/>
      <c r="BI105" s="510"/>
      <c r="BJ105" s="511"/>
      <c r="BK105" s="511"/>
      <c r="BL105" s="511"/>
      <c r="BM105" s="195"/>
      <c r="BN105" s="510"/>
      <c r="BO105" s="510"/>
      <c r="BP105" s="510"/>
      <c r="BQ105" s="510"/>
      <c r="BR105" s="510"/>
      <c r="BS105" s="510"/>
      <c r="BT105" s="510"/>
      <c r="BU105" s="510"/>
      <c r="BV105" s="510"/>
      <c r="BW105" s="512"/>
      <c r="BX105" s="509"/>
      <c r="BY105"/>
      <c r="CA105"/>
    </row>
    <row r="106" spans="2:79" ht="18.75">
      <c r="B106" s="252" t="s">
        <v>19</v>
      </c>
      <c r="C106" s="251">
        <v>37310657000165</v>
      </c>
      <c r="D106" s="252" t="s">
        <v>11</v>
      </c>
      <c r="E106" s="252" t="s">
        <v>620</v>
      </c>
      <c r="F106" s="252" t="s">
        <v>663</v>
      </c>
      <c r="G106" s="253" t="s">
        <v>738</v>
      </c>
      <c r="H106" s="253" t="s">
        <v>34</v>
      </c>
      <c r="I106" s="253" t="s">
        <v>1417</v>
      </c>
      <c r="J106" s="253" t="s">
        <v>608</v>
      </c>
      <c r="K106" s="253" t="s">
        <v>48</v>
      </c>
      <c r="L106" s="655" t="s">
        <v>1339</v>
      </c>
      <c r="M106" s="655" t="s">
        <v>34</v>
      </c>
      <c r="N106" s="253" t="s">
        <v>3387</v>
      </c>
      <c r="O106" s="253" t="s">
        <v>1321</v>
      </c>
      <c r="P106" s="656">
        <v>44045</v>
      </c>
      <c r="Q106" s="657">
        <v>1607.02590403</v>
      </c>
      <c r="R106" s="657">
        <v>1290.9604516769887</v>
      </c>
      <c r="S106" s="253">
        <v>31</v>
      </c>
      <c r="T106" s="658">
        <v>1.0312907369253388E-2</v>
      </c>
      <c r="U106" s="659">
        <v>0.51568713980092484</v>
      </c>
      <c r="V106" s="658">
        <v>0.13733796003400012</v>
      </c>
      <c r="W106" s="659">
        <v>1.065098465086292</v>
      </c>
      <c r="X106" s="658">
        <v>0.23221847475478508</v>
      </c>
      <c r="Y106" s="659">
        <v>1.2026577568493617</v>
      </c>
      <c r="Z106" s="658"/>
      <c r="AA106" s="659"/>
      <c r="AB106" s="658">
        <v>8.8806695880913784E-3</v>
      </c>
      <c r="AC106" s="660">
        <v>0.94520469475273017</v>
      </c>
      <c r="AD106" s="682">
        <v>37322048000126</v>
      </c>
      <c r="AE106" s="944" t="s">
        <v>2023</v>
      </c>
      <c r="AF106" s="661" t="s">
        <v>1769</v>
      </c>
      <c r="AG106" s="662" t="s">
        <v>719</v>
      </c>
      <c r="AH106" s="662" t="s">
        <v>1734</v>
      </c>
      <c r="AI106" s="662">
        <v>1000</v>
      </c>
      <c r="AJ106" s="662">
        <v>100</v>
      </c>
      <c r="AK106" s="662">
        <v>1000</v>
      </c>
      <c r="AL106" s="658">
        <v>8.0000000000000002E-3</v>
      </c>
      <c r="AM106" s="658">
        <v>0.2</v>
      </c>
      <c r="AN106" s="659" t="s">
        <v>64</v>
      </c>
      <c r="AO106" s="253" t="s">
        <v>34</v>
      </c>
      <c r="AP106" s="944" t="s">
        <v>1746</v>
      </c>
      <c r="AQ106" s="663" t="s">
        <v>688</v>
      </c>
      <c r="AR106" s="658">
        <v>1.55293333333333E-3</v>
      </c>
      <c r="AS106" s="658">
        <v>1.55293333333333E-3</v>
      </c>
      <c r="AT106" s="658" t="s">
        <v>1417</v>
      </c>
      <c r="AU106" s="658" t="s">
        <v>2751</v>
      </c>
      <c r="AX106" s="508"/>
      <c r="AY106" s="509"/>
      <c r="AZ106" s="509"/>
      <c r="BA106" s="509"/>
      <c r="BB106" s="509"/>
      <c r="BC106" s="509"/>
      <c r="BD106" s="509"/>
      <c r="BE106" s="509"/>
      <c r="BF106" s="509"/>
      <c r="BG106" s="509"/>
      <c r="BH106" s="665"/>
      <c r="BI106" s="510"/>
      <c r="BJ106" s="511"/>
      <c r="BK106" s="511"/>
      <c r="BL106" s="511"/>
      <c r="BM106" s="195"/>
      <c r="BN106" s="510"/>
      <c r="BO106" s="510"/>
      <c r="BP106" s="510"/>
      <c r="BQ106" s="510"/>
      <c r="BR106" s="510"/>
      <c r="BS106" s="510"/>
      <c r="BT106" s="510"/>
      <c r="BU106" s="510"/>
      <c r="BV106" s="510"/>
      <c r="BW106" s="512"/>
      <c r="BX106" s="509"/>
      <c r="BY106"/>
      <c r="CA106"/>
    </row>
    <row r="107" spans="2:79" ht="18.75">
      <c r="B107" s="252" t="s">
        <v>606</v>
      </c>
      <c r="C107" s="251">
        <v>41545099000194</v>
      </c>
      <c r="D107" s="252" t="s">
        <v>11</v>
      </c>
      <c r="E107" s="252" t="s">
        <v>620</v>
      </c>
      <c r="F107" s="252" t="s">
        <v>663</v>
      </c>
      <c r="G107" s="253" t="s">
        <v>738</v>
      </c>
      <c r="H107" s="253" t="s">
        <v>34</v>
      </c>
      <c r="I107" s="253" t="s">
        <v>1417</v>
      </c>
      <c r="J107" s="253" t="s">
        <v>608</v>
      </c>
      <c r="K107" s="253" t="s">
        <v>48</v>
      </c>
      <c r="L107" s="655" t="s">
        <v>1339</v>
      </c>
      <c r="M107" s="655" t="s">
        <v>34</v>
      </c>
      <c r="N107" s="253" t="s">
        <v>3396</v>
      </c>
      <c r="O107" s="253" t="s">
        <v>1321</v>
      </c>
      <c r="P107" s="656">
        <v>44349</v>
      </c>
      <c r="Q107" s="657">
        <v>213.97395091000001</v>
      </c>
      <c r="R107" s="657">
        <v>172.41618131107992</v>
      </c>
      <c r="S107" s="253">
        <v>121</v>
      </c>
      <c r="T107" s="658">
        <v>-1.6075096787255827E-3</v>
      </c>
      <c r="U107" s="659">
        <v>-8.0381994983856189E-2</v>
      </c>
      <c r="V107" s="658">
        <v>0.13346126447142792</v>
      </c>
      <c r="W107" s="659">
        <v>1.0350334889334478</v>
      </c>
      <c r="X107" s="658"/>
      <c r="Y107" s="659"/>
      <c r="Z107" s="658"/>
      <c r="AA107" s="659"/>
      <c r="AB107" s="658">
        <v>1.503491585911202E-2</v>
      </c>
      <c r="AC107" s="660">
        <v>0.30045761924911557</v>
      </c>
      <c r="AD107" s="682">
        <v>41545043000130</v>
      </c>
      <c r="AE107" s="944" t="s">
        <v>2023</v>
      </c>
      <c r="AF107" s="661" t="s">
        <v>1769</v>
      </c>
      <c r="AG107" s="662" t="s">
        <v>719</v>
      </c>
      <c r="AH107" s="662" t="s">
        <v>1730</v>
      </c>
      <c r="AI107" s="662">
        <v>5000</v>
      </c>
      <c r="AJ107" s="662">
        <v>1000</v>
      </c>
      <c r="AK107" s="662">
        <v>5000</v>
      </c>
      <c r="AL107" s="658">
        <v>1.1599999999999999E-2</v>
      </c>
      <c r="AM107" s="658">
        <v>0.2</v>
      </c>
      <c r="AN107" s="659" t="s">
        <v>64</v>
      </c>
      <c r="AO107" s="253" t="s">
        <v>34</v>
      </c>
      <c r="AP107" s="944" t="s">
        <v>1746</v>
      </c>
      <c r="AQ107" s="663" t="s">
        <v>688</v>
      </c>
      <c r="AR107" s="658">
        <v>2.37026666666667E-3</v>
      </c>
      <c r="AS107" s="658">
        <v>2.37026666666667E-3</v>
      </c>
      <c r="AT107" s="658" t="s">
        <v>1417</v>
      </c>
      <c r="AU107" s="658" t="s">
        <v>2751</v>
      </c>
      <c r="AX107" s="508"/>
      <c r="AY107" s="509"/>
      <c r="AZ107" s="509"/>
      <c r="BA107" s="509"/>
      <c r="BB107" s="509"/>
      <c r="BC107" s="509"/>
      <c r="BD107" s="509"/>
      <c r="BE107" s="509"/>
      <c r="BF107" s="509"/>
      <c r="BG107" s="509"/>
      <c r="BH107" s="665"/>
      <c r="BI107" s="510"/>
      <c r="BJ107" s="511"/>
      <c r="BK107" s="511"/>
      <c r="BL107" s="511"/>
      <c r="BM107" s="195"/>
      <c r="BN107" s="510"/>
      <c r="BO107" s="510"/>
      <c r="BP107" s="510"/>
      <c r="BQ107" s="510"/>
      <c r="BR107" s="510"/>
      <c r="BS107" s="510"/>
      <c r="BT107" s="510"/>
      <c r="BU107" s="510"/>
      <c r="BV107" s="510"/>
      <c r="BW107" s="512"/>
      <c r="BX107" s="509"/>
      <c r="BY107"/>
      <c r="CA107"/>
    </row>
    <row r="108" spans="2:79" ht="18.75">
      <c r="B108" s="252" t="s">
        <v>978</v>
      </c>
      <c r="C108" s="251">
        <v>7900255000150</v>
      </c>
      <c r="D108" s="252" t="s">
        <v>11</v>
      </c>
      <c r="E108" s="252" t="s">
        <v>620</v>
      </c>
      <c r="F108" s="252" t="s">
        <v>663</v>
      </c>
      <c r="G108" s="253" t="s">
        <v>738</v>
      </c>
      <c r="H108" s="253" t="s">
        <v>34</v>
      </c>
      <c r="I108" s="253" t="s">
        <v>1417</v>
      </c>
      <c r="J108" s="253" t="s">
        <v>608</v>
      </c>
      <c r="K108" s="253" t="s">
        <v>48</v>
      </c>
      <c r="L108" s="655" t="s">
        <v>1339</v>
      </c>
      <c r="M108" s="655" t="s">
        <v>1414</v>
      </c>
      <c r="N108" s="253" t="s">
        <v>3397</v>
      </c>
      <c r="O108" s="253" t="s">
        <v>1324</v>
      </c>
      <c r="P108" s="656">
        <v>38856</v>
      </c>
      <c r="Q108" s="657">
        <v>667.20059000000003</v>
      </c>
      <c r="R108" s="657">
        <v>952.74209477142858</v>
      </c>
      <c r="S108" s="253">
        <v>1</v>
      </c>
      <c r="T108" s="658">
        <v>1.7475532334787491E-3</v>
      </c>
      <c r="U108" s="659">
        <v>8.738473995309011E-2</v>
      </c>
      <c r="V108" s="658">
        <v>0.11736393878098905</v>
      </c>
      <c r="W108" s="659">
        <v>0.91019373683114491</v>
      </c>
      <c r="X108" s="658">
        <v>0.19685616597125422</v>
      </c>
      <c r="Y108" s="659">
        <v>1.0195166221764007</v>
      </c>
      <c r="Z108" s="658">
        <v>0.23590679063198672</v>
      </c>
      <c r="AA108" s="659">
        <v>1.0651845094631804</v>
      </c>
      <c r="AB108" s="658">
        <v>7.9576108162631373E-3</v>
      </c>
      <c r="AC108" s="660">
        <v>-1.4552069626392219</v>
      </c>
      <c r="AD108" s="682">
        <v>0</v>
      </c>
      <c r="AE108" s="944" t="s">
        <v>1775</v>
      </c>
      <c r="AF108" s="661" t="s">
        <v>1769</v>
      </c>
      <c r="AG108" s="662" t="s">
        <v>719</v>
      </c>
      <c r="AH108" s="662" t="s">
        <v>1734</v>
      </c>
      <c r="AI108" s="662">
        <v>20000</v>
      </c>
      <c r="AJ108" s="662">
        <v>0</v>
      </c>
      <c r="AK108" s="662">
        <v>20000</v>
      </c>
      <c r="AL108" s="658">
        <v>3.4999999999999996E-3</v>
      </c>
      <c r="AM108" s="658">
        <v>0</v>
      </c>
      <c r="AN108" s="659" t="s">
        <v>64</v>
      </c>
      <c r="AO108" s="253" t="s">
        <v>34</v>
      </c>
      <c r="AP108" s="944" t="s">
        <v>1735</v>
      </c>
      <c r="AQ108" s="663" t="s">
        <v>677</v>
      </c>
      <c r="AR108" s="658">
        <v>8.7500000000000002E-4</v>
      </c>
      <c r="AS108" s="658">
        <v>8.7500000000000002E-4</v>
      </c>
      <c r="AT108" s="658" t="s">
        <v>1417</v>
      </c>
      <c r="AU108" s="658" t="s">
        <v>2751</v>
      </c>
      <c r="AX108" s="508"/>
      <c r="AY108" s="509"/>
      <c r="AZ108" s="509"/>
      <c r="BA108" s="509"/>
      <c r="BB108" s="509"/>
      <c r="BC108" s="509"/>
      <c r="BD108" s="509"/>
      <c r="BE108" s="509"/>
      <c r="BF108" s="509"/>
      <c r="BG108" s="509"/>
      <c r="BH108" s="665"/>
      <c r="BI108" s="510"/>
      <c r="BJ108" s="511"/>
      <c r="BK108" s="511"/>
      <c r="BL108" s="511"/>
      <c r="BM108" s="195"/>
      <c r="BN108" s="510"/>
      <c r="BO108" s="510"/>
      <c r="BP108" s="510"/>
      <c r="BQ108" s="510"/>
      <c r="BR108" s="510"/>
      <c r="BS108" s="510"/>
      <c r="BT108" s="510"/>
      <c r="BU108" s="510"/>
      <c r="BV108" s="510"/>
      <c r="BW108" s="512"/>
      <c r="BX108" s="509"/>
      <c r="BY108"/>
      <c r="CA108"/>
    </row>
    <row r="109" spans="2:79" ht="18.75">
      <c r="B109" s="252" t="s">
        <v>582</v>
      </c>
      <c r="C109" s="251">
        <v>41063334000191</v>
      </c>
      <c r="D109" s="252" t="s">
        <v>14</v>
      </c>
      <c r="E109" s="252" t="s">
        <v>607</v>
      </c>
      <c r="F109" s="252" t="s">
        <v>672</v>
      </c>
      <c r="G109" s="253" t="s">
        <v>1417</v>
      </c>
      <c r="H109" s="253" t="s">
        <v>34</v>
      </c>
      <c r="I109" s="253" t="s">
        <v>34</v>
      </c>
      <c r="J109" s="253" t="s">
        <v>612</v>
      </c>
      <c r="K109" s="253" t="s">
        <v>49</v>
      </c>
      <c r="L109" s="655" t="s">
        <v>1339</v>
      </c>
      <c r="M109" s="655" t="s">
        <v>34</v>
      </c>
      <c r="N109" s="253" t="s">
        <v>3422</v>
      </c>
      <c r="O109" s="253" t="s">
        <v>1321</v>
      </c>
      <c r="P109" s="656">
        <v>44366</v>
      </c>
      <c r="Q109" s="657">
        <v>4.0420729199999998</v>
      </c>
      <c r="R109" s="657">
        <v>4.102660197080005</v>
      </c>
      <c r="S109" s="253">
        <v>5</v>
      </c>
      <c r="T109" s="658">
        <v>1.2067749060122868E-3</v>
      </c>
      <c r="U109" s="659">
        <v>6.0343633214467562E-2</v>
      </c>
      <c r="V109" s="658">
        <v>-0.13412813707813498</v>
      </c>
      <c r="W109" s="659">
        <v>-1.0402052927787646</v>
      </c>
      <c r="X109" s="658"/>
      <c r="Y109" s="659"/>
      <c r="Z109" s="658"/>
      <c r="AA109" s="659"/>
      <c r="AB109" s="658">
        <v>0.31020187896316098</v>
      </c>
      <c r="AC109" s="660">
        <v>-0.84806722449339289</v>
      </c>
      <c r="AD109" s="682">
        <v>42115133000153</v>
      </c>
      <c r="AE109" s="944" t="s">
        <v>1747</v>
      </c>
      <c r="AF109" s="661" t="s">
        <v>1745</v>
      </c>
      <c r="AG109" s="662" t="s">
        <v>1432</v>
      </c>
      <c r="AH109" s="662" t="s">
        <v>1730</v>
      </c>
      <c r="AI109" s="662">
        <v>5000</v>
      </c>
      <c r="AJ109" s="662">
        <v>5000</v>
      </c>
      <c r="AK109" s="662">
        <v>5000</v>
      </c>
      <c r="AL109" s="658">
        <v>0.01</v>
      </c>
      <c r="AM109" s="658">
        <v>0</v>
      </c>
      <c r="AN109" s="659" t="s">
        <v>34</v>
      </c>
      <c r="AO109" s="253" t="s">
        <v>34</v>
      </c>
      <c r="AP109" s="944" t="s">
        <v>1731</v>
      </c>
      <c r="AQ109" s="663" t="s">
        <v>687</v>
      </c>
      <c r="AR109" s="658">
        <v>8.0000000000000002E-3</v>
      </c>
      <c r="AS109" s="658">
        <v>8.0000000000000002E-3</v>
      </c>
      <c r="AT109" s="658" t="s">
        <v>1417</v>
      </c>
      <c r="AU109" s="658" t="s">
        <v>2751</v>
      </c>
      <c r="AX109" s="508"/>
      <c r="AY109" s="509"/>
      <c r="AZ109" s="509"/>
      <c r="BA109" s="509"/>
      <c r="BB109" s="509"/>
      <c r="BC109" s="509"/>
      <c r="BD109" s="509"/>
      <c r="BE109" s="509"/>
      <c r="BF109" s="509"/>
      <c r="BG109" s="509"/>
      <c r="BH109" s="665"/>
      <c r="BI109" s="510"/>
      <c r="BJ109" s="511"/>
      <c r="BK109" s="511"/>
      <c r="BL109" s="511"/>
      <c r="BM109" s="195"/>
      <c r="BN109" s="510"/>
      <c r="BO109" s="510"/>
      <c r="BP109" s="510"/>
      <c r="BQ109" s="510"/>
      <c r="BR109" s="510"/>
      <c r="BS109" s="510"/>
      <c r="BT109" s="510"/>
      <c r="BU109" s="510"/>
      <c r="BV109" s="510"/>
      <c r="BW109" s="512"/>
      <c r="BX109" s="509"/>
      <c r="BY109"/>
      <c r="CA109"/>
    </row>
    <row r="110" spans="2:79" ht="18.75">
      <c r="B110" s="252" t="s">
        <v>990</v>
      </c>
      <c r="C110" s="251">
        <v>35939847000110</v>
      </c>
      <c r="D110" s="252" t="s">
        <v>14</v>
      </c>
      <c r="E110" s="252" t="s">
        <v>607</v>
      </c>
      <c r="F110" s="252" t="s">
        <v>1417</v>
      </c>
      <c r="G110" s="253" t="s">
        <v>1417</v>
      </c>
      <c r="H110" s="253" t="s">
        <v>34</v>
      </c>
      <c r="I110" s="253" t="s">
        <v>34</v>
      </c>
      <c r="J110" s="253" t="s">
        <v>611</v>
      </c>
      <c r="K110" s="253" t="s">
        <v>49</v>
      </c>
      <c r="L110" s="655" t="s">
        <v>1339</v>
      </c>
      <c r="M110" s="655" t="s">
        <v>1414</v>
      </c>
      <c r="N110" s="253" t="s">
        <v>3424</v>
      </c>
      <c r="O110" s="253" t="s">
        <v>1321</v>
      </c>
      <c r="P110" s="656">
        <v>43919</v>
      </c>
      <c r="Q110" s="657">
        <v>69.202491109999997</v>
      </c>
      <c r="R110" s="657">
        <v>92.906461467287485</v>
      </c>
      <c r="S110" s="253">
        <v>14</v>
      </c>
      <c r="T110" s="658">
        <v>1.3634501459697024E-2</v>
      </c>
      <c r="U110" s="659">
        <v>0.68178029808792107</v>
      </c>
      <c r="V110" s="658">
        <v>-0.21347773498202238</v>
      </c>
      <c r="W110" s="659">
        <v>-1.6555860288237876</v>
      </c>
      <c r="X110" s="658">
        <v>-0.2348406540559369</v>
      </c>
      <c r="Y110" s="659">
        <v>-1.2162380039839198</v>
      </c>
      <c r="Z110" s="658"/>
      <c r="AA110" s="659"/>
      <c r="AB110" s="658">
        <v>0.27683126460118823</v>
      </c>
      <c r="AC110" s="660">
        <v>-1.2369327031110957</v>
      </c>
      <c r="AD110" s="682">
        <v>35916505000185</v>
      </c>
      <c r="AE110" s="944" t="s">
        <v>1728</v>
      </c>
      <c r="AF110" s="661" t="s">
        <v>1729</v>
      </c>
      <c r="AG110" s="662" t="s">
        <v>1433</v>
      </c>
      <c r="AH110" s="662" t="s">
        <v>1734</v>
      </c>
      <c r="AI110" s="662">
        <v>20000</v>
      </c>
      <c r="AJ110" s="662">
        <v>5000</v>
      </c>
      <c r="AK110" s="662">
        <v>0</v>
      </c>
      <c r="AL110" s="658">
        <v>1.4999999999999999E-2</v>
      </c>
      <c r="AM110" s="658">
        <v>0.15</v>
      </c>
      <c r="AN110" s="659" t="s">
        <v>34</v>
      </c>
      <c r="AO110" s="253" t="s">
        <v>34</v>
      </c>
      <c r="AP110" s="944" t="s">
        <v>1731</v>
      </c>
      <c r="AQ110" s="663" t="s">
        <v>659</v>
      </c>
      <c r="AR110" s="658">
        <v>2.5000000000000001E-3</v>
      </c>
      <c r="AS110" s="658">
        <v>2.5000000000000001E-3</v>
      </c>
      <c r="AT110" s="658" t="s">
        <v>1417</v>
      </c>
      <c r="AU110" s="658" t="s">
        <v>2751</v>
      </c>
      <c r="AX110" s="508"/>
      <c r="AY110" s="509"/>
      <c r="AZ110" s="509"/>
      <c r="BA110" s="509"/>
      <c r="BB110" s="509"/>
      <c r="BC110" s="509"/>
      <c r="BD110" s="509"/>
      <c r="BE110" s="509"/>
      <c r="BF110" s="509"/>
      <c r="BG110" s="509"/>
      <c r="BH110" s="665"/>
      <c r="BI110" s="510"/>
      <c r="BJ110" s="511"/>
      <c r="BK110" s="511"/>
      <c r="BL110" s="511"/>
      <c r="BM110" s="195"/>
      <c r="BN110" s="510"/>
      <c r="BO110" s="510"/>
      <c r="BP110" s="510"/>
      <c r="BQ110" s="510"/>
      <c r="BR110" s="510"/>
      <c r="BS110" s="510"/>
      <c r="BT110" s="510"/>
      <c r="BU110" s="510"/>
      <c r="BV110" s="510"/>
      <c r="BW110" s="512"/>
      <c r="BX110" s="509"/>
      <c r="BY110"/>
      <c r="CA110"/>
    </row>
    <row r="111" spans="2:79" ht="18.75">
      <c r="B111" s="252" t="s">
        <v>991</v>
      </c>
      <c r="C111" s="251">
        <v>29544764000120</v>
      </c>
      <c r="D111" s="252" t="s">
        <v>14</v>
      </c>
      <c r="E111" s="252" t="s">
        <v>607</v>
      </c>
      <c r="F111" s="252" t="s">
        <v>1417</v>
      </c>
      <c r="G111" s="253" t="s">
        <v>1417</v>
      </c>
      <c r="H111" s="253" t="s">
        <v>34</v>
      </c>
      <c r="I111" s="253" t="s">
        <v>34</v>
      </c>
      <c r="J111" s="253" t="s">
        <v>611</v>
      </c>
      <c r="K111" s="253" t="s">
        <v>48</v>
      </c>
      <c r="L111" s="655" t="s">
        <v>1339</v>
      </c>
      <c r="M111" s="655" t="s">
        <v>1414</v>
      </c>
      <c r="N111" s="253" t="s">
        <v>3425</v>
      </c>
      <c r="O111" s="253" t="s">
        <v>1321</v>
      </c>
      <c r="P111" s="656">
        <v>33059</v>
      </c>
      <c r="Q111" s="657">
        <v>378.07496300000003</v>
      </c>
      <c r="R111" s="657">
        <v>422.06996927188936</v>
      </c>
      <c r="S111" s="253">
        <v>32</v>
      </c>
      <c r="T111" s="658">
        <v>-4.5535538259613428E-3</v>
      </c>
      <c r="U111" s="659">
        <v>-0.22769613498521743</v>
      </c>
      <c r="V111" s="658">
        <v>-0.20467753869836158</v>
      </c>
      <c r="W111" s="659">
        <v>-1.5873377779260402</v>
      </c>
      <c r="X111" s="658">
        <v>-0.19354537133260852</v>
      </c>
      <c r="Y111" s="659">
        <v>-1.0023700413209924</v>
      </c>
      <c r="Z111" s="658">
        <v>5.8406071634637957E-2</v>
      </c>
      <c r="AA111" s="659">
        <v>0.26371959279826546</v>
      </c>
      <c r="AB111" s="658">
        <v>0.22752119105768573</v>
      </c>
      <c r="AC111" s="660">
        <v>-1.4663313188289504</v>
      </c>
      <c r="AD111" s="682">
        <v>11435298000189</v>
      </c>
      <c r="AE111" s="944" t="s">
        <v>1728</v>
      </c>
      <c r="AF111" s="661" t="s">
        <v>1729</v>
      </c>
      <c r="AG111" s="662" t="s">
        <v>1433</v>
      </c>
      <c r="AH111" s="662" t="s">
        <v>1730</v>
      </c>
      <c r="AI111" s="662">
        <v>20000</v>
      </c>
      <c r="AJ111" s="662">
        <v>5000</v>
      </c>
      <c r="AK111" s="662">
        <v>0</v>
      </c>
      <c r="AL111" s="658">
        <v>2.5000000000000001E-2</v>
      </c>
      <c r="AM111" s="658">
        <v>0.2</v>
      </c>
      <c r="AN111" s="659" t="s">
        <v>2141</v>
      </c>
      <c r="AO111" s="253" t="s">
        <v>34</v>
      </c>
      <c r="AP111" s="944" t="s">
        <v>1731</v>
      </c>
      <c r="AQ111" s="663" t="s">
        <v>659</v>
      </c>
      <c r="AR111" s="658">
        <v>3.3340000000000002E-3</v>
      </c>
      <c r="AS111" s="658">
        <v>3.3340000000000002E-3</v>
      </c>
      <c r="AT111" s="658" t="s">
        <v>1417</v>
      </c>
      <c r="AU111" s="658" t="s">
        <v>2751</v>
      </c>
      <c r="AX111" s="508"/>
      <c r="AY111" s="509"/>
      <c r="AZ111" s="509"/>
      <c r="BA111" s="509"/>
      <c r="BB111" s="509"/>
      <c r="BC111" s="509"/>
      <c r="BD111" s="509"/>
      <c r="BE111" s="509"/>
      <c r="BF111" s="509"/>
      <c r="BG111" s="509"/>
      <c r="BH111" s="665"/>
      <c r="BI111" s="510"/>
      <c r="BJ111" s="511"/>
      <c r="BK111" s="511"/>
      <c r="BL111" s="511"/>
      <c r="BM111" s="195"/>
      <c r="BN111" s="510"/>
      <c r="BO111" s="510"/>
      <c r="BP111" s="510"/>
      <c r="BQ111" s="510"/>
      <c r="BR111" s="510"/>
      <c r="BS111" s="510"/>
      <c r="BT111" s="510"/>
      <c r="BU111" s="510"/>
      <c r="BV111" s="510"/>
      <c r="BW111" s="512"/>
      <c r="BX111" s="509"/>
      <c r="BY111"/>
      <c r="CA111"/>
    </row>
    <row r="112" spans="2:79" ht="18.75">
      <c r="B112" s="252" t="s">
        <v>1001</v>
      </c>
      <c r="C112" s="251">
        <v>29993579000112</v>
      </c>
      <c r="D112" s="252" t="s">
        <v>13</v>
      </c>
      <c r="E112" s="252" t="s">
        <v>615</v>
      </c>
      <c r="F112" s="252" t="s">
        <v>619</v>
      </c>
      <c r="G112" s="253" t="s">
        <v>34</v>
      </c>
      <c r="H112" s="253" t="s">
        <v>1337</v>
      </c>
      <c r="I112" s="253" t="s">
        <v>34</v>
      </c>
      <c r="J112" s="253" t="s">
        <v>611</v>
      </c>
      <c r="K112" s="253" t="s">
        <v>48</v>
      </c>
      <c r="L112" s="655" t="s">
        <v>1339</v>
      </c>
      <c r="M112" s="655" t="s">
        <v>34</v>
      </c>
      <c r="N112" s="253" t="s">
        <v>3435</v>
      </c>
      <c r="O112" s="253" t="s">
        <v>1321</v>
      </c>
      <c r="P112" s="656">
        <v>43483</v>
      </c>
      <c r="Q112" s="657">
        <v>14.44955221</v>
      </c>
      <c r="R112" s="657">
        <v>10.637563004493929</v>
      </c>
      <c r="S112" s="253">
        <v>22</v>
      </c>
      <c r="T112" s="658">
        <v>1.7059024650909249E-2</v>
      </c>
      <c r="U112" s="659">
        <v>0.85302032831676022</v>
      </c>
      <c r="V112" s="658">
        <v>0.14432229871650248</v>
      </c>
      <c r="W112" s="659">
        <v>1.1192641772356093</v>
      </c>
      <c r="X112" s="658">
        <v>0.22040050641739128</v>
      </c>
      <c r="Y112" s="659">
        <v>1.1414525865623069</v>
      </c>
      <c r="Z112" s="658">
        <v>0.2706933719813327</v>
      </c>
      <c r="AA112" s="659">
        <v>1.2222555606662309</v>
      </c>
      <c r="AB112" s="658">
        <v>2.4515871690597928E-2</v>
      </c>
      <c r="AC112" s="660">
        <v>0.62728298890599477</v>
      </c>
      <c r="AD112" s="682">
        <v>35825021000120</v>
      </c>
      <c r="AE112" s="944" t="s">
        <v>1815</v>
      </c>
      <c r="AF112" s="661" t="s">
        <v>1767</v>
      </c>
      <c r="AG112" s="662" t="s">
        <v>59</v>
      </c>
      <c r="AH112" s="662" t="s">
        <v>1734</v>
      </c>
      <c r="AI112" s="662">
        <v>500</v>
      </c>
      <c r="AJ112" s="662">
        <v>1</v>
      </c>
      <c r="AK112" s="662">
        <v>500</v>
      </c>
      <c r="AL112" s="658">
        <v>0</v>
      </c>
      <c r="AM112" s="658">
        <v>0</v>
      </c>
      <c r="AN112" s="659" t="s">
        <v>64</v>
      </c>
      <c r="AO112" s="253" t="s">
        <v>34</v>
      </c>
      <c r="AP112" s="944" t="s">
        <v>1746</v>
      </c>
      <c r="AQ112" s="663" t="s">
        <v>686</v>
      </c>
      <c r="AR112" s="658">
        <v>4.6666666666666697E-3</v>
      </c>
      <c r="AS112" s="658">
        <v>4.6666666666666697E-3</v>
      </c>
      <c r="AT112" s="658" t="s">
        <v>1417</v>
      </c>
      <c r="AU112" s="658" t="s">
        <v>2751</v>
      </c>
      <c r="AX112" s="508"/>
      <c r="AY112" s="509"/>
      <c r="AZ112" s="509"/>
      <c r="BA112" s="509"/>
      <c r="BB112" s="509"/>
      <c r="BC112" s="509"/>
      <c r="BD112" s="509"/>
      <c r="BE112" s="509"/>
      <c r="BF112" s="509"/>
      <c r="BG112" s="509"/>
      <c r="BH112" s="665"/>
      <c r="BI112" s="510"/>
      <c r="BJ112" s="511"/>
      <c r="BK112" s="511"/>
      <c r="BL112" s="511"/>
      <c r="BM112" s="195"/>
      <c r="BN112" s="510"/>
      <c r="BO112" s="510"/>
      <c r="BP112" s="510"/>
      <c r="BQ112" s="510"/>
      <c r="BR112" s="510"/>
      <c r="BS112" s="510"/>
      <c r="BT112" s="510"/>
      <c r="BU112" s="510"/>
      <c r="BV112" s="510"/>
      <c r="BW112" s="512"/>
      <c r="BX112" s="509"/>
      <c r="BY112"/>
      <c r="CA112"/>
    </row>
    <row r="113" spans="2:79" ht="18.75">
      <c r="B113" s="252" t="s">
        <v>1002</v>
      </c>
      <c r="C113" s="251">
        <v>37567202000120</v>
      </c>
      <c r="D113" s="252" t="s">
        <v>14</v>
      </c>
      <c r="E113" s="252" t="s">
        <v>614</v>
      </c>
      <c r="F113" s="252" t="s">
        <v>1417</v>
      </c>
      <c r="G113" s="253" t="s">
        <v>1417</v>
      </c>
      <c r="H113" s="253" t="s">
        <v>1337</v>
      </c>
      <c r="I113" s="253" t="s">
        <v>34</v>
      </c>
      <c r="J113" s="253" t="s">
        <v>608</v>
      </c>
      <c r="K113" s="253" t="s">
        <v>48</v>
      </c>
      <c r="L113" s="655" t="s">
        <v>1339</v>
      </c>
      <c r="M113" s="655" t="s">
        <v>34</v>
      </c>
      <c r="N113" s="253" t="s">
        <v>3437</v>
      </c>
      <c r="O113" s="253" t="s">
        <v>1321</v>
      </c>
      <c r="P113" s="656">
        <v>44044</v>
      </c>
      <c r="Q113" s="657">
        <v>28.176565289999999</v>
      </c>
      <c r="R113" s="657">
        <v>31.183815752429144</v>
      </c>
      <c r="S113" s="253">
        <v>23</v>
      </c>
      <c r="T113" s="658">
        <v>1.2455481481799202E-2</v>
      </c>
      <c r="U113" s="659">
        <v>0.62282452369757135</v>
      </c>
      <c r="V113" s="658">
        <v>0.11468391576115788</v>
      </c>
      <c r="W113" s="659">
        <v>0.88940932730510103</v>
      </c>
      <c r="X113" s="658">
        <v>0.20128530619048512</v>
      </c>
      <c r="Y113" s="659">
        <v>1.0424551064914682</v>
      </c>
      <c r="Z113" s="658"/>
      <c r="AA113" s="659"/>
      <c r="AB113" s="658">
        <v>3.239711736855428E-2</v>
      </c>
      <c r="AC113" s="660">
        <v>-0.440162423199778</v>
      </c>
      <c r="AD113" s="682">
        <v>37347996000116</v>
      </c>
      <c r="AE113" s="944" t="s">
        <v>1815</v>
      </c>
      <c r="AF113" s="661" t="s">
        <v>1767</v>
      </c>
      <c r="AG113" s="662" t="s">
        <v>59</v>
      </c>
      <c r="AH113" s="662" t="s">
        <v>1730</v>
      </c>
      <c r="AI113" s="662">
        <v>100</v>
      </c>
      <c r="AJ113" s="662">
        <v>0</v>
      </c>
      <c r="AK113" s="662">
        <v>0</v>
      </c>
      <c r="AL113" s="658">
        <v>0</v>
      </c>
      <c r="AM113" s="658">
        <v>0</v>
      </c>
      <c r="AN113" s="659" t="s">
        <v>2122</v>
      </c>
      <c r="AO113" s="253" t="s">
        <v>34</v>
      </c>
      <c r="AP113" s="944" t="s">
        <v>1746</v>
      </c>
      <c r="AQ113" s="663" t="s">
        <v>668</v>
      </c>
      <c r="AR113" s="658">
        <v>4.6666666666666697E-3</v>
      </c>
      <c r="AS113" s="658">
        <v>4.6666666666666697E-3</v>
      </c>
      <c r="AT113" s="658" t="s">
        <v>1417</v>
      </c>
      <c r="AU113" s="658" t="s">
        <v>2751</v>
      </c>
      <c r="AX113" s="508"/>
      <c r="AY113" s="509"/>
      <c r="AZ113" s="509"/>
      <c r="BA113" s="509"/>
      <c r="BB113" s="509"/>
      <c r="BC113" s="509"/>
      <c r="BD113" s="509"/>
      <c r="BE113" s="509"/>
      <c r="BF113" s="509"/>
      <c r="BG113" s="509"/>
      <c r="BH113" s="665"/>
      <c r="BI113" s="510"/>
      <c r="BJ113" s="511"/>
      <c r="BK113" s="511"/>
      <c r="BL113" s="511"/>
      <c r="BM113" s="195"/>
      <c r="BN113" s="510"/>
      <c r="BO113" s="510"/>
      <c r="BP113" s="510"/>
      <c r="BQ113" s="510"/>
      <c r="BR113" s="510"/>
      <c r="BS113" s="510"/>
      <c r="BT113" s="510"/>
      <c r="BU113" s="510"/>
      <c r="BV113" s="510"/>
      <c r="BW113" s="512"/>
      <c r="BX113" s="509"/>
      <c r="BY113"/>
      <c r="CA113"/>
    </row>
    <row r="114" spans="2:79" ht="18.75">
      <c r="B114" s="252" t="s">
        <v>1007</v>
      </c>
      <c r="C114" s="251">
        <v>20824446000148</v>
      </c>
      <c r="D114" s="252" t="s">
        <v>11</v>
      </c>
      <c r="E114" s="252" t="s">
        <v>620</v>
      </c>
      <c r="F114" s="252" t="s">
        <v>663</v>
      </c>
      <c r="G114" s="253" t="s">
        <v>738</v>
      </c>
      <c r="H114" s="253" t="s">
        <v>34</v>
      </c>
      <c r="I114" s="253" t="s">
        <v>1417</v>
      </c>
      <c r="J114" s="253" t="s">
        <v>608</v>
      </c>
      <c r="K114" s="253" t="s">
        <v>48</v>
      </c>
      <c r="L114" s="655" t="s">
        <v>1339</v>
      </c>
      <c r="M114" s="655" t="s">
        <v>1414</v>
      </c>
      <c r="N114" s="253" t="s">
        <v>3452</v>
      </c>
      <c r="O114" s="253" t="s">
        <v>1321</v>
      </c>
      <c r="P114" s="656">
        <v>41994</v>
      </c>
      <c r="Q114" s="657">
        <v>620.50916700000005</v>
      </c>
      <c r="R114" s="657">
        <v>520.47274502400001</v>
      </c>
      <c r="S114" s="253">
        <v>46</v>
      </c>
      <c r="T114" s="658">
        <v>6.6682510737920975E-3</v>
      </c>
      <c r="U114" s="659">
        <v>0.33343956273382513</v>
      </c>
      <c r="V114" s="658">
        <v>0.13064703849599835</v>
      </c>
      <c r="W114" s="659">
        <v>1.0132082938738012</v>
      </c>
      <c r="X114" s="658">
        <v>0.22235553250637774</v>
      </c>
      <c r="Y114" s="659">
        <v>1.1515776521637635</v>
      </c>
      <c r="Z114" s="658">
        <v>0.25039782280901068</v>
      </c>
      <c r="AA114" s="659">
        <v>1.1306155339781887</v>
      </c>
      <c r="AB114" s="658">
        <v>4.2144026044125928E-3</v>
      </c>
      <c r="AC114" s="660">
        <v>0.40412110779989863</v>
      </c>
      <c r="AD114" s="682">
        <v>20833920000106</v>
      </c>
      <c r="AE114" s="944" t="s">
        <v>1910</v>
      </c>
      <c r="AF114" s="661" t="s">
        <v>1729</v>
      </c>
      <c r="AG114" s="662" t="s">
        <v>1433</v>
      </c>
      <c r="AH114" s="662" t="s">
        <v>1734</v>
      </c>
      <c r="AI114" s="662">
        <v>100000</v>
      </c>
      <c r="AJ114" s="662">
        <v>50000</v>
      </c>
      <c r="AK114" s="662">
        <v>100000</v>
      </c>
      <c r="AL114" s="658">
        <v>6.0000000000000001E-3</v>
      </c>
      <c r="AM114" s="658">
        <v>0.2</v>
      </c>
      <c r="AN114" s="659" t="s">
        <v>2127</v>
      </c>
      <c r="AO114" s="253" t="s">
        <v>34</v>
      </c>
      <c r="AP114" s="944" t="s">
        <v>1735</v>
      </c>
      <c r="AQ114" s="663" t="s">
        <v>675</v>
      </c>
      <c r="AR114" s="658">
        <v>0</v>
      </c>
      <c r="AS114" s="658">
        <v>0</v>
      </c>
      <c r="AT114" s="658" t="s">
        <v>1417</v>
      </c>
      <c r="AU114" s="658" t="s">
        <v>2751</v>
      </c>
      <c r="AX114" s="508"/>
      <c r="AY114" s="509"/>
      <c r="AZ114" s="509"/>
      <c r="BA114" s="509"/>
      <c r="BB114" s="509"/>
      <c r="BC114" s="509"/>
      <c r="BD114" s="509"/>
      <c r="BE114" s="509"/>
      <c r="BF114" s="509"/>
      <c r="BG114" s="509"/>
      <c r="BH114" s="665"/>
      <c r="BI114" s="510"/>
      <c r="BJ114" s="511"/>
      <c r="BK114" s="511"/>
      <c r="BL114" s="511"/>
      <c r="BM114" s="195"/>
      <c r="BN114" s="510"/>
      <c r="BO114" s="510"/>
      <c r="BP114" s="510"/>
      <c r="BQ114" s="510"/>
      <c r="BR114" s="510"/>
      <c r="BS114" s="510"/>
      <c r="BT114" s="510"/>
      <c r="BU114" s="510"/>
      <c r="BV114" s="510"/>
      <c r="BW114" s="512"/>
      <c r="BX114" s="509"/>
      <c r="BY114"/>
      <c r="CA114"/>
    </row>
    <row r="115" spans="2:79" ht="18.75">
      <c r="B115" s="252" t="s">
        <v>243</v>
      </c>
      <c r="C115" s="251">
        <v>19488866000111</v>
      </c>
      <c r="D115" s="252" t="s">
        <v>11</v>
      </c>
      <c r="E115" s="252" t="s">
        <v>620</v>
      </c>
      <c r="F115" s="252" t="s">
        <v>663</v>
      </c>
      <c r="G115" s="253" t="s">
        <v>738</v>
      </c>
      <c r="H115" s="253" t="s">
        <v>34</v>
      </c>
      <c r="I115" s="253" t="s">
        <v>1417</v>
      </c>
      <c r="J115" s="253" t="s">
        <v>608</v>
      </c>
      <c r="K115" s="253" t="s">
        <v>48</v>
      </c>
      <c r="L115" s="655" t="s">
        <v>1339</v>
      </c>
      <c r="M115" s="655" t="s">
        <v>34</v>
      </c>
      <c r="N115" s="253" t="s">
        <v>3453</v>
      </c>
      <c r="O115" s="253" t="s">
        <v>1321</v>
      </c>
      <c r="P115" s="656">
        <v>42553</v>
      </c>
      <c r="Q115" s="657">
        <v>593.17287099999999</v>
      </c>
      <c r="R115" s="657">
        <v>544.6216097510038</v>
      </c>
      <c r="S115" s="253">
        <v>76</v>
      </c>
      <c r="T115" s="658">
        <v>6.6310827897377855E-3</v>
      </c>
      <c r="U115" s="659">
        <v>0.33158099798491436</v>
      </c>
      <c r="V115" s="658">
        <v>0.13125642938784443</v>
      </c>
      <c r="W115" s="659">
        <v>1.0179343091967472</v>
      </c>
      <c r="X115" s="658">
        <v>0.22494079394770439</v>
      </c>
      <c r="Y115" s="659">
        <v>1.1649667019763517</v>
      </c>
      <c r="Z115" s="658">
        <v>0.23792418719202035</v>
      </c>
      <c r="AA115" s="659">
        <v>1.0742936137811836</v>
      </c>
      <c r="AB115" s="658">
        <v>4.6342479112844066E-3</v>
      </c>
      <c r="AC115" s="660">
        <v>0.4990065238903354</v>
      </c>
      <c r="AD115" s="682">
        <v>18990334000115</v>
      </c>
      <c r="AE115" s="944" t="s">
        <v>1910</v>
      </c>
      <c r="AF115" s="661" t="s">
        <v>1729</v>
      </c>
      <c r="AG115" s="662" t="s">
        <v>1433</v>
      </c>
      <c r="AH115" s="662" t="s">
        <v>1734</v>
      </c>
      <c r="AI115" s="662">
        <v>100000</v>
      </c>
      <c r="AJ115" s="662">
        <v>50000</v>
      </c>
      <c r="AK115" s="662">
        <v>100000</v>
      </c>
      <c r="AL115" s="658">
        <v>8.5000000000000006E-3</v>
      </c>
      <c r="AM115" s="658">
        <v>0.2</v>
      </c>
      <c r="AN115" s="659" t="s">
        <v>64</v>
      </c>
      <c r="AO115" s="253" t="s">
        <v>34</v>
      </c>
      <c r="AP115" s="944" t="s">
        <v>1746</v>
      </c>
      <c r="AQ115" s="663" t="s">
        <v>671</v>
      </c>
      <c r="AR115" s="658">
        <v>1E-3</v>
      </c>
      <c r="AS115" s="658">
        <v>1E-3</v>
      </c>
      <c r="AT115" s="658" t="s">
        <v>1417</v>
      </c>
      <c r="AU115" s="658" t="s">
        <v>2751</v>
      </c>
      <c r="AX115" s="508"/>
      <c r="AY115" s="509"/>
      <c r="AZ115" s="509"/>
      <c r="BA115" s="509"/>
      <c r="BB115" s="509"/>
      <c r="BC115" s="509"/>
      <c r="BD115" s="509"/>
      <c r="BE115" s="509"/>
      <c r="BF115" s="509"/>
      <c r="BG115" s="509"/>
      <c r="BH115" s="665"/>
      <c r="BI115" s="510"/>
      <c r="BJ115" s="511"/>
      <c r="BK115" s="511"/>
      <c r="BL115" s="511"/>
      <c r="BM115" s="195"/>
      <c r="BN115" s="510"/>
      <c r="BO115" s="510"/>
      <c r="BP115" s="510"/>
      <c r="BQ115" s="510"/>
      <c r="BR115" s="510"/>
      <c r="BS115" s="510"/>
      <c r="BT115" s="510"/>
      <c r="BU115" s="510"/>
      <c r="BV115" s="510"/>
      <c r="BW115" s="512"/>
      <c r="BX115" s="509"/>
      <c r="BY115"/>
      <c r="CA115"/>
    </row>
    <row r="116" spans="2:79" ht="18.75">
      <c r="B116" s="252" t="s">
        <v>1009</v>
      </c>
      <c r="C116" s="251">
        <v>32227355000104</v>
      </c>
      <c r="D116" s="252" t="s">
        <v>11</v>
      </c>
      <c r="E116" s="252" t="s">
        <v>620</v>
      </c>
      <c r="F116" s="252" t="s">
        <v>692</v>
      </c>
      <c r="G116" s="253" t="s">
        <v>738</v>
      </c>
      <c r="H116" s="253" t="s">
        <v>34</v>
      </c>
      <c r="I116" s="253" t="s">
        <v>1417</v>
      </c>
      <c r="J116" s="253" t="s">
        <v>608</v>
      </c>
      <c r="K116" s="253" t="s">
        <v>48</v>
      </c>
      <c r="L116" s="655" t="s">
        <v>1339</v>
      </c>
      <c r="M116" s="655" t="s">
        <v>34</v>
      </c>
      <c r="N116" s="253" t="s">
        <v>3455</v>
      </c>
      <c r="O116" s="253" t="s">
        <v>1321</v>
      </c>
      <c r="P116" s="656">
        <v>43546</v>
      </c>
      <c r="Q116" s="657">
        <v>9.5505463800000001</v>
      </c>
      <c r="R116" s="657">
        <v>12.788728775201601</v>
      </c>
      <c r="S116" s="253">
        <v>46</v>
      </c>
      <c r="T116" s="658">
        <v>-6.1207880279471327E-3</v>
      </c>
      <c r="U116" s="659">
        <v>-0.30606419300053417</v>
      </c>
      <c r="V116" s="658">
        <v>9.7053580359674596E-2</v>
      </c>
      <c r="W116" s="659">
        <v>0.75268060954616833</v>
      </c>
      <c r="X116" s="658">
        <v>0.17564208377522728</v>
      </c>
      <c r="Y116" s="659">
        <v>0.90964904796882351</v>
      </c>
      <c r="Z116" s="658">
        <v>0.22430157010395524</v>
      </c>
      <c r="AA116" s="659">
        <v>1.0127837239569784</v>
      </c>
      <c r="AB116" s="658">
        <v>1.5960037332869968E-2</v>
      </c>
      <c r="AC116" s="660">
        <v>-1.9981362463003192</v>
      </c>
      <c r="AD116" s="682">
        <v>32227954000128</v>
      </c>
      <c r="AE116" s="944" t="s">
        <v>1910</v>
      </c>
      <c r="AF116" s="661" t="s">
        <v>1729</v>
      </c>
      <c r="AG116" s="662" t="s">
        <v>1433</v>
      </c>
      <c r="AH116" s="662" t="s">
        <v>1730</v>
      </c>
      <c r="AI116" s="662">
        <v>50000</v>
      </c>
      <c r="AJ116" s="662">
        <v>10000</v>
      </c>
      <c r="AK116" s="662">
        <v>50000</v>
      </c>
      <c r="AL116" s="658">
        <v>0.02</v>
      </c>
      <c r="AM116" s="658">
        <v>0.2</v>
      </c>
      <c r="AN116" s="659" t="s">
        <v>64</v>
      </c>
      <c r="AO116" s="253" t="s">
        <v>34</v>
      </c>
      <c r="AP116" s="944" t="s">
        <v>1735</v>
      </c>
      <c r="AQ116" s="663" t="s">
        <v>675</v>
      </c>
      <c r="AR116" s="658">
        <v>8.1809999999999999E-4</v>
      </c>
      <c r="AS116" s="658">
        <v>8.1809999999999999E-4</v>
      </c>
      <c r="AT116" s="658" t="s">
        <v>1417</v>
      </c>
      <c r="AU116" s="658" t="s">
        <v>2751</v>
      </c>
      <c r="AX116" s="508"/>
      <c r="AY116" s="509"/>
      <c r="AZ116" s="509"/>
      <c r="BA116" s="509"/>
      <c r="BB116" s="509"/>
      <c r="BC116" s="509"/>
      <c r="BD116" s="509"/>
      <c r="BE116" s="509"/>
      <c r="BF116" s="509"/>
      <c r="BG116" s="509"/>
      <c r="BH116" s="665"/>
      <c r="BI116" s="510"/>
      <c r="BJ116" s="511"/>
      <c r="BK116" s="511"/>
      <c r="BL116" s="511"/>
      <c r="BM116" s="195"/>
      <c r="BN116" s="510"/>
      <c r="BO116" s="510"/>
      <c r="BP116" s="510"/>
      <c r="BQ116" s="510"/>
      <c r="BR116" s="510"/>
      <c r="BS116" s="510"/>
      <c r="BT116" s="510"/>
      <c r="BU116" s="510"/>
      <c r="BV116" s="510"/>
      <c r="BW116" s="512"/>
      <c r="BX116" s="509"/>
      <c r="BY116"/>
      <c r="CA116"/>
    </row>
    <row r="117" spans="2:79" ht="18.75">
      <c r="B117" s="252" t="s">
        <v>247</v>
      </c>
      <c r="C117" s="251">
        <v>11228311000129</v>
      </c>
      <c r="D117" s="252" t="s">
        <v>14</v>
      </c>
      <c r="E117" s="252" t="s">
        <v>607</v>
      </c>
      <c r="F117" s="252" t="s">
        <v>1417</v>
      </c>
      <c r="G117" s="253" t="s">
        <v>1417</v>
      </c>
      <c r="H117" s="253" t="s">
        <v>34</v>
      </c>
      <c r="I117" s="253" t="s">
        <v>34</v>
      </c>
      <c r="J117" s="253" t="s">
        <v>608</v>
      </c>
      <c r="K117" s="253" t="s">
        <v>48</v>
      </c>
      <c r="L117" s="655" t="s">
        <v>1339</v>
      </c>
      <c r="M117" s="655" t="s">
        <v>34</v>
      </c>
      <c r="N117" s="253" t="s">
        <v>3463</v>
      </c>
      <c r="O117" s="253" t="s">
        <v>1321</v>
      </c>
      <c r="P117" s="656">
        <v>40149</v>
      </c>
      <c r="Q117" s="657">
        <v>60.076092000000003</v>
      </c>
      <c r="R117" s="657">
        <v>74.610032650602449</v>
      </c>
      <c r="S117" s="253">
        <v>32</v>
      </c>
      <c r="T117" s="658">
        <v>-1.051601955672643E-2</v>
      </c>
      <c r="U117" s="659">
        <v>-0.5258435718589648</v>
      </c>
      <c r="V117" s="658">
        <v>-6.1118509071069083E-2</v>
      </c>
      <c r="W117" s="659">
        <v>-0.47399298914766524</v>
      </c>
      <c r="X117" s="658">
        <v>-0.17658292507098827</v>
      </c>
      <c r="Y117" s="659">
        <v>-0.91452165805510544</v>
      </c>
      <c r="Z117" s="658">
        <v>4.4530765058641286E-3</v>
      </c>
      <c r="AA117" s="659">
        <v>2.0106873993722765E-2</v>
      </c>
      <c r="AB117" s="658">
        <v>0.24946475685259578</v>
      </c>
      <c r="AC117" s="660">
        <v>-0.76188084006656653</v>
      </c>
      <c r="AD117" s="682">
        <v>11228490000102</v>
      </c>
      <c r="AE117" s="944" t="s">
        <v>1756</v>
      </c>
      <c r="AF117" s="661" t="s">
        <v>1729</v>
      </c>
      <c r="AG117" s="662" t="s">
        <v>1433</v>
      </c>
      <c r="AH117" s="662" t="s">
        <v>1734</v>
      </c>
      <c r="AI117" s="662">
        <v>100000</v>
      </c>
      <c r="AJ117" s="662">
        <v>50000</v>
      </c>
      <c r="AK117" s="662">
        <v>100000</v>
      </c>
      <c r="AL117" s="658">
        <v>2.6000000000000002E-2</v>
      </c>
      <c r="AM117" s="658">
        <v>0</v>
      </c>
      <c r="AN117" s="659" t="s">
        <v>2127</v>
      </c>
      <c r="AO117" s="253" t="s">
        <v>34</v>
      </c>
      <c r="AP117" s="944" t="s">
        <v>1731</v>
      </c>
      <c r="AQ117" s="663" t="s">
        <v>659</v>
      </c>
      <c r="AR117" s="658">
        <v>5.1999999999999998E-3</v>
      </c>
      <c r="AS117" s="658">
        <v>5.1999999999999998E-3</v>
      </c>
      <c r="AT117" s="658" t="s">
        <v>1417</v>
      </c>
      <c r="AU117" s="658" t="s">
        <v>2751</v>
      </c>
      <c r="AX117" s="508"/>
      <c r="AY117" s="509"/>
      <c r="AZ117" s="509"/>
      <c r="BA117" s="509"/>
      <c r="BB117" s="509"/>
      <c r="BC117" s="509"/>
      <c r="BD117" s="509"/>
      <c r="BE117" s="509"/>
      <c r="BF117" s="509"/>
      <c r="BG117" s="509"/>
      <c r="BH117" s="665"/>
      <c r="BI117" s="510"/>
      <c r="BJ117" s="511"/>
      <c r="BK117" s="511"/>
      <c r="BL117" s="511"/>
      <c r="BM117" s="195"/>
      <c r="BN117" s="510"/>
      <c r="BO117" s="510"/>
      <c r="BP117" s="510"/>
      <c r="BQ117" s="510"/>
      <c r="BR117" s="510"/>
      <c r="BS117" s="510"/>
      <c r="BT117" s="510"/>
      <c r="BU117" s="510"/>
      <c r="BV117" s="510"/>
      <c r="BW117" s="512"/>
      <c r="BX117" s="509"/>
      <c r="BY117"/>
      <c r="CA117"/>
    </row>
    <row r="118" spans="2:79" ht="18.75">
      <c r="B118" s="252" t="s">
        <v>249</v>
      </c>
      <c r="C118" s="251">
        <v>21946695000179</v>
      </c>
      <c r="D118" s="252" t="s">
        <v>11</v>
      </c>
      <c r="E118" s="252" t="s">
        <v>620</v>
      </c>
      <c r="F118" s="252" t="s">
        <v>663</v>
      </c>
      <c r="G118" s="253" t="s">
        <v>738</v>
      </c>
      <c r="H118" s="253" t="s">
        <v>34</v>
      </c>
      <c r="I118" s="253" t="s">
        <v>1417</v>
      </c>
      <c r="J118" s="253" t="s">
        <v>608</v>
      </c>
      <c r="K118" s="253" t="s">
        <v>48</v>
      </c>
      <c r="L118" s="655" t="s">
        <v>1339</v>
      </c>
      <c r="M118" s="655" t="s">
        <v>34</v>
      </c>
      <c r="N118" s="253" t="s">
        <v>3467</v>
      </c>
      <c r="O118" s="253" t="s">
        <v>1321</v>
      </c>
      <c r="P118" s="656">
        <v>42120</v>
      </c>
      <c r="Q118" s="657">
        <v>241.535211</v>
      </c>
      <c r="R118" s="657">
        <v>307.11046552822569</v>
      </c>
      <c r="S118" s="253">
        <v>76</v>
      </c>
      <c r="T118" s="658">
        <v>7.0166236540989413E-3</v>
      </c>
      <c r="U118" s="659">
        <v>0.35085960279538053</v>
      </c>
      <c r="V118" s="658">
        <v>0.13349242124030036</v>
      </c>
      <c r="W118" s="659">
        <v>1.0352751193369785</v>
      </c>
      <c r="X118" s="658">
        <v>0.21849357584113416</v>
      </c>
      <c r="Y118" s="659">
        <v>1.1315766072642317</v>
      </c>
      <c r="Z118" s="658">
        <v>0.21497321970140204</v>
      </c>
      <c r="AA118" s="659">
        <v>0.97066363779487619</v>
      </c>
      <c r="AB118" s="658">
        <v>8.5002967970159923E-3</v>
      </c>
      <c r="AC118" s="660">
        <v>0.53510035027350511</v>
      </c>
      <c r="AD118" s="682">
        <v>21762085000115</v>
      </c>
      <c r="AE118" s="944" t="s">
        <v>1910</v>
      </c>
      <c r="AF118" s="661" t="s">
        <v>1729</v>
      </c>
      <c r="AG118" s="662" t="s">
        <v>1433</v>
      </c>
      <c r="AH118" s="662" t="s">
        <v>1734</v>
      </c>
      <c r="AI118" s="662">
        <v>100000</v>
      </c>
      <c r="AJ118" s="662">
        <v>50000</v>
      </c>
      <c r="AK118" s="662">
        <v>100000</v>
      </c>
      <c r="AL118" s="658">
        <v>8.5000000000000006E-3</v>
      </c>
      <c r="AM118" s="658">
        <v>0.2</v>
      </c>
      <c r="AN118" s="659" t="s">
        <v>64</v>
      </c>
      <c r="AO118" s="253" t="s">
        <v>34</v>
      </c>
      <c r="AP118" s="944" t="s">
        <v>1746</v>
      </c>
      <c r="AQ118" s="663" t="s">
        <v>671</v>
      </c>
      <c r="AR118" s="658">
        <v>1.66656666666667E-3</v>
      </c>
      <c r="AS118" s="658">
        <v>1.66656666666667E-3</v>
      </c>
      <c r="AT118" s="658" t="s">
        <v>1417</v>
      </c>
      <c r="AU118" s="658" t="s">
        <v>2751</v>
      </c>
      <c r="AX118" s="508"/>
      <c r="AY118" s="509"/>
      <c r="AZ118" s="509"/>
      <c r="BA118" s="509"/>
      <c r="BB118" s="509"/>
      <c r="BC118" s="509"/>
      <c r="BD118" s="509"/>
      <c r="BE118" s="509"/>
      <c r="BF118" s="509"/>
      <c r="BG118" s="509"/>
      <c r="BH118" s="665"/>
      <c r="BI118" s="510"/>
      <c r="BJ118" s="511"/>
      <c r="BK118" s="511"/>
      <c r="BL118" s="511"/>
      <c r="BM118" s="195"/>
      <c r="BN118" s="510"/>
      <c r="BO118" s="510"/>
      <c r="BP118" s="510"/>
      <c r="BQ118" s="510"/>
      <c r="BR118" s="510"/>
      <c r="BS118" s="510"/>
      <c r="BT118" s="510"/>
      <c r="BU118" s="510"/>
      <c r="BV118" s="510"/>
      <c r="BW118" s="512"/>
      <c r="BX118" s="509"/>
      <c r="BY118"/>
      <c r="CA118"/>
    </row>
    <row r="119" spans="2:79" ht="18.75">
      <c r="B119" s="252" t="s">
        <v>1016</v>
      </c>
      <c r="C119" s="251">
        <v>26525450000191</v>
      </c>
      <c r="D119" s="252" t="s">
        <v>11</v>
      </c>
      <c r="E119" s="252" t="s">
        <v>4235</v>
      </c>
      <c r="F119" s="252" t="s">
        <v>663</v>
      </c>
      <c r="G119" s="253" t="s">
        <v>738</v>
      </c>
      <c r="H119" s="253" t="s">
        <v>34</v>
      </c>
      <c r="I119" s="253" t="s">
        <v>1417</v>
      </c>
      <c r="J119" s="253" t="s">
        <v>611</v>
      </c>
      <c r="K119" s="253" t="s">
        <v>48</v>
      </c>
      <c r="L119" s="655" t="s">
        <v>1339</v>
      </c>
      <c r="M119" s="655" t="s">
        <v>1414</v>
      </c>
      <c r="N119" s="253" t="s">
        <v>3468</v>
      </c>
      <c r="O119" s="253" t="s">
        <v>1321</v>
      </c>
      <c r="P119" s="656">
        <v>42756</v>
      </c>
      <c r="Q119" s="657">
        <v>130.43070599999999</v>
      </c>
      <c r="R119" s="657">
        <v>129.50051158232924</v>
      </c>
      <c r="S119" s="253">
        <v>76</v>
      </c>
      <c r="T119" s="658">
        <v>1.2317520583436936E-2</v>
      </c>
      <c r="U119" s="659">
        <v>0.61592591998346147</v>
      </c>
      <c r="V119" s="658">
        <v>0.13803964979135808</v>
      </c>
      <c r="W119" s="659">
        <v>1.0705402867308229</v>
      </c>
      <c r="X119" s="658">
        <v>0.2110632371171739</v>
      </c>
      <c r="Y119" s="659">
        <v>1.0930949381729791</v>
      </c>
      <c r="Z119" s="658">
        <v>0.18414720791840145</v>
      </c>
      <c r="AA119" s="659">
        <v>0.83147565532172751</v>
      </c>
      <c r="AB119" s="658">
        <v>1.3831209592351823E-2</v>
      </c>
      <c r="AC119" s="660">
        <v>0.65762435915940087</v>
      </c>
      <c r="AD119" s="682">
        <v>0</v>
      </c>
      <c r="AE119" s="944" t="s">
        <v>1910</v>
      </c>
      <c r="AF119" s="661" t="s">
        <v>1729</v>
      </c>
      <c r="AG119" s="662" t="s">
        <v>1433</v>
      </c>
      <c r="AH119" s="662" t="s">
        <v>1801</v>
      </c>
      <c r="AI119" s="662">
        <v>100000</v>
      </c>
      <c r="AJ119" s="662">
        <v>50000</v>
      </c>
      <c r="AK119" s="662">
        <v>100000</v>
      </c>
      <c r="AL119" s="658">
        <v>0.01</v>
      </c>
      <c r="AM119" s="658">
        <v>0.2</v>
      </c>
      <c r="AN119" s="659" t="s">
        <v>64</v>
      </c>
      <c r="AO119" s="253" t="s">
        <v>34</v>
      </c>
      <c r="AP119" s="944" t="s">
        <v>1746</v>
      </c>
      <c r="AQ119" s="663" t="s">
        <v>679</v>
      </c>
      <c r="AR119" s="658">
        <v>2.0002666666666699E-3</v>
      </c>
      <c r="AS119" s="658">
        <v>2.0002666666666699E-3</v>
      </c>
      <c r="AT119" s="658" t="s">
        <v>1417</v>
      </c>
      <c r="AU119" s="658" t="s">
        <v>2751</v>
      </c>
      <c r="AX119" s="508"/>
      <c r="AY119" s="509"/>
      <c r="AZ119" s="509"/>
      <c r="BA119" s="509"/>
      <c r="BB119" s="509"/>
      <c r="BC119" s="509"/>
      <c r="BD119" s="509"/>
      <c r="BE119" s="509"/>
      <c r="BF119" s="509"/>
      <c r="BG119" s="509"/>
      <c r="BH119" s="665"/>
      <c r="BI119" s="510"/>
      <c r="BJ119" s="511"/>
      <c r="BK119" s="511"/>
      <c r="BL119" s="511"/>
      <c r="BM119" s="195"/>
      <c r="BN119" s="510"/>
      <c r="BO119" s="510"/>
      <c r="BP119" s="510"/>
      <c r="BQ119" s="510"/>
      <c r="BR119" s="510"/>
      <c r="BS119" s="510"/>
      <c r="BT119" s="510"/>
      <c r="BU119" s="510"/>
      <c r="BV119" s="510"/>
      <c r="BW119" s="512"/>
      <c r="BX119" s="509"/>
      <c r="BY119"/>
      <c r="CA119"/>
    </row>
    <row r="120" spans="2:79" ht="18.75">
      <c r="B120" s="252" t="s">
        <v>1017</v>
      </c>
      <c r="C120" s="251">
        <v>32300350000160</v>
      </c>
      <c r="D120" s="252" t="s">
        <v>13</v>
      </c>
      <c r="E120" s="252" t="s">
        <v>615</v>
      </c>
      <c r="F120" s="252" t="s">
        <v>619</v>
      </c>
      <c r="G120" s="253" t="s">
        <v>34</v>
      </c>
      <c r="H120" s="253" t="s">
        <v>1337</v>
      </c>
      <c r="I120" s="253" t="s">
        <v>34</v>
      </c>
      <c r="J120" s="253" t="s">
        <v>1417</v>
      </c>
      <c r="K120" s="253" t="s">
        <v>48</v>
      </c>
      <c r="L120" s="655" t="s">
        <v>1339</v>
      </c>
      <c r="M120" s="655" t="s">
        <v>1414</v>
      </c>
      <c r="N120" s="253" t="s">
        <v>3469</v>
      </c>
      <c r="O120" s="253" t="s">
        <v>1321</v>
      </c>
      <c r="P120" s="656">
        <v>43498</v>
      </c>
      <c r="Q120" s="657">
        <v>317.11433105999998</v>
      </c>
      <c r="R120" s="657">
        <v>436.27278721959829</v>
      </c>
      <c r="S120" s="253">
        <v>31</v>
      </c>
      <c r="T120" s="658">
        <v>5.9001849364903602E-3</v>
      </c>
      <c r="U120" s="659">
        <v>0.29503314489825483</v>
      </c>
      <c r="V120" s="658">
        <v>0.15827336863714137</v>
      </c>
      <c r="W120" s="659">
        <v>1.2274590503435643</v>
      </c>
      <c r="X120" s="658">
        <v>0.19693673382631749</v>
      </c>
      <c r="Y120" s="659">
        <v>1.0199338824996669</v>
      </c>
      <c r="Z120" s="658">
        <v>0.27123517303622657</v>
      </c>
      <c r="AA120" s="659">
        <v>1.2247019425161882</v>
      </c>
      <c r="AB120" s="658">
        <v>2.703195453178428E-2</v>
      </c>
      <c r="AC120" s="660">
        <v>1.0849921767908908</v>
      </c>
      <c r="AD120" s="682">
        <v>0</v>
      </c>
      <c r="AE120" s="944" t="s">
        <v>1797</v>
      </c>
      <c r="AF120" s="661" t="s">
        <v>1745</v>
      </c>
      <c r="AG120" s="662" t="s">
        <v>1432</v>
      </c>
      <c r="AH120" s="662" t="s">
        <v>1734</v>
      </c>
      <c r="AI120" s="662">
        <v>20000</v>
      </c>
      <c r="AJ120" s="662">
        <v>20000</v>
      </c>
      <c r="AK120" s="662">
        <v>20000</v>
      </c>
      <c r="AL120" s="658">
        <v>0</v>
      </c>
      <c r="AM120" s="658">
        <v>0</v>
      </c>
      <c r="AN120" s="659" t="s">
        <v>34</v>
      </c>
      <c r="AO120" s="253" t="s">
        <v>34</v>
      </c>
      <c r="AP120" s="944" t="s">
        <v>1746</v>
      </c>
      <c r="AQ120" s="663" t="s">
        <v>668</v>
      </c>
      <c r="AR120" s="658">
        <v>2.66666666666667E-3</v>
      </c>
      <c r="AS120" s="658">
        <v>2.66666666666667E-3</v>
      </c>
      <c r="AT120" s="658" t="s">
        <v>1417</v>
      </c>
      <c r="AU120" s="658" t="s">
        <v>2751</v>
      </c>
      <c r="AX120" s="508"/>
      <c r="AY120" s="509"/>
      <c r="AZ120" s="509"/>
      <c r="BA120" s="509"/>
      <c r="BB120" s="509"/>
      <c r="BC120" s="509"/>
      <c r="BD120" s="509"/>
      <c r="BE120" s="509"/>
      <c r="BF120" s="509"/>
      <c r="BG120" s="509"/>
      <c r="BH120" s="665"/>
      <c r="BI120" s="510"/>
      <c r="BJ120" s="511"/>
      <c r="BK120" s="511"/>
      <c r="BL120" s="511"/>
      <c r="BM120" s="195"/>
      <c r="BN120" s="510"/>
      <c r="BO120" s="510"/>
      <c r="BP120" s="510"/>
      <c r="BQ120" s="510"/>
      <c r="BR120" s="510"/>
      <c r="BS120" s="510"/>
      <c r="BT120" s="510"/>
      <c r="BU120" s="510"/>
      <c r="BV120" s="510"/>
      <c r="BW120" s="512"/>
      <c r="BX120" s="509"/>
      <c r="BY120"/>
      <c r="CA120"/>
    </row>
    <row r="121" spans="2:79" ht="18.75">
      <c r="B121" s="252" t="s">
        <v>250</v>
      </c>
      <c r="C121" s="251">
        <v>13812165000100</v>
      </c>
      <c r="D121" s="252" t="s">
        <v>13</v>
      </c>
      <c r="E121" s="252" t="s">
        <v>615</v>
      </c>
      <c r="F121" s="252" t="s">
        <v>619</v>
      </c>
      <c r="G121" s="253" t="s">
        <v>34</v>
      </c>
      <c r="H121" s="253" t="s">
        <v>1337</v>
      </c>
      <c r="I121" s="253" t="s">
        <v>34</v>
      </c>
      <c r="J121" s="253" t="s">
        <v>611</v>
      </c>
      <c r="K121" s="253" t="s">
        <v>48</v>
      </c>
      <c r="L121" s="655" t="s">
        <v>1339</v>
      </c>
      <c r="M121" s="655" t="s">
        <v>1414</v>
      </c>
      <c r="N121" s="253" t="s">
        <v>3470</v>
      </c>
      <c r="O121" s="253" t="s">
        <v>1321</v>
      </c>
      <c r="P121" s="656">
        <v>40788</v>
      </c>
      <c r="Q121" s="657">
        <v>917.23648000000003</v>
      </c>
      <c r="R121" s="657">
        <v>990.39361728513995</v>
      </c>
      <c r="S121" s="253">
        <v>31</v>
      </c>
      <c r="T121" s="658">
        <v>5.5706623924716148E-3</v>
      </c>
      <c r="U121" s="659">
        <v>0.27855568300117844</v>
      </c>
      <c r="V121" s="658">
        <v>0.16000260331754212</v>
      </c>
      <c r="W121" s="659">
        <v>1.2408698014819448</v>
      </c>
      <c r="X121" s="658">
        <v>0.19875527002752968</v>
      </c>
      <c r="Y121" s="659">
        <v>1.0293520679855921</v>
      </c>
      <c r="Z121" s="658">
        <v>0.27412861171009584</v>
      </c>
      <c r="AA121" s="659">
        <v>1.2377666196551147</v>
      </c>
      <c r="AB121" s="658">
        <v>2.7994625206803861E-2</v>
      </c>
      <c r="AC121" s="660">
        <v>1.109452033785586</v>
      </c>
      <c r="AD121" s="682">
        <v>97548167000123</v>
      </c>
      <c r="AE121" s="944" t="s">
        <v>1756</v>
      </c>
      <c r="AF121" s="661" t="s">
        <v>1729</v>
      </c>
      <c r="AG121" s="662" t="s">
        <v>1433</v>
      </c>
      <c r="AH121" s="662" t="s">
        <v>1734</v>
      </c>
      <c r="AI121" s="662">
        <v>100000</v>
      </c>
      <c r="AJ121" s="662">
        <v>50000</v>
      </c>
      <c r="AK121" s="662">
        <v>100000</v>
      </c>
      <c r="AL121" s="658">
        <v>1.8500000000000003E-2</v>
      </c>
      <c r="AM121" s="658">
        <v>0.2</v>
      </c>
      <c r="AN121" s="659" t="s">
        <v>64</v>
      </c>
      <c r="AO121" s="253" t="s">
        <v>34</v>
      </c>
      <c r="AP121" s="944" t="s">
        <v>1746</v>
      </c>
      <c r="AQ121" s="663" t="s">
        <v>668</v>
      </c>
      <c r="AR121" s="658">
        <v>2.46666666666667E-3</v>
      </c>
      <c r="AS121" s="658">
        <v>2.46666666666667E-3</v>
      </c>
      <c r="AT121" s="658" t="s">
        <v>1417</v>
      </c>
      <c r="AU121" s="658" t="s">
        <v>2751</v>
      </c>
      <c r="AX121" s="508"/>
      <c r="AY121" s="509"/>
      <c r="AZ121" s="509"/>
      <c r="BA121" s="509"/>
      <c r="BB121" s="509"/>
      <c r="BC121" s="509"/>
      <c r="BD121" s="509"/>
      <c r="BE121" s="509"/>
      <c r="BF121" s="509"/>
      <c r="BG121" s="509"/>
      <c r="BH121" s="665"/>
      <c r="BI121" s="510"/>
      <c r="BJ121" s="511"/>
      <c r="BK121" s="511"/>
      <c r="BL121" s="511"/>
      <c r="BM121" s="195"/>
      <c r="BN121" s="510"/>
      <c r="BO121" s="510"/>
      <c r="BP121" s="510"/>
      <c r="BQ121" s="510"/>
      <c r="BR121" s="510"/>
      <c r="BS121" s="510"/>
      <c r="BT121" s="510"/>
      <c r="BU121" s="510"/>
      <c r="BV121" s="510"/>
      <c r="BW121" s="512"/>
      <c r="BX121" s="509"/>
      <c r="BY121"/>
      <c r="CA121"/>
    </row>
    <row r="122" spans="2:79" ht="18.75">
      <c r="B122" s="252" t="s">
        <v>519</v>
      </c>
      <c r="C122" s="251">
        <v>39469191000170</v>
      </c>
      <c r="D122" s="252" t="s">
        <v>11</v>
      </c>
      <c r="E122" s="252" t="s">
        <v>620</v>
      </c>
      <c r="F122" s="252" t="s">
        <v>685</v>
      </c>
      <c r="G122" s="253" t="s">
        <v>738</v>
      </c>
      <c r="H122" s="253" t="s">
        <v>34</v>
      </c>
      <c r="I122" s="253" t="s">
        <v>1319</v>
      </c>
      <c r="J122" s="253" t="s">
        <v>608</v>
      </c>
      <c r="K122" s="253" t="s">
        <v>48</v>
      </c>
      <c r="L122" s="655" t="s">
        <v>1339</v>
      </c>
      <c r="M122" s="655" t="s">
        <v>34</v>
      </c>
      <c r="N122" s="253" t="s">
        <v>3479</v>
      </c>
      <c r="O122" s="253" t="s">
        <v>1321</v>
      </c>
      <c r="P122" s="656">
        <v>44057</v>
      </c>
      <c r="Q122" s="657">
        <v>43.66667674</v>
      </c>
      <c r="R122" s="657">
        <v>49.20469553987855</v>
      </c>
      <c r="S122" s="253">
        <v>151</v>
      </c>
      <c r="T122" s="658">
        <v>2.2066011580407441E-2</v>
      </c>
      <c r="U122" s="659">
        <v>1.1033899550615476</v>
      </c>
      <c r="V122" s="658">
        <v>0.15311045920352684</v>
      </c>
      <c r="W122" s="659">
        <v>1.1874190867984453</v>
      </c>
      <c r="X122" s="658">
        <v>0.27159081265052532</v>
      </c>
      <c r="Y122" s="659">
        <v>1.4065668025254545</v>
      </c>
      <c r="Z122" s="658"/>
      <c r="AA122" s="659"/>
      <c r="AB122" s="658">
        <v>1.116816799816568E-2</v>
      </c>
      <c r="AC122" s="660">
        <v>2.1638777067740862</v>
      </c>
      <c r="AD122" s="682">
        <v>0</v>
      </c>
      <c r="AE122" s="944" t="s">
        <v>2027</v>
      </c>
      <c r="AF122" s="661" t="s">
        <v>2028</v>
      </c>
      <c r="AG122" s="662" t="s">
        <v>1432</v>
      </c>
      <c r="AH122" s="662" t="s">
        <v>1801</v>
      </c>
      <c r="AI122" s="662">
        <v>5000</v>
      </c>
      <c r="AJ122" s="662">
        <v>5000</v>
      </c>
      <c r="AK122" s="662">
        <v>5000</v>
      </c>
      <c r="AL122" s="658">
        <v>7.5000000000000002E-4</v>
      </c>
      <c r="AM122" s="658">
        <v>0.2</v>
      </c>
      <c r="AN122" s="659" t="s">
        <v>64</v>
      </c>
      <c r="AO122" s="253" t="s">
        <v>34</v>
      </c>
      <c r="AP122" s="944" t="s">
        <v>1746</v>
      </c>
      <c r="AQ122" s="663" t="s">
        <v>668</v>
      </c>
      <c r="AR122" s="658">
        <v>6.4999999999999997E-3</v>
      </c>
      <c r="AS122" s="658">
        <v>6.4999999999999997E-3</v>
      </c>
      <c r="AT122" s="658" t="s">
        <v>1417</v>
      </c>
      <c r="AU122" s="658" t="s">
        <v>2751</v>
      </c>
      <c r="AX122" s="508"/>
      <c r="AY122" s="509"/>
      <c r="AZ122" s="509"/>
      <c r="BA122" s="509"/>
      <c r="BB122" s="509"/>
      <c r="BC122" s="509"/>
      <c r="BD122" s="509"/>
      <c r="BE122" s="509"/>
      <c r="BF122" s="509"/>
      <c r="BG122" s="509"/>
      <c r="BH122" s="665"/>
      <c r="BI122" s="510"/>
      <c r="BJ122" s="511"/>
      <c r="BK122" s="511"/>
      <c r="BL122" s="511"/>
      <c r="BM122" s="195"/>
      <c r="BN122" s="510"/>
      <c r="BO122" s="510"/>
      <c r="BP122" s="510"/>
      <c r="BQ122" s="510"/>
      <c r="BR122" s="510"/>
      <c r="BS122" s="510"/>
      <c r="BT122" s="510"/>
      <c r="BU122" s="510"/>
      <c r="BV122" s="510"/>
      <c r="BW122" s="512"/>
      <c r="BX122" s="509"/>
      <c r="BY122"/>
      <c r="CA122"/>
    </row>
    <row r="123" spans="2:79" ht="18.75">
      <c r="B123" s="252" t="s">
        <v>1028</v>
      </c>
      <c r="C123" s="251">
        <v>17429959000140</v>
      </c>
      <c r="D123" s="252" t="s">
        <v>13</v>
      </c>
      <c r="E123" s="252" t="s">
        <v>615</v>
      </c>
      <c r="F123" s="252" t="s">
        <v>619</v>
      </c>
      <c r="G123" s="253" t="s">
        <v>34</v>
      </c>
      <c r="H123" s="253" t="s">
        <v>1337</v>
      </c>
      <c r="I123" s="253" t="s">
        <v>34</v>
      </c>
      <c r="J123" s="253" t="s">
        <v>611</v>
      </c>
      <c r="K123" s="253" t="s">
        <v>48</v>
      </c>
      <c r="L123" s="655" t="s">
        <v>1339</v>
      </c>
      <c r="M123" s="655" t="s">
        <v>34</v>
      </c>
      <c r="N123" s="253" t="s">
        <v>3495</v>
      </c>
      <c r="O123" s="253" t="s">
        <v>1324</v>
      </c>
      <c r="P123" s="656">
        <v>41334</v>
      </c>
      <c r="Q123" s="657">
        <v>89.664023999999998</v>
      </c>
      <c r="R123" s="657">
        <v>88.318889186234813</v>
      </c>
      <c r="S123" s="253">
        <v>31</v>
      </c>
      <c r="T123" s="658">
        <v>1.5040973579093952E-2</v>
      </c>
      <c r="U123" s="659">
        <v>0.75210960082401801</v>
      </c>
      <c r="V123" s="658">
        <v>0.15257364732160106</v>
      </c>
      <c r="W123" s="659">
        <v>1.1832559442023438</v>
      </c>
      <c r="X123" s="658">
        <v>0.27862815862412726</v>
      </c>
      <c r="Y123" s="659">
        <v>1.4430131650800369</v>
      </c>
      <c r="Z123" s="658">
        <v>0.31619358332266323</v>
      </c>
      <c r="AA123" s="659">
        <v>1.4277016191211276</v>
      </c>
      <c r="AB123" s="658">
        <v>3.1999325067874715E-2</v>
      </c>
      <c r="AC123" s="660">
        <v>0.73844488359335614</v>
      </c>
      <c r="AD123" s="682">
        <v>0</v>
      </c>
      <c r="AE123" s="944" t="s">
        <v>1797</v>
      </c>
      <c r="AF123" s="661" t="s">
        <v>1745</v>
      </c>
      <c r="AG123" s="662" t="s">
        <v>1432</v>
      </c>
      <c r="AH123" s="662" t="s">
        <v>1734</v>
      </c>
      <c r="AI123" s="662">
        <v>10000</v>
      </c>
      <c r="AJ123" s="662">
        <v>10000</v>
      </c>
      <c r="AK123" s="662">
        <v>10000</v>
      </c>
      <c r="AL123" s="658">
        <v>0</v>
      </c>
      <c r="AM123" s="658">
        <v>0</v>
      </c>
      <c r="AN123" s="659" t="s">
        <v>2127</v>
      </c>
      <c r="AO123" s="253" t="s">
        <v>34</v>
      </c>
      <c r="AP123" s="944" t="s">
        <v>1746</v>
      </c>
      <c r="AQ123" s="663" t="s">
        <v>668</v>
      </c>
      <c r="AR123" s="658">
        <v>4.0000000000000001E-3</v>
      </c>
      <c r="AS123" s="658">
        <v>4.0000000000000001E-3</v>
      </c>
      <c r="AT123" s="658" t="s">
        <v>1417</v>
      </c>
      <c r="AU123" s="658" t="s">
        <v>2751</v>
      </c>
      <c r="AX123" s="508"/>
      <c r="AY123" s="509"/>
      <c r="AZ123" s="509"/>
      <c r="BA123" s="509"/>
      <c r="BB123" s="509"/>
      <c r="BC123" s="509"/>
      <c r="BD123" s="509"/>
      <c r="BE123" s="509"/>
      <c r="BF123" s="509"/>
      <c r="BG123" s="509"/>
      <c r="BH123" s="665"/>
      <c r="BI123" s="510"/>
      <c r="BJ123" s="511"/>
      <c r="BK123" s="511"/>
      <c r="BL123" s="511"/>
      <c r="BM123" s="195"/>
      <c r="BN123" s="510"/>
      <c r="BO123" s="510"/>
      <c r="BP123" s="510"/>
      <c r="BQ123" s="510"/>
      <c r="BR123" s="510"/>
      <c r="BS123" s="510"/>
      <c r="BT123" s="510"/>
      <c r="BU123" s="510"/>
      <c r="BV123" s="510"/>
      <c r="BW123" s="512"/>
      <c r="BX123" s="509"/>
      <c r="BY123"/>
      <c r="CA123"/>
    </row>
    <row r="124" spans="2:79" ht="18.75">
      <c r="B124" s="252" t="s">
        <v>258</v>
      </c>
      <c r="C124" s="251">
        <v>12105992000109</v>
      </c>
      <c r="D124" s="252" t="s">
        <v>13</v>
      </c>
      <c r="E124" s="252" t="s">
        <v>615</v>
      </c>
      <c r="F124" s="252" t="s">
        <v>619</v>
      </c>
      <c r="G124" s="253" t="s">
        <v>34</v>
      </c>
      <c r="H124" s="253" t="s">
        <v>1338</v>
      </c>
      <c r="I124" s="253" t="s">
        <v>34</v>
      </c>
      <c r="J124" s="253" t="s">
        <v>611</v>
      </c>
      <c r="K124" s="253" t="s">
        <v>48</v>
      </c>
      <c r="L124" s="655" t="s">
        <v>1339</v>
      </c>
      <c r="M124" s="655" t="s">
        <v>1414</v>
      </c>
      <c r="N124" s="253" t="s">
        <v>3499</v>
      </c>
      <c r="O124" s="253" t="s">
        <v>1324</v>
      </c>
      <c r="P124" s="656">
        <v>40424</v>
      </c>
      <c r="Q124" s="657">
        <v>2279.0077959999999</v>
      </c>
      <c r="R124" s="657">
        <v>2373.0049433536583</v>
      </c>
      <c r="S124" s="253">
        <v>61</v>
      </c>
      <c r="T124" s="658">
        <v>1.3466695335769385E-2</v>
      </c>
      <c r="U124" s="659">
        <v>0.67338931221061959</v>
      </c>
      <c r="V124" s="658">
        <v>0.1802517989326653</v>
      </c>
      <c r="W124" s="659">
        <v>1.3979085922398709</v>
      </c>
      <c r="X124" s="658">
        <v>0.35725729903829984</v>
      </c>
      <c r="Y124" s="659">
        <v>1.8502328995708377</v>
      </c>
      <c r="Z124" s="658">
        <v>0.40035642145060923</v>
      </c>
      <c r="AA124" s="659">
        <v>1.8077201476517331</v>
      </c>
      <c r="AB124" s="658">
        <v>5.3893854902014246E-2</v>
      </c>
      <c r="AC124" s="660">
        <v>0.95201743462517374</v>
      </c>
      <c r="AD124" s="682">
        <v>12083748000184</v>
      </c>
      <c r="AE124" s="944" t="s">
        <v>1829</v>
      </c>
      <c r="AF124" s="661" t="s">
        <v>1769</v>
      </c>
      <c r="AG124" s="662" t="s">
        <v>719</v>
      </c>
      <c r="AH124" s="662" t="s">
        <v>1730</v>
      </c>
      <c r="AI124" s="662">
        <v>100000</v>
      </c>
      <c r="AJ124" s="662">
        <v>50000</v>
      </c>
      <c r="AK124" s="662">
        <v>100000</v>
      </c>
      <c r="AL124" s="658">
        <v>0.02</v>
      </c>
      <c r="AM124" s="658">
        <v>0.2</v>
      </c>
      <c r="AN124" s="659" t="s">
        <v>64</v>
      </c>
      <c r="AO124" s="253" t="s">
        <v>34</v>
      </c>
      <c r="AP124" s="944" t="s">
        <v>1746</v>
      </c>
      <c r="AQ124" s="663" t="s">
        <v>668</v>
      </c>
      <c r="AR124" s="658">
        <v>0</v>
      </c>
      <c r="AS124" s="658">
        <v>0</v>
      </c>
      <c r="AT124" s="658" t="s">
        <v>1417</v>
      </c>
      <c r="AU124" s="658" t="s">
        <v>2751</v>
      </c>
      <c r="AX124" s="508"/>
      <c r="AY124" s="509"/>
      <c r="AZ124" s="509"/>
      <c r="BA124" s="509"/>
      <c r="BB124" s="509"/>
      <c r="BC124" s="509"/>
      <c r="BD124" s="509"/>
      <c r="BE124" s="509"/>
      <c r="BF124" s="509"/>
      <c r="BG124" s="509"/>
      <c r="BH124" s="665"/>
      <c r="BI124" s="510"/>
      <c r="BJ124" s="511"/>
      <c r="BK124" s="511"/>
      <c r="BL124" s="511"/>
      <c r="BM124" s="195"/>
      <c r="BN124" s="510"/>
      <c r="BO124" s="510"/>
      <c r="BP124" s="510"/>
      <c r="BQ124" s="510"/>
      <c r="BR124" s="510"/>
      <c r="BS124" s="510"/>
      <c r="BT124" s="510"/>
      <c r="BU124" s="510"/>
      <c r="BV124" s="510"/>
      <c r="BW124" s="512"/>
      <c r="BX124" s="509"/>
      <c r="BY124"/>
      <c r="CA124"/>
    </row>
    <row r="125" spans="2:79" ht="18.75">
      <c r="B125" s="252" t="s">
        <v>1033</v>
      </c>
      <c r="C125" s="251">
        <v>35372675000146</v>
      </c>
      <c r="D125" s="252" t="s">
        <v>14</v>
      </c>
      <c r="E125" s="252" t="s">
        <v>607</v>
      </c>
      <c r="F125" s="252" t="s">
        <v>1417</v>
      </c>
      <c r="G125" s="253" t="s">
        <v>1417</v>
      </c>
      <c r="H125" s="253" t="s">
        <v>34</v>
      </c>
      <c r="I125" s="253" t="s">
        <v>34</v>
      </c>
      <c r="J125" s="253" t="s">
        <v>608</v>
      </c>
      <c r="K125" s="253" t="s">
        <v>48</v>
      </c>
      <c r="L125" s="655" t="s">
        <v>1339</v>
      </c>
      <c r="M125" s="655" t="s">
        <v>34</v>
      </c>
      <c r="N125" s="253" t="s">
        <v>3505</v>
      </c>
      <c r="O125" s="253" t="s">
        <v>1321</v>
      </c>
      <c r="P125" s="656">
        <v>43821</v>
      </c>
      <c r="Q125" s="657">
        <v>305.41088731999997</v>
      </c>
      <c r="R125" s="657">
        <v>373.32510924463725</v>
      </c>
      <c r="S125" s="253">
        <v>17</v>
      </c>
      <c r="T125" s="658">
        <v>-2.6209254154943351E-2</v>
      </c>
      <c r="U125" s="659">
        <v>-1.3105688655532575</v>
      </c>
      <c r="V125" s="658">
        <v>-5.410565108461407E-2</v>
      </c>
      <c r="W125" s="659">
        <v>-0.41960610095308148</v>
      </c>
      <c r="X125" s="658">
        <v>-4.9780049010324734E-2</v>
      </c>
      <c r="Y125" s="659">
        <v>-0.25781050427545621</v>
      </c>
      <c r="Z125" s="658">
        <v>0.26466732790772163</v>
      </c>
      <c r="AA125" s="659">
        <v>1.1950463023682523</v>
      </c>
      <c r="AB125" s="658">
        <v>0.21356600809795592</v>
      </c>
      <c r="AC125" s="660">
        <v>-0.85710999686543476</v>
      </c>
      <c r="AD125" s="682">
        <v>35372771000194</v>
      </c>
      <c r="AE125" s="944" t="s">
        <v>1916</v>
      </c>
      <c r="AF125" s="661" t="s">
        <v>1767</v>
      </c>
      <c r="AG125" s="662" t="s">
        <v>59</v>
      </c>
      <c r="AH125" s="662" t="s">
        <v>1734</v>
      </c>
      <c r="AI125" s="662">
        <v>1</v>
      </c>
      <c r="AJ125" s="662">
        <v>1</v>
      </c>
      <c r="AK125" s="662">
        <v>1</v>
      </c>
      <c r="AL125" s="658">
        <v>0</v>
      </c>
      <c r="AM125" s="658">
        <v>0</v>
      </c>
      <c r="AN125" s="659" t="s">
        <v>666</v>
      </c>
      <c r="AO125" s="253" t="s">
        <v>34</v>
      </c>
      <c r="AP125" s="944" t="s">
        <v>1731</v>
      </c>
      <c r="AQ125" s="663" t="s">
        <v>659</v>
      </c>
      <c r="AR125" s="658">
        <v>4.6666666666666697E-3</v>
      </c>
      <c r="AS125" s="658">
        <v>4.6666666666666697E-3</v>
      </c>
      <c r="AT125" s="658" t="s">
        <v>1417</v>
      </c>
      <c r="AU125" s="658" t="s">
        <v>2751</v>
      </c>
      <c r="AX125" s="508"/>
      <c r="AY125" s="509"/>
      <c r="AZ125" s="509"/>
      <c r="BA125" s="509"/>
      <c r="BB125" s="509"/>
      <c r="BC125" s="509"/>
      <c r="BD125" s="509"/>
      <c r="BE125" s="509"/>
      <c r="BF125" s="509"/>
      <c r="BG125" s="509"/>
      <c r="BH125" s="665"/>
      <c r="BI125" s="510"/>
      <c r="BJ125" s="511"/>
      <c r="BK125" s="511"/>
      <c r="BL125" s="511"/>
      <c r="BM125" s="195"/>
      <c r="BN125" s="510"/>
      <c r="BO125" s="510"/>
      <c r="BP125" s="510"/>
      <c r="BQ125" s="510"/>
      <c r="BR125" s="510"/>
      <c r="BS125" s="510"/>
      <c r="BT125" s="510"/>
      <c r="BU125" s="510"/>
      <c r="BV125" s="510"/>
      <c r="BW125" s="512"/>
      <c r="BX125" s="509"/>
      <c r="BY125"/>
      <c r="CA125"/>
    </row>
    <row r="126" spans="2:79" ht="18.75">
      <c r="B126" s="252" t="s">
        <v>1047</v>
      </c>
      <c r="C126" s="251">
        <v>34096240000153</v>
      </c>
      <c r="D126" s="252" t="s">
        <v>11</v>
      </c>
      <c r="E126" s="252" t="s">
        <v>620</v>
      </c>
      <c r="F126" s="252" t="s">
        <v>685</v>
      </c>
      <c r="G126" s="253" t="s">
        <v>738</v>
      </c>
      <c r="H126" s="253" t="s">
        <v>34</v>
      </c>
      <c r="I126" s="253" t="s">
        <v>1319</v>
      </c>
      <c r="J126" s="253" t="s">
        <v>608</v>
      </c>
      <c r="K126" s="253" t="s">
        <v>48</v>
      </c>
      <c r="L126" s="655" t="s">
        <v>1339</v>
      </c>
      <c r="M126" s="655" t="s">
        <v>34</v>
      </c>
      <c r="N126" s="253" t="s">
        <v>3542</v>
      </c>
      <c r="O126" s="253" t="s">
        <v>1321</v>
      </c>
      <c r="P126" s="656">
        <v>43684</v>
      </c>
      <c r="Q126" s="657">
        <v>55.376909490000003</v>
      </c>
      <c r="R126" s="657">
        <v>63.852551615100388</v>
      </c>
      <c r="S126" s="253">
        <v>271</v>
      </c>
      <c r="T126" s="658">
        <v>1.6994243389140795E-2</v>
      </c>
      <c r="U126" s="659">
        <v>0.84978100283870273</v>
      </c>
      <c r="V126" s="658">
        <v>0.14732525421367937</v>
      </c>
      <c r="W126" s="659">
        <v>1.1425530282566505</v>
      </c>
      <c r="X126" s="658">
        <v>0.25814188468495902</v>
      </c>
      <c r="Y126" s="659">
        <v>1.3369149044317465</v>
      </c>
      <c r="Z126" s="658">
        <v>0.3647578192823353</v>
      </c>
      <c r="AA126" s="659">
        <v>1.6469825975091374</v>
      </c>
      <c r="AB126" s="658">
        <v>1.7076769586739014E-2</v>
      </c>
      <c r="AC126" s="660">
        <v>1.0763947287293185</v>
      </c>
      <c r="AD126" s="682">
        <v>0</v>
      </c>
      <c r="AE126" s="944" t="s">
        <v>1919</v>
      </c>
      <c r="AF126" s="661" t="s">
        <v>1745</v>
      </c>
      <c r="AG126" s="662" t="s">
        <v>1432</v>
      </c>
      <c r="AH126" s="662" t="s">
        <v>1730</v>
      </c>
      <c r="AI126" s="662">
        <v>5000</v>
      </c>
      <c r="AJ126" s="662">
        <v>5000</v>
      </c>
      <c r="AK126" s="662">
        <v>5000</v>
      </c>
      <c r="AL126" s="658">
        <v>0.02</v>
      </c>
      <c r="AM126" s="658">
        <v>0.2</v>
      </c>
      <c r="AN126" s="659" t="s">
        <v>34</v>
      </c>
      <c r="AO126" s="253" t="s">
        <v>34</v>
      </c>
      <c r="AP126" s="944" t="s">
        <v>1746</v>
      </c>
      <c r="AQ126" s="663" t="s">
        <v>668</v>
      </c>
      <c r="AR126" s="658">
        <v>3.3333333333333301E-3</v>
      </c>
      <c r="AS126" s="658">
        <v>3.3333333333333301E-3</v>
      </c>
      <c r="AT126" s="658" t="s">
        <v>1417</v>
      </c>
      <c r="AU126" s="658" t="s">
        <v>2751</v>
      </c>
      <c r="AX126" s="508"/>
      <c r="AY126" s="509"/>
      <c r="AZ126" s="509"/>
      <c r="BA126" s="509"/>
      <c r="BB126" s="509"/>
      <c r="BC126" s="509"/>
      <c r="BD126" s="509"/>
      <c r="BE126" s="509"/>
      <c r="BF126" s="509"/>
      <c r="BG126" s="509"/>
      <c r="BH126" s="665"/>
      <c r="BI126" s="510"/>
      <c r="BJ126" s="511"/>
      <c r="BK126" s="511"/>
      <c r="BL126" s="511"/>
      <c r="BM126" s="195"/>
      <c r="BN126" s="510"/>
      <c r="BO126" s="510"/>
      <c r="BP126" s="510"/>
      <c r="BQ126" s="510"/>
      <c r="BR126" s="510"/>
      <c r="BS126" s="510"/>
      <c r="BT126" s="510"/>
      <c r="BU126" s="510"/>
      <c r="BV126" s="510"/>
      <c r="BW126" s="512"/>
      <c r="BX126" s="509"/>
      <c r="BY126"/>
      <c r="CA126"/>
    </row>
    <row r="127" spans="2:79" ht="18.75">
      <c r="B127" s="252" t="s">
        <v>1048</v>
      </c>
      <c r="C127" s="251">
        <v>35420451000162</v>
      </c>
      <c r="D127" s="252" t="s">
        <v>11</v>
      </c>
      <c r="E127" s="252" t="s">
        <v>4235</v>
      </c>
      <c r="F127" s="252" t="s">
        <v>685</v>
      </c>
      <c r="G127" s="253" t="s">
        <v>738</v>
      </c>
      <c r="H127" s="253" t="s">
        <v>34</v>
      </c>
      <c r="I127" s="253" t="s">
        <v>1319</v>
      </c>
      <c r="J127" s="253" t="s">
        <v>690</v>
      </c>
      <c r="K127" s="253" t="s">
        <v>48</v>
      </c>
      <c r="L127" s="655" t="s">
        <v>1339</v>
      </c>
      <c r="M127" s="655" t="s">
        <v>34</v>
      </c>
      <c r="N127" s="253" t="s">
        <v>3543</v>
      </c>
      <c r="O127" s="253" t="s">
        <v>1321</v>
      </c>
      <c r="P127" s="656">
        <v>43732</v>
      </c>
      <c r="Q127" s="657">
        <v>33.08293381</v>
      </c>
      <c r="R127" s="657">
        <v>28.053472692419355</v>
      </c>
      <c r="S127" s="253">
        <v>211</v>
      </c>
      <c r="T127" s="658">
        <v>2.4511054403020927E-2</v>
      </c>
      <c r="U127" s="659">
        <v>1.2256519995790298</v>
      </c>
      <c r="V127" s="658">
        <v>0.12267285033450914</v>
      </c>
      <c r="W127" s="659">
        <v>0.95136599208769057</v>
      </c>
      <c r="X127" s="658">
        <v>0.28876254596407969</v>
      </c>
      <c r="Y127" s="659">
        <v>1.4954990818796372</v>
      </c>
      <c r="Z127" s="658">
        <v>0.33030764230820941</v>
      </c>
      <c r="AA127" s="659">
        <v>1.4914305052493209</v>
      </c>
      <c r="AB127" s="658">
        <v>2.4931059616470273E-2</v>
      </c>
      <c r="AC127" s="660">
        <v>-0.25153600403475601</v>
      </c>
      <c r="AD127" s="682">
        <v>22681938000157</v>
      </c>
      <c r="AE127" s="944" t="s">
        <v>1919</v>
      </c>
      <c r="AF127" s="661" t="s">
        <v>1861</v>
      </c>
      <c r="AG127" s="662" t="s">
        <v>761</v>
      </c>
      <c r="AH127" s="662" t="s">
        <v>1730</v>
      </c>
      <c r="AI127" s="662">
        <v>50000</v>
      </c>
      <c r="AJ127" s="662">
        <v>10000</v>
      </c>
      <c r="AK127" s="662">
        <v>30000</v>
      </c>
      <c r="AL127" s="658">
        <v>0</v>
      </c>
      <c r="AM127" s="658">
        <v>0</v>
      </c>
      <c r="AN127" s="659" t="s">
        <v>64</v>
      </c>
      <c r="AO127" s="253" t="s">
        <v>34</v>
      </c>
      <c r="AP127" s="944" t="s">
        <v>1746</v>
      </c>
      <c r="AQ127" s="663" t="s">
        <v>679</v>
      </c>
      <c r="AR127" s="658">
        <v>5.3333333333333297E-3</v>
      </c>
      <c r="AS127" s="658">
        <v>5.3333333333333297E-3</v>
      </c>
      <c r="AT127" s="658" t="s">
        <v>1417</v>
      </c>
      <c r="AU127" s="658" t="s">
        <v>2751</v>
      </c>
      <c r="AX127" s="508"/>
      <c r="AY127" s="509"/>
      <c r="AZ127" s="509"/>
      <c r="BA127" s="509"/>
      <c r="BB127" s="509"/>
      <c r="BC127" s="509"/>
      <c r="BD127" s="509"/>
      <c r="BE127" s="509"/>
      <c r="BF127" s="509"/>
      <c r="BG127" s="509"/>
      <c r="BH127" s="665"/>
      <c r="BI127" s="510"/>
      <c r="BJ127" s="511"/>
      <c r="BK127" s="511"/>
      <c r="BL127" s="511"/>
      <c r="BM127" s="195"/>
      <c r="BN127" s="510"/>
      <c r="BO127" s="510"/>
      <c r="BP127" s="510"/>
      <c r="BQ127" s="510"/>
      <c r="BR127" s="510"/>
      <c r="BS127" s="510"/>
      <c r="BT127" s="510"/>
      <c r="BU127" s="510"/>
      <c r="BV127" s="510"/>
      <c r="BW127" s="512"/>
      <c r="BX127" s="509"/>
      <c r="BY127"/>
      <c r="CA127"/>
    </row>
    <row r="128" spans="2:79" ht="18.75">
      <c r="B128" s="252" t="s">
        <v>278</v>
      </c>
      <c r="C128" s="251">
        <v>19392834000118</v>
      </c>
      <c r="D128" s="252" t="s">
        <v>11</v>
      </c>
      <c r="E128" s="252" t="s">
        <v>620</v>
      </c>
      <c r="F128" s="252" t="s">
        <v>685</v>
      </c>
      <c r="G128" s="253" t="s">
        <v>738</v>
      </c>
      <c r="H128" s="253" t="s">
        <v>34</v>
      </c>
      <c r="I128" s="253" t="s">
        <v>1319</v>
      </c>
      <c r="J128" s="253" t="s">
        <v>608</v>
      </c>
      <c r="K128" s="253" t="s">
        <v>48</v>
      </c>
      <c r="L128" s="655" t="s">
        <v>1339</v>
      </c>
      <c r="M128" s="655" t="s">
        <v>34</v>
      </c>
      <c r="N128" s="253" t="s">
        <v>3557</v>
      </c>
      <c r="O128" s="253" t="s">
        <v>1321</v>
      </c>
      <c r="P128" s="656">
        <v>41654</v>
      </c>
      <c r="Q128" s="657">
        <v>434.93483600000002</v>
      </c>
      <c r="R128" s="657">
        <v>252.64103328112444</v>
      </c>
      <c r="S128" s="253">
        <v>31</v>
      </c>
      <c r="T128" s="658">
        <v>2.3479062555251229E-2</v>
      </c>
      <c r="U128" s="659">
        <v>1.1740482272169441</v>
      </c>
      <c r="V128" s="658">
        <v>0.16053335789990797</v>
      </c>
      <c r="W128" s="659">
        <v>1.2449859678417439</v>
      </c>
      <c r="X128" s="658">
        <v>0.26413072045338182</v>
      </c>
      <c r="Y128" s="659">
        <v>1.3679310404174652</v>
      </c>
      <c r="Z128" s="658">
        <v>0.32309665932296117</v>
      </c>
      <c r="AA128" s="659">
        <v>1.458870919519246</v>
      </c>
      <c r="AB128" s="658">
        <v>8.4912740884447897E-4</v>
      </c>
      <c r="AC128" s="660">
        <v>37.202248006700898</v>
      </c>
      <c r="AD128" s="682">
        <v>0</v>
      </c>
      <c r="AE128" s="944" t="s">
        <v>1862</v>
      </c>
      <c r="AF128" s="661" t="s">
        <v>1745</v>
      </c>
      <c r="AG128" s="662" t="s">
        <v>1432</v>
      </c>
      <c r="AH128" s="662" t="s">
        <v>1730</v>
      </c>
      <c r="AI128" s="662">
        <v>100</v>
      </c>
      <c r="AJ128" s="662">
        <v>100</v>
      </c>
      <c r="AK128" s="662">
        <v>100</v>
      </c>
      <c r="AL128" s="658">
        <v>5.0000000000000001E-3</v>
      </c>
      <c r="AM128" s="658">
        <v>0</v>
      </c>
      <c r="AN128" s="659" t="s">
        <v>34</v>
      </c>
      <c r="AO128" s="253" t="s">
        <v>34</v>
      </c>
      <c r="AP128" s="944" t="s">
        <v>1746</v>
      </c>
      <c r="AQ128" s="663" t="s">
        <v>671</v>
      </c>
      <c r="AR128" s="658">
        <v>1E-3</v>
      </c>
      <c r="AS128" s="658">
        <v>1E-3</v>
      </c>
      <c r="AT128" s="658" t="s">
        <v>1417</v>
      </c>
      <c r="AU128" s="658" t="s">
        <v>2751</v>
      </c>
      <c r="AX128" s="508"/>
      <c r="AY128" s="509"/>
      <c r="AZ128" s="509"/>
      <c r="BA128" s="509"/>
      <c r="BB128" s="509"/>
      <c r="BC128" s="509"/>
      <c r="BD128" s="509"/>
      <c r="BE128" s="509"/>
      <c r="BF128" s="509"/>
      <c r="BG128" s="509"/>
      <c r="BH128" s="665"/>
      <c r="BI128" s="510"/>
      <c r="BJ128" s="511"/>
      <c r="BK128" s="511"/>
      <c r="BL128" s="511"/>
      <c r="BM128" s="195"/>
      <c r="BN128" s="510"/>
      <c r="BO128" s="510"/>
      <c r="BP128" s="510"/>
      <c r="BQ128" s="510"/>
      <c r="BR128" s="510"/>
      <c r="BS128" s="510"/>
      <c r="BT128" s="510"/>
      <c r="BU128" s="510"/>
      <c r="BV128" s="510"/>
      <c r="BW128" s="512"/>
      <c r="BX128" s="509"/>
      <c r="BY128"/>
      <c r="CA128"/>
    </row>
    <row r="129" spans="2:79" ht="18.75">
      <c r="B129" s="252" t="s">
        <v>279</v>
      </c>
      <c r="C129" s="251">
        <v>23711364000185</v>
      </c>
      <c r="D129" s="252" t="s">
        <v>11</v>
      </c>
      <c r="E129" s="252" t="s">
        <v>620</v>
      </c>
      <c r="F129" s="252" t="s">
        <v>685</v>
      </c>
      <c r="G129" s="253" t="s">
        <v>738</v>
      </c>
      <c r="H129" s="253" t="s">
        <v>34</v>
      </c>
      <c r="I129" s="253" t="s">
        <v>1319</v>
      </c>
      <c r="J129" s="253" t="s">
        <v>608</v>
      </c>
      <c r="K129" s="253" t="s">
        <v>48</v>
      </c>
      <c r="L129" s="655" t="s">
        <v>1339</v>
      </c>
      <c r="M129" s="655" t="s">
        <v>34</v>
      </c>
      <c r="N129" s="253" t="s">
        <v>3558</v>
      </c>
      <c r="O129" s="253" t="s">
        <v>1321</v>
      </c>
      <c r="P129" s="656">
        <v>42593</v>
      </c>
      <c r="Q129" s="657">
        <v>276.62946699999998</v>
      </c>
      <c r="R129" s="657">
        <v>263.36521138152631</v>
      </c>
      <c r="S129" s="253">
        <v>61</v>
      </c>
      <c r="T129" s="658">
        <v>2.4589572333538312E-2</v>
      </c>
      <c r="U129" s="659">
        <v>1.2295782141334546</v>
      </c>
      <c r="V129" s="658">
        <v>0.1625691855476683</v>
      </c>
      <c r="W129" s="659">
        <v>1.2607744425087111</v>
      </c>
      <c r="X129" s="658">
        <v>0.26713901890896397</v>
      </c>
      <c r="Y129" s="659">
        <v>1.3835109957864093</v>
      </c>
      <c r="Z129" s="658">
        <v>0.32673366978676643</v>
      </c>
      <c r="AA129" s="659">
        <v>1.4752930292703994</v>
      </c>
      <c r="AB129" s="658">
        <v>8.2716098024639855E-4</v>
      </c>
      <c r="AC129" s="660">
        <v>40.651429291144147</v>
      </c>
      <c r="AD129" s="682">
        <v>0</v>
      </c>
      <c r="AE129" s="944" t="s">
        <v>1862</v>
      </c>
      <c r="AF129" s="661" t="s">
        <v>1745</v>
      </c>
      <c r="AG129" s="662" t="s">
        <v>1432</v>
      </c>
      <c r="AH129" s="662" t="s">
        <v>1730</v>
      </c>
      <c r="AI129" s="662">
        <v>100</v>
      </c>
      <c r="AJ129" s="662">
        <v>100</v>
      </c>
      <c r="AK129" s="662">
        <v>100</v>
      </c>
      <c r="AL129" s="658">
        <v>0.01</v>
      </c>
      <c r="AM129" s="658">
        <v>0</v>
      </c>
      <c r="AN129" s="659" t="s">
        <v>64</v>
      </c>
      <c r="AO129" s="253" t="s">
        <v>34</v>
      </c>
      <c r="AP129" s="944" t="s">
        <v>1746</v>
      </c>
      <c r="AQ129" s="663" t="s">
        <v>671</v>
      </c>
      <c r="AR129" s="658">
        <v>3.0000000000000001E-3</v>
      </c>
      <c r="AS129" s="658">
        <v>3.0000000000000001E-3</v>
      </c>
      <c r="AT129" s="658" t="s">
        <v>1417</v>
      </c>
      <c r="AU129" s="658" t="s">
        <v>2751</v>
      </c>
      <c r="AX129" s="508"/>
      <c r="AY129" s="509"/>
      <c r="AZ129" s="509"/>
      <c r="BA129" s="509"/>
      <c r="BB129" s="509"/>
      <c r="BC129" s="509"/>
      <c r="BD129" s="509"/>
      <c r="BE129" s="509"/>
      <c r="BF129" s="509"/>
      <c r="BG129" s="509"/>
      <c r="BH129" s="665"/>
      <c r="BI129" s="510"/>
      <c r="BJ129" s="511"/>
      <c r="BK129" s="511"/>
      <c r="BL129" s="511"/>
      <c r="BM129" s="195"/>
      <c r="BN129" s="510"/>
      <c r="BO129" s="510"/>
      <c r="BP129" s="510"/>
      <c r="BQ129" s="510"/>
      <c r="BR129" s="510"/>
      <c r="BS129" s="510"/>
      <c r="BT129" s="510"/>
      <c r="BU129" s="510"/>
      <c r="BV129" s="510"/>
      <c r="BW129" s="512"/>
      <c r="BX129" s="509"/>
      <c r="BY129"/>
      <c r="CA129"/>
    </row>
    <row r="130" spans="2:79" ht="18.75">
      <c r="B130" s="252" t="s">
        <v>1056</v>
      </c>
      <c r="C130" s="251">
        <v>39958460000162</v>
      </c>
      <c r="D130" s="252" t="s">
        <v>11</v>
      </c>
      <c r="E130" s="252" t="s">
        <v>620</v>
      </c>
      <c r="F130" s="252" t="s">
        <v>685</v>
      </c>
      <c r="G130" s="253" t="s">
        <v>738</v>
      </c>
      <c r="H130" s="253" t="s">
        <v>34</v>
      </c>
      <c r="I130" s="253" t="s">
        <v>1319</v>
      </c>
      <c r="J130" s="253" t="s">
        <v>608</v>
      </c>
      <c r="K130" s="253" t="s">
        <v>48</v>
      </c>
      <c r="L130" s="655" t="s">
        <v>1339</v>
      </c>
      <c r="M130" s="655" t="s">
        <v>34</v>
      </c>
      <c r="N130" s="253" t="s">
        <v>3562</v>
      </c>
      <c r="O130" s="253" t="s">
        <v>1321</v>
      </c>
      <c r="P130" s="656">
        <v>44172</v>
      </c>
      <c r="Q130" s="657">
        <v>126.2121154</v>
      </c>
      <c r="R130" s="657">
        <v>102.51032883718875</v>
      </c>
      <c r="S130" s="253">
        <v>32</v>
      </c>
      <c r="T130" s="658">
        <v>8.7390312759518807E-3</v>
      </c>
      <c r="U130" s="659">
        <v>0.43698696031754541</v>
      </c>
      <c r="V130" s="658">
        <v>0.1350147501872323</v>
      </c>
      <c r="W130" s="659">
        <v>1.0470812523560813</v>
      </c>
      <c r="X130" s="658">
        <v>0.22577258823399649</v>
      </c>
      <c r="Y130" s="659">
        <v>1.1692745584101196</v>
      </c>
      <c r="Z130" s="658"/>
      <c r="AA130" s="659"/>
      <c r="AB130" s="658">
        <v>7.6021866579196948E-3</v>
      </c>
      <c r="AC130" s="660">
        <v>0.79856507260572962</v>
      </c>
      <c r="AD130" s="682">
        <v>0</v>
      </c>
      <c r="AE130" s="944" t="s">
        <v>1951</v>
      </c>
      <c r="AF130" s="661" t="s">
        <v>1745</v>
      </c>
      <c r="AG130" s="662" t="s">
        <v>1432</v>
      </c>
      <c r="AH130" s="662" t="s">
        <v>1730</v>
      </c>
      <c r="AI130" s="662">
        <v>1000</v>
      </c>
      <c r="AJ130" s="662">
        <v>1000</v>
      </c>
      <c r="AK130" s="662">
        <v>1000</v>
      </c>
      <c r="AL130" s="658">
        <v>0.01</v>
      </c>
      <c r="AM130" s="658">
        <v>0.1</v>
      </c>
      <c r="AN130" s="659" t="s">
        <v>2127</v>
      </c>
      <c r="AO130" s="253" t="s">
        <v>34</v>
      </c>
      <c r="AP130" s="944" t="s">
        <v>1735</v>
      </c>
      <c r="AQ130" s="663" t="s">
        <v>675</v>
      </c>
      <c r="AR130" s="658">
        <v>3.3333333333333301E-3</v>
      </c>
      <c r="AS130" s="658">
        <v>3.3333333333333301E-3</v>
      </c>
      <c r="AT130" s="658" t="s">
        <v>1417</v>
      </c>
      <c r="AU130" s="658" t="s">
        <v>2751</v>
      </c>
      <c r="AX130" s="508"/>
      <c r="AY130" s="509"/>
      <c r="AZ130" s="509"/>
      <c r="BA130" s="509"/>
      <c r="BB130" s="509"/>
      <c r="BC130" s="509"/>
      <c r="BD130" s="509"/>
      <c r="BE130" s="509"/>
      <c r="BF130" s="509"/>
      <c r="BG130" s="509"/>
      <c r="BH130" s="665"/>
      <c r="BI130" s="510"/>
      <c r="BJ130" s="511"/>
      <c r="BK130" s="511"/>
      <c r="BL130" s="511"/>
      <c r="BM130" s="195"/>
      <c r="BN130" s="510"/>
      <c r="BO130" s="510"/>
      <c r="BP130" s="510"/>
      <c r="BQ130" s="510"/>
      <c r="BR130" s="510"/>
      <c r="BS130" s="510"/>
      <c r="BT130" s="510"/>
      <c r="BU130" s="510"/>
      <c r="BV130" s="510"/>
      <c r="BW130" s="512"/>
      <c r="BX130" s="509"/>
      <c r="BY130"/>
      <c r="CA130"/>
    </row>
    <row r="131" spans="2:79" ht="18.75">
      <c r="B131" s="252" t="s">
        <v>280</v>
      </c>
      <c r="C131" s="251">
        <v>26841302000186</v>
      </c>
      <c r="D131" s="252" t="s">
        <v>11</v>
      </c>
      <c r="E131" s="252" t="s">
        <v>620</v>
      </c>
      <c r="F131" s="252" t="s">
        <v>685</v>
      </c>
      <c r="G131" s="253" t="s">
        <v>738</v>
      </c>
      <c r="H131" s="253" t="s">
        <v>34</v>
      </c>
      <c r="I131" s="253" t="s">
        <v>1319</v>
      </c>
      <c r="J131" s="253" t="s">
        <v>608</v>
      </c>
      <c r="K131" s="253" t="s">
        <v>48</v>
      </c>
      <c r="L131" s="655" t="s">
        <v>1339</v>
      </c>
      <c r="M131" s="655" t="s">
        <v>34</v>
      </c>
      <c r="N131" s="253" t="s">
        <v>3563</v>
      </c>
      <c r="O131" s="253" t="s">
        <v>1321</v>
      </c>
      <c r="P131" s="656">
        <v>42929</v>
      </c>
      <c r="Q131" s="657">
        <v>377.240003</v>
      </c>
      <c r="R131" s="657">
        <v>240.26685040963855</v>
      </c>
      <c r="S131" s="253">
        <v>91</v>
      </c>
      <c r="T131" s="658">
        <v>2.483552041171655E-2</v>
      </c>
      <c r="U131" s="659">
        <v>1.2418766142289897</v>
      </c>
      <c r="V131" s="658">
        <v>0.16717985131631363</v>
      </c>
      <c r="W131" s="659">
        <v>1.2965315851952217</v>
      </c>
      <c r="X131" s="658">
        <v>0.27442462573654569</v>
      </c>
      <c r="Y131" s="659">
        <v>1.4212430994607543</v>
      </c>
      <c r="Z131" s="658">
        <v>0.33169366486769714</v>
      </c>
      <c r="AA131" s="659">
        <v>1.4976887810546831</v>
      </c>
      <c r="AB131" s="658">
        <v>8.1410674491948015E-4</v>
      </c>
      <c r="AC131" s="660">
        <v>46.966742516433804</v>
      </c>
      <c r="AD131" s="682">
        <v>0</v>
      </c>
      <c r="AE131" s="944" t="s">
        <v>1951</v>
      </c>
      <c r="AF131" s="661" t="s">
        <v>1745</v>
      </c>
      <c r="AG131" s="662" t="s">
        <v>1432</v>
      </c>
      <c r="AH131" s="662" t="s">
        <v>1730</v>
      </c>
      <c r="AI131" s="662">
        <v>10000</v>
      </c>
      <c r="AJ131" s="662">
        <v>1000</v>
      </c>
      <c r="AK131" s="662">
        <v>10000</v>
      </c>
      <c r="AL131" s="658">
        <v>9.7000000000000003E-3</v>
      </c>
      <c r="AM131" s="658">
        <v>0</v>
      </c>
      <c r="AN131" s="659" t="s">
        <v>2127</v>
      </c>
      <c r="AO131" s="253" t="s">
        <v>34</v>
      </c>
      <c r="AP131" s="944" t="s">
        <v>1746</v>
      </c>
      <c r="AQ131" s="663" t="s">
        <v>668</v>
      </c>
      <c r="AR131" s="658">
        <v>3.2333333333333298E-3</v>
      </c>
      <c r="AS131" s="658">
        <v>3.2333333333333298E-3</v>
      </c>
      <c r="AT131" s="658" t="s">
        <v>1417</v>
      </c>
      <c r="AU131" s="658" t="s">
        <v>2751</v>
      </c>
      <c r="AX131" s="508"/>
      <c r="AY131" s="509"/>
      <c r="AZ131" s="509"/>
      <c r="BA131" s="509"/>
      <c r="BB131" s="509"/>
      <c r="BC131" s="509"/>
      <c r="BD131" s="509"/>
      <c r="BE131" s="509"/>
      <c r="BF131" s="509"/>
      <c r="BG131" s="509"/>
      <c r="BH131" s="665"/>
      <c r="BI131" s="510"/>
      <c r="BJ131" s="511"/>
      <c r="BK131" s="511"/>
      <c r="BL131" s="511"/>
      <c r="BM131" s="195"/>
      <c r="BN131" s="510"/>
      <c r="BO131" s="510"/>
      <c r="BP131" s="510"/>
      <c r="BQ131" s="510"/>
      <c r="BR131" s="510"/>
      <c r="BS131" s="510"/>
      <c r="BT131" s="510"/>
      <c r="BU131" s="510"/>
      <c r="BV131" s="510"/>
      <c r="BW131" s="512"/>
      <c r="BX131" s="509"/>
      <c r="BY131"/>
      <c r="CA131"/>
    </row>
    <row r="132" spans="2:79" ht="18.75">
      <c r="B132" s="252" t="s">
        <v>285</v>
      </c>
      <c r="C132" s="251">
        <v>32397723000162</v>
      </c>
      <c r="D132" s="252" t="s">
        <v>13</v>
      </c>
      <c r="E132" s="252" t="s">
        <v>615</v>
      </c>
      <c r="F132" s="252" t="s">
        <v>619</v>
      </c>
      <c r="G132" s="253" t="s">
        <v>34</v>
      </c>
      <c r="H132" s="253" t="s">
        <v>1338</v>
      </c>
      <c r="I132" s="253" t="s">
        <v>34</v>
      </c>
      <c r="J132" s="253" t="s">
        <v>611</v>
      </c>
      <c r="K132" s="253" t="s">
        <v>48</v>
      </c>
      <c r="L132" s="655" t="s">
        <v>1339</v>
      </c>
      <c r="M132" s="655" t="s">
        <v>34</v>
      </c>
      <c r="N132" s="253" t="s">
        <v>3654</v>
      </c>
      <c r="O132" s="253" t="s">
        <v>1324</v>
      </c>
      <c r="P132" s="656">
        <v>43499</v>
      </c>
      <c r="Q132" s="657">
        <v>1532.8972274600001</v>
      </c>
      <c r="R132" s="657">
        <v>1125.9062695295599</v>
      </c>
      <c r="S132" s="253">
        <v>31</v>
      </c>
      <c r="T132" s="658">
        <v>1.9777824807190258E-2</v>
      </c>
      <c r="U132" s="659">
        <v>0.98897134834268363</v>
      </c>
      <c r="V132" s="658">
        <v>0.23599012611687709</v>
      </c>
      <c r="W132" s="659">
        <v>1.8301766025968353</v>
      </c>
      <c r="X132" s="658">
        <v>0.34146464047218439</v>
      </c>
      <c r="Y132" s="659">
        <v>1.7684428380958908</v>
      </c>
      <c r="Z132" s="658">
        <v>0.55437361159751841</v>
      </c>
      <c r="AA132" s="659">
        <v>2.5031504262631716</v>
      </c>
      <c r="AB132" s="658">
        <v>9.2924272906978717E-2</v>
      </c>
      <c r="AC132" s="660">
        <v>1.151972604372667</v>
      </c>
      <c r="AD132" s="682">
        <v>37098935000162</v>
      </c>
      <c r="AE132" s="944" t="s">
        <v>1975</v>
      </c>
      <c r="AF132" s="661" t="s">
        <v>1745</v>
      </c>
      <c r="AG132" s="662" t="s">
        <v>1432</v>
      </c>
      <c r="AH132" s="662" t="s">
        <v>1734</v>
      </c>
      <c r="AI132" s="662">
        <v>5000</v>
      </c>
      <c r="AJ132" s="662">
        <v>1000</v>
      </c>
      <c r="AK132" s="662">
        <v>1000</v>
      </c>
      <c r="AL132" s="658">
        <v>0.02</v>
      </c>
      <c r="AM132" s="658">
        <v>0.2</v>
      </c>
      <c r="AN132" s="659" t="s">
        <v>34</v>
      </c>
      <c r="AO132" s="253" t="s">
        <v>34</v>
      </c>
      <c r="AP132" s="944" t="s">
        <v>1746</v>
      </c>
      <c r="AQ132" s="663" t="s">
        <v>668</v>
      </c>
      <c r="AR132" s="658">
        <v>4.0000000000000001E-3</v>
      </c>
      <c r="AS132" s="658">
        <v>4.0000000000000001E-3</v>
      </c>
      <c r="AT132" s="658" t="s">
        <v>1417</v>
      </c>
      <c r="AU132" s="658" t="s">
        <v>2751</v>
      </c>
      <c r="AX132" s="508"/>
      <c r="AY132" s="509"/>
      <c r="AZ132" s="509"/>
      <c r="BA132" s="509"/>
      <c r="BB132" s="509"/>
      <c r="BC132" s="509"/>
      <c r="BD132" s="509"/>
      <c r="BE132" s="509"/>
      <c r="BF132" s="509"/>
      <c r="BG132" s="509"/>
      <c r="BH132" s="665"/>
      <c r="BI132" s="510"/>
      <c r="BJ132" s="511"/>
      <c r="BK132" s="511"/>
      <c r="BL132" s="511"/>
      <c r="BM132" s="195"/>
      <c r="BN132" s="510"/>
      <c r="BO132" s="510"/>
      <c r="BP132" s="510"/>
      <c r="BQ132" s="510"/>
      <c r="BR132" s="510"/>
      <c r="BS132" s="510"/>
      <c r="BT132" s="510"/>
      <c r="BU132" s="510"/>
      <c r="BV132" s="510"/>
      <c r="BW132" s="512"/>
      <c r="BX132" s="509"/>
      <c r="BY132"/>
      <c r="CA132"/>
    </row>
    <row r="133" spans="2:79" ht="18.75">
      <c r="B133" s="252" t="s">
        <v>299</v>
      </c>
      <c r="C133" s="251">
        <v>15585932000110</v>
      </c>
      <c r="D133" s="252" t="s">
        <v>11</v>
      </c>
      <c r="E133" s="252" t="s">
        <v>620</v>
      </c>
      <c r="F133" s="252" t="s">
        <v>685</v>
      </c>
      <c r="G133" s="253" t="s">
        <v>738</v>
      </c>
      <c r="H133" s="253" t="s">
        <v>34</v>
      </c>
      <c r="I133" s="253" t="s">
        <v>1319</v>
      </c>
      <c r="J133" s="253" t="s">
        <v>608</v>
      </c>
      <c r="K133" s="253" t="s">
        <v>48</v>
      </c>
      <c r="L133" s="655" t="s">
        <v>1339</v>
      </c>
      <c r="M133" s="655" t="s">
        <v>34</v>
      </c>
      <c r="N133" s="253" t="s">
        <v>3684</v>
      </c>
      <c r="O133" s="253" t="s">
        <v>1321</v>
      </c>
      <c r="P133" s="656">
        <v>41094</v>
      </c>
      <c r="Q133" s="657">
        <v>154.90934200000001</v>
      </c>
      <c r="R133" s="657">
        <v>116.28604910483872</v>
      </c>
      <c r="S133" s="253">
        <v>181</v>
      </c>
      <c r="T133" s="658">
        <v>2.5958198093112506E-2</v>
      </c>
      <c r="U133" s="659">
        <v>1.2980150455857455</v>
      </c>
      <c r="V133" s="658">
        <v>0.17602080578829837</v>
      </c>
      <c r="W133" s="659">
        <v>1.365095928481503</v>
      </c>
      <c r="X133" s="658">
        <v>0.29331993972877801</v>
      </c>
      <c r="Y133" s="659">
        <v>1.5191017903545727</v>
      </c>
      <c r="Z133" s="658">
        <v>0.35444990948783373</v>
      </c>
      <c r="AA133" s="659">
        <v>1.6004395293395766</v>
      </c>
      <c r="AB133" s="658">
        <v>1.9531822955534293E-3</v>
      </c>
      <c r="AC133" s="660">
        <v>24.102663867414844</v>
      </c>
      <c r="AD133" s="682">
        <v>0</v>
      </c>
      <c r="AE133" s="944" t="s">
        <v>1862</v>
      </c>
      <c r="AF133" s="661" t="s">
        <v>1745</v>
      </c>
      <c r="AG133" s="662" t="s">
        <v>1432</v>
      </c>
      <c r="AH133" s="662" t="s">
        <v>1730</v>
      </c>
      <c r="AI133" s="662">
        <v>100</v>
      </c>
      <c r="AJ133" s="662">
        <v>100</v>
      </c>
      <c r="AK133" s="662">
        <v>100</v>
      </c>
      <c r="AL133" s="658">
        <v>1.2E-2</v>
      </c>
      <c r="AM133" s="658">
        <v>0.2</v>
      </c>
      <c r="AN133" s="659" t="s">
        <v>2127</v>
      </c>
      <c r="AO133" s="253" t="s">
        <v>34</v>
      </c>
      <c r="AP133" s="944" t="s">
        <v>1746</v>
      </c>
      <c r="AQ133" s="663" t="s">
        <v>671</v>
      </c>
      <c r="AR133" s="658">
        <v>4.0000000000000001E-3</v>
      </c>
      <c r="AS133" s="658">
        <v>4.0000000000000001E-3</v>
      </c>
      <c r="AT133" s="658" t="s">
        <v>1417</v>
      </c>
      <c r="AU133" s="658" t="s">
        <v>2751</v>
      </c>
      <c r="AX133" s="508"/>
      <c r="AY133" s="509"/>
      <c r="AZ133" s="509"/>
      <c r="BA133" s="509"/>
      <c r="BB133" s="509"/>
      <c r="BC133" s="509"/>
      <c r="BD133" s="509"/>
      <c r="BE133" s="509"/>
      <c r="BF133" s="509"/>
      <c r="BG133" s="509"/>
      <c r="BH133" s="665"/>
      <c r="BI133" s="510"/>
      <c r="BJ133" s="511"/>
      <c r="BK133" s="511"/>
      <c r="BL133" s="511"/>
      <c r="BM133" s="195"/>
      <c r="BN133" s="510"/>
      <c r="BO133" s="510"/>
      <c r="BP133" s="510"/>
      <c r="BQ133" s="510"/>
      <c r="BR133" s="510"/>
      <c r="BS133" s="510"/>
      <c r="BT133" s="510"/>
      <c r="BU133" s="510"/>
      <c r="BV133" s="510"/>
      <c r="BW133" s="512"/>
      <c r="BX133" s="509"/>
      <c r="BY133"/>
      <c r="CA133"/>
    </row>
    <row r="134" spans="2:79" ht="18.75">
      <c r="B134" s="252" t="s">
        <v>314</v>
      </c>
      <c r="C134" s="251">
        <v>26396708000105</v>
      </c>
      <c r="D134" s="252" t="s">
        <v>13</v>
      </c>
      <c r="E134" s="252" t="s">
        <v>616</v>
      </c>
      <c r="F134" s="252" t="s">
        <v>618</v>
      </c>
      <c r="G134" s="253" t="s">
        <v>34</v>
      </c>
      <c r="H134" s="253" t="s">
        <v>865</v>
      </c>
      <c r="I134" s="253" t="s">
        <v>34</v>
      </c>
      <c r="J134" s="253" t="s">
        <v>611</v>
      </c>
      <c r="K134" s="253" t="s">
        <v>48</v>
      </c>
      <c r="L134" s="655" t="s">
        <v>1339</v>
      </c>
      <c r="M134" s="655" t="s">
        <v>1414</v>
      </c>
      <c r="N134" s="253" t="s">
        <v>3731</v>
      </c>
      <c r="O134" s="253" t="s">
        <v>1321</v>
      </c>
      <c r="P134" s="656">
        <v>42693</v>
      </c>
      <c r="Q134" s="657">
        <v>303.09776099999999</v>
      </c>
      <c r="R134" s="657">
        <v>330.03902993548388</v>
      </c>
      <c r="S134" s="253">
        <v>31</v>
      </c>
      <c r="T134" s="658">
        <v>1.0980674992326911E-2</v>
      </c>
      <c r="U134" s="659">
        <v>0.54907822567658293</v>
      </c>
      <c r="V134" s="658">
        <v>0.11296359939744538</v>
      </c>
      <c r="W134" s="659">
        <v>0.87606774047798197</v>
      </c>
      <c r="X134" s="658">
        <v>0.25299388963740577</v>
      </c>
      <c r="Y134" s="659">
        <v>1.310253476297315</v>
      </c>
      <c r="Z134" s="658">
        <v>0.169925809180969</v>
      </c>
      <c r="AA134" s="659">
        <v>0.76726210047902821</v>
      </c>
      <c r="AB134" s="658">
        <v>6.9403554311839949E-2</v>
      </c>
      <c r="AC134" s="660">
        <v>-0.23025204123611864</v>
      </c>
      <c r="AD134" s="682">
        <v>23648930000151</v>
      </c>
      <c r="AE134" s="944" t="s">
        <v>1944</v>
      </c>
      <c r="AF134" s="661" t="s">
        <v>1745</v>
      </c>
      <c r="AG134" s="662" t="s">
        <v>1432</v>
      </c>
      <c r="AH134" s="662" t="s">
        <v>1801</v>
      </c>
      <c r="AI134" s="662">
        <v>10000</v>
      </c>
      <c r="AJ134" s="662">
        <v>10000</v>
      </c>
      <c r="AK134" s="662">
        <v>10000</v>
      </c>
      <c r="AL134" s="658">
        <v>0.02</v>
      </c>
      <c r="AM134" s="658">
        <v>0.2</v>
      </c>
      <c r="AN134" s="659" t="s">
        <v>34</v>
      </c>
      <c r="AO134" s="253" t="s">
        <v>34</v>
      </c>
      <c r="AP134" s="944" t="s">
        <v>1746</v>
      </c>
      <c r="AQ134" s="663" t="s">
        <v>668</v>
      </c>
      <c r="AR134" s="658">
        <v>0</v>
      </c>
      <c r="AS134" s="658">
        <v>0</v>
      </c>
      <c r="AT134" s="658" t="s">
        <v>1417</v>
      </c>
      <c r="AU134" s="658" t="s">
        <v>2751</v>
      </c>
      <c r="AX134" s="508"/>
      <c r="AY134" s="509"/>
      <c r="AZ134" s="509"/>
      <c r="BA134" s="509"/>
      <c r="BB134" s="509"/>
      <c r="BC134" s="509"/>
      <c r="BD134" s="509"/>
      <c r="BE134" s="509"/>
      <c r="BF134" s="509"/>
      <c r="BG134" s="509"/>
      <c r="BH134" s="665"/>
      <c r="BI134" s="510"/>
      <c r="BJ134" s="511"/>
      <c r="BK134" s="511"/>
      <c r="BL134" s="511"/>
      <c r="BM134" s="195"/>
      <c r="BN134" s="510"/>
      <c r="BO134" s="510"/>
      <c r="BP134" s="510"/>
      <c r="BQ134" s="510"/>
      <c r="BR134" s="510"/>
      <c r="BS134" s="510"/>
      <c r="BT134" s="510"/>
      <c r="BU134" s="510"/>
      <c r="BV134" s="510"/>
      <c r="BW134" s="512"/>
      <c r="BX134" s="509"/>
      <c r="BY134"/>
      <c r="CA134"/>
    </row>
    <row r="135" spans="2:79" ht="18.75">
      <c r="B135" s="252" t="s">
        <v>1098</v>
      </c>
      <c r="C135" s="251">
        <v>30338686000196</v>
      </c>
      <c r="D135" s="252" t="s">
        <v>11</v>
      </c>
      <c r="E135" s="252" t="s">
        <v>4235</v>
      </c>
      <c r="F135" s="252" t="s">
        <v>1417</v>
      </c>
      <c r="G135" s="253" t="s">
        <v>738</v>
      </c>
      <c r="H135" s="253" t="s">
        <v>34</v>
      </c>
      <c r="I135" s="253" t="s">
        <v>1304</v>
      </c>
      <c r="J135" s="253" t="s">
        <v>611</v>
      </c>
      <c r="K135" s="253" t="s">
        <v>48</v>
      </c>
      <c r="L135" s="655" t="s">
        <v>1339</v>
      </c>
      <c r="M135" s="655" t="s">
        <v>34</v>
      </c>
      <c r="N135" s="253" t="s">
        <v>3734</v>
      </c>
      <c r="O135" s="253" t="s">
        <v>1321</v>
      </c>
      <c r="P135" s="656">
        <v>43287</v>
      </c>
      <c r="Q135" s="657">
        <v>23.76702118</v>
      </c>
      <c r="R135" s="657">
        <v>29.757397502570271</v>
      </c>
      <c r="S135" s="253">
        <v>26</v>
      </c>
      <c r="T135" s="658">
        <v>4.0225885035342079E-2</v>
      </c>
      <c r="U135" s="659">
        <v>2.011457182450981</v>
      </c>
      <c r="V135" s="658">
        <v>6.3289104127281393E-2</v>
      </c>
      <c r="W135" s="659">
        <v>0.49082662685513723</v>
      </c>
      <c r="X135" s="658">
        <v>0.10583075443976675</v>
      </c>
      <c r="Y135" s="659">
        <v>0.54809669159444363</v>
      </c>
      <c r="Z135" s="658">
        <v>0.16511817160503495</v>
      </c>
      <c r="AA135" s="659">
        <v>0.74555428503514454</v>
      </c>
      <c r="AB135" s="658">
        <v>5.4801573418696847E-2</v>
      </c>
      <c r="AC135" s="660">
        <v>-1.1980459907216328</v>
      </c>
      <c r="AD135" s="682">
        <v>29853005000149</v>
      </c>
      <c r="AE135" s="944" t="s">
        <v>1797</v>
      </c>
      <c r="AF135" s="661" t="s">
        <v>1745</v>
      </c>
      <c r="AG135" s="662" t="s">
        <v>1432</v>
      </c>
      <c r="AH135" s="662" t="s">
        <v>1730</v>
      </c>
      <c r="AI135" s="662">
        <v>5000</v>
      </c>
      <c r="AJ135" s="662">
        <v>1000</v>
      </c>
      <c r="AK135" s="662">
        <v>1000</v>
      </c>
      <c r="AL135" s="658">
        <v>0</v>
      </c>
      <c r="AM135" s="658">
        <v>0</v>
      </c>
      <c r="AN135" s="659" t="s">
        <v>34</v>
      </c>
      <c r="AO135" s="253" t="s">
        <v>34</v>
      </c>
      <c r="AP135" s="944" t="s">
        <v>1746</v>
      </c>
      <c r="AQ135" s="663" t="s">
        <v>679</v>
      </c>
      <c r="AR135" s="658">
        <v>5.6666666666666697E-3</v>
      </c>
      <c r="AS135" s="658">
        <v>5.6666666666666697E-3</v>
      </c>
      <c r="AT135" s="658" t="s">
        <v>1417</v>
      </c>
      <c r="AU135" s="658" t="s">
        <v>2751</v>
      </c>
      <c r="AX135" s="508"/>
      <c r="AY135" s="509"/>
      <c r="AZ135" s="509"/>
      <c r="BA135" s="509"/>
      <c r="BB135" s="509"/>
      <c r="BC135" s="509"/>
      <c r="BD135" s="509"/>
      <c r="BE135" s="509"/>
      <c r="BF135" s="509"/>
      <c r="BG135" s="509"/>
      <c r="BH135" s="665"/>
      <c r="BI135" s="510"/>
      <c r="BJ135" s="511"/>
      <c r="BK135" s="511"/>
      <c r="BL135" s="511"/>
      <c r="BM135" s="195"/>
      <c r="BN135" s="510"/>
      <c r="BO135" s="510"/>
      <c r="BP135" s="510"/>
      <c r="BQ135" s="510"/>
      <c r="BR135" s="510"/>
      <c r="BS135" s="510"/>
      <c r="BT135" s="510"/>
      <c r="BU135" s="510"/>
      <c r="BV135" s="510"/>
      <c r="BW135" s="512"/>
      <c r="BX135" s="509"/>
      <c r="BY135"/>
      <c r="CA135"/>
    </row>
    <row r="136" spans="2:79" ht="18.75">
      <c r="B136" s="252" t="s">
        <v>1099</v>
      </c>
      <c r="C136" s="251">
        <v>31353372000125</v>
      </c>
      <c r="D136" s="252" t="s">
        <v>13</v>
      </c>
      <c r="E136" s="252" t="s">
        <v>616</v>
      </c>
      <c r="F136" s="252" t="s">
        <v>617</v>
      </c>
      <c r="G136" s="253" t="s">
        <v>34</v>
      </c>
      <c r="H136" s="253" t="s">
        <v>1337</v>
      </c>
      <c r="I136" s="253" t="s">
        <v>34</v>
      </c>
      <c r="J136" s="253" t="s">
        <v>608</v>
      </c>
      <c r="K136" s="253" t="s">
        <v>48</v>
      </c>
      <c r="L136" s="655" t="s">
        <v>1339</v>
      </c>
      <c r="M136" s="655" t="s">
        <v>34</v>
      </c>
      <c r="N136" s="253" t="s">
        <v>3738</v>
      </c>
      <c r="O136" s="253" t="s">
        <v>1321</v>
      </c>
      <c r="P136" s="656">
        <v>43427</v>
      </c>
      <c r="Q136" s="657">
        <v>44.238140979999997</v>
      </c>
      <c r="R136" s="657">
        <v>54.059678639959841</v>
      </c>
      <c r="S136" s="253">
        <v>15</v>
      </c>
      <c r="T136" s="658">
        <v>9.9726468135383772E-3</v>
      </c>
      <c r="U136" s="659">
        <v>0.49867273382585686</v>
      </c>
      <c r="V136" s="658">
        <v>0.11161692195256756</v>
      </c>
      <c r="W136" s="659">
        <v>0.86562383932239029</v>
      </c>
      <c r="X136" s="658">
        <v>0.15005611142620134</v>
      </c>
      <c r="Y136" s="659">
        <v>0.77713948711419023</v>
      </c>
      <c r="Z136" s="658">
        <v>0.2039063478821892</v>
      </c>
      <c r="AA136" s="659">
        <v>0.92069364583974944</v>
      </c>
      <c r="AB136" s="658">
        <v>2.656943947921335E-2</v>
      </c>
      <c r="AC136" s="660">
        <v>-0.65213974528053531</v>
      </c>
      <c r="AD136" s="682">
        <v>11403956000150</v>
      </c>
      <c r="AE136" s="944" t="s">
        <v>1797</v>
      </c>
      <c r="AF136" s="661" t="s">
        <v>1745</v>
      </c>
      <c r="AG136" s="662" t="s">
        <v>1432</v>
      </c>
      <c r="AH136" s="662" t="s">
        <v>1734</v>
      </c>
      <c r="AI136" s="662">
        <v>5000</v>
      </c>
      <c r="AJ136" s="662">
        <v>0</v>
      </c>
      <c r="AK136" s="662">
        <v>0</v>
      </c>
      <c r="AL136" s="658">
        <v>0</v>
      </c>
      <c r="AM136" s="658">
        <v>0</v>
      </c>
      <c r="AN136" s="659" t="s">
        <v>34</v>
      </c>
      <c r="AO136" s="253" t="s">
        <v>34</v>
      </c>
      <c r="AP136" s="944" t="s">
        <v>1746</v>
      </c>
      <c r="AQ136" s="663" t="s">
        <v>668</v>
      </c>
      <c r="AR136" s="658">
        <v>5.0000000000000001E-3</v>
      </c>
      <c r="AS136" s="658">
        <v>5.0000000000000001E-3</v>
      </c>
      <c r="AT136" s="658" t="s">
        <v>1417</v>
      </c>
      <c r="AU136" s="658" t="s">
        <v>2751</v>
      </c>
      <c r="AX136" s="508"/>
      <c r="AY136" s="509"/>
      <c r="AZ136" s="509"/>
      <c r="BA136" s="509"/>
      <c r="BB136" s="509"/>
      <c r="BC136" s="509"/>
      <c r="BD136" s="509"/>
      <c r="BE136" s="509"/>
      <c r="BF136" s="509"/>
      <c r="BG136" s="509"/>
      <c r="BH136" s="665"/>
      <c r="BI136" s="510"/>
      <c r="BJ136" s="511"/>
      <c r="BK136" s="511"/>
      <c r="BL136" s="511"/>
      <c r="BM136" s="195"/>
      <c r="BN136" s="510"/>
      <c r="BO136" s="510"/>
      <c r="BP136" s="510"/>
      <c r="BQ136" s="510"/>
      <c r="BR136" s="510"/>
      <c r="BS136" s="510"/>
      <c r="BT136" s="510"/>
      <c r="BU136" s="510"/>
      <c r="BV136" s="510"/>
      <c r="BW136" s="512"/>
      <c r="BX136" s="509"/>
      <c r="BY136"/>
      <c r="CA136"/>
    </row>
    <row r="137" spans="2:79" ht="18.75">
      <c r="B137" s="252" t="s">
        <v>649</v>
      </c>
      <c r="C137" s="251">
        <v>17162002000180</v>
      </c>
      <c r="D137" s="252" t="s">
        <v>13</v>
      </c>
      <c r="E137" s="252" t="s">
        <v>615</v>
      </c>
      <c r="F137" s="252" t="s">
        <v>619</v>
      </c>
      <c r="G137" s="253" t="s">
        <v>34</v>
      </c>
      <c r="H137" s="253" t="s">
        <v>1337</v>
      </c>
      <c r="I137" s="253" t="s">
        <v>34</v>
      </c>
      <c r="J137" s="253" t="s">
        <v>611</v>
      </c>
      <c r="K137" s="253" t="s">
        <v>48</v>
      </c>
      <c r="L137" s="655" t="s">
        <v>1339</v>
      </c>
      <c r="M137" s="655" t="s">
        <v>34</v>
      </c>
      <c r="N137" s="253" t="s">
        <v>3746</v>
      </c>
      <c r="O137" s="253" t="s">
        <v>1321</v>
      </c>
      <c r="P137" s="656">
        <v>41286</v>
      </c>
      <c r="Q137" s="657">
        <v>1354.2926769999999</v>
      </c>
      <c r="R137" s="657">
        <v>1549.0250195846775</v>
      </c>
      <c r="S137" s="253">
        <v>32</v>
      </c>
      <c r="T137" s="658">
        <v>7.4548300750445495E-3</v>
      </c>
      <c r="U137" s="659">
        <v>0.37277169875132438</v>
      </c>
      <c r="V137" s="658">
        <v>0.11429368222589575</v>
      </c>
      <c r="W137" s="659">
        <v>0.88638294523760852</v>
      </c>
      <c r="X137" s="658">
        <v>0.14949666482714496</v>
      </c>
      <c r="Y137" s="659">
        <v>0.77424211733080572</v>
      </c>
      <c r="Z137" s="658">
        <v>0.25383104154955127</v>
      </c>
      <c r="AA137" s="659">
        <v>1.1461174676454031</v>
      </c>
      <c r="AB137" s="658">
        <v>4.2378814782188842E-2</v>
      </c>
      <c r="AC137" s="660">
        <v>-0.34569695486268909</v>
      </c>
      <c r="AD137" s="682">
        <v>17248340000139</v>
      </c>
      <c r="AE137" s="944" t="s">
        <v>1825</v>
      </c>
      <c r="AF137" s="661" t="s">
        <v>1729</v>
      </c>
      <c r="AG137" s="662" t="s">
        <v>1433</v>
      </c>
      <c r="AH137" s="662" t="s">
        <v>1734</v>
      </c>
      <c r="AI137" s="662">
        <v>1000</v>
      </c>
      <c r="AJ137" s="662">
        <v>1000</v>
      </c>
      <c r="AK137" s="662">
        <v>0</v>
      </c>
      <c r="AL137" s="658">
        <v>0.02</v>
      </c>
      <c r="AM137" s="658">
        <v>0.2</v>
      </c>
      <c r="AN137" s="659" t="s">
        <v>64</v>
      </c>
      <c r="AO137" s="253" t="s">
        <v>34</v>
      </c>
      <c r="AP137" s="944" t="s">
        <v>1746</v>
      </c>
      <c r="AQ137" s="663" t="s">
        <v>668</v>
      </c>
      <c r="AR137" s="658">
        <v>5.0000000000000001E-3</v>
      </c>
      <c r="AS137" s="658">
        <v>5.0000000000000001E-3</v>
      </c>
      <c r="AT137" s="658" t="s">
        <v>1417</v>
      </c>
      <c r="AU137" s="658" t="s">
        <v>2751</v>
      </c>
      <c r="AX137" s="508"/>
      <c r="AY137" s="509"/>
      <c r="AZ137" s="509"/>
      <c r="BA137" s="509"/>
      <c r="BB137" s="509"/>
      <c r="BC137" s="509"/>
      <c r="BD137" s="509"/>
      <c r="BE137" s="509"/>
      <c r="BF137" s="509"/>
      <c r="BG137" s="509"/>
      <c r="BH137" s="665"/>
      <c r="BI137" s="510"/>
      <c r="BJ137" s="511"/>
      <c r="BK137" s="511"/>
      <c r="BL137" s="511"/>
      <c r="BM137" s="195"/>
      <c r="BN137" s="510"/>
      <c r="BO137" s="510"/>
      <c r="BP137" s="510"/>
      <c r="BQ137" s="510"/>
      <c r="BR137" s="510"/>
      <c r="BS137" s="510"/>
      <c r="BT137" s="510"/>
      <c r="BU137" s="510"/>
      <c r="BV137" s="510"/>
      <c r="BW137" s="512"/>
      <c r="BX137" s="509"/>
      <c r="BY137"/>
      <c r="CA137"/>
    </row>
    <row r="138" spans="2:79" ht="18.75">
      <c r="B138" s="252" t="s">
        <v>4236</v>
      </c>
      <c r="C138" s="251">
        <v>9577092000141</v>
      </c>
      <c r="D138" s="252" t="s">
        <v>11</v>
      </c>
      <c r="E138" s="252" t="s">
        <v>4235</v>
      </c>
      <c r="F138" s="252" t="s">
        <v>663</v>
      </c>
      <c r="G138" s="253" t="s">
        <v>1417</v>
      </c>
      <c r="H138" s="253" t="s">
        <v>1338</v>
      </c>
      <c r="I138" s="253" t="s">
        <v>1417</v>
      </c>
      <c r="J138" s="253" t="s">
        <v>700</v>
      </c>
      <c r="K138" s="253" t="s">
        <v>48</v>
      </c>
      <c r="L138" s="655" t="s">
        <v>1339</v>
      </c>
      <c r="M138" s="655" t="s">
        <v>1414</v>
      </c>
      <c r="N138" s="253" t="s">
        <v>4237</v>
      </c>
      <c r="O138" s="253" t="s">
        <v>1321</v>
      </c>
      <c r="P138" s="656">
        <v>39981</v>
      </c>
      <c r="Q138" s="657">
        <v>43.752515000000002</v>
      </c>
      <c r="R138" s="657">
        <v>41.84799753225807</v>
      </c>
      <c r="S138" s="253">
        <v>17</v>
      </c>
      <c r="T138" s="658">
        <v>1.3935918533949376E-3</v>
      </c>
      <c r="U138" s="659">
        <v>6.9685237265845135E-2</v>
      </c>
      <c r="V138" s="658">
        <v>8.0294998269876405E-3</v>
      </c>
      <c r="W138" s="659">
        <v>6.2271260902797408E-2</v>
      </c>
      <c r="X138" s="658">
        <v>8.0294998269876405E-3</v>
      </c>
      <c r="Y138" s="659">
        <v>4.1584719995876679E-2</v>
      </c>
      <c r="Z138" s="658">
        <v>8.0294998269876405E-3</v>
      </c>
      <c r="AA138" s="659">
        <v>3.6255416012110464E-2</v>
      </c>
      <c r="AB138" s="658">
        <v>3.2806475820120251E-2</v>
      </c>
      <c r="AC138" s="660">
        <v>-3.6856872491510888</v>
      </c>
      <c r="AD138" s="682">
        <v>35727377000121</v>
      </c>
      <c r="AE138" s="944" t="s">
        <v>4238</v>
      </c>
      <c r="AF138" s="661" t="s">
        <v>1767</v>
      </c>
      <c r="AG138" s="662" t="s">
        <v>59</v>
      </c>
      <c r="AH138" s="662" t="s">
        <v>1730</v>
      </c>
      <c r="AI138" s="662">
        <v>5000</v>
      </c>
      <c r="AJ138" s="662">
        <v>1000</v>
      </c>
      <c r="AK138" s="662">
        <v>5000</v>
      </c>
      <c r="AL138" s="658">
        <v>0.01</v>
      </c>
      <c r="AM138" s="658">
        <v>0.2</v>
      </c>
      <c r="AN138" s="659" t="s">
        <v>64</v>
      </c>
      <c r="AO138" s="253" t="s">
        <v>34</v>
      </c>
      <c r="AP138" s="944" t="s">
        <v>1746</v>
      </c>
      <c r="AQ138" s="663" t="s">
        <v>679</v>
      </c>
      <c r="AR138" s="658">
        <v>0</v>
      </c>
      <c r="AS138" s="658">
        <v>0</v>
      </c>
      <c r="AT138" s="658" t="s">
        <v>1417</v>
      </c>
      <c r="AU138" s="658" t="s">
        <v>2751</v>
      </c>
      <c r="AX138" s="508"/>
      <c r="AY138" s="509"/>
      <c r="AZ138" s="509"/>
      <c r="BA138" s="509"/>
      <c r="BB138" s="509"/>
      <c r="BC138" s="509"/>
      <c r="BD138" s="509"/>
      <c r="BE138" s="509"/>
      <c r="BF138" s="509"/>
      <c r="BG138" s="509"/>
      <c r="BH138" s="665"/>
      <c r="BI138" s="510"/>
      <c r="BJ138" s="511"/>
      <c r="BK138" s="511"/>
      <c r="BL138" s="511"/>
      <c r="BM138" s="195"/>
      <c r="BN138" s="510"/>
      <c r="BO138" s="510"/>
      <c r="BP138" s="510"/>
      <c r="BQ138" s="510"/>
      <c r="BR138" s="510"/>
      <c r="BS138" s="510"/>
      <c r="BT138" s="510"/>
      <c r="BU138" s="510"/>
      <c r="BV138" s="510"/>
      <c r="BW138" s="512"/>
      <c r="BX138" s="509"/>
      <c r="BY138"/>
      <c r="CA138"/>
    </row>
    <row r="139" spans="2:79" ht="18.75">
      <c r="B139" s="252" t="s">
        <v>1127</v>
      </c>
      <c r="C139" s="251">
        <v>29066331000106</v>
      </c>
      <c r="D139" s="252" t="s">
        <v>11</v>
      </c>
      <c r="E139" s="252" t="s">
        <v>4235</v>
      </c>
      <c r="F139" s="252" t="s">
        <v>1417</v>
      </c>
      <c r="G139" s="253" t="s">
        <v>738</v>
      </c>
      <c r="H139" s="253" t="s">
        <v>34</v>
      </c>
      <c r="I139" s="253" t="s">
        <v>34</v>
      </c>
      <c r="J139" s="253" t="s">
        <v>611</v>
      </c>
      <c r="K139" s="253" t="s">
        <v>48</v>
      </c>
      <c r="L139" s="655" t="s">
        <v>1339</v>
      </c>
      <c r="M139" s="655" t="s">
        <v>34</v>
      </c>
      <c r="N139" s="253" t="s">
        <v>3802</v>
      </c>
      <c r="O139" s="253" t="s">
        <v>1321</v>
      </c>
      <c r="P139" s="656">
        <v>43099</v>
      </c>
      <c r="Q139" s="657">
        <v>45.059037410000002</v>
      </c>
      <c r="R139" s="657">
        <v>61.884738793654662</v>
      </c>
      <c r="S139" s="253">
        <v>6</v>
      </c>
      <c r="T139" s="658">
        <v>4.051722435108851E-2</v>
      </c>
      <c r="U139" s="659">
        <v>2.0260253282773228</v>
      </c>
      <c r="V139" s="658">
        <v>2.9778991931096899E-2</v>
      </c>
      <c r="W139" s="659">
        <v>0.23094531613674921</v>
      </c>
      <c r="X139" s="658">
        <v>7.4570207554442547E-2</v>
      </c>
      <c r="Y139" s="659">
        <v>0.38619855134230324</v>
      </c>
      <c r="Z139" s="658">
        <v>0.13986905947776807</v>
      </c>
      <c r="AA139" s="659">
        <v>0.63154754939344104</v>
      </c>
      <c r="AB139" s="658">
        <v>7.5819834884563481E-2</v>
      </c>
      <c r="AC139" s="660">
        <v>-1.3079020505210954</v>
      </c>
      <c r="AD139" s="682">
        <v>29066638000107</v>
      </c>
      <c r="AE139" s="944" t="s">
        <v>1922</v>
      </c>
      <c r="AF139" s="661" t="s">
        <v>1729</v>
      </c>
      <c r="AG139" s="662" t="s">
        <v>1433</v>
      </c>
      <c r="AH139" s="662" t="s">
        <v>1801</v>
      </c>
      <c r="AI139" s="662">
        <v>5000</v>
      </c>
      <c r="AJ139" s="662">
        <v>1000</v>
      </c>
      <c r="AK139" s="662">
        <v>1000</v>
      </c>
      <c r="AL139" s="658">
        <v>9.300000000000001E-3</v>
      </c>
      <c r="AM139" s="658">
        <v>0</v>
      </c>
      <c r="AN139" s="659" t="s">
        <v>34</v>
      </c>
      <c r="AO139" s="253" t="s">
        <v>34</v>
      </c>
      <c r="AP139" s="944" t="s">
        <v>1746</v>
      </c>
      <c r="AQ139" s="663" t="s">
        <v>679</v>
      </c>
      <c r="AR139" s="658">
        <v>5.0697399999999997E-3</v>
      </c>
      <c r="AS139" s="658">
        <v>5.0697399999999997E-3</v>
      </c>
      <c r="AT139" s="658" t="s">
        <v>1417</v>
      </c>
      <c r="AU139" s="658" t="s">
        <v>2751</v>
      </c>
      <c r="AX139" s="508"/>
      <c r="AY139" s="509"/>
      <c r="AZ139" s="509"/>
      <c r="BA139" s="509"/>
      <c r="BB139" s="509"/>
      <c r="BC139" s="509"/>
      <c r="BD139" s="509"/>
      <c r="BE139" s="509"/>
      <c r="BF139" s="509"/>
      <c r="BG139" s="509"/>
      <c r="BH139" s="665"/>
      <c r="BI139" s="510"/>
      <c r="BJ139" s="511"/>
      <c r="BK139" s="511"/>
      <c r="BL139" s="511"/>
      <c r="BM139" s="195"/>
      <c r="BN139" s="510"/>
      <c r="BO139" s="510"/>
      <c r="BP139" s="510"/>
      <c r="BQ139" s="510"/>
      <c r="BR139" s="510"/>
      <c r="BS139" s="510"/>
      <c r="BT139" s="510"/>
      <c r="BU139" s="510"/>
      <c r="BV139" s="510"/>
      <c r="BW139" s="512"/>
      <c r="BX139" s="509"/>
      <c r="BY139"/>
      <c r="CA139"/>
    </row>
    <row r="140" spans="2:79" ht="18.75">
      <c r="B140" s="252" t="s">
        <v>1128</v>
      </c>
      <c r="C140" s="251">
        <v>32225478000106</v>
      </c>
      <c r="D140" s="252" t="s">
        <v>11</v>
      </c>
      <c r="E140" s="252" t="s">
        <v>4235</v>
      </c>
      <c r="F140" s="252" t="s">
        <v>1417</v>
      </c>
      <c r="G140" s="253" t="s">
        <v>738</v>
      </c>
      <c r="H140" s="253" t="s">
        <v>34</v>
      </c>
      <c r="I140" s="253" t="s">
        <v>34</v>
      </c>
      <c r="J140" s="253" t="s">
        <v>611</v>
      </c>
      <c r="K140" s="253" t="s">
        <v>49</v>
      </c>
      <c r="L140" s="655" t="s">
        <v>1339</v>
      </c>
      <c r="M140" s="655" t="s">
        <v>34</v>
      </c>
      <c r="N140" s="253" t="s">
        <v>3803</v>
      </c>
      <c r="O140" s="253" t="s">
        <v>1321</v>
      </c>
      <c r="P140" s="656">
        <v>43525</v>
      </c>
      <c r="Q140" s="657">
        <v>204.47061084000001</v>
      </c>
      <c r="R140" s="657">
        <v>210.04432620417668</v>
      </c>
      <c r="S140" s="253">
        <v>6</v>
      </c>
      <c r="T140" s="658">
        <v>-8.3137237103577677E-3</v>
      </c>
      <c r="U140" s="659">
        <v>-0.4157198593746228</v>
      </c>
      <c r="V140" s="658">
        <v>-4.2122399428169977E-2</v>
      </c>
      <c r="W140" s="659">
        <v>-0.32667226865455595</v>
      </c>
      <c r="X140" s="658">
        <v>-0.12272193426512512</v>
      </c>
      <c r="Y140" s="659">
        <v>-0.63557598651598646</v>
      </c>
      <c r="Z140" s="658">
        <v>0.14219004653302947</v>
      </c>
      <c r="AA140" s="659">
        <v>0.64202744889657037</v>
      </c>
      <c r="AB140" s="658">
        <v>0.16665483860459182</v>
      </c>
      <c r="AC140" s="660">
        <v>-1.0264707002047102</v>
      </c>
      <c r="AD140" s="682">
        <v>32225606000111</v>
      </c>
      <c r="AE140" s="944" t="s">
        <v>1922</v>
      </c>
      <c r="AF140" s="661" t="s">
        <v>1729</v>
      </c>
      <c r="AG140" s="662" t="s">
        <v>1433</v>
      </c>
      <c r="AH140" s="662" t="s">
        <v>1730</v>
      </c>
      <c r="AI140" s="662">
        <v>5000</v>
      </c>
      <c r="AJ140" s="662">
        <v>1000</v>
      </c>
      <c r="AK140" s="662">
        <v>1000</v>
      </c>
      <c r="AL140" s="658">
        <v>9.300000000000001E-3</v>
      </c>
      <c r="AM140" s="658">
        <v>0</v>
      </c>
      <c r="AN140" s="659" t="s">
        <v>34</v>
      </c>
      <c r="AO140" s="253" t="s">
        <v>34</v>
      </c>
      <c r="AP140" s="944" t="s">
        <v>1746</v>
      </c>
      <c r="AQ140" s="663" t="s">
        <v>679</v>
      </c>
      <c r="AR140" s="658">
        <v>4.3499200000000002E-3</v>
      </c>
      <c r="AS140" s="658">
        <v>4.3499200000000002E-3</v>
      </c>
      <c r="AT140" s="658" t="s">
        <v>1417</v>
      </c>
      <c r="AU140" s="658" t="s">
        <v>2751</v>
      </c>
      <c r="AX140" s="508"/>
      <c r="AY140" s="509"/>
      <c r="AZ140" s="509"/>
      <c r="BA140" s="509"/>
      <c r="BB140" s="509"/>
      <c r="BC140" s="509"/>
      <c r="BD140" s="509"/>
      <c r="BE140" s="509"/>
      <c r="BF140" s="509"/>
      <c r="BG140" s="509"/>
      <c r="BH140" s="665"/>
      <c r="BI140" s="510"/>
      <c r="BJ140" s="511"/>
      <c r="BK140" s="511"/>
      <c r="BL140" s="511"/>
      <c r="BM140" s="195"/>
      <c r="BN140" s="510"/>
      <c r="BO140" s="510"/>
      <c r="BP140" s="510"/>
      <c r="BQ140" s="510"/>
      <c r="BR140" s="510"/>
      <c r="BS140" s="510"/>
      <c r="BT140" s="510"/>
      <c r="BU140" s="510"/>
      <c r="BV140" s="510"/>
      <c r="BW140" s="512"/>
      <c r="BX140" s="509"/>
      <c r="BY140"/>
      <c r="CA140"/>
    </row>
    <row r="141" spans="2:79" ht="18.75">
      <c r="B141" s="252" t="s">
        <v>1129</v>
      </c>
      <c r="C141" s="251">
        <v>23729512000199</v>
      </c>
      <c r="D141" s="252" t="s">
        <v>11</v>
      </c>
      <c r="E141" s="252" t="s">
        <v>4235</v>
      </c>
      <c r="F141" s="252" t="s">
        <v>1417</v>
      </c>
      <c r="G141" s="253" t="s">
        <v>738</v>
      </c>
      <c r="H141" s="253" t="s">
        <v>34</v>
      </c>
      <c r="I141" s="253" t="s">
        <v>34</v>
      </c>
      <c r="J141" s="253" t="s">
        <v>611</v>
      </c>
      <c r="K141" s="253" t="s">
        <v>48</v>
      </c>
      <c r="L141" s="655" t="s">
        <v>1339</v>
      </c>
      <c r="M141" s="655" t="s">
        <v>34</v>
      </c>
      <c r="N141" s="253" t="s">
        <v>3804</v>
      </c>
      <c r="O141" s="253" t="s">
        <v>1321</v>
      </c>
      <c r="P141" s="656">
        <v>42405</v>
      </c>
      <c r="Q141" s="657">
        <v>344.25276700000001</v>
      </c>
      <c r="R141" s="657">
        <v>439.02542673493963</v>
      </c>
      <c r="S141" s="253">
        <v>6</v>
      </c>
      <c r="T141" s="658">
        <v>1.6451820790420735E-2</v>
      </c>
      <c r="U141" s="659">
        <v>0.82265767587745386</v>
      </c>
      <c r="V141" s="658">
        <v>3.0454420175625385E-2</v>
      </c>
      <c r="W141" s="659">
        <v>0.23618347160625758</v>
      </c>
      <c r="X141" s="658">
        <v>7.1582969593118495E-2</v>
      </c>
      <c r="Y141" s="659">
        <v>0.37072766811677632</v>
      </c>
      <c r="Z141" s="658">
        <v>0.14101212699064192</v>
      </c>
      <c r="AA141" s="659">
        <v>0.63670881586110806</v>
      </c>
      <c r="AB141" s="658">
        <v>6.9860766759472795E-2</v>
      </c>
      <c r="AC141" s="660">
        <v>-1.4097968550825883</v>
      </c>
      <c r="AD141" s="682">
        <v>23720107000100</v>
      </c>
      <c r="AE141" s="944" t="s">
        <v>1922</v>
      </c>
      <c r="AF141" s="661" t="s">
        <v>1729</v>
      </c>
      <c r="AG141" s="662" t="s">
        <v>1433</v>
      </c>
      <c r="AH141" s="662" t="s">
        <v>1730</v>
      </c>
      <c r="AI141" s="662">
        <v>5000</v>
      </c>
      <c r="AJ141" s="662">
        <v>5000</v>
      </c>
      <c r="AK141" s="662">
        <v>5000</v>
      </c>
      <c r="AL141" s="658">
        <v>9.300000000000001E-3</v>
      </c>
      <c r="AM141" s="658">
        <v>0</v>
      </c>
      <c r="AN141" s="659" t="s">
        <v>34</v>
      </c>
      <c r="AO141" s="253" t="s">
        <v>34</v>
      </c>
      <c r="AP141" s="944" t="s">
        <v>1746</v>
      </c>
      <c r="AQ141" s="663" t="s">
        <v>679</v>
      </c>
      <c r="AR141" s="658">
        <v>4.3499200000000002E-3</v>
      </c>
      <c r="AS141" s="658">
        <v>4.3499200000000002E-3</v>
      </c>
      <c r="AT141" s="658" t="s">
        <v>1417</v>
      </c>
      <c r="AU141" s="658" t="s">
        <v>2751</v>
      </c>
      <c r="AX141" s="508"/>
      <c r="AY141" s="509"/>
      <c r="AZ141" s="509"/>
      <c r="BA141" s="509"/>
      <c r="BB141" s="509"/>
      <c r="BC141" s="509"/>
      <c r="BD141" s="509"/>
      <c r="BE141" s="509"/>
      <c r="BF141" s="509"/>
      <c r="BG141" s="509"/>
      <c r="BH141" s="665"/>
      <c r="BI141" s="510"/>
      <c r="BJ141" s="511"/>
      <c r="BK141" s="511"/>
      <c r="BL141" s="511"/>
      <c r="BM141" s="195"/>
      <c r="BN141" s="510"/>
      <c r="BO141" s="510"/>
      <c r="BP141" s="510"/>
      <c r="BQ141" s="510"/>
      <c r="BR141" s="510"/>
      <c r="BS141" s="510"/>
      <c r="BT141" s="510"/>
      <c r="BU141" s="510"/>
      <c r="BV141" s="510"/>
      <c r="BW141" s="512"/>
      <c r="BX141" s="509"/>
      <c r="BY141"/>
      <c r="CA141"/>
    </row>
    <row r="142" spans="2:79" ht="18.75">
      <c r="B142" s="252" t="s">
        <v>1136</v>
      </c>
      <c r="C142" s="251">
        <v>18719154000101</v>
      </c>
      <c r="D142" s="252" t="s">
        <v>11</v>
      </c>
      <c r="E142" s="252" t="s">
        <v>620</v>
      </c>
      <c r="F142" s="252" t="s">
        <v>672</v>
      </c>
      <c r="G142" s="253" t="s">
        <v>738</v>
      </c>
      <c r="H142" s="253" t="s">
        <v>34</v>
      </c>
      <c r="I142" s="253" t="s">
        <v>1417</v>
      </c>
      <c r="J142" s="253" t="s">
        <v>608</v>
      </c>
      <c r="K142" s="253" t="s">
        <v>48</v>
      </c>
      <c r="L142" s="655" t="s">
        <v>1339</v>
      </c>
      <c r="M142" s="655" t="s">
        <v>1414</v>
      </c>
      <c r="N142" s="253" t="s">
        <v>3815</v>
      </c>
      <c r="O142" s="253" t="s">
        <v>1321</v>
      </c>
      <c r="P142" s="656">
        <v>41700</v>
      </c>
      <c r="Q142" s="657">
        <v>4142.9947709999997</v>
      </c>
      <c r="R142" s="657">
        <v>4570.7771840607311</v>
      </c>
      <c r="S142" s="253">
        <v>0</v>
      </c>
      <c r="T142" s="658">
        <v>9.654295744603747E-3</v>
      </c>
      <c r="U142" s="659">
        <v>0.482753890931862</v>
      </c>
      <c r="V142" s="658">
        <v>0.12476676997278591</v>
      </c>
      <c r="W142" s="659">
        <v>0.96760498815396756</v>
      </c>
      <c r="X142" s="658">
        <v>0.21010402249609905</v>
      </c>
      <c r="Y142" s="659">
        <v>1.0881271727712938</v>
      </c>
      <c r="Z142" s="658">
        <v>0.23556711755083271</v>
      </c>
      <c r="AA142" s="659">
        <v>1.0636507914071736</v>
      </c>
      <c r="AB142" s="658">
        <v>4.5880140482677956E-3</v>
      </c>
      <c r="AC142" s="660">
        <v>-0.91044609498951368</v>
      </c>
      <c r="AD142" s="682">
        <v>0</v>
      </c>
      <c r="AE142" s="944" t="s">
        <v>1771</v>
      </c>
      <c r="AF142" s="661" t="s">
        <v>1767</v>
      </c>
      <c r="AG142" s="662" t="s">
        <v>59</v>
      </c>
      <c r="AH142" s="662" t="s">
        <v>1734</v>
      </c>
      <c r="AI142" s="662">
        <v>20000</v>
      </c>
      <c r="AJ142" s="662">
        <v>100</v>
      </c>
      <c r="AK142" s="662">
        <v>1000</v>
      </c>
      <c r="AL142" s="658">
        <v>4.0000000000000001E-3</v>
      </c>
      <c r="AM142" s="658">
        <v>0</v>
      </c>
      <c r="AN142" s="659" t="s">
        <v>64</v>
      </c>
      <c r="AO142" s="253" t="s">
        <v>34</v>
      </c>
      <c r="AP142" s="944" t="s">
        <v>1735</v>
      </c>
      <c r="AQ142" s="663" t="s">
        <v>677</v>
      </c>
      <c r="AR142" s="658">
        <v>6.6666666666666697E-4</v>
      </c>
      <c r="AS142" s="658">
        <v>6.6666666666666697E-4</v>
      </c>
      <c r="AT142" s="658" t="s">
        <v>1417</v>
      </c>
      <c r="AU142" s="658" t="s">
        <v>2751</v>
      </c>
      <c r="AX142" s="508"/>
      <c r="AY142" s="509"/>
      <c r="AZ142" s="509"/>
      <c r="BA142" s="509"/>
      <c r="BB142" s="509"/>
      <c r="BC142" s="509"/>
      <c r="BD142" s="509"/>
      <c r="BE142" s="509"/>
      <c r="BF142" s="509"/>
      <c r="BG142" s="509"/>
      <c r="BH142" s="665"/>
      <c r="BI142" s="510"/>
      <c r="BJ142" s="511"/>
      <c r="BK142" s="511"/>
      <c r="BL142" s="511"/>
      <c r="BM142" s="195"/>
      <c r="BN142" s="510"/>
      <c r="BO142" s="510"/>
      <c r="BP142" s="510"/>
      <c r="BQ142" s="510"/>
      <c r="BR142" s="510"/>
      <c r="BS142" s="510"/>
      <c r="BT142" s="510"/>
      <c r="BU142" s="510"/>
      <c r="BV142" s="510"/>
      <c r="BW142" s="512"/>
      <c r="BX142" s="509"/>
      <c r="BY142"/>
      <c r="CA142"/>
    </row>
    <row r="143" spans="2:79" ht="18.75">
      <c r="B143" s="252" t="s">
        <v>1137</v>
      </c>
      <c r="C143" s="251">
        <v>35378376000119</v>
      </c>
      <c r="D143" s="252" t="s">
        <v>11</v>
      </c>
      <c r="E143" s="252" t="s">
        <v>620</v>
      </c>
      <c r="F143" s="252" t="s">
        <v>663</v>
      </c>
      <c r="G143" s="253" t="s">
        <v>738</v>
      </c>
      <c r="H143" s="253" t="s">
        <v>34</v>
      </c>
      <c r="I143" s="253" t="s">
        <v>1417</v>
      </c>
      <c r="J143" s="253" t="s">
        <v>608</v>
      </c>
      <c r="K143" s="253" t="s">
        <v>48</v>
      </c>
      <c r="L143" s="655" t="s">
        <v>1339</v>
      </c>
      <c r="M143" s="655" t="s">
        <v>34</v>
      </c>
      <c r="N143" s="253" t="s">
        <v>3818</v>
      </c>
      <c r="O143" s="253" t="s">
        <v>1321</v>
      </c>
      <c r="P143" s="656">
        <v>43800</v>
      </c>
      <c r="Q143" s="657">
        <v>194.63584301</v>
      </c>
      <c r="R143" s="657">
        <v>186.04927713621956</v>
      </c>
      <c r="S143" s="253">
        <v>30</v>
      </c>
      <c r="T143" s="658">
        <v>1.1140193509470819E-2</v>
      </c>
      <c r="U143" s="659">
        <v>0.55705479764662502</v>
      </c>
      <c r="V143" s="658">
        <v>0.132584757852237</v>
      </c>
      <c r="W143" s="659">
        <v>1.0282359083191217</v>
      </c>
      <c r="X143" s="658">
        <v>0.22802197921957856</v>
      </c>
      <c r="Y143" s="659">
        <v>1.1809241376257869</v>
      </c>
      <c r="Z143" s="658">
        <v>0.26055695973020887</v>
      </c>
      <c r="AA143" s="659">
        <v>1.1764868514124418</v>
      </c>
      <c r="AB143" s="658">
        <v>3.828294786329239E-3</v>
      </c>
      <c r="AC143" s="660">
        <v>0.95103658643269662</v>
      </c>
      <c r="AD143" s="682">
        <v>35377796000180</v>
      </c>
      <c r="AE143" s="944" t="s">
        <v>1771</v>
      </c>
      <c r="AF143" s="661" t="s">
        <v>1767</v>
      </c>
      <c r="AG143" s="662" t="s">
        <v>59</v>
      </c>
      <c r="AH143" s="662" t="s">
        <v>1734</v>
      </c>
      <c r="AI143" s="662">
        <v>20000</v>
      </c>
      <c r="AJ143" s="662">
        <v>0</v>
      </c>
      <c r="AK143" s="662">
        <v>1000</v>
      </c>
      <c r="AL143" s="658">
        <v>0</v>
      </c>
      <c r="AM143" s="658">
        <v>0</v>
      </c>
      <c r="AN143" s="659" t="s">
        <v>64</v>
      </c>
      <c r="AO143" s="253" t="s">
        <v>34</v>
      </c>
      <c r="AP143" s="944" t="s">
        <v>1735</v>
      </c>
      <c r="AQ143" s="663" t="s">
        <v>675</v>
      </c>
      <c r="AR143" s="658">
        <v>1.33333333333333E-3</v>
      </c>
      <c r="AS143" s="658">
        <v>1.33333333333333E-3</v>
      </c>
      <c r="AT143" s="658" t="s">
        <v>1417</v>
      </c>
      <c r="AU143" s="658" t="s">
        <v>2751</v>
      </c>
      <c r="AX143" s="508"/>
      <c r="AY143" s="509"/>
      <c r="AZ143" s="509"/>
      <c r="BA143" s="509"/>
      <c r="BB143" s="509"/>
      <c r="BC143" s="509"/>
      <c r="BD143" s="509"/>
      <c r="BE143" s="509"/>
      <c r="BF143" s="509"/>
      <c r="BG143" s="509"/>
      <c r="BH143" s="665"/>
      <c r="BI143" s="510"/>
      <c r="BJ143" s="511"/>
      <c r="BK143" s="511"/>
      <c r="BL143" s="511"/>
      <c r="BM143" s="195"/>
      <c r="BN143" s="510"/>
      <c r="BO143" s="510"/>
      <c r="BP143" s="510"/>
      <c r="BQ143" s="510"/>
      <c r="BR143" s="510"/>
      <c r="BS143" s="510"/>
      <c r="BT143" s="510"/>
      <c r="BU143" s="510"/>
      <c r="BV143" s="510"/>
      <c r="BW143" s="512"/>
      <c r="BX143" s="509"/>
      <c r="BY143"/>
      <c r="CA143"/>
    </row>
    <row r="144" spans="2:79" ht="18.75">
      <c r="B144" s="252" t="s">
        <v>1144</v>
      </c>
      <c r="C144" s="251">
        <v>22918359000185</v>
      </c>
      <c r="D144" s="252" t="s">
        <v>13</v>
      </c>
      <c r="E144" s="252" t="s">
        <v>615</v>
      </c>
      <c r="F144" s="252" t="s">
        <v>619</v>
      </c>
      <c r="G144" s="253" t="s">
        <v>34</v>
      </c>
      <c r="H144" s="253" t="s">
        <v>1337</v>
      </c>
      <c r="I144" s="253" t="s">
        <v>34</v>
      </c>
      <c r="J144" s="253" t="s">
        <v>611</v>
      </c>
      <c r="K144" s="253" t="s">
        <v>48</v>
      </c>
      <c r="L144" s="655" t="s">
        <v>1339</v>
      </c>
      <c r="M144" s="655" t="s">
        <v>34</v>
      </c>
      <c r="N144" s="253" t="s">
        <v>3832</v>
      </c>
      <c r="O144" s="253" t="s">
        <v>1321</v>
      </c>
      <c r="P144" s="656">
        <v>42424</v>
      </c>
      <c r="Q144" s="657">
        <v>1190.177619</v>
      </c>
      <c r="R144" s="657">
        <v>1261.6323527500001</v>
      </c>
      <c r="S144" s="253">
        <v>15</v>
      </c>
      <c r="T144" s="658">
        <v>3.6920400683295718E-3</v>
      </c>
      <c r="U144" s="659">
        <v>0.18461695763346367</v>
      </c>
      <c r="V144" s="658">
        <v>0.11066875148743516</v>
      </c>
      <c r="W144" s="659">
        <v>0.85827048336164447</v>
      </c>
      <c r="X144" s="658">
        <v>0.21861730077480557</v>
      </c>
      <c r="Y144" s="659">
        <v>1.1322173777772269</v>
      </c>
      <c r="Z144" s="658">
        <v>0.3735425690176537</v>
      </c>
      <c r="AA144" s="659">
        <v>1.6866481760730432</v>
      </c>
      <c r="AB144" s="658">
        <v>4.3523738093606983E-2</v>
      </c>
      <c r="AC144" s="660">
        <v>-0.41988943872533674</v>
      </c>
      <c r="AD144" s="682">
        <v>22918378000101</v>
      </c>
      <c r="AE144" s="944" t="s">
        <v>1838</v>
      </c>
      <c r="AF144" s="661" t="s">
        <v>1767</v>
      </c>
      <c r="AG144" s="662" t="s">
        <v>59</v>
      </c>
      <c r="AH144" s="662" t="s">
        <v>1734</v>
      </c>
      <c r="AI144" s="662">
        <v>1000</v>
      </c>
      <c r="AJ144" s="662">
        <v>1000</v>
      </c>
      <c r="AK144" s="662">
        <v>1000</v>
      </c>
      <c r="AL144" s="658">
        <v>1.8000000000000002E-2</v>
      </c>
      <c r="AM144" s="658">
        <v>0.2</v>
      </c>
      <c r="AN144" s="659" t="s">
        <v>64</v>
      </c>
      <c r="AO144" s="253" t="s">
        <v>34</v>
      </c>
      <c r="AP144" s="944" t="s">
        <v>1746</v>
      </c>
      <c r="AQ144" s="663" t="s">
        <v>664</v>
      </c>
      <c r="AR144" s="658">
        <v>5.0004000000000003E-3</v>
      </c>
      <c r="AS144" s="658">
        <v>5.0004000000000003E-3</v>
      </c>
      <c r="AT144" s="658" t="s">
        <v>1417</v>
      </c>
      <c r="AU144" s="658" t="s">
        <v>2751</v>
      </c>
      <c r="AX144" s="508"/>
      <c r="AY144" s="509"/>
      <c r="AZ144" s="509"/>
      <c r="BA144" s="509"/>
      <c r="BB144" s="509"/>
      <c r="BC144" s="509"/>
      <c r="BD144" s="509"/>
      <c r="BE144" s="509"/>
      <c r="BF144" s="509"/>
      <c r="BG144" s="509"/>
      <c r="BH144" s="665"/>
      <c r="BI144" s="510"/>
      <c r="BJ144" s="511"/>
      <c r="BK144" s="511"/>
      <c r="BL144" s="511"/>
      <c r="BM144" s="195"/>
      <c r="BN144" s="510"/>
      <c r="BO144" s="510"/>
      <c r="BP144" s="510"/>
      <c r="BQ144" s="510"/>
      <c r="BR144" s="510"/>
      <c r="BS144" s="510"/>
      <c r="BT144" s="510"/>
      <c r="BU144" s="510"/>
      <c r="BV144" s="510"/>
      <c r="BW144" s="512"/>
      <c r="BX144" s="509"/>
      <c r="BY144"/>
      <c r="CA144"/>
    </row>
    <row r="145" spans="2:79" ht="18.75">
      <c r="B145" s="252" t="s">
        <v>465</v>
      </c>
      <c r="C145" s="251">
        <v>11741429000156</v>
      </c>
      <c r="D145" s="252" t="s">
        <v>14</v>
      </c>
      <c r="E145" s="252" t="s">
        <v>607</v>
      </c>
      <c r="F145" s="252" t="s">
        <v>1317</v>
      </c>
      <c r="G145" s="253" t="s">
        <v>1417</v>
      </c>
      <c r="H145" s="253" t="s">
        <v>34</v>
      </c>
      <c r="I145" s="253" t="s">
        <v>34</v>
      </c>
      <c r="J145" s="253" t="s">
        <v>608</v>
      </c>
      <c r="K145" s="253" t="s">
        <v>48</v>
      </c>
      <c r="L145" s="655" t="s">
        <v>1339</v>
      </c>
      <c r="M145" s="655" t="s">
        <v>34</v>
      </c>
      <c r="N145" s="253" t="s">
        <v>3839</v>
      </c>
      <c r="O145" s="253" t="s">
        <v>1321</v>
      </c>
      <c r="P145" s="656">
        <v>41511</v>
      </c>
      <c r="Q145" s="657">
        <v>19.054779</v>
      </c>
      <c r="R145" s="657">
        <v>27.059898096774173</v>
      </c>
      <c r="S145" s="253">
        <v>33</v>
      </c>
      <c r="T145" s="658">
        <v>-5.0086216393426697E-2</v>
      </c>
      <c r="U145" s="659">
        <v>-2.5045136885823016</v>
      </c>
      <c r="V145" s="658">
        <v>-0.21355130831077329</v>
      </c>
      <c r="W145" s="659">
        <v>-1.6561566128014764</v>
      </c>
      <c r="X145" s="658">
        <v>-0.34195153683791268</v>
      </c>
      <c r="Y145" s="659">
        <v>-1.7709644707594556</v>
      </c>
      <c r="Z145" s="658">
        <v>-0.21477665405727642</v>
      </c>
      <c r="AA145" s="659">
        <v>-0.96977608945998361</v>
      </c>
      <c r="AB145" s="658">
        <v>0.25623647053462895</v>
      </c>
      <c r="AC145" s="660">
        <v>-1.336637275103566</v>
      </c>
      <c r="AD145" s="682">
        <v>0</v>
      </c>
      <c r="AE145" s="944" t="s">
        <v>1881</v>
      </c>
      <c r="AF145" s="661" t="s">
        <v>1745</v>
      </c>
      <c r="AG145" s="662" t="s">
        <v>1432</v>
      </c>
      <c r="AH145" s="662" t="s">
        <v>1734</v>
      </c>
      <c r="AI145" s="662">
        <v>500</v>
      </c>
      <c r="AJ145" s="662">
        <v>500</v>
      </c>
      <c r="AK145" s="662">
        <v>500</v>
      </c>
      <c r="AL145" s="658">
        <v>0.02</v>
      </c>
      <c r="AM145" s="658">
        <v>0.2</v>
      </c>
      <c r="AN145" s="659" t="s">
        <v>34</v>
      </c>
      <c r="AO145" s="253" t="s">
        <v>34</v>
      </c>
      <c r="AP145" s="944" t="s">
        <v>1731</v>
      </c>
      <c r="AQ145" s="663" t="s">
        <v>659</v>
      </c>
      <c r="AR145" s="658">
        <v>5.3340000000000002E-3</v>
      </c>
      <c r="AS145" s="658">
        <v>5.3340000000000002E-3</v>
      </c>
      <c r="AT145" s="658" t="s">
        <v>1417</v>
      </c>
      <c r="AU145" s="658" t="s">
        <v>2751</v>
      </c>
      <c r="AX145" s="508"/>
      <c r="AY145" s="509"/>
      <c r="AZ145" s="509"/>
      <c r="BA145" s="509"/>
      <c r="BB145" s="509"/>
      <c r="BC145" s="509"/>
      <c r="BD145" s="509"/>
      <c r="BE145" s="509"/>
      <c r="BF145" s="509"/>
      <c r="BG145" s="509"/>
      <c r="BH145" s="665"/>
      <c r="BI145" s="510"/>
      <c r="BJ145" s="511"/>
      <c r="BK145" s="511"/>
      <c r="BL145" s="511"/>
      <c r="BM145" s="195"/>
      <c r="BN145" s="510"/>
      <c r="BO145" s="510"/>
      <c r="BP145" s="510"/>
      <c r="BQ145" s="510"/>
      <c r="BR145" s="510"/>
      <c r="BS145" s="510"/>
      <c r="BT145" s="510"/>
      <c r="BU145" s="510"/>
      <c r="BV145" s="510"/>
      <c r="BW145" s="512"/>
      <c r="BX145" s="509"/>
      <c r="BY145"/>
      <c r="CA145"/>
    </row>
    <row r="146" spans="2:79" ht="18.75">
      <c r="B146" s="252" t="s">
        <v>43</v>
      </c>
      <c r="C146" s="251">
        <v>32068007000131</v>
      </c>
      <c r="D146" s="252" t="s">
        <v>14</v>
      </c>
      <c r="E146" s="252" t="s">
        <v>614</v>
      </c>
      <c r="F146" s="252" t="s">
        <v>1417</v>
      </c>
      <c r="G146" s="253" t="s">
        <v>1417</v>
      </c>
      <c r="H146" s="253" t="s">
        <v>865</v>
      </c>
      <c r="I146" s="253" t="s">
        <v>34</v>
      </c>
      <c r="J146" s="253" t="s">
        <v>608</v>
      </c>
      <c r="K146" s="253" t="s">
        <v>48</v>
      </c>
      <c r="L146" s="655" t="s">
        <v>1339</v>
      </c>
      <c r="M146" s="655" t="s">
        <v>34</v>
      </c>
      <c r="N146" s="253" t="s">
        <v>3913</v>
      </c>
      <c r="O146" s="253" t="s">
        <v>1324</v>
      </c>
      <c r="P146" s="656">
        <v>43456</v>
      </c>
      <c r="Q146" s="657">
        <v>791.03363867999997</v>
      </c>
      <c r="R146" s="657">
        <v>906.55416682060252</v>
      </c>
      <c r="S146" s="253">
        <v>92</v>
      </c>
      <c r="T146" s="658">
        <v>-1.2725395034157927E-2</v>
      </c>
      <c r="U146" s="659">
        <v>-0.63632129457174391</v>
      </c>
      <c r="V146" s="658">
        <v>4.9829539103492193E-2</v>
      </c>
      <c r="W146" s="659">
        <v>0.38644352662547038</v>
      </c>
      <c r="X146" s="658">
        <v>6.334995720002512E-3</v>
      </c>
      <c r="Y146" s="659">
        <v>3.2808895805184146E-2</v>
      </c>
      <c r="Z146" s="658">
        <v>0.38447460343892126</v>
      </c>
      <c r="AA146" s="659">
        <v>1.7360093398244421</v>
      </c>
      <c r="AB146" s="658">
        <v>0.14963591992334299</v>
      </c>
      <c r="AC146" s="660">
        <v>-0.52871242669424345</v>
      </c>
      <c r="AD146" s="682">
        <v>32064571000186</v>
      </c>
      <c r="AE146" s="944" t="s">
        <v>1774</v>
      </c>
      <c r="AF146" s="661" t="s">
        <v>1729</v>
      </c>
      <c r="AG146" s="662" t="s">
        <v>1432</v>
      </c>
      <c r="AH146" s="662" t="s">
        <v>1730</v>
      </c>
      <c r="AI146" s="662">
        <v>50000</v>
      </c>
      <c r="AJ146" s="662">
        <v>5000</v>
      </c>
      <c r="AK146" s="662">
        <v>5000</v>
      </c>
      <c r="AL146" s="658">
        <v>1.9450000000000002E-2</v>
      </c>
      <c r="AM146" s="658">
        <v>0.2</v>
      </c>
      <c r="AN146" s="659" t="s">
        <v>2127</v>
      </c>
      <c r="AO146" s="253" t="s">
        <v>34</v>
      </c>
      <c r="AP146" s="944" t="s">
        <v>1731</v>
      </c>
      <c r="AQ146" s="663" t="s">
        <v>659</v>
      </c>
      <c r="AR146" s="658">
        <v>3.8999999999999998E-3</v>
      </c>
      <c r="AS146" s="658">
        <v>3.8999999999999998E-3</v>
      </c>
      <c r="AT146" s="658" t="s">
        <v>1417</v>
      </c>
      <c r="AU146" s="658" t="s">
        <v>2751</v>
      </c>
      <c r="AX146" s="508"/>
      <c r="AY146" s="509"/>
      <c r="AZ146" s="509"/>
      <c r="BA146" s="509"/>
      <c r="BB146" s="509"/>
      <c r="BC146" s="509"/>
      <c r="BD146" s="509"/>
      <c r="BE146" s="509"/>
      <c r="BF146" s="509"/>
      <c r="BG146" s="509"/>
      <c r="BH146" s="665"/>
      <c r="BI146" s="510"/>
      <c r="BJ146" s="511"/>
      <c r="BK146" s="511"/>
      <c r="BL146" s="511"/>
      <c r="BM146" s="195"/>
      <c r="BN146" s="510"/>
      <c r="BO146" s="510"/>
      <c r="BP146" s="510"/>
      <c r="BQ146" s="510"/>
      <c r="BR146" s="510"/>
      <c r="BS146" s="510"/>
      <c r="BT146" s="510"/>
      <c r="BU146" s="510"/>
      <c r="BV146" s="510"/>
      <c r="BW146" s="512"/>
      <c r="BX146" s="509"/>
      <c r="BY146"/>
      <c r="CA146"/>
    </row>
    <row r="147" spans="2:79" ht="18.75">
      <c r="B147" s="252" t="s">
        <v>1184</v>
      </c>
      <c r="C147" s="251">
        <v>19366052000104</v>
      </c>
      <c r="D147" s="252" t="s">
        <v>13</v>
      </c>
      <c r="E147" s="252" t="s">
        <v>616</v>
      </c>
      <c r="F147" s="252" t="s">
        <v>617</v>
      </c>
      <c r="G147" s="253" t="s">
        <v>34</v>
      </c>
      <c r="H147" s="253" t="s">
        <v>1337</v>
      </c>
      <c r="I147" s="253" t="s">
        <v>34</v>
      </c>
      <c r="J147" s="253" t="s">
        <v>608</v>
      </c>
      <c r="K147" s="253" t="s">
        <v>48</v>
      </c>
      <c r="L147" s="655" t="s">
        <v>1339</v>
      </c>
      <c r="M147" s="655" t="s">
        <v>34</v>
      </c>
      <c r="N147" s="253" t="s">
        <v>3915</v>
      </c>
      <c r="O147" s="253" t="s">
        <v>1324</v>
      </c>
      <c r="P147" s="656">
        <v>42148</v>
      </c>
      <c r="Q147" s="657">
        <v>1508.230734</v>
      </c>
      <c r="R147" s="657">
        <v>1484.3009510200809</v>
      </c>
      <c r="S147" s="253">
        <v>91</v>
      </c>
      <c r="T147" s="658">
        <v>1.5945428159838571E-2</v>
      </c>
      <c r="U147" s="659">
        <v>0.797335993258667</v>
      </c>
      <c r="V147" s="658">
        <v>0.1413214185189593</v>
      </c>
      <c r="W147" s="659">
        <v>1.0959914208067254</v>
      </c>
      <c r="X147" s="658">
        <v>0.21816626876544443</v>
      </c>
      <c r="Y147" s="659">
        <v>1.1298814863490434</v>
      </c>
      <c r="Z147" s="658">
        <v>0.43638236215833492</v>
      </c>
      <c r="AA147" s="659">
        <v>1.9703872496792116</v>
      </c>
      <c r="AB147" s="658">
        <v>2.4528567440667868E-2</v>
      </c>
      <c r="AC147" s="660">
        <v>0.50461606052252705</v>
      </c>
      <c r="AD147" s="682">
        <v>32318967000102</v>
      </c>
      <c r="AE147" s="944" t="s">
        <v>1774</v>
      </c>
      <c r="AF147" s="661" t="s">
        <v>1729</v>
      </c>
      <c r="AG147" s="662" t="s">
        <v>1432</v>
      </c>
      <c r="AH147" s="662" t="s">
        <v>1734</v>
      </c>
      <c r="AI147" s="662">
        <v>50000</v>
      </c>
      <c r="AJ147" s="662">
        <v>5000</v>
      </c>
      <c r="AK147" s="662">
        <v>5000</v>
      </c>
      <c r="AL147" s="658">
        <v>0.02</v>
      </c>
      <c r="AM147" s="658">
        <v>0.25</v>
      </c>
      <c r="AN147" s="659" t="s">
        <v>64</v>
      </c>
      <c r="AO147" s="253" t="s">
        <v>34</v>
      </c>
      <c r="AP147" s="944" t="s">
        <v>1746</v>
      </c>
      <c r="AQ147" s="663" t="s">
        <v>668</v>
      </c>
      <c r="AR147" s="658">
        <v>3.8899999999999998E-3</v>
      </c>
      <c r="AS147" s="658">
        <v>3.8899999999999998E-3</v>
      </c>
      <c r="AT147" s="658" t="s">
        <v>1417</v>
      </c>
      <c r="AU147" s="658" t="s">
        <v>2751</v>
      </c>
      <c r="AX147" s="508"/>
      <c r="AY147" s="509"/>
      <c r="AZ147" s="509"/>
      <c r="BA147" s="509"/>
      <c r="BB147" s="509"/>
      <c r="BC147" s="509"/>
      <c r="BD147" s="509"/>
      <c r="BE147" s="509"/>
      <c r="BF147" s="509"/>
      <c r="BG147" s="509"/>
      <c r="BH147" s="665"/>
      <c r="BI147" s="510"/>
      <c r="BJ147" s="511"/>
      <c r="BK147" s="511"/>
      <c r="BL147" s="511"/>
      <c r="BM147" s="195"/>
      <c r="BN147" s="510"/>
      <c r="BO147" s="510"/>
      <c r="BP147" s="510"/>
      <c r="BQ147" s="510"/>
      <c r="BR147" s="510"/>
      <c r="BS147" s="510"/>
      <c r="BT147" s="510"/>
      <c r="BU147" s="510"/>
      <c r="BV147" s="510"/>
      <c r="BW147" s="512"/>
      <c r="BX147" s="509"/>
      <c r="BY147"/>
      <c r="CA147"/>
    </row>
    <row r="148" spans="2:79" ht="18.75">
      <c r="B148" s="252" t="s">
        <v>372</v>
      </c>
      <c r="C148" s="251">
        <v>7279819000189</v>
      </c>
      <c r="D148" s="252" t="s">
        <v>13</v>
      </c>
      <c r="E148" s="252" t="s">
        <v>616</v>
      </c>
      <c r="F148" s="252" t="s">
        <v>617</v>
      </c>
      <c r="G148" s="253" t="s">
        <v>34</v>
      </c>
      <c r="H148" s="253" t="s">
        <v>1337</v>
      </c>
      <c r="I148" s="253" t="s">
        <v>34</v>
      </c>
      <c r="J148" s="253" t="s">
        <v>608</v>
      </c>
      <c r="K148" s="253" t="s">
        <v>48</v>
      </c>
      <c r="L148" s="655" t="s">
        <v>1339</v>
      </c>
      <c r="M148" s="655" t="s">
        <v>34</v>
      </c>
      <c r="N148" s="253" t="s">
        <v>3917</v>
      </c>
      <c r="O148" s="253" t="s">
        <v>1324</v>
      </c>
      <c r="P148" s="656">
        <v>38430</v>
      </c>
      <c r="Q148" s="657">
        <v>126.69241599999999</v>
      </c>
      <c r="R148" s="657">
        <v>141.10220477016131</v>
      </c>
      <c r="S148" s="253">
        <v>16</v>
      </c>
      <c r="T148" s="658">
        <v>1.6322134660827103E-2</v>
      </c>
      <c r="U148" s="659">
        <v>0.81617284411784952</v>
      </c>
      <c r="V148" s="658">
        <v>0.12534501347369953</v>
      </c>
      <c r="W148" s="659">
        <v>0.97208944580221535</v>
      </c>
      <c r="X148" s="658">
        <v>0.18587906667033605</v>
      </c>
      <c r="Y148" s="659">
        <v>0.9626663063869465</v>
      </c>
      <c r="Z148" s="658">
        <v>0.29208168253120714</v>
      </c>
      <c r="AA148" s="659">
        <v>1.3188297076854014</v>
      </c>
      <c r="AB148" s="658">
        <v>1.3592316023672425E-2</v>
      </c>
      <c r="AC148" s="660">
        <v>-0.26477430092273996</v>
      </c>
      <c r="AD148" s="682">
        <v>0</v>
      </c>
      <c r="AE148" s="944" t="s">
        <v>1774</v>
      </c>
      <c r="AF148" s="661" t="s">
        <v>1729</v>
      </c>
      <c r="AG148" s="662" t="s">
        <v>1432</v>
      </c>
      <c r="AH148" s="662" t="s">
        <v>1734</v>
      </c>
      <c r="AI148" s="662">
        <v>50000</v>
      </c>
      <c r="AJ148" s="662">
        <v>5000</v>
      </c>
      <c r="AK148" s="662">
        <v>5000</v>
      </c>
      <c r="AL148" s="658">
        <v>0.02</v>
      </c>
      <c r="AM148" s="658">
        <v>0.25</v>
      </c>
      <c r="AN148" s="659" t="s">
        <v>64</v>
      </c>
      <c r="AO148" s="253" t="s">
        <v>34</v>
      </c>
      <c r="AP148" s="944" t="s">
        <v>1746</v>
      </c>
      <c r="AQ148" s="663" t="s">
        <v>668</v>
      </c>
      <c r="AR148" s="658">
        <v>4.0000000000000001E-3</v>
      </c>
      <c r="AS148" s="658">
        <v>4.0000000000000001E-3</v>
      </c>
      <c r="AT148" s="658" t="s">
        <v>1417</v>
      </c>
      <c r="AU148" s="658" t="s">
        <v>2751</v>
      </c>
      <c r="AX148" s="508"/>
      <c r="AY148" s="509"/>
      <c r="AZ148" s="509"/>
      <c r="BA148" s="509"/>
      <c r="BB148" s="509"/>
      <c r="BC148" s="509"/>
      <c r="BD148" s="509"/>
      <c r="BE148" s="509"/>
      <c r="BF148" s="509"/>
      <c r="BG148" s="509"/>
      <c r="BH148" s="665"/>
      <c r="BI148" s="510"/>
      <c r="BJ148" s="511"/>
      <c r="BK148" s="511"/>
      <c r="BL148" s="511"/>
      <c r="BM148" s="195"/>
      <c r="BN148" s="510"/>
      <c r="BO148" s="510"/>
      <c r="BP148" s="510"/>
      <c r="BQ148" s="510"/>
      <c r="BR148" s="510"/>
      <c r="BS148" s="510"/>
      <c r="BT148" s="510"/>
      <c r="BU148" s="510"/>
      <c r="BV148" s="510"/>
      <c r="BW148" s="512"/>
      <c r="BX148" s="509"/>
      <c r="BY148"/>
      <c r="CA148"/>
    </row>
    <row r="149" spans="2:79" ht="18.75">
      <c r="B149" s="252" t="s">
        <v>375</v>
      </c>
      <c r="C149" s="251">
        <v>25423215000146</v>
      </c>
      <c r="D149" s="252" t="s">
        <v>13</v>
      </c>
      <c r="E149" s="252" t="s">
        <v>616</v>
      </c>
      <c r="F149" s="252" t="s">
        <v>617</v>
      </c>
      <c r="G149" s="253" t="s">
        <v>34</v>
      </c>
      <c r="H149" s="253" t="s">
        <v>1338</v>
      </c>
      <c r="I149" s="253" t="s">
        <v>34</v>
      </c>
      <c r="J149" s="253" t="s">
        <v>608</v>
      </c>
      <c r="K149" s="253" t="s">
        <v>48</v>
      </c>
      <c r="L149" s="655" t="s">
        <v>1339</v>
      </c>
      <c r="M149" s="655" t="s">
        <v>1414</v>
      </c>
      <c r="N149" s="253" t="s">
        <v>3925</v>
      </c>
      <c r="O149" s="253" t="s">
        <v>1321</v>
      </c>
      <c r="P149" s="656">
        <v>42679</v>
      </c>
      <c r="Q149" s="657">
        <v>203.28368499999999</v>
      </c>
      <c r="R149" s="657">
        <v>245.98016311740901</v>
      </c>
      <c r="S149" s="253">
        <v>77</v>
      </c>
      <c r="T149" s="658">
        <v>-1.1377721033406507E-2</v>
      </c>
      <c r="U149" s="659">
        <v>-0.56893213592347003</v>
      </c>
      <c r="V149" s="658">
        <v>0.13770847310884027</v>
      </c>
      <c r="W149" s="659">
        <v>1.0679719088683968</v>
      </c>
      <c r="X149" s="658">
        <v>0.1997984111994533</v>
      </c>
      <c r="Y149" s="659">
        <v>1.0347544883710831</v>
      </c>
      <c r="Z149" s="658">
        <v>0.29918725172092753</v>
      </c>
      <c r="AA149" s="659">
        <v>1.3509133209274475</v>
      </c>
      <c r="AB149" s="658">
        <v>9.4972514244642758E-2</v>
      </c>
      <c r="AC149" s="660">
        <v>9.2285265181829293E-2</v>
      </c>
      <c r="AD149" s="682">
        <v>25423226000126</v>
      </c>
      <c r="AE149" s="944" t="s">
        <v>1886</v>
      </c>
      <c r="AF149" s="661" t="s">
        <v>1769</v>
      </c>
      <c r="AG149" s="662" t="s">
        <v>1432</v>
      </c>
      <c r="AH149" s="662" t="s">
        <v>1730</v>
      </c>
      <c r="AI149" s="662">
        <v>100000</v>
      </c>
      <c r="AJ149" s="662">
        <v>50000</v>
      </c>
      <c r="AK149" s="662">
        <v>100000</v>
      </c>
      <c r="AL149" s="658">
        <v>1.8500000000000003E-2</v>
      </c>
      <c r="AM149" s="658">
        <v>0.2</v>
      </c>
      <c r="AN149" s="659" t="s">
        <v>2127</v>
      </c>
      <c r="AO149" s="253" t="s">
        <v>34</v>
      </c>
      <c r="AP149" s="944" t="s">
        <v>1746</v>
      </c>
      <c r="AQ149" s="663" t="s">
        <v>668</v>
      </c>
      <c r="AR149" s="658">
        <v>3.7000000000000002E-3</v>
      </c>
      <c r="AS149" s="658">
        <v>3.7000000000000002E-3</v>
      </c>
      <c r="AT149" s="658" t="s">
        <v>1417</v>
      </c>
      <c r="AU149" s="658" t="s">
        <v>2751</v>
      </c>
      <c r="AX149" s="508"/>
      <c r="AY149" s="509"/>
      <c r="AZ149" s="509"/>
      <c r="BA149" s="509"/>
      <c r="BB149" s="509"/>
      <c r="BC149" s="509"/>
      <c r="BD149" s="509"/>
      <c r="BE149" s="509"/>
      <c r="BF149" s="509"/>
      <c r="BG149" s="509"/>
      <c r="BH149" s="665"/>
      <c r="BI149" s="510"/>
      <c r="BJ149" s="511"/>
      <c r="BK149" s="511"/>
      <c r="BL149" s="511"/>
      <c r="BM149" s="195"/>
      <c r="BN149" s="510"/>
      <c r="BO149" s="510"/>
      <c r="BP149" s="510"/>
      <c r="BQ149" s="510"/>
      <c r="BR149" s="510"/>
      <c r="BS149" s="510"/>
      <c r="BT149" s="510"/>
      <c r="BU149" s="510"/>
      <c r="BV149" s="510"/>
      <c r="BW149" s="512"/>
      <c r="BX149" s="509"/>
      <c r="BY149"/>
      <c r="CA149"/>
    </row>
    <row r="150" spans="2:79" ht="18.75">
      <c r="B150" s="252" t="s">
        <v>381</v>
      </c>
      <c r="C150" s="251">
        <v>14188162000100</v>
      </c>
      <c r="D150" s="252" t="s">
        <v>11</v>
      </c>
      <c r="E150" s="252" t="s">
        <v>620</v>
      </c>
      <c r="F150" s="252" t="s">
        <v>663</v>
      </c>
      <c r="G150" s="253" t="s">
        <v>738</v>
      </c>
      <c r="H150" s="253" t="s">
        <v>34</v>
      </c>
      <c r="I150" s="253" t="s">
        <v>1417</v>
      </c>
      <c r="J150" s="253" t="s">
        <v>608</v>
      </c>
      <c r="K150" s="253" t="s">
        <v>48</v>
      </c>
      <c r="L150" s="655" t="s">
        <v>1339</v>
      </c>
      <c r="M150" s="655" t="s">
        <v>34</v>
      </c>
      <c r="N150" s="253" t="s">
        <v>3943</v>
      </c>
      <c r="O150" s="253" t="s">
        <v>1321</v>
      </c>
      <c r="P150" s="656">
        <v>40948</v>
      </c>
      <c r="Q150" s="657">
        <v>2051.6800250000001</v>
      </c>
      <c r="R150" s="657">
        <v>1858.5683155080012</v>
      </c>
      <c r="S150" s="253">
        <v>31</v>
      </c>
      <c r="T150" s="658">
        <v>-3.5025495362418502E-3</v>
      </c>
      <c r="U150" s="659">
        <v>-0.17514166351776106</v>
      </c>
      <c r="V150" s="658">
        <v>0.115382029862934</v>
      </c>
      <c r="W150" s="659">
        <v>0.89482341863187442</v>
      </c>
      <c r="X150" s="658">
        <v>0.207184499214631</v>
      </c>
      <c r="Y150" s="659">
        <v>1.073006983370052</v>
      </c>
      <c r="Z150" s="658">
        <v>0.23286141940683436</v>
      </c>
      <c r="AA150" s="659">
        <v>1.0514338147675892</v>
      </c>
      <c r="AB150" s="658">
        <v>1.069105616926992E-2</v>
      </c>
      <c r="AC150" s="660">
        <v>-1.2685257068273805</v>
      </c>
      <c r="AD150" s="682">
        <v>14188164000107</v>
      </c>
      <c r="AE150" s="944" t="s">
        <v>1781</v>
      </c>
      <c r="AF150" s="661" t="s">
        <v>1729</v>
      </c>
      <c r="AG150" s="662" t="s">
        <v>1433</v>
      </c>
      <c r="AH150" s="662" t="s">
        <v>1734</v>
      </c>
      <c r="AI150" s="662">
        <v>1000</v>
      </c>
      <c r="AJ150" s="662">
        <v>100</v>
      </c>
      <c r="AK150" s="662">
        <v>100</v>
      </c>
      <c r="AL150" s="658">
        <v>6.9999999999999993E-3</v>
      </c>
      <c r="AM150" s="658">
        <v>0.2</v>
      </c>
      <c r="AN150" s="659" t="s">
        <v>64</v>
      </c>
      <c r="AO150" s="253" t="s">
        <v>34</v>
      </c>
      <c r="AP150" s="944" t="s">
        <v>1735</v>
      </c>
      <c r="AQ150" s="663" t="s">
        <v>1373</v>
      </c>
      <c r="AR150" s="658">
        <v>1.4E-3</v>
      </c>
      <c r="AS150" s="658">
        <v>1.866E-3</v>
      </c>
      <c r="AT150" s="658" t="s">
        <v>1417</v>
      </c>
      <c r="AU150" s="658" t="s">
        <v>2751</v>
      </c>
      <c r="AX150" s="508"/>
      <c r="AY150" s="509"/>
      <c r="AZ150" s="509"/>
      <c r="BA150" s="509"/>
      <c r="BB150" s="509"/>
      <c r="BC150" s="509"/>
      <c r="BD150" s="509"/>
      <c r="BE150" s="509"/>
      <c r="BF150" s="509"/>
      <c r="BG150" s="509"/>
      <c r="BH150" s="665"/>
      <c r="BI150" s="510"/>
      <c r="BJ150" s="511"/>
      <c r="BK150" s="511"/>
      <c r="BL150" s="511"/>
      <c r="BM150" s="195"/>
      <c r="BN150" s="510"/>
      <c r="BO150" s="510"/>
      <c r="BP150" s="510"/>
      <c r="BQ150" s="510"/>
      <c r="BR150" s="510"/>
      <c r="BS150" s="510"/>
      <c r="BT150" s="510"/>
      <c r="BU150" s="510"/>
      <c r="BV150" s="510"/>
      <c r="BW150" s="512"/>
      <c r="BX150" s="509"/>
      <c r="BY150"/>
      <c r="CA150"/>
    </row>
    <row r="151" spans="2:79" ht="18.75">
      <c r="B151" s="252" t="s">
        <v>1198</v>
      </c>
      <c r="C151" s="251">
        <v>17447468000121</v>
      </c>
      <c r="D151" s="252" t="s">
        <v>14</v>
      </c>
      <c r="E151" s="252" t="s">
        <v>614</v>
      </c>
      <c r="F151" s="252" t="s">
        <v>1417</v>
      </c>
      <c r="G151" s="253" t="s">
        <v>1417</v>
      </c>
      <c r="H151" s="253" t="s">
        <v>865</v>
      </c>
      <c r="I151" s="253" t="s">
        <v>34</v>
      </c>
      <c r="J151" s="253" t="s">
        <v>608</v>
      </c>
      <c r="K151" s="253" t="s">
        <v>48</v>
      </c>
      <c r="L151" s="655" t="s">
        <v>1339</v>
      </c>
      <c r="M151" s="655" t="s">
        <v>1414</v>
      </c>
      <c r="N151" s="253" t="s">
        <v>3945</v>
      </c>
      <c r="O151" s="253" t="s">
        <v>1321</v>
      </c>
      <c r="P151" s="656">
        <v>41355</v>
      </c>
      <c r="Q151" s="657">
        <v>155.64595700000001</v>
      </c>
      <c r="R151" s="657">
        <v>132.68712637349395</v>
      </c>
      <c r="S151" s="253">
        <v>62</v>
      </c>
      <c r="T151" s="658">
        <v>4.7954599754009841E-3</v>
      </c>
      <c r="U151" s="659">
        <v>0.23979242227241868</v>
      </c>
      <c r="V151" s="658">
        <v>0.16805008846401837</v>
      </c>
      <c r="W151" s="659">
        <v>1.3032805441141684</v>
      </c>
      <c r="X151" s="658">
        <v>0.25938164179054857</v>
      </c>
      <c r="Y151" s="659">
        <v>1.343335597278088</v>
      </c>
      <c r="Z151" s="658">
        <v>0.32944632355609982</v>
      </c>
      <c r="AA151" s="659">
        <v>1.4875414124851853</v>
      </c>
      <c r="AB151" s="658">
        <v>0.16381396242304663</v>
      </c>
      <c r="AC151" s="660">
        <v>0.23872311272368227</v>
      </c>
      <c r="AD151" s="682">
        <v>17735052000109</v>
      </c>
      <c r="AE151" s="944" t="s">
        <v>1797</v>
      </c>
      <c r="AF151" s="661" t="s">
        <v>1745</v>
      </c>
      <c r="AG151" s="662" t="s">
        <v>1432</v>
      </c>
      <c r="AH151" s="662" t="s">
        <v>1730</v>
      </c>
      <c r="AI151" s="662">
        <v>5000</v>
      </c>
      <c r="AJ151" s="662">
        <v>5000</v>
      </c>
      <c r="AK151" s="662">
        <v>5000</v>
      </c>
      <c r="AL151" s="658">
        <v>0</v>
      </c>
      <c r="AM151" s="658">
        <v>0</v>
      </c>
      <c r="AN151" s="659" t="s">
        <v>2127</v>
      </c>
      <c r="AO151" s="253" t="s">
        <v>34</v>
      </c>
      <c r="AP151" s="944" t="s">
        <v>1731</v>
      </c>
      <c r="AQ151" s="663" t="s">
        <v>659</v>
      </c>
      <c r="AR151" s="658">
        <v>3.3333333333333301E-3</v>
      </c>
      <c r="AS151" s="658">
        <v>3.3333333333333301E-3</v>
      </c>
      <c r="AT151" s="658" t="s">
        <v>1417</v>
      </c>
      <c r="AU151" s="658" t="s">
        <v>2751</v>
      </c>
      <c r="AX151" s="508"/>
      <c r="AY151" s="509"/>
      <c r="AZ151" s="509"/>
      <c r="BA151" s="509"/>
      <c r="BB151" s="509"/>
      <c r="BC151" s="509"/>
      <c r="BD151" s="509"/>
      <c r="BE151" s="509"/>
      <c r="BF151" s="509"/>
      <c r="BG151" s="509"/>
      <c r="BH151" s="665"/>
      <c r="BI151" s="510"/>
      <c r="BJ151" s="511"/>
      <c r="BK151" s="511"/>
      <c r="BL151" s="511"/>
      <c r="BM151" s="195"/>
      <c r="BN151" s="510"/>
      <c r="BO151" s="510"/>
      <c r="BP151" s="510"/>
      <c r="BQ151" s="510"/>
      <c r="BR151" s="510"/>
      <c r="BS151" s="510"/>
      <c r="BT151" s="510"/>
      <c r="BU151" s="510"/>
      <c r="BV151" s="510"/>
      <c r="BW151" s="512"/>
      <c r="BX151" s="509"/>
      <c r="BY151"/>
      <c r="CA151"/>
    </row>
    <row r="152" spans="2:79" ht="18.75">
      <c r="B152" s="252" t="s">
        <v>1307</v>
      </c>
      <c r="C152" s="251">
        <v>15334585000153</v>
      </c>
      <c r="D152" s="252" t="s">
        <v>14</v>
      </c>
      <c r="E152" s="252" t="s">
        <v>607</v>
      </c>
      <c r="F152" s="252" t="s">
        <v>1417</v>
      </c>
      <c r="G152" s="253" t="s">
        <v>1417</v>
      </c>
      <c r="H152" s="253" t="s">
        <v>34</v>
      </c>
      <c r="I152" s="253" t="s">
        <v>34</v>
      </c>
      <c r="J152" s="253" t="s">
        <v>608</v>
      </c>
      <c r="K152" s="253" t="s">
        <v>48</v>
      </c>
      <c r="L152" s="655" t="s">
        <v>1339</v>
      </c>
      <c r="M152" s="655" t="s">
        <v>1414</v>
      </c>
      <c r="N152" s="253" t="s">
        <v>3951</v>
      </c>
      <c r="O152" s="253" t="s">
        <v>1321</v>
      </c>
      <c r="P152" s="656">
        <v>41096</v>
      </c>
      <c r="Q152" s="657">
        <v>53.871746000000002</v>
      </c>
      <c r="R152" s="657">
        <v>53.274742350806449</v>
      </c>
      <c r="S152" s="253">
        <v>32</v>
      </c>
      <c r="T152" s="658">
        <v>-7.8298581669200562E-4</v>
      </c>
      <c r="U152" s="659">
        <v>-3.9152462235663744E-2</v>
      </c>
      <c r="V152" s="658">
        <v>2.3240854029445757E-2</v>
      </c>
      <c r="W152" s="659">
        <v>0.18024002939849304</v>
      </c>
      <c r="X152" s="658">
        <v>2.3544741345498776E-2</v>
      </c>
      <c r="Y152" s="659">
        <v>0.12193804064072426</v>
      </c>
      <c r="Z152" s="658">
        <v>6.9409432180405073E-2</v>
      </c>
      <c r="AA152" s="659">
        <v>0.31340281376019846</v>
      </c>
      <c r="AB152" s="658">
        <v>0.22652924021510765</v>
      </c>
      <c r="AC152" s="660">
        <v>-0.46661991766258998</v>
      </c>
      <c r="AD152" s="682">
        <v>15350712000108</v>
      </c>
      <c r="AE152" s="944" t="s">
        <v>1866</v>
      </c>
      <c r="AF152" s="661" t="s">
        <v>1767</v>
      </c>
      <c r="AG152" s="662" t="s">
        <v>59</v>
      </c>
      <c r="AH152" s="662" t="s">
        <v>1734</v>
      </c>
      <c r="AI152" s="662">
        <v>5000</v>
      </c>
      <c r="AJ152" s="662">
        <v>5000</v>
      </c>
      <c r="AK152" s="662">
        <v>5000</v>
      </c>
      <c r="AL152" s="658">
        <v>2.2000000000000002E-2</v>
      </c>
      <c r="AM152" s="658">
        <v>0.2</v>
      </c>
      <c r="AN152" s="659" t="s">
        <v>2160</v>
      </c>
      <c r="AO152" s="253" t="s">
        <v>34</v>
      </c>
      <c r="AP152" s="944" t="s">
        <v>1731</v>
      </c>
      <c r="AQ152" s="663" t="s">
        <v>659</v>
      </c>
      <c r="AR152" s="658">
        <v>3.16666E-3</v>
      </c>
      <c r="AS152" s="658">
        <v>3.16666E-3</v>
      </c>
      <c r="AT152" s="658" t="s">
        <v>1417</v>
      </c>
      <c r="AU152" s="658" t="s">
        <v>2751</v>
      </c>
      <c r="AX152" s="508"/>
      <c r="AY152" s="509"/>
      <c r="AZ152" s="509"/>
      <c r="BA152" s="509"/>
      <c r="BB152" s="509"/>
      <c r="BC152" s="509"/>
      <c r="BD152" s="509"/>
      <c r="BE152" s="509"/>
      <c r="BF152" s="509"/>
      <c r="BG152" s="509"/>
      <c r="BH152" s="665"/>
      <c r="BI152" s="510"/>
      <c r="BJ152" s="511"/>
      <c r="BK152" s="511"/>
      <c r="BL152" s="511"/>
      <c r="BM152" s="195"/>
      <c r="BN152" s="510"/>
      <c r="BO152" s="510"/>
      <c r="BP152" s="510"/>
      <c r="BQ152" s="510"/>
      <c r="BR152" s="510"/>
      <c r="BS152" s="510"/>
      <c r="BT152" s="510"/>
      <c r="BU152" s="510"/>
      <c r="BV152" s="510"/>
      <c r="BW152" s="512"/>
      <c r="BX152" s="509"/>
      <c r="BY152"/>
      <c r="CA152"/>
    </row>
    <row r="153" spans="2:79" ht="18.75">
      <c r="B153" s="252" t="s">
        <v>383</v>
      </c>
      <c r="C153" s="251">
        <v>35343590000130</v>
      </c>
      <c r="D153" s="252" t="s">
        <v>11</v>
      </c>
      <c r="E153" s="252" t="s">
        <v>620</v>
      </c>
      <c r="F153" s="252" t="s">
        <v>663</v>
      </c>
      <c r="G153" s="253" t="s">
        <v>738</v>
      </c>
      <c r="H153" s="253" t="s">
        <v>34</v>
      </c>
      <c r="I153" s="253" t="s">
        <v>1417</v>
      </c>
      <c r="J153" s="253" t="s">
        <v>608</v>
      </c>
      <c r="K153" s="253" t="s">
        <v>48</v>
      </c>
      <c r="L153" s="655" t="s">
        <v>1339</v>
      </c>
      <c r="M153" s="655" t="s">
        <v>34</v>
      </c>
      <c r="N153" s="253" t="s">
        <v>3955</v>
      </c>
      <c r="O153" s="253" t="s">
        <v>1321</v>
      </c>
      <c r="P153" s="656">
        <v>43818</v>
      </c>
      <c r="Q153" s="657">
        <v>493.18047947999997</v>
      </c>
      <c r="R153" s="657">
        <v>326.40747571424009</v>
      </c>
      <c r="S153" s="253">
        <v>46</v>
      </c>
      <c r="T153" s="658">
        <v>-1.1065561313657879E-3</v>
      </c>
      <c r="U153" s="659">
        <v>-5.5332288556617891E-2</v>
      </c>
      <c r="V153" s="658">
        <v>0.1196729015868272</v>
      </c>
      <c r="W153" s="659">
        <v>0.92810045934129948</v>
      </c>
      <c r="X153" s="658">
        <v>0.21178727458452484</v>
      </c>
      <c r="Y153" s="659">
        <v>1.0968447228413984</v>
      </c>
      <c r="Z153" s="658">
        <v>0.24852188438198497</v>
      </c>
      <c r="AA153" s="659">
        <v>1.1221451523167649</v>
      </c>
      <c r="AB153" s="658">
        <v>9.9310811953277622E-3</v>
      </c>
      <c r="AC153" s="660">
        <v>-0.93353459483574164</v>
      </c>
      <c r="AD153" s="682">
        <v>35505971000178</v>
      </c>
      <c r="AE153" s="944" t="s">
        <v>1797</v>
      </c>
      <c r="AF153" s="661" t="s">
        <v>1745</v>
      </c>
      <c r="AG153" s="662" t="s">
        <v>1432</v>
      </c>
      <c r="AH153" s="662" t="s">
        <v>1734</v>
      </c>
      <c r="AI153" s="662">
        <v>1000</v>
      </c>
      <c r="AJ153" s="662">
        <v>500</v>
      </c>
      <c r="AK153" s="662">
        <v>1000</v>
      </c>
      <c r="AL153" s="658">
        <v>0</v>
      </c>
      <c r="AM153" s="658">
        <v>0</v>
      </c>
      <c r="AN153" s="659" t="s">
        <v>64</v>
      </c>
      <c r="AO153" s="253" t="s">
        <v>34</v>
      </c>
      <c r="AP153" s="944" t="s">
        <v>1735</v>
      </c>
      <c r="AQ153" s="663" t="s">
        <v>675</v>
      </c>
      <c r="AR153" s="658">
        <v>1.3998000000000001E-3</v>
      </c>
      <c r="AS153" s="658">
        <v>1.3998000000000001E-3</v>
      </c>
      <c r="AT153" s="658" t="s">
        <v>1417</v>
      </c>
      <c r="AU153" s="658" t="s">
        <v>2751</v>
      </c>
      <c r="AX153" s="508"/>
      <c r="AY153" s="509"/>
      <c r="AZ153" s="509"/>
      <c r="BA153" s="509"/>
      <c r="BB153" s="509"/>
      <c r="BC153" s="509"/>
      <c r="BD153" s="509"/>
      <c r="BE153" s="509"/>
      <c r="BF153" s="509"/>
      <c r="BG153" s="509"/>
      <c r="BH153" s="665"/>
      <c r="BI153" s="510"/>
      <c r="BJ153" s="511"/>
      <c r="BK153" s="511"/>
      <c r="BL153" s="511"/>
      <c r="BM153" s="195"/>
      <c r="BN153" s="510"/>
      <c r="BO153" s="510"/>
      <c r="BP153" s="510"/>
      <c r="BQ153" s="510"/>
      <c r="BR153" s="510"/>
      <c r="BS153" s="510"/>
      <c r="BT153" s="510"/>
      <c r="BU153" s="510"/>
      <c r="BV153" s="510"/>
      <c r="BW153" s="512"/>
      <c r="BX153" s="509"/>
      <c r="BY153"/>
      <c r="CA153"/>
    </row>
    <row r="154" spans="2:79" ht="18.75">
      <c r="B154" s="252" t="s">
        <v>492</v>
      </c>
      <c r="C154" s="251">
        <v>34781162000126</v>
      </c>
      <c r="D154" s="252" t="s">
        <v>11</v>
      </c>
      <c r="E154" s="252" t="s">
        <v>4235</v>
      </c>
      <c r="F154" s="252" t="s">
        <v>663</v>
      </c>
      <c r="G154" s="253" t="s">
        <v>738</v>
      </c>
      <c r="H154" s="253" t="s">
        <v>34</v>
      </c>
      <c r="I154" s="253" t="s">
        <v>1417</v>
      </c>
      <c r="J154" s="253" t="s">
        <v>611</v>
      </c>
      <c r="K154" s="253" t="s">
        <v>48</v>
      </c>
      <c r="L154" s="655" t="s">
        <v>1339</v>
      </c>
      <c r="M154" s="655" t="s">
        <v>1414</v>
      </c>
      <c r="N154" s="253" t="s">
        <v>3957</v>
      </c>
      <c r="O154" s="253" t="s">
        <v>1321</v>
      </c>
      <c r="P154" s="656">
        <v>43740</v>
      </c>
      <c r="Q154" s="657">
        <v>239.06241997999999</v>
      </c>
      <c r="R154" s="657">
        <v>283.4123144795181</v>
      </c>
      <c r="S154" s="253">
        <v>46</v>
      </c>
      <c r="T154" s="658">
        <v>-1.433426634493018E-2</v>
      </c>
      <c r="U154" s="659">
        <v>-0.71677137667307989</v>
      </c>
      <c r="V154" s="658">
        <v>8.4850911547706964E-2</v>
      </c>
      <c r="W154" s="659">
        <v>0.65804512917085567</v>
      </c>
      <c r="X154" s="658">
        <v>0.1490487000000007</v>
      </c>
      <c r="Y154" s="659">
        <v>0.77192211081655382</v>
      </c>
      <c r="Z154" s="658">
        <v>0.1490487000000007</v>
      </c>
      <c r="AA154" s="659">
        <v>0.67299616925100303</v>
      </c>
      <c r="AB154" s="658">
        <v>2.8559806474559114E-2</v>
      </c>
      <c r="AC154" s="660">
        <v>-1.5438829369645461</v>
      </c>
      <c r="AD154" s="682">
        <v>35646238000173</v>
      </c>
      <c r="AE154" s="944" t="s">
        <v>1999</v>
      </c>
      <c r="AF154" s="661" t="s">
        <v>1767</v>
      </c>
      <c r="AG154" s="662" t="s">
        <v>59</v>
      </c>
      <c r="AH154" s="662" t="s">
        <v>1730</v>
      </c>
      <c r="AI154" s="662">
        <v>1000</v>
      </c>
      <c r="AJ154" s="662">
        <v>500</v>
      </c>
      <c r="AK154" s="662">
        <v>1000</v>
      </c>
      <c r="AL154" s="658">
        <v>8.3000000000000001E-3</v>
      </c>
      <c r="AM154" s="658">
        <v>0</v>
      </c>
      <c r="AN154" s="659" t="s">
        <v>64</v>
      </c>
      <c r="AO154" s="253" t="s">
        <v>34</v>
      </c>
      <c r="AP154" s="944" t="s">
        <v>1746</v>
      </c>
      <c r="AQ154" s="663" t="s">
        <v>671</v>
      </c>
      <c r="AR154" s="658">
        <v>1.33333333333333E-3</v>
      </c>
      <c r="AS154" s="658">
        <v>1.33333333333333E-3</v>
      </c>
      <c r="AT154" s="658" t="s">
        <v>1417</v>
      </c>
      <c r="AU154" s="658" t="s">
        <v>2751</v>
      </c>
      <c r="AX154" s="508"/>
      <c r="AY154" s="509"/>
      <c r="AZ154" s="509"/>
      <c r="BA154" s="509"/>
      <c r="BB154" s="509"/>
      <c r="BC154" s="509"/>
      <c r="BD154" s="509"/>
      <c r="BE154" s="509"/>
      <c r="BF154" s="509"/>
      <c r="BG154" s="509"/>
      <c r="BH154" s="665"/>
      <c r="BI154" s="510"/>
      <c r="BJ154" s="511"/>
      <c r="BK154" s="511"/>
      <c r="BL154" s="511"/>
      <c r="BM154" s="195"/>
      <c r="BN154" s="510"/>
      <c r="BO154" s="510"/>
      <c r="BP154" s="510"/>
      <c r="BQ154" s="510"/>
      <c r="BR154" s="510"/>
      <c r="BS154" s="510"/>
      <c r="BT154" s="510"/>
      <c r="BU154" s="510"/>
      <c r="BV154" s="510"/>
      <c r="BW154" s="512"/>
      <c r="BX154" s="509"/>
      <c r="BY154"/>
      <c r="CA154"/>
    </row>
    <row r="155" spans="2:79" ht="18.75">
      <c r="B155" s="252" t="s">
        <v>1201</v>
      </c>
      <c r="C155" s="251">
        <v>4899128000190</v>
      </c>
      <c r="D155" s="252" t="s">
        <v>11</v>
      </c>
      <c r="E155" s="252" t="s">
        <v>620</v>
      </c>
      <c r="F155" s="252" t="s">
        <v>663</v>
      </c>
      <c r="G155" s="253" t="s">
        <v>738</v>
      </c>
      <c r="H155" s="253" t="s">
        <v>34</v>
      </c>
      <c r="I155" s="253" t="s">
        <v>1417</v>
      </c>
      <c r="J155" s="253" t="s">
        <v>608</v>
      </c>
      <c r="K155" s="253" t="s">
        <v>48</v>
      </c>
      <c r="L155" s="655" t="s">
        <v>1339</v>
      </c>
      <c r="M155" s="655" t="s">
        <v>34</v>
      </c>
      <c r="N155" s="253" t="s">
        <v>3974</v>
      </c>
      <c r="O155" s="253" t="s">
        <v>1321</v>
      </c>
      <c r="P155" s="656">
        <v>37430</v>
      </c>
      <c r="Q155" s="657">
        <v>3740.5841759999998</v>
      </c>
      <c r="R155" s="657">
        <v>3379.522347473468</v>
      </c>
      <c r="S155" s="253">
        <v>1</v>
      </c>
      <c r="T155" s="658">
        <v>1.4588377694555454E-2</v>
      </c>
      <c r="U155" s="659">
        <v>0.72947797340543252</v>
      </c>
      <c r="V155" s="658">
        <v>0.13506185869860454</v>
      </c>
      <c r="W155" s="659">
        <v>1.0474465934689292</v>
      </c>
      <c r="X155" s="658">
        <v>0.23408334099534889</v>
      </c>
      <c r="Y155" s="659">
        <v>1.2123158852651517</v>
      </c>
      <c r="Z155" s="658">
        <v>0.2190837240367447</v>
      </c>
      <c r="AA155" s="659">
        <v>0.98922370354100631</v>
      </c>
      <c r="AB155" s="658">
        <v>2.670786747084142E-3</v>
      </c>
      <c r="AC155" s="660">
        <v>2.2906917815492092</v>
      </c>
      <c r="AD155" s="682">
        <v>0</v>
      </c>
      <c r="AE155" s="944" t="s">
        <v>1759</v>
      </c>
      <c r="AF155" s="661" t="s">
        <v>1760</v>
      </c>
      <c r="AG155" s="662" t="s">
        <v>719</v>
      </c>
      <c r="AH155" s="662" t="s">
        <v>1734</v>
      </c>
      <c r="AI155" s="662">
        <v>1000</v>
      </c>
      <c r="AJ155" s="662">
        <v>1000</v>
      </c>
      <c r="AK155" s="662">
        <v>1000</v>
      </c>
      <c r="AL155" s="658">
        <v>3.0000000000000001E-3</v>
      </c>
      <c r="AM155" s="658">
        <v>0</v>
      </c>
      <c r="AN155" s="659" t="s">
        <v>64</v>
      </c>
      <c r="AO155" s="253" t="s">
        <v>34</v>
      </c>
      <c r="AP155" s="944" t="s">
        <v>1735</v>
      </c>
      <c r="AQ155" s="663" t="s">
        <v>669</v>
      </c>
      <c r="AR155" s="658">
        <v>1E-3</v>
      </c>
      <c r="AS155" s="658">
        <v>1E-3</v>
      </c>
      <c r="AT155" s="658" t="s">
        <v>1417</v>
      </c>
      <c r="AU155" s="658" t="s">
        <v>2751</v>
      </c>
      <c r="AX155" s="508"/>
      <c r="AY155" s="509"/>
      <c r="AZ155" s="509"/>
      <c r="BA155" s="509"/>
      <c r="BB155" s="509"/>
      <c r="BC155" s="509"/>
      <c r="BD155" s="509"/>
      <c r="BE155" s="509"/>
      <c r="BF155" s="509"/>
      <c r="BG155" s="509"/>
      <c r="BH155" s="665"/>
      <c r="BI155" s="510"/>
      <c r="BJ155" s="511"/>
      <c r="BK155" s="511"/>
      <c r="BL155" s="511"/>
      <c r="BM155" s="195"/>
      <c r="BN155" s="510"/>
      <c r="BO155" s="510"/>
      <c r="BP155" s="510"/>
      <c r="BQ155" s="510"/>
      <c r="BR155" s="510"/>
      <c r="BS155" s="510"/>
      <c r="BT155" s="510"/>
      <c r="BU155" s="510"/>
      <c r="BV155" s="510"/>
      <c r="BW155" s="512"/>
      <c r="BX155" s="509"/>
      <c r="BY155"/>
      <c r="CA155"/>
    </row>
    <row r="156" spans="2:79" ht="18.75">
      <c r="B156" s="252" t="s">
        <v>396</v>
      </c>
      <c r="C156" s="251">
        <v>22232927000190</v>
      </c>
      <c r="D156" s="252" t="s">
        <v>14</v>
      </c>
      <c r="E156" s="252" t="s">
        <v>607</v>
      </c>
      <c r="F156" s="252" t="s">
        <v>1417</v>
      </c>
      <c r="G156" s="253" t="s">
        <v>1417</v>
      </c>
      <c r="H156" s="253" t="s">
        <v>34</v>
      </c>
      <c r="I156" s="253" t="s">
        <v>34</v>
      </c>
      <c r="J156" s="253" t="s">
        <v>608</v>
      </c>
      <c r="K156" s="253" t="s">
        <v>48</v>
      </c>
      <c r="L156" s="655" t="s">
        <v>1339</v>
      </c>
      <c r="M156" s="655" t="s">
        <v>34</v>
      </c>
      <c r="N156" s="253" t="s">
        <v>3996</v>
      </c>
      <c r="O156" s="253" t="s">
        <v>1324</v>
      </c>
      <c r="P156" s="656">
        <v>42222</v>
      </c>
      <c r="Q156" s="657">
        <v>357.92971199999999</v>
      </c>
      <c r="R156" s="657">
        <v>425.23563862857145</v>
      </c>
      <c r="S156" s="253">
        <v>33</v>
      </c>
      <c r="T156" s="658">
        <v>-9.2529647596879538E-3</v>
      </c>
      <c r="U156" s="659">
        <v>-0.46268571613745418</v>
      </c>
      <c r="V156" s="658">
        <v>6.5626482907353623E-2</v>
      </c>
      <c r="W156" s="659">
        <v>0.50895372405655104</v>
      </c>
      <c r="X156" s="658">
        <v>0.30449633217524674</v>
      </c>
      <c r="Y156" s="659">
        <v>1.5769842438653534</v>
      </c>
      <c r="Z156" s="658">
        <v>0.60564258277167249</v>
      </c>
      <c r="AA156" s="659">
        <v>2.7346440333972537</v>
      </c>
      <c r="AB156" s="658">
        <v>0.22775878952001902</v>
      </c>
      <c r="AC156" s="660">
        <v>-0.27800212089671911</v>
      </c>
      <c r="AD156" s="682">
        <v>27389566000103</v>
      </c>
      <c r="AE156" s="944" t="s">
        <v>1918</v>
      </c>
      <c r="AF156" s="661" t="s">
        <v>1745</v>
      </c>
      <c r="AG156" s="662" t="s">
        <v>1432</v>
      </c>
      <c r="AH156" s="662" t="s">
        <v>1734</v>
      </c>
      <c r="AI156" s="662">
        <v>1000</v>
      </c>
      <c r="AJ156" s="662">
        <v>1000</v>
      </c>
      <c r="AK156" s="662">
        <v>1000</v>
      </c>
      <c r="AL156" s="658">
        <v>1.4999999999999999E-2</v>
      </c>
      <c r="AM156" s="658">
        <v>0.2</v>
      </c>
      <c r="AN156" s="659" t="s">
        <v>34</v>
      </c>
      <c r="AO156" s="253" t="s">
        <v>34</v>
      </c>
      <c r="AP156" s="944" t="s">
        <v>1731</v>
      </c>
      <c r="AQ156" s="663" t="s">
        <v>659</v>
      </c>
      <c r="AR156" s="658">
        <v>3.7499999999999999E-3</v>
      </c>
      <c r="AS156" s="658">
        <v>3.7499999999999999E-3</v>
      </c>
      <c r="AT156" s="658" t="s">
        <v>1417</v>
      </c>
      <c r="AU156" s="658" t="s">
        <v>2751</v>
      </c>
      <c r="AX156" s="508"/>
      <c r="AY156" s="509"/>
      <c r="AZ156" s="509"/>
      <c r="BA156" s="509"/>
      <c r="BB156" s="509"/>
      <c r="BC156" s="509"/>
      <c r="BD156" s="509"/>
      <c r="BE156" s="509"/>
      <c r="BF156" s="509"/>
      <c r="BG156" s="509"/>
      <c r="BH156" s="665"/>
      <c r="BI156" s="510"/>
      <c r="BJ156" s="511"/>
      <c r="BK156" s="511"/>
      <c r="BL156" s="511"/>
      <c r="BM156" s="195"/>
      <c r="BN156" s="510"/>
      <c r="BO156" s="510"/>
      <c r="BP156" s="510"/>
      <c r="BQ156" s="510"/>
      <c r="BR156" s="510"/>
      <c r="BS156" s="510"/>
      <c r="BT156" s="510"/>
      <c r="BU156" s="510"/>
      <c r="BV156" s="510"/>
      <c r="BW156" s="512"/>
      <c r="BX156" s="509"/>
      <c r="BY156"/>
      <c r="CA156"/>
    </row>
    <row r="157" spans="2:79" ht="18.75">
      <c r="B157" s="252" t="s">
        <v>1221</v>
      </c>
      <c r="C157" s="251">
        <v>45126795000117</v>
      </c>
      <c r="D157" s="252" t="s">
        <v>13</v>
      </c>
      <c r="E157" s="252" t="s">
        <v>615</v>
      </c>
      <c r="F157" s="252" t="s">
        <v>619</v>
      </c>
      <c r="G157" s="253" t="s">
        <v>34</v>
      </c>
      <c r="H157" s="253" t="s">
        <v>1338</v>
      </c>
      <c r="I157" s="253" t="s">
        <v>34</v>
      </c>
      <c r="J157" s="253" t="s">
        <v>611</v>
      </c>
      <c r="K157" s="253" t="s">
        <v>48</v>
      </c>
      <c r="L157" s="655" t="s">
        <v>1339</v>
      </c>
      <c r="M157" s="655" t="s">
        <v>34</v>
      </c>
      <c r="N157" s="253" t="s">
        <v>4010</v>
      </c>
      <c r="O157" s="253" t="s">
        <v>1321</v>
      </c>
      <c r="P157" s="656">
        <v>44604</v>
      </c>
      <c r="Q157" s="657">
        <v>156.38732605999999</v>
      </c>
      <c r="R157" s="657">
        <v>148.13256517513162</v>
      </c>
      <c r="S157" s="253">
        <v>30</v>
      </c>
      <c r="T157" s="658">
        <v>2.3856232318869797E-2</v>
      </c>
      <c r="U157" s="659">
        <v>1.1929082430840245</v>
      </c>
      <c r="V157" s="658">
        <v>0.10623549999999948</v>
      </c>
      <c r="W157" s="659">
        <v>0.82388924343758929</v>
      </c>
      <c r="X157" s="658"/>
      <c r="Y157" s="659"/>
      <c r="Z157" s="658"/>
      <c r="AA157" s="659"/>
      <c r="AB157" s="658">
        <v>3.9598265419305161E-2</v>
      </c>
      <c r="AC157" s="660">
        <v>-0.573469802435284</v>
      </c>
      <c r="AD157" s="682">
        <v>45127361000131</v>
      </c>
      <c r="AE157" s="944" t="s">
        <v>2069</v>
      </c>
      <c r="AF157" s="661" t="s">
        <v>1745</v>
      </c>
      <c r="AG157" s="662" t="s">
        <v>1432</v>
      </c>
      <c r="AH157" s="662" t="s">
        <v>1734</v>
      </c>
      <c r="AI157" s="662">
        <v>1000</v>
      </c>
      <c r="AJ157" s="662">
        <v>1000</v>
      </c>
      <c r="AK157" s="662">
        <v>1000</v>
      </c>
      <c r="AL157" s="658">
        <v>0</v>
      </c>
      <c r="AM157" s="658">
        <v>0</v>
      </c>
      <c r="AN157" s="659" t="s">
        <v>2127</v>
      </c>
      <c r="AO157" s="253" t="s">
        <v>34</v>
      </c>
      <c r="AP157" s="944" t="s">
        <v>1746</v>
      </c>
      <c r="AQ157" s="663" t="s">
        <v>664</v>
      </c>
      <c r="AR157" s="658">
        <v>5.0666666666666698E-3</v>
      </c>
      <c r="AS157" s="658">
        <v>5.0666666666666698E-3</v>
      </c>
      <c r="AT157" s="658" t="s">
        <v>1417</v>
      </c>
      <c r="AU157" s="658" t="s">
        <v>2751</v>
      </c>
      <c r="AX157" s="508"/>
      <c r="AY157" s="509"/>
      <c r="AZ157" s="509"/>
      <c r="BA157" s="509"/>
      <c r="BB157" s="509"/>
      <c r="BC157" s="509"/>
      <c r="BD157" s="509"/>
      <c r="BE157" s="509"/>
      <c r="BF157" s="509"/>
      <c r="BG157" s="509"/>
      <c r="BH157" s="665"/>
      <c r="BI157" s="510"/>
      <c r="BJ157" s="511"/>
      <c r="BK157" s="511"/>
      <c r="BL157" s="511"/>
      <c r="BM157" s="195"/>
      <c r="BN157" s="510"/>
      <c r="BO157" s="510"/>
      <c r="BP157" s="510"/>
      <c r="BQ157" s="510"/>
      <c r="BR157" s="510"/>
      <c r="BS157" s="510"/>
      <c r="BT157" s="510"/>
      <c r="BU157" s="510"/>
      <c r="BV157" s="510"/>
      <c r="BW157" s="512"/>
      <c r="BX157" s="509"/>
      <c r="BY157"/>
      <c r="CA157"/>
    </row>
    <row r="158" spans="2:79" ht="18.75">
      <c r="B158" s="252" t="s">
        <v>1222</v>
      </c>
      <c r="C158" s="251">
        <v>45126753000186</v>
      </c>
      <c r="D158" s="252" t="s">
        <v>14</v>
      </c>
      <c r="E158" s="252" t="s">
        <v>614</v>
      </c>
      <c r="F158" s="252" t="s">
        <v>689</v>
      </c>
      <c r="G158" s="253" t="s">
        <v>1417</v>
      </c>
      <c r="H158" s="253" t="s">
        <v>1338</v>
      </c>
      <c r="I158" s="253" t="s">
        <v>34</v>
      </c>
      <c r="J158" s="253" t="s">
        <v>608</v>
      </c>
      <c r="K158" s="253" t="s">
        <v>48</v>
      </c>
      <c r="L158" s="655" t="s">
        <v>1339</v>
      </c>
      <c r="M158" s="655" t="s">
        <v>1414</v>
      </c>
      <c r="N158" s="253" t="s">
        <v>4012</v>
      </c>
      <c r="O158" s="253" t="s">
        <v>1321</v>
      </c>
      <c r="P158" s="656">
        <v>44602</v>
      </c>
      <c r="Q158" s="657">
        <v>56.798299649999997</v>
      </c>
      <c r="R158" s="657">
        <v>54.865816553728045</v>
      </c>
      <c r="S158" s="253">
        <v>30</v>
      </c>
      <c r="T158" s="658">
        <v>-2.4560238595033979E-2</v>
      </c>
      <c r="U158" s="659">
        <v>-1.2281114083950391</v>
      </c>
      <c r="V158" s="658">
        <v>5.1534500000001371E-2</v>
      </c>
      <c r="W158" s="659">
        <v>0.39966602704308618</v>
      </c>
      <c r="X158" s="658"/>
      <c r="Y158" s="659"/>
      <c r="Z158" s="658"/>
      <c r="AA158" s="659"/>
      <c r="AB158" s="658">
        <v>0.10336929303212347</v>
      </c>
      <c r="AC158" s="660">
        <v>-0.74886271518497194</v>
      </c>
      <c r="AD158" s="682">
        <v>45127329000156</v>
      </c>
      <c r="AE158" s="944" t="s">
        <v>2069</v>
      </c>
      <c r="AF158" s="661" t="s">
        <v>1745</v>
      </c>
      <c r="AG158" s="662" t="s">
        <v>1432</v>
      </c>
      <c r="AH158" s="662" t="s">
        <v>1734</v>
      </c>
      <c r="AI158" s="662">
        <v>1000</v>
      </c>
      <c r="AJ158" s="662">
        <v>1000</v>
      </c>
      <c r="AK158" s="662">
        <v>1000</v>
      </c>
      <c r="AL158" s="658">
        <v>0</v>
      </c>
      <c r="AM158" s="658">
        <v>0</v>
      </c>
      <c r="AN158" s="659" t="s">
        <v>2127</v>
      </c>
      <c r="AO158" s="253" t="s">
        <v>34</v>
      </c>
      <c r="AP158" s="944" t="s">
        <v>1746</v>
      </c>
      <c r="AQ158" s="663" t="s">
        <v>668</v>
      </c>
      <c r="AR158" s="658">
        <v>0</v>
      </c>
      <c r="AS158" s="658">
        <v>0</v>
      </c>
      <c r="AT158" s="658" t="s">
        <v>1417</v>
      </c>
      <c r="AU158" s="658" t="s">
        <v>2751</v>
      </c>
      <c r="AX158" s="508"/>
      <c r="AY158" s="509"/>
      <c r="AZ158" s="509"/>
      <c r="BA158" s="509"/>
      <c r="BB158" s="509"/>
      <c r="BC158" s="509"/>
      <c r="BD158" s="509"/>
      <c r="BE158" s="509"/>
      <c r="BF158" s="509"/>
      <c r="BG158" s="509"/>
      <c r="BH158" s="665"/>
      <c r="BI158" s="510"/>
      <c r="BJ158" s="511"/>
      <c r="BK158" s="511"/>
      <c r="BL158" s="511"/>
      <c r="BM158" s="195"/>
      <c r="BN158" s="510"/>
      <c r="BO158" s="510"/>
      <c r="BP158" s="510"/>
      <c r="BQ158" s="510"/>
      <c r="BR158" s="510"/>
      <c r="BS158" s="510"/>
      <c r="BT158" s="510"/>
      <c r="BU158" s="510"/>
      <c r="BV158" s="510"/>
      <c r="BW158" s="512"/>
      <c r="BX158" s="509"/>
      <c r="BY158"/>
      <c r="CA158"/>
    </row>
    <row r="159" spans="2:79" ht="18.75">
      <c r="B159" s="252" t="s">
        <v>1381</v>
      </c>
      <c r="C159" s="251">
        <v>7539298000151</v>
      </c>
      <c r="D159" s="252" t="s">
        <v>11</v>
      </c>
      <c r="E159" s="252" t="s">
        <v>621</v>
      </c>
      <c r="F159" s="252" t="s">
        <v>672</v>
      </c>
      <c r="G159" s="253" t="s">
        <v>738</v>
      </c>
      <c r="H159" s="253" t="s">
        <v>34</v>
      </c>
      <c r="I159" s="253" t="s">
        <v>1417</v>
      </c>
      <c r="J159" s="253" t="s">
        <v>608</v>
      </c>
      <c r="K159" s="253" t="s">
        <v>48</v>
      </c>
      <c r="L159" s="655" t="s">
        <v>1339</v>
      </c>
      <c r="M159" s="655" t="s">
        <v>1414</v>
      </c>
      <c r="N159" s="253" t="s">
        <v>4013</v>
      </c>
      <c r="O159" s="253" t="s">
        <v>1321</v>
      </c>
      <c r="P159" s="656">
        <v>38702</v>
      </c>
      <c r="Q159" s="657">
        <v>684.343616</v>
      </c>
      <c r="R159" s="657">
        <v>1007.4682214859438</v>
      </c>
      <c r="S159" s="253">
        <v>1</v>
      </c>
      <c r="T159" s="658">
        <v>2.7753647560494699E-2</v>
      </c>
      <c r="U159" s="659">
        <v>1.3877947912326269</v>
      </c>
      <c r="V159" s="658">
        <v>0.11346314782483291</v>
      </c>
      <c r="W159" s="659">
        <v>0.87994189342968598</v>
      </c>
      <c r="X159" s="658">
        <v>0.18159129720639799</v>
      </c>
      <c r="Y159" s="659">
        <v>0.94045998016405552</v>
      </c>
      <c r="Z159" s="658">
        <v>0.25188422691105505</v>
      </c>
      <c r="AA159" s="659">
        <v>1.1373270602554042</v>
      </c>
      <c r="AB159" s="658">
        <v>2.6972249043438215E-2</v>
      </c>
      <c r="AC159" s="660">
        <v>-0.57395145644043311</v>
      </c>
      <c r="AD159" s="682">
        <v>0</v>
      </c>
      <c r="AE159" s="944" t="s">
        <v>1747</v>
      </c>
      <c r="AF159" s="661" t="s">
        <v>1745</v>
      </c>
      <c r="AG159" s="662" t="s">
        <v>1432</v>
      </c>
      <c r="AH159" s="662" t="s">
        <v>1734</v>
      </c>
      <c r="AI159" s="662">
        <v>3000</v>
      </c>
      <c r="AJ159" s="662">
        <v>1000</v>
      </c>
      <c r="AK159" s="662">
        <v>1000</v>
      </c>
      <c r="AL159" s="658">
        <v>2E-3</v>
      </c>
      <c r="AM159" s="658">
        <v>0</v>
      </c>
      <c r="AN159" s="659" t="s">
        <v>2122</v>
      </c>
      <c r="AO159" s="253" t="s">
        <v>34</v>
      </c>
      <c r="AP159" s="944" t="s">
        <v>1735</v>
      </c>
      <c r="AQ159" s="663" t="s">
        <v>676</v>
      </c>
      <c r="AR159" s="658">
        <v>6.9999999999999999E-4</v>
      </c>
      <c r="AS159" s="658">
        <v>6.9999999999999999E-4</v>
      </c>
      <c r="AT159" s="658" t="s">
        <v>1417</v>
      </c>
      <c r="AU159" s="658" t="s">
        <v>2751</v>
      </c>
      <c r="AX159" s="508"/>
      <c r="AY159" s="509"/>
      <c r="AZ159" s="509"/>
      <c r="BA159" s="509"/>
      <c r="BB159" s="509"/>
      <c r="BC159" s="509"/>
      <c r="BD159" s="509"/>
      <c r="BE159" s="509"/>
      <c r="BF159" s="509"/>
      <c r="BG159" s="509"/>
      <c r="BH159" s="665"/>
      <c r="BI159" s="510"/>
      <c r="BJ159" s="511"/>
      <c r="BK159" s="511"/>
      <c r="BL159" s="511"/>
      <c r="BM159" s="195"/>
      <c r="BN159" s="510"/>
      <c r="BO159" s="510"/>
      <c r="BP159" s="510"/>
      <c r="BQ159" s="510"/>
      <c r="BR159" s="510"/>
      <c r="BS159" s="510"/>
      <c r="BT159" s="510"/>
      <c r="BU159" s="510"/>
      <c r="BV159" s="510"/>
      <c r="BW159" s="512"/>
      <c r="BX159" s="509"/>
      <c r="BY159"/>
      <c r="CA159"/>
    </row>
    <row r="160" spans="2:79" ht="18.75">
      <c r="B160" s="252" t="s">
        <v>1228</v>
      </c>
      <c r="C160" s="251">
        <v>8968733000126</v>
      </c>
      <c r="D160" s="252" t="s">
        <v>14</v>
      </c>
      <c r="E160" s="252" t="s">
        <v>607</v>
      </c>
      <c r="F160" s="252" t="s">
        <v>1317</v>
      </c>
      <c r="G160" s="253" t="s">
        <v>1417</v>
      </c>
      <c r="H160" s="253" t="s">
        <v>34</v>
      </c>
      <c r="I160" s="253" t="s">
        <v>34</v>
      </c>
      <c r="J160" s="253" t="s">
        <v>608</v>
      </c>
      <c r="K160" s="253" t="s">
        <v>48</v>
      </c>
      <c r="L160" s="655" t="s">
        <v>1339</v>
      </c>
      <c r="M160" s="655" t="s">
        <v>34</v>
      </c>
      <c r="N160" s="253" t="s">
        <v>4036</v>
      </c>
      <c r="O160" s="253" t="s">
        <v>1321</v>
      </c>
      <c r="P160" s="656">
        <v>43300</v>
      </c>
      <c r="Q160" s="657">
        <v>219.87816838000001</v>
      </c>
      <c r="R160" s="657">
        <v>245.81825161721775</v>
      </c>
      <c r="S160" s="253">
        <v>32</v>
      </c>
      <c r="T160" s="658">
        <v>5.1772426943030858E-4</v>
      </c>
      <c r="U160" s="659">
        <v>2.5888310458796231E-2</v>
      </c>
      <c r="V160" s="658">
        <v>0.12584221425840014</v>
      </c>
      <c r="W160" s="659">
        <v>0.97594539205693775</v>
      </c>
      <c r="X160" s="658">
        <v>0.4150370969884285</v>
      </c>
      <c r="Y160" s="659">
        <v>2.149474044218306</v>
      </c>
      <c r="Z160" s="658">
        <v>0.75576264639364821</v>
      </c>
      <c r="AA160" s="659">
        <v>3.4124777061854501</v>
      </c>
      <c r="AB160" s="658">
        <v>0.20058214640706193</v>
      </c>
      <c r="AC160" s="660">
        <v>-1.5463465936263446E-2</v>
      </c>
      <c r="AD160" s="682">
        <v>42190558000127</v>
      </c>
      <c r="AE160" s="944" t="s">
        <v>1959</v>
      </c>
      <c r="AF160" s="661" t="s">
        <v>1745</v>
      </c>
      <c r="AG160" s="662" t="s">
        <v>1432</v>
      </c>
      <c r="AH160" s="662" t="s">
        <v>1734</v>
      </c>
      <c r="AI160" s="662">
        <v>50</v>
      </c>
      <c r="AJ160" s="662">
        <v>50</v>
      </c>
      <c r="AK160" s="662">
        <v>30</v>
      </c>
      <c r="AL160" s="658">
        <v>0.02</v>
      </c>
      <c r="AM160" s="658">
        <v>0.2</v>
      </c>
      <c r="AN160" s="659" t="s">
        <v>2127</v>
      </c>
      <c r="AO160" s="253" t="s">
        <v>34</v>
      </c>
      <c r="AP160" s="944" t="s">
        <v>1731</v>
      </c>
      <c r="AQ160" s="663" t="s">
        <v>659</v>
      </c>
      <c r="AR160" s="658">
        <v>5.3333333333333297E-3</v>
      </c>
      <c r="AS160" s="658">
        <v>5.3333333333333297E-3</v>
      </c>
      <c r="AT160" s="658" t="s">
        <v>1417</v>
      </c>
      <c r="AU160" s="658" t="s">
        <v>2751</v>
      </c>
      <c r="AX160" s="508"/>
      <c r="AY160" s="509"/>
      <c r="AZ160" s="509"/>
      <c r="BA160" s="509"/>
      <c r="BB160" s="509"/>
      <c r="BC160" s="509"/>
      <c r="BD160" s="509"/>
      <c r="BE160" s="509"/>
      <c r="BF160" s="509"/>
      <c r="BG160" s="509"/>
      <c r="BH160" s="665"/>
      <c r="BI160" s="510"/>
      <c r="BJ160" s="511"/>
      <c r="BK160" s="511"/>
      <c r="BL160" s="511"/>
      <c r="BM160" s="195"/>
      <c r="BN160" s="510"/>
      <c r="BO160" s="510"/>
      <c r="BP160" s="510"/>
      <c r="BQ160" s="510"/>
      <c r="BR160" s="510"/>
      <c r="BS160" s="510"/>
      <c r="BT160" s="510"/>
      <c r="BU160" s="510"/>
      <c r="BV160" s="510"/>
      <c r="BW160" s="512"/>
      <c r="BX160" s="509"/>
      <c r="BY160"/>
      <c r="CA160"/>
    </row>
    <row r="161" spans="2:79" ht="18.75">
      <c r="B161" s="252" t="s">
        <v>411</v>
      </c>
      <c r="C161" s="251">
        <v>26210505000174</v>
      </c>
      <c r="D161" s="252" t="s">
        <v>14</v>
      </c>
      <c r="E161" s="252" t="s">
        <v>614</v>
      </c>
      <c r="F161" s="252" t="s">
        <v>1417</v>
      </c>
      <c r="G161" s="253" t="s">
        <v>1417</v>
      </c>
      <c r="H161" s="253" t="s">
        <v>1338</v>
      </c>
      <c r="I161" s="253" t="s">
        <v>34</v>
      </c>
      <c r="J161" s="253" t="s">
        <v>608</v>
      </c>
      <c r="K161" s="253" t="s">
        <v>48</v>
      </c>
      <c r="L161" s="655" t="s">
        <v>1339</v>
      </c>
      <c r="M161" s="655" t="s">
        <v>34</v>
      </c>
      <c r="N161" s="253" t="s">
        <v>4043</v>
      </c>
      <c r="O161" s="253" t="s">
        <v>1324</v>
      </c>
      <c r="P161" s="656">
        <v>42895</v>
      </c>
      <c r="Q161" s="657">
        <v>199.00073900000001</v>
      </c>
      <c r="R161" s="657">
        <v>265.2412807419355</v>
      </c>
      <c r="S161" s="253">
        <v>32</v>
      </c>
      <c r="T161" s="658">
        <v>-6.907389825971666E-2</v>
      </c>
      <c r="U161" s="659">
        <v>-3.4539746894897343</v>
      </c>
      <c r="V161" s="658">
        <v>-9.6519912994019408E-2</v>
      </c>
      <c r="W161" s="659">
        <v>-0.74854185364878012</v>
      </c>
      <c r="X161" s="658">
        <v>-0.26372858481352435</v>
      </c>
      <c r="Y161" s="659">
        <v>-1.3658483829239523</v>
      </c>
      <c r="Z161" s="658">
        <v>0.12830189635682476</v>
      </c>
      <c r="AA161" s="659">
        <v>0.57931860362272125</v>
      </c>
      <c r="AB161" s="658">
        <v>0.22414275028660788</v>
      </c>
      <c r="AC161" s="660">
        <v>-1.0058938875003125</v>
      </c>
      <c r="AD161" s="682">
        <v>26859401000195</v>
      </c>
      <c r="AE161" s="944" t="s">
        <v>1949</v>
      </c>
      <c r="AF161" s="661" t="s">
        <v>1767</v>
      </c>
      <c r="AG161" s="662" t="s">
        <v>59</v>
      </c>
      <c r="AH161" s="662" t="s">
        <v>1730</v>
      </c>
      <c r="AI161" s="662">
        <v>5000</v>
      </c>
      <c r="AJ161" s="662">
        <v>1000</v>
      </c>
      <c r="AK161" s="662">
        <v>5000</v>
      </c>
      <c r="AL161" s="658">
        <v>0</v>
      </c>
      <c r="AM161" s="658">
        <v>0</v>
      </c>
      <c r="AN161" s="659" t="s">
        <v>2141</v>
      </c>
      <c r="AO161" s="253" t="s">
        <v>34</v>
      </c>
      <c r="AP161" s="944" t="s">
        <v>1746</v>
      </c>
      <c r="AQ161" s="663" t="s">
        <v>668</v>
      </c>
      <c r="AR161" s="658">
        <v>4.7499999999999999E-3</v>
      </c>
      <c r="AS161" s="658">
        <v>4.7499999999999999E-3</v>
      </c>
      <c r="AT161" s="658" t="s">
        <v>1417</v>
      </c>
      <c r="AU161" s="658" t="s">
        <v>2751</v>
      </c>
      <c r="AX161" s="508"/>
      <c r="AY161" s="509"/>
      <c r="AZ161" s="509"/>
      <c r="BA161" s="509"/>
      <c r="BB161" s="509"/>
      <c r="BC161" s="509"/>
      <c r="BD161" s="509"/>
      <c r="BE161" s="509"/>
      <c r="BF161" s="509"/>
      <c r="BG161" s="509"/>
      <c r="BH161" s="665"/>
      <c r="BI161" s="510"/>
      <c r="BJ161" s="511"/>
      <c r="BK161" s="511"/>
      <c r="BL161" s="511"/>
      <c r="BM161" s="195"/>
      <c r="BN161" s="510"/>
      <c r="BO161" s="510"/>
      <c r="BP161" s="510"/>
      <c r="BQ161" s="510"/>
      <c r="BR161" s="510"/>
      <c r="BS161" s="510"/>
      <c r="BT161" s="510"/>
      <c r="BU161" s="510"/>
      <c r="BV161" s="510"/>
      <c r="BW161" s="512"/>
      <c r="BX161" s="509"/>
      <c r="BY161"/>
      <c r="CA161"/>
    </row>
    <row r="162" spans="2:79" ht="18.75">
      <c r="B162" s="252" t="s">
        <v>29</v>
      </c>
      <c r="C162" s="251">
        <v>26269603000187</v>
      </c>
      <c r="D162" s="252" t="s">
        <v>14</v>
      </c>
      <c r="E162" s="252" t="s">
        <v>607</v>
      </c>
      <c r="F162" s="252" t="s">
        <v>1317</v>
      </c>
      <c r="G162" s="253" t="s">
        <v>1417</v>
      </c>
      <c r="H162" s="253" t="s">
        <v>34</v>
      </c>
      <c r="I162" s="253" t="s">
        <v>34</v>
      </c>
      <c r="J162" s="253" t="s">
        <v>608</v>
      </c>
      <c r="K162" s="253" t="s">
        <v>48</v>
      </c>
      <c r="L162" s="655" t="s">
        <v>1339</v>
      </c>
      <c r="M162" s="655" t="s">
        <v>1414</v>
      </c>
      <c r="N162" s="253" t="s">
        <v>4046</v>
      </c>
      <c r="O162" s="253" t="s">
        <v>1321</v>
      </c>
      <c r="P162" s="656">
        <v>42890</v>
      </c>
      <c r="Q162" s="657">
        <v>472.61572999999999</v>
      </c>
      <c r="R162" s="657">
        <v>625.95205671999975</v>
      </c>
      <c r="S162" s="253">
        <v>32</v>
      </c>
      <c r="T162" s="658">
        <v>-2.3751174126314667E-2</v>
      </c>
      <c r="U162" s="659">
        <v>-1.187654907929194</v>
      </c>
      <c r="V162" s="658">
        <v>-0.12034659023871697</v>
      </c>
      <c r="W162" s="659">
        <v>-0.93332512373049104</v>
      </c>
      <c r="X162" s="658">
        <v>-0.2772496920974109</v>
      </c>
      <c r="Y162" s="659">
        <v>-1.4358740971714081</v>
      </c>
      <c r="Z162" s="658">
        <v>5.6202144560784095E-3</v>
      </c>
      <c r="AA162" s="659">
        <v>2.5376825153858178E-2</v>
      </c>
      <c r="AB162" s="658">
        <v>0.23784250158904474</v>
      </c>
      <c r="AC162" s="660">
        <v>-1.0481326845285246</v>
      </c>
      <c r="AD162" s="682">
        <v>26859564000178</v>
      </c>
      <c r="AE162" s="944" t="s">
        <v>1949</v>
      </c>
      <c r="AF162" s="661" t="s">
        <v>1767</v>
      </c>
      <c r="AG162" s="662" t="s">
        <v>59</v>
      </c>
      <c r="AH162" s="662" t="s">
        <v>1730</v>
      </c>
      <c r="AI162" s="662">
        <v>5000</v>
      </c>
      <c r="AJ162" s="662">
        <v>1000</v>
      </c>
      <c r="AK162" s="662">
        <v>5000</v>
      </c>
      <c r="AL162" s="658">
        <v>0</v>
      </c>
      <c r="AM162" s="658">
        <v>0</v>
      </c>
      <c r="AN162" s="659" t="s">
        <v>2141</v>
      </c>
      <c r="AO162" s="253" t="s">
        <v>34</v>
      </c>
      <c r="AP162" s="944" t="s">
        <v>1731</v>
      </c>
      <c r="AQ162" s="663" t="s">
        <v>659</v>
      </c>
      <c r="AR162" s="658">
        <v>3.1666666666666701E-3</v>
      </c>
      <c r="AS162" s="658">
        <v>3.1666666666666701E-3</v>
      </c>
      <c r="AT162" s="658" t="s">
        <v>1417</v>
      </c>
      <c r="AU162" s="658" t="s">
        <v>2751</v>
      </c>
      <c r="AX162" s="508"/>
      <c r="AY162" s="509"/>
      <c r="AZ162" s="509"/>
      <c r="BA162" s="509"/>
      <c r="BB162" s="509"/>
      <c r="BC162" s="509"/>
      <c r="BD162" s="509"/>
      <c r="BE162" s="509"/>
      <c r="BF162" s="509"/>
      <c r="BG162" s="509"/>
      <c r="BH162" s="665"/>
      <c r="BI162" s="510"/>
      <c r="BJ162" s="511"/>
      <c r="BK162" s="511"/>
      <c r="BL162" s="511"/>
      <c r="BM162" s="195"/>
      <c r="BN162" s="510"/>
      <c r="BO162" s="510"/>
      <c r="BP162" s="510"/>
      <c r="BQ162" s="510"/>
      <c r="BR162" s="510"/>
      <c r="BS162" s="510"/>
      <c r="BT162" s="510"/>
      <c r="BU162" s="510"/>
      <c r="BV162" s="510"/>
      <c r="BW162" s="512"/>
      <c r="BX162" s="509"/>
      <c r="BY162"/>
      <c r="CA162"/>
    </row>
    <row r="163" spans="2:79" ht="18.75">
      <c r="B163" s="252" t="s">
        <v>1233</v>
      </c>
      <c r="C163" s="251">
        <v>38971881000160</v>
      </c>
      <c r="D163" s="252" t="s">
        <v>14</v>
      </c>
      <c r="E163" s="252" t="s">
        <v>614</v>
      </c>
      <c r="F163" s="252" t="s">
        <v>1417</v>
      </c>
      <c r="G163" s="253" t="s">
        <v>1417</v>
      </c>
      <c r="H163" s="253" t="s">
        <v>1338</v>
      </c>
      <c r="I163" s="253" t="s">
        <v>34</v>
      </c>
      <c r="J163" s="253" t="s">
        <v>608</v>
      </c>
      <c r="K163" s="253" t="s">
        <v>48</v>
      </c>
      <c r="L163" s="655" t="s">
        <v>1339</v>
      </c>
      <c r="M163" s="655" t="s">
        <v>34</v>
      </c>
      <c r="N163" s="253" t="s">
        <v>4048</v>
      </c>
      <c r="O163" s="253" t="s">
        <v>1321</v>
      </c>
      <c r="P163" s="656">
        <v>44129</v>
      </c>
      <c r="Q163" s="657">
        <v>112.03068912000001</v>
      </c>
      <c r="R163" s="657">
        <v>123.54254676413657</v>
      </c>
      <c r="S163" s="253">
        <v>32</v>
      </c>
      <c r="T163" s="658">
        <v>-6.5790754405922414E-2</v>
      </c>
      <c r="U163" s="659">
        <v>-3.2898041987738158</v>
      </c>
      <c r="V163" s="658">
        <v>-9.5919357492372459E-2</v>
      </c>
      <c r="W163" s="659">
        <v>-0.74388435951645915</v>
      </c>
      <c r="X163" s="658">
        <v>-0.25957154437489827</v>
      </c>
      <c r="Y163" s="659">
        <v>-1.3443191013526672</v>
      </c>
      <c r="Z163" s="658"/>
      <c r="AA163" s="659"/>
      <c r="AB163" s="658">
        <v>0.2123956076501666</v>
      </c>
      <c r="AC163" s="660">
        <v>-1.058700174767877</v>
      </c>
      <c r="AD163" s="682">
        <v>38452194000139</v>
      </c>
      <c r="AE163" s="944" t="s">
        <v>1797</v>
      </c>
      <c r="AF163" s="661" t="s">
        <v>1745</v>
      </c>
      <c r="AG163" s="662" t="s">
        <v>1432</v>
      </c>
      <c r="AH163" s="662" t="s">
        <v>1730</v>
      </c>
      <c r="AI163" s="662">
        <v>10000</v>
      </c>
      <c r="AJ163" s="662">
        <v>10000</v>
      </c>
      <c r="AK163" s="662">
        <v>10000</v>
      </c>
      <c r="AL163" s="658">
        <v>0</v>
      </c>
      <c r="AM163" s="658">
        <v>0</v>
      </c>
      <c r="AN163" s="659" t="s">
        <v>34</v>
      </c>
      <c r="AO163" s="253" t="s">
        <v>34</v>
      </c>
      <c r="AP163" s="944" t="s">
        <v>1731</v>
      </c>
      <c r="AQ163" s="663" t="s">
        <v>659</v>
      </c>
      <c r="AR163" s="658">
        <v>3.8E-3</v>
      </c>
      <c r="AS163" s="658">
        <v>3.8E-3</v>
      </c>
      <c r="AT163" s="658" t="s">
        <v>1417</v>
      </c>
      <c r="AU163" s="658" t="s">
        <v>2751</v>
      </c>
      <c r="AX163" s="508"/>
      <c r="AY163" s="509"/>
      <c r="AZ163" s="509"/>
      <c r="BA163" s="509"/>
      <c r="BB163" s="509"/>
      <c r="BC163" s="509"/>
      <c r="BD163" s="509"/>
      <c r="BE163" s="509"/>
      <c r="BF163" s="509"/>
      <c r="BG163" s="509"/>
      <c r="BH163" s="665"/>
      <c r="BI163" s="510"/>
      <c r="BJ163" s="511"/>
      <c r="BK163" s="511"/>
      <c r="BL163" s="511"/>
      <c r="BM163" s="195"/>
      <c r="BN163" s="510"/>
      <c r="BO163" s="510"/>
      <c r="BP163" s="510"/>
      <c r="BQ163" s="510"/>
      <c r="BR163" s="510"/>
      <c r="BS163" s="510"/>
      <c r="BT163" s="510"/>
      <c r="BU163" s="510"/>
      <c r="BV163" s="510"/>
      <c r="BW163" s="512"/>
      <c r="BX163" s="509"/>
      <c r="BY163"/>
      <c r="CA163"/>
    </row>
    <row r="164" spans="2:79" ht="18.75">
      <c r="B164" s="252" t="s">
        <v>1234</v>
      </c>
      <c r="C164" s="251">
        <v>26831831000107</v>
      </c>
      <c r="D164" s="252" t="s">
        <v>13</v>
      </c>
      <c r="E164" s="252" t="s">
        <v>616</v>
      </c>
      <c r="F164" s="252" t="s">
        <v>617</v>
      </c>
      <c r="G164" s="253" t="s">
        <v>34</v>
      </c>
      <c r="H164" s="253" t="s">
        <v>1338</v>
      </c>
      <c r="I164" s="253" t="s">
        <v>34</v>
      </c>
      <c r="J164" s="253" t="s">
        <v>608</v>
      </c>
      <c r="K164" s="253" t="s">
        <v>48</v>
      </c>
      <c r="L164" s="655" t="s">
        <v>1339</v>
      </c>
      <c r="M164" s="655" t="s">
        <v>34</v>
      </c>
      <c r="N164" s="253" t="s">
        <v>4049</v>
      </c>
      <c r="O164" s="253" t="s">
        <v>1321</v>
      </c>
      <c r="P164" s="656">
        <v>42890</v>
      </c>
      <c r="Q164" s="657">
        <v>43.564107</v>
      </c>
      <c r="R164" s="657">
        <v>64.303403689516117</v>
      </c>
      <c r="S164" s="253">
        <v>32</v>
      </c>
      <c r="T164" s="658">
        <v>-1.0036740994104898E-3</v>
      </c>
      <c r="U164" s="659">
        <v>-5.018777024608681E-2</v>
      </c>
      <c r="V164" s="658">
        <v>2.0983355959393934E-2</v>
      </c>
      <c r="W164" s="659">
        <v>0.16273243187227229</v>
      </c>
      <c r="X164" s="658">
        <v>-5.7524347347514992E-2</v>
      </c>
      <c r="Y164" s="659">
        <v>-0.29791816787290459</v>
      </c>
      <c r="Z164" s="658">
        <v>7.8672864888212901E-2</v>
      </c>
      <c r="AA164" s="659">
        <v>0.35522977854733906</v>
      </c>
      <c r="AB164" s="658">
        <v>7.6311367731397572E-2</v>
      </c>
      <c r="AC164" s="660">
        <v>-1.4147374984471035</v>
      </c>
      <c r="AD164" s="682">
        <v>39773766000144</v>
      </c>
      <c r="AE164" s="944" t="s">
        <v>1797</v>
      </c>
      <c r="AF164" s="661" t="s">
        <v>1745</v>
      </c>
      <c r="AG164" s="662" t="s">
        <v>1432</v>
      </c>
      <c r="AH164" s="662" t="s">
        <v>1734</v>
      </c>
      <c r="AI164" s="662">
        <v>20000</v>
      </c>
      <c r="AJ164" s="662">
        <v>5000</v>
      </c>
      <c r="AK164" s="662">
        <v>5000</v>
      </c>
      <c r="AL164" s="658">
        <v>0</v>
      </c>
      <c r="AM164" s="658">
        <v>0</v>
      </c>
      <c r="AN164" s="659" t="s">
        <v>34</v>
      </c>
      <c r="AO164" s="253" t="s">
        <v>34</v>
      </c>
      <c r="AP164" s="944" t="s">
        <v>1746</v>
      </c>
      <c r="AQ164" s="663" t="s">
        <v>674</v>
      </c>
      <c r="AR164" s="658">
        <v>3.8E-3</v>
      </c>
      <c r="AS164" s="658">
        <v>3.8E-3</v>
      </c>
      <c r="AT164" s="658" t="s">
        <v>1417</v>
      </c>
      <c r="AU164" s="658" t="s">
        <v>2751</v>
      </c>
      <c r="AX164" s="508"/>
      <c r="AY164" s="509"/>
      <c r="AZ164" s="509"/>
      <c r="BA164" s="509"/>
      <c r="BB164" s="509"/>
      <c r="BC164" s="509"/>
      <c r="BD164" s="509"/>
      <c r="BE164" s="509"/>
      <c r="BF164" s="509"/>
      <c r="BG164" s="509"/>
      <c r="BH164" s="665"/>
      <c r="BI164" s="510"/>
      <c r="BJ164" s="511"/>
      <c r="BK164" s="511"/>
      <c r="BL164" s="511"/>
      <c r="BM164" s="195"/>
      <c r="BN164" s="510"/>
      <c r="BO164" s="510"/>
      <c r="BP164" s="510"/>
      <c r="BQ164" s="510"/>
      <c r="BR164" s="510"/>
      <c r="BS164" s="510"/>
      <c r="BT164" s="510"/>
      <c r="BU164" s="510"/>
      <c r="BV164" s="510"/>
      <c r="BW164" s="512"/>
      <c r="BX164" s="509"/>
      <c r="BY164"/>
      <c r="CA164"/>
    </row>
    <row r="165" spans="2:79" ht="18.75">
      <c r="B165" s="252" t="s">
        <v>600</v>
      </c>
      <c r="C165" s="251">
        <v>8940189000104</v>
      </c>
      <c r="D165" s="252" t="s">
        <v>14</v>
      </c>
      <c r="E165" s="252" t="s">
        <v>607</v>
      </c>
      <c r="F165" s="252" t="s">
        <v>1417</v>
      </c>
      <c r="G165" s="253" t="s">
        <v>1417</v>
      </c>
      <c r="H165" s="253" t="s">
        <v>34</v>
      </c>
      <c r="I165" s="253" t="s">
        <v>34</v>
      </c>
      <c r="J165" s="253" t="s">
        <v>608</v>
      </c>
      <c r="K165" s="253" t="s">
        <v>48</v>
      </c>
      <c r="L165" s="655" t="s">
        <v>1339</v>
      </c>
      <c r="M165" s="655" t="s">
        <v>1414</v>
      </c>
      <c r="N165" s="253" t="s">
        <v>4075</v>
      </c>
      <c r="O165" s="253" t="s">
        <v>1324</v>
      </c>
      <c r="P165" s="656">
        <v>39325</v>
      </c>
      <c r="Q165" s="657">
        <v>41.535350000000001</v>
      </c>
      <c r="R165" s="657">
        <v>61.367683794354832</v>
      </c>
      <c r="S165" s="253">
        <v>29</v>
      </c>
      <c r="T165" s="658">
        <v>-3.3467829214051337E-2</v>
      </c>
      <c r="U165" s="659">
        <v>-1.6735270185976123</v>
      </c>
      <c r="V165" s="658">
        <v>-0.21802864157229551</v>
      </c>
      <c r="W165" s="659">
        <v>-1.6908797205522144</v>
      </c>
      <c r="X165" s="658">
        <v>-0.40356195562611008</v>
      </c>
      <c r="Y165" s="659">
        <v>-2.0900443722901434</v>
      </c>
      <c r="Z165" s="658">
        <v>-0.29549809676374228</v>
      </c>
      <c r="AA165" s="659">
        <v>-1.3342557643438677</v>
      </c>
      <c r="AB165" s="658">
        <v>0.24662775123268876</v>
      </c>
      <c r="AC165" s="660">
        <v>-1.4068674319287031</v>
      </c>
      <c r="AD165" s="682">
        <v>8927452000125</v>
      </c>
      <c r="AE165" s="944" t="s">
        <v>1791</v>
      </c>
      <c r="AF165" s="661" t="s">
        <v>1729</v>
      </c>
      <c r="AG165" s="662" t="s">
        <v>1432</v>
      </c>
      <c r="AH165" s="662" t="s">
        <v>1730</v>
      </c>
      <c r="AI165" s="662">
        <v>100000</v>
      </c>
      <c r="AJ165" s="662">
        <v>10000</v>
      </c>
      <c r="AK165" s="662">
        <v>100000</v>
      </c>
      <c r="AL165" s="658">
        <v>1.8000000000000002E-2</v>
      </c>
      <c r="AM165" s="658">
        <v>0.2</v>
      </c>
      <c r="AN165" s="659" t="s">
        <v>2127</v>
      </c>
      <c r="AO165" s="253" t="s">
        <v>34</v>
      </c>
      <c r="AP165" s="944" t="s">
        <v>1731</v>
      </c>
      <c r="AQ165" s="663" t="s">
        <v>659</v>
      </c>
      <c r="AR165" s="658">
        <v>2.16666666666667E-3</v>
      </c>
      <c r="AS165" s="658">
        <v>2.16666666666667E-3</v>
      </c>
      <c r="AT165" s="658" t="s">
        <v>1417</v>
      </c>
      <c r="AU165" s="658" t="s">
        <v>2751</v>
      </c>
      <c r="AX165" s="508"/>
      <c r="AY165" s="509"/>
      <c r="AZ165" s="509"/>
      <c r="BA165" s="509"/>
      <c r="BB165" s="509"/>
      <c r="BC165" s="509"/>
      <c r="BD165" s="509"/>
      <c r="BE165" s="509"/>
      <c r="BF165" s="509"/>
      <c r="BG165" s="509"/>
      <c r="BH165" s="665"/>
      <c r="BI165" s="510"/>
      <c r="BJ165" s="511"/>
      <c r="BK165" s="511"/>
      <c r="BL165" s="511"/>
      <c r="BM165" s="195"/>
      <c r="BN165" s="510"/>
      <c r="BO165" s="510"/>
      <c r="BP165" s="510"/>
      <c r="BQ165" s="510"/>
      <c r="BR165" s="510"/>
      <c r="BS165" s="510"/>
      <c r="BT165" s="510"/>
      <c r="BU165" s="510"/>
      <c r="BV165" s="510"/>
      <c r="BW165" s="512"/>
      <c r="BX165" s="509"/>
      <c r="BY165"/>
      <c r="CA165"/>
    </row>
    <row r="166" spans="2:79" ht="18.75">
      <c r="B166" s="252" t="s">
        <v>433</v>
      </c>
      <c r="C166" s="251">
        <v>30593403000152</v>
      </c>
      <c r="D166" s="252" t="s">
        <v>14</v>
      </c>
      <c r="E166" s="252" t="s">
        <v>607</v>
      </c>
      <c r="F166" s="252" t="s">
        <v>689</v>
      </c>
      <c r="G166" s="253" t="s">
        <v>1417</v>
      </c>
      <c r="H166" s="253" t="s">
        <v>34</v>
      </c>
      <c r="I166" s="253" t="s">
        <v>34</v>
      </c>
      <c r="J166" s="253" t="s">
        <v>608</v>
      </c>
      <c r="K166" s="253" t="s">
        <v>48</v>
      </c>
      <c r="L166" s="655" t="s">
        <v>1339</v>
      </c>
      <c r="M166" s="655" t="s">
        <v>34</v>
      </c>
      <c r="N166" s="253" t="s">
        <v>4113</v>
      </c>
      <c r="O166" s="253" t="s">
        <v>1321</v>
      </c>
      <c r="P166" s="656">
        <v>43463</v>
      </c>
      <c r="Q166" s="657">
        <v>231.99062731000001</v>
      </c>
      <c r="R166" s="657">
        <v>215.37174004318547</v>
      </c>
      <c r="S166" s="253">
        <v>17</v>
      </c>
      <c r="T166" s="658">
        <v>-6.0655795796729084E-3</v>
      </c>
      <c r="U166" s="659">
        <v>-0.30330354697085465</v>
      </c>
      <c r="V166" s="658">
        <v>-5.4425664185246858E-2</v>
      </c>
      <c r="W166" s="659">
        <v>-0.42208790177644528</v>
      </c>
      <c r="X166" s="658">
        <v>2.8262520960793847E-2</v>
      </c>
      <c r="Y166" s="659">
        <v>0.14637138624525395</v>
      </c>
      <c r="Z166" s="658">
        <v>6.4669322866965917E-2</v>
      </c>
      <c r="AA166" s="659">
        <v>0.29199990712783241</v>
      </c>
      <c r="AB166" s="658">
        <v>0.18549461615104115</v>
      </c>
      <c r="AC166" s="660">
        <v>-0.98854391268544639</v>
      </c>
      <c r="AD166" s="682">
        <v>30630170000110</v>
      </c>
      <c r="AE166" s="944" t="s">
        <v>1961</v>
      </c>
      <c r="AF166" s="661" t="s">
        <v>1767</v>
      </c>
      <c r="AG166" s="662" t="s">
        <v>59</v>
      </c>
      <c r="AH166" s="662" t="s">
        <v>1734</v>
      </c>
      <c r="AI166" s="662">
        <v>1000</v>
      </c>
      <c r="AJ166" s="662">
        <v>1000</v>
      </c>
      <c r="AK166" s="662">
        <v>1000</v>
      </c>
      <c r="AL166" s="658">
        <v>2.8999999999999998E-2</v>
      </c>
      <c r="AM166" s="658">
        <v>0</v>
      </c>
      <c r="AN166" s="659" t="s">
        <v>666</v>
      </c>
      <c r="AO166" s="253" t="s">
        <v>34</v>
      </c>
      <c r="AP166" s="944" t="s">
        <v>1731</v>
      </c>
      <c r="AQ166" s="663" t="s">
        <v>659</v>
      </c>
      <c r="AR166" s="658">
        <v>4.7499999999999999E-3</v>
      </c>
      <c r="AS166" s="658">
        <v>4.7499999999999999E-3</v>
      </c>
      <c r="AT166" s="658" t="s">
        <v>1417</v>
      </c>
      <c r="AU166" s="658" t="s">
        <v>2751</v>
      </c>
      <c r="AX166" s="508"/>
      <c r="AY166" s="509"/>
      <c r="AZ166" s="509"/>
      <c r="BA166" s="509"/>
      <c r="BB166" s="509"/>
      <c r="BC166" s="509"/>
      <c r="BD166" s="509"/>
      <c r="BE166" s="509"/>
      <c r="BF166" s="509"/>
      <c r="BG166" s="509"/>
      <c r="BH166" s="665"/>
      <c r="BI166" s="510"/>
      <c r="BJ166" s="511"/>
      <c r="BK166" s="511"/>
      <c r="BL166" s="511"/>
      <c r="BM166" s="195"/>
      <c r="BN166" s="510"/>
      <c r="BO166" s="510"/>
      <c r="BP166" s="510"/>
      <c r="BQ166" s="510"/>
      <c r="BR166" s="510"/>
      <c r="BS166" s="510"/>
      <c r="BT166" s="510"/>
      <c r="BU166" s="510"/>
      <c r="BV166" s="510"/>
      <c r="BW166" s="512"/>
      <c r="BX166" s="509"/>
      <c r="BY166"/>
      <c r="CA166"/>
    </row>
    <row r="167" spans="2:79" ht="18.75">
      <c r="B167" s="252" t="s">
        <v>503</v>
      </c>
      <c r="C167" s="251">
        <v>41373608000149</v>
      </c>
      <c r="D167" s="252" t="s">
        <v>14</v>
      </c>
      <c r="E167" s="252" t="s">
        <v>15</v>
      </c>
      <c r="F167" s="252" t="s">
        <v>699</v>
      </c>
      <c r="G167" s="253" t="s">
        <v>1417</v>
      </c>
      <c r="H167" s="253" t="s">
        <v>34</v>
      </c>
      <c r="I167" s="253" t="s">
        <v>34</v>
      </c>
      <c r="J167" s="253" t="s">
        <v>611</v>
      </c>
      <c r="K167" s="253" t="s">
        <v>49</v>
      </c>
      <c r="L167" s="655" t="s">
        <v>1339</v>
      </c>
      <c r="M167" s="655" t="s">
        <v>1414</v>
      </c>
      <c r="N167" s="253" t="s">
        <v>4131</v>
      </c>
      <c r="O167" s="253" t="s">
        <v>1321</v>
      </c>
      <c r="P167" s="656">
        <v>44315</v>
      </c>
      <c r="Q167" s="657">
        <v>28.14854673</v>
      </c>
      <c r="R167" s="657">
        <v>32.524081431532288</v>
      </c>
      <c r="S167" s="253">
        <v>6</v>
      </c>
      <c r="T167" s="658">
        <v>0.17705001596128622</v>
      </c>
      <c r="U167" s="659">
        <v>8.8532179203887971</v>
      </c>
      <c r="V167" s="658">
        <v>3.4633782274858582E-2</v>
      </c>
      <c r="W167" s="659">
        <v>0.26859572060013431</v>
      </c>
      <c r="X167" s="658"/>
      <c r="Y167" s="659"/>
      <c r="Z167" s="658"/>
      <c r="AA167" s="659"/>
      <c r="AB167" s="658">
        <v>0.54469836981917774</v>
      </c>
      <c r="AC167" s="660">
        <v>-0.17314193028196079</v>
      </c>
      <c r="AD167" s="682">
        <v>0</v>
      </c>
      <c r="AE167" s="944" t="s">
        <v>1997</v>
      </c>
      <c r="AF167" s="661" t="s">
        <v>1745</v>
      </c>
      <c r="AG167" s="662" t="s">
        <v>1432</v>
      </c>
      <c r="AH167" s="662" t="s">
        <v>1734</v>
      </c>
      <c r="AI167" s="662">
        <v>0</v>
      </c>
      <c r="AJ167" s="662">
        <v>0</v>
      </c>
      <c r="AK167" s="662">
        <v>0</v>
      </c>
      <c r="AL167" s="658">
        <v>9.0000000000000011E-3</v>
      </c>
      <c r="AM167" s="658">
        <v>0.1</v>
      </c>
      <c r="AN167" s="659" t="s">
        <v>34</v>
      </c>
      <c r="AO167" s="253" t="s">
        <v>34</v>
      </c>
      <c r="AP167" s="944" t="s">
        <v>1746</v>
      </c>
      <c r="AQ167" s="663" t="s">
        <v>668</v>
      </c>
      <c r="AR167" s="658">
        <v>2.9997000000000001E-3</v>
      </c>
      <c r="AS167" s="658">
        <v>2.9997000000000001E-3</v>
      </c>
      <c r="AT167" s="658" t="s">
        <v>1417</v>
      </c>
      <c r="AU167" s="658" t="s">
        <v>2751</v>
      </c>
      <c r="AX167" s="508"/>
      <c r="AY167" s="509"/>
      <c r="AZ167" s="509"/>
      <c r="BA167" s="509"/>
      <c r="BB167" s="509"/>
      <c r="BC167" s="509"/>
      <c r="BD167" s="509"/>
      <c r="BE167" s="509"/>
      <c r="BF167" s="509"/>
      <c r="BG167" s="509"/>
      <c r="BH167" s="665"/>
      <c r="BI167" s="510"/>
      <c r="BJ167" s="511"/>
      <c r="BK167" s="511"/>
      <c r="BL167" s="511"/>
      <c r="BM167" s="195"/>
      <c r="BN167" s="510"/>
      <c r="BO167" s="510"/>
      <c r="BP167" s="510"/>
      <c r="BQ167" s="510"/>
      <c r="BR167" s="510"/>
      <c r="BS167" s="510"/>
      <c r="BT167" s="510"/>
      <c r="BU167" s="510"/>
      <c r="BV167" s="510"/>
      <c r="BW167" s="512"/>
      <c r="BX167" s="509"/>
      <c r="BY167"/>
      <c r="CA167"/>
    </row>
    <row r="168" spans="2:79" ht="18.75">
      <c r="B168" s="252" t="s">
        <v>510</v>
      </c>
      <c r="C168" s="251">
        <v>40503169000189</v>
      </c>
      <c r="D168" s="252" t="s">
        <v>14</v>
      </c>
      <c r="E168" s="252" t="s">
        <v>607</v>
      </c>
      <c r="F168" s="252" t="s">
        <v>699</v>
      </c>
      <c r="G168" s="253" t="s">
        <v>1417</v>
      </c>
      <c r="H168" s="253" t="s">
        <v>34</v>
      </c>
      <c r="I168" s="253" t="s">
        <v>34</v>
      </c>
      <c r="J168" s="253" t="s">
        <v>611</v>
      </c>
      <c r="K168" s="253" t="s">
        <v>48</v>
      </c>
      <c r="L168" s="655" t="s">
        <v>1339</v>
      </c>
      <c r="M168" s="655" t="s">
        <v>1414</v>
      </c>
      <c r="N168" s="253" t="s">
        <v>4157</v>
      </c>
      <c r="O168" s="253" t="s">
        <v>1321</v>
      </c>
      <c r="P168" s="656">
        <v>44227</v>
      </c>
      <c r="Q168" s="657">
        <v>51.915524740000002</v>
      </c>
      <c r="R168" s="657">
        <v>67.527381903629077</v>
      </c>
      <c r="S168" s="253">
        <v>6</v>
      </c>
      <c r="T168" s="658">
        <v>4.2595499386411717E-2</v>
      </c>
      <c r="U168" s="659">
        <v>2.1299474978762416</v>
      </c>
      <c r="V168" s="658">
        <v>-9.7817409035205527E-2</v>
      </c>
      <c r="W168" s="659">
        <v>-0.75860433776883518</v>
      </c>
      <c r="X168" s="658">
        <v>0.12448734111527116</v>
      </c>
      <c r="Y168" s="659">
        <v>0.64471901548715305</v>
      </c>
      <c r="Z168" s="658"/>
      <c r="AA168" s="659"/>
      <c r="AB168" s="658">
        <v>0.46793830586505353</v>
      </c>
      <c r="AC168" s="660">
        <v>-0.48459661378393004</v>
      </c>
      <c r="AD168" s="682">
        <v>0</v>
      </c>
      <c r="AE168" s="944" t="s">
        <v>1997</v>
      </c>
      <c r="AF168" s="661" t="s">
        <v>1745</v>
      </c>
      <c r="AG168" s="662" t="s">
        <v>1432</v>
      </c>
      <c r="AH168" s="662" t="s">
        <v>1734</v>
      </c>
      <c r="AI168" s="662">
        <v>0</v>
      </c>
      <c r="AJ168" s="662">
        <v>0</v>
      </c>
      <c r="AK168" s="662">
        <v>0</v>
      </c>
      <c r="AL168" s="658">
        <v>2.5000000000000001E-3</v>
      </c>
      <c r="AM168" s="658">
        <v>0</v>
      </c>
      <c r="AN168" s="659" t="s">
        <v>34</v>
      </c>
      <c r="AO168" s="253" t="s">
        <v>34</v>
      </c>
      <c r="AP168" s="944" t="s">
        <v>1746</v>
      </c>
      <c r="AQ168" s="663" t="s">
        <v>668</v>
      </c>
      <c r="AR168" s="658">
        <v>8.3325000000000001E-4</v>
      </c>
      <c r="AS168" s="658">
        <v>8.3325000000000001E-4</v>
      </c>
      <c r="AT168" s="658" t="s">
        <v>1417</v>
      </c>
      <c r="AU168" s="658" t="s">
        <v>2751</v>
      </c>
      <c r="AX168" s="508"/>
      <c r="AY168" s="509"/>
      <c r="AZ168" s="509"/>
      <c r="BA168" s="509"/>
      <c r="BB168" s="509"/>
      <c r="BC168" s="509"/>
      <c r="BD168" s="509"/>
      <c r="BE168" s="509"/>
      <c r="BF168" s="509"/>
      <c r="BG168" s="509"/>
      <c r="BH168" s="665"/>
      <c r="BI168" s="510"/>
      <c r="BJ168" s="511"/>
      <c r="BK168" s="511"/>
      <c r="BL168" s="511"/>
      <c r="BM168" s="195"/>
      <c r="BN168" s="510"/>
      <c r="BO168" s="510"/>
      <c r="BP168" s="510"/>
      <c r="BQ168" s="510"/>
      <c r="BR168" s="510"/>
      <c r="BS168" s="510"/>
      <c r="BT168" s="510"/>
      <c r="BU168" s="510"/>
      <c r="BV168" s="510"/>
      <c r="BW168" s="512"/>
      <c r="BX168" s="509"/>
      <c r="BY168"/>
      <c r="CA168"/>
    </row>
    <row r="169" spans="2:79" ht="18.75">
      <c r="B169" s="252" t="s">
        <v>1273</v>
      </c>
      <c r="C169" s="251">
        <v>41681126000156</v>
      </c>
      <c r="D169" s="252" t="s">
        <v>14</v>
      </c>
      <c r="E169" s="252" t="s">
        <v>607</v>
      </c>
      <c r="F169" s="252" t="s">
        <v>1317</v>
      </c>
      <c r="G169" s="253" t="s">
        <v>1417</v>
      </c>
      <c r="H169" s="253" t="s">
        <v>34</v>
      </c>
      <c r="I169" s="253" t="s">
        <v>34</v>
      </c>
      <c r="J169" s="253" t="s">
        <v>608</v>
      </c>
      <c r="K169" s="253" t="s">
        <v>48</v>
      </c>
      <c r="L169" s="655" t="s">
        <v>1339</v>
      </c>
      <c r="M169" s="655" t="s">
        <v>34</v>
      </c>
      <c r="N169" s="253" t="s">
        <v>4162</v>
      </c>
      <c r="O169" s="253" t="s">
        <v>1321</v>
      </c>
      <c r="P169" s="656">
        <v>44349</v>
      </c>
      <c r="Q169" s="657">
        <v>35.097844100000003</v>
      </c>
      <c r="R169" s="657">
        <v>36.200676352554105</v>
      </c>
      <c r="S169" s="253">
        <v>47</v>
      </c>
      <c r="T169" s="658">
        <v>-9.8295135331334382E-3</v>
      </c>
      <c r="U169" s="659">
        <v>-0.49151549005942802</v>
      </c>
      <c r="V169" s="658">
        <v>-0.14465047915360785</v>
      </c>
      <c r="W169" s="659">
        <v>-1.1218093182858022</v>
      </c>
      <c r="X169" s="658"/>
      <c r="Y169" s="659"/>
      <c r="Z169" s="658"/>
      <c r="AA169" s="659"/>
      <c r="AB169" s="658">
        <v>0.22857300285784385</v>
      </c>
      <c r="AC169" s="660">
        <v>-1.1969672060114311</v>
      </c>
      <c r="AD169" s="682">
        <v>0</v>
      </c>
      <c r="AE169" s="944" t="s">
        <v>1929</v>
      </c>
      <c r="AF169" s="661" t="s">
        <v>1767</v>
      </c>
      <c r="AG169" s="662" t="s">
        <v>59</v>
      </c>
      <c r="AH169" s="662" t="s">
        <v>1730</v>
      </c>
      <c r="AI169" s="662">
        <v>300000</v>
      </c>
      <c r="AJ169" s="662">
        <v>1000</v>
      </c>
      <c r="AK169" s="662">
        <v>300000</v>
      </c>
      <c r="AL169" s="658">
        <v>0</v>
      </c>
      <c r="AM169" s="658">
        <v>0</v>
      </c>
      <c r="AN169" s="659" t="s">
        <v>666</v>
      </c>
      <c r="AO169" s="253" t="s">
        <v>34</v>
      </c>
      <c r="AP169" s="944" t="s">
        <v>1731</v>
      </c>
      <c r="AQ169" s="663" t="s">
        <v>659</v>
      </c>
      <c r="AR169" s="658">
        <v>4.4999999999999997E-3</v>
      </c>
      <c r="AS169" s="658">
        <v>4.4999999999999997E-3</v>
      </c>
      <c r="AT169" s="658" t="s">
        <v>1417</v>
      </c>
      <c r="AU169" s="658" t="s">
        <v>2751</v>
      </c>
      <c r="AX169" s="508"/>
      <c r="AY169" s="509"/>
      <c r="AZ169" s="509"/>
      <c r="BA169" s="509"/>
      <c r="BB169" s="509"/>
      <c r="BC169" s="509"/>
      <c r="BD169" s="509"/>
      <c r="BE169" s="509"/>
      <c r="BF169" s="509"/>
      <c r="BG169" s="509"/>
      <c r="BH169" s="665"/>
      <c r="BI169" s="510"/>
      <c r="BJ169" s="511"/>
      <c r="BK169" s="511"/>
      <c r="BL169" s="511"/>
      <c r="BM169" s="195"/>
      <c r="BN169" s="510"/>
      <c r="BO169" s="510"/>
      <c r="BP169" s="510"/>
      <c r="BQ169" s="510"/>
      <c r="BR169" s="510"/>
      <c r="BS169" s="510"/>
      <c r="BT169" s="510"/>
      <c r="BU169" s="510"/>
      <c r="BV169" s="510"/>
      <c r="BW169" s="512"/>
      <c r="BX169" s="509"/>
      <c r="BY169"/>
      <c r="CA169"/>
    </row>
    <row r="170" spans="2:79" ht="18.75">
      <c r="B170" s="252" t="s">
        <v>438</v>
      </c>
      <c r="C170" s="251">
        <v>24140275000199</v>
      </c>
      <c r="D170" s="252" t="s">
        <v>13</v>
      </c>
      <c r="E170" s="252" t="s">
        <v>615</v>
      </c>
      <c r="F170" s="252" t="s">
        <v>619</v>
      </c>
      <c r="G170" s="253" t="s">
        <v>34</v>
      </c>
      <c r="H170" s="253" t="s">
        <v>865</v>
      </c>
      <c r="I170" s="253" t="s">
        <v>34</v>
      </c>
      <c r="J170" s="253" t="s">
        <v>611</v>
      </c>
      <c r="K170" s="253" t="s">
        <v>48</v>
      </c>
      <c r="L170" s="655" t="s">
        <v>1339</v>
      </c>
      <c r="M170" s="655" t="s">
        <v>1414</v>
      </c>
      <c r="N170" s="253" t="s">
        <v>4163</v>
      </c>
      <c r="O170" s="253" t="s">
        <v>1321</v>
      </c>
      <c r="P170" s="656">
        <v>42532</v>
      </c>
      <c r="Q170" s="657">
        <v>411.51385199999999</v>
      </c>
      <c r="R170" s="657">
        <v>419.52915968032784</v>
      </c>
      <c r="S170" s="253">
        <v>47</v>
      </c>
      <c r="T170" s="658">
        <v>9.8510800785505115E-3</v>
      </c>
      <c r="U170" s="659">
        <v>0.49259390468328812</v>
      </c>
      <c r="V170" s="658">
        <v>0.10332560537341462</v>
      </c>
      <c r="W170" s="659">
        <v>0.8013221083238079</v>
      </c>
      <c r="X170" s="658">
        <v>0.15945724199265854</v>
      </c>
      <c r="Y170" s="659">
        <v>0.82582787252729095</v>
      </c>
      <c r="Z170" s="658">
        <v>0.27587330992836412</v>
      </c>
      <c r="AA170" s="659">
        <v>1.2456444154184698</v>
      </c>
      <c r="AB170" s="658">
        <v>5.5358988777130795E-2</v>
      </c>
      <c r="AC170" s="660">
        <v>-0.46276683587032647</v>
      </c>
      <c r="AD170" s="682">
        <v>0</v>
      </c>
      <c r="AE170" s="944" t="s">
        <v>1929</v>
      </c>
      <c r="AF170" s="661" t="s">
        <v>1767</v>
      </c>
      <c r="AG170" s="662" t="s">
        <v>59</v>
      </c>
      <c r="AH170" s="662" t="s">
        <v>1730</v>
      </c>
      <c r="AI170" s="662">
        <v>300000</v>
      </c>
      <c r="AJ170" s="662">
        <v>1000</v>
      </c>
      <c r="AK170" s="662">
        <v>300000</v>
      </c>
      <c r="AL170" s="658">
        <v>0.01</v>
      </c>
      <c r="AM170" s="658">
        <v>0</v>
      </c>
      <c r="AN170" s="659" t="s">
        <v>64</v>
      </c>
      <c r="AO170" s="253" t="s">
        <v>34</v>
      </c>
      <c r="AP170" s="944" t="s">
        <v>1746</v>
      </c>
      <c r="AQ170" s="663" t="s">
        <v>668</v>
      </c>
      <c r="AR170" s="658">
        <v>3.0000000000000001E-3</v>
      </c>
      <c r="AS170" s="658">
        <v>3.0000000000000001E-3</v>
      </c>
      <c r="AT170" s="658" t="s">
        <v>1417</v>
      </c>
      <c r="AU170" s="658" t="s">
        <v>2751</v>
      </c>
      <c r="AX170" s="508"/>
      <c r="AY170" s="509"/>
      <c r="AZ170" s="509"/>
      <c r="BA170" s="509"/>
      <c r="BB170" s="509"/>
      <c r="BC170" s="509"/>
      <c r="BD170" s="509"/>
      <c r="BE170" s="509"/>
      <c r="BF170" s="509"/>
      <c r="BG170" s="509"/>
      <c r="BH170" s="665"/>
      <c r="BI170" s="510"/>
      <c r="BJ170" s="511"/>
      <c r="BK170" s="511"/>
      <c r="BL170" s="511"/>
      <c r="BM170" s="195"/>
      <c r="BN170" s="510"/>
      <c r="BO170" s="510"/>
      <c r="BP170" s="510"/>
      <c r="BQ170" s="510"/>
      <c r="BR170" s="510"/>
      <c r="BS170" s="510"/>
      <c r="BT170" s="510"/>
      <c r="BU170" s="510"/>
      <c r="BV170" s="510"/>
      <c r="BW170" s="512"/>
      <c r="BX170" s="509"/>
      <c r="BY170"/>
      <c r="CA170"/>
    </row>
    <row r="171" spans="2:79" ht="18.75">
      <c r="B171" s="252" t="s">
        <v>4398</v>
      </c>
      <c r="C171" s="251">
        <v>47640796000100</v>
      </c>
      <c r="D171" s="252" t="s">
        <v>13</v>
      </c>
      <c r="E171" s="252" t="s">
        <v>616</v>
      </c>
      <c r="F171" s="252" t="s">
        <v>618</v>
      </c>
      <c r="G171" s="253" t="s">
        <v>34</v>
      </c>
      <c r="H171" s="253" t="s">
        <v>34</v>
      </c>
      <c r="I171" s="253" t="s">
        <v>34</v>
      </c>
      <c r="J171" s="253" t="s">
        <v>608</v>
      </c>
      <c r="K171" s="253" t="s">
        <v>48</v>
      </c>
      <c r="L171" s="655" t="s">
        <v>4571</v>
      </c>
      <c r="M171" s="655" t="s">
        <v>34</v>
      </c>
      <c r="N171" s="253" t="s">
        <v>4399</v>
      </c>
      <c r="O171" s="253" t="s">
        <v>1321</v>
      </c>
      <c r="P171" s="656">
        <v>44928</v>
      </c>
      <c r="Q171" s="657"/>
      <c r="R171" s="657"/>
      <c r="S171" s="253">
        <v>11</v>
      </c>
      <c r="T171" s="658"/>
      <c r="U171" s="659"/>
      <c r="V171" s="658"/>
      <c r="W171" s="659"/>
      <c r="X171" s="658"/>
      <c r="Y171" s="659"/>
      <c r="Z171" s="658"/>
      <c r="AA171" s="659"/>
      <c r="AB171" s="658"/>
      <c r="AC171" s="660"/>
      <c r="AD171" s="682">
        <v>42870855000113</v>
      </c>
      <c r="AE171" s="944" t="s">
        <v>1797</v>
      </c>
      <c r="AF171" s="661" t="s">
        <v>1745</v>
      </c>
      <c r="AG171" s="662" t="s">
        <v>1432</v>
      </c>
      <c r="AH171" s="662" t="s">
        <v>2119</v>
      </c>
      <c r="AI171" s="662">
        <v>0</v>
      </c>
      <c r="AJ171" s="662">
        <v>0</v>
      </c>
      <c r="AK171" s="662">
        <v>0</v>
      </c>
      <c r="AL171" s="658">
        <v>0</v>
      </c>
      <c r="AM171" s="658">
        <v>0</v>
      </c>
      <c r="AN171" s="659" t="s">
        <v>2127</v>
      </c>
      <c r="AO171" s="253" t="s">
        <v>4400</v>
      </c>
      <c r="AP171" s="944" t="s">
        <v>1746</v>
      </c>
      <c r="AQ171" s="663" t="s">
        <v>2177</v>
      </c>
      <c r="AR171" s="658">
        <v>0</v>
      </c>
      <c r="AS171" s="658">
        <v>0</v>
      </c>
      <c r="AT171" s="658" t="s">
        <v>1417</v>
      </c>
      <c r="AU171" s="658" t="s">
        <v>2751</v>
      </c>
      <c r="AX171" s="508"/>
      <c r="AY171" s="509"/>
      <c r="AZ171" s="509"/>
      <c r="BA171" s="509"/>
      <c r="BB171" s="509"/>
      <c r="BC171" s="509"/>
      <c r="BD171" s="509"/>
      <c r="BE171" s="509"/>
      <c r="BF171" s="509"/>
      <c r="BG171" s="509"/>
      <c r="BH171" s="665"/>
      <c r="BI171" s="510"/>
      <c r="BJ171" s="511"/>
      <c r="BK171" s="511"/>
      <c r="BL171" s="511"/>
      <c r="BM171" s="195"/>
      <c r="BN171" s="510"/>
      <c r="BO171" s="510"/>
      <c r="BP171" s="510"/>
      <c r="BQ171" s="510"/>
      <c r="BR171" s="510"/>
      <c r="BS171" s="510"/>
      <c r="BT171" s="510"/>
      <c r="BU171" s="510"/>
      <c r="BV171" s="510"/>
      <c r="BW171" s="512"/>
      <c r="BX171" s="509"/>
      <c r="BY171"/>
      <c r="CA171"/>
    </row>
    <row r="172" spans="2:79" ht="18.75">
      <c r="B172" s="252" t="s">
        <v>4408</v>
      </c>
      <c r="C172" s="251">
        <v>47564808000165</v>
      </c>
      <c r="D172" s="252" t="s">
        <v>11</v>
      </c>
      <c r="E172" s="252" t="s">
        <v>620</v>
      </c>
      <c r="F172" s="252" t="s">
        <v>663</v>
      </c>
      <c r="G172" s="253" t="s">
        <v>1417</v>
      </c>
      <c r="H172" s="253" t="s">
        <v>34</v>
      </c>
      <c r="I172" s="253" t="s">
        <v>1417</v>
      </c>
      <c r="J172" s="253" t="s">
        <v>608</v>
      </c>
      <c r="K172" s="253" t="s">
        <v>48</v>
      </c>
      <c r="L172" s="655" t="s">
        <v>4571</v>
      </c>
      <c r="M172" s="655" t="s">
        <v>34</v>
      </c>
      <c r="N172" s="253" t="s">
        <v>4409</v>
      </c>
      <c r="O172" s="253" t="s">
        <v>1321</v>
      </c>
      <c r="P172" s="656">
        <v>44914</v>
      </c>
      <c r="Q172" s="657"/>
      <c r="R172" s="657"/>
      <c r="S172" s="253">
        <v>4</v>
      </c>
      <c r="T172" s="658"/>
      <c r="U172" s="659"/>
      <c r="V172" s="658"/>
      <c r="W172" s="659"/>
      <c r="X172" s="658"/>
      <c r="Y172" s="659"/>
      <c r="Z172" s="658"/>
      <c r="AA172" s="659"/>
      <c r="AB172" s="658"/>
      <c r="AC172" s="660"/>
      <c r="AD172" s="682">
        <v>32312678000104</v>
      </c>
      <c r="AE172" s="944" t="s">
        <v>1797</v>
      </c>
      <c r="AF172" s="661" t="s">
        <v>1745</v>
      </c>
      <c r="AG172" s="662" t="s">
        <v>1432</v>
      </c>
      <c r="AH172" s="662" t="s">
        <v>2119</v>
      </c>
      <c r="AI172" s="662">
        <v>0</v>
      </c>
      <c r="AJ172" s="662">
        <v>0</v>
      </c>
      <c r="AK172" s="662">
        <v>0</v>
      </c>
      <c r="AL172" s="658">
        <v>5.7499999999999999E-3</v>
      </c>
      <c r="AM172" s="658">
        <v>0</v>
      </c>
      <c r="AN172" s="659" t="s">
        <v>2127</v>
      </c>
      <c r="AO172" s="253" t="s">
        <v>4400</v>
      </c>
      <c r="AP172" s="944" t="s">
        <v>1735</v>
      </c>
      <c r="AQ172" s="663" t="s">
        <v>2614</v>
      </c>
      <c r="AR172" s="658">
        <v>0</v>
      </c>
      <c r="AS172" s="658">
        <v>0</v>
      </c>
      <c r="AT172" s="658" t="s">
        <v>1417</v>
      </c>
      <c r="AU172" s="658" t="s">
        <v>2751</v>
      </c>
      <c r="AX172" s="508"/>
      <c r="AY172" s="509"/>
      <c r="AZ172" s="509"/>
      <c r="BA172" s="509"/>
      <c r="BB172" s="509"/>
      <c r="BC172" s="509"/>
      <c r="BD172" s="509"/>
      <c r="BE172" s="509"/>
      <c r="BF172" s="509"/>
      <c r="BG172" s="509"/>
      <c r="BH172" s="665"/>
      <c r="BI172" s="510"/>
      <c r="BJ172" s="511"/>
      <c r="BK172" s="511"/>
      <c r="BL172" s="511"/>
      <c r="BM172" s="195"/>
      <c r="BN172" s="510"/>
      <c r="BO172" s="510"/>
      <c r="BP172" s="510"/>
      <c r="BQ172" s="510"/>
      <c r="BR172" s="510"/>
      <c r="BS172" s="510"/>
      <c r="BT172" s="510"/>
      <c r="BU172" s="510"/>
      <c r="BV172" s="510"/>
      <c r="BW172" s="512"/>
      <c r="BX172" s="509"/>
      <c r="BY172"/>
      <c r="CA172"/>
    </row>
    <row r="173" spans="2:79" ht="18.75">
      <c r="B173" s="252" t="s">
        <v>4410</v>
      </c>
      <c r="C173" s="251">
        <v>47564762000184</v>
      </c>
      <c r="D173" s="252" t="s">
        <v>11</v>
      </c>
      <c r="E173" s="252" t="s">
        <v>620</v>
      </c>
      <c r="F173" s="252" t="s">
        <v>663</v>
      </c>
      <c r="G173" s="253" t="s">
        <v>1417</v>
      </c>
      <c r="H173" s="253" t="s">
        <v>34</v>
      </c>
      <c r="I173" s="253" t="s">
        <v>1417</v>
      </c>
      <c r="J173" s="253" t="s">
        <v>608</v>
      </c>
      <c r="K173" s="253" t="s">
        <v>48</v>
      </c>
      <c r="L173" s="655" t="s">
        <v>4571</v>
      </c>
      <c r="M173" s="655" t="s">
        <v>34</v>
      </c>
      <c r="N173" s="253" t="s">
        <v>4411</v>
      </c>
      <c r="O173" s="253" t="s">
        <v>1321</v>
      </c>
      <c r="P173" s="656">
        <v>44915</v>
      </c>
      <c r="Q173" s="657"/>
      <c r="R173" s="657"/>
      <c r="S173" s="253">
        <v>8</v>
      </c>
      <c r="T173" s="658"/>
      <c r="U173" s="659"/>
      <c r="V173" s="658"/>
      <c r="W173" s="659"/>
      <c r="X173" s="658"/>
      <c r="Y173" s="659"/>
      <c r="Z173" s="658"/>
      <c r="AA173" s="659"/>
      <c r="AB173" s="658"/>
      <c r="AC173" s="660"/>
      <c r="AD173" s="682">
        <v>45646230000160</v>
      </c>
      <c r="AE173" s="944" t="s">
        <v>1797</v>
      </c>
      <c r="AF173" s="661" t="s">
        <v>1745</v>
      </c>
      <c r="AG173" s="662" t="s">
        <v>1432</v>
      </c>
      <c r="AH173" s="662" t="s">
        <v>2119</v>
      </c>
      <c r="AI173" s="662">
        <v>0</v>
      </c>
      <c r="AJ173" s="662">
        <v>0</v>
      </c>
      <c r="AK173" s="662">
        <v>0</v>
      </c>
      <c r="AL173" s="658">
        <v>3.5000000000000001E-3</v>
      </c>
      <c r="AM173" s="658">
        <v>0</v>
      </c>
      <c r="AN173" s="659" t="s">
        <v>2127</v>
      </c>
      <c r="AO173" s="253" t="s">
        <v>4400</v>
      </c>
      <c r="AP173" s="944" t="s">
        <v>1735</v>
      </c>
      <c r="AQ173" s="663" t="s">
        <v>2190</v>
      </c>
      <c r="AR173" s="658">
        <v>0</v>
      </c>
      <c r="AS173" s="658">
        <v>0</v>
      </c>
      <c r="AT173" s="658" t="s">
        <v>1417</v>
      </c>
      <c r="AU173" s="658" t="s">
        <v>2751</v>
      </c>
      <c r="AX173" s="508"/>
      <c r="AY173" s="509"/>
      <c r="AZ173" s="509"/>
      <c r="BA173" s="509"/>
      <c r="BB173" s="509"/>
      <c r="BC173" s="509"/>
      <c r="BD173" s="509"/>
      <c r="BE173" s="509"/>
      <c r="BF173" s="509"/>
      <c r="BG173" s="509"/>
      <c r="BH173" s="665"/>
      <c r="BI173" s="510"/>
      <c r="BJ173" s="511"/>
      <c r="BK173" s="511"/>
      <c r="BL173" s="511"/>
      <c r="BM173" s="195"/>
      <c r="BN173" s="510"/>
      <c r="BO173" s="510"/>
      <c r="BP173" s="510"/>
      <c r="BQ173" s="510"/>
      <c r="BR173" s="510"/>
      <c r="BS173" s="510"/>
      <c r="BT173" s="510"/>
      <c r="BU173" s="510"/>
      <c r="BV173" s="510"/>
      <c r="BW173" s="512"/>
      <c r="BX173" s="509"/>
      <c r="BY173"/>
      <c r="CA173"/>
    </row>
    <row r="174" spans="2:79" ht="18.75">
      <c r="B174" s="252" t="s">
        <v>4433</v>
      </c>
      <c r="C174" s="251">
        <v>44025282000157</v>
      </c>
      <c r="D174" s="252" t="s">
        <v>11</v>
      </c>
      <c r="E174" s="252" t="s">
        <v>620</v>
      </c>
      <c r="F174" s="252" t="s">
        <v>663</v>
      </c>
      <c r="G174" s="253" t="s">
        <v>1417</v>
      </c>
      <c r="H174" s="253" t="s">
        <v>34</v>
      </c>
      <c r="I174" s="253" t="s">
        <v>1417</v>
      </c>
      <c r="J174" s="253" t="s">
        <v>608</v>
      </c>
      <c r="K174" s="253" t="s">
        <v>48</v>
      </c>
      <c r="L174" s="655" t="s">
        <v>4571</v>
      </c>
      <c r="M174" s="655" t="s">
        <v>34</v>
      </c>
      <c r="N174" s="253" t="s">
        <v>4434</v>
      </c>
      <c r="O174" s="253" t="s">
        <v>1321</v>
      </c>
      <c r="P174" s="656">
        <v>44683</v>
      </c>
      <c r="Q174" s="657"/>
      <c r="R174" s="657"/>
      <c r="S174" s="253">
        <v>7</v>
      </c>
      <c r="T174" s="658"/>
      <c r="U174" s="659"/>
      <c r="V174" s="658"/>
      <c r="W174" s="659"/>
      <c r="X174" s="658"/>
      <c r="Y174" s="659"/>
      <c r="Z174" s="658"/>
      <c r="AA174" s="659"/>
      <c r="AB174" s="658"/>
      <c r="AC174" s="660"/>
      <c r="AD174" s="682">
        <v>45646162000130</v>
      </c>
      <c r="AE174" s="944" t="s">
        <v>1747</v>
      </c>
      <c r="AF174" s="661" t="s">
        <v>1745</v>
      </c>
      <c r="AG174" s="662" t="s">
        <v>1432</v>
      </c>
      <c r="AH174" s="662" t="s">
        <v>2119</v>
      </c>
      <c r="AI174" s="662">
        <v>0</v>
      </c>
      <c r="AJ174" s="662">
        <v>0</v>
      </c>
      <c r="AK174" s="662">
        <v>0</v>
      </c>
      <c r="AL174" s="658">
        <v>8.9999999999999993E-3</v>
      </c>
      <c r="AM174" s="658">
        <v>0</v>
      </c>
      <c r="AN174" s="659" t="s">
        <v>2127</v>
      </c>
      <c r="AO174" s="253" t="s">
        <v>4400</v>
      </c>
      <c r="AP174" s="944" t="s">
        <v>1746</v>
      </c>
      <c r="AQ174" s="663" t="s">
        <v>2177</v>
      </c>
      <c r="AR174" s="658">
        <v>0</v>
      </c>
      <c r="AS174" s="658">
        <v>0</v>
      </c>
      <c r="AT174" s="658" t="s">
        <v>1417</v>
      </c>
      <c r="AU174" s="658" t="s">
        <v>2751</v>
      </c>
      <c r="AX174" s="508"/>
      <c r="AY174" s="509"/>
      <c r="AZ174" s="509"/>
      <c r="BA174" s="509"/>
      <c r="BB174" s="509"/>
      <c r="BC174" s="509"/>
      <c r="BD174" s="509"/>
      <c r="BE174" s="509"/>
      <c r="BF174" s="509"/>
      <c r="BG174" s="509"/>
      <c r="BH174" s="665"/>
      <c r="BI174" s="510"/>
      <c r="BJ174" s="511"/>
      <c r="BK174" s="511"/>
      <c r="BL174" s="511"/>
      <c r="BM174" s="195"/>
      <c r="BN174" s="510"/>
      <c r="BO174" s="510"/>
      <c r="BP174" s="510"/>
      <c r="BQ174" s="510"/>
      <c r="BR174" s="510"/>
      <c r="BS174" s="510"/>
      <c r="BT174" s="510"/>
      <c r="BU174" s="510"/>
      <c r="BV174" s="510"/>
      <c r="BW174" s="512"/>
      <c r="BX174" s="509"/>
      <c r="BY174"/>
      <c r="CA174"/>
    </row>
    <row r="175" spans="2:79" ht="18.75">
      <c r="B175" s="252" t="s">
        <v>4441</v>
      </c>
      <c r="C175" s="251">
        <v>42357379000131</v>
      </c>
      <c r="D175" s="252" t="s">
        <v>11</v>
      </c>
      <c r="E175" s="252" t="s">
        <v>621</v>
      </c>
      <c r="F175" s="252" t="s">
        <v>672</v>
      </c>
      <c r="G175" s="253" t="s">
        <v>866</v>
      </c>
      <c r="H175" s="253" t="s">
        <v>34</v>
      </c>
      <c r="I175" s="253" t="s">
        <v>1417</v>
      </c>
      <c r="J175" s="253" t="s">
        <v>608</v>
      </c>
      <c r="K175" s="253" t="s">
        <v>48</v>
      </c>
      <c r="L175" s="655" t="s">
        <v>4571</v>
      </c>
      <c r="M175" s="655" t="s">
        <v>34</v>
      </c>
      <c r="N175" s="253" t="s">
        <v>4442</v>
      </c>
      <c r="O175" s="253" t="s">
        <v>1321</v>
      </c>
      <c r="P175" s="656">
        <v>44505</v>
      </c>
      <c r="Q175" s="657"/>
      <c r="R175" s="657"/>
      <c r="S175" s="253">
        <v>3</v>
      </c>
      <c r="T175" s="658"/>
      <c r="U175" s="659"/>
      <c r="V175" s="658"/>
      <c r="W175" s="659"/>
      <c r="X175" s="658"/>
      <c r="Y175" s="659"/>
      <c r="Z175" s="658"/>
      <c r="AA175" s="659"/>
      <c r="AB175" s="658"/>
      <c r="AC175" s="660"/>
      <c r="AD175" s="682">
        <v>0</v>
      </c>
      <c r="AE175" s="944" t="s">
        <v>1747</v>
      </c>
      <c r="AF175" s="661" t="s">
        <v>1745</v>
      </c>
      <c r="AG175" s="662" t="s">
        <v>1432</v>
      </c>
      <c r="AH175" s="662" t="s">
        <v>2119</v>
      </c>
      <c r="AI175" s="662">
        <v>100</v>
      </c>
      <c r="AJ175" s="662">
        <v>0</v>
      </c>
      <c r="AK175" s="662">
        <v>0</v>
      </c>
      <c r="AL175" s="658">
        <v>2.5000000000000001E-3</v>
      </c>
      <c r="AM175" s="658">
        <v>0</v>
      </c>
      <c r="AN175" s="659" t="s">
        <v>635</v>
      </c>
      <c r="AO175" s="253" t="s">
        <v>4400</v>
      </c>
      <c r="AP175" s="944" t="s">
        <v>1735</v>
      </c>
      <c r="AQ175" s="663" t="s">
        <v>2645</v>
      </c>
      <c r="AR175" s="658">
        <v>0</v>
      </c>
      <c r="AS175" s="658">
        <v>0</v>
      </c>
      <c r="AT175" s="658" t="s">
        <v>1417</v>
      </c>
      <c r="AU175" s="658" t="s">
        <v>2751</v>
      </c>
      <c r="AX175" s="508"/>
      <c r="AY175" s="509"/>
      <c r="AZ175" s="509"/>
      <c r="BA175" s="509"/>
      <c r="BB175" s="509"/>
      <c r="BC175" s="509"/>
      <c r="BD175" s="509"/>
      <c r="BE175" s="509"/>
      <c r="BF175" s="509"/>
      <c r="BG175" s="509"/>
      <c r="BH175" s="665"/>
      <c r="BI175" s="510"/>
      <c r="BJ175" s="511"/>
      <c r="BK175" s="511"/>
      <c r="BL175" s="511"/>
      <c r="BM175" s="195"/>
      <c r="BN175" s="510"/>
      <c r="BO175" s="510"/>
      <c r="BP175" s="510"/>
      <c r="BQ175" s="510"/>
      <c r="BR175" s="510"/>
      <c r="BS175" s="510"/>
      <c r="BT175" s="510"/>
      <c r="BU175" s="510"/>
      <c r="BV175" s="510"/>
      <c r="BW175" s="512"/>
      <c r="BX175" s="509"/>
      <c r="BY175"/>
      <c r="CA175"/>
    </row>
    <row r="176" spans="2:79" ht="18.75">
      <c r="B176" s="252" t="s">
        <v>2642</v>
      </c>
      <c r="C176" s="251">
        <v>27762397000105</v>
      </c>
      <c r="D176" s="252" t="s">
        <v>11</v>
      </c>
      <c r="E176" s="252" t="s">
        <v>621</v>
      </c>
      <c r="F176" s="252" t="s">
        <v>672</v>
      </c>
      <c r="G176" s="253" t="s">
        <v>866</v>
      </c>
      <c r="H176" s="253" t="s">
        <v>34</v>
      </c>
      <c r="I176" s="253" t="s">
        <v>34</v>
      </c>
      <c r="J176" s="253" t="s">
        <v>608</v>
      </c>
      <c r="K176" s="253" t="s">
        <v>48</v>
      </c>
      <c r="L176" s="655" t="s">
        <v>4571</v>
      </c>
      <c r="M176" s="655" t="s">
        <v>34</v>
      </c>
      <c r="N176" s="253" t="s">
        <v>3075</v>
      </c>
      <c r="O176" s="253" t="s">
        <v>1321</v>
      </c>
      <c r="P176" s="656">
        <v>43038</v>
      </c>
      <c r="Q176" s="657"/>
      <c r="R176" s="657"/>
      <c r="S176" s="253">
        <v>1</v>
      </c>
      <c r="T176" s="658"/>
      <c r="U176" s="659"/>
      <c r="V176" s="658"/>
      <c r="W176" s="659"/>
      <c r="X176" s="658"/>
      <c r="Y176" s="659"/>
      <c r="Z176" s="658"/>
      <c r="AA176" s="659"/>
      <c r="AB176" s="658"/>
      <c r="AC176" s="660"/>
      <c r="AD176" s="682">
        <v>27729636000125</v>
      </c>
      <c r="AE176" s="944" t="s">
        <v>1747</v>
      </c>
      <c r="AF176" s="661" t="s">
        <v>1745</v>
      </c>
      <c r="AG176" s="662" t="s">
        <v>1432</v>
      </c>
      <c r="AH176" s="662" t="s">
        <v>2119</v>
      </c>
      <c r="AI176" s="662">
        <v>0</v>
      </c>
      <c r="AJ176" s="662">
        <v>0</v>
      </c>
      <c r="AK176" s="662">
        <v>0</v>
      </c>
      <c r="AL176" s="658">
        <v>0</v>
      </c>
      <c r="AM176" s="658">
        <v>0</v>
      </c>
      <c r="AN176" s="659" t="s">
        <v>2122</v>
      </c>
      <c r="AO176" s="253" t="s">
        <v>4400</v>
      </c>
      <c r="AP176" s="944" t="s">
        <v>1735</v>
      </c>
      <c r="AQ176" s="663" t="s">
        <v>2637</v>
      </c>
      <c r="AR176" s="658">
        <v>0</v>
      </c>
      <c r="AS176" s="658">
        <v>0</v>
      </c>
      <c r="AT176" s="658" t="s">
        <v>1417</v>
      </c>
      <c r="AU176" s="658" t="s">
        <v>2751</v>
      </c>
      <c r="AX176" s="508"/>
      <c r="AY176" s="509"/>
      <c r="AZ176" s="509"/>
      <c r="BA176" s="509"/>
      <c r="BB176" s="509"/>
      <c r="BC176" s="509"/>
      <c r="BD176" s="509"/>
      <c r="BE176" s="509"/>
      <c r="BF176" s="509"/>
      <c r="BG176" s="509"/>
      <c r="BH176" s="665"/>
      <c r="BI176" s="510"/>
      <c r="BJ176" s="511"/>
      <c r="BK176" s="511"/>
      <c r="BL176" s="511"/>
      <c r="BM176" s="195"/>
      <c r="BN176" s="510"/>
      <c r="BO176" s="510"/>
      <c r="BP176" s="510"/>
      <c r="BQ176" s="510"/>
      <c r="BR176" s="510"/>
      <c r="BS176" s="510"/>
      <c r="BT176" s="510"/>
      <c r="BU176" s="510"/>
      <c r="BV176" s="510"/>
      <c r="BW176" s="512"/>
      <c r="BX176" s="509"/>
      <c r="BY176"/>
      <c r="CA176"/>
    </row>
    <row r="177" spans="2:79" ht="18.75">
      <c r="B177" s="252" t="s">
        <v>4457</v>
      </c>
      <c r="C177" s="251">
        <v>44672703000131</v>
      </c>
      <c r="D177" s="252" t="s">
        <v>11</v>
      </c>
      <c r="E177" s="252" t="s">
        <v>620</v>
      </c>
      <c r="F177" s="252" t="s">
        <v>663</v>
      </c>
      <c r="G177" s="253" t="s">
        <v>1417</v>
      </c>
      <c r="H177" s="253" t="s">
        <v>1417</v>
      </c>
      <c r="I177" s="253" t="s">
        <v>1417</v>
      </c>
      <c r="J177" s="253" t="s">
        <v>608</v>
      </c>
      <c r="K177" s="253" t="s">
        <v>48</v>
      </c>
      <c r="L177" s="655" t="s">
        <v>4571</v>
      </c>
      <c r="M177" s="655" t="s">
        <v>34</v>
      </c>
      <c r="N177" s="253" t="s">
        <v>4458</v>
      </c>
      <c r="O177" s="253" t="s">
        <v>1321</v>
      </c>
      <c r="P177" s="656">
        <v>44785</v>
      </c>
      <c r="Q177" s="657"/>
      <c r="R177" s="657"/>
      <c r="S177" s="253">
        <v>31</v>
      </c>
      <c r="T177" s="658"/>
      <c r="U177" s="659"/>
      <c r="V177" s="658"/>
      <c r="W177" s="659"/>
      <c r="X177" s="658"/>
      <c r="Y177" s="659"/>
      <c r="Z177" s="658"/>
      <c r="AA177" s="659"/>
      <c r="AB177" s="658"/>
      <c r="AC177" s="660"/>
      <c r="AD177" s="682">
        <v>42119476000196</v>
      </c>
      <c r="AE177" s="944" t="s">
        <v>1797</v>
      </c>
      <c r="AF177" s="661" t="s">
        <v>1745</v>
      </c>
      <c r="AG177" s="662" t="s">
        <v>1432</v>
      </c>
      <c r="AH177" s="662" t="s">
        <v>2119</v>
      </c>
      <c r="AI177" s="662">
        <v>0</v>
      </c>
      <c r="AJ177" s="662">
        <v>0</v>
      </c>
      <c r="AK177" s="662">
        <v>0</v>
      </c>
      <c r="AL177" s="658">
        <v>4.0000000000000001E-3</v>
      </c>
      <c r="AM177" s="658">
        <v>0</v>
      </c>
      <c r="AN177" s="659" t="s">
        <v>2127</v>
      </c>
      <c r="AO177" s="253" t="s">
        <v>4400</v>
      </c>
      <c r="AP177" s="944" t="s">
        <v>1746</v>
      </c>
      <c r="AQ177" s="663" t="s">
        <v>2177</v>
      </c>
      <c r="AR177" s="658">
        <v>0</v>
      </c>
      <c r="AS177" s="658">
        <v>0</v>
      </c>
      <c r="AT177" s="658" t="s">
        <v>1417</v>
      </c>
      <c r="AU177" s="658" t="s">
        <v>2751</v>
      </c>
      <c r="AX177" s="508"/>
      <c r="AY177" s="509"/>
      <c r="AZ177" s="509"/>
      <c r="BA177" s="509"/>
      <c r="BB177" s="509"/>
      <c r="BC177" s="509"/>
      <c r="BD177" s="509"/>
      <c r="BE177" s="509"/>
      <c r="BF177" s="509"/>
      <c r="BG177" s="509"/>
      <c r="BH177" s="665"/>
      <c r="BI177" s="510"/>
      <c r="BJ177" s="511"/>
      <c r="BK177" s="511"/>
      <c r="BL177" s="511"/>
      <c r="BM177" s="195"/>
      <c r="BN177" s="510"/>
      <c r="BO177" s="510"/>
      <c r="BP177" s="510"/>
      <c r="BQ177" s="510"/>
      <c r="BR177" s="510"/>
      <c r="BS177" s="510"/>
      <c r="BT177" s="510"/>
      <c r="BU177" s="510"/>
      <c r="BV177" s="510"/>
      <c r="BW177" s="512"/>
      <c r="BX177" s="509"/>
      <c r="BY177"/>
      <c r="CA177"/>
    </row>
    <row r="178" spans="2:79" ht="18.75">
      <c r="B178" s="252" t="s">
        <v>4507</v>
      </c>
      <c r="C178" s="251">
        <v>44643217000195</v>
      </c>
      <c r="D178" s="252" t="s">
        <v>11</v>
      </c>
      <c r="E178" s="252" t="s">
        <v>621</v>
      </c>
      <c r="F178" s="252" t="s">
        <v>663</v>
      </c>
      <c r="G178" s="253" t="s">
        <v>738</v>
      </c>
      <c r="H178" s="253" t="s">
        <v>34</v>
      </c>
      <c r="I178" s="253" t="s">
        <v>1417</v>
      </c>
      <c r="J178" s="253" t="s">
        <v>608</v>
      </c>
      <c r="K178" s="253" t="s">
        <v>48</v>
      </c>
      <c r="L178" s="655" t="s">
        <v>4571</v>
      </c>
      <c r="M178" s="655" t="s">
        <v>34</v>
      </c>
      <c r="N178" s="253" t="s">
        <v>4508</v>
      </c>
      <c r="O178" s="253" t="s">
        <v>1321</v>
      </c>
      <c r="P178" s="656">
        <v>44881</v>
      </c>
      <c r="Q178" s="657"/>
      <c r="R178" s="657"/>
      <c r="S178" s="253">
        <v>7</v>
      </c>
      <c r="T178" s="658"/>
      <c r="U178" s="659"/>
      <c r="V178" s="658"/>
      <c r="W178" s="659"/>
      <c r="X178" s="658"/>
      <c r="Y178" s="659"/>
      <c r="Z178" s="658"/>
      <c r="AA178" s="659"/>
      <c r="AB178" s="658"/>
      <c r="AC178" s="660"/>
      <c r="AD178" s="682">
        <v>46385360000150</v>
      </c>
      <c r="AE178" s="944" t="s">
        <v>1910</v>
      </c>
      <c r="AF178" s="661" t="s">
        <v>1729</v>
      </c>
      <c r="AG178" s="662" t="s">
        <v>1433</v>
      </c>
      <c r="AH178" s="662" t="s">
        <v>2119</v>
      </c>
      <c r="AI178" s="662">
        <v>5000</v>
      </c>
      <c r="AJ178" s="662">
        <v>0</v>
      </c>
      <c r="AK178" s="662">
        <v>0</v>
      </c>
      <c r="AL178" s="658">
        <v>9.4999999999999998E-3</v>
      </c>
      <c r="AM178" s="658">
        <v>0</v>
      </c>
      <c r="AN178" s="659" t="s">
        <v>2127</v>
      </c>
      <c r="AO178" s="253" t="s">
        <v>4400</v>
      </c>
      <c r="AP178" s="944" t="s">
        <v>1735</v>
      </c>
      <c r="AQ178" s="663" t="s">
        <v>2190</v>
      </c>
      <c r="AR178" s="658">
        <v>0</v>
      </c>
      <c r="AS178" s="658">
        <v>0</v>
      </c>
      <c r="AT178" s="658" t="s">
        <v>1417</v>
      </c>
      <c r="AU178" s="658" t="s">
        <v>2751</v>
      </c>
      <c r="AX178" s="508"/>
      <c r="AY178" s="509"/>
      <c r="AZ178" s="509"/>
      <c r="BA178" s="509"/>
      <c r="BB178" s="509"/>
      <c r="BC178" s="509"/>
      <c r="BD178" s="509"/>
      <c r="BE178" s="509"/>
      <c r="BF178" s="509"/>
      <c r="BG178" s="509"/>
      <c r="BH178" s="665"/>
      <c r="BI178" s="510"/>
      <c r="BJ178" s="511"/>
      <c r="BK178" s="511"/>
      <c r="BL178" s="511"/>
      <c r="BM178" s="195"/>
      <c r="BN178" s="510"/>
      <c r="BO178" s="510"/>
      <c r="BP178" s="510"/>
      <c r="BQ178" s="510"/>
      <c r="BR178" s="510"/>
      <c r="BS178" s="510"/>
      <c r="BT178" s="510"/>
      <c r="BU178" s="510"/>
      <c r="BV178" s="510"/>
      <c r="BW178" s="512"/>
      <c r="BX178" s="509"/>
      <c r="BY178"/>
      <c r="CA178"/>
    </row>
    <row r="179" spans="2:79" ht="18.75">
      <c r="B179" s="252" t="s">
        <v>4512</v>
      </c>
      <c r="C179" s="251">
        <v>41745725000196</v>
      </c>
      <c r="D179" s="252" t="s">
        <v>13</v>
      </c>
      <c r="E179" s="252" t="s">
        <v>615</v>
      </c>
      <c r="F179" s="252" t="s">
        <v>619</v>
      </c>
      <c r="G179" s="253" t="s">
        <v>34</v>
      </c>
      <c r="H179" s="253" t="s">
        <v>1337</v>
      </c>
      <c r="I179" s="253" t="s">
        <v>34</v>
      </c>
      <c r="J179" s="253" t="s">
        <v>608</v>
      </c>
      <c r="K179" s="253" t="s">
        <v>48</v>
      </c>
      <c r="L179" s="655" t="s">
        <v>4571</v>
      </c>
      <c r="M179" s="655" t="s">
        <v>34</v>
      </c>
      <c r="N179" s="253" t="s">
        <v>4513</v>
      </c>
      <c r="O179" s="253" t="s">
        <v>1321</v>
      </c>
      <c r="P179" s="656">
        <v>44568</v>
      </c>
      <c r="Q179" s="657"/>
      <c r="R179" s="657"/>
      <c r="S179" s="253">
        <v>24</v>
      </c>
      <c r="T179" s="658"/>
      <c r="U179" s="659"/>
      <c r="V179" s="658"/>
      <c r="W179" s="659"/>
      <c r="X179" s="658"/>
      <c r="Y179" s="659"/>
      <c r="Z179" s="658"/>
      <c r="AA179" s="659"/>
      <c r="AB179" s="658"/>
      <c r="AC179" s="660"/>
      <c r="AD179" s="682">
        <v>42014132000112</v>
      </c>
      <c r="AE179" s="944" t="s">
        <v>1829</v>
      </c>
      <c r="AF179" s="661" t="s">
        <v>1767</v>
      </c>
      <c r="AG179" s="662" t="s">
        <v>59</v>
      </c>
      <c r="AH179" s="662" t="s">
        <v>2119</v>
      </c>
      <c r="AI179" s="662">
        <v>0</v>
      </c>
      <c r="AJ179" s="662">
        <v>0</v>
      </c>
      <c r="AK179" s="662">
        <v>0</v>
      </c>
      <c r="AL179" s="658">
        <v>7.4999999999999997E-3</v>
      </c>
      <c r="AM179" s="658">
        <v>0</v>
      </c>
      <c r="AN179" s="659" t="s">
        <v>64</v>
      </c>
      <c r="AO179" s="253" t="s">
        <v>4400</v>
      </c>
      <c r="AP179" s="944" t="s">
        <v>1746</v>
      </c>
      <c r="AQ179" s="663" t="s">
        <v>2177</v>
      </c>
      <c r="AR179" s="658">
        <v>0</v>
      </c>
      <c r="AS179" s="658">
        <v>0</v>
      </c>
      <c r="AT179" s="658" t="s">
        <v>1417</v>
      </c>
      <c r="AU179" s="658" t="s">
        <v>2751</v>
      </c>
      <c r="AX179" s="508"/>
      <c r="AY179" s="509"/>
      <c r="AZ179" s="509"/>
      <c r="BA179" s="509"/>
      <c r="BB179" s="509"/>
      <c r="BC179" s="509"/>
      <c r="BD179" s="509"/>
      <c r="BE179" s="509"/>
      <c r="BF179" s="509"/>
      <c r="BG179" s="509"/>
      <c r="BH179" s="665"/>
      <c r="BI179" s="510"/>
      <c r="BJ179" s="511"/>
      <c r="BK179" s="511"/>
      <c r="BL179" s="511"/>
      <c r="BM179" s="195"/>
      <c r="BN179" s="510"/>
      <c r="BO179" s="510"/>
      <c r="BP179" s="510"/>
      <c r="BQ179" s="510"/>
      <c r="BR179" s="510"/>
      <c r="BS179" s="510"/>
      <c r="BT179" s="510"/>
      <c r="BU179" s="510"/>
      <c r="BV179" s="510"/>
      <c r="BW179" s="512"/>
      <c r="BX179" s="509"/>
      <c r="BY179"/>
      <c r="CA179"/>
    </row>
    <row r="180" spans="2:79" ht="18.75">
      <c r="B180" s="252" t="s">
        <v>4573</v>
      </c>
      <c r="C180" s="251">
        <v>37367841000141</v>
      </c>
      <c r="D180" s="252" t="s">
        <v>13</v>
      </c>
      <c r="E180" s="252" t="s">
        <v>615</v>
      </c>
      <c r="F180" s="252" t="s">
        <v>619</v>
      </c>
      <c r="G180" s="253" t="s">
        <v>34</v>
      </c>
      <c r="H180" s="253" t="s">
        <v>1337</v>
      </c>
      <c r="I180" s="253" t="s">
        <v>34</v>
      </c>
      <c r="J180" s="253" t="s">
        <v>611</v>
      </c>
      <c r="K180" s="253" t="s">
        <v>48</v>
      </c>
      <c r="L180" s="655" t="s">
        <v>4571</v>
      </c>
      <c r="M180" s="655" t="s">
        <v>34</v>
      </c>
      <c r="N180" s="253" t="s">
        <v>3531</v>
      </c>
      <c r="O180" s="253" t="s">
        <v>1321</v>
      </c>
      <c r="P180" s="656">
        <v>44163</v>
      </c>
      <c r="Q180" s="657">
        <v>114.96622978000001</v>
      </c>
      <c r="R180" s="657">
        <v>67.713918601411308</v>
      </c>
      <c r="S180" s="253">
        <v>4</v>
      </c>
      <c r="T180" s="658">
        <v>7.6970049873983371E-3</v>
      </c>
      <c r="U180" s="659">
        <v>0.38488142527282865</v>
      </c>
      <c r="V180" s="658">
        <v>0.15090466815769621</v>
      </c>
      <c r="W180" s="659">
        <v>1.1703124932780984</v>
      </c>
      <c r="X180" s="658">
        <v>0.22811582360735461</v>
      </c>
      <c r="Y180" s="659">
        <v>1.1814101570134123</v>
      </c>
      <c r="Z180" s="658"/>
      <c r="AA180" s="659"/>
      <c r="AB180" s="658">
        <v>3.7968108233548743E-2</v>
      </c>
      <c r="AC180" s="660">
        <v>0.57840012928279794</v>
      </c>
      <c r="AD180" s="682">
        <v>37368165000120</v>
      </c>
      <c r="AE180" s="944" t="s">
        <v>1965</v>
      </c>
      <c r="AF180" s="661" t="s">
        <v>1729</v>
      </c>
      <c r="AG180" s="662" t="s">
        <v>1433</v>
      </c>
      <c r="AH180" s="662" t="s">
        <v>1801</v>
      </c>
      <c r="AI180" s="662">
        <v>500</v>
      </c>
      <c r="AJ180" s="662">
        <v>100</v>
      </c>
      <c r="AK180" s="662">
        <v>100</v>
      </c>
      <c r="AL180" s="658">
        <v>2.5000000000000001E-2</v>
      </c>
      <c r="AM180" s="658">
        <v>0.2</v>
      </c>
      <c r="AN180" s="659" t="s">
        <v>34</v>
      </c>
      <c r="AO180" s="253" t="s">
        <v>4397</v>
      </c>
      <c r="AP180" s="944" t="s">
        <v>1746</v>
      </c>
      <c r="AQ180" s="663" t="s">
        <v>2177</v>
      </c>
      <c r="AR180" s="658">
        <v>0</v>
      </c>
      <c r="AS180" s="658">
        <v>0</v>
      </c>
      <c r="AT180" s="658" t="s">
        <v>1417</v>
      </c>
      <c r="AU180" s="658" t="s">
        <v>2751</v>
      </c>
      <c r="AX180" s="508"/>
      <c r="AY180" s="509"/>
      <c r="AZ180" s="509"/>
      <c r="BA180" s="509"/>
      <c r="BB180" s="509"/>
      <c r="BC180" s="509"/>
      <c r="BD180" s="509"/>
      <c r="BE180" s="509"/>
      <c r="BF180" s="509"/>
      <c r="BG180" s="509"/>
      <c r="BH180" s="665"/>
      <c r="BI180" s="510"/>
      <c r="BJ180" s="511"/>
      <c r="BK180" s="511"/>
      <c r="BL180" s="511"/>
      <c r="BM180" s="195"/>
      <c r="BN180" s="510"/>
      <c r="BO180" s="510"/>
      <c r="BP180" s="510"/>
      <c r="BQ180" s="510"/>
      <c r="BR180" s="510"/>
      <c r="BS180" s="510"/>
      <c r="BT180" s="510"/>
      <c r="BU180" s="510"/>
      <c r="BV180" s="510"/>
      <c r="BW180" s="512"/>
      <c r="BX180" s="509"/>
      <c r="BY180"/>
      <c r="CA180"/>
    </row>
    <row r="181" spans="2:79" ht="18.75">
      <c r="B181" s="252" t="s">
        <v>2667</v>
      </c>
      <c r="C181" s="251">
        <v>37829233000101</v>
      </c>
      <c r="D181" s="252" t="s">
        <v>13</v>
      </c>
      <c r="E181" s="252" t="s">
        <v>615</v>
      </c>
      <c r="F181" s="252" t="s">
        <v>619</v>
      </c>
      <c r="G181" s="253" t="s">
        <v>34</v>
      </c>
      <c r="H181" s="253" t="s">
        <v>1337</v>
      </c>
      <c r="I181" s="253" t="s">
        <v>34</v>
      </c>
      <c r="J181" s="253" t="s">
        <v>608</v>
      </c>
      <c r="K181" s="253" t="s">
        <v>48</v>
      </c>
      <c r="L181" s="655" t="s">
        <v>4571</v>
      </c>
      <c r="M181" s="655" t="s">
        <v>34</v>
      </c>
      <c r="N181" s="253" t="s">
        <v>3534</v>
      </c>
      <c r="O181" s="253" t="s">
        <v>1321</v>
      </c>
      <c r="P181" s="656">
        <v>44238</v>
      </c>
      <c r="Q181" s="657">
        <v>310.46848509</v>
      </c>
      <c r="R181" s="657">
        <v>164.85465666266123</v>
      </c>
      <c r="S181" s="253">
        <v>4</v>
      </c>
      <c r="T181" s="658">
        <v>7.7499398930191976E-3</v>
      </c>
      <c r="U181" s="659">
        <v>0.38752838496109643</v>
      </c>
      <c r="V181" s="658">
        <v>0.15112504129312865</v>
      </c>
      <c r="W181" s="659">
        <v>1.172021555275504</v>
      </c>
      <c r="X181" s="658">
        <v>0.22753367139812419</v>
      </c>
      <c r="Y181" s="659">
        <v>1.1783951950434948</v>
      </c>
      <c r="Z181" s="658"/>
      <c r="AA181" s="659"/>
      <c r="AB181" s="658">
        <v>3.799694994223992E-2</v>
      </c>
      <c r="AC181" s="660">
        <v>0.58376085133302458</v>
      </c>
      <c r="AD181" s="682">
        <v>37368165000120</v>
      </c>
      <c r="AE181" s="944" t="s">
        <v>1965</v>
      </c>
      <c r="AF181" s="661" t="s">
        <v>1729</v>
      </c>
      <c r="AG181" s="662" t="s">
        <v>1432</v>
      </c>
      <c r="AH181" s="662" t="s">
        <v>1801</v>
      </c>
      <c r="AI181" s="662">
        <v>500</v>
      </c>
      <c r="AJ181" s="662">
        <v>100</v>
      </c>
      <c r="AK181" s="662">
        <v>100</v>
      </c>
      <c r="AL181" s="658">
        <v>2.5000000000000001E-2</v>
      </c>
      <c r="AM181" s="658">
        <v>0.2</v>
      </c>
      <c r="AN181" s="659" t="s">
        <v>34</v>
      </c>
      <c r="AO181" s="253" t="s">
        <v>4400</v>
      </c>
      <c r="AP181" s="944" t="s">
        <v>1746</v>
      </c>
      <c r="AQ181" s="663" t="s">
        <v>2177</v>
      </c>
      <c r="AR181" s="658">
        <v>0</v>
      </c>
      <c r="AS181" s="658">
        <v>0</v>
      </c>
      <c r="AT181" s="658" t="s">
        <v>1417</v>
      </c>
      <c r="AU181" s="658" t="s">
        <v>2751</v>
      </c>
      <c r="AX181" s="508"/>
      <c r="AY181" s="509"/>
      <c r="AZ181" s="509"/>
      <c r="BA181" s="509"/>
      <c r="BB181" s="509"/>
      <c r="BC181" s="509"/>
      <c r="BD181" s="509"/>
      <c r="BE181" s="509"/>
      <c r="BF181" s="509"/>
      <c r="BG181" s="509"/>
      <c r="BH181" s="665"/>
      <c r="BI181" s="510"/>
      <c r="BJ181" s="511"/>
      <c r="BK181" s="511"/>
      <c r="BL181" s="511"/>
      <c r="BM181" s="195"/>
      <c r="BN181" s="510"/>
      <c r="BO181" s="510"/>
      <c r="BP181" s="510"/>
      <c r="BQ181" s="510"/>
      <c r="BR181" s="510"/>
      <c r="BS181" s="510"/>
      <c r="BT181" s="510"/>
      <c r="BU181" s="510"/>
      <c r="BV181" s="510"/>
      <c r="BW181" s="512"/>
      <c r="BX181" s="509"/>
      <c r="BY181"/>
      <c r="CA181"/>
    </row>
    <row r="182" spans="2:79" ht="18.75">
      <c r="B182" s="252" t="s">
        <v>4532</v>
      </c>
      <c r="C182" s="251">
        <v>46502826000150</v>
      </c>
      <c r="D182" s="252" t="s">
        <v>11</v>
      </c>
      <c r="E182" s="252" t="s">
        <v>620</v>
      </c>
      <c r="F182" s="252" t="s">
        <v>663</v>
      </c>
      <c r="G182" s="253" t="s">
        <v>1417</v>
      </c>
      <c r="H182" s="253" t="s">
        <v>34</v>
      </c>
      <c r="I182" s="253" t="s">
        <v>1417</v>
      </c>
      <c r="J182" s="253" t="s">
        <v>608</v>
      </c>
      <c r="K182" s="253" t="s">
        <v>48</v>
      </c>
      <c r="L182" s="655" t="s">
        <v>4571</v>
      </c>
      <c r="M182" s="655" t="s">
        <v>34</v>
      </c>
      <c r="N182" s="253" t="s">
        <v>4533</v>
      </c>
      <c r="O182" s="253" t="s">
        <v>1321</v>
      </c>
      <c r="P182" s="656">
        <v>44866</v>
      </c>
      <c r="Q182" s="657"/>
      <c r="R182" s="657"/>
      <c r="S182" s="253">
        <v>9</v>
      </c>
      <c r="T182" s="658"/>
      <c r="U182" s="659"/>
      <c r="V182" s="658"/>
      <c r="W182" s="659"/>
      <c r="X182" s="658"/>
      <c r="Y182" s="659"/>
      <c r="Z182" s="658"/>
      <c r="AA182" s="659"/>
      <c r="AB182" s="658"/>
      <c r="AC182" s="660"/>
      <c r="AD182" s="682">
        <v>46373760000145</v>
      </c>
      <c r="AE182" s="944" t="s">
        <v>1993</v>
      </c>
      <c r="AF182" s="661" t="s">
        <v>1729</v>
      </c>
      <c r="AG182" s="662" t="s">
        <v>1433</v>
      </c>
      <c r="AH182" s="662" t="s">
        <v>2119</v>
      </c>
      <c r="AI182" s="662">
        <v>500</v>
      </c>
      <c r="AJ182" s="662">
        <v>0</v>
      </c>
      <c r="AK182" s="662">
        <v>100</v>
      </c>
      <c r="AL182" s="658">
        <v>4.4999999999999997E-3</v>
      </c>
      <c r="AM182" s="658">
        <v>0</v>
      </c>
      <c r="AN182" s="659" t="s">
        <v>64</v>
      </c>
      <c r="AO182" s="253" t="s">
        <v>4397</v>
      </c>
      <c r="AP182" s="944" t="s">
        <v>1735</v>
      </c>
      <c r="AQ182" s="663" t="s">
        <v>4405</v>
      </c>
      <c r="AR182" s="658">
        <v>0</v>
      </c>
      <c r="AS182" s="658">
        <v>0</v>
      </c>
      <c r="AT182" s="658" t="s">
        <v>1417</v>
      </c>
      <c r="AU182" s="658" t="s">
        <v>2751</v>
      </c>
      <c r="AX182" s="508"/>
      <c r="AY182" s="509"/>
      <c r="AZ182" s="509"/>
      <c r="BA182" s="509"/>
      <c r="BB182" s="509"/>
      <c r="BC182" s="509"/>
      <c r="BD182" s="509"/>
      <c r="BE182" s="509"/>
      <c r="BF182" s="509"/>
      <c r="BG182" s="509"/>
      <c r="BH182" s="665"/>
      <c r="BI182" s="510"/>
      <c r="BJ182" s="511"/>
      <c r="BK182" s="511"/>
      <c r="BL182" s="511"/>
      <c r="BM182" s="195"/>
      <c r="BN182" s="510"/>
      <c r="BO182" s="510"/>
      <c r="BP182" s="510"/>
      <c r="BQ182" s="510"/>
      <c r="BR182" s="510"/>
      <c r="BS182" s="510"/>
      <c r="BT182" s="510"/>
      <c r="BU182" s="510"/>
      <c r="BV182" s="510"/>
      <c r="BW182" s="512"/>
      <c r="BX182" s="509"/>
      <c r="BY182"/>
      <c r="CA182"/>
    </row>
    <row r="183" spans="2:79" ht="18.75">
      <c r="B183" s="252" t="s">
        <v>4392</v>
      </c>
      <c r="C183" s="251">
        <v>42870517000181</v>
      </c>
      <c r="D183" s="252" t="s">
        <v>11</v>
      </c>
      <c r="E183" s="252" t="s">
        <v>621</v>
      </c>
      <c r="F183" s="252" t="s">
        <v>672</v>
      </c>
      <c r="G183" s="253" t="s">
        <v>865</v>
      </c>
      <c r="H183" s="253" t="s">
        <v>34</v>
      </c>
      <c r="I183" s="253" t="s">
        <v>1417</v>
      </c>
      <c r="J183" s="253" t="s">
        <v>608</v>
      </c>
      <c r="K183" s="253" t="s">
        <v>48</v>
      </c>
      <c r="L183" s="655" t="s">
        <v>4571</v>
      </c>
      <c r="M183" s="655" t="s">
        <v>34</v>
      </c>
      <c r="N183" s="253" t="s">
        <v>4393</v>
      </c>
      <c r="O183" s="253" t="s">
        <v>1321</v>
      </c>
      <c r="P183" s="656">
        <v>44805</v>
      </c>
      <c r="Q183" s="657">
        <v>3.2454874999999999</v>
      </c>
      <c r="R183" s="657">
        <v>1.9424988046721314</v>
      </c>
      <c r="S183" s="253">
        <v>6</v>
      </c>
      <c r="T183" s="658">
        <v>6.2222571544285898E-3</v>
      </c>
      <c r="U183" s="659">
        <v>0.31113806031454933</v>
      </c>
      <c r="V183" s="658"/>
      <c r="W183" s="659"/>
      <c r="X183" s="658"/>
      <c r="Y183" s="659"/>
      <c r="Z183" s="658"/>
      <c r="AA183" s="659"/>
      <c r="AB183" s="658">
        <v>3.0370371583599978E-2</v>
      </c>
      <c r="AC183" s="660"/>
      <c r="AD183" s="682">
        <v>43760546000153</v>
      </c>
      <c r="AE183" s="944" t="s">
        <v>1781</v>
      </c>
      <c r="AF183" s="661" t="s">
        <v>1729</v>
      </c>
      <c r="AG183" s="662" t="s">
        <v>1433</v>
      </c>
      <c r="AH183" s="662" t="s">
        <v>2119</v>
      </c>
      <c r="AI183" s="662">
        <v>0</v>
      </c>
      <c r="AJ183" s="662">
        <v>0</v>
      </c>
      <c r="AK183" s="662">
        <v>0</v>
      </c>
      <c r="AL183" s="658">
        <v>1.0999999999999999E-2</v>
      </c>
      <c r="AM183" s="658">
        <v>0</v>
      </c>
      <c r="AN183" s="659" t="s">
        <v>635</v>
      </c>
      <c r="AO183" s="253" t="s">
        <v>4400</v>
      </c>
      <c r="AP183" s="944" t="s">
        <v>1735</v>
      </c>
      <c r="AQ183" s="663" t="s">
        <v>2633</v>
      </c>
      <c r="AR183" s="658">
        <v>0</v>
      </c>
      <c r="AS183" s="658">
        <v>0</v>
      </c>
      <c r="AT183" s="658" t="s">
        <v>1417</v>
      </c>
      <c r="AU183" s="658" t="s">
        <v>2751</v>
      </c>
      <c r="AX183" s="508"/>
      <c r="AY183" s="509"/>
      <c r="AZ183" s="509"/>
      <c r="BA183" s="509"/>
      <c r="BB183" s="509"/>
      <c r="BC183" s="509"/>
      <c r="BD183" s="509"/>
      <c r="BE183" s="509"/>
      <c r="BF183" s="509"/>
      <c r="BG183" s="509"/>
      <c r="BH183" s="665"/>
      <c r="BI183" s="510"/>
      <c r="BJ183" s="511"/>
      <c r="BK183" s="511"/>
      <c r="BL183" s="511"/>
      <c r="BM183" s="195"/>
      <c r="BN183" s="510"/>
      <c r="BO183" s="510"/>
      <c r="BP183" s="510"/>
      <c r="BQ183" s="510"/>
      <c r="BR183" s="510"/>
      <c r="BS183" s="510"/>
      <c r="BT183" s="510"/>
      <c r="BU183" s="510"/>
      <c r="BV183" s="510"/>
      <c r="BW183" s="512"/>
      <c r="BX183" s="509"/>
      <c r="BY183"/>
      <c r="CA183"/>
    </row>
    <row r="184" spans="2:79" ht="18.75">
      <c r="B184" s="252" t="s">
        <v>4544</v>
      </c>
      <c r="C184" s="251">
        <v>23964741000198</v>
      </c>
      <c r="D184" s="252" t="s">
        <v>13</v>
      </c>
      <c r="E184" s="252" t="s">
        <v>615</v>
      </c>
      <c r="F184" s="252" t="s">
        <v>619</v>
      </c>
      <c r="G184" s="253" t="s">
        <v>34</v>
      </c>
      <c r="H184" s="253" t="s">
        <v>1337</v>
      </c>
      <c r="I184" s="253" t="s">
        <v>34</v>
      </c>
      <c r="J184" s="253" t="s">
        <v>608</v>
      </c>
      <c r="K184" s="253" t="s">
        <v>48</v>
      </c>
      <c r="L184" s="655" t="s">
        <v>4571</v>
      </c>
      <c r="M184" s="655" t="s">
        <v>34</v>
      </c>
      <c r="N184" s="253" t="s">
        <v>4545</v>
      </c>
      <c r="O184" s="253" t="s">
        <v>1321</v>
      </c>
      <c r="P184" s="656">
        <v>42471</v>
      </c>
      <c r="Q184" s="657">
        <v>324.25633499999998</v>
      </c>
      <c r="R184" s="657">
        <v>325.39042499999999</v>
      </c>
      <c r="S184" s="253">
        <v>3</v>
      </c>
      <c r="T184" s="658">
        <v>1.861632211427322E-3</v>
      </c>
      <c r="U184" s="659">
        <v>9.3089150915327934E-2</v>
      </c>
      <c r="V184" s="658">
        <v>1.861632211427322E-3</v>
      </c>
      <c r="W184" s="659">
        <v>1.4437535044612301E-2</v>
      </c>
      <c r="X184" s="658">
        <v>1.861632211427322E-3</v>
      </c>
      <c r="Y184" s="659">
        <v>9.6413794029002655E-3</v>
      </c>
      <c r="Z184" s="658">
        <v>1.861632211427322E-3</v>
      </c>
      <c r="AA184" s="659">
        <v>8.4057851349582744E-3</v>
      </c>
      <c r="AB184" s="658">
        <v>1.2183368551963858E-2</v>
      </c>
      <c r="AC184" s="660">
        <v>-10.430799716296558</v>
      </c>
      <c r="AD184" s="682">
        <v>23964727000194</v>
      </c>
      <c r="AE184" s="944" t="s">
        <v>1863</v>
      </c>
      <c r="AF184" s="661" t="s">
        <v>1769</v>
      </c>
      <c r="AG184" s="662" t="s">
        <v>719</v>
      </c>
      <c r="AH184" s="662" t="s">
        <v>2119</v>
      </c>
      <c r="AI184" s="662">
        <v>0</v>
      </c>
      <c r="AJ184" s="662">
        <v>0</v>
      </c>
      <c r="AK184" s="662">
        <v>0</v>
      </c>
      <c r="AL184" s="658">
        <v>0.02</v>
      </c>
      <c r="AM184" s="658">
        <v>0</v>
      </c>
      <c r="AN184" s="659" t="s">
        <v>64</v>
      </c>
      <c r="AO184" s="253" t="s">
        <v>4397</v>
      </c>
      <c r="AP184" s="944" t="s">
        <v>1746</v>
      </c>
      <c r="AQ184" s="663" t="s">
        <v>2177</v>
      </c>
      <c r="AR184" s="658">
        <v>0</v>
      </c>
      <c r="AS184" s="658">
        <v>0</v>
      </c>
      <c r="AT184" s="658" t="s">
        <v>1417</v>
      </c>
      <c r="AU184" s="658" t="s">
        <v>2751</v>
      </c>
      <c r="AX184" s="508"/>
      <c r="AY184" s="509"/>
      <c r="AZ184" s="509"/>
      <c r="BA184" s="509"/>
      <c r="BB184" s="509"/>
      <c r="BC184" s="509"/>
      <c r="BD184" s="509"/>
      <c r="BE184" s="509"/>
      <c r="BF184" s="509"/>
      <c r="BG184" s="509"/>
      <c r="BH184" s="665"/>
      <c r="BI184" s="510"/>
      <c r="BJ184" s="511"/>
      <c r="BK184" s="511"/>
      <c r="BL184" s="511"/>
      <c r="BM184" s="195"/>
      <c r="BN184" s="510"/>
      <c r="BO184" s="510"/>
      <c r="BP184" s="510"/>
      <c r="BQ184" s="510"/>
      <c r="BR184" s="510"/>
      <c r="BS184" s="510"/>
      <c r="BT184" s="510"/>
      <c r="BU184" s="510"/>
      <c r="BV184" s="510"/>
      <c r="BW184" s="512"/>
      <c r="BX184" s="509"/>
      <c r="BY184"/>
      <c r="CA184"/>
    </row>
    <row r="185" spans="2:79" ht="18.75">
      <c r="B185" s="252" t="s">
        <v>2613</v>
      </c>
      <c r="C185" s="251">
        <v>21312800000118</v>
      </c>
      <c r="D185" s="252" t="s">
        <v>13</v>
      </c>
      <c r="E185" s="252" t="s">
        <v>615</v>
      </c>
      <c r="F185" s="252" t="s">
        <v>619</v>
      </c>
      <c r="G185" s="253" t="s">
        <v>34</v>
      </c>
      <c r="H185" s="253" t="s">
        <v>1337</v>
      </c>
      <c r="I185" s="253" t="s">
        <v>34</v>
      </c>
      <c r="J185" s="253" t="s">
        <v>608</v>
      </c>
      <c r="K185" s="253" t="s">
        <v>48</v>
      </c>
      <c r="L185" s="655" t="s">
        <v>4571</v>
      </c>
      <c r="M185" s="655" t="s">
        <v>34</v>
      </c>
      <c r="N185" s="253" t="s">
        <v>4104</v>
      </c>
      <c r="O185" s="253" t="s">
        <v>1321</v>
      </c>
      <c r="P185" s="656">
        <v>43061</v>
      </c>
      <c r="Q185" s="657">
        <v>0</v>
      </c>
      <c r="R185" s="657">
        <v>0</v>
      </c>
      <c r="S185" s="253">
        <v>3</v>
      </c>
      <c r="T185" s="658"/>
      <c r="U185" s="659"/>
      <c r="V185" s="658"/>
      <c r="W185" s="659"/>
      <c r="X185" s="658"/>
      <c r="Y185" s="659"/>
      <c r="Z185" s="658"/>
      <c r="AA185" s="659"/>
      <c r="AB185" s="658"/>
      <c r="AC185" s="660"/>
      <c r="AD185" s="682">
        <v>37987367000150</v>
      </c>
      <c r="AE185" s="944" t="s">
        <v>1863</v>
      </c>
      <c r="AF185" s="661" t="s">
        <v>1769</v>
      </c>
      <c r="AG185" s="662" t="s">
        <v>719</v>
      </c>
      <c r="AH185" s="662" t="s">
        <v>2119</v>
      </c>
      <c r="AI185" s="662">
        <v>0</v>
      </c>
      <c r="AJ185" s="662">
        <v>0</v>
      </c>
      <c r="AK185" s="662">
        <v>0</v>
      </c>
      <c r="AL185" s="658">
        <v>0.02</v>
      </c>
      <c r="AM185" s="658">
        <v>0</v>
      </c>
      <c r="AN185" s="659" t="s">
        <v>2122</v>
      </c>
      <c r="AO185" s="253" t="s">
        <v>4400</v>
      </c>
      <c r="AP185" s="944" t="s">
        <v>1746</v>
      </c>
      <c r="AQ185" s="663" t="s">
        <v>2177</v>
      </c>
      <c r="AR185" s="658">
        <v>0</v>
      </c>
      <c r="AS185" s="658">
        <v>0</v>
      </c>
      <c r="AT185" s="658" t="s">
        <v>1417</v>
      </c>
      <c r="AU185" s="658" t="s">
        <v>2751</v>
      </c>
      <c r="AX185" s="508"/>
      <c r="AY185" s="509"/>
      <c r="AZ185" s="509"/>
      <c r="BA185" s="509"/>
      <c r="BB185" s="509"/>
      <c r="BC185" s="509"/>
      <c r="BD185" s="509"/>
      <c r="BE185" s="509"/>
      <c r="BF185" s="509"/>
      <c r="BG185" s="509"/>
      <c r="BH185" s="665"/>
      <c r="BI185" s="510"/>
      <c r="BJ185" s="511"/>
      <c r="BK185" s="511"/>
      <c r="BL185" s="511"/>
      <c r="BM185" s="195"/>
      <c r="BN185" s="510"/>
      <c r="BO185" s="510"/>
      <c r="BP185" s="510"/>
      <c r="BQ185" s="510"/>
      <c r="BR185" s="510"/>
      <c r="BS185" s="510"/>
      <c r="BT185" s="510"/>
      <c r="BU185" s="510"/>
      <c r="BV185" s="510"/>
      <c r="BW185" s="512"/>
      <c r="BX185" s="509"/>
      <c r="BY185"/>
      <c r="CA185"/>
    </row>
    <row r="186" spans="2:79" ht="18.75">
      <c r="B186" s="252" t="s">
        <v>462</v>
      </c>
      <c r="C186" s="251">
        <v>36498260000186</v>
      </c>
      <c r="D186" s="252" t="s">
        <v>14</v>
      </c>
      <c r="E186" s="252" t="s">
        <v>607</v>
      </c>
      <c r="F186" s="252" t="s">
        <v>1417</v>
      </c>
      <c r="G186" s="253" t="s">
        <v>1417</v>
      </c>
      <c r="H186" s="253" t="s">
        <v>34</v>
      </c>
      <c r="I186" s="253" t="s">
        <v>34</v>
      </c>
      <c r="J186" s="253" t="s">
        <v>608</v>
      </c>
      <c r="K186" s="253" t="s">
        <v>48</v>
      </c>
      <c r="L186" s="655"/>
      <c r="M186" s="655" t="s">
        <v>1414</v>
      </c>
      <c r="N186" s="253" t="s">
        <v>2750</v>
      </c>
      <c r="O186" s="253" t="s">
        <v>1321</v>
      </c>
      <c r="P186" s="656">
        <v>44164</v>
      </c>
      <c r="Q186" s="657">
        <v>10.696215029999999</v>
      </c>
      <c r="R186" s="657">
        <v>4.6141989906048382</v>
      </c>
      <c r="S186" s="253">
        <v>37</v>
      </c>
      <c r="T186" s="658">
        <v>-8.9042057769782579E-3</v>
      </c>
      <c r="U186" s="659">
        <v>-0.44524635439067417</v>
      </c>
      <c r="V186" s="658">
        <v>-0.1445677417753759</v>
      </c>
      <c r="W186" s="659">
        <v>-1.1211676642628481</v>
      </c>
      <c r="X186" s="658">
        <v>-0.26958357261938359</v>
      </c>
      <c r="Y186" s="659">
        <v>-1.3961713213051932</v>
      </c>
      <c r="Z186" s="658"/>
      <c r="AA186" s="659"/>
      <c r="AB186" s="658">
        <v>0.21848920460459198</v>
      </c>
      <c r="AC186" s="660">
        <v>-1.251831419850461</v>
      </c>
      <c r="AD186" s="682">
        <v>34172417000153</v>
      </c>
      <c r="AE186" s="944" t="s">
        <v>2020</v>
      </c>
      <c r="AF186" s="661" t="s">
        <v>1745</v>
      </c>
      <c r="AG186" s="662" t="s">
        <v>1432</v>
      </c>
      <c r="AH186" s="662" t="s">
        <v>1801</v>
      </c>
      <c r="AI186" s="662">
        <v>100</v>
      </c>
      <c r="AJ186" s="662">
        <v>100</v>
      </c>
      <c r="AK186" s="662">
        <v>100</v>
      </c>
      <c r="AL186" s="658">
        <v>8.0000000000000002E-3</v>
      </c>
      <c r="AM186" s="658">
        <v>0.15</v>
      </c>
      <c r="AN186" s="659" t="s">
        <v>34</v>
      </c>
      <c r="AO186" s="253" t="s">
        <v>34</v>
      </c>
      <c r="AP186" s="944" t="s">
        <v>1731</v>
      </c>
      <c r="AQ186" s="663" t="s">
        <v>659</v>
      </c>
      <c r="AR186" s="658">
        <v>2.66666666666667E-3</v>
      </c>
      <c r="AS186" s="658">
        <v>2.66666666666667E-3</v>
      </c>
      <c r="AT186" s="658" t="s">
        <v>1417</v>
      </c>
      <c r="AU186" s="658" t="s">
        <v>2751</v>
      </c>
      <c r="AX186"/>
      <c r="AY186"/>
      <c r="BA186"/>
      <c r="BB186"/>
      <c r="BC186"/>
      <c r="BD186"/>
      <c r="BE186"/>
      <c r="BF186"/>
      <c r="BG186"/>
      <c r="BH186"/>
      <c r="BI186"/>
      <c r="BJ186"/>
      <c r="BR186"/>
      <c r="BS186"/>
      <c r="BT186"/>
      <c r="BU186"/>
      <c r="BX186"/>
      <c r="BY186"/>
      <c r="CA186"/>
    </row>
    <row r="187" spans="2:79" ht="18.75">
      <c r="B187" s="252" t="s">
        <v>717</v>
      </c>
      <c r="C187" s="251">
        <v>36498567000187</v>
      </c>
      <c r="D187" s="252" t="s">
        <v>13</v>
      </c>
      <c r="E187" s="252" t="s">
        <v>615</v>
      </c>
      <c r="F187" s="252" t="s">
        <v>619</v>
      </c>
      <c r="G187" s="253" t="s">
        <v>34</v>
      </c>
      <c r="H187" s="253" t="s">
        <v>865</v>
      </c>
      <c r="I187" s="253" t="s">
        <v>34</v>
      </c>
      <c r="J187" s="253" t="s">
        <v>1417</v>
      </c>
      <c r="K187" s="253" t="s">
        <v>48</v>
      </c>
      <c r="L187" s="655"/>
      <c r="M187" s="655" t="s">
        <v>1414</v>
      </c>
      <c r="N187" s="253" t="s">
        <v>2752</v>
      </c>
      <c r="O187" s="253" t="s">
        <v>1321</v>
      </c>
      <c r="P187" s="656">
        <v>44000</v>
      </c>
      <c r="Q187" s="657">
        <v>2.5555301400000001</v>
      </c>
      <c r="R187" s="657">
        <v>2.7548103799999981</v>
      </c>
      <c r="S187" s="253">
        <v>93</v>
      </c>
      <c r="T187" s="658">
        <v>6.3908865563599981E-3</v>
      </c>
      <c r="U187" s="659">
        <v>0.31957021342663955</v>
      </c>
      <c r="V187" s="658">
        <v>5.9529297364087297E-2</v>
      </c>
      <c r="W187" s="659">
        <v>0.4616681595857261</v>
      </c>
      <c r="X187" s="658">
        <v>0.10193844990732237</v>
      </c>
      <c r="Y187" s="659">
        <v>0.52793847531597027</v>
      </c>
      <c r="Z187" s="658"/>
      <c r="AA187" s="659"/>
      <c r="AB187" s="658">
        <v>5.5060305848960239E-2</v>
      </c>
      <c r="AC187" s="660">
        <v>-1.2607015346612334</v>
      </c>
      <c r="AD187" s="682">
        <v>36016411000112</v>
      </c>
      <c r="AE187" s="944" t="s">
        <v>2020</v>
      </c>
      <c r="AF187" s="661" t="s">
        <v>1745</v>
      </c>
      <c r="AG187" s="662" t="s">
        <v>1432</v>
      </c>
      <c r="AH187" s="662" t="s">
        <v>1730</v>
      </c>
      <c r="AI187" s="662">
        <v>100</v>
      </c>
      <c r="AJ187" s="662">
        <v>100</v>
      </c>
      <c r="AK187" s="662">
        <v>100</v>
      </c>
      <c r="AL187" s="658">
        <v>6.9999999999999993E-3</v>
      </c>
      <c r="AM187" s="658">
        <v>0.1</v>
      </c>
      <c r="AN187" s="659" t="s">
        <v>34</v>
      </c>
      <c r="AO187" s="253" t="s">
        <v>34</v>
      </c>
      <c r="AP187" s="944" t="s">
        <v>1746</v>
      </c>
      <c r="AQ187" s="663" t="s">
        <v>668</v>
      </c>
      <c r="AR187" s="658">
        <v>2.3E-3</v>
      </c>
      <c r="AS187" s="658">
        <v>2.3E-3</v>
      </c>
      <c r="AT187" s="658" t="s">
        <v>1417</v>
      </c>
      <c r="AU187" s="658" t="s">
        <v>2751</v>
      </c>
      <c r="AX187"/>
      <c r="AY187"/>
      <c r="BA187"/>
      <c r="BB187"/>
      <c r="BC187"/>
      <c r="BD187"/>
      <c r="BE187"/>
      <c r="BF187"/>
      <c r="BG187"/>
      <c r="BH187"/>
      <c r="BI187"/>
      <c r="BJ187"/>
      <c r="BR187"/>
      <c r="BS187"/>
      <c r="BT187"/>
      <c r="BU187"/>
      <c r="BX187"/>
      <c r="BY187"/>
      <c r="CA187"/>
    </row>
    <row r="188" spans="2:79" ht="18.75">
      <c r="B188" s="252" t="s">
        <v>463</v>
      </c>
      <c r="C188" s="251">
        <v>22232929000189</v>
      </c>
      <c r="D188" s="252" t="s">
        <v>13</v>
      </c>
      <c r="E188" s="252" t="s">
        <v>616</v>
      </c>
      <c r="F188" s="252" t="s">
        <v>617</v>
      </c>
      <c r="G188" s="253" t="s">
        <v>34</v>
      </c>
      <c r="H188" s="253" t="s">
        <v>1337</v>
      </c>
      <c r="I188" s="253" t="s">
        <v>34</v>
      </c>
      <c r="J188" s="253" t="s">
        <v>608</v>
      </c>
      <c r="K188" s="253" t="s">
        <v>48</v>
      </c>
      <c r="L188" s="655"/>
      <c r="M188" s="655" t="s">
        <v>1414</v>
      </c>
      <c r="N188" s="253" t="s">
        <v>2753</v>
      </c>
      <c r="O188" s="253" t="s">
        <v>1321</v>
      </c>
      <c r="P188" s="656">
        <v>42193</v>
      </c>
      <c r="Q188" s="657">
        <v>90.098634000000004</v>
      </c>
      <c r="R188" s="657">
        <v>98.737207485943784</v>
      </c>
      <c r="S188" s="253">
        <v>4</v>
      </c>
      <c r="T188" s="658">
        <v>4.8318924111425687E-3</v>
      </c>
      <c r="U188" s="659">
        <v>0.24161419162521747</v>
      </c>
      <c r="V188" s="658">
        <v>0.10563068026574318</v>
      </c>
      <c r="W188" s="659">
        <v>0.81919867885915232</v>
      </c>
      <c r="X188" s="658">
        <v>0.19463480456117854</v>
      </c>
      <c r="Y188" s="659">
        <v>1.0080122079241995</v>
      </c>
      <c r="Z188" s="658">
        <v>0.30272231265185923</v>
      </c>
      <c r="AA188" s="659">
        <v>1.3668751002961097</v>
      </c>
      <c r="AB188" s="658">
        <v>2.1170543764308221E-2</v>
      </c>
      <c r="AC188" s="660">
        <v>-1.1012106935273593</v>
      </c>
      <c r="AD188" s="682">
        <v>0</v>
      </c>
      <c r="AE188" s="944" t="s">
        <v>1917</v>
      </c>
      <c r="AF188" s="661" t="s">
        <v>1767</v>
      </c>
      <c r="AG188" s="662" t="s">
        <v>59</v>
      </c>
      <c r="AH188" s="662" t="s">
        <v>1734</v>
      </c>
      <c r="AI188" s="662">
        <v>5000</v>
      </c>
      <c r="AJ188" s="662">
        <v>0</v>
      </c>
      <c r="AK188" s="662">
        <v>1000</v>
      </c>
      <c r="AL188" s="658">
        <v>0</v>
      </c>
      <c r="AM188" s="658">
        <v>0</v>
      </c>
      <c r="AN188" s="659" t="s">
        <v>64</v>
      </c>
      <c r="AO188" s="253" t="s">
        <v>34</v>
      </c>
      <c r="AP188" s="944" t="s">
        <v>1746</v>
      </c>
      <c r="AQ188" s="663" t="s">
        <v>668</v>
      </c>
      <c r="AR188" s="658">
        <v>3.0000000000000001E-3</v>
      </c>
      <c r="AS188" s="658">
        <v>3.0000000000000001E-3</v>
      </c>
      <c r="AT188" s="658" t="s">
        <v>1417</v>
      </c>
      <c r="AU188" s="658" t="s">
        <v>2751</v>
      </c>
      <c r="AX188"/>
      <c r="AY188"/>
      <c r="BA188"/>
      <c r="BB188"/>
      <c r="BC188"/>
      <c r="BD188"/>
      <c r="BE188"/>
      <c r="BF188"/>
      <c r="BG188"/>
      <c r="BH188"/>
      <c r="BI188"/>
      <c r="BJ188"/>
      <c r="BR188"/>
      <c r="BS188"/>
      <c r="BT188"/>
      <c r="BU188"/>
      <c r="BX188"/>
      <c r="BY188"/>
      <c r="CA188"/>
    </row>
    <row r="189" spans="2:79" ht="18.75">
      <c r="B189" s="252" t="s">
        <v>718</v>
      </c>
      <c r="C189" s="251">
        <v>39377954000153</v>
      </c>
      <c r="D189" s="252" t="s">
        <v>14</v>
      </c>
      <c r="E189" s="252" t="s">
        <v>607</v>
      </c>
      <c r="F189" s="252" t="s">
        <v>1417</v>
      </c>
      <c r="G189" s="253" t="s">
        <v>1417</v>
      </c>
      <c r="H189" s="253" t="s">
        <v>34</v>
      </c>
      <c r="I189" s="253" t="s">
        <v>34</v>
      </c>
      <c r="J189" s="253" t="s">
        <v>608</v>
      </c>
      <c r="K189" s="253" t="s">
        <v>48</v>
      </c>
      <c r="L189" s="655"/>
      <c r="M189" s="655" t="s">
        <v>34</v>
      </c>
      <c r="N189" s="253" t="s">
        <v>2754</v>
      </c>
      <c r="O189" s="253" t="s">
        <v>1321</v>
      </c>
      <c r="P189" s="656">
        <v>44190</v>
      </c>
      <c r="Q189" s="657">
        <v>67.462834079999993</v>
      </c>
      <c r="R189" s="657">
        <v>48.322503443991934</v>
      </c>
      <c r="S189" s="253">
        <v>33</v>
      </c>
      <c r="T189" s="658">
        <v>-7.4648674245251123E-2</v>
      </c>
      <c r="U189" s="659">
        <v>-3.7327360688057278</v>
      </c>
      <c r="V189" s="658">
        <v>5.6405326211629081E-2</v>
      </c>
      <c r="W189" s="659">
        <v>0.43744079463408875</v>
      </c>
      <c r="X189" s="658">
        <v>0.13193084823530121</v>
      </c>
      <c r="Y189" s="659">
        <v>0.6832688836038936</v>
      </c>
      <c r="Z189" s="658"/>
      <c r="AA189" s="659"/>
      <c r="AB189" s="658">
        <v>0.19687035929927069</v>
      </c>
      <c r="AC189" s="660">
        <v>-0.36845863182933702</v>
      </c>
      <c r="AD189" s="682">
        <v>0</v>
      </c>
      <c r="AE189" s="944" t="s">
        <v>1917</v>
      </c>
      <c r="AF189" s="661" t="s">
        <v>1767</v>
      </c>
      <c r="AG189" s="662" t="s">
        <v>59</v>
      </c>
      <c r="AH189" s="662" t="s">
        <v>1734</v>
      </c>
      <c r="AI189" s="662">
        <v>5000</v>
      </c>
      <c r="AJ189" s="662">
        <v>5000</v>
      </c>
      <c r="AK189" s="662">
        <v>5000</v>
      </c>
      <c r="AL189" s="658">
        <v>0.02</v>
      </c>
      <c r="AM189" s="658">
        <v>0.2</v>
      </c>
      <c r="AN189" s="659" t="s">
        <v>666</v>
      </c>
      <c r="AO189" s="253" t="s">
        <v>34</v>
      </c>
      <c r="AP189" s="944" t="s">
        <v>1731</v>
      </c>
      <c r="AQ189" s="663" t="s">
        <v>659</v>
      </c>
      <c r="AR189" s="658">
        <v>5.3333333333333297E-3</v>
      </c>
      <c r="AS189" s="658">
        <v>5.3333333333333297E-3</v>
      </c>
      <c r="AT189" s="658" t="s">
        <v>1417</v>
      </c>
      <c r="AU189" s="658" t="s">
        <v>2751</v>
      </c>
      <c r="AX189"/>
      <c r="AY189"/>
      <c r="BA189"/>
      <c r="BB189"/>
      <c r="BC189"/>
      <c r="BD189"/>
      <c r="BE189"/>
      <c r="BF189"/>
      <c r="BG189"/>
      <c r="BH189"/>
      <c r="BI189"/>
      <c r="BJ189"/>
      <c r="BR189"/>
      <c r="BS189"/>
      <c r="BT189"/>
      <c r="BU189"/>
      <c r="BX189"/>
      <c r="BY189"/>
      <c r="CA189"/>
    </row>
    <row r="190" spans="2:79" ht="18.75">
      <c r="B190" s="252" t="s">
        <v>58</v>
      </c>
      <c r="C190" s="251">
        <v>23657955000111</v>
      </c>
      <c r="D190" s="252" t="s">
        <v>14</v>
      </c>
      <c r="E190" s="252" t="s">
        <v>607</v>
      </c>
      <c r="F190" s="252" t="s">
        <v>1417</v>
      </c>
      <c r="G190" s="253" t="s">
        <v>1417</v>
      </c>
      <c r="H190" s="253" t="s">
        <v>34</v>
      </c>
      <c r="I190" s="253" t="s">
        <v>34</v>
      </c>
      <c r="J190" s="253" t="s">
        <v>611</v>
      </c>
      <c r="K190" s="253" t="s">
        <v>1417</v>
      </c>
      <c r="L190" s="655"/>
      <c r="M190" s="655" t="s">
        <v>1414</v>
      </c>
      <c r="N190" s="253" t="s">
        <v>2755</v>
      </c>
      <c r="O190" s="253" t="s">
        <v>1324</v>
      </c>
      <c r="P190" s="656">
        <v>42613</v>
      </c>
      <c r="Q190" s="657">
        <v>6.4049370000000003</v>
      </c>
      <c r="R190" s="657">
        <v>9.7040087550200873</v>
      </c>
      <c r="S190" s="253">
        <v>32</v>
      </c>
      <c r="T190" s="658">
        <v>-0.14117218047490099</v>
      </c>
      <c r="U190" s="659">
        <v>-7.0591808266995155</v>
      </c>
      <c r="V190" s="658">
        <v>-0.18520085767320404</v>
      </c>
      <c r="W190" s="659">
        <v>-1.4362900773505041</v>
      </c>
      <c r="X190" s="658">
        <v>0.24777450433951942</v>
      </c>
      <c r="Y190" s="659">
        <v>1.2832223185863836</v>
      </c>
      <c r="Z190" s="658">
        <v>-5.2599857694935581E-2</v>
      </c>
      <c r="AA190" s="659">
        <v>-0.23750292845116647</v>
      </c>
      <c r="AB190" s="658">
        <v>0.20746590934910916</v>
      </c>
      <c r="AC190" s="660">
        <v>-1.5141994562170284</v>
      </c>
      <c r="AD190" s="682">
        <v>0</v>
      </c>
      <c r="AE190" s="944" t="s">
        <v>1917</v>
      </c>
      <c r="AF190" s="661" t="s">
        <v>1767</v>
      </c>
      <c r="AG190" s="662" t="s">
        <v>59</v>
      </c>
      <c r="AH190" s="662" t="s">
        <v>1734</v>
      </c>
      <c r="AI190" s="662">
        <v>5000</v>
      </c>
      <c r="AJ190" s="662">
        <v>1000</v>
      </c>
      <c r="AK190" s="662">
        <v>1000</v>
      </c>
      <c r="AL190" s="658">
        <v>0.02</v>
      </c>
      <c r="AM190" s="658">
        <v>0.2</v>
      </c>
      <c r="AN190" s="659" t="s">
        <v>666</v>
      </c>
      <c r="AO190" s="253" t="s">
        <v>34</v>
      </c>
      <c r="AP190" s="944" t="s">
        <v>1731</v>
      </c>
      <c r="AQ190" s="663" t="s">
        <v>659</v>
      </c>
      <c r="AR190" s="658">
        <v>3.0000000000000001E-3</v>
      </c>
      <c r="AS190" s="658">
        <v>3.0000000000000001E-3</v>
      </c>
      <c r="AT190" s="658" t="s">
        <v>1417</v>
      </c>
      <c r="AU190" s="658" t="s">
        <v>2751</v>
      </c>
      <c r="AX190"/>
      <c r="AY190"/>
      <c r="BA190"/>
      <c r="BB190"/>
      <c r="BC190"/>
      <c r="BD190"/>
      <c r="BE190"/>
      <c r="BF190"/>
      <c r="BG190"/>
      <c r="BH190"/>
      <c r="BI190"/>
      <c r="BJ190"/>
      <c r="BR190"/>
      <c r="BS190"/>
      <c r="BT190"/>
      <c r="BU190"/>
      <c r="BX190"/>
      <c r="BY190"/>
      <c r="CA190"/>
    </row>
    <row r="191" spans="2:79" ht="18.75">
      <c r="B191" s="252" t="s">
        <v>61</v>
      </c>
      <c r="C191" s="251">
        <v>9599346000122</v>
      </c>
      <c r="D191" s="252" t="s">
        <v>14</v>
      </c>
      <c r="E191" s="252" t="s">
        <v>607</v>
      </c>
      <c r="F191" s="252" t="s">
        <v>1417</v>
      </c>
      <c r="G191" s="253" t="s">
        <v>1417</v>
      </c>
      <c r="H191" s="253" t="s">
        <v>34</v>
      </c>
      <c r="I191" s="253" t="s">
        <v>34</v>
      </c>
      <c r="J191" s="253" t="s">
        <v>608</v>
      </c>
      <c r="K191" s="253" t="s">
        <v>48</v>
      </c>
      <c r="L191" s="655"/>
      <c r="M191" s="655" t="s">
        <v>1414</v>
      </c>
      <c r="N191" s="253" t="s">
        <v>2756</v>
      </c>
      <c r="O191" s="253" t="s">
        <v>1321</v>
      </c>
      <c r="P191" s="656">
        <v>39631</v>
      </c>
      <c r="Q191" s="657">
        <v>191.989339</v>
      </c>
      <c r="R191" s="657">
        <v>202.7028487287449</v>
      </c>
      <c r="S191" s="253">
        <v>4</v>
      </c>
      <c r="T191" s="658">
        <v>-2.6293018132741874E-2</v>
      </c>
      <c r="U191" s="659">
        <v>-1.3147574037202978</v>
      </c>
      <c r="V191" s="658">
        <v>-1.3116288508049467E-2</v>
      </c>
      <c r="W191" s="659">
        <v>-0.10172088440875296</v>
      </c>
      <c r="X191" s="658">
        <v>7.4409148985719487E-2</v>
      </c>
      <c r="Y191" s="659">
        <v>0.38536443021052685</v>
      </c>
      <c r="Z191" s="658">
        <v>1.004344229606291E-2</v>
      </c>
      <c r="AA191" s="659">
        <v>4.5348924152601167E-2</v>
      </c>
      <c r="AB191" s="658">
        <v>0.18787957003104783</v>
      </c>
      <c r="AC191" s="660">
        <v>-0.75612371228740738</v>
      </c>
      <c r="AD191" s="682">
        <v>0</v>
      </c>
      <c r="AE191" s="944" t="s">
        <v>1804</v>
      </c>
      <c r="AF191" s="661" t="s">
        <v>1769</v>
      </c>
      <c r="AG191" s="662" t="s">
        <v>719</v>
      </c>
      <c r="AH191" s="662" t="s">
        <v>1734</v>
      </c>
      <c r="AI191" s="662">
        <v>500</v>
      </c>
      <c r="AJ191" s="662">
        <v>100</v>
      </c>
      <c r="AK191" s="662">
        <v>500</v>
      </c>
      <c r="AL191" s="658">
        <v>0.02</v>
      </c>
      <c r="AM191" s="658">
        <v>0.2</v>
      </c>
      <c r="AN191" s="659" t="s">
        <v>666</v>
      </c>
      <c r="AO191" s="253" t="s">
        <v>34</v>
      </c>
      <c r="AP191" s="944" t="s">
        <v>1731</v>
      </c>
      <c r="AQ191" s="663" t="s">
        <v>667</v>
      </c>
      <c r="AR191" s="658">
        <v>3.3333333333333301E-3</v>
      </c>
      <c r="AS191" s="658">
        <v>3.3333333333333301E-3</v>
      </c>
      <c r="AT191" s="658" t="s">
        <v>1417</v>
      </c>
      <c r="AU191" s="658" t="s">
        <v>2751</v>
      </c>
      <c r="AX191"/>
      <c r="AY191"/>
      <c r="BA191"/>
      <c r="BB191"/>
      <c r="BC191"/>
      <c r="BD191"/>
      <c r="BE191"/>
      <c r="BF191"/>
      <c r="BG191"/>
      <c r="BH191"/>
      <c r="BI191"/>
      <c r="BJ191"/>
      <c r="BR191"/>
      <c r="BS191"/>
      <c r="BT191"/>
      <c r="BU191"/>
      <c r="BX191"/>
      <c r="BY191"/>
      <c r="CA191"/>
    </row>
    <row r="192" spans="2:79" ht="18.75">
      <c r="B192" s="252" t="s">
        <v>62</v>
      </c>
      <c r="C192" s="251">
        <v>9550197000107</v>
      </c>
      <c r="D192" s="252" t="s">
        <v>14</v>
      </c>
      <c r="E192" s="252" t="s">
        <v>607</v>
      </c>
      <c r="F192" s="252" t="s">
        <v>1417</v>
      </c>
      <c r="G192" s="253" t="s">
        <v>1417</v>
      </c>
      <c r="H192" s="253" t="s">
        <v>34</v>
      </c>
      <c r="I192" s="253" t="s">
        <v>34</v>
      </c>
      <c r="J192" s="253" t="s">
        <v>608</v>
      </c>
      <c r="K192" s="253" t="s">
        <v>48</v>
      </c>
      <c r="L192" s="655"/>
      <c r="M192" s="655" t="s">
        <v>1414</v>
      </c>
      <c r="N192" s="253" t="s">
        <v>2757</v>
      </c>
      <c r="O192" s="253" t="s">
        <v>1321</v>
      </c>
      <c r="P192" s="656">
        <v>39631</v>
      </c>
      <c r="Q192" s="657">
        <v>282.72111699999999</v>
      </c>
      <c r="R192" s="657">
        <v>347.71942950406515</v>
      </c>
      <c r="S192" s="253">
        <v>20</v>
      </c>
      <c r="T192" s="658">
        <v>-3.2463202834413951E-2</v>
      </c>
      <c r="U192" s="659">
        <v>-1.6232916304830705</v>
      </c>
      <c r="V192" s="658">
        <v>-9.9308256047943244E-2</v>
      </c>
      <c r="W192" s="659">
        <v>-0.77016631862651153</v>
      </c>
      <c r="X192" s="658">
        <v>-0.12199921184606177</v>
      </c>
      <c r="Y192" s="659">
        <v>-0.63183301247288626</v>
      </c>
      <c r="Z192" s="658">
        <v>-0.12822559482399587</v>
      </c>
      <c r="AA192" s="659">
        <v>-0.57897408106531667</v>
      </c>
      <c r="AB192" s="658">
        <v>0.24911446638479509</v>
      </c>
      <c r="AC192" s="660">
        <v>-0.91625415740473892</v>
      </c>
      <c r="AD192" s="682">
        <v>0</v>
      </c>
      <c r="AE192" s="944" t="s">
        <v>1804</v>
      </c>
      <c r="AF192" s="661" t="s">
        <v>1769</v>
      </c>
      <c r="AG192" s="662" t="s">
        <v>719</v>
      </c>
      <c r="AH192" s="662" t="s">
        <v>1734</v>
      </c>
      <c r="AI192" s="662">
        <v>500</v>
      </c>
      <c r="AJ192" s="662">
        <v>100</v>
      </c>
      <c r="AK192" s="662">
        <v>500</v>
      </c>
      <c r="AL192" s="658">
        <v>0.02</v>
      </c>
      <c r="AM192" s="658">
        <v>0.2</v>
      </c>
      <c r="AN192" s="659" t="s">
        <v>666</v>
      </c>
      <c r="AO192" s="253" t="s">
        <v>34</v>
      </c>
      <c r="AP192" s="944" t="s">
        <v>1731</v>
      </c>
      <c r="AQ192" s="663" t="s">
        <v>681</v>
      </c>
      <c r="AR192" s="658">
        <v>3.3333333333333301E-3</v>
      </c>
      <c r="AS192" s="658">
        <v>3.3333333333333301E-3</v>
      </c>
      <c r="AT192" s="658" t="s">
        <v>1417</v>
      </c>
      <c r="AU192" s="658" t="s">
        <v>2751</v>
      </c>
      <c r="AX192"/>
      <c r="AY192"/>
      <c r="BA192"/>
      <c r="BB192"/>
      <c r="BC192"/>
      <c r="BD192"/>
      <c r="BE192"/>
      <c r="BF192"/>
      <c r="BG192"/>
      <c r="BH192"/>
      <c r="BI192"/>
      <c r="BJ192"/>
      <c r="BR192"/>
      <c r="BS192"/>
      <c r="BT192"/>
      <c r="BU192"/>
      <c r="BX192"/>
      <c r="BY192"/>
      <c r="CA192"/>
    </row>
    <row r="193" spans="2:79" ht="18.75">
      <c r="B193" s="252" t="s">
        <v>63</v>
      </c>
      <c r="C193" s="251">
        <v>36181846000112</v>
      </c>
      <c r="D193" s="252" t="s">
        <v>13</v>
      </c>
      <c r="E193" s="252" t="s">
        <v>616</v>
      </c>
      <c r="F193" s="252" t="s">
        <v>617</v>
      </c>
      <c r="G193" s="253" t="s">
        <v>34</v>
      </c>
      <c r="H193" s="253" t="s">
        <v>1337</v>
      </c>
      <c r="I193" s="253" t="s">
        <v>34</v>
      </c>
      <c r="J193" s="253" t="s">
        <v>608</v>
      </c>
      <c r="K193" s="253" t="s">
        <v>48</v>
      </c>
      <c r="L193" s="655"/>
      <c r="M193" s="655" t="s">
        <v>34</v>
      </c>
      <c r="N193" s="253" t="s">
        <v>2758</v>
      </c>
      <c r="O193" s="253" t="s">
        <v>1321</v>
      </c>
      <c r="P193" s="656">
        <v>43924</v>
      </c>
      <c r="Q193" s="657">
        <v>379.72819357999998</v>
      </c>
      <c r="R193" s="657">
        <v>728.54159215979894</v>
      </c>
      <c r="S193" s="253">
        <v>31</v>
      </c>
      <c r="T193" s="658">
        <v>1.2899730255224284E-2</v>
      </c>
      <c r="U193" s="659">
        <v>0.64503876175139718</v>
      </c>
      <c r="V193" s="658">
        <v>-5.9345527972241019E-3</v>
      </c>
      <c r="W193" s="659">
        <v>-4.602429709697247E-2</v>
      </c>
      <c r="X193" s="658">
        <v>2.51482799741507E-2</v>
      </c>
      <c r="Y193" s="659">
        <v>0.13024275529442381</v>
      </c>
      <c r="Z193" s="658"/>
      <c r="AA193" s="659"/>
      <c r="AB193" s="658">
        <v>4.8156256940497404E-2</v>
      </c>
      <c r="AC193" s="660">
        <v>-2.8008502074957842</v>
      </c>
      <c r="AD193" s="682">
        <v>36181795000129</v>
      </c>
      <c r="AE193" s="944" t="s">
        <v>2007</v>
      </c>
      <c r="AF193" s="661" t="s">
        <v>1767</v>
      </c>
      <c r="AG193" s="662" t="s">
        <v>59</v>
      </c>
      <c r="AH193" s="662" t="s">
        <v>1734</v>
      </c>
      <c r="AI193" s="662">
        <v>25000</v>
      </c>
      <c r="AJ193" s="662">
        <v>1000</v>
      </c>
      <c r="AK193" s="662">
        <v>10000</v>
      </c>
      <c r="AL193" s="658">
        <v>0</v>
      </c>
      <c r="AM193" s="658">
        <v>0</v>
      </c>
      <c r="AN193" s="659" t="s">
        <v>64</v>
      </c>
      <c r="AO193" s="253" t="s">
        <v>34</v>
      </c>
      <c r="AP193" s="944" t="s">
        <v>1746</v>
      </c>
      <c r="AQ193" s="663" t="s">
        <v>668</v>
      </c>
      <c r="AR193" s="658">
        <v>4.0000000000000001E-3</v>
      </c>
      <c r="AS193" s="658">
        <v>4.0000000000000001E-3</v>
      </c>
      <c r="AT193" s="658" t="s">
        <v>1417</v>
      </c>
      <c r="AU193" s="658" t="s">
        <v>2751</v>
      </c>
      <c r="AX193"/>
      <c r="AY193"/>
      <c r="BA193"/>
      <c r="BB193"/>
      <c r="BC193"/>
      <c r="BD193"/>
      <c r="BE193"/>
      <c r="BF193"/>
      <c r="BG193"/>
      <c r="BH193"/>
      <c r="BI193"/>
      <c r="BJ193"/>
      <c r="BR193"/>
      <c r="BS193"/>
      <c r="BT193"/>
      <c r="BU193"/>
      <c r="BX193"/>
      <c r="BY193"/>
      <c r="CA193"/>
    </row>
    <row r="194" spans="2:79" ht="18.75">
      <c r="B194" s="252" t="s">
        <v>2646</v>
      </c>
      <c r="C194" s="251">
        <v>29242441000181</v>
      </c>
      <c r="D194" s="252" t="s">
        <v>13</v>
      </c>
      <c r="E194" s="252" t="s">
        <v>615</v>
      </c>
      <c r="F194" s="252" t="s">
        <v>619</v>
      </c>
      <c r="G194" s="253" t="s">
        <v>34</v>
      </c>
      <c r="H194" s="253" t="s">
        <v>1337</v>
      </c>
      <c r="I194" s="253" t="s">
        <v>34</v>
      </c>
      <c r="J194" s="253" t="s">
        <v>608</v>
      </c>
      <c r="K194" s="253" t="s">
        <v>48</v>
      </c>
      <c r="L194" s="655"/>
      <c r="M194" s="655" t="s">
        <v>34</v>
      </c>
      <c r="N194" s="253" t="s">
        <v>2763</v>
      </c>
      <c r="O194" s="253" t="s">
        <v>1321</v>
      </c>
      <c r="P194" s="656">
        <v>43374</v>
      </c>
      <c r="Q194" s="657"/>
      <c r="R194" s="657"/>
      <c r="S194" s="253">
        <v>3</v>
      </c>
      <c r="T194" s="658"/>
      <c r="U194" s="659"/>
      <c r="V194" s="658"/>
      <c r="W194" s="659"/>
      <c r="X194" s="658"/>
      <c r="Y194" s="659"/>
      <c r="Z194" s="658"/>
      <c r="AA194" s="659"/>
      <c r="AB194" s="658"/>
      <c r="AC194" s="660"/>
      <c r="AD194" s="682">
        <v>28036851000103</v>
      </c>
      <c r="AE194" s="944" t="s">
        <v>1879</v>
      </c>
      <c r="AF194" s="661" t="s">
        <v>1729</v>
      </c>
      <c r="AG194" s="662" t="s">
        <v>1433</v>
      </c>
      <c r="AH194" s="662" t="s">
        <v>2119</v>
      </c>
      <c r="AI194" s="662">
        <v>0</v>
      </c>
      <c r="AJ194" s="662">
        <v>1</v>
      </c>
      <c r="AK194" s="662">
        <v>1</v>
      </c>
      <c r="AL194" s="658">
        <v>1.95E-2</v>
      </c>
      <c r="AM194" s="658">
        <v>0.2</v>
      </c>
      <c r="AN194" s="659" t="s">
        <v>64</v>
      </c>
      <c r="AO194" s="253" t="s">
        <v>4397</v>
      </c>
      <c r="AP194" s="944" t="s">
        <v>1746</v>
      </c>
      <c r="AQ194" s="663" t="s">
        <v>2177</v>
      </c>
      <c r="AR194" s="658">
        <v>0</v>
      </c>
      <c r="AS194" s="658">
        <v>0</v>
      </c>
      <c r="AT194" s="658" t="s">
        <v>1417</v>
      </c>
      <c r="AU194" s="658" t="s">
        <v>2751</v>
      </c>
      <c r="AX194"/>
      <c r="AY194"/>
      <c r="BA194"/>
      <c r="BB194"/>
      <c r="BC194"/>
      <c r="BD194"/>
      <c r="BE194"/>
      <c r="BF194"/>
      <c r="BG194"/>
      <c r="BH194"/>
      <c r="BI194"/>
      <c r="BJ194"/>
      <c r="BR194"/>
      <c r="BS194"/>
      <c r="BT194"/>
      <c r="BU194"/>
      <c r="BX194"/>
      <c r="BY194"/>
      <c r="CA194"/>
    </row>
    <row r="195" spans="2:79" ht="18.75">
      <c r="B195" s="252" t="s">
        <v>1483</v>
      </c>
      <c r="C195" s="251">
        <v>39773725000158</v>
      </c>
      <c r="D195" s="252" t="s">
        <v>14</v>
      </c>
      <c r="E195" s="252" t="s">
        <v>614</v>
      </c>
      <c r="F195" s="252" t="s">
        <v>689</v>
      </c>
      <c r="G195" s="253" t="s">
        <v>34</v>
      </c>
      <c r="H195" s="253" t="s">
        <v>865</v>
      </c>
      <c r="I195" s="253" t="s">
        <v>34</v>
      </c>
      <c r="J195" s="253" t="s">
        <v>608</v>
      </c>
      <c r="K195" s="253" t="s">
        <v>48</v>
      </c>
      <c r="L195" s="655"/>
      <c r="M195" s="655" t="s">
        <v>1414</v>
      </c>
      <c r="N195" s="253" t="s">
        <v>2764</v>
      </c>
      <c r="O195" s="253" t="s">
        <v>1321</v>
      </c>
      <c r="P195" s="656">
        <v>44308</v>
      </c>
      <c r="Q195" s="657">
        <v>25.187638079999999</v>
      </c>
      <c r="R195" s="657">
        <v>18.76116763890688</v>
      </c>
      <c r="S195" s="253">
        <v>23</v>
      </c>
      <c r="T195" s="658">
        <v>-9.4716606341248566E-3</v>
      </c>
      <c r="U195" s="659">
        <v>-0.4736213956637596</v>
      </c>
      <c r="V195" s="658">
        <v>4.8808716430390975E-2</v>
      </c>
      <c r="W195" s="659">
        <v>0.37852673026431705</v>
      </c>
      <c r="X195" s="658"/>
      <c r="Y195" s="659"/>
      <c r="Z195" s="658"/>
      <c r="AA195" s="659"/>
      <c r="AB195" s="658">
        <v>0.14398638613363707</v>
      </c>
      <c r="AC195" s="660">
        <v>-0.55654701231283121</v>
      </c>
      <c r="AD195" s="682">
        <v>39741188000164</v>
      </c>
      <c r="AE195" s="944" t="s">
        <v>1879</v>
      </c>
      <c r="AF195" s="661" t="s">
        <v>1767</v>
      </c>
      <c r="AG195" s="662" t="s">
        <v>59</v>
      </c>
      <c r="AH195" s="662" t="s">
        <v>1801</v>
      </c>
      <c r="AI195" s="662">
        <v>5000</v>
      </c>
      <c r="AJ195" s="662">
        <v>0</v>
      </c>
      <c r="AK195" s="662">
        <v>0</v>
      </c>
      <c r="AL195" s="658">
        <v>0</v>
      </c>
      <c r="AM195" s="658">
        <v>0</v>
      </c>
      <c r="AN195" s="659" t="s">
        <v>666</v>
      </c>
      <c r="AO195" s="253" t="s">
        <v>34</v>
      </c>
      <c r="AP195" s="944" t="s">
        <v>1731</v>
      </c>
      <c r="AQ195" s="663" t="s">
        <v>2120</v>
      </c>
      <c r="AR195" s="658">
        <v>0</v>
      </c>
      <c r="AS195" s="658">
        <v>0</v>
      </c>
      <c r="AT195" s="658" t="s">
        <v>1417</v>
      </c>
      <c r="AU195" s="658" t="s">
        <v>2751</v>
      </c>
      <c r="AX195"/>
      <c r="AY195"/>
      <c r="BA195"/>
      <c r="BB195"/>
      <c r="BC195"/>
      <c r="BD195"/>
      <c r="BE195"/>
      <c r="BF195"/>
      <c r="BG195"/>
      <c r="BH195"/>
      <c r="BI195"/>
      <c r="BJ195"/>
      <c r="BR195"/>
      <c r="BS195"/>
      <c r="BT195"/>
      <c r="BU195"/>
      <c r="BX195"/>
      <c r="BY195"/>
      <c r="CA195"/>
    </row>
    <row r="196" spans="2:79" ht="18.75">
      <c r="B196" s="252" t="s">
        <v>1484</v>
      </c>
      <c r="C196" s="251">
        <v>32892827000143</v>
      </c>
      <c r="D196" s="252" t="s">
        <v>14</v>
      </c>
      <c r="E196" s="252" t="s">
        <v>614</v>
      </c>
      <c r="F196" s="252" t="s">
        <v>689</v>
      </c>
      <c r="G196" s="253" t="s">
        <v>1417</v>
      </c>
      <c r="H196" s="253" t="s">
        <v>865</v>
      </c>
      <c r="I196" s="253" t="s">
        <v>34</v>
      </c>
      <c r="J196" s="253" t="s">
        <v>608</v>
      </c>
      <c r="K196" s="253" t="s">
        <v>48</v>
      </c>
      <c r="L196" s="655"/>
      <c r="M196" s="655" t="s">
        <v>34</v>
      </c>
      <c r="N196" s="253" t="s">
        <v>2766</v>
      </c>
      <c r="O196" s="253" t="s">
        <v>1321</v>
      </c>
      <c r="P196" s="656">
        <v>43645</v>
      </c>
      <c r="Q196" s="657">
        <v>296.62739405999997</v>
      </c>
      <c r="R196" s="657">
        <v>309.39102910291501</v>
      </c>
      <c r="S196" s="253">
        <v>33</v>
      </c>
      <c r="T196" s="658">
        <v>-2.1938777618975003E-2</v>
      </c>
      <c r="U196" s="659">
        <v>-1.09702774164225</v>
      </c>
      <c r="V196" s="658">
        <v>7.4582629039396275E-2</v>
      </c>
      <c r="W196" s="659">
        <v>0.5784114143845972</v>
      </c>
      <c r="X196" s="658">
        <v>0.27316506212495928</v>
      </c>
      <c r="Y196" s="659">
        <v>1.4147198288668914</v>
      </c>
      <c r="Z196" s="658">
        <v>0.42850953537497638</v>
      </c>
      <c r="AA196" s="659">
        <v>1.9348392558598964</v>
      </c>
      <c r="AB196" s="658">
        <v>0.14932211126127218</v>
      </c>
      <c r="AC196" s="660">
        <v>-0.36405378914228548</v>
      </c>
      <c r="AD196" s="682">
        <v>32071783000190</v>
      </c>
      <c r="AE196" s="944" t="s">
        <v>1879</v>
      </c>
      <c r="AF196" s="661" t="s">
        <v>1729</v>
      </c>
      <c r="AG196" s="662" t="s">
        <v>1433</v>
      </c>
      <c r="AH196" s="662" t="s">
        <v>1730</v>
      </c>
      <c r="AI196" s="662">
        <v>5000</v>
      </c>
      <c r="AJ196" s="662">
        <v>1000</v>
      </c>
      <c r="AK196" s="662">
        <v>3000</v>
      </c>
      <c r="AL196" s="658">
        <v>1.9E-2</v>
      </c>
      <c r="AM196" s="658">
        <v>0.2</v>
      </c>
      <c r="AN196" s="659" t="s">
        <v>34</v>
      </c>
      <c r="AO196" s="253" t="s">
        <v>34</v>
      </c>
      <c r="AP196" s="944" t="s">
        <v>1731</v>
      </c>
      <c r="AQ196" s="663" t="s">
        <v>659</v>
      </c>
      <c r="AR196" s="658">
        <v>0</v>
      </c>
      <c r="AS196" s="658">
        <v>0</v>
      </c>
      <c r="AT196" s="658" t="s">
        <v>1417</v>
      </c>
      <c r="AU196" s="658" t="s">
        <v>2751</v>
      </c>
      <c r="AX196"/>
      <c r="AY196"/>
      <c r="BA196"/>
      <c r="BB196"/>
      <c r="BC196"/>
      <c r="BD196"/>
      <c r="BE196"/>
      <c r="BF196"/>
      <c r="BG196"/>
      <c r="BH196"/>
      <c r="BI196"/>
      <c r="BJ196"/>
      <c r="BR196"/>
      <c r="BS196"/>
      <c r="BT196"/>
      <c r="BU196"/>
      <c r="BX196"/>
      <c r="BY196"/>
      <c r="CA196"/>
    </row>
    <row r="197" spans="2:79" ht="18.75">
      <c r="B197" s="252" t="s">
        <v>1485</v>
      </c>
      <c r="C197" s="251">
        <v>31594616000161</v>
      </c>
      <c r="D197" s="252" t="s">
        <v>14</v>
      </c>
      <c r="E197" s="252" t="s">
        <v>614</v>
      </c>
      <c r="F197" s="252" t="s">
        <v>689</v>
      </c>
      <c r="G197" s="253" t="s">
        <v>1417</v>
      </c>
      <c r="H197" s="253" t="s">
        <v>865</v>
      </c>
      <c r="I197" s="253" t="s">
        <v>34</v>
      </c>
      <c r="J197" s="253" t="s">
        <v>608</v>
      </c>
      <c r="K197" s="253" t="s">
        <v>48</v>
      </c>
      <c r="L197" s="655"/>
      <c r="M197" s="655" t="s">
        <v>34</v>
      </c>
      <c r="N197" s="253" t="s">
        <v>2767</v>
      </c>
      <c r="O197" s="253" t="s">
        <v>1321</v>
      </c>
      <c r="P197" s="656">
        <v>43464</v>
      </c>
      <c r="Q197" s="657">
        <v>246.69169141</v>
      </c>
      <c r="R197" s="657">
        <v>331.27881131871499</v>
      </c>
      <c r="S197" s="253">
        <v>32</v>
      </c>
      <c r="T197" s="658">
        <v>-2.194749368421367E-2</v>
      </c>
      <c r="U197" s="659">
        <v>-1.097463580207682</v>
      </c>
      <c r="V197" s="658">
        <v>7.3803114612421616E-2</v>
      </c>
      <c r="W197" s="659">
        <v>0.57236603829573007</v>
      </c>
      <c r="X197" s="658">
        <v>0.27264283754613139</v>
      </c>
      <c r="Y197" s="659">
        <v>1.4120152316499475</v>
      </c>
      <c r="Z197" s="658">
        <v>0.43452405936423655</v>
      </c>
      <c r="AA197" s="659">
        <v>1.9619964977857927</v>
      </c>
      <c r="AB197" s="658">
        <v>0.15007552581266112</v>
      </c>
      <c r="AC197" s="660">
        <v>-0.36742030078374566</v>
      </c>
      <c r="AD197" s="682">
        <v>32071783000190</v>
      </c>
      <c r="AE197" s="944" t="s">
        <v>1879</v>
      </c>
      <c r="AF197" s="661" t="s">
        <v>1733</v>
      </c>
      <c r="AG197" s="662" t="s">
        <v>59</v>
      </c>
      <c r="AH197" s="662" t="s">
        <v>1730</v>
      </c>
      <c r="AI197" s="662">
        <v>100000</v>
      </c>
      <c r="AJ197" s="662">
        <v>50000</v>
      </c>
      <c r="AK197" s="662">
        <v>50000</v>
      </c>
      <c r="AL197" s="658">
        <v>1.9E-2</v>
      </c>
      <c r="AM197" s="658">
        <v>0.2</v>
      </c>
      <c r="AN197" s="659" t="s">
        <v>2122</v>
      </c>
      <c r="AO197" s="253" t="s">
        <v>34</v>
      </c>
      <c r="AP197" s="944" t="s">
        <v>1731</v>
      </c>
      <c r="AQ197" s="663" t="s">
        <v>659</v>
      </c>
      <c r="AR197" s="658">
        <v>0</v>
      </c>
      <c r="AS197" s="658">
        <v>0</v>
      </c>
      <c r="AT197" s="658" t="s">
        <v>1417</v>
      </c>
      <c r="AU197" s="658" t="s">
        <v>2751</v>
      </c>
      <c r="AX197"/>
      <c r="AY197"/>
      <c r="BA197"/>
      <c r="BB197"/>
      <c r="BC197"/>
      <c r="BD197"/>
      <c r="BE197"/>
      <c r="BF197"/>
      <c r="BG197"/>
      <c r="BH197"/>
      <c r="BI197"/>
      <c r="BJ197"/>
      <c r="BR197"/>
      <c r="BS197"/>
      <c r="BT197"/>
      <c r="BU197"/>
      <c r="BX197"/>
      <c r="BY197"/>
      <c r="CA197"/>
    </row>
    <row r="198" spans="2:79" ht="18.75">
      <c r="B198" s="252" t="s">
        <v>1486</v>
      </c>
      <c r="C198" s="251">
        <v>18422272000145</v>
      </c>
      <c r="D198" s="252" t="s">
        <v>13</v>
      </c>
      <c r="E198" s="252" t="s">
        <v>615</v>
      </c>
      <c r="F198" s="252" t="s">
        <v>619</v>
      </c>
      <c r="G198" s="253" t="s">
        <v>34</v>
      </c>
      <c r="H198" s="253" t="s">
        <v>1337</v>
      </c>
      <c r="I198" s="253" t="s">
        <v>34</v>
      </c>
      <c r="J198" s="253" t="s">
        <v>611</v>
      </c>
      <c r="K198" s="253" t="s">
        <v>48</v>
      </c>
      <c r="L198" s="655"/>
      <c r="M198" s="655" t="s">
        <v>34</v>
      </c>
      <c r="N198" s="253" t="s">
        <v>2768</v>
      </c>
      <c r="O198" s="253" t="s">
        <v>1321</v>
      </c>
      <c r="P198" s="656">
        <v>41537</v>
      </c>
      <c r="Q198" s="657">
        <v>2062.404145</v>
      </c>
      <c r="R198" s="657">
        <v>1842.8281926305219</v>
      </c>
      <c r="S198" s="253">
        <v>30</v>
      </c>
      <c r="T198" s="658">
        <v>4.6662810844928515E-3</v>
      </c>
      <c r="U198" s="659">
        <v>0.23333295450160582</v>
      </c>
      <c r="V198" s="658">
        <v>0.21168943157882358</v>
      </c>
      <c r="W198" s="659">
        <v>1.6417171814243934</v>
      </c>
      <c r="X198" s="658">
        <v>0.35138978817870825</v>
      </c>
      <c r="Y198" s="659">
        <v>1.8198451043872836</v>
      </c>
      <c r="Z198" s="658">
        <v>0.39504901367335665</v>
      </c>
      <c r="AA198" s="659">
        <v>1.7837557313049688</v>
      </c>
      <c r="AB198" s="658">
        <v>3.934011445073346E-2</v>
      </c>
      <c r="AC198" s="660">
        <v>2.1033370971927234</v>
      </c>
      <c r="AD198" s="682">
        <v>21470947000136</v>
      </c>
      <c r="AE198" s="944" t="s">
        <v>1879</v>
      </c>
      <c r="AF198" s="661" t="s">
        <v>1733</v>
      </c>
      <c r="AG198" s="662" t="s">
        <v>59</v>
      </c>
      <c r="AH198" s="662" t="s">
        <v>1734</v>
      </c>
      <c r="AI198" s="662">
        <v>50000</v>
      </c>
      <c r="AJ198" s="662">
        <v>50000</v>
      </c>
      <c r="AK198" s="662">
        <v>50000</v>
      </c>
      <c r="AL198" s="658">
        <v>2.5000000000000001E-2</v>
      </c>
      <c r="AM198" s="658">
        <v>0.2</v>
      </c>
      <c r="AN198" s="659" t="s">
        <v>64</v>
      </c>
      <c r="AO198" s="253" t="s">
        <v>34</v>
      </c>
      <c r="AP198" s="944" t="s">
        <v>1746</v>
      </c>
      <c r="AQ198" s="663" t="s">
        <v>664</v>
      </c>
      <c r="AR198" s="658">
        <v>0</v>
      </c>
      <c r="AS198" s="658">
        <v>0</v>
      </c>
      <c r="AT198" s="658" t="s">
        <v>1417</v>
      </c>
      <c r="AU198" s="658" t="s">
        <v>2751</v>
      </c>
      <c r="AX198"/>
      <c r="AY198"/>
      <c r="BA198"/>
      <c r="BB198"/>
      <c r="BC198"/>
      <c r="BD198"/>
      <c r="BE198"/>
      <c r="BF198"/>
      <c r="BG198"/>
      <c r="BH198"/>
      <c r="BI198"/>
      <c r="BJ198"/>
      <c r="BR198"/>
      <c r="BS198"/>
      <c r="BT198"/>
      <c r="BU198"/>
      <c r="BX198"/>
      <c r="BY198"/>
      <c r="CA198"/>
    </row>
    <row r="199" spans="2:79" ht="18.75">
      <c r="B199" s="252" t="s">
        <v>721</v>
      </c>
      <c r="C199" s="251">
        <v>29177012000178</v>
      </c>
      <c r="D199" s="252" t="s">
        <v>13</v>
      </c>
      <c r="E199" s="252" t="s">
        <v>615</v>
      </c>
      <c r="F199" s="252" t="s">
        <v>619</v>
      </c>
      <c r="G199" s="253" t="s">
        <v>34</v>
      </c>
      <c r="H199" s="253" t="s">
        <v>1337</v>
      </c>
      <c r="I199" s="253" t="s">
        <v>34</v>
      </c>
      <c r="J199" s="253" t="s">
        <v>611</v>
      </c>
      <c r="K199" s="253" t="s">
        <v>48</v>
      </c>
      <c r="L199" s="655"/>
      <c r="M199" s="655" t="s">
        <v>34</v>
      </c>
      <c r="N199" s="253" t="s">
        <v>2769</v>
      </c>
      <c r="O199" s="253" t="s">
        <v>1321</v>
      </c>
      <c r="P199" s="656">
        <v>43237</v>
      </c>
      <c r="Q199" s="657">
        <v>509.26483373000002</v>
      </c>
      <c r="R199" s="657">
        <v>263.78519103971894</v>
      </c>
      <c r="S199" s="253">
        <v>30</v>
      </c>
      <c r="T199" s="658">
        <v>4.7916447805818052E-3</v>
      </c>
      <c r="U199" s="659">
        <v>0.23960164707841747</v>
      </c>
      <c r="V199" s="658">
        <v>0.21103426852142171</v>
      </c>
      <c r="W199" s="659">
        <v>1.6366361887647731</v>
      </c>
      <c r="X199" s="658">
        <v>0.35062855127208548</v>
      </c>
      <c r="Y199" s="659">
        <v>1.8159026640990308</v>
      </c>
      <c r="Z199" s="658">
        <v>0.39368706359697847</v>
      </c>
      <c r="AA199" s="659">
        <v>1.7776061494292892</v>
      </c>
      <c r="AB199" s="658">
        <v>3.9308773355078062E-2</v>
      </c>
      <c r="AC199" s="660">
        <v>2.0883470041943855</v>
      </c>
      <c r="AD199" s="682">
        <v>23565803000199</v>
      </c>
      <c r="AE199" s="944" t="s">
        <v>1797</v>
      </c>
      <c r="AF199" s="661" t="s">
        <v>1745</v>
      </c>
      <c r="AG199" s="662" t="s">
        <v>1432</v>
      </c>
      <c r="AH199" s="662" t="s">
        <v>1734</v>
      </c>
      <c r="AI199" s="662">
        <v>10000</v>
      </c>
      <c r="AJ199" s="662">
        <v>10000</v>
      </c>
      <c r="AK199" s="662">
        <v>10000</v>
      </c>
      <c r="AL199" s="658">
        <v>0</v>
      </c>
      <c r="AM199" s="658">
        <v>0</v>
      </c>
      <c r="AN199" s="659" t="s">
        <v>34</v>
      </c>
      <c r="AO199" s="253" t="s">
        <v>34</v>
      </c>
      <c r="AP199" s="944" t="s">
        <v>1746</v>
      </c>
      <c r="AQ199" s="663" t="s">
        <v>664</v>
      </c>
      <c r="AR199" s="658">
        <v>3.8E-3</v>
      </c>
      <c r="AS199" s="658">
        <v>3.8E-3</v>
      </c>
      <c r="AT199" s="658" t="s">
        <v>1417</v>
      </c>
      <c r="AU199" s="658" t="s">
        <v>2751</v>
      </c>
      <c r="AX199"/>
      <c r="AY199"/>
      <c r="BA199"/>
      <c r="BB199"/>
      <c r="BC199"/>
      <c r="BD199"/>
      <c r="BE199"/>
      <c r="BF199"/>
      <c r="BG199"/>
      <c r="BH199"/>
      <c r="BI199"/>
      <c r="BJ199"/>
      <c r="BR199"/>
      <c r="BS199"/>
      <c r="BT199"/>
      <c r="BU199"/>
      <c r="BX199"/>
      <c r="BY199"/>
      <c r="CA199"/>
    </row>
    <row r="200" spans="2:79" ht="18.75">
      <c r="B200" s="252" t="s">
        <v>1487</v>
      </c>
      <c r="C200" s="251">
        <v>34581178000195</v>
      </c>
      <c r="D200" s="252" t="s">
        <v>14</v>
      </c>
      <c r="E200" s="252" t="s">
        <v>607</v>
      </c>
      <c r="F200" s="252" t="s">
        <v>1317</v>
      </c>
      <c r="G200" s="253" t="s">
        <v>1417</v>
      </c>
      <c r="H200" s="253" t="s">
        <v>34</v>
      </c>
      <c r="I200" s="253" t="s">
        <v>34</v>
      </c>
      <c r="J200" s="253" t="s">
        <v>608</v>
      </c>
      <c r="K200" s="253" t="s">
        <v>48</v>
      </c>
      <c r="L200" s="655"/>
      <c r="M200" s="655" t="s">
        <v>34</v>
      </c>
      <c r="N200" s="253" t="s">
        <v>2772</v>
      </c>
      <c r="O200" s="253" t="s">
        <v>1321</v>
      </c>
      <c r="P200" s="656">
        <v>43727</v>
      </c>
      <c r="Q200" s="657">
        <v>326.87675815</v>
      </c>
      <c r="R200" s="657">
        <v>460.57149795309249</v>
      </c>
      <c r="S200" s="253">
        <v>62</v>
      </c>
      <c r="T200" s="658">
        <v>9.8418694656003947E-3</v>
      </c>
      <c r="U200" s="659">
        <v>0.49213333672917076</v>
      </c>
      <c r="V200" s="658">
        <v>-0.15925781549825579</v>
      </c>
      <c r="W200" s="659">
        <v>-1.2350937410035421</v>
      </c>
      <c r="X200" s="658">
        <v>-0.37666369267918975</v>
      </c>
      <c r="Y200" s="659">
        <v>-1.9507384681709838</v>
      </c>
      <c r="Z200" s="658">
        <v>-7.5665673533917621E-2</v>
      </c>
      <c r="AA200" s="659">
        <v>-0.34165147654507105</v>
      </c>
      <c r="AB200" s="658">
        <v>0.26880516401736587</v>
      </c>
      <c r="AC200" s="660">
        <v>-1.0721584386169947</v>
      </c>
      <c r="AD200" s="682">
        <v>34172637000187</v>
      </c>
      <c r="AE200" s="944" t="s">
        <v>1986</v>
      </c>
      <c r="AF200" s="661" t="s">
        <v>1745</v>
      </c>
      <c r="AG200" s="662" t="s">
        <v>1432</v>
      </c>
      <c r="AH200" s="662" t="s">
        <v>1730</v>
      </c>
      <c r="AI200" s="662">
        <v>200000</v>
      </c>
      <c r="AJ200" s="662">
        <v>10000</v>
      </c>
      <c r="AK200" s="662">
        <v>50000</v>
      </c>
      <c r="AL200" s="658">
        <v>1.8500000000000003E-2</v>
      </c>
      <c r="AM200" s="658">
        <v>0.2</v>
      </c>
      <c r="AN200" s="659" t="s">
        <v>34</v>
      </c>
      <c r="AO200" s="253" t="s">
        <v>34</v>
      </c>
      <c r="AP200" s="944" t="s">
        <v>1731</v>
      </c>
      <c r="AQ200" s="663" t="s">
        <v>659</v>
      </c>
      <c r="AR200" s="658">
        <v>0</v>
      </c>
      <c r="AS200" s="658">
        <v>0</v>
      </c>
      <c r="AT200" s="658" t="s">
        <v>1417</v>
      </c>
      <c r="AU200" s="658" t="s">
        <v>2751</v>
      </c>
      <c r="AX200"/>
      <c r="AY200"/>
      <c r="BA200"/>
      <c r="BB200"/>
      <c r="BC200"/>
      <c r="BD200"/>
      <c r="BE200"/>
      <c r="BF200"/>
      <c r="BG200"/>
      <c r="BH200"/>
      <c r="BI200"/>
      <c r="BJ200"/>
      <c r="BR200"/>
      <c r="BS200"/>
      <c r="BT200"/>
      <c r="BU200"/>
      <c r="BX200"/>
      <c r="BY200"/>
      <c r="CA200"/>
    </row>
    <row r="201" spans="2:79" ht="18.75">
      <c r="B201" s="252" t="s">
        <v>1488</v>
      </c>
      <c r="C201" s="251">
        <v>38065123000183</v>
      </c>
      <c r="D201" s="252" t="s">
        <v>14</v>
      </c>
      <c r="E201" s="252" t="s">
        <v>607</v>
      </c>
      <c r="F201" s="252" t="s">
        <v>1317</v>
      </c>
      <c r="G201" s="253" t="s">
        <v>1417</v>
      </c>
      <c r="H201" s="253" t="s">
        <v>34</v>
      </c>
      <c r="I201" s="253" t="s">
        <v>34</v>
      </c>
      <c r="J201" s="253" t="s">
        <v>608</v>
      </c>
      <c r="K201" s="253" t="s">
        <v>48</v>
      </c>
      <c r="L201" s="655"/>
      <c r="M201" s="655" t="s">
        <v>34</v>
      </c>
      <c r="N201" s="253" t="s">
        <v>2773</v>
      </c>
      <c r="O201" s="253" t="s">
        <v>1321</v>
      </c>
      <c r="P201" s="656">
        <v>44086</v>
      </c>
      <c r="Q201" s="657">
        <v>105.31397348</v>
      </c>
      <c r="R201" s="657">
        <v>111.76378151439516</v>
      </c>
      <c r="S201" s="253">
        <v>62</v>
      </c>
      <c r="T201" s="658">
        <v>-1.5430135752304563E-3</v>
      </c>
      <c r="U201" s="659">
        <v>-7.7156928574468472E-2</v>
      </c>
      <c r="V201" s="658">
        <v>-0.16694247656877925</v>
      </c>
      <c r="W201" s="659">
        <v>-1.2946906704241961</v>
      </c>
      <c r="X201" s="658">
        <v>-0.39097835155490535</v>
      </c>
      <c r="Y201" s="659">
        <v>-2.024873980221483</v>
      </c>
      <c r="Z201" s="658"/>
      <c r="AA201" s="659"/>
      <c r="AB201" s="658">
        <v>0.26583394483649231</v>
      </c>
      <c r="AC201" s="660">
        <v>-1.1130496754188401</v>
      </c>
      <c r="AD201" s="682">
        <v>38173724000100</v>
      </c>
      <c r="AE201" s="944" t="s">
        <v>1986</v>
      </c>
      <c r="AF201" s="661" t="s">
        <v>1745</v>
      </c>
      <c r="AG201" s="662" t="s">
        <v>1432</v>
      </c>
      <c r="AH201" s="662" t="s">
        <v>1730</v>
      </c>
      <c r="AI201" s="662">
        <v>200000</v>
      </c>
      <c r="AJ201" s="662">
        <v>10000</v>
      </c>
      <c r="AK201" s="662">
        <v>50000</v>
      </c>
      <c r="AL201" s="658">
        <v>0.03</v>
      </c>
      <c r="AM201" s="658">
        <v>0</v>
      </c>
      <c r="AN201" s="659" t="s">
        <v>34</v>
      </c>
      <c r="AO201" s="253" t="s">
        <v>34</v>
      </c>
      <c r="AP201" s="944" t="s">
        <v>1731</v>
      </c>
      <c r="AQ201" s="663" t="s">
        <v>659</v>
      </c>
      <c r="AR201" s="658">
        <v>0</v>
      </c>
      <c r="AS201" s="658">
        <v>0</v>
      </c>
      <c r="AT201" s="658" t="s">
        <v>1417</v>
      </c>
      <c r="AU201" s="658" t="s">
        <v>2751</v>
      </c>
      <c r="AX201"/>
      <c r="AY201"/>
      <c r="BA201"/>
      <c r="BB201"/>
      <c r="BC201"/>
      <c r="BD201"/>
      <c r="BE201"/>
      <c r="BF201"/>
      <c r="BG201"/>
      <c r="BH201"/>
      <c r="BI201"/>
      <c r="BJ201"/>
      <c r="BR201"/>
      <c r="BS201"/>
      <c r="BT201"/>
      <c r="BU201"/>
      <c r="BX201"/>
      <c r="BY201"/>
      <c r="CA201"/>
    </row>
    <row r="202" spans="2:79" ht="18.75">
      <c r="B202" s="252" t="s">
        <v>68</v>
      </c>
      <c r="C202" s="251">
        <v>18214066000140</v>
      </c>
      <c r="D202" s="252" t="s">
        <v>14</v>
      </c>
      <c r="E202" s="252" t="s">
        <v>607</v>
      </c>
      <c r="F202" s="252" t="s">
        <v>1417</v>
      </c>
      <c r="G202" s="253" t="s">
        <v>1417</v>
      </c>
      <c r="H202" s="253" t="s">
        <v>34</v>
      </c>
      <c r="I202" s="253" t="s">
        <v>34</v>
      </c>
      <c r="J202" s="253" t="s">
        <v>608</v>
      </c>
      <c r="K202" s="253" t="s">
        <v>48</v>
      </c>
      <c r="L202" s="655"/>
      <c r="M202" s="655" t="s">
        <v>1414</v>
      </c>
      <c r="N202" s="253" t="s">
        <v>2774</v>
      </c>
      <c r="O202" s="253" t="s">
        <v>1321</v>
      </c>
      <c r="P202" s="656">
        <v>42677</v>
      </c>
      <c r="Q202" s="657">
        <v>18.254107999999999</v>
      </c>
      <c r="R202" s="657">
        <v>24.992241085365841</v>
      </c>
      <c r="S202" s="253">
        <v>32</v>
      </c>
      <c r="T202" s="658">
        <v>-3.3370593317325836E-2</v>
      </c>
      <c r="U202" s="659">
        <v>-1.6686648299176434</v>
      </c>
      <c r="V202" s="658">
        <v>-0.17619760801122619</v>
      </c>
      <c r="W202" s="659">
        <v>-1.3664670845421991</v>
      </c>
      <c r="X202" s="658">
        <v>-0.13567985713685615</v>
      </c>
      <c r="Y202" s="659">
        <v>-0.7026849728737653</v>
      </c>
      <c r="Z202" s="658">
        <v>-0.33349080232789963</v>
      </c>
      <c r="AA202" s="659">
        <v>-1.5058033545218368</v>
      </c>
      <c r="AB202" s="658">
        <v>0.18185396246141927</v>
      </c>
      <c r="AC202" s="660">
        <v>-1.6779481366690099</v>
      </c>
      <c r="AD202" s="682">
        <v>0</v>
      </c>
      <c r="AE202" s="944" t="s">
        <v>1908</v>
      </c>
      <c r="AF202" s="661" t="s">
        <v>1745</v>
      </c>
      <c r="AG202" s="662" t="s">
        <v>1432</v>
      </c>
      <c r="AH202" s="662" t="s">
        <v>1734</v>
      </c>
      <c r="AI202" s="662">
        <v>1000</v>
      </c>
      <c r="AJ202" s="662">
        <v>1000</v>
      </c>
      <c r="AK202" s="662">
        <v>1000</v>
      </c>
      <c r="AL202" s="658">
        <v>0.02</v>
      </c>
      <c r="AM202" s="658">
        <v>0.2</v>
      </c>
      <c r="AN202" s="659" t="s">
        <v>34</v>
      </c>
      <c r="AO202" s="253" t="s">
        <v>34</v>
      </c>
      <c r="AP202" s="944" t="s">
        <v>1731</v>
      </c>
      <c r="AQ202" s="663" t="s">
        <v>659</v>
      </c>
      <c r="AR202" s="658">
        <v>0</v>
      </c>
      <c r="AS202" s="658">
        <v>0</v>
      </c>
      <c r="AT202" s="658" t="s">
        <v>1417</v>
      </c>
      <c r="AU202" s="658" t="s">
        <v>2751</v>
      </c>
      <c r="AX202"/>
      <c r="AY202"/>
      <c r="BA202"/>
      <c r="BB202"/>
      <c r="BC202"/>
      <c r="BD202"/>
      <c r="BE202"/>
      <c r="BF202"/>
      <c r="BG202"/>
      <c r="BH202"/>
      <c r="BI202"/>
      <c r="BJ202"/>
      <c r="BR202"/>
      <c r="BS202"/>
      <c r="BT202"/>
      <c r="BU202"/>
      <c r="BX202"/>
      <c r="BY202"/>
      <c r="CA202"/>
    </row>
    <row r="203" spans="2:79" ht="18.75">
      <c r="B203" s="252" t="s">
        <v>69</v>
      </c>
      <c r="C203" s="251">
        <v>11741292000130</v>
      </c>
      <c r="D203" s="252" t="s">
        <v>13</v>
      </c>
      <c r="E203" s="252" t="s">
        <v>615</v>
      </c>
      <c r="F203" s="252" t="s">
        <v>619</v>
      </c>
      <c r="G203" s="253" t="s">
        <v>34</v>
      </c>
      <c r="H203" s="253" t="s">
        <v>865</v>
      </c>
      <c r="I203" s="253" t="s">
        <v>34</v>
      </c>
      <c r="J203" s="253" t="s">
        <v>1417</v>
      </c>
      <c r="K203" s="253" t="s">
        <v>48</v>
      </c>
      <c r="L203" s="655"/>
      <c r="M203" s="655" t="s">
        <v>1414</v>
      </c>
      <c r="N203" s="253" t="s">
        <v>2775</v>
      </c>
      <c r="O203" s="253" t="s">
        <v>1321</v>
      </c>
      <c r="P203" s="656">
        <v>40438</v>
      </c>
      <c r="Q203" s="657">
        <v>8.2445409999999999</v>
      </c>
      <c r="R203" s="657">
        <v>16.643102582329313</v>
      </c>
      <c r="S203" s="253">
        <v>6</v>
      </c>
      <c r="T203" s="658">
        <v>-3.3431555643505084E-2</v>
      </c>
      <c r="U203" s="659">
        <v>-1.6717131931480467</v>
      </c>
      <c r="V203" s="658">
        <v>-3.6367148194046406E-3</v>
      </c>
      <c r="W203" s="659">
        <v>-2.8203851077630106E-2</v>
      </c>
      <c r="X203" s="658">
        <v>5.1761107034435039E-2</v>
      </c>
      <c r="Y203" s="659">
        <v>0.26807038907566777</v>
      </c>
      <c r="Z203" s="658">
        <v>-3.5853429249258606E-2</v>
      </c>
      <c r="AA203" s="659">
        <v>-0.16188816500420866</v>
      </c>
      <c r="AB203" s="658">
        <v>5.8030334678379245E-2</v>
      </c>
      <c r="AC203" s="660">
        <v>-2.2846779189021196</v>
      </c>
      <c r="AD203" s="682">
        <v>0</v>
      </c>
      <c r="AE203" s="944" t="s">
        <v>1908</v>
      </c>
      <c r="AF203" s="661" t="s">
        <v>1745</v>
      </c>
      <c r="AG203" s="662" t="s">
        <v>1432</v>
      </c>
      <c r="AH203" s="662" t="s">
        <v>1734</v>
      </c>
      <c r="AI203" s="662">
        <v>1000</v>
      </c>
      <c r="AJ203" s="662">
        <v>1000</v>
      </c>
      <c r="AK203" s="662">
        <v>1000</v>
      </c>
      <c r="AL203" s="658">
        <v>1.4000000000000002E-3</v>
      </c>
      <c r="AM203" s="658">
        <v>0</v>
      </c>
      <c r="AN203" s="659" t="s">
        <v>34</v>
      </c>
      <c r="AO203" s="253" t="s">
        <v>34</v>
      </c>
      <c r="AP203" s="944" t="s">
        <v>1746</v>
      </c>
      <c r="AQ203" s="663" t="s">
        <v>668</v>
      </c>
      <c r="AR203" s="658">
        <v>0</v>
      </c>
      <c r="AS203" s="658">
        <v>0</v>
      </c>
      <c r="AT203" s="658" t="s">
        <v>1417</v>
      </c>
      <c r="AU203" s="658" t="s">
        <v>2751</v>
      </c>
      <c r="AX203"/>
      <c r="AY203"/>
      <c r="BA203"/>
      <c r="BB203"/>
      <c r="BC203"/>
      <c r="BD203"/>
      <c r="BE203"/>
      <c r="BF203"/>
      <c r="BG203"/>
      <c r="BH203"/>
      <c r="BI203"/>
      <c r="BJ203"/>
      <c r="BR203"/>
      <c r="BS203"/>
      <c r="BT203"/>
      <c r="BU203"/>
      <c r="BX203"/>
      <c r="BY203"/>
      <c r="CA203"/>
    </row>
    <row r="204" spans="2:79" ht="18.75">
      <c r="B204" s="252" t="s">
        <v>70</v>
      </c>
      <c r="C204" s="251">
        <v>21377860000119</v>
      </c>
      <c r="D204" s="252" t="s">
        <v>13</v>
      </c>
      <c r="E204" s="252" t="s">
        <v>615</v>
      </c>
      <c r="F204" s="252" t="s">
        <v>619</v>
      </c>
      <c r="G204" s="253" t="s">
        <v>34</v>
      </c>
      <c r="H204" s="253" t="s">
        <v>1338</v>
      </c>
      <c r="I204" s="253" t="s">
        <v>34</v>
      </c>
      <c r="J204" s="253" t="s">
        <v>1417</v>
      </c>
      <c r="K204" s="253" t="s">
        <v>48</v>
      </c>
      <c r="L204" s="655"/>
      <c r="M204" s="655" t="s">
        <v>1414</v>
      </c>
      <c r="N204" s="253" t="s">
        <v>2776</v>
      </c>
      <c r="O204" s="253" t="s">
        <v>1321</v>
      </c>
      <c r="P204" s="656">
        <v>41979</v>
      </c>
      <c r="Q204" s="657">
        <v>15.936859</v>
      </c>
      <c r="R204" s="657">
        <v>23.736303277108437</v>
      </c>
      <c r="S204" s="253">
        <v>31</v>
      </c>
      <c r="T204" s="658">
        <v>-4.6904425859998877E-2</v>
      </c>
      <c r="U204" s="659">
        <v>-2.3454112744055866</v>
      </c>
      <c r="V204" s="658">
        <v>-0.19217295768545395</v>
      </c>
      <c r="W204" s="659">
        <v>-1.490360874817112</v>
      </c>
      <c r="X204" s="658">
        <v>-0.18789645430297586</v>
      </c>
      <c r="Y204" s="659">
        <v>-0.97311434196003443</v>
      </c>
      <c r="Z204" s="658">
        <v>-0.59957258855335005</v>
      </c>
      <c r="AA204" s="659">
        <v>-2.7072363280210463</v>
      </c>
      <c r="AB204" s="658">
        <v>0.17716553765763104</v>
      </c>
      <c r="AC204" s="660">
        <v>-1.8125244411404344</v>
      </c>
      <c r="AD204" s="682">
        <v>28971394000144</v>
      </c>
      <c r="AE204" s="944" t="s">
        <v>1908</v>
      </c>
      <c r="AF204" s="661" t="s">
        <v>1745</v>
      </c>
      <c r="AG204" s="662" t="s">
        <v>1432</v>
      </c>
      <c r="AH204" s="662" t="s">
        <v>1801</v>
      </c>
      <c r="AI204" s="662">
        <v>5000</v>
      </c>
      <c r="AJ204" s="662">
        <v>1000</v>
      </c>
      <c r="AK204" s="662">
        <v>1000</v>
      </c>
      <c r="AL204" s="658">
        <v>0.02</v>
      </c>
      <c r="AM204" s="658">
        <v>0.2</v>
      </c>
      <c r="AN204" s="659" t="s">
        <v>64</v>
      </c>
      <c r="AO204" s="253" t="s">
        <v>34</v>
      </c>
      <c r="AP204" s="944" t="s">
        <v>1746</v>
      </c>
      <c r="AQ204" s="663" t="s">
        <v>668</v>
      </c>
      <c r="AR204" s="658">
        <v>0</v>
      </c>
      <c r="AS204" s="658">
        <v>0</v>
      </c>
      <c r="AT204" s="658" t="s">
        <v>1417</v>
      </c>
      <c r="AU204" s="658" t="s">
        <v>2751</v>
      </c>
      <c r="AX204"/>
      <c r="AY204"/>
      <c r="BA204"/>
      <c r="BB204"/>
      <c r="BC204"/>
      <c r="BD204"/>
      <c r="BE204"/>
      <c r="BF204"/>
      <c r="BG204"/>
      <c r="BH204"/>
      <c r="BI204"/>
      <c r="BJ204"/>
      <c r="BR204"/>
      <c r="BS204"/>
      <c r="BT204"/>
      <c r="BU204"/>
      <c r="BX204"/>
      <c r="BY204"/>
      <c r="CA204"/>
    </row>
    <row r="205" spans="2:79" ht="18.75">
      <c r="B205" s="252" t="s">
        <v>722</v>
      </c>
      <c r="C205" s="251">
        <v>36318507000135</v>
      </c>
      <c r="D205" s="252" t="s">
        <v>14</v>
      </c>
      <c r="E205" s="252" t="s">
        <v>607</v>
      </c>
      <c r="F205" s="252" t="s">
        <v>672</v>
      </c>
      <c r="G205" s="253" t="s">
        <v>1417</v>
      </c>
      <c r="H205" s="253" t="s">
        <v>34</v>
      </c>
      <c r="I205" s="253" t="s">
        <v>34</v>
      </c>
      <c r="J205" s="253" t="s">
        <v>612</v>
      </c>
      <c r="K205" s="253" t="s">
        <v>723</v>
      </c>
      <c r="L205" s="655"/>
      <c r="M205" s="655" t="s">
        <v>1414</v>
      </c>
      <c r="N205" s="253" t="s">
        <v>2777</v>
      </c>
      <c r="O205" s="253" t="s">
        <v>1321</v>
      </c>
      <c r="P205" s="656">
        <v>44202</v>
      </c>
      <c r="Q205" s="657">
        <v>9.1165297499999998</v>
      </c>
      <c r="R205" s="657">
        <v>10.775011339308939</v>
      </c>
      <c r="S205" s="253">
        <v>4</v>
      </c>
      <c r="T205" s="658">
        <v>2.9212622816899181E-2</v>
      </c>
      <c r="U205" s="659">
        <v>1.4607494634774933</v>
      </c>
      <c r="V205" s="658">
        <v>-0.19384512604955573</v>
      </c>
      <c r="W205" s="659">
        <v>-1.5033290589777748</v>
      </c>
      <c r="X205" s="658">
        <v>-0.3017455072606956</v>
      </c>
      <c r="Y205" s="659">
        <v>-1.5627377420540187</v>
      </c>
      <c r="Z205" s="658"/>
      <c r="AA205" s="659"/>
      <c r="AB205" s="658">
        <v>0.25593019546043894</v>
      </c>
      <c r="AC205" s="660">
        <v>-1.2612385768534295</v>
      </c>
      <c r="AD205" s="682">
        <v>38032334000110</v>
      </c>
      <c r="AE205" s="944" t="s">
        <v>1940</v>
      </c>
      <c r="AF205" s="661" t="s">
        <v>1729</v>
      </c>
      <c r="AG205" s="662" t="s">
        <v>1433</v>
      </c>
      <c r="AH205" s="662" t="s">
        <v>1730</v>
      </c>
      <c r="AI205" s="662">
        <v>0</v>
      </c>
      <c r="AJ205" s="662">
        <v>0</v>
      </c>
      <c r="AK205" s="662">
        <v>0</v>
      </c>
      <c r="AL205" s="658">
        <v>5.5000000000000005E-3</v>
      </c>
      <c r="AM205" s="658">
        <v>0</v>
      </c>
      <c r="AN205" s="659" t="s">
        <v>34</v>
      </c>
      <c r="AO205" s="253" t="s">
        <v>34</v>
      </c>
      <c r="AP205" s="944" t="s">
        <v>1731</v>
      </c>
      <c r="AQ205" s="663" t="s">
        <v>687</v>
      </c>
      <c r="AR205" s="658">
        <v>3.6666666666666701E-3</v>
      </c>
      <c r="AS205" s="658">
        <v>3.6666666666666701E-3</v>
      </c>
      <c r="AT205" s="658" t="s">
        <v>1417</v>
      </c>
      <c r="AU205" s="658" t="s">
        <v>2751</v>
      </c>
      <c r="AX205"/>
      <c r="AY205"/>
      <c r="BA205"/>
      <c r="BB205"/>
      <c r="BC205"/>
      <c r="BD205"/>
      <c r="BE205"/>
      <c r="BF205"/>
      <c r="BG205"/>
      <c r="BH205"/>
      <c r="BI205"/>
      <c r="BJ205"/>
      <c r="BR205"/>
      <c r="BS205"/>
      <c r="BT205"/>
      <c r="BU205"/>
      <c r="BX205"/>
      <c r="BY205"/>
      <c r="CA205"/>
    </row>
    <row r="206" spans="2:79" ht="18.75">
      <c r="B206" s="252" t="s">
        <v>724</v>
      </c>
      <c r="C206" s="251">
        <v>25306476000186</v>
      </c>
      <c r="D206" s="252" t="s">
        <v>14</v>
      </c>
      <c r="E206" s="252" t="s">
        <v>15</v>
      </c>
      <c r="F206" s="252" t="s">
        <v>610</v>
      </c>
      <c r="G206" s="253" t="s">
        <v>1417</v>
      </c>
      <c r="H206" s="253" t="s">
        <v>34</v>
      </c>
      <c r="I206" s="253" t="s">
        <v>34</v>
      </c>
      <c r="J206" s="253" t="s">
        <v>611</v>
      </c>
      <c r="K206" s="253" t="s">
        <v>48</v>
      </c>
      <c r="L206" s="655"/>
      <c r="M206" s="655" t="s">
        <v>1414</v>
      </c>
      <c r="N206" s="253" t="s">
        <v>2778</v>
      </c>
      <c r="O206" s="253" t="s">
        <v>1321</v>
      </c>
      <c r="P206" s="656">
        <v>42652</v>
      </c>
      <c r="Q206" s="657">
        <v>6.9412459999999996</v>
      </c>
      <c r="R206" s="657">
        <v>14.098337323886637</v>
      </c>
      <c r="S206" s="253">
        <v>6</v>
      </c>
      <c r="T206" s="658">
        <v>-2.1551293729736076E-2</v>
      </c>
      <c r="U206" s="659">
        <v>-1.077651977717879</v>
      </c>
      <c r="V206" s="658">
        <v>-5.5446618754146915E-2</v>
      </c>
      <c r="W206" s="659">
        <v>-0.43000572103041618</v>
      </c>
      <c r="X206" s="658">
        <v>-1.8503073454228081E-2</v>
      </c>
      <c r="Y206" s="659">
        <v>-9.5827280059345821E-2</v>
      </c>
      <c r="Z206" s="658">
        <v>0.25697190556037675</v>
      </c>
      <c r="AA206" s="659">
        <v>1.1602993387212588</v>
      </c>
      <c r="AB206" s="658">
        <v>0.19027834093738505</v>
      </c>
      <c r="AC206" s="660">
        <v>-0.96905684216372645</v>
      </c>
      <c r="AD206" s="682">
        <v>23966345000108</v>
      </c>
      <c r="AE206" s="944" t="s">
        <v>1940</v>
      </c>
      <c r="AF206" s="661" t="s">
        <v>1729</v>
      </c>
      <c r="AG206" s="662" t="s">
        <v>1433</v>
      </c>
      <c r="AH206" s="662" t="s">
        <v>1730</v>
      </c>
      <c r="AI206" s="662">
        <v>500</v>
      </c>
      <c r="AJ206" s="662">
        <v>1000</v>
      </c>
      <c r="AK206" s="662">
        <v>500</v>
      </c>
      <c r="AL206" s="658">
        <v>5.5000000000000005E-3</v>
      </c>
      <c r="AM206" s="658">
        <v>0</v>
      </c>
      <c r="AN206" s="659" t="s">
        <v>34</v>
      </c>
      <c r="AO206" s="253" t="s">
        <v>34</v>
      </c>
      <c r="AP206" s="944" t="s">
        <v>1731</v>
      </c>
      <c r="AQ206" s="663" t="s">
        <v>687</v>
      </c>
      <c r="AR206" s="658">
        <v>3.6666666666666701E-3</v>
      </c>
      <c r="AS206" s="658">
        <v>3.6666666666666701E-3</v>
      </c>
      <c r="AT206" s="658" t="s">
        <v>1417</v>
      </c>
      <c r="AU206" s="658" t="s">
        <v>2751</v>
      </c>
      <c r="AX206"/>
      <c r="AY206"/>
      <c r="BA206"/>
      <c r="BB206"/>
      <c r="BC206"/>
      <c r="BD206"/>
      <c r="BE206"/>
      <c r="BF206"/>
      <c r="BG206"/>
      <c r="BH206"/>
      <c r="BI206"/>
      <c r="BJ206"/>
      <c r="BR206"/>
      <c r="BS206"/>
      <c r="BT206"/>
      <c r="BU206"/>
      <c r="BX206"/>
      <c r="BY206"/>
      <c r="CA206"/>
    </row>
    <row r="207" spans="2:79" ht="18.75">
      <c r="B207" s="252" t="s">
        <v>71</v>
      </c>
      <c r="C207" s="251">
        <v>26831986000135</v>
      </c>
      <c r="D207" s="252" t="s">
        <v>13</v>
      </c>
      <c r="E207" s="252" t="s">
        <v>616</v>
      </c>
      <c r="F207" s="252" t="s">
        <v>617</v>
      </c>
      <c r="G207" s="253" t="s">
        <v>34</v>
      </c>
      <c r="H207" s="253" t="s">
        <v>1337</v>
      </c>
      <c r="I207" s="253" t="s">
        <v>34</v>
      </c>
      <c r="J207" s="253" t="s">
        <v>608</v>
      </c>
      <c r="K207" s="253" t="s">
        <v>48</v>
      </c>
      <c r="L207" s="655"/>
      <c r="M207" s="655" t="s">
        <v>34</v>
      </c>
      <c r="N207" s="253" t="s">
        <v>2779</v>
      </c>
      <c r="O207" s="253" t="s">
        <v>1321</v>
      </c>
      <c r="P207" s="656">
        <v>42881</v>
      </c>
      <c r="Q207" s="657">
        <v>0</v>
      </c>
      <c r="R207" s="657">
        <v>0</v>
      </c>
      <c r="S207" s="253">
        <v>30</v>
      </c>
      <c r="T207" s="658"/>
      <c r="U207" s="659"/>
      <c r="V207" s="658"/>
      <c r="W207" s="659"/>
      <c r="X207" s="658"/>
      <c r="Y207" s="659"/>
      <c r="Z207" s="658"/>
      <c r="AA207" s="659"/>
      <c r="AB207" s="658"/>
      <c r="AC207" s="660"/>
      <c r="AD207" s="682">
        <v>13608337000128</v>
      </c>
      <c r="AE207" s="944" t="s">
        <v>1797</v>
      </c>
      <c r="AF207" s="661" t="s">
        <v>1745</v>
      </c>
      <c r="AG207" s="662" t="s">
        <v>1432</v>
      </c>
      <c r="AH207" s="662" t="s">
        <v>1734</v>
      </c>
      <c r="AI207" s="662">
        <v>500</v>
      </c>
      <c r="AJ207" s="662">
        <v>100</v>
      </c>
      <c r="AK207" s="662">
        <v>100</v>
      </c>
      <c r="AL207" s="658">
        <v>0</v>
      </c>
      <c r="AM207" s="658">
        <v>0</v>
      </c>
      <c r="AN207" s="659" t="s">
        <v>34</v>
      </c>
      <c r="AO207" s="253" t="s">
        <v>34</v>
      </c>
      <c r="AP207" s="944" t="s">
        <v>1746</v>
      </c>
      <c r="AQ207" s="663" t="s">
        <v>674</v>
      </c>
      <c r="AR207" s="658">
        <v>4.0000000000000001E-3</v>
      </c>
      <c r="AS207" s="658">
        <v>4.0000000000000001E-3</v>
      </c>
      <c r="AT207" s="658" t="s">
        <v>1417</v>
      </c>
      <c r="AU207" s="658" t="s">
        <v>2751</v>
      </c>
      <c r="AX207"/>
      <c r="AY207"/>
      <c r="BA207"/>
      <c r="BB207"/>
      <c r="BC207"/>
      <c r="BD207"/>
      <c r="BE207"/>
      <c r="BF207"/>
      <c r="BG207"/>
      <c r="BH207"/>
      <c r="BI207"/>
      <c r="BJ207"/>
      <c r="BR207"/>
      <c r="BS207"/>
      <c r="BT207"/>
      <c r="BU207"/>
      <c r="BX207"/>
      <c r="BY207"/>
      <c r="CA207"/>
    </row>
    <row r="208" spans="2:79" ht="18.75">
      <c r="B208" s="252" t="s">
        <v>1286</v>
      </c>
      <c r="C208" s="251">
        <v>46329524000121</v>
      </c>
      <c r="D208" s="252" t="s">
        <v>14</v>
      </c>
      <c r="E208" s="252" t="s">
        <v>607</v>
      </c>
      <c r="F208" s="252" t="s">
        <v>1317</v>
      </c>
      <c r="G208" s="253" t="s">
        <v>1417</v>
      </c>
      <c r="H208" s="253" t="s">
        <v>34</v>
      </c>
      <c r="I208" s="253" t="s">
        <v>34</v>
      </c>
      <c r="J208" s="253" t="s">
        <v>608</v>
      </c>
      <c r="K208" s="253" t="s">
        <v>48</v>
      </c>
      <c r="L208" s="655"/>
      <c r="M208" s="655" t="s">
        <v>1414</v>
      </c>
      <c r="N208" s="253" t="s">
        <v>2780</v>
      </c>
      <c r="O208" s="253" t="s">
        <v>1321</v>
      </c>
      <c r="P208" s="656">
        <v>44711</v>
      </c>
      <c r="Q208" s="657">
        <v>67.142839240000001</v>
      </c>
      <c r="R208" s="657">
        <v>66.002221612539685</v>
      </c>
      <c r="S208" s="253">
        <v>122</v>
      </c>
      <c r="T208" s="658">
        <v>1.3336140623629644E-2</v>
      </c>
      <c r="U208" s="659">
        <v>0.66686104780560818</v>
      </c>
      <c r="V208" s="658"/>
      <c r="W208" s="659"/>
      <c r="X208" s="658"/>
      <c r="Y208" s="659"/>
      <c r="Z208" s="658"/>
      <c r="AA208" s="659"/>
      <c r="AB208" s="658">
        <v>0.18597211272777442</v>
      </c>
      <c r="AC208" s="660"/>
      <c r="AD208" s="682">
        <v>46465003000100</v>
      </c>
      <c r="AE208" s="944" t="s">
        <v>1797</v>
      </c>
      <c r="AF208" s="661" t="s">
        <v>1745</v>
      </c>
      <c r="AG208" s="662" t="s">
        <v>1432</v>
      </c>
      <c r="AH208" s="662" t="s">
        <v>1730</v>
      </c>
      <c r="AI208" s="662">
        <v>25000</v>
      </c>
      <c r="AJ208" s="662">
        <v>0</v>
      </c>
      <c r="AK208" s="662">
        <v>0</v>
      </c>
      <c r="AL208" s="658">
        <v>0</v>
      </c>
      <c r="AM208" s="658">
        <v>0</v>
      </c>
      <c r="AN208" s="659" t="s">
        <v>2127</v>
      </c>
      <c r="AO208" s="253" t="s">
        <v>34</v>
      </c>
      <c r="AP208" s="944" t="s">
        <v>1731</v>
      </c>
      <c r="AQ208" s="663" t="s">
        <v>659</v>
      </c>
      <c r="AR208" s="658">
        <v>0</v>
      </c>
      <c r="AS208" s="658">
        <v>0</v>
      </c>
      <c r="AT208" s="658" t="s">
        <v>1417</v>
      </c>
      <c r="AU208" s="658" t="s">
        <v>2751</v>
      </c>
      <c r="AX208"/>
      <c r="AY208"/>
      <c r="BA208"/>
      <c r="BB208"/>
      <c r="BC208"/>
      <c r="BD208"/>
      <c r="BE208"/>
      <c r="BF208"/>
      <c r="BG208"/>
      <c r="BH208"/>
      <c r="BI208"/>
      <c r="BJ208"/>
      <c r="BR208"/>
      <c r="BS208"/>
      <c r="BT208"/>
      <c r="BU208"/>
      <c r="BX208"/>
      <c r="BY208"/>
      <c r="CA208"/>
    </row>
    <row r="209" spans="2:79" ht="18.75">
      <c r="B209" s="252" t="s">
        <v>725</v>
      </c>
      <c r="C209" s="251">
        <v>5892566000199</v>
      </c>
      <c r="D209" s="252" t="s">
        <v>13</v>
      </c>
      <c r="E209" s="252" t="s">
        <v>615</v>
      </c>
      <c r="F209" s="252" t="s">
        <v>619</v>
      </c>
      <c r="G209" s="253" t="s">
        <v>34</v>
      </c>
      <c r="H209" s="253" t="s">
        <v>865</v>
      </c>
      <c r="I209" s="253" t="s">
        <v>34</v>
      </c>
      <c r="J209" s="253" t="s">
        <v>1417</v>
      </c>
      <c r="K209" s="253" t="s">
        <v>48</v>
      </c>
      <c r="L209" s="655"/>
      <c r="M209" s="655" t="s">
        <v>1414</v>
      </c>
      <c r="N209" s="253" t="s">
        <v>2781</v>
      </c>
      <c r="O209" s="253" t="s">
        <v>1324</v>
      </c>
      <c r="P209" s="656">
        <v>38037</v>
      </c>
      <c r="Q209" s="657">
        <v>0</v>
      </c>
      <c r="R209" s="657"/>
      <c r="S209" s="253">
        <v>32</v>
      </c>
      <c r="T209" s="658"/>
      <c r="U209" s="659"/>
      <c r="V209" s="658"/>
      <c r="W209" s="659"/>
      <c r="X209" s="658"/>
      <c r="Y209" s="659"/>
      <c r="Z209" s="658"/>
      <c r="AA209" s="659"/>
      <c r="AB209" s="658"/>
      <c r="AC209" s="660"/>
      <c r="AD209" s="682">
        <v>0</v>
      </c>
      <c r="AE209" s="944" t="s">
        <v>1797</v>
      </c>
      <c r="AF209" s="661" t="s">
        <v>1745</v>
      </c>
      <c r="AG209" s="662" t="s">
        <v>1432</v>
      </c>
      <c r="AH209" s="662" t="s">
        <v>1734</v>
      </c>
      <c r="AI209" s="662">
        <v>0</v>
      </c>
      <c r="AJ209" s="662">
        <v>0</v>
      </c>
      <c r="AK209" s="662">
        <v>0</v>
      </c>
      <c r="AL209" s="658">
        <v>3.4999999999999996E-3</v>
      </c>
      <c r="AM209" s="658">
        <v>0.1</v>
      </c>
      <c r="AN209" s="659" t="s">
        <v>34</v>
      </c>
      <c r="AO209" s="253" t="s">
        <v>34</v>
      </c>
      <c r="AP209" s="944" t="s">
        <v>1746</v>
      </c>
      <c r="AQ209" s="663" t="s">
        <v>668</v>
      </c>
      <c r="AR209" s="658">
        <v>2.8E-3</v>
      </c>
      <c r="AS209" s="658">
        <v>2.8E-3</v>
      </c>
      <c r="AT209" s="658" t="s">
        <v>1417</v>
      </c>
      <c r="AU209" s="658" t="s">
        <v>2751</v>
      </c>
      <c r="AX209"/>
      <c r="AY209"/>
      <c r="BA209"/>
      <c r="BB209"/>
      <c r="BC209"/>
      <c r="BD209"/>
      <c r="BE209"/>
      <c r="BF209"/>
      <c r="BG209"/>
      <c r="BH209"/>
      <c r="BI209"/>
      <c r="BJ209"/>
      <c r="BR209"/>
      <c r="BS209"/>
      <c r="BT209"/>
      <c r="BU209"/>
      <c r="BX209"/>
      <c r="BY209"/>
      <c r="CA209"/>
    </row>
    <row r="210" spans="2:79" ht="18.75">
      <c r="B210" s="252" t="s">
        <v>1489</v>
      </c>
      <c r="C210" s="251">
        <v>45295229000139</v>
      </c>
      <c r="D210" s="252" t="s">
        <v>14</v>
      </c>
      <c r="E210" s="252" t="s">
        <v>607</v>
      </c>
      <c r="F210" s="252" t="s">
        <v>1417</v>
      </c>
      <c r="G210" s="253" t="s">
        <v>1417</v>
      </c>
      <c r="H210" s="253" t="s">
        <v>34</v>
      </c>
      <c r="I210" s="253" t="s">
        <v>34</v>
      </c>
      <c r="J210" s="253" t="s">
        <v>612</v>
      </c>
      <c r="K210" s="253" t="s">
        <v>48</v>
      </c>
      <c r="L210" s="655"/>
      <c r="M210" s="655" t="s">
        <v>34</v>
      </c>
      <c r="N210" s="253" t="s">
        <v>2783</v>
      </c>
      <c r="O210" s="253" t="s">
        <v>1321</v>
      </c>
      <c r="P210" s="656">
        <v>44611</v>
      </c>
      <c r="Q210" s="657">
        <v>0</v>
      </c>
      <c r="R210" s="657">
        <v>8.1869325780733995</v>
      </c>
      <c r="S210" s="253">
        <v>92</v>
      </c>
      <c r="T210" s="658"/>
      <c r="U210" s="659"/>
      <c r="V210" s="658">
        <v>-0.10378688693220639</v>
      </c>
      <c r="W210" s="659">
        <v>-0.8048994898439652</v>
      </c>
      <c r="X210" s="658"/>
      <c r="Y210" s="659"/>
      <c r="Z210" s="658"/>
      <c r="AA210" s="659"/>
      <c r="AB210" s="658">
        <v>0.24620787883224479</v>
      </c>
      <c r="AC210" s="660">
        <v>-0.94526136808792893</v>
      </c>
      <c r="AD210" s="682">
        <v>0</v>
      </c>
      <c r="AE210" s="944" t="s">
        <v>1797</v>
      </c>
      <c r="AF210" s="661" t="s">
        <v>1745</v>
      </c>
      <c r="AG210" s="662" t="s">
        <v>1432</v>
      </c>
      <c r="AH210" s="662" t="s">
        <v>1801</v>
      </c>
      <c r="AI210" s="662">
        <v>0</v>
      </c>
      <c r="AJ210" s="662">
        <v>0</v>
      </c>
      <c r="AK210" s="662">
        <v>0</v>
      </c>
      <c r="AL210" s="658">
        <v>0</v>
      </c>
      <c r="AM210" s="658">
        <v>0</v>
      </c>
      <c r="AN210" s="659" t="s">
        <v>2127</v>
      </c>
      <c r="AO210" s="253" t="s">
        <v>34</v>
      </c>
      <c r="AP210" s="944" t="s">
        <v>1731</v>
      </c>
      <c r="AQ210" s="663" t="s">
        <v>687</v>
      </c>
      <c r="AR210" s="658">
        <v>5.0000000000000001E-3</v>
      </c>
      <c r="AS210" s="658">
        <v>5.0000000000000001E-3</v>
      </c>
      <c r="AT210" s="658" t="s">
        <v>1417</v>
      </c>
      <c r="AU210" s="658" t="s">
        <v>2751</v>
      </c>
      <c r="AX210"/>
      <c r="AY210"/>
      <c r="BA210"/>
      <c r="BB210"/>
      <c r="BC210"/>
      <c r="BD210"/>
      <c r="BE210"/>
      <c r="BF210"/>
      <c r="BG210"/>
      <c r="BH210"/>
      <c r="BI210"/>
      <c r="BJ210"/>
      <c r="BR210"/>
      <c r="BS210"/>
      <c r="BT210"/>
      <c r="BU210"/>
      <c r="BX210"/>
      <c r="BY210"/>
      <c r="CA210"/>
    </row>
    <row r="211" spans="2:79" ht="18.75">
      <c r="B211" s="252" t="s">
        <v>1490</v>
      </c>
      <c r="C211" s="251">
        <v>38064885000165</v>
      </c>
      <c r="D211" s="252" t="s">
        <v>14</v>
      </c>
      <c r="E211" s="252" t="s">
        <v>607</v>
      </c>
      <c r="F211" s="252" t="s">
        <v>1417</v>
      </c>
      <c r="G211" s="253" t="s">
        <v>1417</v>
      </c>
      <c r="H211" s="253" t="s">
        <v>34</v>
      </c>
      <c r="I211" s="253" t="s">
        <v>34</v>
      </c>
      <c r="J211" s="253" t="s">
        <v>612</v>
      </c>
      <c r="K211" s="253" t="s">
        <v>48</v>
      </c>
      <c r="L211" s="655"/>
      <c r="M211" s="655" t="s">
        <v>34</v>
      </c>
      <c r="N211" s="253" t="s">
        <v>2784</v>
      </c>
      <c r="O211" s="253" t="s">
        <v>1321</v>
      </c>
      <c r="P211" s="656">
        <v>44073</v>
      </c>
      <c r="Q211" s="657">
        <v>217.84835912</v>
      </c>
      <c r="R211" s="657">
        <v>241.79252547761132</v>
      </c>
      <c r="S211" s="253">
        <v>212</v>
      </c>
      <c r="T211" s="658">
        <v>1.5055939770434623E-2</v>
      </c>
      <c r="U211" s="659">
        <v>0.75285797101002339</v>
      </c>
      <c r="V211" s="658">
        <v>-0.13068387213118204</v>
      </c>
      <c r="W211" s="659">
        <v>-1.013493950135828</v>
      </c>
      <c r="X211" s="658">
        <v>-0.13236054112070028</v>
      </c>
      <c r="Y211" s="659">
        <v>-0.68549425986749135</v>
      </c>
      <c r="Z211" s="658"/>
      <c r="AA211" s="659"/>
      <c r="AB211" s="658">
        <v>0.19866823629927222</v>
      </c>
      <c r="AC211" s="660">
        <v>-1.3068409244186836</v>
      </c>
      <c r="AD211" s="682">
        <v>0</v>
      </c>
      <c r="AE211" s="944" t="s">
        <v>1797</v>
      </c>
      <c r="AF211" s="661" t="s">
        <v>1745</v>
      </c>
      <c r="AG211" s="662" t="s">
        <v>1432</v>
      </c>
      <c r="AH211" s="662" t="s">
        <v>1801</v>
      </c>
      <c r="AI211" s="662">
        <v>25000</v>
      </c>
      <c r="AJ211" s="662">
        <v>25000</v>
      </c>
      <c r="AK211" s="662">
        <v>25000</v>
      </c>
      <c r="AL211" s="658">
        <v>7.4999999999999997E-3</v>
      </c>
      <c r="AM211" s="658">
        <v>0</v>
      </c>
      <c r="AN211" s="659" t="s">
        <v>34</v>
      </c>
      <c r="AO211" s="253" t="s">
        <v>34</v>
      </c>
      <c r="AP211" s="944" t="s">
        <v>1746</v>
      </c>
      <c r="AQ211" s="663" t="s">
        <v>679</v>
      </c>
      <c r="AR211" s="658">
        <v>5.2500000000000003E-3</v>
      </c>
      <c r="AS211" s="658">
        <v>5.2500000000000003E-3</v>
      </c>
      <c r="AT211" s="658" t="s">
        <v>1417</v>
      </c>
      <c r="AU211" s="658" t="s">
        <v>2751</v>
      </c>
      <c r="AX211"/>
      <c r="AY211"/>
      <c r="BA211"/>
      <c r="BB211"/>
      <c r="BC211"/>
      <c r="BD211"/>
      <c r="BE211"/>
      <c r="BF211"/>
      <c r="BG211"/>
      <c r="BH211"/>
      <c r="BI211"/>
      <c r="BJ211"/>
      <c r="BR211"/>
      <c r="BS211"/>
      <c r="BT211"/>
      <c r="BU211"/>
      <c r="BX211"/>
      <c r="BY211"/>
      <c r="CA211"/>
    </row>
    <row r="212" spans="2:79" ht="18.75">
      <c r="B212" s="252" t="s">
        <v>727</v>
      </c>
      <c r="C212" s="251">
        <v>7657641000162</v>
      </c>
      <c r="D212" s="252" t="s">
        <v>14</v>
      </c>
      <c r="E212" s="252" t="s">
        <v>614</v>
      </c>
      <c r="F212" s="252" t="s">
        <v>1417</v>
      </c>
      <c r="G212" s="253" t="s">
        <v>1417</v>
      </c>
      <c r="H212" s="253" t="s">
        <v>865</v>
      </c>
      <c r="I212" s="253" t="s">
        <v>34</v>
      </c>
      <c r="J212" s="253" t="s">
        <v>611</v>
      </c>
      <c r="K212" s="253" t="s">
        <v>48</v>
      </c>
      <c r="L212" s="655"/>
      <c r="M212" s="655" t="s">
        <v>1414</v>
      </c>
      <c r="N212" s="253" t="s">
        <v>2785</v>
      </c>
      <c r="O212" s="253" t="s">
        <v>1321</v>
      </c>
      <c r="P212" s="656">
        <v>40807</v>
      </c>
      <c r="Q212" s="657">
        <v>38.084957000000003</v>
      </c>
      <c r="R212" s="657">
        <v>61.721481200803211</v>
      </c>
      <c r="S212" s="253">
        <v>5</v>
      </c>
      <c r="T212" s="658">
        <v>6.7249146081838074E-3</v>
      </c>
      <c r="U212" s="659">
        <v>0.33627296896305103</v>
      </c>
      <c r="V212" s="658">
        <v>-6.0493220151799476E-2</v>
      </c>
      <c r="W212" s="659">
        <v>-0.46914367969247422</v>
      </c>
      <c r="X212" s="658">
        <v>-2.9608506206799556E-2</v>
      </c>
      <c r="Y212" s="659">
        <v>-0.15334223384221157</v>
      </c>
      <c r="Z212" s="658">
        <v>0.31753589847578589</v>
      </c>
      <c r="AA212" s="659">
        <v>1.433762543879137</v>
      </c>
      <c r="AB212" s="658">
        <v>0.21014141457555652</v>
      </c>
      <c r="AC212" s="660">
        <v>-0.90147451410857216</v>
      </c>
      <c r="AD212" s="682">
        <v>0</v>
      </c>
      <c r="AE212" s="944" t="s">
        <v>1752</v>
      </c>
      <c r="AF212" s="661" t="s">
        <v>1739</v>
      </c>
      <c r="AG212" s="662" t="s">
        <v>728</v>
      </c>
      <c r="AH212" s="662" t="s">
        <v>1801</v>
      </c>
      <c r="AI212" s="662">
        <v>25000</v>
      </c>
      <c r="AJ212" s="662">
        <v>5000</v>
      </c>
      <c r="AK212" s="662">
        <v>0</v>
      </c>
      <c r="AL212" s="658">
        <v>6.9999999999999993E-3</v>
      </c>
      <c r="AM212" s="658">
        <v>0</v>
      </c>
      <c r="AN212" s="659" t="s">
        <v>34</v>
      </c>
      <c r="AO212" s="253" t="s">
        <v>34</v>
      </c>
      <c r="AP212" s="944" t="s">
        <v>1731</v>
      </c>
      <c r="AQ212" s="663" t="s">
        <v>687</v>
      </c>
      <c r="AR212" s="658">
        <v>1.8666666666666699E-3</v>
      </c>
      <c r="AS212" s="658">
        <v>1.8666666666666699E-3</v>
      </c>
      <c r="AT212" s="658" t="s">
        <v>1417</v>
      </c>
      <c r="AU212" s="658" t="s">
        <v>2751</v>
      </c>
      <c r="AX212"/>
      <c r="AY212"/>
      <c r="BA212"/>
      <c r="BB212"/>
      <c r="BC212"/>
      <c r="BD212"/>
      <c r="BE212"/>
      <c r="BF212"/>
      <c r="BG212"/>
      <c r="BH212"/>
      <c r="BI212"/>
      <c r="BJ212"/>
      <c r="BR212"/>
      <c r="BS212"/>
      <c r="BT212"/>
      <c r="BU212"/>
      <c r="BX212"/>
      <c r="BY212"/>
      <c r="CA212"/>
    </row>
    <row r="213" spans="2:79" ht="18.75">
      <c r="B213" s="252" t="s">
        <v>729</v>
      </c>
      <c r="C213" s="251">
        <v>43984537000146</v>
      </c>
      <c r="D213" s="252" t="s">
        <v>13</v>
      </c>
      <c r="E213" s="252" t="s">
        <v>615</v>
      </c>
      <c r="F213" s="252" t="s">
        <v>619</v>
      </c>
      <c r="G213" s="253" t="s">
        <v>34</v>
      </c>
      <c r="H213" s="253" t="s">
        <v>1338</v>
      </c>
      <c r="I213" s="253" t="s">
        <v>34</v>
      </c>
      <c r="J213" s="253" t="s">
        <v>611</v>
      </c>
      <c r="K213" s="253" t="s">
        <v>48</v>
      </c>
      <c r="L213" s="655"/>
      <c r="M213" s="655" t="s">
        <v>34</v>
      </c>
      <c r="N213" s="253" t="s">
        <v>2786</v>
      </c>
      <c r="O213" s="253" t="s">
        <v>1321</v>
      </c>
      <c r="P213" s="656">
        <v>44505</v>
      </c>
      <c r="Q213" s="657">
        <v>416.13034561000001</v>
      </c>
      <c r="R213" s="657">
        <v>391.30375904479979</v>
      </c>
      <c r="S213" s="253">
        <v>31</v>
      </c>
      <c r="T213" s="658">
        <v>4.305609893003659E-3</v>
      </c>
      <c r="U213" s="659">
        <v>0.21529793406671185</v>
      </c>
      <c r="V213" s="658">
        <v>0.17571849189189526</v>
      </c>
      <c r="W213" s="659">
        <v>1.362751390475015</v>
      </c>
      <c r="X213" s="658"/>
      <c r="Y213" s="659"/>
      <c r="Z213" s="658"/>
      <c r="AA213" s="659"/>
      <c r="AB213" s="658">
        <v>4.84789620617435E-2</v>
      </c>
      <c r="AC213" s="660">
        <v>0.96484290207232837</v>
      </c>
      <c r="AD213" s="682">
        <v>29726133000121</v>
      </c>
      <c r="AE213" s="944" t="s">
        <v>1797</v>
      </c>
      <c r="AF213" s="661" t="s">
        <v>1745</v>
      </c>
      <c r="AG213" s="662" t="s">
        <v>1432</v>
      </c>
      <c r="AH213" s="662" t="s">
        <v>1730</v>
      </c>
      <c r="AI213" s="662">
        <v>500</v>
      </c>
      <c r="AJ213" s="662">
        <v>100</v>
      </c>
      <c r="AK213" s="662">
        <v>100</v>
      </c>
      <c r="AL213" s="658">
        <v>0</v>
      </c>
      <c r="AM213" s="658">
        <v>0</v>
      </c>
      <c r="AN213" s="659" t="s">
        <v>2127</v>
      </c>
      <c r="AO213" s="253" t="s">
        <v>34</v>
      </c>
      <c r="AP213" s="944" t="s">
        <v>1746</v>
      </c>
      <c r="AQ213" s="663" t="s">
        <v>668</v>
      </c>
      <c r="AR213" s="658">
        <v>4.0000000000000001E-3</v>
      </c>
      <c r="AS213" s="658">
        <v>4.0000000000000001E-3</v>
      </c>
      <c r="AT213" s="658" t="s">
        <v>1417</v>
      </c>
      <c r="AU213" s="658" t="s">
        <v>2751</v>
      </c>
      <c r="AX213"/>
      <c r="AY213"/>
      <c r="BA213"/>
      <c r="BB213"/>
      <c r="BC213"/>
      <c r="BD213"/>
      <c r="BE213"/>
      <c r="BF213"/>
      <c r="BG213"/>
      <c r="BH213"/>
      <c r="BI213"/>
      <c r="BJ213"/>
      <c r="BR213"/>
      <c r="BS213"/>
      <c r="BT213"/>
      <c r="BU213"/>
      <c r="BX213"/>
      <c r="BY213"/>
      <c r="CA213"/>
    </row>
    <row r="214" spans="2:79" ht="18.75">
      <c r="B214" s="252" t="s">
        <v>730</v>
      </c>
      <c r="C214" s="251">
        <v>26623196000164</v>
      </c>
      <c r="D214" s="252" t="s">
        <v>14</v>
      </c>
      <c r="E214" s="252" t="s">
        <v>607</v>
      </c>
      <c r="F214" s="252" t="s">
        <v>1417</v>
      </c>
      <c r="G214" s="253" t="s">
        <v>1417</v>
      </c>
      <c r="H214" s="253" t="s">
        <v>34</v>
      </c>
      <c r="I214" s="253" t="s">
        <v>34</v>
      </c>
      <c r="J214" s="253" t="s">
        <v>608</v>
      </c>
      <c r="K214" s="253" t="s">
        <v>48</v>
      </c>
      <c r="L214" s="655"/>
      <c r="M214" s="655" t="s">
        <v>34</v>
      </c>
      <c r="N214" s="253" t="s">
        <v>2787</v>
      </c>
      <c r="O214" s="253" t="s">
        <v>1321</v>
      </c>
      <c r="P214" s="656">
        <v>42763</v>
      </c>
      <c r="Q214" s="657">
        <v>119.242311</v>
      </c>
      <c r="R214" s="657">
        <v>159.67769422540979</v>
      </c>
      <c r="S214" s="253">
        <v>32</v>
      </c>
      <c r="T214" s="658">
        <v>-7.6817561830926362E-3</v>
      </c>
      <c r="U214" s="659">
        <v>-0.38411892329387798</v>
      </c>
      <c r="V214" s="658">
        <v>-0.13483485944027496</v>
      </c>
      <c r="W214" s="659">
        <v>-1.0456861438338632</v>
      </c>
      <c r="X214" s="658">
        <v>-0.26777325919951789</v>
      </c>
      <c r="Y214" s="659">
        <v>-1.3867957215428184</v>
      </c>
      <c r="Z214" s="658">
        <v>-0.16490867508176998</v>
      </c>
      <c r="AA214" s="659">
        <v>-0.74460835019888816</v>
      </c>
      <c r="AB214" s="658">
        <v>0.22643079441777916</v>
      </c>
      <c r="AC214" s="660">
        <v>-1.1649421164878075</v>
      </c>
      <c r="AD214" s="682">
        <v>16565058000112</v>
      </c>
      <c r="AE214" s="944" t="s">
        <v>1797</v>
      </c>
      <c r="AF214" s="661" t="s">
        <v>1745</v>
      </c>
      <c r="AG214" s="662" t="s">
        <v>1432</v>
      </c>
      <c r="AH214" s="662" t="s">
        <v>1730</v>
      </c>
      <c r="AI214" s="662">
        <v>5000</v>
      </c>
      <c r="AJ214" s="662">
        <v>1000</v>
      </c>
      <c r="AK214" s="662">
        <v>5000</v>
      </c>
      <c r="AL214" s="658">
        <v>7.4999999999999997E-3</v>
      </c>
      <c r="AM214" s="658">
        <v>0.1</v>
      </c>
      <c r="AN214" s="659" t="s">
        <v>34</v>
      </c>
      <c r="AO214" s="253" t="s">
        <v>34</v>
      </c>
      <c r="AP214" s="944" t="s">
        <v>1731</v>
      </c>
      <c r="AQ214" s="663" t="s">
        <v>659</v>
      </c>
      <c r="AR214" s="658">
        <v>6.0000000000000001E-3</v>
      </c>
      <c r="AS214" s="658">
        <v>6.0000000000000001E-3</v>
      </c>
      <c r="AT214" s="658" t="s">
        <v>1417</v>
      </c>
      <c r="AU214" s="658" t="s">
        <v>2751</v>
      </c>
      <c r="AX214"/>
      <c r="AY214"/>
      <c r="BA214"/>
      <c r="BB214"/>
      <c r="BC214"/>
      <c r="BD214"/>
      <c r="BE214"/>
      <c r="BF214"/>
      <c r="BG214"/>
      <c r="BH214"/>
      <c r="BI214"/>
      <c r="BJ214"/>
      <c r="BR214"/>
      <c r="BS214"/>
      <c r="BT214"/>
      <c r="BU214"/>
      <c r="BX214"/>
      <c r="BY214"/>
      <c r="CA214"/>
    </row>
    <row r="215" spans="2:79" ht="18.75">
      <c r="B215" s="252" t="s">
        <v>731</v>
      </c>
      <c r="C215" s="251">
        <v>44209755000176</v>
      </c>
      <c r="D215" s="252" t="s">
        <v>14</v>
      </c>
      <c r="E215" s="252" t="s">
        <v>607</v>
      </c>
      <c r="F215" s="252" t="s">
        <v>1417</v>
      </c>
      <c r="G215" s="253" t="s">
        <v>1417</v>
      </c>
      <c r="H215" s="253" t="s">
        <v>34</v>
      </c>
      <c r="I215" s="253" t="s">
        <v>34</v>
      </c>
      <c r="J215" s="253" t="s">
        <v>611</v>
      </c>
      <c r="K215" s="253" t="s">
        <v>49</v>
      </c>
      <c r="L215" s="655"/>
      <c r="M215" s="655" t="s">
        <v>1414</v>
      </c>
      <c r="N215" s="253" t="s">
        <v>2788</v>
      </c>
      <c r="O215" s="253" t="s">
        <v>1321</v>
      </c>
      <c r="P215" s="656">
        <v>44578</v>
      </c>
      <c r="Q215" s="657"/>
      <c r="R215" s="657"/>
      <c r="S215" s="253">
        <v>6</v>
      </c>
      <c r="T215" s="658"/>
      <c r="U215" s="659"/>
      <c r="V215" s="658"/>
      <c r="W215" s="659"/>
      <c r="X215" s="658"/>
      <c r="Y215" s="659"/>
      <c r="Z215" s="658"/>
      <c r="AA215" s="659"/>
      <c r="AB215" s="658"/>
      <c r="AC215" s="660"/>
      <c r="AD215" s="682">
        <v>43984876000122</v>
      </c>
      <c r="AE215" s="944" t="s">
        <v>1797</v>
      </c>
      <c r="AF215" s="661" t="s">
        <v>1745</v>
      </c>
      <c r="AG215" s="662" t="s">
        <v>1432</v>
      </c>
      <c r="AH215" s="662" t="s">
        <v>1730</v>
      </c>
      <c r="AI215" s="662">
        <v>0</v>
      </c>
      <c r="AJ215" s="662">
        <v>0</v>
      </c>
      <c r="AK215" s="662">
        <v>0</v>
      </c>
      <c r="AL215" s="658">
        <v>4.0000000000000001E-3</v>
      </c>
      <c r="AM215" s="658">
        <v>0</v>
      </c>
      <c r="AN215" s="659" t="s">
        <v>2127</v>
      </c>
      <c r="AO215" s="253" t="s">
        <v>34</v>
      </c>
      <c r="AP215" s="944" t="s">
        <v>1731</v>
      </c>
      <c r="AQ215" s="663" t="s">
        <v>687</v>
      </c>
      <c r="AR215" s="658">
        <v>2.66666666666667E-3</v>
      </c>
      <c r="AS215" s="658">
        <v>2.66666666666667E-3</v>
      </c>
      <c r="AT215" s="658" t="s">
        <v>1417</v>
      </c>
      <c r="AU215" s="658" t="s">
        <v>2751</v>
      </c>
      <c r="AX215"/>
      <c r="AY215"/>
      <c r="BA215"/>
      <c r="BB215"/>
      <c r="BC215"/>
      <c r="BD215"/>
      <c r="BE215"/>
      <c r="BF215"/>
      <c r="BG215"/>
      <c r="BH215"/>
      <c r="BI215"/>
      <c r="BJ215"/>
      <c r="BR215"/>
      <c r="BS215"/>
      <c r="BT215"/>
      <c r="BU215"/>
      <c r="BX215"/>
      <c r="BY215"/>
      <c r="CA215"/>
    </row>
    <row r="216" spans="2:79" ht="18.75">
      <c r="B216" s="252" t="s">
        <v>577</v>
      </c>
      <c r="C216" s="251">
        <v>11147668000182</v>
      </c>
      <c r="D216" s="252" t="s">
        <v>14</v>
      </c>
      <c r="E216" s="252" t="s">
        <v>607</v>
      </c>
      <c r="F216" s="252" t="s">
        <v>1417</v>
      </c>
      <c r="G216" s="253" t="s">
        <v>1417</v>
      </c>
      <c r="H216" s="253" t="s">
        <v>34</v>
      </c>
      <c r="I216" s="253" t="s">
        <v>34</v>
      </c>
      <c r="J216" s="253" t="s">
        <v>611</v>
      </c>
      <c r="K216" s="253" t="s">
        <v>1417</v>
      </c>
      <c r="L216" s="655"/>
      <c r="M216" s="655" t="s">
        <v>1414</v>
      </c>
      <c r="N216" s="253" t="s">
        <v>2789</v>
      </c>
      <c r="O216" s="253" t="s">
        <v>1321</v>
      </c>
      <c r="P216" s="656">
        <v>40388</v>
      </c>
      <c r="Q216" s="657">
        <v>159.52912599999999</v>
      </c>
      <c r="R216" s="657">
        <v>191.4717756987952</v>
      </c>
      <c r="S216" s="253">
        <v>5</v>
      </c>
      <c r="T216" s="658">
        <v>5.4888915189581056E-2</v>
      </c>
      <c r="U216" s="659">
        <v>2.7446680812124655</v>
      </c>
      <c r="V216" s="658">
        <v>-0.13384031693219856</v>
      </c>
      <c r="W216" s="659">
        <v>-1.0379731583012908</v>
      </c>
      <c r="X216" s="658">
        <v>-0.12285837684256828</v>
      </c>
      <c r="Y216" s="659">
        <v>-0.63628262161166438</v>
      </c>
      <c r="Z216" s="658">
        <v>0.48317924342911089</v>
      </c>
      <c r="AA216" s="659">
        <v>2.1816881320627957</v>
      </c>
      <c r="AB216" s="658">
        <v>0.33102097966435073</v>
      </c>
      <c r="AC216" s="660">
        <v>-0.79385973253249797</v>
      </c>
      <c r="AD216" s="682">
        <v>0</v>
      </c>
      <c r="AE216" s="944" t="s">
        <v>1752</v>
      </c>
      <c r="AF216" s="661" t="s">
        <v>1739</v>
      </c>
      <c r="AG216" s="662" t="s">
        <v>728</v>
      </c>
      <c r="AH216" s="662" t="s">
        <v>1801</v>
      </c>
      <c r="AI216" s="662">
        <v>25000</v>
      </c>
      <c r="AJ216" s="662">
        <v>5000</v>
      </c>
      <c r="AK216" s="662">
        <v>0</v>
      </c>
      <c r="AL216" s="658">
        <v>6.9999999999999993E-3</v>
      </c>
      <c r="AM216" s="658">
        <v>0</v>
      </c>
      <c r="AN216" s="659" t="s">
        <v>34</v>
      </c>
      <c r="AO216" s="253" t="s">
        <v>34</v>
      </c>
      <c r="AP216" s="944" t="s">
        <v>1731</v>
      </c>
      <c r="AQ216" s="663" t="s">
        <v>687</v>
      </c>
      <c r="AR216" s="658">
        <v>3.46666666666667E-3</v>
      </c>
      <c r="AS216" s="658">
        <v>3.46666666666667E-3</v>
      </c>
      <c r="AT216" s="658" t="s">
        <v>1417</v>
      </c>
      <c r="AU216" s="658" t="s">
        <v>2751</v>
      </c>
      <c r="AX216"/>
      <c r="AY216"/>
      <c r="BA216"/>
      <c r="BB216"/>
      <c r="BC216"/>
      <c r="BD216"/>
      <c r="BE216"/>
      <c r="BF216"/>
      <c r="BG216"/>
      <c r="BH216"/>
      <c r="BI216"/>
      <c r="BJ216"/>
      <c r="BR216"/>
      <c r="BS216"/>
      <c r="BT216"/>
      <c r="BU216"/>
      <c r="BX216"/>
      <c r="BY216"/>
      <c r="CA216"/>
    </row>
    <row r="217" spans="2:79" ht="18.75">
      <c r="B217" s="252" t="s">
        <v>4403</v>
      </c>
      <c r="C217" s="251">
        <v>41569995000193</v>
      </c>
      <c r="D217" s="252" t="s">
        <v>11</v>
      </c>
      <c r="E217" s="252" t="s">
        <v>620</v>
      </c>
      <c r="F217" s="252" t="s">
        <v>663</v>
      </c>
      <c r="G217" s="253" t="s">
        <v>1417</v>
      </c>
      <c r="H217" s="253" t="s">
        <v>34</v>
      </c>
      <c r="I217" s="253" t="s">
        <v>1417</v>
      </c>
      <c r="J217" s="253" t="s">
        <v>608</v>
      </c>
      <c r="K217" s="253" t="s">
        <v>48</v>
      </c>
      <c r="L217" s="655"/>
      <c r="M217" s="655" t="s">
        <v>34</v>
      </c>
      <c r="N217" s="253" t="s">
        <v>4404</v>
      </c>
      <c r="O217" s="253" t="s">
        <v>1321</v>
      </c>
      <c r="P217" s="656">
        <v>44866</v>
      </c>
      <c r="Q217" s="657"/>
      <c r="R217" s="657"/>
      <c r="S217" s="253">
        <v>4</v>
      </c>
      <c r="T217" s="658"/>
      <c r="U217" s="659"/>
      <c r="V217" s="658"/>
      <c r="W217" s="659"/>
      <c r="X217" s="658"/>
      <c r="Y217" s="659"/>
      <c r="Z217" s="658"/>
      <c r="AA217" s="659"/>
      <c r="AB217" s="658"/>
      <c r="AC217" s="660"/>
      <c r="AD217" s="682">
        <v>44983540000108</v>
      </c>
      <c r="AE217" s="944" t="s">
        <v>1988</v>
      </c>
      <c r="AF217" s="661" t="s">
        <v>1767</v>
      </c>
      <c r="AG217" s="662" t="s">
        <v>59</v>
      </c>
      <c r="AH217" s="662" t="s">
        <v>2119</v>
      </c>
      <c r="AI217" s="662">
        <v>0</v>
      </c>
      <c r="AJ217" s="662">
        <v>0</v>
      </c>
      <c r="AK217" s="662">
        <v>0</v>
      </c>
      <c r="AL217" s="658">
        <v>8.9999999999999993E-3</v>
      </c>
      <c r="AM217" s="658">
        <v>0.2</v>
      </c>
      <c r="AN217" s="659" t="s">
        <v>64</v>
      </c>
      <c r="AO217" s="253" t="s">
        <v>4400</v>
      </c>
      <c r="AP217" s="944" t="s">
        <v>1735</v>
      </c>
      <c r="AQ217" s="663" t="s">
        <v>4405</v>
      </c>
      <c r="AR217" s="658">
        <v>0</v>
      </c>
      <c r="AS217" s="658">
        <v>0</v>
      </c>
      <c r="AT217" s="658" t="s">
        <v>1417</v>
      </c>
      <c r="AU217" s="658" t="s">
        <v>2751</v>
      </c>
      <c r="AX217"/>
      <c r="AY217"/>
      <c r="BA217"/>
      <c r="BB217"/>
      <c r="BC217"/>
      <c r="BD217"/>
      <c r="BE217"/>
      <c r="BF217"/>
      <c r="BG217"/>
      <c r="BH217"/>
      <c r="BI217"/>
      <c r="BJ217"/>
      <c r="BR217"/>
      <c r="BS217"/>
      <c r="BT217"/>
      <c r="BU217"/>
      <c r="BX217"/>
      <c r="BY217"/>
      <c r="CA217"/>
    </row>
    <row r="218" spans="2:79" ht="18.75">
      <c r="B218" s="252" t="s">
        <v>1405</v>
      </c>
      <c r="C218" s="251">
        <v>47548587000131</v>
      </c>
      <c r="D218" s="252" t="s">
        <v>14</v>
      </c>
      <c r="E218" s="252" t="s">
        <v>607</v>
      </c>
      <c r="F218" s="252" t="s">
        <v>1417</v>
      </c>
      <c r="G218" s="253" t="s">
        <v>1417</v>
      </c>
      <c r="H218" s="253" t="s">
        <v>34</v>
      </c>
      <c r="I218" s="253" t="s">
        <v>34</v>
      </c>
      <c r="J218" s="253" t="s">
        <v>608</v>
      </c>
      <c r="K218" s="253" t="s">
        <v>48</v>
      </c>
      <c r="L218" s="655"/>
      <c r="M218" s="655" t="s">
        <v>1414</v>
      </c>
      <c r="N218" s="253" t="s">
        <v>2791</v>
      </c>
      <c r="O218" s="253" t="s">
        <v>1321</v>
      </c>
      <c r="P218" s="656">
        <v>44804</v>
      </c>
      <c r="Q218" s="657"/>
      <c r="R218" s="657"/>
      <c r="S218" s="253">
        <v>32</v>
      </c>
      <c r="T218" s="658"/>
      <c r="U218" s="659"/>
      <c r="V218" s="658"/>
      <c r="W218" s="659"/>
      <c r="X218" s="658"/>
      <c r="Y218" s="659"/>
      <c r="Z218" s="658"/>
      <c r="AA218" s="659"/>
      <c r="AB218" s="658"/>
      <c r="AC218" s="660"/>
      <c r="AD218" s="682">
        <v>47511351000120</v>
      </c>
      <c r="AE218" s="944" t="s">
        <v>1797</v>
      </c>
      <c r="AF218" s="661" t="s">
        <v>1745</v>
      </c>
      <c r="AG218" s="662" t="s">
        <v>1432</v>
      </c>
      <c r="AH218" s="662" t="s">
        <v>1730</v>
      </c>
      <c r="AI218" s="662">
        <v>5</v>
      </c>
      <c r="AJ218" s="662">
        <v>0</v>
      </c>
      <c r="AK218" s="662">
        <v>5000</v>
      </c>
      <c r="AL218" s="658">
        <v>0</v>
      </c>
      <c r="AM218" s="658">
        <v>0</v>
      </c>
      <c r="AN218" s="659" t="s">
        <v>2127</v>
      </c>
      <c r="AO218" s="253" t="s">
        <v>34</v>
      </c>
      <c r="AP218" s="944" t="s">
        <v>1731</v>
      </c>
      <c r="AQ218" s="663" t="s">
        <v>659</v>
      </c>
      <c r="AR218" s="658">
        <v>0</v>
      </c>
      <c r="AS218" s="658">
        <v>0</v>
      </c>
      <c r="AT218" s="658" t="s">
        <v>1417</v>
      </c>
      <c r="AU218" s="658" t="s">
        <v>2751</v>
      </c>
      <c r="AX218"/>
      <c r="AY218"/>
      <c r="BA218"/>
      <c r="BB218"/>
      <c r="BC218"/>
      <c r="BD218"/>
      <c r="BE218"/>
      <c r="BF218"/>
      <c r="BG218"/>
      <c r="BH218"/>
      <c r="BI218"/>
      <c r="BJ218"/>
      <c r="BR218"/>
      <c r="BS218"/>
      <c r="BT218"/>
      <c r="BU218"/>
      <c r="BX218"/>
      <c r="BY218"/>
      <c r="CA218"/>
    </row>
    <row r="219" spans="2:79" ht="18.75">
      <c r="B219" s="252" t="s">
        <v>73</v>
      </c>
      <c r="C219" s="251">
        <v>36498353000100</v>
      </c>
      <c r="D219" s="252" t="s">
        <v>13</v>
      </c>
      <c r="E219" s="252" t="s">
        <v>615</v>
      </c>
      <c r="F219" s="252" t="s">
        <v>619</v>
      </c>
      <c r="G219" s="253" t="s">
        <v>34</v>
      </c>
      <c r="H219" s="253" t="s">
        <v>1338</v>
      </c>
      <c r="I219" s="253" t="s">
        <v>34</v>
      </c>
      <c r="J219" s="253" t="s">
        <v>611</v>
      </c>
      <c r="K219" s="253" t="s">
        <v>48</v>
      </c>
      <c r="L219" s="655"/>
      <c r="M219" s="655" t="s">
        <v>1414</v>
      </c>
      <c r="N219" s="253" t="s">
        <v>2792</v>
      </c>
      <c r="O219" s="253" t="s">
        <v>1321</v>
      </c>
      <c r="P219" s="656">
        <v>43929</v>
      </c>
      <c r="Q219" s="657">
        <v>6.3164669800000004</v>
      </c>
      <c r="R219" s="657">
        <v>16.452731264798381</v>
      </c>
      <c r="S219" s="253">
        <v>91</v>
      </c>
      <c r="T219" s="658">
        <v>2.1467061899713702E-3</v>
      </c>
      <c r="U219" s="659">
        <v>0.10734400450446603</v>
      </c>
      <c r="V219" s="658">
        <v>-0.16148172680467632</v>
      </c>
      <c r="W219" s="659">
        <v>-1.2523408627633974</v>
      </c>
      <c r="X219" s="658">
        <v>-0.11392764389745236</v>
      </c>
      <c r="Y219" s="659">
        <v>-0.59003042198742883</v>
      </c>
      <c r="Z219" s="658"/>
      <c r="AA219" s="659"/>
      <c r="AB219" s="658">
        <v>0.17034151187763866</v>
      </c>
      <c r="AC219" s="660">
        <v>-1.7049610106788649</v>
      </c>
      <c r="AD219" s="682">
        <v>36498324000149</v>
      </c>
      <c r="AE219" s="944" t="s">
        <v>1797</v>
      </c>
      <c r="AF219" s="661" t="s">
        <v>1745</v>
      </c>
      <c r="AG219" s="662" t="s">
        <v>1432</v>
      </c>
      <c r="AH219" s="662" t="s">
        <v>1801</v>
      </c>
      <c r="AI219" s="662">
        <v>10000</v>
      </c>
      <c r="AJ219" s="662">
        <v>10000</v>
      </c>
      <c r="AK219" s="662">
        <v>10000</v>
      </c>
      <c r="AL219" s="658">
        <v>0</v>
      </c>
      <c r="AM219" s="658">
        <v>0</v>
      </c>
      <c r="AN219" s="659" t="s">
        <v>64</v>
      </c>
      <c r="AO219" s="253" t="s">
        <v>34</v>
      </c>
      <c r="AP219" s="944" t="s">
        <v>1746</v>
      </c>
      <c r="AQ219" s="663" t="s">
        <v>679</v>
      </c>
      <c r="AR219" s="658">
        <v>0</v>
      </c>
      <c r="AS219" s="658">
        <v>0</v>
      </c>
      <c r="AT219" s="658" t="s">
        <v>1417</v>
      </c>
      <c r="AU219" s="658" t="s">
        <v>2751</v>
      </c>
      <c r="AX219"/>
      <c r="AY219"/>
      <c r="BA219"/>
      <c r="BB219"/>
      <c r="BC219"/>
      <c r="BD219"/>
      <c r="BE219"/>
      <c r="BF219"/>
      <c r="BG219"/>
      <c r="BH219"/>
      <c r="BI219"/>
      <c r="BJ219"/>
      <c r="BR219"/>
      <c r="BS219"/>
      <c r="BT219"/>
      <c r="BU219"/>
      <c r="BX219"/>
      <c r="BY219"/>
      <c r="CA219"/>
    </row>
    <row r="220" spans="2:79" ht="18.75">
      <c r="B220" s="252" t="s">
        <v>732</v>
      </c>
      <c r="C220" s="251">
        <v>24018977000102</v>
      </c>
      <c r="D220" s="252" t="s">
        <v>13</v>
      </c>
      <c r="E220" s="252" t="s">
        <v>615</v>
      </c>
      <c r="F220" s="252" t="s">
        <v>619</v>
      </c>
      <c r="G220" s="253" t="s">
        <v>34</v>
      </c>
      <c r="H220" s="253" t="s">
        <v>1338</v>
      </c>
      <c r="I220" s="253" t="s">
        <v>34</v>
      </c>
      <c r="J220" s="253" t="s">
        <v>611</v>
      </c>
      <c r="K220" s="253" t="s">
        <v>48</v>
      </c>
      <c r="L220" s="655"/>
      <c r="M220" s="655" t="s">
        <v>1414</v>
      </c>
      <c r="N220" s="253" t="s">
        <v>2793</v>
      </c>
      <c r="O220" s="253" t="s">
        <v>1321</v>
      </c>
      <c r="P220" s="656">
        <v>42491</v>
      </c>
      <c r="Q220" s="657">
        <v>53.107678999999997</v>
      </c>
      <c r="R220" s="657">
        <v>96.005978732793537</v>
      </c>
      <c r="S220" s="253">
        <v>91</v>
      </c>
      <c r="T220" s="658">
        <v>3.5906338961400053E-3</v>
      </c>
      <c r="U220" s="659">
        <v>0.17954623828903271</v>
      </c>
      <c r="V220" s="658">
        <v>-0.1706824180795703</v>
      </c>
      <c r="W220" s="659">
        <v>-1.3236950765015101</v>
      </c>
      <c r="X220" s="658">
        <v>-0.12389933722851465</v>
      </c>
      <c r="Y220" s="659">
        <v>-0.64167374772276853</v>
      </c>
      <c r="Z220" s="658">
        <v>-0.11443912713118609</v>
      </c>
      <c r="AA220" s="659">
        <v>-0.51672436037158598</v>
      </c>
      <c r="AB220" s="658">
        <v>0.17667288855710836</v>
      </c>
      <c r="AC220" s="660">
        <v>-1.6959383523607607</v>
      </c>
      <c r="AD220" s="682">
        <v>23884625000169</v>
      </c>
      <c r="AE220" s="944" t="s">
        <v>1927</v>
      </c>
      <c r="AF220" s="661" t="s">
        <v>1729</v>
      </c>
      <c r="AG220" s="662" t="s">
        <v>1433</v>
      </c>
      <c r="AH220" s="662" t="s">
        <v>1801</v>
      </c>
      <c r="AI220" s="662">
        <v>500000</v>
      </c>
      <c r="AJ220" s="662">
        <v>50000</v>
      </c>
      <c r="AK220" s="662">
        <v>50000</v>
      </c>
      <c r="AL220" s="658">
        <v>1.9E-2</v>
      </c>
      <c r="AM220" s="658">
        <v>0.2</v>
      </c>
      <c r="AN220" s="659" t="s">
        <v>64</v>
      </c>
      <c r="AO220" s="253" t="s">
        <v>34</v>
      </c>
      <c r="AP220" s="944" t="s">
        <v>1746</v>
      </c>
      <c r="AQ220" s="663" t="s">
        <v>679</v>
      </c>
      <c r="AR220" s="658">
        <v>0</v>
      </c>
      <c r="AS220" s="658">
        <v>0</v>
      </c>
      <c r="AT220" s="658" t="s">
        <v>1417</v>
      </c>
      <c r="AU220" s="658" t="s">
        <v>2751</v>
      </c>
      <c r="AX220"/>
      <c r="AY220"/>
      <c r="BA220"/>
      <c r="BB220"/>
      <c r="BC220"/>
      <c r="BD220"/>
      <c r="BE220"/>
      <c r="BF220"/>
      <c r="BG220"/>
      <c r="BH220"/>
      <c r="BI220"/>
      <c r="BJ220"/>
      <c r="BR220"/>
      <c r="BS220"/>
      <c r="BT220"/>
      <c r="BU220"/>
      <c r="BX220"/>
      <c r="BY220"/>
      <c r="CA220"/>
    </row>
    <row r="221" spans="2:79" ht="18.75">
      <c r="B221" s="252" t="s">
        <v>2643</v>
      </c>
      <c r="C221" s="251">
        <v>24751504000101</v>
      </c>
      <c r="D221" s="252" t="s">
        <v>13</v>
      </c>
      <c r="E221" s="252" t="s">
        <v>615</v>
      </c>
      <c r="F221" s="252" t="s">
        <v>619</v>
      </c>
      <c r="G221" s="253" t="s">
        <v>34</v>
      </c>
      <c r="H221" s="253" t="s">
        <v>1338</v>
      </c>
      <c r="I221" s="253" t="s">
        <v>34</v>
      </c>
      <c r="J221" s="253" t="s">
        <v>608</v>
      </c>
      <c r="K221" s="253" t="s">
        <v>48</v>
      </c>
      <c r="L221" s="655"/>
      <c r="M221" s="655" t="s">
        <v>34</v>
      </c>
      <c r="N221" s="253" t="s">
        <v>2794</v>
      </c>
      <c r="O221" s="253" t="s">
        <v>1321</v>
      </c>
      <c r="P221" s="656">
        <v>43151</v>
      </c>
      <c r="Q221" s="657"/>
      <c r="R221" s="657"/>
      <c r="S221" s="253">
        <v>2</v>
      </c>
      <c r="T221" s="658"/>
      <c r="U221" s="659"/>
      <c r="V221" s="658"/>
      <c r="W221" s="659"/>
      <c r="X221" s="658"/>
      <c r="Y221" s="659"/>
      <c r="Z221" s="658"/>
      <c r="AA221" s="659"/>
      <c r="AB221" s="658"/>
      <c r="AC221" s="660"/>
      <c r="AD221" s="682">
        <v>28078776000143</v>
      </c>
      <c r="AE221" s="944" t="s">
        <v>1927</v>
      </c>
      <c r="AF221" s="661" t="s">
        <v>1767</v>
      </c>
      <c r="AG221" s="662" t="s">
        <v>59</v>
      </c>
      <c r="AH221" s="662" t="s">
        <v>2119</v>
      </c>
      <c r="AI221" s="662">
        <v>1</v>
      </c>
      <c r="AJ221" s="662">
        <v>1</v>
      </c>
      <c r="AK221" s="662">
        <v>1</v>
      </c>
      <c r="AL221" s="658">
        <v>0.02</v>
      </c>
      <c r="AM221" s="658">
        <v>0</v>
      </c>
      <c r="AN221" s="659" t="s">
        <v>64</v>
      </c>
      <c r="AO221" s="253" t="s">
        <v>4400</v>
      </c>
      <c r="AP221" s="944" t="s">
        <v>1746</v>
      </c>
      <c r="AQ221" s="663" t="s">
        <v>2177</v>
      </c>
      <c r="AR221" s="658">
        <v>0</v>
      </c>
      <c r="AS221" s="658">
        <v>0</v>
      </c>
      <c r="AT221" s="658" t="s">
        <v>1417</v>
      </c>
      <c r="AU221" s="658" t="s">
        <v>2751</v>
      </c>
      <c r="AX221"/>
      <c r="AY221"/>
      <c r="BA221"/>
      <c r="BB221"/>
      <c r="BC221"/>
      <c r="BD221"/>
      <c r="BE221"/>
      <c r="BF221"/>
      <c r="BG221"/>
      <c r="BH221"/>
      <c r="BI221"/>
      <c r="BJ221"/>
      <c r="BR221"/>
      <c r="BS221"/>
      <c r="BT221"/>
      <c r="BU221"/>
      <c r="BX221"/>
      <c r="BY221"/>
      <c r="CA221"/>
    </row>
    <row r="222" spans="2:79" ht="18.75">
      <c r="B222" s="252" t="s">
        <v>733</v>
      </c>
      <c r="C222" s="251">
        <v>24029438000160</v>
      </c>
      <c r="D222" s="252" t="s">
        <v>13</v>
      </c>
      <c r="E222" s="252" t="s">
        <v>615</v>
      </c>
      <c r="F222" s="252" t="s">
        <v>619</v>
      </c>
      <c r="G222" s="253" t="s">
        <v>34</v>
      </c>
      <c r="H222" s="253" t="s">
        <v>1338</v>
      </c>
      <c r="I222" s="253" t="s">
        <v>34</v>
      </c>
      <c r="J222" s="253" t="s">
        <v>611</v>
      </c>
      <c r="K222" s="253" t="s">
        <v>48</v>
      </c>
      <c r="L222" s="655"/>
      <c r="M222" s="655" t="s">
        <v>34</v>
      </c>
      <c r="N222" s="253" t="s">
        <v>2795</v>
      </c>
      <c r="O222" s="253" t="s">
        <v>1321</v>
      </c>
      <c r="P222" s="656">
        <v>42491</v>
      </c>
      <c r="Q222" s="657">
        <v>159.25984299999999</v>
      </c>
      <c r="R222" s="657">
        <v>192.88205325403237</v>
      </c>
      <c r="S222" s="253">
        <v>31</v>
      </c>
      <c r="T222" s="658">
        <v>1.0738247933185008E-2</v>
      </c>
      <c r="U222" s="659">
        <v>0.536955890794379</v>
      </c>
      <c r="V222" s="658">
        <v>-3.963009897158154E-2</v>
      </c>
      <c r="W222" s="659">
        <v>-0.30734370581447124</v>
      </c>
      <c r="X222" s="658">
        <v>1.1074726570179383E-3</v>
      </c>
      <c r="Y222" s="659">
        <v>5.7355926692208674E-3</v>
      </c>
      <c r="Z222" s="658">
        <v>1.1905148062997917E-2</v>
      </c>
      <c r="AA222" s="659">
        <v>5.3755041411052626E-2</v>
      </c>
      <c r="AB222" s="658">
        <v>8.8866547391815556E-2</v>
      </c>
      <c r="AC222" s="660">
        <v>-1.896934373686439</v>
      </c>
      <c r="AD222" s="682">
        <v>23884632000160</v>
      </c>
      <c r="AE222" s="944" t="s">
        <v>1927</v>
      </c>
      <c r="AF222" s="661" t="s">
        <v>1729</v>
      </c>
      <c r="AG222" s="662" t="s">
        <v>1433</v>
      </c>
      <c r="AH222" s="662" t="s">
        <v>1734</v>
      </c>
      <c r="AI222" s="662">
        <v>50000</v>
      </c>
      <c r="AJ222" s="662">
        <v>5000</v>
      </c>
      <c r="AK222" s="662">
        <v>10000</v>
      </c>
      <c r="AL222" s="658">
        <v>1.9E-2</v>
      </c>
      <c r="AM222" s="658">
        <v>0.2</v>
      </c>
      <c r="AN222" s="659" t="s">
        <v>64</v>
      </c>
      <c r="AO222" s="253" t="s">
        <v>34</v>
      </c>
      <c r="AP222" s="944" t="s">
        <v>1746</v>
      </c>
      <c r="AQ222" s="663" t="s">
        <v>664</v>
      </c>
      <c r="AR222" s="658">
        <v>3.8E-3</v>
      </c>
      <c r="AS222" s="658">
        <v>3.8E-3</v>
      </c>
      <c r="AT222" s="658" t="s">
        <v>1417</v>
      </c>
      <c r="AU222" s="658" t="s">
        <v>2751</v>
      </c>
      <c r="AX222"/>
      <c r="AY222"/>
      <c r="BA222"/>
      <c r="BB222"/>
      <c r="BC222"/>
      <c r="BD222"/>
      <c r="BE222"/>
      <c r="BF222"/>
      <c r="BG222"/>
      <c r="BH222"/>
      <c r="BI222"/>
      <c r="BJ222"/>
      <c r="BR222"/>
      <c r="BS222"/>
      <c r="BT222"/>
      <c r="BU222"/>
      <c r="BX222"/>
      <c r="BY222"/>
      <c r="CA222"/>
    </row>
    <row r="223" spans="2:79" ht="18.75">
      <c r="B223" s="252" t="s">
        <v>1491</v>
      </c>
      <c r="C223" s="251">
        <v>28951272000196</v>
      </c>
      <c r="D223" s="252" t="s">
        <v>13</v>
      </c>
      <c r="E223" s="252" t="s">
        <v>615</v>
      </c>
      <c r="F223" s="252" t="s">
        <v>619</v>
      </c>
      <c r="G223" s="253" t="s">
        <v>34</v>
      </c>
      <c r="H223" s="253" t="s">
        <v>1338</v>
      </c>
      <c r="I223" s="253" t="s">
        <v>34</v>
      </c>
      <c r="J223" s="253" t="s">
        <v>611</v>
      </c>
      <c r="K223" s="253" t="s">
        <v>48</v>
      </c>
      <c r="L223" s="655"/>
      <c r="M223" s="655" t="s">
        <v>34</v>
      </c>
      <c r="N223" s="253" t="s">
        <v>2796</v>
      </c>
      <c r="O223" s="253" t="s">
        <v>1321</v>
      </c>
      <c r="P223" s="656">
        <v>43160</v>
      </c>
      <c r="Q223" s="657">
        <v>3.0838069300000002</v>
      </c>
      <c r="R223" s="657">
        <v>5.8752828693975854</v>
      </c>
      <c r="S223" s="253">
        <v>61</v>
      </c>
      <c r="T223" s="658">
        <v>7.2813340966355611E-3</v>
      </c>
      <c r="U223" s="659">
        <v>0.36409619710380292</v>
      </c>
      <c r="V223" s="658">
        <v>-4.2521290516372434E-2</v>
      </c>
      <c r="W223" s="659">
        <v>-0.3297657927295885</v>
      </c>
      <c r="X223" s="658">
        <v>2.6611659567383761E-2</v>
      </c>
      <c r="Y223" s="659">
        <v>0.1378215873441789</v>
      </c>
      <c r="Z223" s="658">
        <v>3.6289250586209354E-2</v>
      </c>
      <c r="AA223" s="659">
        <v>0.16385601906966313</v>
      </c>
      <c r="AB223" s="658">
        <v>8.4000975747931111E-2</v>
      </c>
      <c r="AC223" s="660">
        <v>-2.0412286695060664</v>
      </c>
      <c r="AD223" s="682">
        <v>26744792000100</v>
      </c>
      <c r="AE223" s="944" t="s">
        <v>1927</v>
      </c>
      <c r="AF223" s="661" t="s">
        <v>1733</v>
      </c>
      <c r="AG223" s="662" t="s">
        <v>59</v>
      </c>
      <c r="AH223" s="662" t="s">
        <v>1734</v>
      </c>
      <c r="AI223" s="662">
        <v>50000</v>
      </c>
      <c r="AJ223" s="662">
        <v>50000</v>
      </c>
      <c r="AK223" s="662">
        <v>50000</v>
      </c>
      <c r="AL223" s="658">
        <v>2.5000000000000001E-2</v>
      </c>
      <c r="AM223" s="658">
        <v>0.2</v>
      </c>
      <c r="AN223" s="659" t="s">
        <v>64</v>
      </c>
      <c r="AO223" s="253" t="s">
        <v>34</v>
      </c>
      <c r="AP223" s="944" t="s">
        <v>1746</v>
      </c>
      <c r="AQ223" s="663" t="s">
        <v>664</v>
      </c>
      <c r="AR223" s="658">
        <v>0</v>
      </c>
      <c r="AS223" s="658">
        <v>0</v>
      </c>
      <c r="AT223" s="658" t="s">
        <v>1417</v>
      </c>
      <c r="AU223" s="658" t="s">
        <v>2751</v>
      </c>
      <c r="AX223"/>
      <c r="AY223"/>
      <c r="BA223"/>
      <c r="BB223"/>
      <c r="BC223"/>
      <c r="BD223"/>
      <c r="BE223"/>
      <c r="BF223"/>
      <c r="BG223"/>
      <c r="BH223"/>
      <c r="BI223"/>
      <c r="BJ223"/>
      <c r="BR223"/>
      <c r="BS223"/>
      <c r="BT223"/>
      <c r="BU223"/>
      <c r="BX223"/>
      <c r="BY223"/>
      <c r="CA223"/>
    </row>
    <row r="224" spans="2:79" ht="18.75">
      <c r="B224" s="252" t="s">
        <v>1492</v>
      </c>
      <c r="C224" s="251">
        <v>26744850000198</v>
      </c>
      <c r="D224" s="252" t="s">
        <v>13</v>
      </c>
      <c r="E224" s="252" t="s">
        <v>615</v>
      </c>
      <c r="F224" s="252" t="s">
        <v>619</v>
      </c>
      <c r="G224" s="253" t="s">
        <v>34</v>
      </c>
      <c r="H224" s="253" t="s">
        <v>1338</v>
      </c>
      <c r="I224" s="253" t="s">
        <v>34</v>
      </c>
      <c r="J224" s="253" t="s">
        <v>611</v>
      </c>
      <c r="K224" s="253" t="s">
        <v>48</v>
      </c>
      <c r="L224" s="655"/>
      <c r="M224" s="655" t="s">
        <v>34</v>
      </c>
      <c r="N224" s="253" t="s">
        <v>2797</v>
      </c>
      <c r="O224" s="253" t="s">
        <v>1321</v>
      </c>
      <c r="P224" s="656">
        <v>42918</v>
      </c>
      <c r="Q224" s="657">
        <v>10.39925</v>
      </c>
      <c r="R224" s="657">
        <v>21.635631244979933</v>
      </c>
      <c r="S224" s="253">
        <v>31</v>
      </c>
      <c r="T224" s="658">
        <v>8.4288754186438997E-3</v>
      </c>
      <c r="U224" s="659">
        <v>0.42147791119871908</v>
      </c>
      <c r="V224" s="658">
        <v>-3.7733722162687444E-2</v>
      </c>
      <c r="W224" s="659">
        <v>-0.29263671564308452</v>
      </c>
      <c r="X224" s="658">
        <v>3.4110002831882147E-2</v>
      </c>
      <c r="Y224" s="659">
        <v>0.17665545144603725</v>
      </c>
      <c r="Z224" s="658">
        <v>4.5232099851080898E-2</v>
      </c>
      <c r="AA224" s="659">
        <v>0.20423546080546939</v>
      </c>
      <c r="AB224" s="658">
        <v>8.4654389141417874E-2</v>
      </c>
      <c r="AC224" s="660">
        <v>-1.968918957421516</v>
      </c>
      <c r="AD224" s="682">
        <v>26744792000100</v>
      </c>
      <c r="AE224" s="944" t="s">
        <v>1927</v>
      </c>
      <c r="AF224" s="661" t="s">
        <v>1733</v>
      </c>
      <c r="AG224" s="662" t="s">
        <v>59</v>
      </c>
      <c r="AH224" s="662" t="s">
        <v>1734</v>
      </c>
      <c r="AI224" s="662">
        <v>50000</v>
      </c>
      <c r="AJ224" s="662">
        <v>50000</v>
      </c>
      <c r="AK224" s="662">
        <v>50000</v>
      </c>
      <c r="AL224" s="658">
        <v>2.5000000000000001E-2</v>
      </c>
      <c r="AM224" s="658">
        <v>0.2</v>
      </c>
      <c r="AN224" s="659" t="s">
        <v>64</v>
      </c>
      <c r="AO224" s="253" t="s">
        <v>34</v>
      </c>
      <c r="AP224" s="944" t="s">
        <v>1746</v>
      </c>
      <c r="AQ224" s="663" t="s">
        <v>664</v>
      </c>
      <c r="AR224" s="658">
        <v>0</v>
      </c>
      <c r="AS224" s="658">
        <v>0</v>
      </c>
      <c r="AT224" s="658" t="s">
        <v>1417</v>
      </c>
      <c r="AU224" s="658" t="s">
        <v>2751</v>
      </c>
      <c r="AX224"/>
      <c r="AY224"/>
      <c r="BA224"/>
      <c r="BB224"/>
      <c r="BC224"/>
      <c r="BD224"/>
      <c r="BE224"/>
      <c r="BF224"/>
      <c r="BG224"/>
      <c r="BH224"/>
      <c r="BI224"/>
      <c r="BJ224"/>
      <c r="BR224"/>
      <c r="BS224"/>
      <c r="BT224"/>
      <c r="BU224"/>
      <c r="BX224"/>
      <c r="BY224"/>
      <c r="CA224"/>
    </row>
    <row r="225" spans="2:79" ht="18.75">
      <c r="B225" s="252" t="s">
        <v>74</v>
      </c>
      <c r="C225" s="251">
        <v>29286406000164</v>
      </c>
      <c r="D225" s="252" t="s">
        <v>13</v>
      </c>
      <c r="E225" s="252" t="s">
        <v>615</v>
      </c>
      <c r="F225" s="252" t="s">
        <v>619</v>
      </c>
      <c r="G225" s="253" t="s">
        <v>34</v>
      </c>
      <c r="H225" s="253" t="s">
        <v>1338</v>
      </c>
      <c r="I225" s="253" t="s">
        <v>34</v>
      </c>
      <c r="J225" s="253" t="s">
        <v>611</v>
      </c>
      <c r="K225" s="253" t="s">
        <v>48</v>
      </c>
      <c r="L225" s="655"/>
      <c r="M225" s="655" t="s">
        <v>34</v>
      </c>
      <c r="N225" s="253" t="s">
        <v>2798</v>
      </c>
      <c r="O225" s="253" t="s">
        <v>1321</v>
      </c>
      <c r="P225" s="656">
        <v>43160</v>
      </c>
      <c r="Q225" s="657">
        <v>0</v>
      </c>
      <c r="R225" s="657">
        <v>103.26978996267209</v>
      </c>
      <c r="S225" s="253">
        <v>61</v>
      </c>
      <c r="T225" s="658">
        <v>8.9557499290300324E-3</v>
      </c>
      <c r="U225" s="659">
        <v>0.44782377076738772</v>
      </c>
      <c r="V225" s="658">
        <v>-3.6589497257548897E-2</v>
      </c>
      <c r="W225" s="659">
        <v>-0.28376289670857535</v>
      </c>
      <c r="X225" s="658">
        <v>3.5403263630609194E-2</v>
      </c>
      <c r="Y225" s="659">
        <v>0.18335323952194585</v>
      </c>
      <c r="Z225" s="658">
        <v>4.4254625148585136E-2</v>
      </c>
      <c r="AA225" s="659">
        <v>0.19982189174837994</v>
      </c>
      <c r="AB225" s="658">
        <v>8.4051997092674441E-2</v>
      </c>
      <c r="AC225" s="660">
        <v>-1.9694166995440057</v>
      </c>
      <c r="AD225" s="682">
        <v>26744792000100</v>
      </c>
      <c r="AE225" s="944" t="s">
        <v>1927</v>
      </c>
      <c r="AF225" s="661" t="s">
        <v>1729</v>
      </c>
      <c r="AG225" s="662" t="s">
        <v>1433</v>
      </c>
      <c r="AH225" s="662" t="s">
        <v>1734</v>
      </c>
      <c r="AI225" s="662">
        <v>25000</v>
      </c>
      <c r="AJ225" s="662">
        <v>10000</v>
      </c>
      <c r="AK225" s="662">
        <v>10000</v>
      </c>
      <c r="AL225" s="658">
        <v>1.9E-2</v>
      </c>
      <c r="AM225" s="658">
        <v>0.2</v>
      </c>
      <c r="AN225" s="659" t="s">
        <v>64</v>
      </c>
      <c r="AO225" s="253" t="s">
        <v>34</v>
      </c>
      <c r="AP225" s="944" t="s">
        <v>1746</v>
      </c>
      <c r="AQ225" s="663" t="s">
        <v>664</v>
      </c>
      <c r="AR225" s="658">
        <v>3.8E-3</v>
      </c>
      <c r="AS225" s="658">
        <v>3.8E-3</v>
      </c>
      <c r="AT225" s="658" t="s">
        <v>1417</v>
      </c>
      <c r="AU225" s="658" t="s">
        <v>2751</v>
      </c>
      <c r="AX225"/>
      <c r="AY225"/>
      <c r="BA225"/>
      <c r="BB225"/>
      <c r="BC225"/>
      <c r="BD225"/>
      <c r="BE225"/>
      <c r="BF225"/>
      <c r="BG225"/>
      <c r="BH225"/>
      <c r="BI225"/>
      <c r="BJ225"/>
      <c r="BR225"/>
      <c r="BS225"/>
      <c r="BT225"/>
      <c r="BU225"/>
      <c r="BX225"/>
      <c r="BY225"/>
      <c r="CA225"/>
    </row>
    <row r="226" spans="2:79" ht="18.75">
      <c r="B226" s="252" t="s">
        <v>75</v>
      </c>
      <c r="C226" s="251">
        <v>23951048000180</v>
      </c>
      <c r="D226" s="252" t="s">
        <v>13</v>
      </c>
      <c r="E226" s="252" t="s">
        <v>615</v>
      </c>
      <c r="F226" s="252" t="s">
        <v>619</v>
      </c>
      <c r="G226" s="253" t="s">
        <v>34</v>
      </c>
      <c r="H226" s="253" t="s">
        <v>1338</v>
      </c>
      <c r="I226" s="253" t="s">
        <v>34</v>
      </c>
      <c r="J226" s="253" t="s">
        <v>611</v>
      </c>
      <c r="K226" s="253" t="s">
        <v>48</v>
      </c>
      <c r="L226" s="655"/>
      <c r="M226" s="655" t="s">
        <v>34</v>
      </c>
      <c r="N226" s="253" t="s">
        <v>2799</v>
      </c>
      <c r="O226" s="253" t="s">
        <v>1321</v>
      </c>
      <c r="P226" s="656">
        <v>42918</v>
      </c>
      <c r="Q226" s="657">
        <v>132.37483800000001</v>
      </c>
      <c r="R226" s="657">
        <v>192.7349472137096</v>
      </c>
      <c r="S226" s="253">
        <v>31</v>
      </c>
      <c r="T226" s="658">
        <v>8.7075612065465879E-3</v>
      </c>
      <c r="U226" s="659">
        <v>0.43541332938110011</v>
      </c>
      <c r="V226" s="658">
        <v>-3.6531832302696299E-2</v>
      </c>
      <c r="W226" s="659">
        <v>-0.28331568710325161</v>
      </c>
      <c r="X226" s="658">
        <v>3.47013748738636E-2</v>
      </c>
      <c r="Y226" s="659">
        <v>0.1797181628613278</v>
      </c>
      <c r="Z226" s="658">
        <v>4.5139754310161484E-2</v>
      </c>
      <c r="AA226" s="659">
        <v>0.20381849510710251</v>
      </c>
      <c r="AB226" s="658">
        <v>8.4614834199242137E-2</v>
      </c>
      <c r="AC226" s="660">
        <v>-1.9556351237401202</v>
      </c>
      <c r="AD226" s="682">
        <v>26744792000100</v>
      </c>
      <c r="AE226" s="944" t="s">
        <v>1927</v>
      </c>
      <c r="AF226" s="661" t="s">
        <v>1729</v>
      </c>
      <c r="AG226" s="662" t="s">
        <v>1433</v>
      </c>
      <c r="AH226" s="662" t="s">
        <v>1734</v>
      </c>
      <c r="AI226" s="662">
        <v>5000</v>
      </c>
      <c r="AJ226" s="662">
        <v>5000</v>
      </c>
      <c r="AK226" s="662">
        <v>5000</v>
      </c>
      <c r="AL226" s="658">
        <v>1.9E-2</v>
      </c>
      <c r="AM226" s="658">
        <v>0.2</v>
      </c>
      <c r="AN226" s="659" t="s">
        <v>64</v>
      </c>
      <c r="AO226" s="253" t="s">
        <v>34</v>
      </c>
      <c r="AP226" s="944" t="s">
        <v>1746</v>
      </c>
      <c r="AQ226" s="663" t="s">
        <v>664</v>
      </c>
      <c r="AR226" s="658">
        <v>3.8E-3</v>
      </c>
      <c r="AS226" s="658">
        <v>3.8E-3</v>
      </c>
      <c r="AT226" s="658" t="s">
        <v>1417</v>
      </c>
      <c r="AU226" s="658" t="s">
        <v>2751</v>
      </c>
      <c r="AX226"/>
      <c r="AY226"/>
      <c r="BA226"/>
      <c r="BB226"/>
      <c r="BC226"/>
      <c r="BD226"/>
      <c r="BE226"/>
      <c r="BF226"/>
      <c r="BG226"/>
      <c r="BH226"/>
      <c r="BI226"/>
      <c r="BJ226"/>
      <c r="BR226"/>
      <c r="BS226"/>
      <c r="BT226"/>
      <c r="BU226"/>
      <c r="BX226"/>
      <c r="BY226"/>
      <c r="CA226"/>
    </row>
    <row r="227" spans="2:79" ht="18.75">
      <c r="B227" s="252" t="s">
        <v>734</v>
      </c>
      <c r="C227" s="251">
        <v>27739651000154</v>
      </c>
      <c r="D227" s="252" t="s">
        <v>13</v>
      </c>
      <c r="E227" s="252" t="s">
        <v>615</v>
      </c>
      <c r="F227" s="252" t="s">
        <v>619</v>
      </c>
      <c r="G227" s="253" t="s">
        <v>34</v>
      </c>
      <c r="H227" s="253" t="s">
        <v>1338</v>
      </c>
      <c r="I227" s="253" t="s">
        <v>34</v>
      </c>
      <c r="J227" s="253" t="s">
        <v>611</v>
      </c>
      <c r="K227" s="253" t="s">
        <v>48</v>
      </c>
      <c r="L227" s="655"/>
      <c r="M227" s="655" t="s">
        <v>34</v>
      </c>
      <c r="N227" s="253" t="s">
        <v>2800</v>
      </c>
      <c r="O227" s="253" t="s">
        <v>1321</v>
      </c>
      <c r="P227" s="656">
        <v>42909</v>
      </c>
      <c r="Q227" s="657">
        <v>10.213587</v>
      </c>
      <c r="R227" s="657">
        <v>16.620284012048199</v>
      </c>
      <c r="S227" s="253">
        <v>31</v>
      </c>
      <c r="T227" s="658">
        <v>8.3190079057893218E-3</v>
      </c>
      <c r="U227" s="659">
        <v>0.41598409054927404</v>
      </c>
      <c r="V227" s="658">
        <v>-3.7042235614955343E-2</v>
      </c>
      <c r="W227" s="659">
        <v>-0.28727402305295907</v>
      </c>
      <c r="X227" s="658">
        <v>3.3146078489347142E-2</v>
      </c>
      <c r="Y227" s="659">
        <v>0.17166329443187292</v>
      </c>
      <c r="Z227" s="658">
        <v>4.4006561864857074E-2</v>
      </c>
      <c r="AA227" s="659">
        <v>0.19870181730505498</v>
      </c>
      <c r="AB227" s="658">
        <v>8.2040430084813737E-2</v>
      </c>
      <c r="AC227" s="660">
        <v>-2.0232237311548285</v>
      </c>
      <c r="AD227" s="682">
        <v>38281201000187</v>
      </c>
      <c r="AE227" s="944" t="s">
        <v>1797</v>
      </c>
      <c r="AF227" s="661" t="s">
        <v>1745</v>
      </c>
      <c r="AG227" s="662" t="s">
        <v>1432</v>
      </c>
      <c r="AH227" s="662" t="s">
        <v>1734</v>
      </c>
      <c r="AI227" s="662">
        <v>5000</v>
      </c>
      <c r="AJ227" s="662">
        <v>5000</v>
      </c>
      <c r="AK227" s="662">
        <v>5000</v>
      </c>
      <c r="AL227" s="658">
        <v>0</v>
      </c>
      <c r="AM227" s="658">
        <v>0</v>
      </c>
      <c r="AN227" s="659" t="s">
        <v>2127</v>
      </c>
      <c r="AO227" s="253" t="s">
        <v>34</v>
      </c>
      <c r="AP227" s="944" t="s">
        <v>1746</v>
      </c>
      <c r="AQ227" s="663" t="s">
        <v>668</v>
      </c>
      <c r="AR227" s="658">
        <v>3.8E-3</v>
      </c>
      <c r="AS227" s="658">
        <v>3.8E-3</v>
      </c>
      <c r="AT227" s="658" t="s">
        <v>1417</v>
      </c>
      <c r="AU227" s="658" t="s">
        <v>2751</v>
      </c>
      <c r="AX227"/>
      <c r="AY227"/>
      <c r="BA227"/>
      <c r="BB227"/>
      <c r="BC227"/>
      <c r="BD227"/>
      <c r="BE227"/>
      <c r="BF227"/>
      <c r="BG227"/>
      <c r="BH227"/>
      <c r="BI227"/>
      <c r="BJ227"/>
      <c r="BR227"/>
      <c r="BS227"/>
      <c r="BT227"/>
      <c r="BU227"/>
      <c r="BX227"/>
      <c r="BY227"/>
      <c r="CA227"/>
    </row>
    <row r="228" spans="2:79" ht="18.75">
      <c r="B228" s="252" t="s">
        <v>735</v>
      </c>
      <c r="C228" s="251">
        <v>35828705000186</v>
      </c>
      <c r="D228" s="252" t="s">
        <v>11</v>
      </c>
      <c r="E228" s="252" t="s">
        <v>4235</v>
      </c>
      <c r="F228" s="252" t="s">
        <v>663</v>
      </c>
      <c r="G228" s="253" t="s">
        <v>1417</v>
      </c>
      <c r="H228" s="253" t="s">
        <v>34</v>
      </c>
      <c r="I228" s="253" t="s">
        <v>1417</v>
      </c>
      <c r="J228" s="253" t="s">
        <v>611</v>
      </c>
      <c r="K228" s="253" t="s">
        <v>48</v>
      </c>
      <c r="L228" s="655"/>
      <c r="M228" s="655" t="s">
        <v>1414</v>
      </c>
      <c r="N228" s="253" t="s">
        <v>2801</v>
      </c>
      <c r="O228" s="253" t="s">
        <v>1321</v>
      </c>
      <c r="P228" s="656">
        <v>44048</v>
      </c>
      <c r="Q228" s="657">
        <v>0</v>
      </c>
      <c r="R228" s="657">
        <v>0</v>
      </c>
      <c r="S228" s="253">
        <v>16</v>
      </c>
      <c r="T228" s="658"/>
      <c r="U228" s="659"/>
      <c r="V228" s="658"/>
      <c r="W228" s="659"/>
      <c r="X228" s="658"/>
      <c r="Y228" s="659"/>
      <c r="Z228" s="658"/>
      <c r="AA228" s="659"/>
      <c r="AB228" s="658"/>
      <c r="AC228" s="660"/>
      <c r="AD228" s="682">
        <v>0</v>
      </c>
      <c r="AE228" s="944" t="s">
        <v>1807</v>
      </c>
      <c r="AF228" s="661" t="s">
        <v>1783</v>
      </c>
      <c r="AG228" s="662" t="s">
        <v>736</v>
      </c>
      <c r="AH228" s="662" t="s">
        <v>1730</v>
      </c>
      <c r="AI228" s="662">
        <v>5000</v>
      </c>
      <c r="AJ228" s="662">
        <v>1000</v>
      </c>
      <c r="AK228" s="662">
        <v>500</v>
      </c>
      <c r="AL228" s="658">
        <v>5.0000000000000001E-3</v>
      </c>
      <c r="AM228" s="658">
        <v>0.2</v>
      </c>
      <c r="AN228" s="659" t="s">
        <v>64</v>
      </c>
      <c r="AO228" s="253" t="s">
        <v>34</v>
      </c>
      <c r="AP228" s="944" t="s">
        <v>1735</v>
      </c>
      <c r="AQ228" s="663" t="s">
        <v>2133</v>
      </c>
      <c r="AR228" s="658">
        <v>1.33333333333333E-3</v>
      </c>
      <c r="AS228" s="658">
        <v>1.33333333333333E-3</v>
      </c>
      <c r="AT228" s="658" t="s">
        <v>1417</v>
      </c>
      <c r="AU228" s="658" t="s">
        <v>2751</v>
      </c>
      <c r="AX228"/>
      <c r="AY228"/>
      <c r="BA228"/>
      <c r="BB228"/>
      <c r="BC228"/>
      <c r="BD228"/>
      <c r="BE228"/>
      <c r="BF228"/>
      <c r="BG228"/>
      <c r="BH228"/>
      <c r="BI228"/>
      <c r="BJ228"/>
      <c r="BR228"/>
      <c r="BS228"/>
      <c r="BT228"/>
      <c r="BU228"/>
      <c r="BX228"/>
      <c r="BY228"/>
      <c r="CA228"/>
    </row>
    <row r="229" spans="2:79" ht="18.75">
      <c r="B229" s="252" t="s">
        <v>737</v>
      </c>
      <c r="C229" s="251">
        <v>9720734000110</v>
      </c>
      <c r="D229" s="252" t="s">
        <v>11</v>
      </c>
      <c r="E229" s="252" t="s">
        <v>620</v>
      </c>
      <c r="F229" s="252" t="s">
        <v>663</v>
      </c>
      <c r="G229" s="253" t="s">
        <v>738</v>
      </c>
      <c r="H229" s="253" t="s">
        <v>34</v>
      </c>
      <c r="I229" s="253" t="s">
        <v>1417</v>
      </c>
      <c r="J229" s="253" t="s">
        <v>608</v>
      </c>
      <c r="K229" s="253" t="s">
        <v>48</v>
      </c>
      <c r="L229" s="655"/>
      <c r="M229" s="655" t="s">
        <v>34</v>
      </c>
      <c r="N229" s="253" t="s">
        <v>2802</v>
      </c>
      <c r="O229" s="253" t="s">
        <v>1321</v>
      </c>
      <c r="P229" s="656">
        <v>39702</v>
      </c>
      <c r="Q229" s="657">
        <v>644.60953600000005</v>
      </c>
      <c r="R229" s="657">
        <v>718.54388463052203</v>
      </c>
      <c r="S229" s="253">
        <v>1</v>
      </c>
      <c r="T229" s="658">
        <v>-2.3037088896249447E-4</v>
      </c>
      <c r="U229" s="659">
        <v>-1.1519477540993932E-2</v>
      </c>
      <c r="V229" s="658">
        <v>0.11890801196348533</v>
      </c>
      <c r="W229" s="659">
        <v>0.92216850313938581</v>
      </c>
      <c r="X229" s="658">
        <v>0.19973551197744532</v>
      </c>
      <c r="Y229" s="659">
        <v>1.0344287337672449</v>
      </c>
      <c r="Z229" s="658">
        <v>0.1804396137191695</v>
      </c>
      <c r="AA229" s="659">
        <v>0.81473484045235711</v>
      </c>
      <c r="AB229" s="658">
        <v>9.9668537881651455E-3</v>
      </c>
      <c r="AC229" s="660">
        <v>-1.0069273309918385</v>
      </c>
      <c r="AD229" s="682">
        <v>0</v>
      </c>
      <c r="AE229" s="944" t="s">
        <v>1807</v>
      </c>
      <c r="AF229" s="661" t="s">
        <v>1745</v>
      </c>
      <c r="AG229" s="662" t="s">
        <v>1432</v>
      </c>
      <c r="AH229" s="662" t="s">
        <v>1734</v>
      </c>
      <c r="AI229" s="662">
        <v>1000</v>
      </c>
      <c r="AJ229" s="662">
        <v>1000</v>
      </c>
      <c r="AK229" s="662">
        <v>500</v>
      </c>
      <c r="AL229" s="658">
        <v>4.0000000000000001E-3</v>
      </c>
      <c r="AM229" s="658">
        <v>0</v>
      </c>
      <c r="AN229" s="659" t="s">
        <v>64</v>
      </c>
      <c r="AO229" s="253" t="s">
        <v>34</v>
      </c>
      <c r="AP229" s="944" t="s">
        <v>1735</v>
      </c>
      <c r="AQ229" s="663" t="s">
        <v>669</v>
      </c>
      <c r="AR229" s="658">
        <v>1.06666666666667E-3</v>
      </c>
      <c r="AS229" s="658">
        <v>1.06666666666667E-3</v>
      </c>
      <c r="AT229" s="658" t="s">
        <v>1417</v>
      </c>
      <c r="AU229" s="658" t="s">
        <v>2751</v>
      </c>
      <c r="AX229"/>
      <c r="AY229"/>
      <c r="BA229"/>
      <c r="BB229"/>
      <c r="BC229"/>
      <c r="BD229"/>
      <c r="BE229"/>
      <c r="BF229"/>
      <c r="BG229"/>
      <c r="BH229"/>
      <c r="BI229"/>
      <c r="BJ229"/>
      <c r="BR229"/>
      <c r="BS229"/>
      <c r="BT229"/>
      <c r="BU229"/>
      <c r="BX229"/>
      <c r="BY229"/>
      <c r="CA229"/>
    </row>
    <row r="230" spans="2:79" ht="18.75">
      <c r="B230" s="252" t="s">
        <v>76</v>
      </c>
      <c r="C230" s="251">
        <v>29044189000104</v>
      </c>
      <c r="D230" s="252" t="s">
        <v>11</v>
      </c>
      <c r="E230" s="252" t="s">
        <v>620</v>
      </c>
      <c r="F230" s="252" t="s">
        <v>663</v>
      </c>
      <c r="G230" s="253" t="s">
        <v>738</v>
      </c>
      <c r="H230" s="253" t="s">
        <v>34</v>
      </c>
      <c r="I230" s="253" t="s">
        <v>1417</v>
      </c>
      <c r="J230" s="253" t="s">
        <v>608</v>
      </c>
      <c r="K230" s="253" t="s">
        <v>48</v>
      </c>
      <c r="L230" s="655"/>
      <c r="M230" s="655" t="s">
        <v>34</v>
      </c>
      <c r="N230" s="253" t="s">
        <v>2803</v>
      </c>
      <c r="O230" s="253" t="s">
        <v>1321</v>
      </c>
      <c r="P230" s="656">
        <v>43075</v>
      </c>
      <c r="Q230" s="657">
        <v>514.14047337</v>
      </c>
      <c r="R230" s="657">
        <v>419.70226409084671</v>
      </c>
      <c r="S230" s="253">
        <v>31</v>
      </c>
      <c r="T230" s="658">
        <v>-1.5066571258350536E-2</v>
      </c>
      <c r="U230" s="659">
        <v>-0.75338958846753401</v>
      </c>
      <c r="V230" s="658">
        <v>0.11199195387409167</v>
      </c>
      <c r="W230" s="659">
        <v>0.868532328161709</v>
      </c>
      <c r="X230" s="658">
        <v>0.20575179022913814</v>
      </c>
      <c r="Y230" s="659">
        <v>1.0655869941700959</v>
      </c>
      <c r="Z230" s="658">
        <v>0.19430042111183776</v>
      </c>
      <c r="AA230" s="659">
        <v>0.87732022548417343</v>
      </c>
      <c r="AB230" s="658">
        <v>1.5270170411807088E-2</v>
      </c>
      <c r="AC230" s="660">
        <v>-1.1101353236758393</v>
      </c>
      <c r="AD230" s="682">
        <v>0</v>
      </c>
      <c r="AE230" s="944" t="s">
        <v>1807</v>
      </c>
      <c r="AF230" s="661" t="s">
        <v>1745</v>
      </c>
      <c r="AG230" s="662" t="s">
        <v>1432</v>
      </c>
      <c r="AH230" s="662" t="s">
        <v>1734</v>
      </c>
      <c r="AI230" s="662">
        <v>1000</v>
      </c>
      <c r="AJ230" s="662">
        <v>1000</v>
      </c>
      <c r="AK230" s="662">
        <v>500</v>
      </c>
      <c r="AL230" s="658">
        <v>5.0000000000000001E-3</v>
      </c>
      <c r="AM230" s="658">
        <v>0</v>
      </c>
      <c r="AN230" s="659" t="s">
        <v>64</v>
      </c>
      <c r="AO230" s="253" t="s">
        <v>34</v>
      </c>
      <c r="AP230" s="944" t="s">
        <v>1735</v>
      </c>
      <c r="AQ230" s="663" t="s">
        <v>669</v>
      </c>
      <c r="AR230" s="658">
        <v>1.33333333333333E-3</v>
      </c>
      <c r="AS230" s="658">
        <v>1.33333333333333E-3</v>
      </c>
      <c r="AT230" s="658" t="s">
        <v>1417</v>
      </c>
      <c r="AU230" s="658" t="s">
        <v>2751</v>
      </c>
      <c r="AX230"/>
      <c r="AY230"/>
      <c r="BA230"/>
      <c r="BB230"/>
      <c r="BC230"/>
      <c r="BD230"/>
      <c r="BE230"/>
      <c r="BF230"/>
      <c r="BG230"/>
      <c r="BH230"/>
      <c r="BI230"/>
      <c r="BJ230"/>
      <c r="BR230"/>
      <c r="BS230"/>
      <c r="BT230"/>
      <c r="BU230"/>
      <c r="BX230"/>
      <c r="BY230"/>
      <c r="CA230"/>
    </row>
    <row r="231" spans="2:79" ht="18.75">
      <c r="B231" s="252" t="s">
        <v>739</v>
      </c>
      <c r="C231" s="251">
        <v>11209172000196</v>
      </c>
      <c r="D231" s="252" t="s">
        <v>14</v>
      </c>
      <c r="E231" s="252" t="s">
        <v>607</v>
      </c>
      <c r="F231" s="252" t="s">
        <v>1417</v>
      </c>
      <c r="G231" s="253" t="s">
        <v>1417</v>
      </c>
      <c r="H231" s="253" t="s">
        <v>34</v>
      </c>
      <c r="I231" s="253" t="s">
        <v>34</v>
      </c>
      <c r="J231" s="253" t="s">
        <v>608</v>
      </c>
      <c r="K231" s="253" t="s">
        <v>48</v>
      </c>
      <c r="L231" s="655"/>
      <c r="M231" s="655" t="s">
        <v>34</v>
      </c>
      <c r="N231" s="253" t="s">
        <v>2804</v>
      </c>
      <c r="O231" s="253" t="s">
        <v>1321</v>
      </c>
      <c r="P231" s="656">
        <v>40201</v>
      </c>
      <c r="Q231" s="657">
        <v>55.218223000000002</v>
      </c>
      <c r="R231" s="657">
        <v>76.291236855421701</v>
      </c>
      <c r="S231" s="253">
        <v>12</v>
      </c>
      <c r="T231" s="658">
        <v>-4.983817888153308E-2</v>
      </c>
      <c r="U231" s="659">
        <v>-2.4921108083379679</v>
      </c>
      <c r="V231" s="658">
        <v>-0.13408956006259498</v>
      </c>
      <c r="W231" s="659">
        <v>-1.0399061160614964</v>
      </c>
      <c r="X231" s="658">
        <v>-0.10653622064467505</v>
      </c>
      <c r="Y231" s="659">
        <v>-0.55175029583253865</v>
      </c>
      <c r="Z231" s="658">
        <v>-0.106052312780201</v>
      </c>
      <c r="AA231" s="659">
        <v>-0.47885557030208337</v>
      </c>
      <c r="AB231" s="658">
        <v>0.25580374928945909</v>
      </c>
      <c r="AC231" s="660">
        <v>-1.0282627609642396</v>
      </c>
      <c r="AD231" s="682">
        <v>0</v>
      </c>
      <c r="AE231" s="944" t="s">
        <v>1807</v>
      </c>
      <c r="AF231" s="661" t="s">
        <v>1745</v>
      </c>
      <c r="AG231" s="662" t="s">
        <v>1432</v>
      </c>
      <c r="AH231" s="662" t="s">
        <v>1734</v>
      </c>
      <c r="AI231" s="662">
        <v>1000</v>
      </c>
      <c r="AJ231" s="662">
        <v>1000</v>
      </c>
      <c r="AK231" s="662">
        <v>1000</v>
      </c>
      <c r="AL231" s="658">
        <v>0.02</v>
      </c>
      <c r="AM231" s="658">
        <v>0.15</v>
      </c>
      <c r="AN231" s="659" t="s">
        <v>34</v>
      </c>
      <c r="AO231" s="253" t="s">
        <v>34</v>
      </c>
      <c r="AP231" s="944" t="s">
        <v>1731</v>
      </c>
      <c r="AQ231" s="663" t="s">
        <v>659</v>
      </c>
      <c r="AR231" s="658">
        <v>5.3333333333333297E-3</v>
      </c>
      <c r="AS231" s="658">
        <v>5.3333333333333297E-3</v>
      </c>
      <c r="AT231" s="658" t="s">
        <v>1417</v>
      </c>
      <c r="AU231" s="658" t="s">
        <v>2751</v>
      </c>
      <c r="AX231"/>
      <c r="AY231"/>
      <c r="BA231"/>
      <c r="BB231"/>
      <c r="BC231"/>
      <c r="BD231"/>
      <c r="BE231"/>
      <c r="BF231"/>
      <c r="BG231"/>
      <c r="BH231"/>
      <c r="BI231"/>
      <c r="BJ231"/>
      <c r="BR231"/>
      <c r="BS231"/>
      <c r="BT231"/>
      <c r="BU231"/>
      <c r="BX231"/>
      <c r="BY231"/>
      <c r="CA231"/>
    </row>
    <row r="232" spans="2:79" ht="18.75">
      <c r="B232" s="252" t="s">
        <v>740</v>
      </c>
      <c r="C232" s="251">
        <v>31848238000103</v>
      </c>
      <c r="D232" s="252" t="s">
        <v>14</v>
      </c>
      <c r="E232" s="252" t="s">
        <v>607</v>
      </c>
      <c r="F232" s="252" t="s">
        <v>1417</v>
      </c>
      <c r="G232" s="253" t="s">
        <v>1417</v>
      </c>
      <c r="H232" s="253" t="s">
        <v>34</v>
      </c>
      <c r="I232" s="253" t="s">
        <v>34</v>
      </c>
      <c r="J232" s="253" t="s">
        <v>608</v>
      </c>
      <c r="K232" s="253" t="s">
        <v>48</v>
      </c>
      <c r="L232" s="655"/>
      <c r="M232" s="655" t="s">
        <v>1414</v>
      </c>
      <c r="N232" s="253" t="s">
        <v>2805</v>
      </c>
      <c r="O232" s="253" t="s">
        <v>1321</v>
      </c>
      <c r="P232" s="656">
        <v>43349</v>
      </c>
      <c r="Q232" s="657">
        <v>2.1809589699999998</v>
      </c>
      <c r="R232" s="657">
        <v>2.5850969102429149</v>
      </c>
      <c r="S232" s="253">
        <v>13</v>
      </c>
      <c r="T232" s="658">
        <v>-8.5825740439525733E-3</v>
      </c>
      <c r="U232" s="659">
        <v>-0.42916346500414437</v>
      </c>
      <c r="V232" s="658">
        <v>-1.5955431298266598E-2</v>
      </c>
      <c r="W232" s="659">
        <v>-0.12373931709315027</v>
      </c>
      <c r="X232" s="658">
        <v>-8.1214354785324905E-2</v>
      </c>
      <c r="Y232" s="659">
        <v>-0.42060854052730545</v>
      </c>
      <c r="Z232" s="658">
        <v>1.3761394136756033E-2</v>
      </c>
      <c r="AA232" s="659">
        <v>6.2136506642392599E-2</v>
      </c>
      <c r="AB232" s="658">
        <v>0.13981065472491164</v>
      </c>
      <c r="AC232" s="660">
        <v>-1.0363969829778403</v>
      </c>
      <c r="AD232" s="682">
        <v>0</v>
      </c>
      <c r="AE232" s="944" t="s">
        <v>1990</v>
      </c>
      <c r="AF232" s="661" t="s">
        <v>1742</v>
      </c>
      <c r="AG232" s="662" t="s">
        <v>741</v>
      </c>
      <c r="AH232" s="662" t="s">
        <v>1734</v>
      </c>
      <c r="AI232" s="662">
        <v>5000</v>
      </c>
      <c r="AJ232" s="662">
        <v>500</v>
      </c>
      <c r="AK232" s="662">
        <v>5000</v>
      </c>
      <c r="AL232" s="658">
        <v>0</v>
      </c>
      <c r="AM232" s="658">
        <v>0</v>
      </c>
      <c r="AN232" s="659" t="s">
        <v>666</v>
      </c>
      <c r="AO232" s="253" t="s">
        <v>34</v>
      </c>
      <c r="AP232" s="944" t="s">
        <v>1731</v>
      </c>
      <c r="AQ232" s="663" t="s">
        <v>665</v>
      </c>
      <c r="AR232" s="658">
        <v>1.33333333333333E-3</v>
      </c>
      <c r="AS232" s="658">
        <v>1.33333333333333E-3</v>
      </c>
      <c r="AT232" s="658" t="s">
        <v>1417</v>
      </c>
      <c r="AU232" s="658" t="s">
        <v>2751</v>
      </c>
      <c r="AX232"/>
      <c r="AY232"/>
      <c r="BA232"/>
      <c r="BB232"/>
      <c r="BC232"/>
      <c r="BD232"/>
      <c r="BE232"/>
      <c r="BF232"/>
      <c r="BG232"/>
      <c r="BH232"/>
      <c r="BI232"/>
      <c r="BJ232"/>
      <c r="BR232"/>
      <c r="BS232"/>
      <c r="BT232"/>
      <c r="BU232"/>
      <c r="BX232"/>
      <c r="BY232"/>
      <c r="CA232"/>
    </row>
    <row r="233" spans="2:79" ht="18.75">
      <c r="B233" s="252" t="s">
        <v>742</v>
      </c>
      <c r="C233" s="251">
        <v>12987743000186</v>
      </c>
      <c r="D233" s="252" t="s">
        <v>14</v>
      </c>
      <c r="E233" s="252" t="s">
        <v>607</v>
      </c>
      <c r="F233" s="252" t="s">
        <v>1317</v>
      </c>
      <c r="G233" s="253" t="s">
        <v>1417</v>
      </c>
      <c r="H233" s="253" t="s">
        <v>34</v>
      </c>
      <c r="I233" s="253" t="s">
        <v>34</v>
      </c>
      <c r="J233" s="253" t="s">
        <v>608</v>
      </c>
      <c r="K233" s="253" t="s">
        <v>48</v>
      </c>
      <c r="L233" s="655"/>
      <c r="M233" s="655" t="s">
        <v>34</v>
      </c>
      <c r="N233" s="253" t="s">
        <v>2806</v>
      </c>
      <c r="O233" s="253" t="s">
        <v>1321</v>
      </c>
      <c r="P233" s="656">
        <v>40569</v>
      </c>
      <c r="Q233" s="657">
        <v>946.37404700000002</v>
      </c>
      <c r="R233" s="657">
        <v>1148.5461982650595</v>
      </c>
      <c r="S233" s="253">
        <v>32</v>
      </c>
      <c r="T233" s="658">
        <v>-1.8439661913253413E-2</v>
      </c>
      <c r="U233" s="659">
        <v>-0.92205778355886858</v>
      </c>
      <c r="V233" s="658">
        <v>-8.815420126967688E-2</v>
      </c>
      <c r="W233" s="659">
        <v>-0.68366316523120252</v>
      </c>
      <c r="X233" s="658">
        <v>6.2873696129850165E-2</v>
      </c>
      <c r="Y233" s="659">
        <v>0.32562240550499472</v>
      </c>
      <c r="Z233" s="658">
        <v>-0.42404796320647109</v>
      </c>
      <c r="AA233" s="659">
        <v>-1.9146940215959214</v>
      </c>
      <c r="AB233" s="658">
        <v>0.45542527043429015</v>
      </c>
      <c r="AC233" s="660">
        <v>-0.4766931587029461</v>
      </c>
      <c r="AD233" s="682">
        <v>12055107000116</v>
      </c>
      <c r="AE233" s="944" t="s">
        <v>1837</v>
      </c>
      <c r="AF233" s="661" t="s">
        <v>1745</v>
      </c>
      <c r="AG233" s="662" t="s">
        <v>1432</v>
      </c>
      <c r="AH233" s="662" t="s">
        <v>1730</v>
      </c>
      <c r="AI233" s="662">
        <v>5000</v>
      </c>
      <c r="AJ233" s="662">
        <v>1000</v>
      </c>
      <c r="AK233" s="662">
        <v>5000</v>
      </c>
      <c r="AL233" s="658">
        <v>1.8500000000000003E-2</v>
      </c>
      <c r="AM233" s="658">
        <v>0.2</v>
      </c>
      <c r="AN233" s="659" t="s">
        <v>2127</v>
      </c>
      <c r="AO233" s="253" t="s">
        <v>34</v>
      </c>
      <c r="AP233" s="944" t="s">
        <v>1731</v>
      </c>
      <c r="AQ233" s="663" t="s">
        <v>659</v>
      </c>
      <c r="AR233" s="658">
        <v>4.6249999999999998E-3</v>
      </c>
      <c r="AS233" s="658">
        <v>4.6249999999999998E-3</v>
      </c>
      <c r="AT233" s="658" t="s">
        <v>1417</v>
      </c>
      <c r="AU233" s="658" t="s">
        <v>2751</v>
      </c>
      <c r="AX233"/>
      <c r="AY233"/>
      <c r="BA233"/>
      <c r="BB233"/>
      <c r="BC233"/>
      <c r="BD233"/>
      <c r="BE233"/>
      <c r="BF233"/>
      <c r="BG233"/>
      <c r="BH233"/>
      <c r="BI233"/>
      <c r="BJ233"/>
      <c r="BR233"/>
      <c r="BS233"/>
      <c r="BT233"/>
      <c r="BU233"/>
      <c r="BX233"/>
      <c r="BY233"/>
      <c r="CA233"/>
    </row>
    <row r="234" spans="2:79" ht="18.75">
      <c r="B234" s="252" t="s">
        <v>743</v>
      </c>
      <c r="C234" s="251">
        <v>26648868000196</v>
      </c>
      <c r="D234" s="252" t="s">
        <v>14</v>
      </c>
      <c r="E234" s="252" t="s">
        <v>607</v>
      </c>
      <c r="F234" s="252" t="s">
        <v>1317</v>
      </c>
      <c r="G234" s="253" t="s">
        <v>1417</v>
      </c>
      <c r="H234" s="253" t="s">
        <v>34</v>
      </c>
      <c r="I234" s="253" t="s">
        <v>34</v>
      </c>
      <c r="J234" s="253" t="s">
        <v>608</v>
      </c>
      <c r="K234" s="253" t="s">
        <v>48</v>
      </c>
      <c r="L234" s="655"/>
      <c r="M234" s="655" t="s">
        <v>34</v>
      </c>
      <c r="N234" s="253" t="s">
        <v>2807</v>
      </c>
      <c r="O234" s="253" t="s">
        <v>1321</v>
      </c>
      <c r="P234" s="656">
        <v>42740</v>
      </c>
      <c r="Q234" s="657">
        <v>232.040999</v>
      </c>
      <c r="R234" s="657">
        <v>286.95771215789478</v>
      </c>
      <c r="S234" s="253">
        <v>32</v>
      </c>
      <c r="T234" s="658">
        <v>-1.8482317752391175E-2</v>
      </c>
      <c r="U234" s="659">
        <v>-0.92419074828871217</v>
      </c>
      <c r="V234" s="658">
        <v>-8.7617083546867147E-2</v>
      </c>
      <c r="W234" s="659">
        <v>-0.67949765074421242</v>
      </c>
      <c r="X234" s="658">
        <v>6.7538035071952551E-2</v>
      </c>
      <c r="Y234" s="659">
        <v>0.3497789822597836</v>
      </c>
      <c r="Z234" s="658">
        <v>-0.41738881868559741</v>
      </c>
      <c r="AA234" s="659">
        <v>-1.8846261394001238</v>
      </c>
      <c r="AB234" s="658">
        <v>0.46689881712878334</v>
      </c>
      <c r="AC234" s="660">
        <v>-0.46382853211196318</v>
      </c>
      <c r="AD234" s="682">
        <v>12055107000116</v>
      </c>
      <c r="AE234" s="944" t="s">
        <v>1837</v>
      </c>
      <c r="AF234" s="661" t="s">
        <v>1745</v>
      </c>
      <c r="AG234" s="662" t="s">
        <v>1432</v>
      </c>
      <c r="AH234" s="662" t="s">
        <v>1734</v>
      </c>
      <c r="AI234" s="662">
        <v>1000</v>
      </c>
      <c r="AJ234" s="662">
        <v>500</v>
      </c>
      <c r="AK234" s="662">
        <v>1000</v>
      </c>
      <c r="AL234" s="658">
        <v>1.8500000000000003E-2</v>
      </c>
      <c r="AM234" s="658">
        <v>0.2</v>
      </c>
      <c r="AN234" s="659" t="s">
        <v>34</v>
      </c>
      <c r="AO234" s="253" t="s">
        <v>34</v>
      </c>
      <c r="AP234" s="944" t="s">
        <v>1731</v>
      </c>
      <c r="AQ234" s="663" t="s">
        <v>659</v>
      </c>
      <c r="AR234" s="658">
        <v>4.6249999999999998E-3</v>
      </c>
      <c r="AS234" s="658">
        <v>4.6249999999999998E-3</v>
      </c>
      <c r="AT234" s="658" t="s">
        <v>1417</v>
      </c>
      <c r="AU234" s="658" t="s">
        <v>2751</v>
      </c>
      <c r="AX234"/>
      <c r="AY234"/>
      <c r="BA234"/>
      <c r="BB234"/>
      <c r="BC234"/>
      <c r="BD234"/>
      <c r="BE234"/>
      <c r="BF234"/>
      <c r="BG234"/>
      <c r="BH234"/>
      <c r="BI234"/>
      <c r="BJ234"/>
      <c r="BR234"/>
      <c r="BS234"/>
      <c r="BT234"/>
      <c r="BU234"/>
      <c r="BX234"/>
      <c r="BY234"/>
      <c r="CA234"/>
    </row>
    <row r="235" spans="2:79" ht="18.75">
      <c r="B235" s="252" t="s">
        <v>77</v>
      </c>
      <c r="C235" s="251">
        <v>26673556000132</v>
      </c>
      <c r="D235" s="252" t="s">
        <v>14</v>
      </c>
      <c r="E235" s="252" t="s">
        <v>607</v>
      </c>
      <c r="F235" s="252" t="s">
        <v>1317</v>
      </c>
      <c r="G235" s="253" t="s">
        <v>1417</v>
      </c>
      <c r="H235" s="253" t="s">
        <v>34</v>
      </c>
      <c r="I235" s="253" t="s">
        <v>34</v>
      </c>
      <c r="J235" s="253" t="s">
        <v>608</v>
      </c>
      <c r="K235" s="253" t="s">
        <v>48</v>
      </c>
      <c r="L235" s="655"/>
      <c r="M235" s="655" t="s">
        <v>34</v>
      </c>
      <c r="N235" s="253" t="s">
        <v>2808</v>
      </c>
      <c r="O235" s="253" t="s">
        <v>1321</v>
      </c>
      <c r="P235" s="656">
        <v>42789</v>
      </c>
      <c r="Q235" s="657">
        <v>1078.575597</v>
      </c>
      <c r="R235" s="657">
        <v>1305.8006345447154</v>
      </c>
      <c r="S235" s="253">
        <v>32</v>
      </c>
      <c r="T235" s="658">
        <v>-1.3118259276815314E-2</v>
      </c>
      <c r="U235" s="659">
        <v>-0.65596609795958927</v>
      </c>
      <c r="V235" s="658">
        <v>3.5391976554108862E-3</v>
      </c>
      <c r="W235" s="659">
        <v>2.7447575233256107E-2</v>
      </c>
      <c r="X235" s="658">
        <v>0.13280449047620957</v>
      </c>
      <c r="Y235" s="659">
        <v>0.68779347028395499</v>
      </c>
      <c r="Z235" s="658">
        <v>0.12763200125707375</v>
      </c>
      <c r="AA235" s="659">
        <v>0.57629384167624031</v>
      </c>
      <c r="AB235" s="658">
        <v>0.22774731710584947</v>
      </c>
      <c r="AC235" s="660">
        <v>-0.55063090702883444</v>
      </c>
      <c r="AD235" s="682">
        <v>0</v>
      </c>
      <c r="AE235" s="944" t="s">
        <v>1837</v>
      </c>
      <c r="AF235" s="661" t="s">
        <v>1745</v>
      </c>
      <c r="AG235" s="662" t="s">
        <v>1432</v>
      </c>
      <c r="AH235" s="662" t="s">
        <v>1734</v>
      </c>
      <c r="AI235" s="662">
        <v>1000</v>
      </c>
      <c r="AJ235" s="662">
        <v>500</v>
      </c>
      <c r="AK235" s="662">
        <v>1000</v>
      </c>
      <c r="AL235" s="658">
        <v>0.02</v>
      </c>
      <c r="AM235" s="658">
        <v>0.2</v>
      </c>
      <c r="AN235" s="659" t="s">
        <v>34</v>
      </c>
      <c r="AO235" s="253" t="s">
        <v>34</v>
      </c>
      <c r="AP235" s="944" t="s">
        <v>1731</v>
      </c>
      <c r="AQ235" s="663" t="s">
        <v>659</v>
      </c>
      <c r="AR235" s="658">
        <v>4.0000000000000001E-3</v>
      </c>
      <c r="AS235" s="658">
        <v>4.0000000000000001E-3</v>
      </c>
      <c r="AT235" s="658" t="s">
        <v>1417</v>
      </c>
      <c r="AU235" s="658" t="s">
        <v>2751</v>
      </c>
      <c r="AX235"/>
      <c r="AY235"/>
      <c r="BA235"/>
      <c r="BB235"/>
      <c r="BC235"/>
      <c r="BD235"/>
      <c r="BE235"/>
      <c r="BF235"/>
      <c r="BG235"/>
      <c r="BH235"/>
      <c r="BI235"/>
      <c r="BJ235"/>
      <c r="BR235"/>
      <c r="BS235"/>
      <c r="BT235"/>
      <c r="BU235"/>
      <c r="BX235"/>
      <c r="BY235"/>
      <c r="CA235"/>
    </row>
    <row r="236" spans="2:79" ht="18.75">
      <c r="B236" s="252" t="s">
        <v>2665</v>
      </c>
      <c r="C236" s="251">
        <v>37313900000107</v>
      </c>
      <c r="D236" s="252" t="s">
        <v>14</v>
      </c>
      <c r="E236" s="252" t="s">
        <v>607</v>
      </c>
      <c r="F236" s="252" t="s">
        <v>1417</v>
      </c>
      <c r="G236" s="253" t="s">
        <v>34</v>
      </c>
      <c r="H236" s="253" t="s">
        <v>34</v>
      </c>
      <c r="I236" s="253" t="s">
        <v>34</v>
      </c>
      <c r="J236" s="253" t="s">
        <v>608</v>
      </c>
      <c r="K236" s="253" t="s">
        <v>48</v>
      </c>
      <c r="L236" s="655"/>
      <c r="M236" s="655" t="s">
        <v>34</v>
      </c>
      <c r="N236" s="253" t="s">
        <v>2809</v>
      </c>
      <c r="O236" s="253" t="s">
        <v>1321</v>
      </c>
      <c r="P236" s="656">
        <v>44188</v>
      </c>
      <c r="Q236" s="657"/>
      <c r="R236" s="657"/>
      <c r="S236" s="253">
        <v>8</v>
      </c>
      <c r="T236" s="658"/>
      <c r="U236" s="659"/>
      <c r="V236" s="658"/>
      <c r="W236" s="659"/>
      <c r="X236" s="658"/>
      <c r="Y236" s="659"/>
      <c r="Z236" s="658"/>
      <c r="AA236" s="659"/>
      <c r="AB236" s="658"/>
      <c r="AC236" s="660"/>
      <c r="AD236" s="682">
        <v>38120857000118</v>
      </c>
      <c r="AE236" s="944" t="s">
        <v>1837</v>
      </c>
      <c r="AF236" s="661" t="s">
        <v>1745</v>
      </c>
      <c r="AG236" s="662" t="s">
        <v>1432</v>
      </c>
      <c r="AH236" s="662" t="s">
        <v>2119</v>
      </c>
      <c r="AI236" s="662">
        <v>0</v>
      </c>
      <c r="AJ236" s="662">
        <v>0</v>
      </c>
      <c r="AK236" s="662">
        <v>0</v>
      </c>
      <c r="AL236" s="658">
        <v>1.4999999999999999E-2</v>
      </c>
      <c r="AM236" s="658">
        <v>0.2</v>
      </c>
      <c r="AN236" s="659" t="s">
        <v>34</v>
      </c>
      <c r="AO236" s="253" t="s">
        <v>4400</v>
      </c>
      <c r="AP236" s="944" t="s">
        <v>1746</v>
      </c>
      <c r="AQ236" s="663" t="s">
        <v>2177</v>
      </c>
      <c r="AR236" s="658">
        <v>0</v>
      </c>
      <c r="AS236" s="658">
        <v>0</v>
      </c>
      <c r="AT236" s="658" t="s">
        <v>1417</v>
      </c>
      <c r="AU236" s="658" t="s">
        <v>2751</v>
      </c>
      <c r="AX236"/>
      <c r="AY236"/>
      <c r="BA236"/>
      <c r="BB236"/>
      <c r="BC236"/>
      <c r="BD236"/>
      <c r="BE236"/>
      <c r="BF236"/>
      <c r="BG236"/>
      <c r="BH236"/>
      <c r="BI236"/>
      <c r="BJ236"/>
      <c r="BR236"/>
      <c r="BS236"/>
      <c r="BT236"/>
      <c r="BU236"/>
      <c r="BX236"/>
      <c r="BY236"/>
      <c r="CA236"/>
    </row>
    <row r="237" spans="2:79" ht="18.75">
      <c r="B237" s="252" t="s">
        <v>744</v>
      </c>
      <c r="C237" s="251">
        <v>13001211000190</v>
      </c>
      <c r="D237" s="252" t="s">
        <v>13</v>
      </c>
      <c r="E237" s="252" t="s">
        <v>615</v>
      </c>
      <c r="F237" s="252" t="s">
        <v>619</v>
      </c>
      <c r="G237" s="253" t="s">
        <v>34</v>
      </c>
      <c r="H237" s="253" t="s">
        <v>865</v>
      </c>
      <c r="I237" s="253" t="s">
        <v>34</v>
      </c>
      <c r="J237" s="253" t="s">
        <v>1417</v>
      </c>
      <c r="K237" s="253" t="s">
        <v>48</v>
      </c>
      <c r="L237" s="655"/>
      <c r="M237" s="655" t="s">
        <v>34</v>
      </c>
      <c r="N237" s="253" t="s">
        <v>2810</v>
      </c>
      <c r="O237" s="253" t="s">
        <v>1321</v>
      </c>
      <c r="P237" s="656">
        <v>40590</v>
      </c>
      <c r="Q237" s="657">
        <v>127.652159</v>
      </c>
      <c r="R237" s="657">
        <v>123.36422071084343</v>
      </c>
      <c r="S237" s="253">
        <v>15</v>
      </c>
      <c r="T237" s="658">
        <v>8.3515938985678773E-3</v>
      </c>
      <c r="U237" s="659">
        <v>0.4176135221743118</v>
      </c>
      <c r="V237" s="658">
        <v>7.8414397351971532E-2</v>
      </c>
      <c r="W237" s="659">
        <v>0.60812796578291295</v>
      </c>
      <c r="X237" s="658">
        <v>0.15862192237544415</v>
      </c>
      <c r="Y237" s="659">
        <v>0.82150175843084727</v>
      </c>
      <c r="Z237" s="658">
        <v>0.16381331785711906</v>
      </c>
      <c r="AA237" s="659">
        <v>0.73966250889902119</v>
      </c>
      <c r="AB237" s="658">
        <v>7.133848052800891E-2</v>
      </c>
      <c r="AC237" s="660">
        <v>-0.70830653696048274</v>
      </c>
      <c r="AD237" s="682">
        <v>0</v>
      </c>
      <c r="AE237" s="944" t="s">
        <v>1837</v>
      </c>
      <c r="AF237" s="661" t="s">
        <v>1745</v>
      </c>
      <c r="AG237" s="662" t="s">
        <v>1432</v>
      </c>
      <c r="AH237" s="662" t="s">
        <v>1734</v>
      </c>
      <c r="AI237" s="662">
        <v>1000</v>
      </c>
      <c r="AJ237" s="662">
        <v>500</v>
      </c>
      <c r="AK237" s="662">
        <v>1000</v>
      </c>
      <c r="AL237" s="658">
        <v>0.02</v>
      </c>
      <c r="AM237" s="658">
        <v>0.2</v>
      </c>
      <c r="AN237" s="659" t="s">
        <v>64</v>
      </c>
      <c r="AO237" s="253" t="s">
        <v>34</v>
      </c>
      <c r="AP237" s="944" t="s">
        <v>1746</v>
      </c>
      <c r="AQ237" s="663" t="s">
        <v>664</v>
      </c>
      <c r="AR237" s="658">
        <v>4.0000000000000001E-3</v>
      </c>
      <c r="AS237" s="658">
        <v>4.0000000000000001E-3</v>
      </c>
      <c r="AT237" s="658" t="s">
        <v>1417</v>
      </c>
      <c r="AU237" s="658" t="s">
        <v>2751</v>
      </c>
      <c r="AX237"/>
      <c r="AY237"/>
      <c r="BA237"/>
      <c r="BB237"/>
      <c r="BC237"/>
      <c r="BD237"/>
      <c r="BE237"/>
      <c r="BF237"/>
      <c r="BG237"/>
      <c r="BH237"/>
      <c r="BI237"/>
      <c r="BJ237"/>
      <c r="BR237"/>
      <c r="BS237"/>
      <c r="BT237"/>
      <c r="BU237"/>
      <c r="BX237"/>
      <c r="BY237"/>
      <c r="CA237"/>
    </row>
    <row r="238" spans="2:79" ht="18.75">
      <c r="B238" s="252" t="s">
        <v>78</v>
      </c>
      <c r="C238" s="251">
        <v>575922000127</v>
      </c>
      <c r="D238" s="252" t="s">
        <v>14</v>
      </c>
      <c r="E238" s="252" t="s">
        <v>607</v>
      </c>
      <c r="F238" s="252" t="s">
        <v>1417</v>
      </c>
      <c r="G238" s="253" t="s">
        <v>1417</v>
      </c>
      <c r="H238" s="253" t="s">
        <v>34</v>
      </c>
      <c r="I238" s="253" t="s">
        <v>34</v>
      </c>
      <c r="J238" s="253" t="s">
        <v>608</v>
      </c>
      <c r="K238" s="253" t="s">
        <v>48</v>
      </c>
      <c r="L238" s="655"/>
      <c r="M238" s="655" t="s">
        <v>34</v>
      </c>
      <c r="N238" s="253" t="s">
        <v>2811</v>
      </c>
      <c r="O238" s="253" t="s">
        <v>1321</v>
      </c>
      <c r="P238" s="656">
        <v>34823</v>
      </c>
      <c r="Q238" s="657">
        <v>19.373096</v>
      </c>
      <c r="R238" s="657">
        <v>29.66165413306452</v>
      </c>
      <c r="S238" s="253">
        <v>3</v>
      </c>
      <c r="T238" s="658">
        <v>-9.0781456294310781E-2</v>
      </c>
      <c r="U238" s="659">
        <v>-4.5394405153825197</v>
      </c>
      <c r="V238" s="658">
        <v>-0.26960729795973859</v>
      </c>
      <c r="W238" s="659">
        <v>-2.0908881940716881</v>
      </c>
      <c r="X238" s="658">
        <v>-0.45093734594124446</v>
      </c>
      <c r="Y238" s="659">
        <v>-2.3354011670345218</v>
      </c>
      <c r="Z238" s="658">
        <v>-0.43954527608901606</v>
      </c>
      <c r="AA238" s="659">
        <v>-1.9846686822513777</v>
      </c>
      <c r="AB238" s="658">
        <v>0.21585408978936022</v>
      </c>
      <c r="AC238" s="660">
        <v>-1.8463917352478727</v>
      </c>
      <c r="AD238" s="682">
        <v>0</v>
      </c>
      <c r="AE238" s="944" t="s">
        <v>1790</v>
      </c>
      <c r="AF238" s="661" t="s">
        <v>1790</v>
      </c>
      <c r="AG238" s="662" t="s">
        <v>719</v>
      </c>
      <c r="AH238" s="662" t="s">
        <v>1734</v>
      </c>
      <c r="AI238" s="662">
        <v>1000</v>
      </c>
      <c r="AJ238" s="662">
        <v>100</v>
      </c>
      <c r="AK238" s="662">
        <v>100</v>
      </c>
      <c r="AL238" s="658">
        <v>0.02</v>
      </c>
      <c r="AM238" s="658">
        <v>0</v>
      </c>
      <c r="AN238" s="659" t="s">
        <v>666</v>
      </c>
      <c r="AO238" s="253" t="s">
        <v>34</v>
      </c>
      <c r="AP238" s="944" t="s">
        <v>1731</v>
      </c>
      <c r="AQ238" s="663" t="s">
        <v>670</v>
      </c>
      <c r="AR238" s="658">
        <v>4.0000000000000001E-3</v>
      </c>
      <c r="AS238" s="658">
        <v>4.0000000000000001E-3</v>
      </c>
      <c r="AT238" s="658" t="s">
        <v>1417</v>
      </c>
      <c r="AU238" s="658" t="s">
        <v>2751</v>
      </c>
      <c r="AX238"/>
      <c r="AY238"/>
      <c r="BA238"/>
      <c r="BB238"/>
      <c r="BC238"/>
      <c r="BD238"/>
      <c r="BE238"/>
      <c r="BF238"/>
      <c r="BG238"/>
      <c r="BH238"/>
      <c r="BI238"/>
      <c r="BJ238"/>
      <c r="BR238"/>
      <c r="BS238"/>
      <c r="BT238"/>
      <c r="BU238"/>
      <c r="BX238"/>
      <c r="BY238"/>
      <c r="CA238"/>
    </row>
    <row r="239" spans="2:79" ht="18.75">
      <c r="B239" s="252" t="s">
        <v>745</v>
      </c>
      <c r="C239" s="251">
        <v>33422090000168</v>
      </c>
      <c r="D239" s="252" t="s">
        <v>11</v>
      </c>
      <c r="E239" s="252" t="s">
        <v>621</v>
      </c>
      <c r="F239" s="252" t="s">
        <v>692</v>
      </c>
      <c r="G239" s="253" t="s">
        <v>738</v>
      </c>
      <c r="H239" s="253" t="s">
        <v>34</v>
      </c>
      <c r="I239" s="253" t="s">
        <v>1417</v>
      </c>
      <c r="J239" s="253" t="s">
        <v>608</v>
      </c>
      <c r="K239" s="253" t="s">
        <v>48</v>
      </c>
      <c r="L239" s="655"/>
      <c r="M239" s="655" t="s">
        <v>34</v>
      </c>
      <c r="N239" s="253" t="s">
        <v>2812</v>
      </c>
      <c r="O239" s="253" t="s">
        <v>1321</v>
      </c>
      <c r="P239" s="656">
        <v>43753</v>
      </c>
      <c r="Q239" s="657">
        <v>0</v>
      </c>
      <c r="R239" s="657">
        <v>0</v>
      </c>
      <c r="S239" s="253">
        <v>31</v>
      </c>
      <c r="T239" s="658"/>
      <c r="U239" s="659"/>
      <c r="V239" s="658"/>
      <c r="W239" s="659"/>
      <c r="X239" s="658"/>
      <c r="Y239" s="659"/>
      <c r="Z239" s="658"/>
      <c r="AA239" s="659"/>
      <c r="AB239" s="658"/>
      <c r="AC239" s="660"/>
      <c r="AD239" s="682">
        <v>33422113000134</v>
      </c>
      <c r="AE239" s="944" t="s">
        <v>1790</v>
      </c>
      <c r="AF239" s="661" t="s">
        <v>1790</v>
      </c>
      <c r="AG239" s="662" t="s">
        <v>719</v>
      </c>
      <c r="AH239" s="662" t="s">
        <v>1734</v>
      </c>
      <c r="AI239" s="662">
        <v>100</v>
      </c>
      <c r="AJ239" s="662">
        <v>1000</v>
      </c>
      <c r="AK239" s="662">
        <v>1000</v>
      </c>
      <c r="AL239" s="658">
        <v>8.0000000000000002E-3</v>
      </c>
      <c r="AM239" s="658">
        <v>0.2</v>
      </c>
      <c r="AN239" s="659" t="s">
        <v>636</v>
      </c>
      <c r="AO239" s="253" t="s">
        <v>34</v>
      </c>
      <c r="AP239" s="944" t="s">
        <v>1735</v>
      </c>
      <c r="AQ239" s="663" t="s">
        <v>675</v>
      </c>
      <c r="AR239" s="658">
        <v>2.13333333333333E-3</v>
      </c>
      <c r="AS239" s="658">
        <v>2.13333333333333E-3</v>
      </c>
      <c r="AT239" s="658" t="s">
        <v>1417</v>
      </c>
      <c r="AU239" s="658" t="s">
        <v>2751</v>
      </c>
      <c r="AX239"/>
      <c r="AY239"/>
      <c r="BA239"/>
      <c r="BB239"/>
      <c r="BC239"/>
      <c r="BD239"/>
      <c r="BE239"/>
      <c r="BF239"/>
      <c r="BG239"/>
      <c r="BH239"/>
      <c r="BI239"/>
      <c r="BJ239"/>
      <c r="BR239"/>
      <c r="BS239"/>
      <c r="BT239"/>
      <c r="BU239"/>
      <c r="BX239"/>
      <c r="BY239"/>
      <c r="CA239"/>
    </row>
    <row r="240" spans="2:79" ht="18.75">
      <c r="B240" s="252" t="s">
        <v>473</v>
      </c>
      <c r="C240" s="251">
        <v>2733791000194</v>
      </c>
      <c r="D240" s="252" t="s">
        <v>11</v>
      </c>
      <c r="E240" s="252" t="s">
        <v>620</v>
      </c>
      <c r="F240" s="252" t="s">
        <v>663</v>
      </c>
      <c r="G240" s="253" t="s">
        <v>866</v>
      </c>
      <c r="H240" s="253" t="s">
        <v>34</v>
      </c>
      <c r="I240" s="253" t="s">
        <v>1304</v>
      </c>
      <c r="J240" s="253" t="s">
        <v>608</v>
      </c>
      <c r="K240" s="253" t="s">
        <v>48</v>
      </c>
      <c r="L240" s="655"/>
      <c r="M240" s="655" t="s">
        <v>34</v>
      </c>
      <c r="N240" s="253" t="s">
        <v>2813</v>
      </c>
      <c r="O240" s="253" t="s">
        <v>1321</v>
      </c>
      <c r="P240" s="656">
        <v>36059</v>
      </c>
      <c r="Q240" s="657">
        <v>0</v>
      </c>
      <c r="R240" s="657">
        <v>0</v>
      </c>
      <c r="S240" s="253">
        <v>0</v>
      </c>
      <c r="T240" s="658"/>
      <c r="U240" s="659"/>
      <c r="V240" s="658"/>
      <c r="W240" s="659"/>
      <c r="X240" s="658"/>
      <c r="Y240" s="659"/>
      <c r="Z240" s="658"/>
      <c r="AA240" s="659"/>
      <c r="AB240" s="658"/>
      <c r="AC240" s="660"/>
      <c r="AD240" s="682">
        <v>0</v>
      </c>
      <c r="AE240" s="944" t="s">
        <v>1790</v>
      </c>
      <c r="AF240" s="661" t="s">
        <v>1790</v>
      </c>
      <c r="AG240" s="662" t="s">
        <v>719</v>
      </c>
      <c r="AH240" s="662" t="s">
        <v>1734</v>
      </c>
      <c r="AI240" s="662">
        <v>100</v>
      </c>
      <c r="AJ240" s="662">
        <v>100</v>
      </c>
      <c r="AK240" s="662">
        <v>100</v>
      </c>
      <c r="AL240" s="658">
        <v>5.0000000000000001E-3</v>
      </c>
      <c r="AM240" s="658">
        <v>0</v>
      </c>
      <c r="AN240" s="659" t="s">
        <v>64</v>
      </c>
      <c r="AO240" s="253" t="s">
        <v>34</v>
      </c>
      <c r="AP240" s="944" t="s">
        <v>1735</v>
      </c>
      <c r="AQ240" s="663" t="s">
        <v>1373</v>
      </c>
      <c r="AR240" s="658">
        <v>1.3335E-3</v>
      </c>
      <c r="AS240" s="658">
        <v>1.3335E-3</v>
      </c>
      <c r="AT240" s="658" t="s">
        <v>1417</v>
      </c>
      <c r="AU240" s="658" t="s">
        <v>2751</v>
      </c>
      <c r="AX240"/>
      <c r="AY240"/>
      <c r="BA240"/>
      <c r="BB240"/>
      <c r="BC240"/>
      <c r="BD240"/>
      <c r="BE240"/>
      <c r="BF240"/>
      <c r="BG240"/>
      <c r="BH240"/>
      <c r="BI240"/>
      <c r="BJ240"/>
      <c r="BR240"/>
      <c r="BS240"/>
      <c r="BT240"/>
      <c r="BU240"/>
      <c r="BX240"/>
      <c r="BY240"/>
      <c r="CA240"/>
    </row>
    <row r="241" spans="2:79" ht="18.75">
      <c r="B241" s="252" t="s">
        <v>79</v>
      </c>
      <c r="C241" s="251">
        <v>30056825000199</v>
      </c>
      <c r="D241" s="252" t="s">
        <v>11</v>
      </c>
      <c r="E241" s="252" t="s">
        <v>620</v>
      </c>
      <c r="F241" s="252" t="s">
        <v>663</v>
      </c>
      <c r="G241" s="253" t="s">
        <v>738</v>
      </c>
      <c r="H241" s="253" t="s">
        <v>34</v>
      </c>
      <c r="I241" s="253" t="s">
        <v>1417</v>
      </c>
      <c r="J241" s="253" t="s">
        <v>608</v>
      </c>
      <c r="K241" s="253" t="s">
        <v>48</v>
      </c>
      <c r="L241" s="655"/>
      <c r="M241" s="655" t="s">
        <v>34</v>
      </c>
      <c r="N241" s="253" t="s">
        <v>2814</v>
      </c>
      <c r="O241" s="253" t="s">
        <v>1321</v>
      </c>
      <c r="P241" s="656">
        <v>43671</v>
      </c>
      <c r="Q241" s="657">
        <v>0</v>
      </c>
      <c r="R241" s="657">
        <v>0</v>
      </c>
      <c r="S241" s="253">
        <v>31</v>
      </c>
      <c r="T241" s="658"/>
      <c r="U241" s="659"/>
      <c r="V241" s="658"/>
      <c r="W241" s="659"/>
      <c r="X241" s="658"/>
      <c r="Y241" s="659"/>
      <c r="Z241" s="658"/>
      <c r="AA241" s="659"/>
      <c r="AB241" s="658"/>
      <c r="AC241" s="660"/>
      <c r="AD241" s="682">
        <v>0</v>
      </c>
      <c r="AE241" s="944" t="s">
        <v>1790</v>
      </c>
      <c r="AF241" s="661" t="s">
        <v>1790</v>
      </c>
      <c r="AG241" s="662" t="s">
        <v>719</v>
      </c>
      <c r="AH241" s="662" t="s">
        <v>1734</v>
      </c>
      <c r="AI241" s="662">
        <v>100</v>
      </c>
      <c r="AJ241" s="662">
        <v>0</v>
      </c>
      <c r="AK241" s="662">
        <v>1000</v>
      </c>
      <c r="AL241" s="658">
        <v>6.0000000000000001E-3</v>
      </c>
      <c r="AM241" s="658">
        <v>0</v>
      </c>
      <c r="AN241" s="659" t="s">
        <v>64</v>
      </c>
      <c r="AO241" s="253" t="s">
        <v>34</v>
      </c>
      <c r="AP241" s="944" t="s">
        <v>1735</v>
      </c>
      <c r="AQ241" s="663" t="s">
        <v>1373</v>
      </c>
      <c r="AR241" s="658">
        <v>8.0000000000000004E-4</v>
      </c>
      <c r="AS241" s="658">
        <v>8.0000000000000004E-4</v>
      </c>
      <c r="AT241" s="658" t="s">
        <v>1417</v>
      </c>
      <c r="AU241" s="658" t="s">
        <v>2751</v>
      </c>
      <c r="AX241"/>
      <c r="AY241"/>
      <c r="BA241"/>
      <c r="BB241"/>
      <c r="BC241"/>
      <c r="BD241"/>
      <c r="BE241"/>
      <c r="BF241"/>
      <c r="BG241"/>
      <c r="BH241"/>
      <c r="BI241"/>
      <c r="BJ241"/>
      <c r="BR241"/>
      <c r="BS241"/>
      <c r="BT241"/>
      <c r="BU241"/>
      <c r="BX241"/>
      <c r="BY241"/>
      <c r="CA241"/>
    </row>
    <row r="242" spans="2:79" ht="18.75">
      <c r="B242" s="252" t="s">
        <v>80</v>
      </c>
      <c r="C242" s="251">
        <v>28504521000103</v>
      </c>
      <c r="D242" s="252" t="s">
        <v>11</v>
      </c>
      <c r="E242" s="252" t="s">
        <v>620</v>
      </c>
      <c r="F242" s="252" t="s">
        <v>663</v>
      </c>
      <c r="G242" s="253" t="s">
        <v>738</v>
      </c>
      <c r="H242" s="253" t="s">
        <v>34</v>
      </c>
      <c r="I242" s="253" t="s">
        <v>1417</v>
      </c>
      <c r="J242" s="253" t="s">
        <v>608</v>
      </c>
      <c r="K242" s="253" t="s">
        <v>48</v>
      </c>
      <c r="L242" s="655"/>
      <c r="M242" s="655" t="s">
        <v>1414</v>
      </c>
      <c r="N242" s="253" t="s">
        <v>2815</v>
      </c>
      <c r="O242" s="253" t="s">
        <v>1321</v>
      </c>
      <c r="P242" s="656">
        <v>43368</v>
      </c>
      <c r="Q242" s="657">
        <v>0</v>
      </c>
      <c r="R242" s="657">
        <v>0</v>
      </c>
      <c r="S242" s="253">
        <v>1</v>
      </c>
      <c r="T242" s="658"/>
      <c r="U242" s="659"/>
      <c r="V242" s="658"/>
      <c r="W242" s="659"/>
      <c r="X242" s="658"/>
      <c r="Y242" s="659"/>
      <c r="Z242" s="658"/>
      <c r="AA242" s="659"/>
      <c r="AB242" s="658"/>
      <c r="AC242" s="660"/>
      <c r="AD242" s="682">
        <v>0</v>
      </c>
      <c r="AE242" s="944" t="s">
        <v>1790</v>
      </c>
      <c r="AF242" s="661" t="s">
        <v>1790</v>
      </c>
      <c r="AG242" s="662" t="s">
        <v>719</v>
      </c>
      <c r="AH242" s="662" t="s">
        <v>1734</v>
      </c>
      <c r="AI242" s="662">
        <v>100</v>
      </c>
      <c r="AJ242" s="662">
        <v>0</v>
      </c>
      <c r="AK242" s="662">
        <v>0</v>
      </c>
      <c r="AL242" s="658">
        <v>4.0000000000000001E-3</v>
      </c>
      <c r="AM242" s="658">
        <v>0</v>
      </c>
      <c r="AN242" s="659" t="s">
        <v>64</v>
      </c>
      <c r="AO242" s="253" t="s">
        <v>34</v>
      </c>
      <c r="AP242" s="944" t="s">
        <v>1735</v>
      </c>
      <c r="AQ242" s="663" t="s">
        <v>1373</v>
      </c>
      <c r="AR242" s="658">
        <v>8.0000000000000004E-4</v>
      </c>
      <c r="AS242" s="658">
        <v>8.0000000000000004E-4</v>
      </c>
      <c r="AT242" s="658" t="s">
        <v>1417</v>
      </c>
      <c r="AU242" s="658" t="s">
        <v>2751</v>
      </c>
      <c r="AX242"/>
      <c r="AY242"/>
      <c r="BA242"/>
      <c r="BB242"/>
      <c r="BC242"/>
      <c r="BD242"/>
      <c r="BE242"/>
      <c r="BF242"/>
      <c r="BG242"/>
      <c r="BH242"/>
      <c r="BI242"/>
      <c r="BJ242"/>
      <c r="BR242"/>
      <c r="BS242"/>
      <c r="BT242"/>
      <c r="BU242"/>
      <c r="BX242"/>
      <c r="BY242"/>
      <c r="CA242"/>
    </row>
    <row r="243" spans="2:79" ht="18.75">
      <c r="B243" s="252" t="s">
        <v>81</v>
      </c>
      <c r="C243" s="251">
        <v>27707783000102</v>
      </c>
      <c r="D243" s="252" t="s">
        <v>13</v>
      </c>
      <c r="E243" s="252" t="s">
        <v>615</v>
      </c>
      <c r="F243" s="252" t="s">
        <v>619</v>
      </c>
      <c r="G243" s="253" t="s">
        <v>34</v>
      </c>
      <c r="H243" s="253" t="s">
        <v>1338</v>
      </c>
      <c r="I243" s="253" t="s">
        <v>34</v>
      </c>
      <c r="J243" s="253" t="s">
        <v>1417</v>
      </c>
      <c r="K243" s="253" t="s">
        <v>48</v>
      </c>
      <c r="L243" s="655"/>
      <c r="M243" s="655" t="s">
        <v>34</v>
      </c>
      <c r="N243" s="253" t="s">
        <v>2816</v>
      </c>
      <c r="O243" s="253" t="s">
        <v>1321</v>
      </c>
      <c r="P243" s="656">
        <v>42953</v>
      </c>
      <c r="Q243" s="657">
        <v>36.102675089999998</v>
      </c>
      <c r="R243" s="657">
        <v>38.5851503343725</v>
      </c>
      <c r="S243" s="253">
        <v>34</v>
      </c>
      <c r="T243" s="658">
        <v>-2.2793303956328836E-3</v>
      </c>
      <c r="U243" s="659">
        <v>-0.11397575196783018</v>
      </c>
      <c r="V243" s="658">
        <v>-0.11570033425697257</v>
      </c>
      <c r="W243" s="659">
        <v>-0.89729196790577348</v>
      </c>
      <c r="X243" s="658">
        <v>-0.28654117308419957</v>
      </c>
      <c r="Y243" s="659">
        <v>-1.4839946082254041</v>
      </c>
      <c r="Z243" s="658">
        <v>-8.6342587048449659E-2</v>
      </c>
      <c r="AA243" s="659">
        <v>-0.38986069873019769</v>
      </c>
      <c r="AB243" s="658">
        <v>0.20405827172501576</v>
      </c>
      <c r="AC243" s="660">
        <v>-1.1988940298065343</v>
      </c>
      <c r="AD243" s="682">
        <v>0</v>
      </c>
      <c r="AE243" s="944" t="s">
        <v>1955</v>
      </c>
      <c r="AF243" s="661" t="s">
        <v>1745</v>
      </c>
      <c r="AG243" s="662" t="s">
        <v>1432</v>
      </c>
      <c r="AH243" s="662" t="s">
        <v>1734</v>
      </c>
      <c r="AI243" s="662">
        <v>5000</v>
      </c>
      <c r="AJ243" s="662">
        <v>1000</v>
      </c>
      <c r="AK243" s="662">
        <v>1000</v>
      </c>
      <c r="AL243" s="658">
        <v>1.6E-2</v>
      </c>
      <c r="AM243" s="658">
        <v>0.2</v>
      </c>
      <c r="AN243" s="659" t="s">
        <v>34</v>
      </c>
      <c r="AO243" s="253" t="s">
        <v>34</v>
      </c>
      <c r="AP243" s="944" t="s">
        <v>1746</v>
      </c>
      <c r="AQ243" s="663" t="s">
        <v>668</v>
      </c>
      <c r="AR243" s="658">
        <v>5.3333333333333297E-3</v>
      </c>
      <c r="AS243" s="658">
        <v>5.3333333333333297E-3</v>
      </c>
      <c r="AT243" s="658" t="s">
        <v>1417</v>
      </c>
      <c r="AU243" s="658" t="s">
        <v>2751</v>
      </c>
      <c r="AX243"/>
      <c r="AY243"/>
      <c r="BA243"/>
      <c r="BB243"/>
      <c r="BC243"/>
      <c r="BD243"/>
      <c r="BE243"/>
      <c r="BF243"/>
      <c r="BG243"/>
      <c r="BH243"/>
      <c r="BI243"/>
      <c r="BJ243"/>
      <c r="BR243"/>
      <c r="BS243"/>
      <c r="BT243"/>
      <c r="BU243"/>
      <c r="BX243"/>
      <c r="BY243"/>
      <c r="CA243"/>
    </row>
    <row r="244" spans="2:79" ht="18.75">
      <c r="B244" s="252" t="s">
        <v>746</v>
      </c>
      <c r="C244" s="251">
        <v>34839385000105</v>
      </c>
      <c r="D244" s="252" t="s">
        <v>14</v>
      </c>
      <c r="E244" s="252" t="s">
        <v>614</v>
      </c>
      <c r="F244" s="252" t="s">
        <v>1417</v>
      </c>
      <c r="G244" s="253" t="s">
        <v>1417</v>
      </c>
      <c r="H244" s="253" t="s">
        <v>1338</v>
      </c>
      <c r="I244" s="253" t="s">
        <v>34</v>
      </c>
      <c r="J244" s="253" t="s">
        <v>608</v>
      </c>
      <c r="K244" s="253" t="s">
        <v>48</v>
      </c>
      <c r="L244" s="655"/>
      <c r="M244" s="655" t="s">
        <v>1414</v>
      </c>
      <c r="N244" s="253" t="s">
        <v>2817</v>
      </c>
      <c r="O244" s="253" t="s">
        <v>1321</v>
      </c>
      <c r="P244" s="656">
        <v>43650</v>
      </c>
      <c r="Q244" s="657">
        <v>66.232834999999994</v>
      </c>
      <c r="R244" s="657">
        <v>93.831598325564386</v>
      </c>
      <c r="S244" s="253">
        <v>32</v>
      </c>
      <c r="T244" s="658">
        <v>2.0760262803339646E-2</v>
      </c>
      <c r="U244" s="659">
        <v>1.03809722741113</v>
      </c>
      <c r="V244" s="658">
        <v>-0.10541021990435229</v>
      </c>
      <c r="W244" s="659">
        <v>-0.81748894039739206</v>
      </c>
      <c r="X244" s="658">
        <v>-0.24253069044962716</v>
      </c>
      <c r="Y244" s="659">
        <v>-1.2560646453788027</v>
      </c>
      <c r="Z244" s="658">
        <v>-0.32106917679894742</v>
      </c>
      <c r="AA244" s="659">
        <v>-1.4497162742799075</v>
      </c>
      <c r="AB244" s="658">
        <v>0.28819599425459275</v>
      </c>
      <c r="AC244" s="660">
        <v>-0.81317622043043347</v>
      </c>
      <c r="AD244" s="682">
        <v>31690716000191</v>
      </c>
      <c r="AE244" s="944" t="s">
        <v>2003</v>
      </c>
      <c r="AF244" s="661" t="s">
        <v>1729</v>
      </c>
      <c r="AG244" s="662" t="s">
        <v>1433</v>
      </c>
      <c r="AH244" s="662" t="s">
        <v>1801</v>
      </c>
      <c r="AI244" s="662">
        <v>5000</v>
      </c>
      <c r="AJ244" s="662">
        <v>1000</v>
      </c>
      <c r="AK244" s="662">
        <v>1000</v>
      </c>
      <c r="AL244" s="658">
        <v>1.8700000000000001E-2</v>
      </c>
      <c r="AM244" s="658">
        <v>0.2</v>
      </c>
      <c r="AN244" s="659" t="s">
        <v>150</v>
      </c>
      <c r="AO244" s="253" t="s">
        <v>34</v>
      </c>
      <c r="AP244" s="944" t="s">
        <v>1731</v>
      </c>
      <c r="AQ244" s="663" t="s">
        <v>659</v>
      </c>
      <c r="AR244" s="658">
        <v>2.46666666666667E-3</v>
      </c>
      <c r="AS244" s="658">
        <v>2.46666666666667E-3</v>
      </c>
      <c r="AT244" s="658" t="s">
        <v>1417</v>
      </c>
      <c r="AU244" s="658" t="s">
        <v>2751</v>
      </c>
      <c r="AX244"/>
      <c r="AY244"/>
      <c r="BA244"/>
      <c r="BB244"/>
      <c r="BC244"/>
      <c r="BD244"/>
      <c r="BE244"/>
      <c r="BF244"/>
      <c r="BG244"/>
      <c r="BH244"/>
      <c r="BI244"/>
      <c r="BJ244"/>
      <c r="BR244"/>
      <c r="BS244"/>
      <c r="BT244"/>
      <c r="BU244"/>
      <c r="BX244"/>
      <c r="BY244"/>
      <c r="CA244"/>
    </row>
    <row r="245" spans="2:79" ht="18.75">
      <c r="B245" s="252" t="s">
        <v>747</v>
      </c>
      <c r="C245" s="251">
        <v>36352721000108</v>
      </c>
      <c r="D245" s="252" t="s">
        <v>14</v>
      </c>
      <c r="E245" s="252" t="s">
        <v>607</v>
      </c>
      <c r="F245" s="252" t="s">
        <v>1417</v>
      </c>
      <c r="G245" s="253" t="s">
        <v>1417</v>
      </c>
      <c r="H245" s="253" t="s">
        <v>34</v>
      </c>
      <c r="I245" s="253" t="s">
        <v>34</v>
      </c>
      <c r="J245" s="253" t="s">
        <v>608</v>
      </c>
      <c r="K245" s="253" t="s">
        <v>48</v>
      </c>
      <c r="L245" s="655"/>
      <c r="M245" s="655" t="s">
        <v>1414</v>
      </c>
      <c r="N245" s="253" t="s">
        <v>2818</v>
      </c>
      <c r="O245" s="253" t="s">
        <v>1321</v>
      </c>
      <c r="P245" s="656">
        <v>44000</v>
      </c>
      <c r="Q245" s="657">
        <v>2.1408132900000001</v>
      </c>
      <c r="R245" s="657">
        <v>2.0881916152777786</v>
      </c>
      <c r="S245" s="253">
        <v>32</v>
      </c>
      <c r="T245" s="658">
        <v>3.1447240888986538E-3</v>
      </c>
      <c r="U245" s="659">
        <v>0.15724894181655197</v>
      </c>
      <c r="V245" s="658">
        <v>-0.17033206800231671</v>
      </c>
      <c r="W245" s="659">
        <v>-1.3209780030177238</v>
      </c>
      <c r="X245" s="658">
        <v>-0.17033206800231671</v>
      </c>
      <c r="Y245" s="659">
        <v>-0.88214851570054942</v>
      </c>
      <c r="Z245" s="658"/>
      <c r="AA245" s="659"/>
      <c r="AB245" s="658">
        <v>0.36143751575773153</v>
      </c>
      <c r="AC245" s="660">
        <v>-0.82801581020634052</v>
      </c>
      <c r="AD245" s="682">
        <v>36352677000136</v>
      </c>
      <c r="AE245" s="944" t="s">
        <v>2003</v>
      </c>
      <c r="AF245" s="661" t="s">
        <v>1729</v>
      </c>
      <c r="AG245" s="662" t="s">
        <v>1433</v>
      </c>
      <c r="AH245" s="662" t="s">
        <v>1734</v>
      </c>
      <c r="AI245" s="662">
        <v>1000</v>
      </c>
      <c r="AJ245" s="662">
        <v>0</v>
      </c>
      <c r="AK245" s="662">
        <v>1000</v>
      </c>
      <c r="AL245" s="658">
        <v>0.02</v>
      </c>
      <c r="AM245" s="658">
        <v>0.2</v>
      </c>
      <c r="AN245" s="659" t="s">
        <v>34</v>
      </c>
      <c r="AO245" s="253" t="s">
        <v>34</v>
      </c>
      <c r="AP245" s="944" t="s">
        <v>1731</v>
      </c>
      <c r="AQ245" s="663" t="s">
        <v>659</v>
      </c>
      <c r="AR245" s="658">
        <v>2.66666666666667E-3</v>
      </c>
      <c r="AS245" s="658">
        <v>2.66666666666667E-3</v>
      </c>
      <c r="AT245" s="658" t="s">
        <v>1417</v>
      </c>
      <c r="AU245" s="658" t="s">
        <v>2751</v>
      </c>
      <c r="AX245"/>
      <c r="AY245"/>
      <c r="BA245"/>
      <c r="BB245"/>
      <c r="BC245"/>
      <c r="BD245"/>
      <c r="BE245"/>
      <c r="BF245"/>
      <c r="BG245"/>
      <c r="BH245"/>
      <c r="BI245"/>
      <c r="BJ245"/>
      <c r="BR245"/>
      <c r="BS245"/>
      <c r="BT245"/>
      <c r="BU245"/>
      <c r="BX245"/>
      <c r="BY245"/>
      <c r="CA245"/>
    </row>
    <row r="246" spans="2:79" ht="18.75">
      <c r="B246" s="252" t="s">
        <v>748</v>
      </c>
      <c r="C246" s="251">
        <v>39506707000100</v>
      </c>
      <c r="D246" s="252" t="s">
        <v>13</v>
      </c>
      <c r="E246" s="252" t="s">
        <v>615</v>
      </c>
      <c r="F246" s="252" t="s">
        <v>619</v>
      </c>
      <c r="G246" s="253" t="s">
        <v>34</v>
      </c>
      <c r="H246" s="253" t="s">
        <v>1338</v>
      </c>
      <c r="I246" s="253" t="s">
        <v>34</v>
      </c>
      <c r="J246" s="253" t="s">
        <v>1417</v>
      </c>
      <c r="K246" s="253" t="s">
        <v>48</v>
      </c>
      <c r="L246" s="655"/>
      <c r="M246" s="655" t="s">
        <v>34</v>
      </c>
      <c r="N246" s="253" t="s">
        <v>2819</v>
      </c>
      <c r="O246" s="253" t="s">
        <v>1321</v>
      </c>
      <c r="P246" s="656">
        <v>44463</v>
      </c>
      <c r="Q246" s="657">
        <v>417.91</v>
      </c>
      <c r="R246" s="657">
        <v>407.9450220264319</v>
      </c>
      <c r="S246" s="253">
        <v>32</v>
      </c>
      <c r="T246" s="658">
        <v>2.4793388429751539E-2</v>
      </c>
      <c r="U246" s="659">
        <v>1.2397698444796117</v>
      </c>
      <c r="V246" s="658">
        <v>9.7345132743360541E-2</v>
      </c>
      <c r="W246" s="659">
        <v>0.75494168868466205</v>
      </c>
      <c r="X246" s="658"/>
      <c r="Y246" s="659"/>
      <c r="Z246" s="658"/>
      <c r="AA246" s="659"/>
      <c r="AB246" s="658">
        <v>9.6194802175437799E-2</v>
      </c>
      <c r="AC246" s="660">
        <v>-0.32848736094699493</v>
      </c>
      <c r="AD246" s="682">
        <v>39506634000156</v>
      </c>
      <c r="AE246" s="944" t="s">
        <v>2061</v>
      </c>
      <c r="AF246" s="661" t="s">
        <v>1783</v>
      </c>
      <c r="AG246" s="662" t="s">
        <v>736</v>
      </c>
      <c r="AH246" s="662" t="s">
        <v>1730</v>
      </c>
      <c r="AI246" s="662">
        <v>5000</v>
      </c>
      <c r="AJ246" s="662">
        <v>0</v>
      </c>
      <c r="AK246" s="662">
        <v>0</v>
      </c>
      <c r="AL246" s="658">
        <v>0</v>
      </c>
      <c r="AM246" s="658">
        <v>0</v>
      </c>
      <c r="AN246" s="659" t="s">
        <v>64</v>
      </c>
      <c r="AO246" s="253" t="s">
        <v>34</v>
      </c>
      <c r="AP246" s="944" t="s">
        <v>1746</v>
      </c>
      <c r="AQ246" s="663" t="s">
        <v>668</v>
      </c>
      <c r="AR246" s="658">
        <v>5.0666666666666698E-3</v>
      </c>
      <c r="AS246" s="658">
        <v>5.0666666666666698E-3</v>
      </c>
      <c r="AT246" s="658" t="s">
        <v>1417</v>
      </c>
      <c r="AU246" s="658" t="s">
        <v>2751</v>
      </c>
      <c r="AX246"/>
      <c r="AY246"/>
      <c r="BA246"/>
      <c r="BB246"/>
      <c r="BC246"/>
      <c r="BD246"/>
      <c r="BE246"/>
      <c r="BF246"/>
      <c r="BG246"/>
      <c r="BH246"/>
      <c r="BI246"/>
      <c r="BJ246"/>
      <c r="BR246"/>
      <c r="BS246"/>
      <c r="BT246"/>
      <c r="BU246"/>
      <c r="BX246"/>
      <c r="BY246"/>
      <c r="CA246"/>
    </row>
    <row r="247" spans="2:79" ht="18.75">
      <c r="B247" s="252" t="s">
        <v>749</v>
      </c>
      <c r="C247" s="251">
        <v>29562563000155</v>
      </c>
      <c r="D247" s="252" t="s">
        <v>14</v>
      </c>
      <c r="E247" s="252" t="s">
        <v>614</v>
      </c>
      <c r="F247" s="252" t="s">
        <v>689</v>
      </c>
      <c r="G247" s="253" t="s">
        <v>1417</v>
      </c>
      <c r="H247" s="253" t="s">
        <v>1338</v>
      </c>
      <c r="I247" s="253" t="s">
        <v>34</v>
      </c>
      <c r="J247" s="253" t="s">
        <v>608</v>
      </c>
      <c r="K247" s="253" t="s">
        <v>48</v>
      </c>
      <c r="L247" s="655"/>
      <c r="M247" s="655" t="s">
        <v>1414</v>
      </c>
      <c r="N247" s="253" t="s">
        <v>2820</v>
      </c>
      <c r="O247" s="253" t="s">
        <v>1321</v>
      </c>
      <c r="P247" s="656">
        <v>43173</v>
      </c>
      <c r="Q247" s="657">
        <v>77.677925779999995</v>
      </c>
      <c r="R247" s="657">
        <v>99.609032304377536</v>
      </c>
      <c r="S247" s="253">
        <v>32</v>
      </c>
      <c r="T247" s="658">
        <v>-4.7503824863362021E-2</v>
      </c>
      <c r="U247" s="659">
        <v>-2.375383652375878</v>
      </c>
      <c r="V247" s="658">
        <v>-0.15054596628404704</v>
      </c>
      <c r="W247" s="659">
        <v>-1.1675306490235839</v>
      </c>
      <c r="X247" s="658">
        <v>-0.26059277745997189</v>
      </c>
      <c r="Y247" s="659">
        <v>-1.3496080599189999</v>
      </c>
      <c r="Z247" s="658">
        <v>-7.2470511886717826E-2</v>
      </c>
      <c r="AA247" s="659">
        <v>-0.3272244365997164</v>
      </c>
      <c r="AB247" s="658">
        <v>0.19039255350232384</v>
      </c>
      <c r="AC247" s="660">
        <v>-1.4679664230010134</v>
      </c>
      <c r="AD247" s="682">
        <v>29562526000147</v>
      </c>
      <c r="AE247" s="944" t="s">
        <v>1960</v>
      </c>
      <c r="AF247" s="661" t="s">
        <v>1745</v>
      </c>
      <c r="AG247" s="662" t="s">
        <v>1432</v>
      </c>
      <c r="AH247" s="662" t="s">
        <v>1730</v>
      </c>
      <c r="AI247" s="662">
        <v>1000</v>
      </c>
      <c r="AJ247" s="662">
        <v>500</v>
      </c>
      <c r="AK247" s="662">
        <v>500</v>
      </c>
      <c r="AL247" s="658">
        <v>1.34E-2</v>
      </c>
      <c r="AM247" s="658">
        <v>0.2</v>
      </c>
      <c r="AN247" s="659" t="s">
        <v>2141</v>
      </c>
      <c r="AO247" s="253" t="s">
        <v>34</v>
      </c>
      <c r="AP247" s="944" t="s">
        <v>1746</v>
      </c>
      <c r="AQ247" s="663" t="s">
        <v>668</v>
      </c>
      <c r="AR247" s="658">
        <v>3.5737799999999999E-3</v>
      </c>
      <c r="AS247" s="658">
        <v>3.5737799999999999E-3</v>
      </c>
      <c r="AT247" s="658" t="s">
        <v>1417</v>
      </c>
      <c r="AU247" s="658" t="s">
        <v>2751</v>
      </c>
      <c r="AX247"/>
      <c r="AY247"/>
      <c r="BA247"/>
      <c r="BB247"/>
      <c r="BC247"/>
      <c r="BD247"/>
      <c r="BE247"/>
      <c r="BF247"/>
      <c r="BG247"/>
      <c r="BH247"/>
      <c r="BI247"/>
      <c r="BJ247"/>
      <c r="BR247"/>
      <c r="BS247"/>
      <c r="BT247"/>
      <c r="BU247"/>
      <c r="BX247"/>
      <c r="BY247"/>
      <c r="CA247"/>
    </row>
    <row r="248" spans="2:79" ht="18.75">
      <c r="B248" s="252" t="s">
        <v>2821</v>
      </c>
      <c r="C248" s="251">
        <v>23034819000175</v>
      </c>
      <c r="D248" s="252" t="s">
        <v>11</v>
      </c>
      <c r="E248" s="252" t="s">
        <v>620</v>
      </c>
      <c r="F248" s="252" t="s">
        <v>663</v>
      </c>
      <c r="G248" s="253" t="s">
        <v>738</v>
      </c>
      <c r="H248" s="253" t="s">
        <v>1337</v>
      </c>
      <c r="I248" s="253" t="s">
        <v>34</v>
      </c>
      <c r="J248" s="253" t="s">
        <v>608</v>
      </c>
      <c r="K248" s="253" t="s">
        <v>48</v>
      </c>
      <c r="L248" s="655"/>
      <c r="M248" s="655" t="s">
        <v>34</v>
      </c>
      <c r="N248" s="253" t="s">
        <v>2822</v>
      </c>
      <c r="O248" s="253" t="s">
        <v>1324</v>
      </c>
      <c r="P248" s="656">
        <v>42475</v>
      </c>
      <c r="Q248" s="657">
        <v>951.478927</v>
      </c>
      <c r="R248" s="657">
        <v>897.73329471199986</v>
      </c>
      <c r="S248" s="253">
        <v>541</v>
      </c>
      <c r="T248" s="658">
        <v>1.6342052587791089E-2</v>
      </c>
      <c r="U248" s="659">
        <v>0.81716882114150091</v>
      </c>
      <c r="V248" s="658">
        <v>0.10026428165257273</v>
      </c>
      <c r="W248" s="659">
        <v>0.77758059362973697</v>
      </c>
      <c r="X248" s="658">
        <v>0.23992861348908345</v>
      </c>
      <c r="Y248" s="659">
        <v>1.2425885081170216</v>
      </c>
      <c r="Z248" s="658">
        <v>1.4171530524582447</v>
      </c>
      <c r="AA248" s="659">
        <v>6.3988386047430135</v>
      </c>
      <c r="AB248" s="658">
        <v>2.1164245210812144E-2</v>
      </c>
      <c r="AC248" s="660">
        <v>-1.3550980679227864</v>
      </c>
      <c r="AD248" s="682">
        <v>0</v>
      </c>
      <c r="AE248" s="944" t="s">
        <v>1802</v>
      </c>
      <c r="AF248" s="661" t="s">
        <v>1742</v>
      </c>
      <c r="AG248" s="662" t="s">
        <v>741</v>
      </c>
      <c r="AH248" s="662" t="s">
        <v>1730</v>
      </c>
      <c r="AI248" s="662">
        <v>300000</v>
      </c>
      <c r="AJ248" s="662">
        <v>0</v>
      </c>
      <c r="AK248" s="662">
        <v>0</v>
      </c>
      <c r="AL248" s="658">
        <v>1.11E-2</v>
      </c>
      <c r="AM248" s="658">
        <v>0.2</v>
      </c>
      <c r="AN248" s="659" t="s">
        <v>64</v>
      </c>
      <c r="AO248" s="253" t="s">
        <v>34</v>
      </c>
      <c r="AP248" s="944" t="s">
        <v>1746</v>
      </c>
      <c r="AQ248" s="663" t="s">
        <v>2177</v>
      </c>
      <c r="AR248" s="658">
        <v>0</v>
      </c>
      <c r="AS248" s="658">
        <v>0</v>
      </c>
      <c r="AT248" s="658" t="s">
        <v>1417</v>
      </c>
      <c r="AU248" s="658" t="s">
        <v>2751</v>
      </c>
      <c r="AX248"/>
      <c r="AY248"/>
      <c r="BA248"/>
      <c r="BB248"/>
      <c r="BC248"/>
      <c r="BD248"/>
      <c r="BE248"/>
      <c r="BF248"/>
      <c r="BG248"/>
      <c r="BH248"/>
      <c r="BI248"/>
      <c r="BJ248"/>
      <c r="BR248"/>
      <c r="BS248"/>
      <c r="BT248"/>
      <c r="BU248"/>
      <c r="BX248"/>
      <c r="BY248"/>
      <c r="CA248"/>
    </row>
    <row r="249" spans="2:79" ht="18.75">
      <c r="B249" s="252" t="s">
        <v>750</v>
      </c>
      <c r="C249" s="251">
        <v>32238591000126</v>
      </c>
      <c r="D249" s="252" t="s">
        <v>11</v>
      </c>
      <c r="E249" s="252" t="s">
        <v>620</v>
      </c>
      <c r="F249" s="252" t="s">
        <v>685</v>
      </c>
      <c r="G249" s="253" t="s">
        <v>738</v>
      </c>
      <c r="H249" s="253" t="s">
        <v>34</v>
      </c>
      <c r="I249" s="253" t="s">
        <v>1319</v>
      </c>
      <c r="J249" s="253" t="s">
        <v>608</v>
      </c>
      <c r="K249" s="253" t="s">
        <v>48</v>
      </c>
      <c r="L249" s="655"/>
      <c r="M249" s="655" t="s">
        <v>34</v>
      </c>
      <c r="N249" s="253" t="s">
        <v>2823</v>
      </c>
      <c r="O249" s="253" t="s">
        <v>1321</v>
      </c>
      <c r="P249" s="656">
        <v>43559</v>
      </c>
      <c r="Q249" s="657">
        <v>32.646352630000003</v>
      </c>
      <c r="R249" s="657">
        <v>45.363782579277128</v>
      </c>
      <c r="S249" s="253">
        <v>182</v>
      </c>
      <c r="T249" s="658">
        <v>1.6047887710176179E-2</v>
      </c>
      <c r="U249" s="659">
        <v>0.80245938577709652</v>
      </c>
      <c r="V249" s="658">
        <v>0.12212355662831365</v>
      </c>
      <c r="W249" s="659">
        <v>0.94710604907407991</v>
      </c>
      <c r="X249" s="658">
        <v>0.19921180038426844</v>
      </c>
      <c r="Y249" s="659">
        <v>1.0317164353140265</v>
      </c>
      <c r="Z249" s="658">
        <v>0.26890939386582935</v>
      </c>
      <c r="AA249" s="659">
        <v>1.214200405285732</v>
      </c>
      <c r="AB249" s="658">
        <v>4.5979101735030489E-3</v>
      </c>
      <c r="AC249" s="660">
        <v>-1.4833593004446248</v>
      </c>
      <c r="AD249" s="682">
        <v>30910036000173</v>
      </c>
      <c r="AE249" s="944" t="s">
        <v>1802</v>
      </c>
      <c r="AF249" s="661" t="s">
        <v>1745</v>
      </c>
      <c r="AG249" s="662" t="s">
        <v>1432</v>
      </c>
      <c r="AH249" s="662" t="s">
        <v>1730</v>
      </c>
      <c r="AI249" s="662">
        <v>25000</v>
      </c>
      <c r="AJ249" s="662">
        <v>5000</v>
      </c>
      <c r="AK249" s="662">
        <v>10000</v>
      </c>
      <c r="AL249" s="658">
        <v>5.0000000000000001E-3</v>
      </c>
      <c r="AM249" s="658">
        <v>0</v>
      </c>
      <c r="AN249" s="659" t="s">
        <v>64</v>
      </c>
      <c r="AO249" s="253" t="s">
        <v>34</v>
      </c>
      <c r="AP249" s="944" t="s">
        <v>1735</v>
      </c>
      <c r="AQ249" s="663" t="s">
        <v>675</v>
      </c>
      <c r="AR249" s="658">
        <v>3.3333333333333301E-3</v>
      </c>
      <c r="AS249" s="658">
        <v>3.3333333333333301E-3</v>
      </c>
      <c r="AT249" s="658" t="s">
        <v>1417</v>
      </c>
      <c r="AU249" s="658" t="s">
        <v>2751</v>
      </c>
      <c r="AX249"/>
      <c r="AY249"/>
      <c r="BA249"/>
      <c r="BB249"/>
      <c r="BC249"/>
      <c r="BD249"/>
      <c r="BE249"/>
      <c r="BF249"/>
      <c r="BG249"/>
      <c r="BH249"/>
      <c r="BI249"/>
      <c r="BJ249"/>
      <c r="BR249"/>
      <c r="BS249"/>
      <c r="BT249"/>
      <c r="BU249"/>
      <c r="BX249"/>
      <c r="BY249"/>
      <c r="CA249"/>
    </row>
    <row r="250" spans="2:79" ht="18.75">
      <c r="B250" s="252" t="s">
        <v>751</v>
      </c>
      <c r="C250" s="251">
        <v>30910036000173</v>
      </c>
      <c r="D250" s="252" t="s">
        <v>11</v>
      </c>
      <c r="E250" s="252" t="s">
        <v>620</v>
      </c>
      <c r="F250" s="252" t="s">
        <v>663</v>
      </c>
      <c r="G250" s="253" t="s">
        <v>738</v>
      </c>
      <c r="H250" s="253" t="s">
        <v>34</v>
      </c>
      <c r="I250" s="253" t="s">
        <v>1304</v>
      </c>
      <c r="J250" s="253" t="s">
        <v>608</v>
      </c>
      <c r="K250" s="253" t="s">
        <v>48</v>
      </c>
      <c r="L250" s="655"/>
      <c r="M250" s="655" t="s">
        <v>1414</v>
      </c>
      <c r="N250" s="253" t="s">
        <v>2824</v>
      </c>
      <c r="O250" s="253" t="s">
        <v>1321</v>
      </c>
      <c r="P250" s="656">
        <v>43355</v>
      </c>
      <c r="Q250" s="657">
        <v>478.16512089999998</v>
      </c>
      <c r="R250" s="657">
        <v>588.40414211249993</v>
      </c>
      <c r="S250" s="253">
        <v>181</v>
      </c>
      <c r="T250" s="658">
        <v>1.6939436163280641E-2</v>
      </c>
      <c r="U250" s="659">
        <v>0.84704041955483556</v>
      </c>
      <c r="V250" s="658">
        <v>0.12874251518605351</v>
      </c>
      <c r="W250" s="659">
        <v>0.99843812506074237</v>
      </c>
      <c r="X250" s="658">
        <v>0.21349277727743821</v>
      </c>
      <c r="Y250" s="659">
        <v>1.1056775086269637</v>
      </c>
      <c r="Z250" s="658">
        <v>0.29254054807821861</v>
      </c>
      <c r="AA250" s="659">
        <v>1.3209016127428759</v>
      </c>
      <c r="AB250" s="658">
        <v>4.6790988077480685E-3</v>
      </c>
      <c r="AC250" s="660">
        <v>-4.3041249823867249E-2</v>
      </c>
      <c r="AD250" s="682">
        <v>0</v>
      </c>
      <c r="AE250" s="944" t="s">
        <v>1802</v>
      </c>
      <c r="AF250" s="661" t="s">
        <v>1745</v>
      </c>
      <c r="AG250" s="662" t="s">
        <v>1432</v>
      </c>
      <c r="AH250" s="662" t="s">
        <v>1730</v>
      </c>
      <c r="AI250" s="662">
        <v>25000</v>
      </c>
      <c r="AJ250" s="662">
        <v>5000</v>
      </c>
      <c r="AK250" s="662">
        <v>10000</v>
      </c>
      <c r="AL250" s="658">
        <v>1.6E-2</v>
      </c>
      <c r="AM250" s="658">
        <v>0.2</v>
      </c>
      <c r="AN250" s="659" t="s">
        <v>64</v>
      </c>
      <c r="AO250" s="253" t="s">
        <v>34</v>
      </c>
      <c r="AP250" s="944" t="s">
        <v>1735</v>
      </c>
      <c r="AQ250" s="663" t="s">
        <v>675</v>
      </c>
      <c r="AR250" s="658">
        <v>0</v>
      </c>
      <c r="AS250" s="658">
        <v>0</v>
      </c>
      <c r="AT250" s="658" t="s">
        <v>1417</v>
      </c>
      <c r="AU250" s="658" t="s">
        <v>2751</v>
      </c>
      <c r="AX250"/>
      <c r="AY250"/>
      <c r="BA250"/>
      <c r="BB250"/>
      <c r="BC250"/>
      <c r="BD250"/>
      <c r="BE250"/>
      <c r="BF250"/>
      <c r="BG250"/>
      <c r="BH250"/>
      <c r="BI250"/>
      <c r="BJ250"/>
      <c r="BR250"/>
      <c r="BS250"/>
      <c r="BT250"/>
      <c r="BU250"/>
      <c r="BX250"/>
      <c r="BY250"/>
      <c r="CA250"/>
    </row>
    <row r="251" spans="2:79" ht="18.75">
      <c r="B251" s="252" t="s">
        <v>82</v>
      </c>
      <c r="C251" s="251">
        <v>37227754000199</v>
      </c>
      <c r="D251" s="252" t="s">
        <v>11</v>
      </c>
      <c r="E251" s="252" t="s">
        <v>620</v>
      </c>
      <c r="F251" s="252" t="s">
        <v>663</v>
      </c>
      <c r="G251" s="253" t="s">
        <v>738</v>
      </c>
      <c r="H251" s="253" t="s">
        <v>34</v>
      </c>
      <c r="I251" s="253" t="s">
        <v>1417</v>
      </c>
      <c r="J251" s="253" t="s">
        <v>608</v>
      </c>
      <c r="K251" s="253" t="s">
        <v>48</v>
      </c>
      <c r="L251" s="655"/>
      <c r="M251" s="655" t="s">
        <v>34</v>
      </c>
      <c r="N251" s="253" t="s">
        <v>2826</v>
      </c>
      <c r="O251" s="253" t="s">
        <v>1321</v>
      </c>
      <c r="P251" s="656">
        <v>44007</v>
      </c>
      <c r="Q251" s="657">
        <v>22.39675016</v>
      </c>
      <c r="R251" s="657">
        <v>22.638579541572575</v>
      </c>
      <c r="S251" s="253">
        <v>91</v>
      </c>
      <c r="T251" s="658">
        <v>1.6332718761012277E-2</v>
      </c>
      <c r="U251" s="659">
        <v>0.81670209199688415</v>
      </c>
      <c r="V251" s="658">
        <v>0.13940361563262504</v>
      </c>
      <c r="W251" s="659">
        <v>1.0811182647611064</v>
      </c>
      <c r="X251" s="658">
        <v>0.22318406915384426</v>
      </c>
      <c r="Y251" s="659">
        <v>1.1558686373102374</v>
      </c>
      <c r="Z251" s="658"/>
      <c r="AA251" s="659"/>
      <c r="AB251" s="658">
        <v>3.6582533315424851E-3</v>
      </c>
      <c r="AC251" s="660">
        <v>2.8592077250774777</v>
      </c>
      <c r="AD251" s="682">
        <v>0</v>
      </c>
      <c r="AE251" s="944" t="s">
        <v>1802</v>
      </c>
      <c r="AF251" s="661" t="s">
        <v>1745</v>
      </c>
      <c r="AG251" s="662" t="s">
        <v>1432</v>
      </c>
      <c r="AH251" s="662" t="s">
        <v>1730</v>
      </c>
      <c r="AI251" s="662">
        <v>5000</v>
      </c>
      <c r="AJ251" s="662">
        <v>5000</v>
      </c>
      <c r="AK251" s="662">
        <v>5000</v>
      </c>
      <c r="AL251" s="658">
        <v>1.4999999999999999E-2</v>
      </c>
      <c r="AM251" s="658">
        <v>0.2</v>
      </c>
      <c r="AN251" s="659" t="s">
        <v>34</v>
      </c>
      <c r="AO251" s="253" t="s">
        <v>34</v>
      </c>
      <c r="AP251" s="944" t="s">
        <v>1746</v>
      </c>
      <c r="AQ251" s="663" t="s">
        <v>668</v>
      </c>
      <c r="AR251" s="658">
        <v>3.0000000000000001E-3</v>
      </c>
      <c r="AS251" s="658">
        <v>3.0000000000000001E-3</v>
      </c>
      <c r="AT251" s="658" t="s">
        <v>1417</v>
      </c>
      <c r="AU251" s="658" t="s">
        <v>2751</v>
      </c>
      <c r="AX251"/>
      <c r="AY251"/>
      <c r="BA251"/>
      <c r="BB251"/>
      <c r="BC251"/>
      <c r="BD251"/>
      <c r="BE251"/>
      <c r="BF251"/>
      <c r="BG251"/>
      <c r="BH251"/>
      <c r="BI251"/>
      <c r="BJ251"/>
      <c r="BR251"/>
      <c r="BS251"/>
      <c r="BT251"/>
      <c r="BU251"/>
      <c r="BX251"/>
      <c r="BY251"/>
      <c r="CA251"/>
    </row>
    <row r="252" spans="2:79" ht="18.75">
      <c r="B252" s="252" t="s">
        <v>83</v>
      </c>
      <c r="C252" s="251">
        <v>15862830000103</v>
      </c>
      <c r="D252" s="252" t="s">
        <v>14</v>
      </c>
      <c r="E252" s="252" t="s">
        <v>607</v>
      </c>
      <c r="F252" s="252" t="s">
        <v>689</v>
      </c>
      <c r="G252" s="253" t="s">
        <v>1417</v>
      </c>
      <c r="H252" s="253" t="s">
        <v>34</v>
      </c>
      <c r="I252" s="253" t="s">
        <v>34</v>
      </c>
      <c r="J252" s="253" t="s">
        <v>611</v>
      </c>
      <c r="K252" s="253" t="s">
        <v>1417</v>
      </c>
      <c r="L252" s="655"/>
      <c r="M252" s="655" t="s">
        <v>34</v>
      </c>
      <c r="N252" s="253" t="s">
        <v>2827</v>
      </c>
      <c r="O252" s="253" t="s">
        <v>1321</v>
      </c>
      <c r="P252" s="656">
        <v>41143</v>
      </c>
      <c r="Q252" s="657">
        <v>165.711499</v>
      </c>
      <c r="R252" s="657">
        <v>165.17214971887537</v>
      </c>
      <c r="S252" s="253">
        <v>32</v>
      </c>
      <c r="T252" s="658">
        <v>-3.5018401717792469E-2</v>
      </c>
      <c r="U252" s="659">
        <v>-1.7510619242142533</v>
      </c>
      <c r="V252" s="658">
        <v>-6.3531782422351912E-2</v>
      </c>
      <c r="W252" s="659">
        <v>-0.49270867228180137</v>
      </c>
      <c r="X252" s="658">
        <v>-9.5855636086273899E-2</v>
      </c>
      <c r="Y252" s="659">
        <v>-0.49643562769336219</v>
      </c>
      <c r="Z252" s="658">
        <v>-0.1375530753026255</v>
      </c>
      <c r="AA252" s="659">
        <v>-0.62109023927992191</v>
      </c>
      <c r="AB252" s="658">
        <v>0.22276490067532784</v>
      </c>
      <c r="AC252" s="660">
        <v>-0.86403060484679739</v>
      </c>
      <c r="AD252" s="682">
        <v>13950080000198</v>
      </c>
      <c r="AE252" s="944" t="s">
        <v>1852</v>
      </c>
      <c r="AF252" s="661" t="s">
        <v>1729</v>
      </c>
      <c r="AG252" s="662" t="s">
        <v>1433</v>
      </c>
      <c r="AH252" s="662" t="s">
        <v>1734</v>
      </c>
      <c r="AI252" s="662">
        <v>500</v>
      </c>
      <c r="AJ252" s="662">
        <v>100</v>
      </c>
      <c r="AK252" s="662">
        <v>100</v>
      </c>
      <c r="AL252" s="658">
        <v>1.9E-2</v>
      </c>
      <c r="AM252" s="658">
        <v>0.2</v>
      </c>
      <c r="AN252" s="659" t="s">
        <v>666</v>
      </c>
      <c r="AO252" s="253" t="s">
        <v>34</v>
      </c>
      <c r="AP252" s="944" t="s">
        <v>1731</v>
      </c>
      <c r="AQ252" s="663" t="s">
        <v>659</v>
      </c>
      <c r="AR252" s="658">
        <v>3.9899999999999996E-3</v>
      </c>
      <c r="AS252" s="658">
        <v>3.9899999999999996E-3</v>
      </c>
      <c r="AT252" s="658" t="s">
        <v>1417</v>
      </c>
      <c r="AU252" s="658" t="s">
        <v>2751</v>
      </c>
      <c r="AX252"/>
      <c r="AY252"/>
      <c r="BA252"/>
      <c r="BB252"/>
      <c r="BC252"/>
      <c r="BD252"/>
      <c r="BE252"/>
      <c r="BF252"/>
      <c r="BG252"/>
      <c r="BH252"/>
      <c r="BI252"/>
      <c r="BJ252"/>
      <c r="BR252"/>
      <c r="BS252"/>
      <c r="BT252"/>
      <c r="BU252"/>
      <c r="BX252"/>
      <c r="BY252"/>
      <c r="CA252"/>
    </row>
    <row r="253" spans="2:79" ht="18.75">
      <c r="B253" s="252" t="s">
        <v>753</v>
      </c>
      <c r="C253" s="251">
        <v>38026540000117</v>
      </c>
      <c r="D253" s="252" t="s">
        <v>14</v>
      </c>
      <c r="E253" s="252" t="s">
        <v>607</v>
      </c>
      <c r="F253" s="252" t="s">
        <v>689</v>
      </c>
      <c r="G253" s="253" t="s">
        <v>1417</v>
      </c>
      <c r="H253" s="253" t="s">
        <v>34</v>
      </c>
      <c r="I253" s="253" t="s">
        <v>34</v>
      </c>
      <c r="J253" s="253" t="s">
        <v>608</v>
      </c>
      <c r="K253" s="253" t="s">
        <v>48</v>
      </c>
      <c r="L253" s="655"/>
      <c r="M253" s="655" t="s">
        <v>34</v>
      </c>
      <c r="N253" s="253" t="s">
        <v>2828</v>
      </c>
      <c r="O253" s="253" t="s">
        <v>1321</v>
      </c>
      <c r="P253" s="656">
        <v>44189</v>
      </c>
      <c r="Q253" s="657">
        <v>5.5497403399999996</v>
      </c>
      <c r="R253" s="657">
        <v>7.7255723293951641</v>
      </c>
      <c r="S253" s="253">
        <v>32</v>
      </c>
      <c r="T253" s="658">
        <v>-2.5134823881188817E-2</v>
      </c>
      <c r="U253" s="659">
        <v>-1.2568429999995836</v>
      </c>
      <c r="V253" s="658">
        <v>-5.7771359908704745E-2</v>
      </c>
      <c r="W253" s="659">
        <v>-0.44803480952735819</v>
      </c>
      <c r="X253" s="658">
        <v>-0.11893476361471078</v>
      </c>
      <c r="Y253" s="659">
        <v>-0.61596225783207081</v>
      </c>
      <c r="Z253" s="658"/>
      <c r="AA253" s="659"/>
      <c r="AB253" s="658">
        <v>0.22513873709917864</v>
      </c>
      <c r="AC253" s="660">
        <v>-0.82933426633392215</v>
      </c>
      <c r="AD253" s="682">
        <v>38026392000130</v>
      </c>
      <c r="AE253" s="944" t="s">
        <v>1852</v>
      </c>
      <c r="AF253" s="661" t="s">
        <v>1729</v>
      </c>
      <c r="AG253" s="662" t="s">
        <v>1433</v>
      </c>
      <c r="AH253" s="662" t="s">
        <v>1734</v>
      </c>
      <c r="AI253" s="662">
        <v>500</v>
      </c>
      <c r="AJ253" s="662">
        <v>100</v>
      </c>
      <c r="AK253" s="662">
        <v>100</v>
      </c>
      <c r="AL253" s="658">
        <v>2.5000000000000001E-2</v>
      </c>
      <c r="AM253" s="658">
        <v>0.2</v>
      </c>
      <c r="AN253" s="659" t="s">
        <v>34</v>
      </c>
      <c r="AO253" s="253" t="s">
        <v>34</v>
      </c>
      <c r="AP253" s="944" t="s">
        <v>1731</v>
      </c>
      <c r="AQ253" s="663" t="s">
        <v>659</v>
      </c>
      <c r="AR253" s="658">
        <v>5.0666666666666698E-3</v>
      </c>
      <c r="AS253" s="658">
        <v>5.0666666666666698E-3</v>
      </c>
      <c r="AT253" s="658" t="s">
        <v>1417</v>
      </c>
      <c r="AU253" s="658" t="s">
        <v>2751</v>
      </c>
      <c r="AX253"/>
      <c r="AY253"/>
      <c r="BA253"/>
      <c r="BB253"/>
      <c r="BC253"/>
      <c r="BD253"/>
      <c r="BE253"/>
      <c r="BF253"/>
      <c r="BG253"/>
      <c r="BH253"/>
      <c r="BI253"/>
      <c r="BJ253"/>
      <c r="BR253"/>
      <c r="BS253"/>
      <c r="BT253"/>
      <c r="BU253"/>
      <c r="BX253"/>
      <c r="BY253"/>
      <c r="CA253"/>
    </row>
    <row r="254" spans="2:79" ht="18.75">
      <c r="B254" s="252" t="s">
        <v>84</v>
      </c>
      <c r="C254" s="251">
        <v>13608337000128</v>
      </c>
      <c r="D254" s="252" t="s">
        <v>13</v>
      </c>
      <c r="E254" s="252" t="s">
        <v>616</v>
      </c>
      <c r="F254" s="252" t="s">
        <v>617</v>
      </c>
      <c r="G254" s="253" t="s">
        <v>34</v>
      </c>
      <c r="H254" s="253" t="s">
        <v>1337</v>
      </c>
      <c r="I254" s="253" t="s">
        <v>34</v>
      </c>
      <c r="J254" s="253" t="s">
        <v>608</v>
      </c>
      <c r="K254" s="253" t="s">
        <v>48</v>
      </c>
      <c r="L254" s="655"/>
      <c r="M254" s="655" t="s">
        <v>34</v>
      </c>
      <c r="N254" s="253" t="s">
        <v>2829</v>
      </c>
      <c r="O254" s="253" t="s">
        <v>1321</v>
      </c>
      <c r="P254" s="656">
        <v>40879</v>
      </c>
      <c r="Q254" s="657">
        <v>247.506471</v>
      </c>
      <c r="R254" s="657">
        <v>324.60847379116467</v>
      </c>
      <c r="S254" s="253">
        <v>30</v>
      </c>
      <c r="T254" s="658">
        <v>2.063670248318128E-2</v>
      </c>
      <c r="U254" s="659">
        <v>1.0319187109352306</v>
      </c>
      <c r="V254" s="658">
        <v>8.1202216106423419E-2</v>
      </c>
      <c r="W254" s="659">
        <v>0.6297483646556673</v>
      </c>
      <c r="X254" s="658">
        <v>7.3106340737774111E-3</v>
      </c>
      <c r="Y254" s="659">
        <v>3.7861719596599328E-2</v>
      </c>
      <c r="Z254" s="658">
        <v>2.0758455433642631E-2</v>
      </c>
      <c r="AA254" s="659">
        <v>9.3730176689961697E-2</v>
      </c>
      <c r="AB254" s="658">
        <v>5.5137780324438369E-2</v>
      </c>
      <c r="AC254" s="660">
        <v>-0.86586172057428079</v>
      </c>
      <c r="AD254" s="682">
        <v>0</v>
      </c>
      <c r="AE254" s="944" t="s">
        <v>1852</v>
      </c>
      <c r="AF254" s="661" t="s">
        <v>1729</v>
      </c>
      <c r="AG254" s="662" t="s">
        <v>1433</v>
      </c>
      <c r="AH254" s="662" t="s">
        <v>1734</v>
      </c>
      <c r="AI254" s="662">
        <v>500</v>
      </c>
      <c r="AJ254" s="662">
        <v>100</v>
      </c>
      <c r="AK254" s="662">
        <v>100</v>
      </c>
      <c r="AL254" s="658">
        <v>1.9E-2</v>
      </c>
      <c r="AM254" s="658">
        <v>0.2</v>
      </c>
      <c r="AN254" s="659" t="s">
        <v>2127</v>
      </c>
      <c r="AO254" s="253" t="s">
        <v>34</v>
      </c>
      <c r="AP254" s="944" t="s">
        <v>1746</v>
      </c>
      <c r="AQ254" s="663" t="s">
        <v>668</v>
      </c>
      <c r="AR254" s="658">
        <v>4.0000000000000001E-3</v>
      </c>
      <c r="AS254" s="658">
        <v>4.0000000000000001E-3</v>
      </c>
      <c r="AT254" s="658" t="s">
        <v>1417</v>
      </c>
      <c r="AU254" s="658" t="s">
        <v>2751</v>
      </c>
      <c r="AX254"/>
      <c r="AY254"/>
      <c r="BA254"/>
      <c r="BB254"/>
      <c r="BC254"/>
      <c r="BD254"/>
      <c r="BE254"/>
      <c r="BF254"/>
      <c r="BG254"/>
      <c r="BH254"/>
      <c r="BI254"/>
      <c r="BJ254"/>
      <c r="BR254"/>
      <c r="BS254"/>
      <c r="BT254"/>
      <c r="BU254"/>
      <c r="BX254"/>
      <c r="BY254"/>
      <c r="CA254"/>
    </row>
    <row r="255" spans="2:79" ht="18.75">
      <c r="B255" s="252" t="s">
        <v>4412</v>
      </c>
      <c r="C255" s="251">
        <v>42287988000161</v>
      </c>
      <c r="D255" s="252" t="s">
        <v>13</v>
      </c>
      <c r="E255" s="252" t="s">
        <v>616</v>
      </c>
      <c r="F255" s="252" t="s">
        <v>617</v>
      </c>
      <c r="G255" s="253" t="s">
        <v>34</v>
      </c>
      <c r="H255" s="253" t="s">
        <v>34</v>
      </c>
      <c r="I255" s="253" t="s">
        <v>34</v>
      </c>
      <c r="J255" s="253" t="s">
        <v>608</v>
      </c>
      <c r="K255" s="253" t="s">
        <v>48</v>
      </c>
      <c r="L255" s="655"/>
      <c r="M255" s="655" t="s">
        <v>34</v>
      </c>
      <c r="N255" s="253" t="s">
        <v>4413</v>
      </c>
      <c r="O255" s="253" t="s">
        <v>1321</v>
      </c>
      <c r="P255" s="656">
        <v>44676</v>
      </c>
      <c r="Q255" s="657"/>
      <c r="R255" s="657"/>
      <c r="S255" s="253">
        <v>23</v>
      </c>
      <c r="T255" s="658"/>
      <c r="U255" s="659"/>
      <c r="V255" s="658"/>
      <c r="W255" s="659"/>
      <c r="X255" s="658"/>
      <c r="Y255" s="659"/>
      <c r="Z255" s="658"/>
      <c r="AA255" s="659"/>
      <c r="AB255" s="658"/>
      <c r="AC255" s="660"/>
      <c r="AD255" s="682">
        <v>42288347000121</v>
      </c>
      <c r="AE255" s="944" t="s">
        <v>1852</v>
      </c>
      <c r="AF255" s="661" t="s">
        <v>1729</v>
      </c>
      <c r="AG255" s="662" t="s">
        <v>1433</v>
      </c>
      <c r="AH255" s="662" t="s">
        <v>2119</v>
      </c>
      <c r="AI255" s="662">
        <v>500</v>
      </c>
      <c r="AJ255" s="662">
        <v>0</v>
      </c>
      <c r="AK255" s="662">
        <v>100</v>
      </c>
      <c r="AL255" s="658">
        <v>1.9E-2</v>
      </c>
      <c r="AM255" s="658">
        <v>0.2</v>
      </c>
      <c r="AN255" s="659" t="s">
        <v>2127</v>
      </c>
      <c r="AO255" s="253" t="s">
        <v>4400</v>
      </c>
      <c r="AP255" s="944" t="s">
        <v>1746</v>
      </c>
      <c r="AQ255" s="663" t="s">
        <v>2177</v>
      </c>
      <c r="AR255" s="658">
        <v>0</v>
      </c>
      <c r="AS255" s="658">
        <v>0</v>
      </c>
      <c r="AT255" s="658" t="s">
        <v>1417</v>
      </c>
      <c r="AU255" s="658" t="s">
        <v>2751</v>
      </c>
      <c r="AX255"/>
      <c r="AY255"/>
      <c r="BA255"/>
      <c r="BB255"/>
      <c r="BC255"/>
      <c r="BD255"/>
      <c r="BE255"/>
      <c r="BF255"/>
      <c r="BG255"/>
      <c r="BH255"/>
      <c r="BI255"/>
      <c r="BJ255"/>
      <c r="BR255"/>
      <c r="BS255"/>
      <c r="BT255"/>
      <c r="BU255"/>
      <c r="BX255"/>
      <c r="BY255"/>
      <c r="CA255"/>
    </row>
    <row r="256" spans="2:79" ht="18.75">
      <c r="B256" s="252" t="s">
        <v>1493</v>
      </c>
      <c r="C256" s="251">
        <v>38377278000155</v>
      </c>
      <c r="D256" s="252" t="s">
        <v>14</v>
      </c>
      <c r="E256" s="252" t="s">
        <v>616</v>
      </c>
      <c r="F256" s="252" t="s">
        <v>617</v>
      </c>
      <c r="G256" s="253" t="s">
        <v>34</v>
      </c>
      <c r="H256" s="253" t="s">
        <v>34</v>
      </c>
      <c r="I256" s="253" t="s">
        <v>34</v>
      </c>
      <c r="J256" s="253" t="s">
        <v>608</v>
      </c>
      <c r="K256" s="253" t="s">
        <v>48</v>
      </c>
      <c r="L256" s="655"/>
      <c r="M256" s="655" t="s">
        <v>34</v>
      </c>
      <c r="N256" s="253" t="s">
        <v>2830</v>
      </c>
      <c r="O256" s="253" t="s">
        <v>1321</v>
      </c>
      <c r="P256" s="656">
        <v>44237</v>
      </c>
      <c r="Q256" s="657">
        <v>0</v>
      </c>
      <c r="R256" s="657">
        <v>11.495534866033053</v>
      </c>
      <c r="S256" s="253">
        <v>7</v>
      </c>
      <c r="T256" s="658"/>
      <c r="U256" s="659"/>
      <c r="V256" s="658">
        <v>-0.25103278455024591</v>
      </c>
      <c r="W256" s="659">
        <v>-1.9468370830949586</v>
      </c>
      <c r="X256" s="658">
        <v>-0.20164879180122652</v>
      </c>
      <c r="Y256" s="659">
        <v>-1.0443375957711127</v>
      </c>
      <c r="Z256" s="658"/>
      <c r="AA256" s="659"/>
      <c r="AB256" s="658">
        <v>0.23444110633747114</v>
      </c>
      <c r="AC256" s="660">
        <v>-1.6207767482980091</v>
      </c>
      <c r="AD256" s="682">
        <v>0</v>
      </c>
      <c r="AE256" s="944" t="s">
        <v>1852</v>
      </c>
      <c r="AF256" s="661" t="s">
        <v>1729</v>
      </c>
      <c r="AG256" s="662" t="s">
        <v>1433</v>
      </c>
      <c r="AH256" s="662" t="s">
        <v>1730</v>
      </c>
      <c r="AI256" s="662">
        <v>500</v>
      </c>
      <c r="AJ256" s="662">
        <v>0</v>
      </c>
      <c r="AK256" s="662">
        <v>100</v>
      </c>
      <c r="AL256" s="658">
        <v>2.1000000000000001E-2</v>
      </c>
      <c r="AM256" s="658">
        <v>0.1</v>
      </c>
      <c r="AN256" s="659" t="s">
        <v>34</v>
      </c>
      <c r="AO256" s="253" t="s">
        <v>34</v>
      </c>
      <c r="AP256" s="944" t="s">
        <v>1731</v>
      </c>
      <c r="AQ256" s="663" t="s">
        <v>687</v>
      </c>
      <c r="AR256" s="658">
        <v>4.0000000000000001E-3</v>
      </c>
      <c r="AS256" s="658">
        <v>4.0000000000000001E-3</v>
      </c>
      <c r="AT256" s="658" t="s">
        <v>1417</v>
      </c>
      <c r="AU256" s="658" t="s">
        <v>2751</v>
      </c>
      <c r="AX256"/>
      <c r="AY256"/>
      <c r="BA256"/>
      <c r="BB256"/>
      <c r="BC256"/>
      <c r="BD256"/>
      <c r="BE256"/>
      <c r="BF256"/>
      <c r="BG256"/>
      <c r="BH256"/>
      <c r="BI256"/>
      <c r="BJ256"/>
      <c r="BR256"/>
      <c r="BS256"/>
      <c r="BT256"/>
      <c r="BU256"/>
      <c r="BX256"/>
      <c r="BY256"/>
      <c r="CA256"/>
    </row>
    <row r="257" spans="2:79" ht="18.75">
      <c r="B257" s="252" t="s">
        <v>85</v>
      </c>
      <c r="C257" s="251">
        <v>17397804000179</v>
      </c>
      <c r="D257" s="252" t="s">
        <v>14</v>
      </c>
      <c r="E257" s="252" t="s">
        <v>614</v>
      </c>
      <c r="F257" s="252" t="s">
        <v>689</v>
      </c>
      <c r="G257" s="253" t="s">
        <v>1417</v>
      </c>
      <c r="H257" s="253" t="s">
        <v>865</v>
      </c>
      <c r="I257" s="253" t="s">
        <v>34</v>
      </c>
      <c r="J257" s="253" t="s">
        <v>608</v>
      </c>
      <c r="K257" s="253" t="s">
        <v>48</v>
      </c>
      <c r="L257" s="655"/>
      <c r="M257" s="655" t="s">
        <v>34</v>
      </c>
      <c r="N257" s="253" t="s">
        <v>2831</v>
      </c>
      <c r="O257" s="253" t="s">
        <v>1321</v>
      </c>
      <c r="P257" s="656">
        <v>41381</v>
      </c>
      <c r="Q257" s="657">
        <v>105.70711799999999</v>
      </c>
      <c r="R257" s="657">
        <v>120.45509087550205</v>
      </c>
      <c r="S257" s="253">
        <v>32</v>
      </c>
      <c r="T257" s="658">
        <v>1.6575702775554202E-3</v>
      </c>
      <c r="U257" s="659">
        <v>8.2885227690497804E-2</v>
      </c>
      <c r="V257" s="658">
        <v>2.0758285845088764E-2</v>
      </c>
      <c r="W257" s="659">
        <v>0.1609869433472943</v>
      </c>
      <c r="X257" s="658">
        <v>-0.16029990680456685</v>
      </c>
      <c r="Y257" s="659">
        <v>-0.83019202733252639</v>
      </c>
      <c r="Z257" s="658">
        <v>-0.19093644825284817</v>
      </c>
      <c r="AA257" s="659">
        <v>-0.86213095615432134</v>
      </c>
      <c r="AB257" s="658">
        <v>0.15156154102992059</v>
      </c>
      <c r="AC257" s="660">
        <v>-0.71380656904472928</v>
      </c>
      <c r="AD257" s="682">
        <v>15862804000177</v>
      </c>
      <c r="AE257" s="944" t="s">
        <v>1852</v>
      </c>
      <c r="AF257" s="661" t="s">
        <v>1729</v>
      </c>
      <c r="AG257" s="662" t="s">
        <v>1433</v>
      </c>
      <c r="AH257" s="662" t="s">
        <v>1730</v>
      </c>
      <c r="AI257" s="662">
        <v>1000</v>
      </c>
      <c r="AJ257" s="662">
        <v>1000</v>
      </c>
      <c r="AK257" s="662">
        <v>1000</v>
      </c>
      <c r="AL257" s="658">
        <v>1.9E-2</v>
      </c>
      <c r="AM257" s="658">
        <v>0.2</v>
      </c>
      <c r="AN257" s="659" t="s">
        <v>64</v>
      </c>
      <c r="AO257" s="253" t="s">
        <v>34</v>
      </c>
      <c r="AP257" s="944" t="s">
        <v>1731</v>
      </c>
      <c r="AQ257" s="663" t="s">
        <v>659</v>
      </c>
      <c r="AR257" s="658">
        <v>3.9899999999999996E-3</v>
      </c>
      <c r="AS257" s="658">
        <v>3.9899999999999996E-3</v>
      </c>
      <c r="AT257" s="658" t="s">
        <v>1417</v>
      </c>
      <c r="AU257" s="658" t="s">
        <v>2751</v>
      </c>
      <c r="AX257"/>
      <c r="AY257"/>
      <c r="BA257"/>
      <c r="BB257"/>
      <c r="BC257"/>
      <c r="BD257"/>
      <c r="BE257"/>
      <c r="BF257"/>
      <c r="BG257"/>
      <c r="BH257"/>
      <c r="BI257"/>
      <c r="BJ257"/>
      <c r="BR257"/>
      <c r="BS257"/>
      <c r="BT257"/>
      <c r="BU257"/>
      <c r="BX257"/>
      <c r="BY257"/>
      <c r="CA257"/>
    </row>
    <row r="258" spans="2:79" ht="18.75">
      <c r="B258" s="252" t="s">
        <v>754</v>
      </c>
      <c r="C258" s="251">
        <v>15862797000103</v>
      </c>
      <c r="D258" s="252" t="s">
        <v>14</v>
      </c>
      <c r="E258" s="252" t="s">
        <v>614</v>
      </c>
      <c r="F258" s="252" t="s">
        <v>689</v>
      </c>
      <c r="G258" s="253" t="s">
        <v>1417</v>
      </c>
      <c r="H258" s="253" t="s">
        <v>865</v>
      </c>
      <c r="I258" s="253" t="s">
        <v>34</v>
      </c>
      <c r="J258" s="253" t="s">
        <v>608</v>
      </c>
      <c r="K258" s="253" t="s">
        <v>48</v>
      </c>
      <c r="L258" s="655"/>
      <c r="M258" s="655" t="s">
        <v>34</v>
      </c>
      <c r="N258" s="253" t="s">
        <v>2832</v>
      </c>
      <c r="O258" s="253" t="s">
        <v>1324</v>
      </c>
      <c r="P258" s="656">
        <v>41150</v>
      </c>
      <c r="Q258" s="657">
        <v>3.3790770000000001</v>
      </c>
      <c r="R258" s="657">
        <v>3.5904506626506012</v>
      </c>
      <c r="S258" s="253">
        <v>32</v>
      </c>
      <c r="T258" s="658">
        <v>7.7623229056555942E-4</v>
      </c>
      <c r="U258" s="659">
        <v>3.8814758574899647E-2</v>
      </c>
      <c r="V258" s="658">
        <v>1.5216740431716946E-2</v>
      </c>
      <c r="W258" s="659">
        <v>0.11801054037373113</v>
      </c>
      <c r="X258" s="658">
        <v>-0.16736497129815597</v>
      </c>
      <c r="Y258" s="659">
        <v>-0.86678194389634999</v>
      </c>
      <c r="Z258" s="658">
        <v>-0.19672831653547329</v>
      </c>
      <c r="AA258" s="659">
        <v>-0.8882828458857519</v>
      </c>
      <c r="AB258" s="658">
        <v>0.15314286153441092</v>
      </c>
      <c r="AC258" s="660">
        <v>-0.74262141816853222</v>
      </c>
      <c r="AD258" s="682">
        <v>15862804000177</v>
      </c>
      <c r="AE258" s="944" t="s">
        <v>1852</v>
      </c>
      <c r="AF258" s="661" t="s">
        <v>1729</v>
      </c>
      <c r="AG258" s="662" t="s">
        <v>1433</v>
      </c>
      <c r="AH258" s="662" t="s">
        <v>1730</v>
      </c>
      <c r="AI258" s="662">
        <v>5</v>
      </c>
      <c r="AJ258" s="662">
        <v>5000</v>
      </c>
      <c r="AK258" s="662">
        <v>20000</v>
      </c>
      <c r="AL258" s="658">
        <v>1.9E-2</v>
      </c>
      <c r="AM258" s="658">
        <v>0.2</v>
      </c>
      <c r="AN258" s="659" t="s">
        <v>2127</v>
      </c>
      <c r="AO258" s="253" t="s">
        <v>34</v>
      </c>
      <c r="AP258" s="944" t="s">
        <v>1731</v>
      </c>
      <c r="AQ258" s="663" t="s">
        <v>659</v>
      </c>
      <c r="AR258" s="658">
        <v>3.9899999999999996E-3</v>
      </c>
      <c r="AS258" s="658">
        <v>3.9899999999999996E-3</v>
      </c>
      <c r="AT258" s="658" t="s">
        <v>1417</v>
      </c>
      <c r="AU258" s="658" t="s">
        <v>2751</v>
      </c>
      <c r="AX258"/>
      <c r="AY258"/>
      <c r="BA258"/>
      <c r="BB258"/>
      <c r="BC258"/>
      <c r="BD258"/>
      <c r="BE258"/>
      <c r="BF258"/>
      <c r="BG258"/>
      <c r="BH258"/>
      <c r="BI258"/>
      <c r="BJ258"/>
      <c r="BR258"/>
      <c r="BS258"/>
      <c r="BT258"/>
      <c r="BU258"/>
      <c r="BX258"/>
      <c r="BY258"/>
      <c r="CA258"/>
    </row>
    <row r="259" spans="2:79" ht="18.75">
      <c r="B259" s="252" t="s">
        <v>755</v>
      </c>
      <c r="C259" s="251">
        <v>27826024000150</v>
      </c>
      <c r="D259" s="252" t="s">
        <v>14</v>
      </c>
      <c r="E259" s="252" t="s">
        <v>614</v>
      </c>
      <c r="F259" s="252" t="s">
        <v>689</v>
      </c>
      <c r="G259" s="253" t="s">
        <v>1417</v>
      </c>
      <c r="H259" s="253" t="s">
        <v>865</v>
      </c>
      <c r="I259" s="253" t="s">
        <v>34</v>
      </c>
      <c r="J259" s="253" t="s">
        <v>608</v>
      </c>
      <c r="K259" s="253" t="s">
        <v>48</v>
      </c>
      <c r="L259" s="655"/>
      <c r="M259" s="655" t="s">
        <v>34</v>
      </c>
      <c r="N259" s="253" t="s">
        <v>2833</v>
      </c>
      <c r="O259" s="253" t="s">
        <v>1324</v>
      </c>
      <c r="P259" s="656">
        <v>43092</v>
      </c>
      <c r="Q259" s="657">
        <v>35.009231489999998</v>
      </c>
      <c r="R259" s="657">
        <v>42.072216155742986</v>
      </c>
      <c r="S259" s="253">
        <v>32</v>
      </c>
      <c r="T259" s="658">
        <v>1.2072837993022389E-3</v>
      </c>
      <c r="U259" s="659">
        <v>6.0369079940183507E-2</v>
      </c>
      <c r="V259" s="658">
        <v>2.1704009937818292E-2</v>
      </c>
      <c r="W259" s="659">
        <v>0.16832132693149765</v>
      </c>
      <c r="X259" s="658">
        <v>-0.14679360974403866</v>
      </c>
      <c r="Y259" s="659">
        <v>-0.76024301512189796</v>
      </c>
      <c r="Z259" s="658">
        <v>-0.16891684533718654</v>
      </c>
      <c r="AA259" s="659">
        <v>-0.7627063492260594</v>
      </c>
      <c r="AB259" s="658">
        <v>0.15282106703822942</v>
      </c>
      <c r="AC259" s="660">
        <v>-0.70173505255098845</v>
      </c>
      <c r="AD259" s="682">
        <v>28888814000123</v>
      </c>
      <c r="AE259" s="944" t="s">
        <v>1852</v>
      </c>
      <c r="AF259" s="661" t="s">
        <v>1729</v>
      </c>
      <c r="AG259" s="662" t="s">
        <v>1433</v>
      </c>
      <c r="AH259" s="662" t="s">
        <v>1734</v>
      </c>
      <c r="AI259" s="662">
        <v>500</v>
      </c>
      <c r="AJ259" s="662">
        <v>1000</v>
      </c>
      <c r="AK259" s="662">
        <v>100</v>
      </c>
      <c r="AL259" s="658">
        <v>2.5000000000000001E-2</v>
      </c>
      <c r="AM259" s="658">
        <v>0.2</v>
      </c>
      <c r="AN259" s="659" t="s">
        <v>64</v>
      </c>
      <c r="AO259" s="253" t="s">
        <v>34</v>
      </c>
      <c r="AP259" s="944" t="s">
        <v>1746</v>
      </c>
      <c r="AQ259" s="663" t="s">
        <v>668</v>
      </c>
      <c r="AR259" s="658">
        <v>4.7499999999999999E-3</v>
      </c>
      <c r="AS259" s="658">
        <v>4.7499999999999999E-3</v>
      </c>
      <c r="AT259" s="658" t="s">
        <v>1417</v>
      </c>
      <c r="AU259" s="658" t="s">
        <v>2751</v>
      </c>
      <c r="AX259"/>
      <c r="AY259"/>
      <c r="BA259"/>
      <c r="BB259"/>
      <c r="BC259"/>
      <c r="BD259"/>
      <c r="BE259"/>
      <c r="BF259"/>
      <c r="BG259"/>
      <c r="BH259"/>
      <c r="BI259"/>
      <c r="BJ259"/>
      <c r="BR259"/>
      <c r="BS259"/>
      <c r="BT259"/>
      <c r="BU259"/>
      <c r="BX259"/>
      <c r="BY259"/>
      <c r="CA259"/>
    </row>
    <row r="260" spans="2:79" ht="18.75">
      <c r="B260" s="252" t="s">
        <v>4414</v>
      </c>
      <c r="C260" s="251">
        <v>29732909000116</v>
      </c>
      <c r="D260" s="252" t="s">
        <v>13</v>
      </c>
      <c r="E260" s="252" t="s">
        <v>615</v>
      </c>
      <c r="F260" s="252" t="s">
        <v>619</v>
      </c>
      <c r="G260" s="253" t="s">
        <v>34</v>
      </c>
      <c r="H260" s="253" t="s">
        <v>1338</v>
      </c>
      <c r="I260" s="253" t="s">
        <v>34</v>
      </c>
      <c r="J260" s="253" t="s">
        <v>608</v>
      </c>
      <c r="K260" s="253" t="s">
        <v>48</v>
      </c>
      <c r="L260" s="655"/>
      <c r="M260" s="655" t="s">
        <v>34</v>
      </c>
      <c r="N260" s="253" t="s">
        <v>4415</v>
      </c>
      <c r="O260" s="253" t="s">
        <v>1321</v>
      </c>
      <c r="P260" s="656">
        <v>43305</v>
      </c>
      <c r="Q260" s="657">
        <v>8.2765068300000006</v>
      </c>
      <c r="R260" s="657">
        <v>8.3012368925000004</v>
      </c>
      <c r="S260" s="253">
        <v>3</v>
      </c>
      <c r="T260" s="658">
        <v>-3.7610696358020279E-3</v>
      </c>
      <c r="U260" s="659">
        <v>-0.18806871560403321</v>
      </c>
      <c r="V260" s="658">
        <v>-3.7610696358020279E-3</v>
      </c>
      <c r="W260" s="659">
        <v>-2.9168261238070491E-2</v>
      </c>
      <c r="X260" s="658">
        <v>-3.7610696358020279E-3</v>
      </c>
      <c r="Y260" s="659">
        <v>-1.9478551723002852E-2</v>
      </c>
      <c r="Z260" s="658">
        <v>-3.7610696358020279E-3</v>
      </c>
      <c r="AA260" s="659">
        <v>-1.6982271278991486E-2</v>
      </c>
      <c r="AB260" s="658">
        <v>3.4515474428506832E-2</v>
      </c>
      <c r="AC260" s="660">
        <v>-3.8447966102122417</v>
      </c>
      <c r="AD260" s="682">
        <v>0</v>
      </c>
      <c r="AE260" s="944" t="s">
        <v>1852</v>
      </c>
      <c r="AF260" s="661" t="s">
        <v>1729</v>
      </c>
      <c r="AG260" s="662" t="s">
        <v>1433</v>
      </c>
      <c r="AH260" s="662" t="s">
        <v>2119</v>
      </c>
      <c r="AI260" s="662">
        <v>0</v>
      </c>
      <c r="AJ260" s="662">
        <v>0</v>
      </c>
      <c r="AK260" s="662">
        <v>0</v>
      </c>
      <c r="AL260" s="658">
        <v>5.1599999999999997E-3</v>
      </c>
      <c r="AM260" s="658">
        <v>0.2</v>
      </c>
      <c r="AN260" s="659" t="s">
        <v>64</v>
      </c>
      <c r="AO260" s="253" t="s">
        <v>4397</v>
      </c>
      <c r="AP260" s="944" t="s">
        <v>1746</v>
      </c>
      <c r="AQ260" s="663" t="s">
        <v>2177</v>
      </c>
      <c r="AR260" s="658">
        <v>0</v>
      </c>
      <c r="AS260" s="658">
        <v>0</v>
      </c>
      <c r="AT260" s="658" t="s">
        <v>1417</v>
      </c>
      <c r="AU260" s="658" t="s">
        <v>2751</v>
      </c>
      <c r="AX260"/>
      <c r="AY260"/>
      <c r="BA260"/>
      <c r="BB260"/>
      <c r="BC260"/>
      <c r="BD260"/>
      <c r="BE260"/>
      <c r="BF260"/>
      <c r="BG260"/>
      <c r="BH260"/>
      <c r="BI260"/>
      <c r="BJ260"/>
      <c r="BR260"/>
      <c r="BS260"/>
      <c r="BT260"/>
      <c r="BU260"/>
      <c r="BX260"/>
      <c r="BY260"/>
      <c r="CA260"/>
    </row>
    <row r="261" spans="2:79" ht="18.75">
      <c r="B261" s="252" t="s">
        <v>4416</v>
      </c>
      <c r="C261" s="251">
        <v>20814969000103</v>
      </c>
      <c r="D261" s="252" t="s">
        <v>13</v>
      </c>
      <c r="E261" s="252" t="s">
        <v>615</v>
      </c>
      <c r="F261" s="252" t="s">
        <v>619</v>
      </c>
      <c r="G261" s="253" t="s">
        <v>34</v>
      </c>
      <c r="H261" s="253" t="s">
        <v>1338</v>
      </c>
      <c r="I261" s="253" t="s">
        <v>34</v>
      </c>
      <c r="J261" s="253" t="s">
        <v>608</v>
      </c>
      <c r="K261" s="253" t="s">
        <v>48</v>
      </c>
      <c r="L261" s="655"/>
      <c r="M261" s="655" t="s">
        <v>34</v>
      </c>
      <c r="N261" s="253" t="s">
        <v>4417</v>
      </c>
      <c r="O261" s="253" t="s">
        <v>1321</v>
      </c>
      <c r="P261" s="656">
        <v>42074</v>
      </c>
      <c r="Q261" s="657">
        <v>42.041533000000001</v>
      </c>
      <c r="R261" s="657">
        <v>42.229172250000005</v>
      </c>
      <c r="S261" s="253">
        <v>3</v>
      </c>
      <c r="T261" s="658">
        <v>-2.276577449349837E-3</v>
      </c>
      <c r="U261" s="659">
        <v>-0.11383809350316069</v>
      </c>
      <c r="V261" s="658">
        <v>-2.276577449349837E-3</v>
      </c>
      <c r="W261" s="659">
        <v>-1.7655564028709075E-2</v>
      </c>
      <c r="X261" s="658">
        <v>-2.276577449349837E-3</v>
      </c>
      <c r="Y261" s="659">
        <v>-1.1790377709698133E-2</v>
      </c>
      <c r="Z261" s="658">
        <v>-2.276577449349837E-3</v>
      </c>
      <c r="AA261" s="659">
        <v>-1.0279377830304139E-2</v>
      </c>
      <c r="AB261" s="658">
        <v>2.4503423228952392E-2</v>
      </c>
      <c r="AC261" s="660">
        <v>-5.3551899940695886</v>
      </c>
      <c r="AD261" s="682">
        <v>0</v>
      </c>
      <c r="AE261" s="944" t="s">
        <v>1852</v>
      </c>
      <c r="AF261" s="661" t="s">
        <v>1729</v>
      </c>
      <c r="AG261" s="662" t="s">
        <v>1433</v>
      </c>
      <c r="AH261" s="662" t="s">
        <v>2119</v>
      </c>
      <c r="AI261" s="662">
        <v>0</v>
      </c>
      <c r="AJ261" s="662">
        <v>0</v>
      </c>
      <c r="AK261" s="662">
        <v>0</v>
      </c>
      <c r="AL261" s="658">
        <v>1.0999999999999999E-2</v>
      </c>
      <c r="AM261" s="658">
        <v>0</v>
      </c>
      <c r="AN261" s="659" t="s">
        <v>2127</v>
      </c>
      <c r="AO261" s="253" t="s">
        <v>4397</v>
      </c>
      <c r="AP261" s="944" t="s">
        <v>1746</v>
      </c>
      <c r="AQ261" s="663" t="s">
        <v>2177</v>
      </c>
      <c r="AR261" s="658">
        <v>0</v>
      </c>
      <c r="AS261" s="658">
        <v>0</v>
      </c>
      <c r="AT261" s="658" t="s">
        <v>1417</v>
      </c>
      <c r="AU261" s="658" t="s">
        <v>2751</v>
      </c>
      <c r="AX261"/>
      <c r="AY261"/>
      <c r="BA261"/>
      <c r="BB261"/>
      <c r="BC261"/>
      <c r="BD261"/>
      <c r="BE261"/>
      <c r="BF261"/>
      <c r="BG261"/>
      <c r="BH261"/>
      <c r="BI261"/>
      <c r="BJ261"/>
      <c r="BR261"/>
      <c r="BS261"/>
      <c r="BT261"/>
      <c r="BU261"/>
      <c r="BX261"/>
      <c r="BY261"/>
      <c r="CA261"/>
    </row>
    <row r="262" spans="2:79" ht="18.75">
      <c r="B262" s="252" t="s">
        <v>86</v>
      </c>
      <c r="C262" s="251">
        <v>36352617000113</v>
      </c>
      <c r="D262" s="252" t="s">
        <v>14</v>
      </c>
      <c r="E262" s="252" t="s">
        <v>614</v>
      </c>
      <c r="F262" s="252" t="s">
        <v>689</v>
      </c>
      <c r="G262" s="253" t="s">
        <v>1417</v>
      </c>
      <c r="H262" s="253" t="s">
        <v>865</v>
      </c>
      <c r="I262" s="253" t="s">
        <v>34</v>
      </c>
      <c r="J262" s="253" t="s">
        <v>608</v>
      </c>
      <c r="K262" s="253" t="s">
        <v>48</v>
      </c>
      <c r="L262" s="655"/>
      <c r="M262" s="655" t="s">
        <v>34</v>
      </c>
      <c r="N262" s="253" t="s">
        <v>2834</v>
      </c>
      <c r="O262" s="253" t="s">
        <v>1321</v>
      </c>
      <c r="P262" s="656">
        <v>43945</v>
      </c>
      <c r="Q262" s="657">
        <v>4.31614232</v>
      </c>
      <c r="R262" s="657">
        <v>7.4083983566801592</v>
      </c>
      <c r="S262" s="253">
        <v>32</v>
      </c>
      <c r="T262" s="658">
        <v>-3.8601586731912274E-4</v>
      </c>
      <c r="U262" s="659">
        <v>-1.9302356882313687E-2</v>
      </c>
      <c r="V262" s="658">
        <v>1.8153276211802849E-2</v>
      </c>
      <c r="W262" s="659">
        <v>0.14078428589365993</v>
      </c>
      <c r="X262" s="658">
        <v>-0.15716097584051214</v>
      </c>
      <c r="Y262" s="659">
        <v>-0.81393552717197115</v>
      </c>
      <c r="Z262" s="658"/>
      <c r="AA262" s="659"/>
      <c r="AB262" s="658">
        <v>0.14395923731842489</v>
      </c>
      <c r="AC262" s="660">
        <v>-0.76959725057397033</v>
      </c>
      <c r="AD262" s="682">
        <v>28888814000123</v>
      </c>
      <c r="AE262" s="944" t="s">
        <v>1852</v>
      </c>
      <c r="AF262" s="661" t="s">
        <v>1729</v>
      </c>
      <c r="AG262" s="662" t="s">
        <v>1433</v>
      </c>
      <c r="AH262" s="662" t="s">
        <v>1734</v>
      </c>
      <c r="AI262" s="662">
        <v>500</v>
      </c>
      <c r="AJ262" s="662">
        <v>100</v>
      </c>
      <c r="AK262" s="662">
        <v>100</v>
      </c>
      <c r="AL262" s="658">
        <v>2.5000000000000001E-2</v>
      </c>
      <c r="AM262" s="658">
        <v>0.2</v>
      </c>
      <c r="AN262" s="659" t="s">
        <v>34</v>
      </c>
      <c r="AO262" s="253" t="s">
        <v>34</v>
      </c>
      <c r="AP262" s="944" t="s">
        <v>1746</v>
      </c>
      <c r="AQ262" s="663" t="s">
        <v>668</v>
      </c>
      <c r="AR262" s="658">
        <v>5.0666666666666698E-3</v>
      </c>
      <c r="AS262" s="658">
        <v>5.0666666666666698E-3</v>
      </c>
      <c r="AT262" s="658" t="s">
        <v>1417</v>
      </c>
      <c r="AU262" s="658" t="s">
        <v>2751</v>
      </c>
      <c r="AX262"/>
      <c r="AY262"/>
      <c r="BA262"/>
      <c r="BB262"/>
      <c r="BC262"/>
      <c r="BD262"/>
      <c r="BE262"/>
      <c r="BF262"/>
      <c r="BG262"/>
      <c r="BH262"/>
      <c r="BI262"/>
      <c r="BJ262"/>
      <c r="BR262"/>
      <c r="BS262"/>
      <c r="BT262"/>
      <c r="BU262"/>
      <c r="BX262"/>
      <c r="BY262"/>
      <c r="CA262"/>
    </row>
    <row r="263" spans="2:79" ht="18.75">
      <c r="B263" s="252" t="s">
        <v>756</v>
      </c>
      <c r="C263" s="251">
        <v>28798135000163</v>
      </c>
      <c r="D263" s="252" t="s">
        <v>14</v>
      </c>
      <c r="E263" s="252" t="s">
        <v>614</v>
      </c>
      <c r="F263" s="252" t="s">
        <v>689</v>
      </c>
      <c r="G263" s="253" t="s">
        <v>1417</v>
      </c>
      <c r="H263" s="253" t="s">
        <v>865</v>
      </c>
      <c r="I263" s="253" t="s">
        <v>34</v>
      </c>
      <c r="J263" s="253" t="s">
        <v>608</v>
      </c>
      <c r="K263" s="253" t="s">
        <v>48</v>
      </c>
      <c r="L263" s="655"/>
      <c r="M263" s="655" t="s">
        <v>34</v>
      </c>
      <c r="N263" s="253" t="s">
        <v>2835</v>
      </c>
      <c r="O263" s="253" t="s">
        <v>1324</v>
      </c>
      <c r="P263" s="656">
        <v>43091</v>
      </c>
      <c r="Q263" s="657">
        <v>25.832316460000001</v>
      </c>
      <c r="R263" s="657">
        <v>29.352203949836735</v>
      </c>
      <c r="S263" s="253">
        <v>32</v>
      </c>
      <c r="T263" s="658">
        <v>1.177982738822525E-3</v>
      </c>
      <c r="U263" s="659">
        <v>5.8903908235357891E-2</v>
      </c>
      <c r="V263" s="658">
        <v>2.1414605916394214E-2</v>
      </c>
      <c r="W263" s="659">
        <v>0.16607690900849753</v>
      </c>
      <c r="X263" s="658">
        <v>-0.14349022131761457</v>
      </c>
      <c r="Y263" s="659">
        <v>-0.74313479098460433</v>
      </c>
      <c r="Z263" s="658">
        <v>-0.16605569748355709</v>
      </c>
      <c r="AA263" s="659">
        <v>-0.74978747408556279</v>
      </c>
      <c r="AB263" s="658">
        <v>0.15768478208722217</v>
      </c>
      <c r="AC263" s="660">
        <v>-0.68192568811691101</v>
      </c>
      <c r="AD263" s="682">
        <v>27826024000150</v>
      </c>
      <c r="AE263" s="944" t="s">
        <v>1797</v>
      </c>
      <c r="AF263" s="661" t="s">
        <v>1745</v>
      </c>
      <c r="AG263" s="662" t="s">
        <v>1432</v>
      </c>
      <c r="AH263" s="662" t="s">
        <v>1734</v>
      </c>
      <c r="AI263" s="662">
        <v>1000</v>
      </c>
      <c r="AJ263" s="662">
        <v>500</v>
      </c>
      <c r="AK263" s="662">
        <v>0</v>
      </c>
      <c r="AL263" s="658">
        <v>0</v>
      </c>
      <c r="AM263" s="658">
        <v>0</v>
      </c>
      <c r="AN263" s="659" t="s">
        <v>34</v>
      </c>
      <c r="AO263" s="253" t="s">
        <v>34</v>
      </c>
      <c r="AP263" s="944" t="s">
        <v>1746</v>
      </c>
      <c r="AQ263" s="663" t="s">
        <v>668</v>
      </c>
      <c r="AR263" s="658">
        <v>4.7499999999999999E-3</v>
      </c>
      <c r="AS263" s="658">
        <v>4.7499999999999999E-3</v>
      </c>
      <c r="AT263" s="658" t="s">
        <v>1417</v>
      </c>
      <c r="AU263" s="658" t="s">
        <v>2751</v>
      </c>
      <c r="AX263"/>
      <c r="AY263"/>
      <c r="BA263"/>
      <c r="BB263"/>
      <c r="BC263"/>
      <c r="BD263"/>
      <c r="BE263"/>
      <c r="BF263"/>
      <c r="BG263"/>
      <c r="BH263"/>
      <c r="BI263"/>
      <c r="BJ263"/>
      <c r="BR263"/>
      <c r="BS263"/>
      <c r="BT263"/>
      <c r="BU263"/>
      <c r="BX263"/>
      <c r="BY263"/>
      <c r="CA263"/>
    </row>
    <row r="264" spans="2:79" ht="18.75">
      <c r="B264" s="252" t="s">
        <v>757</v>
      </c>
      <c r="C264" s="251">
        <v>36014075000179</v>
      </c>
      <c r="D264" s="252" t="s">
        <v>14</v>
      </c>
      <c r="E264" s="252" t="s">
        <v>614</v>
      </c>
      <c r="F264" s="252" t="s">
        <v>689</v>
      </c>
      <c r="G264" s="253" t="s">
        <v>1417</v>
      </c>
      <c r="H264" s="253" t="s">
        <v>865</v>
      </c>
      <c r="I264" s="253" t="s">
        <v>34</v>
      </c>
      <c r="J264" s="253" t="s">
        <v>608</v>
      </c>
      <c r="K264" s="253" t="s">
        <v>48</v>
      </c>
      <c r="L264" s="655"/>
      <c r="M264" s="655" t="s">
        <v>34</v>
      </c>
      <c r="N264" s="253" t="s">
        <v>2836</v>
      </c>
      <c r="O264" s="253" t="s">
        <v>1321</v>
      </c>
      <c r="P264" s="656">
        <v>43884</v>
      </c>
      <c r="Q264" s="657">
        <v>1.8933964999999999</v>
      </c>
      <c r="R264" s="657">
        <v>1.927775395403226</v>
      </c>
      <c r="S264" s="253">
        <v>32</v>
      </c>
      <c r="T264" s="658">
        <v>2.09751500977573E-4</v>
      </c>
      <c r="U264" s="659">
        <v>1.0488424625102232E-2</v>
      </c>
      <c r="V264" s="658">
        <v>1.1856101487185189E-2</v>
      </c>
      <c r="W264" s="659">
        <v>9.1947743309875984E-2</v>
      </c>
      <c r="X264" s="658">
        <v>-0.16329260143908209</v>
      </c>
      <c r="Y264" s="659">
        <v>-0.84569117062800203</v>
      </c>
      <c r="Z264" s="658">
        <v>-4.686131499010171E-2</v>
      </c>
      <c r="AA264" s="659">
        <v>-0.21159181847545741</v>
      </c>
      <c r="AB264" s="658">
        <v>0.14172915036909692</v>
      </c>
      <c r="AC264" s="660">
        <v>-0.82613779631556561</v>
      </c>
      <c r="AD264" s="682">
        <v>35618104000149</v>
      </c>
      <c r="AE264" s="944" t="s">
        <v>1797</v>
      </c>
      <c r="AF264" s="661" t="s">
        <v>1745</v>
      </c>
      <c r="AG264" s="662" t="s">
        <v>1432</v>
      </c>
      <c r="AH264" s="662" t="s">
        <v>1730</v>
      </c>
      <c r="AI264" s="662">
        <v>1000</v>
      </c>
      <c r="AJ264" s="662">
        <v>1000</v>
      </c>
      <c r="AK264" s="662">
        <v>1000</v>
      </c>
      <c r="AL264" s="658">
        <v>0</v>
      </c>
      <c r="AM264" s="658">
        <v>0</v>
      </c>
      <c r="AN264" s="659" t="s">
        <v>34</v>
      </c>
      <c r="AO264" s="253" t="s">
        <v>34</v>
      </c>
      <c r="AP264" s="944" t="s">
        <v>1746</v>
      </c>
      <c r="AQ264" s="663" t="s">
        <v>668</v>
      </c>
      <c r="AR264" s="658">
        <v>4.7499999999999999E-3</v>
      </c>
      <c r="AS264" s="658">
        <v>4.7499999999999999E-3</v>
      </c>
      <c r="AT264" s="658" t="s">
        <v>1417</v>
      </c>
      <c r="AU264" s="658" t="s">
        <v>2751</v>
      </c>
      <c r="AX264"/>
      <c r="AY264"/>
      <c r="BA264"/>
      <c r="BB264"/>
      <c r="BC264"/>
      <c r="BD264"/>
      <c r="BE264"/>
      <c r="BF264"/>
      <c r="BG264"/>
      <c r="BH264"/>
      <c r="BI264"/>
      <c r="BJ264"/>
      <c r="BR264"/>
      <c r="BS264"/>
      <c r="BT264"/>
      <c r="BU264"/>
      <c r="BX264"/>
      <c r="BY264"/>
      <c r="CA264"/>
    </row>
    <row r="265" spans="2:79" ht="18.75">
      <c r="B265" s="252" t="s">
        <v>758</v>
      </c>
      <c r="C265" s="251">
        <v>43164374000155</v>
      </c>
      <c r="D265" s="252" t="s">
        <v>13</v>
      </c>
      <c r="E265" s="252" t="s">
        <v>616</v>
      </c>
      <c r="F265" s="252" t="s">
        <v>618</v>
      </c>
      <c r="G265" s="253" t="s">
        <v>34</v>
      </c>
      <c r="H265" s="253" t="s">
        <v>1338</v>
      </c>
      <c r="I265" s="253" t="s">
        <v>34</v>
      </c>
      <c r="J265" s="253" t="s">
        <v>611</v>
      </c>
      <c r="K265" s="253" t="s">
        <v>1417</v>
      </c>
      <c r="L265" s="655"/>
      <c r="M265" s="655" t="s">
        <v>34</v>
      </c>
      <c r="N265" s="253" t="s">
        <v>2837</v>
      </c>
      <c r="O265" s="253" t="s">
        <v>1321</v>
      </c>
      <c r="P265" s="656">
        <v>44436</v>
      </c>
      <c r="Q265" s="657">
        <v>10.83</v>
      </c>
      <c r="R265" s="657">
        <v>3.3983771929824562</v>
      </c>
      <c r="S265" s="253">
        <v>6</v>
      </c>
      <c r="T265" s="658">
        <v>9.2592592592595224E-3</v>
      </c>
      <c r="U265" s="659">
        <v>0.46300046661123601</v>
      </c>
      <c r="V265" s="658">
        <v>6.8627450980392801E-2</v>
      </c>
      <c r="W265" s="659">
        <v>0.53222716198715447</v>
      </c>
      <c r="X265" s="658"/>
      <c r="Y265" s="659"/>
      <c r="Z265" s="658"/>
      <c r="AA265" s="659"/>
      <c r="AB265" s="658">
        <v>0.16296810869994061</v>
      </c>
      <c r="AC265" s="660">
        <v>-0.37011203570786444</v>
      </c>
      <c r="AD265" s="682">
        <v>43279666000133</v>
      </c>
      <c r="AE265" s="944" t="s">
        <v>1747</v>
      </c>
      <c r="AF265" s="661" t="s">
        <v>1745</v>
      </c>
      <c r="AG265" s="662" t="s">
        <v>1432</v>
      </c>
      <c r="AH265" s="662" t="s">
        <v>1801</v>
      </c>
      <c r="AI265" s="662">
        <v>5000</v>
      </c>
      <c r="AJ265" s="662">
        <v>5000</v>
      </c>
      <c r="AK265" s="662">
        <v>5000</v>
      </c>
      <c r="AL265" s="658">
        <v>0</v>
      </c>
      <c r="AM265" s="658">
        <v>0</v>
      </c>
      <c r="AN265" s="659" t="s">
        <v>34</v>
      </c>
      <c r="AO265" s="253" t="s">
        <v>34</v>
      </c>
      <c r="AP265" s="944" t="s">
        <v>1746</v>
      </c>
      <c r="AQ265" s="663" t="s">
        <v>679</v>
      </c>
      <c r="AR265" s="658">
        <v>6.0000000000000001E-3</v>
      </c>
      <c r="AS265" s="658">
        <v>6.0000000000000001E-3</v>
      </c>
      <c r="AT265" s="658" t="s">
        <v>1417</v>
      </c>
      <c r="AU265" s="658" t="s">
        <v>2751</v>
      </c>
      <c r="AX265"/>
      <c r="AY265"/>
      <c r="BA265"/>
      <c r="BB265"/>
      <c r="BC265"/>
      <c r="BD265"/>
      <c r="BE265"/>
      <c r="BF265"/>
      <c r="BG265"/>
      <c r="BH265"/>
      <c r="BI265"/>
      <c r="BJ265"/>
      <c r="BR265"/>
      <c r="BS265"/>
      <c r="BT265"/>
      <c r="BU265"/>
      <c r="BX265"/>
      <c r="BY265"/>
      <c r="CA265"/>
    </row>
    <row r="266" spans="2:79" ht="18.75">
      <c r="B266" s="252" t="s">
        <v>759</v>
      </c>
      <c r="C266" s="251">
        <v>35002927000145</v>
      </c>
      <c r="D266" s="252" t="s">
        <v>14</v>
      </c>
      <c r="E266" s="252" t="s">
        <v>614</v>
      </c>
      <c r="F266" s="252" t="s">
        <v>1417</v>
      </c>
      <c r="G266" s="253" t="s">
        <v>1417</v>
      </c>
      <c r="H266" s="253" t="s">
        <v>865</v>
      </c>
      <c r="I266" s="253" t="s">
        <v>34</v>
      </c>
      <c r="J266" s="253" t="s">
        <v>611</v>
      </c>
      <c r="K266" s="253" t="s">
        <v>48</v>
      </c>
      <c r="L266" s="655"/>
      <c r="M266" s="655" t="s">
        <v>34</v>
      </c>
      <c r="N266" s="253" t="s">
        <v>2838</v>
      </c>
      <c r="O266" s="253" t="s">
        <v>1321</v>
      </c>
      <c r="P266" s="656">
        <v>43883</v>
      </c>
      <c r="Q266" s="657">
        <v>5.8746512600000003</v>
      </c>
      <c r="R266" s="657">
        <v>11.550325260923701</v>
      </c>
      <c r="S266" s="253">
        <v>12</v>
      </c>
      <c r="T266" s="658">
        <v>2.3024893572321403E-2</v>
      </c>
      <c r="U266" s="659">
        <v>1.1513379385071238</v>
      </c>
      <c r="V266" s="658">
        <v>0.13448888914718382</v>
      </c>
      <c r="W266" s="659">
        <v>1.0430030369343171</v>
      </c>
      <c r="X266" s="658">
        <v>0.48317585253155637</v>
      </c>
      <c r="Y266" s="659">
        <v>2.5023641533387755</v>
      </c>
      <c r="Z266" s="658">
        <v>0.51948040055233258</v>
      </c>
      <c r="AA266" s="659">
        <v>2.3455979124453608</v>
      </c>
      <c r="AB266" s="658">
        <v>0.14864940381007646</v>
      </c>
      <c r="AC266" s="660">
        <v>3.730240120895522E-2</v>
      </c>
      <c r="AD266" s="682">
        <v>34979903000188</v>
      </c>
      <c r="AE266" s="944" t="s">
        <v>1747</v>
      </c>
      <c r="AF266" s="661" t="s">
        <v>1745</v>
      </c>
      <c r="AG266" s="662" t="s">
        <v>1432</v>
      </c>
      <c r="AH266" s="662" t="s">
        <v>1730</v>
      </c>
      <c r="AI266" s="662">
        <v>5000</v>
      </c>
      <c r="AJ266" s="662">
        <v>5000</v>
      </c>
      <c r="AK266" s="662">
        <v>5000</v>
      </c>
      <c r="AL266" s="658">
        <v>8.0000000000000002E-3</v>
      </c>
      <c r="AM266" s="658">
        <v>0</v>
      </c>
      <c r="AN266" s="659" t="s">
        <v>34</v>
      </c>
      <c r="AO266" s="253" t="s">
        <v>34</v>
      </c>
      <c r="AP266" s="944" t="s">
        <v>1746</v>
      </c>
      <c r="AQ266" s="663" t="s">
        <v>679</v>
      </c>
      <c r="AR266" s="658">
        <v>6.4000000000000003E-3</v>
      </c>
      <c r="AS266" s="658">
        <v>6.4000000000000003E-3</v>
      </c>
      <c r="AT266" s="658" t="s">
        <v>1417</v>
      </c>
      <c r="AU266" s="658" t="s">
        <v>2751</v>
      </c>
      <c r="AX266"/>
      <c r="AY266"/>
      <c r="BA266"/>
      <c r="BB266"/>
      <c r="BC266"/>
      <c r="BD266"/>
      <c r="BE266"/>
      <c r="BF266"/>
      <c r="BG266"/>
      <c r="BH266"/>
      <c r="BI266"/>
      <c r="BJ266"/>
      <c r="BR266"/>
      <c r="BS266"/>
      <c r="BT266"/>
      <c r="BU266"/>
      <c r="BX266"/>
      <c r="BY266"/>
      <c r="CA266"/>
    </row>
    <row r="267" spans="2:79" ht="18.75">
      <c r="B267" s="252" t="s">
        <v>760</v>
      </c>
      <c r="C267" s="251">
        <v>8815380000124</v>
      </c>
      <c r="D267" s="252" t="s">
        <v>11</v>
      </c>
      <c r="E267" s="252" t="s">
        <v>620</v>
      </c>
      <c r="F267" s="252" t="s">
        <v>663</v>
      </c>
      <c r="G267" s="253" t="s">
        <v>738</v>
      </c>
      <c r="H267" s="253" t="s">
        <v>34</v>
      </c>
      <c r="I267" s="253" t="s">
        <v>1417</v>
      </c>
      <c r="J267" s="253" t="s">
        <v>608</v>
      </c>
      <c r="K267" s="253" t="s">
        <v>48</v>
      </c>
      <c r="L267" s="655"/>
      <c r="M267" s="655" t="s">
        <v>1414</v>
      </c>
      <c r="N267" s="253" t="s">
        <v>2839</v>
      </c>
      <c r="O267" s="253" t="s">
        <v>1321</v>
      </c>
      <c r="P267" s="656">
        <v>39265</v>
      </c>
      <c r="Q267" s="657">
        <v>0</v>
      </c>
      <c r="R267" s="657">
        <v>0</v>
      </c>
      <c r="S267" s="253">
        <v>1</v>
      </c>
      <c r="T267" s="658"/>
      <c r="U267" s="659"/>
      <c r="V267" s="658"/>
      <c r="W267" s="659"/>
      <c r="X267" s="658"/>
      <c r="Y267" s="659"/>
      <c r="Z267" s="658"/>
      <c r="AA267" s="659"/>
      <c r="AB267" s="658"/>
      <c r="AC267" s="660"/>
      <c r="AD267" s="682">
        <v>0</v>
      </c>
      <c r="AE267" s="944" t="s">
        <v>1891</v>
      </c>
      <c r="AF267" s="661" t="s">
        <v>1861</v>
      </c>
      <c r="AG267" s="662" t="s">
        <v>1432</v>
      </c>
      <c r="AH267" s="662" t="s">
        <v>1734</v>
      </c>
      <c r="AI267" s="662">
        <v>1000</v>
      </c>
      <c r="AJ267" s="662">
        <v>1000</v>
      </c>
      <c r="AK267" s="662">
        <v>1000</v>
      </c>
      <c r="AL267" s="658">
        <v>1.2500000000000001E-2</v>
      </c>
      <c r="AM267" s="658">
        <v>0.2</v>
      </c>
      <c r="AN267" s="659" t="s">
        <v>64</v>
      </c>
      <c r="AO267" s="253" t="s">
        <v>34</v>
      </c>
      <c r="AP267" s="944" t="s">
        <v>1746</v>
      </c>
      <c r="AQ267" s="663" t="s">
        <v>668</v>
      </c>
      <c r="AR267" s="658">
        <v>0</v>
      </c>
      <c r="AS267" s="658">
        <v>0</v>
      </c>
      <c r="AT267" s="658" t="s">
        <v>1417</v>
      </c>
      <c r="AU267" s="658" t="s">
        <v>2751</v>
      </c>
      <c r="AX267"/>
      <c r="AY267"/>
      <c r="BA267"/>
      <c r="BB267"/>
      <c r="BC267"/>
      <c r="BD267"/>
      <c r="BE267"/>
      <c r="BF267"/>
      <c r="BG267"/>
      <c r="BH267"/>
      <c r="BI267"/>
      <c r="BJ267"/>
      <c r="BR267"/>
      <c r="BS267"/>
      <c r="BT267"/>
      <c r="BU267"/>
      <c r="BX267"/>
      <c r="BY267"/>
      <c r="CA267"/>
    </row>
    <row r="268" spans="2:79" ht="18.75">
      <c r="B268" s="252" t="s">
        <v>762</v>
      </c>
      <c r="C268" s="251">
        <v>4812385000142</v>
      </c>
      <c r="D268" s="252" t="s">
        <v>14</v>
      </c>
      <c r="E268" s="252" t="s">
        <v>614</v>
      </c>
      <c r="F268" s="252" t="s">
        <v>1417</v>
      </c>
      <c r="G268" s="253" t="s">
        <v>1417</v>
      </c>
      <c r="H268" s="253" t="s">
        <v>1338</v>
      </c>
      <c r="I268" s="253" t="s">
        <v>34</v>
      </c>
      <c r="J268" s="253" t="s">
        <v>608</v>
      </c>
      <c r="K268" s="253" t="s">
        <v>48</v>
      </c>
      <c r="L268" s="655"/>
      <c r="M268" s="655" t="s">
        <v>1414</v>
      </c>
      <c r="N268" s="253" t="s">
        <v>2840</v>
      </c>
      <c r="O268" s="253" t="s">
        <v>1321</v>
      </c>
      <c r="P268" s="656">
        <v>41755</v>
      </c>
      <c r="Q268" s="657">
        <v>21.032354000000002</v>
      </c>
      <c r="R268" s="657">
        <v>24.453672947580657</v>
      </c>
      <c r="S268" s="253">
        <v>32</v>
      </c>
      <c r="T268" s="658">
        <v>-2.4752616701119834E-2</v>
      </c>
      <c r="U268" s="659">
        <v>-1.2377310929064609</v>
      </c>
      <c r="V268" s="658">
        <v>-0.19636558763520717</v>
      </c>
      <c r="W268" s="659">
        <v>-1.5228760201057958</v>
      </c>
      <c r="X268" s="658">
        <v>-0.21691596083378495</v>
      </c>
      <c r="Y268" s="659">
        <v>-1.1234061508528113</v>
      </c>
      <c r="Z268" s="658">
        <v>-0.29164603840964942</v>
      </c>
      <c r="AA268" s="659">
        <v>-1.316862653796538</v>
      </c>
      <c r="AB268" s="658">
        <v>0.19470576069156184</v>
      </c>
      <c r="AC268" s="660">
        <v>-1.6707748960613766</v>
      </c>
      <c r="AD268" s="682">
        <v>0</v>
      </c>
      <c r="AE268" s="944" t="s">
        <v>1900</v>
      </c>
      <c r="AF268" s="661" t="s">
        <v>1861</v>
      </c>
      <c r="AG268" s="662" t="s">
        <v>1432</v>
      </c>
      <c r="AH268" s="662" t="s">
        <v>1734</v>
      </c>
      <c r="AI268" s="662">
        <v>100000</v>
      </c>
      <c r="AJ268" s="662">
        <v>1000</v>
      </c>
      <c r="AK268" s="662">
        <v>1000</v>
      </c>
      <c r="AL268" s="658">
        <v>0.02</v>
      </c>
      <c r="AM268" s="658">
        <v>0.1</v>
      </c>
      <c r="AN268" s="659" t="s">
        <v>2127</v>
      </c>
      <c r="AO268" s="253" t="s">
        <v>34</v>
      </c>
      <c r="AP268" s="944" t="s">
        <v>1731</v>
      </c>
      <c r="AQ268" s="663" t="s">
        <v>659</v>
      </c>
      <c r="AR268" s="658">
        <v>0</v>
      </c>
      <c r="AS268" s="658">
        <v>0</v>
      </c>
      <c r="AT268" s="658" t="s">
        <v>1417</v>
      </c>
      <c r="AU268" s="658" t="s">
        <v>2751</v>
      </c>
      <c r="AX268"/>
      <c r="AY268"/>
      <c r="BA268"/>
      <c r="BB268"/>
      <c r="BC268"/>
      <c r="BD268"/>
      <c r="BE268"/>
      <c r="BF268"/>
      <c r="BG268"/>
      <c r="BH268"/>
      <c r="BI268"/>
      <c r="BJ268"/>
      <c r="BR268"/>
      <c r="BS268"/>
      <c r="BT268"/>
      <c r="BU268"/>
      <c r="BX268"/>
      <c r="BY268"/>
      <c r="CA268"/>
    </row>
    <row r="269" spans="2:79" ht="18.75">
      <c r="B269" s="252" t="s">
        <v>763</v>
      </c>
      <c r="C269" s="251">
        <v>21689246000192</v>
      </c>
      <c r="D269" s="252" t="s">
        <v>14</v>
      </c>
      <c r="E269" s="252" t="s">
        <v>607</v>
      </c>
      <c r="F269" s="252" t="s">
        <v>1317</v>
      </c>
      <c r="G269" s="253" t="s">
        <v>1417</v>
      </c>
      <c r="H269" s="253" t="s">
        <v>34</v>
      </c>
      <c r="I269" s="253" t="s">
        <v>34</v>
      </c>
      <c r="J269" s="253" t="s">
        <v>611</v>
      </c>
      <c r="K269" s="253" t="s">
        <v>48</v>
      </c>
      <c r="L269" s="655"/>
      <c r="M269" s="655" t="s">
        <v>34</v>
      </c>
      <c r="N269" s="253" t="s">
        <v>2841</v>
      </c>
      <c r="O269" s="253" t="s">
        <v>1321</v>
      </c>
      <c r="P269" s="656">
        <v>42082</v>
      </c>
      <c r="Q269" s="657">
        <v>111.954571</v>
      </c>
      <c r="R269" s="657">
        <v>122.87261512121219</v>
      </c>
      <c r="S269" s="253">
        <v>12</v>
      </c>
      <c r="T269" s="658">
        <v>7.1827251184537255E-2</v>
      </c>
      <c r="U269" s="659">
        <v>3.5916534878949635</v>
      </c>
      <c r="V269" s="658">
        <v>1.3918808853478826</v>
      </c>
      <c r="W269" s="659">
        <v>10.794467852878883</v>
      </c>
      <c r="X269" s="658">
        <v>1.3918808853478826</v>
      </c>
      <c r="Y269" s="659">
        <v>7.2085407723981909</v>
      </c>
      <c r="Z269" s="658">
        <v>1.3918808853478826</v>
      </c>
      <c r="AA269" s="659">
        <v>6.2847277694660546</v>
      </c>
      <c r="AB269" s="658">
        <v>1.5388061013171268</v>
      </c>
      <c r="AC269" s="660">
        <v>0.82072521990918479</v>
      </c>
      <c r="AD269" s="682">
        <v>39466384000178</v>
      </c>
      <c r="AE269" s="944" t="s">
        <v>1911</v>
      </c>
      <c r="AF269" s="661" t="s">
        <v>1745</v>
      </c>
      <c r="AG269" s="662" t="s">
        <v>1432</v>
      </c>
      <c r="AH269" s="662" t="s">
        <v>1730</v>
      </c>
      <c r="AI269" s="662">
        <v>1000</v>
      </c>
      <c r="AJ269" s="662">
        <v>100</v>
      </c>
      <c r="AK269" s="662">
        <v>1000</v>
      </c>
      <c r="AL269" s="658">
        <v>0.02</v>
      </c>
      <c r="AM269" s="658">
        <v>0.2</v>
      </c>
      <c r="AN269" s="659" t="s">
        <v>34</v>
      </c>
      <c r="AO269" s="253" t="s">
        <v>34</v>
      </c>
      <c r="AP269" s="944" t="s">
        <v>1731</v>
      </c>
      <c r="AQ269" s="663" t="s">
        <v>659</v>
      </c>
      <c r="AR269" s="658">
        <v>6.6666666666666697E-3</v>
      </c>
      <c r="AS269" s="658">
        <v>6.6666666666666697E-3</v>
      </c>
      <c r="AT269" s="658" t="s">
        <v>1417</v>
      </c>
      <c r="AU269" s="658" t="s">
        <v>2751</v>
      </c>
      <c r="AX269"/>
      <c r="AY269"/>
      <c r="BA269"/>
      <c r="BB269"/>
      <c r="BC269"/>
      <c r="BD269"/>
      <c r="BE269"/>
      <c r="BF269"/>
      <c r="BG269"/>
      <c r="BH269"/>
      <c r="BI269"/>
      <c r="BJ269"/>
      <c r="BR269"/>
      <c r="BS269"/>
      <c r="BT269"/>
      <c r="BU269"/>
      <c r="BX269"/>
      <c r="BY269"/>
      <c r="CA269"/>
    </row>
    <row r="270" spans="2:79" ht="18.75">
      <c r="B270" s="252" t="s">
        <v>87</v>
      </c>
      <c r="C270" s="251">
        <v>41373625000186</v>
      </c>
      <c r="D270" s="252" t="s">
        <v>14</v>
      </c>
      <c r="E270" s="252" t="s">
        <v>607</v>
      </c>
      <c r="F270" s="252" t="s">
        <v>1317</v>
      </c>
      <c r="G270" s="253" t="s">
        <v>1417</v>
      </c>
      <c r="H270" s="253" t="s">
        <v>34</v>
      </c>
      <c r="I270" s="253" t="s">
        <v>34</v>
      </c>
      <c r="J270" s="253" t="s">
        <v>611</v>
      </c>
      <c r="K270" s="253" t="s">
        <v>49</v>
      </c>
      <c r="L270" s="655"/>
      <c r="M270" s="655" t="s">
        <v>34</v>
      </c>
      <c r="N270" s="253" t="s">
        <v>2842</v>
      </c>
      <c r="O270" s="253" t="s">
        <v>1321</v>
      </c>
      <c r="P270" s="656">
        <v>44299</v>
      </c>
      <c r="Q270" s="657">
        <v>2.6086299999999998</v>
      </c>
      <c r="R270" s="657">
        <v>7.3523996120481874</v>
      </c>
      <c r="S270" s="253">
        <v>12</v>
      </c>
      <c r="T270" s="658">
        <v>4.1474177378885813E-2</v>
      </c>
      <c r="U270" s="659">
        <v>2.0738768557040013</v>
      </c>
      <c r="V270" s="658">
        <v>-0.17610555192135924</v>
      </c>
      <c r="W270" s="659">
        <v>-1.3657531610210192</v>
      </c>
      <c r="X270" s="658"/>
      <c r="Y270" s="659"/>
      <c r="Z270" s="658"/>
      <c r="AA270" s="659"/>
      <c r="AB270" s="658">
        <v>0.31056510217970235</v>
      </c>
      <c r="AC270" s="660">
        <v>-0.98223998519845535</v>
      </c>
      <c r="AD270" s="682">
        <v>0</v>
      </c>
      <c r="AE270" s="944" t="s">
        <v>1911</v>
      </c>
      <c r="AF270" s="661" t="s">
        <v>1745</v>
      </c>
      <c r="AG270" s="662" t="s">
        <v>1432</v>
      </c>
      <c r="AH270" s="662" t="s">
        <v>1730</v>
      </c>
      <c r="AI270" s="662">
        <v>1000</v>
      </c>
      <c r="AJ270" s="662">
        <v>1000</v>
      </c>
      <c r="AK270" s="662">
        <v>1000</v>
      </c>
      <c r="AL270" s="658">
        <v>0.02</v>
      </c>
      <c r="AM270" s="658">
        <v>0.2</v>
      </c>
      <c r="AN270" s="659" t="s">
        <v>34</v>
      </c>
      <c r="AO270" s="253" t="s">
        <v>34</v>
      </c>
      <c r="AP270" s="944" t="s">
        <v>1731</v>
      </c>
      <c r="AQ270" s="663" t="s">
        <v>687</v>
      </c>
      <c r="AR270" s="658">
        <v>6.6666666666666697E-3</v>
      </c>
      <c r="AS270" s="658">
        <v>6.6666666666666697E-3</v>
      </c>
      <c r="AT270" s="658" t="s">
        <v>1417</v>
      </c>
      <c r="AU270" s="658" t="s">
        <v>2751</v>
      </c>
      <c r="AX270"/>
      <c r="AY270"/>
      <c r="BA270"/>
      <c r="BB270"/>
      <c r="BC270"/>
      <c r="BD270"/>
      <c r="BE270"/>
      <c r="BF270"/>
      <c r="BG270"/>
      <c r="BH270"/>
      <c r="BI270"/>
      <c r="BJ270"/>
      <c r="BR270"/>
      <c r="BS270"/>
      <c r="BT270"/>
      <c r="BU270"/>
      <c r="BX270"/>
      <c r="BY270"/>
      <c r="CA270"/>
    </row>
    <row r="271" spans="2:79" ht="18.75">
      <c r="B271" s="252" t="s">
        <v>765</v>
      </c>
      <c r="C271" s="251">
        <v>19523641000159</v>
      </c>
      <c r="D271" s="252" t="s">
        <v>13</v>
      </c>
      <c r="E271" s="252" t="s">
        <v>615</v>
      </c>
      <c r="F271" s="252" t="s">
        <v>619</v>
      </c>
      <c r="G271" s="253" t="s">
        <v>34</v>
      </c>
      <c r="H271" s="253" t="s">
        <v>1337</v>
      </c>
      <c r="I271" s="253" t="s">
        <v>34</v>
      </c>
      <c r="J271" s="253" t="s">
        <v>1417</v>
      </c>
      <c r="K271" s="253" t="s">
        <v>48</v>
      </c>
      <c r="L271" s="655"/>
      <c r="M271" s="655" t="s">
        <v>34</v>
      </c>
      <c r="N271" s="253" t="s">
        <v>2844</v>
      </c>
      <c r="O271" s="253" t="s">
        <v>1321</v>
      </c>
      <c r="P271" s="656">
        <v>41739</v>
      </c>
      <c r="Q271" s="657">
        <v>61.96</v>
      </c>
      <c r="R271" s="657">
        <v>59.846491935483861</v>
      </c>
      <c r="S271" s="253">
        <v>30</v>
      </c>
      <c r="T271" s="658">
        <v>2.9015480740702149E-2</v>
      </c>
      <c r="U271" s="659">
        <v>1.4508915611645568</v>
      </c>
      <c r="V271" s="658">
        <v>0.1331337776090773</v>
      </c>
      <c r="W271" s="659">
        <v>1.0324937267705381</v>
      </c>
      <c r="X271" s="658">
        <v>0.19165470824827668</v>
      </c>
      <c r="Y271" s="659">
        <v>0.99257831124283424</v>
      </c>
      <c r="Z271" s="658">
        <v>0.25246549370947258</v>
      </c>
      <c r="AA271" s="659">
        <v>1.1399516408699806</v>
      </c>
      <c r="AB271" s="658">
        <v>3.8098407144168178E-2</v>
      </c>
      <c r="AC271" s="660">
        <v>0.10997489072007829</v>
      </c>
      <c r="AD271" s="682">
        <v>0</v>
      </c>
      <c r="AE271" s="944" t="s">
        <v>1892</v>
      </c>
      <c r="AF271" s="661" t="s">
        <v>1745</v>
      </c>
      <c r="AG271" s="662" t="s">
        <v>1432</v>
      </c>
      <c r="AH271" s="662" t="s">
        <v>1734</v>
      </c>
      <c r="AI271" s="662">
        <v>1000</v>
      </c>
      <c r="AJ271" s="662">
        <v>1000</v>
      </c>
      <c r="AK271" s="662">
        <v>1000</v>
      </c>
      <c r="AL271" s="658">
        <v>1.3999999999999999E-2</v>
      </c>
      <c r="AM271" s="658">
        <v>0.15</v>
      </c>
      <c r="AN271" s="659" t="s">
        <v>64</v>
      </c>
      <c r="AO271" s="253" t="s">
        <v>34</v>
      </c>
      <c r="AP271" s="944" t="s">
        <v>1746</v>
      </c>
      <c r="AQ271" s="663" t="s">
        <v>668</v>
      </c>
      <c r="AR271" s="658">
        <v>3.7333333333333298E-3</v>
      </c>
      <c r="AS271" s="658">
        <v>3.7333333333333298E-3</v>
      </c>
      <c r="AT271" s="658" t="s">
        <v>1417</v>
      </c>
      <c r="AU271" s="658" t="s">
        <v>2751</v>
      </c>
      <c r="AX271"/>
      <c r="AY271"/>
      <c r="BA271"/>
      <c r="BB271"/>
      <c r="BC271"/>
      <c r="BD271"/>
      <c r="BE271"/>
      <c r="BF271"/>
      <c r="BG271"/>
      <c r="BH271"/>
      <c r="BI271"/>
      <c r="BJ271"/>
      <c r="BR271"/>
      <c r="BS271"/>
      <c r="BT271"/>
      <c r="BU271"/>
      <c r="BX271"/>
      <c r="BY271"/>
      <c r="CA271"/>
    </row>
    <row r="272" spans="2:79" ht="18.75">
      <c r="B272" s="252" t="s">
        <v>88</v>
      </c>
      <c r="C272" s="251">
        <v>36327745000107</v>
      </c>
      <c r="D272" s="252" t="s">
        <v>13</v>
      </c>
      <c r="E272" s="252" t="s">
        <v>615</v>
      </c>
      <c r="F272" s="252" t="s">
        <v>619</v>
      </c>
      <c r="G272" s="253" t="s">
        <v>34</v>
      </c>
      <c r="H272" s="253" t="s">
        <v>1338</v>
      </c>
      <c r="I272" s="253" t="s">
        <v>34</v>
      </c>
      <c r="J272" s="253" t="s">
        <v>1417</v>
      </c>
      <c r="K272" s="253" t="s">
        <v>48</v>
      </c>
      <c r="L272" s="655"/>
      <c r="M272" s="655" t="s">
        <v>34</v>
      </c>
      <c r="N272" s="253" t="s">
        <v>2845</v>
      </c>
      <c r="O272" s="253" t="s">
        <v>1321</v>
      </c>
      <c r="P272" s="656">
        <v>43967</v>
      </c>
      <c r="Q272" s="657">
        <v>35.835386939999999</v>
      </c>
      <c r="R272" s="657">
        <v>33.948509091983787</v>
      </c>
      <c r="S272" s="253">
        <v>30</v>
      </c>
      <c r="T272" s="658">
        <v>3.9951378168140206E-2</v>
      </c>
      <c r="U272" s="659">
        <v>1.9977307272299163</v>
      </c>
      <c r="V272" s="658">
        <v>0.14179038230761476</v>
      </c>
      <c r="W272" s="659">
        <v>1.0996283804015403</v>
      </c>
      <c r="X272" s="658">
        <v>0.20903571391698694</v>
      </c>
      <c r="Y272" s="659">
        <v>1.0825944105708072</v>
      </c>
      <c r="Z272" s="658"/>
      <c r="AA272" s="659"/>
      <c r="AB272" s="658">
        <v>7.6653489302451819E-2</v>
      </c>
      <c r="AC272" s="660">
        <v>0.1675914948912248</v>
      </c>
      <c r="AD272" s="682">
        <v>36352273000142</v>
      </c>
      <c r="AE272" s="944" t="s">
        <v>1892</v>
      </c>
      <c r="AF272" s="661" t="s">
        <v>1745</v>
      </c>
      <c r="AG272" s="662" t="s">
        <v>1432</v>
      </c>
      <c r="AH272" s="662" t="s">
        <v>1734</v>
      </c>
      <c r="AI272" s="662">
        <v>1000</v>
      </c>
      <c r="AJ272" s="662">
        <v>1000</v>
      </c>
      <c r="AK272" s="662">
        <v>1000</v>
      </c>
      <c r="AL272" s="658">
        <v>0</v>
      </c>
      <c r="AM272" s="658">
        <v>0.2</v>
      </c>
      <c r="AN272" s="659" t="s">
        <v>34</v>
      </c>
      <c r="AO272" s="253" t="s">
        <v>34</v>
      </c>
      <c r="AP272" s="944" t="s">
        <v>1746</v>
      </c>
      <c r="AQ272" s="663" t="s">
        <v>668</v>
      </c>
      <c r="AR272" s="658">
        <v>5.3333333333333297E-3</v>
      </c>
      <c r="AS272" s="658">
        <v>5.3333333333333297E-3</v>
      </c>
      <c r="AT272" s="658" t="s">
        <v>1417</v>
      </c>
      <c r="AU272" s="658" t="s">
        <v>2751</v>
      </c>
      <c r="AX272"/>
      <c r="AY272"/>
      <c r="BA272"/>
      <c r="BB272"/>
      <c r="BC272"/>
      <c r="BD272"/>
      <c r="BE272"/>
      <c r="BF272"/>
      <c r="BG272"/>
      <c r="BH272"/>
      <c r="BI272"/>
      <c r="BJ272"/>
      <c r="BR272"/>
      <c r="BS272"/>
      <c r="BT272"/>
      <c r="BU272"/>
      <c r="BX272"/>
      <c r="BY272"/>
      <c r="CA272"/>
    </row>
    <row r="273" spans="2:79" ht="18.75">
      <c r="B273" s="252" t="s">
        <v>766</v>
      </c>
      <c r="C273" s="251">
        <v>34172497000147</v>
      </c>
      <c r="D273" s="252" t="s">
        <v>13</v>
      </c>
      <c r="E273" s="252" t="s">
        <v>615</v>
      </c>
      <c r="F273" s="252" t="s">
        <v>619</v>
      </c>
      <c r="G273" s="253" t="s">
        <v>34</v>
      </c>
      <c r="H273" s="253" t="s">
        <v>1338</v>
      </c>
      <c r="I273" s="253" t="s">
        <v>34</v>
      </c>
      <c r="J273" s="253" t="s">
        <v>1417</v>
      </c>
      <c r="K273" s="253" t="s">
        <v>48</v>
      </c>
      <c r="L273" s="655"/>
      <c r="M273" s="655" t="s">
        <v>34</v>
      </c>
      <c r="N273" s="253" t="s">
        <v>2846</v>
      </c>
      <c r="O273" s="253" t="s">
        <v>1321</v>
      </c>
      <c r="P273" s="656">
        <v>43762</v>
      </c>
      <c r="Q273" s="657">
        <v>172.01465623999999</v>
      </c>
      <c r="R273" s="657">
        <v>131.24720040562255</v>
      </c>
      <c r="S273" s="253">
        <v>22</v>
      </c>
      <c r="T273" s="658">
        <v>3.7767761915571629E-2</v>
      </c>
      <c r="U273" s="659">
        <v>1.8885410700952934</v>
      </c>
      <c r="V273" s="658">
        <v>0.21426836882210876</v>
      </c>
      <c r="W273" s="659">
        <v>1.6617176394091844</v>
      </c>
      <c r="X273" s="658">
        <v>0.40845399870653343</v>
      </c>
      <c r="Y273" s="659">
        <v>2.1153802270869035</v>
      </c>
      <c r="Z273" s="658">
        <v>0.41482047747439177</v>
      </c>
      <c r="AA273" s="659">
        <v>1.8730293673620526</v>
      </c>
      <c r="AB273" s="658">
        <v>8.4824722765380819E-2</v>
      </c>
      <c r="AC273" s="660">
        <v>1.0058914028086106</v>
      </c>
      <c r="AD273" s="682">
        <v>37953365000140</v>
      </c>
      <c r="AE273" s="944" t="s">
        <v>1981</v>
      </c>
      <c r="AF273" s="661" t="s">
        <v>1745</v>
      </c>
      <c r="AG273" s="662" t="s">
        <v>1432</v>
      </c>
      <c r="AH273" s="662" t="s">
        <v>1801</v>
      </c>
      <c r="AI273" s="662">
        <v>10000</v>
      </c>
      <c r="AJ273" s="662">
        <v>2000</v>
      </c>
      <c r="AK273" s="662">
        <v>2000</v>
      </c>
      <c r="AL273" s="658">
        <v>0.02</v>
      </c>
      <c r="AM273" s="658">
        <v>0.2</v>
      </c>
      <c r="AN273" s="659" t="s">
        <v>34</v>
      </c>
      <c r="AO273" s="253" t="s">
        <v>34</v>
      </c>
      <c r="AP273" s="944" t="s">
        <v>1746</v>
      </c>
      <c r="AQ273" s="663" t="s">
        <v>668</v>
      </c>
      <c r="AR273" s="658">
        <v>5.3333333333333297E-3</v>
      </c>
      <c r="AS273" s="658">
        <v>5.3333333333333297E-3</v>
      </c>
      <c r="AT273" s="658" t="s">
        <v>1417</v>
      </c>
      <c r="AU273" s="658" t="s">
        <v>2751</v>
      </c>
      <c r="AX273"/>
      <c r="AY273"/>
      <c r="BA273"/>
      <c r="BB273"/>
      <c r="BC273"/>
      <c r="BD273"/>
      <c r="BE273"/>
      <c r="BF273"/>
      <c r="BG273"/>
      <c r="BH273"/>
      <c r="BI273"/>
      <c r="BJ273"/>
      <c r="BR273"/>
      <c r="BS273"/>
      <c r="BT273"/>
      <c r="BU273"/>
      <c r="BX273"/>
      <c r="BY273"/>
      <c r="CA273"/>
    </row>
    <row r="274" spans="2:79" ht="18.75">
      <c r="B274" s="252" t="s">
        <v>1494</v>
      </c>
      <c r="C274" s="251">
        <v>33601214000172</v>
      </c>
      <c r="D274" s="252" t="s">
        <v>13</v>
      </c>
      <c r="E274" s="252" t="s">
        <v>615</v>
      </c>
      <c r="F274" s="252" t="s">
        <v>619</v>
      </c>
      <c r="G274" s="253" t="s">
        <v>34</v>
      </c>
      <c r="H274" s="253" t="s">
        <v>1338</v>
      </c>
      <c r="I274" s="253" t="s">
        <v>34</v>
      </c>
      <c r="J274" s="253" t="s">
        <v>1417</v>
      </c>
      <c r="K274" s="253" t="s">
        <v>48</v>
      </c>
      <c r="L274" s="655"/>
      <c r="M274" s="655" t="s">
        <v>34</v>
      </c>
      <c r="N274" s="253" t="s">
        <v>2847</v>
      </c>
      <c r="O274" s="253" t="s">
        <v>1321</v>
      </c>
      <c r="P274" s="656">
        <v>43660</v>
      </c>
      <c r="Q274" s="657">
        <v>0</v>
      </c>
      <c r="R274" s="657">
        <v>3.5313687008219179</v>
      </c>
      <c r="S274" s="253">
        <v>22</v>
      </c>
      <c r="T274" s="658"/>
      <c r="U274" s="659"/>
      <c r="V274" s="658">
        <v>5.5424283785279194E-2</v>
      </c>
      <c r="W274" s="659">
        <v>0.42983250642133886</v>
      </c>
      <c r="X274" s="658">
        <v>0.16319947173237814</v>
      </c>
      <c r="Y274" s="659">
        <v>0.84520885256834344</v>
      </c>
      <c r="Z274" s="658">
        <v>0.42542073366707811</v>
      </c>
      <c r="AA274" s="659">
        <v>1.9208924605038049</v>
      </c>
      <c r="AB274" s="658">
        <v>4.088998254858342E-2</v>
      </c>
      <c r="AC274" s="660">
        <v>-1.7979862323041307</v>
      </c>
      <c r="AD274" s="682">
        <v>0</v>
      </c>
      <c r="AE274" s="944" t="s">
        <v>1981</v>
      </c>
      <c r="AF274" s="661" t="s">
        <v>1745</v>
      </c>
      <c r="AG274" s="662" t="s">
        <v>1432</v>
      </c>
      <c r="AH274" s="662" t="s">
        <v>1734</v>
      </c>
      <c r="AI274" s="662">
        <v>5000</v>
      </c>
      <c r="AJ274" s="662">
        <v>1000</v>
      </c>
      <c r="AK274" s="662">
        <v>1000</v>
      </c>
      <c r="AL274" s="658">
        <v>1.4999999999999999E-2</v>
      </c>
      <c r="AM274" s="658">
        <v>0.2</v>
      </c>
      <c r="AN274" s="659" t="s">
        <v>34</v>
      </c>
      <c r="AO274" s="253" t="s">
        <v>34</v>
      </c>
      <c r="AP274" s="944" t="s">
        <v>1746</v>
      </c>
      <c r="AQ274" s="663" t="s">
        <v>668</v>
      </c>
      <c r="AR274" s="658">
        <v>4.0000000000000001E-3</v>
      </c>
      <c r="AS274" s="658">
        <v>4.0000000000000001E-3</v>
      </c>
      <c r="AT274" s="658" t="s">
        <v>1417</v>
      </c>
      <c r="AU274" s="658" t="s">
        <v>2751</v>
      </c>
      <c r="AX274"/>
      <c r="AY274"/>
      <c r="BA274"/>
      <c r="BB274"/>
      <c r="BC274"/>
      <c r="BD274"/>
      <c r="BE274"/>
      <c r="BF274"/>
      <c r="BG274"/>
      <c r="BH274"/>
      <c r="BI274"/>
      <c r="BJ274"/>
      <c r="BR274"/>
      <c r="BS274"/>
      <c r="BT274"/>
      <c r="BU274"/>
      <c r="BX274"/>
      <c r="BY274"/>
      <c r="CA274"/>
    </row>
    <row r="275" spans="2:79" ht="18.75">
      <c r="B275" s="252" t="s">
        <v>767</v>
      </c>
      <c r="C275" s="251">
        <v>44613740000179</v>
      </c>
      <c r="D275" s="252" t="s">
        <v>13</v>
      </c>
      <c r="E275" s="252" t="s">
        <v>615</v>
      </c>
      <c r="F275" s="252" t="s">
        <v>619</v>
      </c>
      <c r="G275" s="253" t="s">
        <v>34</v>
      </c>
      <c r="H275" s="253" t="s">
        <v>1338</v>
      </c>
      <c r="I275" s="253" t="s">
        <v>34</v>
      </c>
      <c r="J275" s="253" t="s">
        <v>1417</v>
      </c>
      <c r="K275" s="253" t="s">
        <v>48</v>
      </c>
      <c r="L275" s="655"/>
      <c r="M275" s="655" t="s">
        <v>34</v>
      </c>
      <c r="N275" s="253" t="s">
        <v>2848</v>
      </c>
      <c r="O275" s="253" t="s">
        <v>1321</v>
      </c>
      <c r="P275" s="656">
        <v>44581</v>
      </c>
      <c r="Q275" s="657">
        <v>6.3658999100000004</v>
      </c>
      <c r="R275" s="657">
        <v>5.4437038061607135</v>
      </c>
      <c r="S275" s="253">
        <v>21</v>
      </c>
      <c r="T275" s="658">
        <v>2.3718032309210546E-2</v>
      </c>
      <c r="U275" s="659">
        <v>1.1859976828365706</v>
      </c>
      <c r="V275" s="658">
        <v>0.10499122222454127</v>
      </c>
      <c r="W275" s="659">
        <v>0.81423948346989039</v>
      </c>
      <c r="X275" s="658"/>
      <c r="Y275" s="659"/>
      <c r="Z275" s="658"/>
      <c r="AA275" s="659"/>
      <c r="AB275" s="658">
        <v>2.0372098919787824E-2</v>
      </c>
      <c r="AC275" s="660">
        <v>-1.1757594205956541</v>
      </c>
      <c r="AD275" s="682">
        <v>0</v>
      </c>
      <c r="AE275" s="944" t="s">
        <v>1981</v>
      </c>
      <c r="AF275" s="661" t="s">
        <v>1745</v>
      </c>
      <c r="AG275" s="662" t="s">
        <v>1432</v>
      </c>
      <c r="AH275" s="662" t="s">
        <v>1734</v>
      </c>
      <c r="AI275" s="662">
        <v>1000</v>
      </c>
      <c r="AJ275" s="662">
        <v>500</v>
      </c>
      <c r="AK275" s="662">
        <v>500</v>
      </c>
      <c r="AL275" s="658">
        <v>0</v>
      </c>
      <c r="AM275" s="658">
        <v>0</v>
      </c>
      <c r="AN275" s="659" t="s">
        <v>2127</v>
      </c>
      <c r="AO275" s="253" t="s">
        <v>34</v>
      </c>
      <c r="AP275" s="944" t="s">
        <v>1746</v>
      </c>
      <c r="AQ275" s="663" t="s">
        <v>668</v>
      </c>
      <c r="AR275" s="658">
        <v>4.0000000000000001E-3</v>
      </c>
      <c r="AS275" s="658">
        <v>4.0000000000000001E-3</v>
      </c>
      <c r="AT275" s="658" t="s">
        <v>1417</v>
      </c>
      <c r="AU275" s="658" t="s">
        <v>2751</v>
      </c>
      <c r="AX275"/>
      <c r="AY275"/>
      <c r="BA275"/>
      <c r="BB275"/>
      <c r="BC275"/>
      <c r="BD275"/>
      <c r="BE275"/>
      <c r="BF275"/>
      <c r="BG275"/>
      <c r="BH275"/>
      <c r="BI275"/>
      <c r="BJ275"/>
      <c r="BR275"/>
      <c r="BS275"/>
      <c r="BT275"/>
      <c r="BU275"/>
      <c r="BX275"/>
      <c r="BY275"/>
      <c r="CA275"/>
    </row>
    <row r="276" spans="2:79" ht="18.75">
      <c r="B276" s="252" t="s">
        <v>89</v>
      </c>
      <c r="C276" s="251">
        <v>31848209000133</v>
      </c>
      <c r="D276" s="252" t="s">
        <v>13</v>
      </c>
      <c r="E276" s="252" t="s">
        <v>615</v>
      </c>
      <c r="F276" s="252" t="s">
        <v>619</v>
      </c>
      <c r="G276" s="253" t="s">
        <v>34</v>
      </c>
      <c r="H276" s="253" t="s">
        <v>1337</v>
      </c>
      <c r="I276" s="253" t="s">
        <v>34</v>
      </c>
      <c r="J276" s="253" t="s">
        <v>1417</v>
      </c>
      <c r="K276" s="253" t="s">
        <v>48</v>
      </c>
      <c r="L276" s="655"/>
      <c r="M276" s="655" t="s">
        <v>34</v>
      </c>
      <c r="N276" s="253" t="s">
        <v>2849</v>
      </c>
      <c r="O276" s="253" t="s">
        <v>1321</v>
      </c>
      <c r="P276" s="656">
        <v>43349</v>
      </c>
      <c r="Q276" s="657">
        <v>0</v>
      </c>
      <c r="R276" s="657">
        <v>37.947186484457831</v>
      </c>
      <c r="S276" s="253">
        <v>121</v>
      </c>
      <c r="T276" s="658">
        <v>3.6878736718367833E-2</v>
      </c>
      <c r="U276" s="659">
        <v>1.8440862093327683</v>
      </c>
      <c r="V276" s="658">
        <v>0.1572701967367558</v>
      </c>
      <c r="W276" s="659">
        <v>1.2196791411978782</v>
      </c>
      <c r="X276" s="658">
        <v>0.29915817382395238</v>
      </c>
      <c r="Y276" s="659">
        <v>1.54933796139255</v>
      </c>
      <c r="Z276" s="658">
        <v>0.42433881946723173</v>
      </c>
      <c r="AA276" s="659">
        <v>1.9160073181848523</v>
      </c>
      <c r="AB276" s="658">
        <v>3.841315312740165E-2</v>
      </c>
      <c r="AC276" s="660">
        <v>0.7374111465419162</v>
      </c>
      <c r="AD276" s="682">
        <v>31848028000107</v>
      </c>
      <c r="AE276" s="944" t="s">
        <v>1811</v>
      </c>
      <c r="AF276" s="661" t="s">
        <v>1861</v>
      </c>
      <c r="AG276" s="662" t="s">
        <v>1434</v>
      </c>
      <c r="AH276" s="662" t="s">
        <v>1730</v>
      </c>
      <c r="AI276" s="662">
        <v>0</v>
      </c>
      <c r="AJ276" s="662">
        <v>0</v>
      </c>
      <c r="AK276" s="662">
        <v>0</v>
      </c>
      <c r="AL276" s="658">
        <v>0</v>
      </c>
      <c r="AM276" s="658">
        <v>0</v>
      </c>
      <c r="AN276" s="659" t="s">
        <v>64</v>
      </c>
      <c r="AO276" s="253" t="s">
        <v>34</v>
      </c>
      <c r="AP276" s="944" t="s">
        <v>1746</v>
      </c>
      <c r="AQ276" s="663" t="s">
        <v>698</v>
      </c>
      <c r="AR276" s="658">
        <v>6.6666666666666697E-3</v>
      </c>
      <c r="AS276" s="658">
        <v>6.6666666666666697E-3</v>
      </c>
      <c r="AT276" s="658" t="s">
        <v>1417</v>
      </c>
      <c r="AU276" s="658" t="s">
        <v>2751</v>
      </c>
      <c r="AX276"/>
      <c r="AY276"/>
      <c r="BA276"/>
      <c r="BB276"/>
      <c r="BC276"/>
      <c r="BD276"/>
      <c r="BE276"/>
      <c r="BF276"/>
      <c r="BG276"/>
      <c r="BH276"/>
      <c r="BI276"/>
      <c r="BJ276"/>
      <c r="BR276"/>
      <c r="BS276"/>
      <c r="BT276"/>
      <c r="BU276"/>
      <c r="BX276"/>
      <c r="BY276"/>
      <c r="CA276"/>
    </row>
    <row r="277" spans="2:79" ht="18.75">
      <c r="B277" s="252" t="s">
        <v>768</v>
      </c>
      <c r="C277" s="251">
        <v>20441301000168</v>
      </c>
      <c r="D277" s="252" t="s">
        <v>11</v>
      </c>
      <c r="E277" s="252" t="s">
        <v>620</v>
      </c>
      <c r="F277" s="252" t="s">
        <v>685</v>
      </c>
      <c r="G277" s="253" t="s">
        <v>738</v>
      </c>
      <c r="H277" s="253" t="s">
        <v>34</v>
      </c>
      <c r="I277" s="253" t="s">
        <v>1319</v>
      </c>
      <c r="J277" s="253" t="s">
        <v>608</v>
      </c>
      <c r="K277" s="253" t="s">
        <v>48</v>
      </c>
      <c r="L277" s="655"/>
      <c r="M277" s="655" t="s">
        <v>34</v>
      </c>
      <c r="N277" s="253" t="s">
        <v>2850</v>
      </c>
      <c r="O277" s="253" t="s">
        <v>1321</v>
      </c>
      <c r="P277" s="656">
        <v>41840</v>
      </c>
      <c r="Q277" s="657">
        <v>696.17670699999996</v>
      </c>
      <c r="R277" s="657">
        <v>618.05048028225815</v>
      </c>
      <c r="S277" s="253">
        <v>91</v>
      </c>
      <c r="T277" s="658">
        <v>2.3805778116543275E-2</v>
      </c>
      <c r="U277" s="659">
        <v>1.1903853286082995</v>
      </c>
      <c r="V277" s="658">
        <v>0.15780639740201674</v>
      </c>
      <c r="W277" s="659">
        <v>1.223837543619221</v>
      </c>
      <c r="X277" s="658">
        <v>0.26622150261138233</v>
      </c>
      <c r="Y277" s="659">
        <v>1.3787591856925421</v>
      </c>
      <c r="Z277" s="658">
        <v>0.33990979417567391</v>
      </c>
      <c r="AA277" s="659">
        <v>1.534786880872657</v>
      </c>
      <c r="AB277" s="658">
        <v>1.0247409126773824E-3</v>
      </c>
      <c r="AC277" s="660">
        <v>28.165644211294531</v>
      </c>
      <c r="AD277" s="682">
        <v>30576260000170</v>
      </c>
      <c r="AE277" s="944" t="s">
        <v>1811</v>
      </c>
      <c r="AF277" s="661" t="s">
        <v>1861</v>
      </c>
      <c r="AG277" s="662" t="s">
        <v>1434</v>
      </c>
      <c r="AH277" s="662" t="s">
        <v>1730</v>
      </c>
      <c r="AI277" s="662">
        <v>25000</v>
      </c>
      <c r="AJ277" s="662">
        <v>5000</v>
      </c>
      <c r="AK277" s="662">
        <v>5000</v>
      </c>
      <c r="AL277" s="658">
        <v>0.02</v>
      </c>
      <c r="AM277" s="658">
        <v>0.2</v>
      </c>
      <c r="AN277" s="659" t="s">
        <v>64</v>
      </c>
      <c r="AO277" s="253" t="s">
        <v>34</v>
      </c>
      <c r="AP277" s="944" t="s">
        <v>1746</v>
      </c>
      <c r="AQ277" s="663" t="s">
        <v>668</v>
      </c>
      <c r="AR277" s="658">
        <v>6.6666666666666697E-3</v>
      </c>
      <c r="AS277" s="658">
        <v>6.6666666666666697E-3</v>
      </c>
      <c r="AT277" s="658" t="s">
        <v>1417</v>
      </c>
      <c r="AU277" s="658" t="s">
        <v>2751</v>
      </c>
      <c r="AX277"/>
      <c r="AY277"/>
      <c r="BA277"/>
      <c r="BB277"/>
      <c r="BC277"/>
      <c r="BD277"/>
      <c r="BE277"/>
      <c r="BF277"/>
      <c r="BG277"/>
      <c r="BH277"/>
      <c r="BI277"/>
      <c r="BJ277"/>
      <c r="BR277"/>
      <c r="BS277"/>
      <c r="BT277"/>
      <c r="BU277"/>
      <c r="BX277"/>
      <c r="BY277"/>
      <c r="CA277"/>
    </row>
    <row r="278" spans="2:79" ht="18.75">
      <c r="B278" s="252" t="s">
        <v>90</v>
      </c>
      <c r="C278" s="251">
        <v>24773832000109</v>
      </c>
      <c r="D278" s="252" t="s">
        <v>11</v>
      </c>
      <c r="E278" s="252" t="s">
        <v>620</v>
      </c>
      <c r="F278" s="252" t="s">
        <v>685</v>
      </c>
      <c r="G278" s="253" t="s">
        <v>738</v>
      </c>
      <c r="H278" s="253" t="s">
        <v>34</v>
      </c>
      <c r="I278" s="253" t="s">
        <v>1304</v>
      </c>
      <c r="J278" s="253" t="s">
        <v>608</v>
      </c>
      <c r="K278" s="253" t="s">
        <v>48</v>
      </c>
      <c r="L278" s="655"/>
      <c r="M278" s="655" t="s">
        <v>34</v>
      </c>
      <c r="N278" s="253" t="s">
        <v>2851</v>
      </c>
      <c r="O278" s="253" t="s">
        <v>1321</v>
      </c>
      <c r="P278" s="656">
        <v>42534</v>
      </c>
      <c r="Q278" s="657">
        <v>0</v>
      </c>
      <c r="R278" s="657">
        <v>0</v>
      </c>
      <c r="S278" s="253">
        <v>0</v>
      </c>
      <c r="T278" s="658"/>
      <c r="U278" s="659"/>
      <c r="V278" s="658"/>
      <c r="W278" s="659"/>
      <c r="X278" s="658"/>
      <c r="Y278" s="659"/>
      <c r="Z278" s="658"/>
      <c r="AA278" s="659"/>
      <c r="AB278" s="658"/>
      <c r="AC278" s="660"/>
      <c r="AD278" s="682">
        <v>0</v>
      </c>
      <c r="AE278" s="944" t="s">
        <v>1811</v>
      </c>
      <c r="AF278" s="661" t="s">
        <v>1861</v>
      </c>
      <c r="AG278" s="662" t="s">
        <v>1434</v>
      </c>
      <c r="AH278" s="662" t="s">
        <v>1734</v>
      </c>
      <c r="AI278" s="662">
        <v>1000</v>
      </c>
      <c r="AJ278" s="662">
        <v>1000</v>
      </c>
      <c r="AK278" s="662">
        <v>1000</v>
      </c>
      <c r="AL278" s="658">
        <v>5.0000000000000001E-3</v>
      </c>
      <c r="AM278" s="658">
        <v>0</v>
      </c>
      <c r="AN278" s="659" t="s">
        <v>64</v>
      </c>
      <c r="AO278" s="253" t="s">
        <v>34</v>
      </c>
      <c r="AP278" s="944" t="s">
        <v>1735</v>
      </c>
      <c r="AQ278" s="663" t="s">
        <v>669</v>
      </c>
      <c r="AR278" s="658">
        <v>1.33333333333333E-3</v>
      </c>
      <c r="AS278" s="658">
        <v>1.33333333333333E-3</v>
      </c>
      <c r="AT278" s="658" t="s">
        <v>1417</v>
      </c>
      <c r="AU278" s="658" t="s">
        <v>2751</v>
      </c>
      <c r="AX278"/>
      <c r="AY278"/>
      <c r="BA278"/>
      <c r="BB278"/>
      <c r="BC278"/>
      <c r="BD278"/>
      <c r="BE278"/>
      <c r="BF278"/>
      <c r="BG278"/>
      <c r="BH278"/>
      <c r="BI278"/>
      <c r="BJ278"/>
      <c r="BR278"/>
      <c r="BS278"/>
      <c r="BT278"/>
      <c r="BU278"/>
      <c r="BX278"/>
      <c r="BY278"/>
      <c r="CA278"/>
    </row>
    <row r="279" spans="2:79" ht="18.75">
      <c r="B279" s="252" t="s">
        <v>91</v>
      </c>
      <c r="C279" s="251">
        <v>9625909000100</v>
      </c>
      <c r="D279" s="252" t="s">
        <v>11</v>
      </c>
      <c r="E279" s="252" t="s">
        <v>620</v>
      </c>
      <c r="F279" s="252" t="s">
        <v>685</v>
      </c>
      <c r="G279" s="253" t="s">
        <v>738</v>
      </c>
      <c r="H279" s="253" t="s">
        <v>34</v>
      </c>
      <c r="I279" s="253" t="s">
        <v>1304</v>
      </c>
      <c r="J279" s="253" t="s">
        <v>608</v>
      </c>
      <c r="K279" s="253" t="s">
        <v>48</v>
      </c>
      <c r="L279" s="655"/>
      <c r="M279" s="655" t="s">
        <v>34</v>
      </c>
      <c r="N279" s="253" t="s">
        <v>2852</v>
      </c>
      <c r="O279" s="253" t="s">
        <v>1321</v>
      </c>
      <c r="P279" s="656">
        <v>39793</v>
      </c>
      <c r="Q279" s="657">
        <v>289.97605900000002</v>
      </c>
      <c r="R279" s="657">
        <v>347.19165051209694</v>
      </c>
      <c r="S279" s="253">
        <v>2</v>
      </c>
      <c r="T279" s="658">
        <v>2.0764244389771758E-2</v>
      </c>
      <c r="U279" s="659">
        <v>1.0382963228597293</v>
      </c>
      <c r="V279" s="658">
        <v>0.13067483671803948</v>
      </c>
      <c r="W279" s="659">
        <v>1.0134238777052547</v>
      </c>
      <c r="X279" s="658">
        <v>0.20724420816978517</v>
      </c>
      <c r="Y279" s="659">
        <v>1.0733162156055378</v>
      </c>
      <c r="Z279" s="658">
        <v>0.25680561049076012</v>
      </c>
      <c r="AA279" s="659">
        <v>1.1595484704156827</v>
      </c>
      <c r="AB279" s="658">
        <v>8.9258717513319204E-3</v>
      </c>
      <c r="AC279" s="660">
        <v>0.1939224895308222</v>
      </c>
      <c r="AD279" s="682">
        <v>22099999000100</v>
      </c>
      <c r="AE279" s="944" t="s">
        <v>1811</v>
      </c>
      <c r="AF279" s="661" t="s">
        <v>1745</v>
      </c>
      <c r="AG279" s="662" t="s">
        <v>1432</v>
      </c>
      <c r="AH279" s="662" t="s">
        <v>1734</v>
      </c>
      <c r="AI279" s="662">
        <v>100</v>
      </c>
      <c r="AJ279" s="662">
        <v>100</v>
      </c>
      <c r="AK279" s="662">
        <v>100</v>
      </c>
      <c r="AL279" s="658">
        <v>0.02</v>
      </c>
      <c r="AM279" s="658">
        <v>0.2</v>
      </c>
      <c r="AN279" s="659" t="s">
        <v>64</v>
      </c>
      <c r="AO279" s="253" t="s">
        <v>34</v>
      </c>
      <c r="AP279" s="944" t="s">
        <v>1746</v>
      </c>
      <c r="AQ279" s="663" t="s">
        <v>668</v>
      </c>
      <c r="AR279" s="658">
        <v>6.6666666666666697E-3</v>
      </c>
      <c r="AS279" s="658">
        <v>6.6666666666666697E-3</v>
      </c>
      <c r="AT279" s="658" t="s">
        <v>1417</v>
      </c>
      <c r="AU279" s="658" t="s">
        <v>2751</v>
      </c>
      <c r="AX279"/>
      <c r="AY279"/>
      <c r="BA279"/>
      <c r="BB279"/>
      <c r="BC279"/>
      <c r="BD279"/>
      <c r="BE279"/>
      <c r="BF279"/>
      <c r="BG279"/>
      <c r="BH279"/>
      <c r="BI279"/>
      <c r="BJ279"/>
      <c r="BR279"/>
      <c r="BS279"/>
      <c r="BT279"/>
      <c r="BU279"/>
      <c r="BX279"/>
      <c r="BY279"/>
      <c r="CA279"/>
    </row>
    <row r="280" spans="2:79" ht="18.75">
      <c r="B280" s="252" t="s">
        <v>769</v>
      </c>
      <c r="C280" s="251">
        <v>18302338000163</v>
      </c>
      <c r="D280" s="252" t="s">
        <v>14</v>
      </c>
      <c r="E280" s="252" t="s">
        <v>607</v>
      </c>
      <c r="F280" s="252" t="s">
        <v>1417</v>
      </c>
      <c r="G280" s="253" t="s">
        <v>1417</v>
      </c>
      <c r="H280" s="253" t="s">
        <v>34</v>
      </c>
      <c r="I280" s="253" t="s">
        <v>34</v>
      </c>
      <c r="J280" s="253" t="s">
        <v>608</v>
      </c>
      <c r="K280" s="253" t="s">
        <v>48</v>
      </c>
      <c r="L280" s="655"/>
      <c r="M280" s="655" t="s">
        <v>1414</v>
      </c>
      <c r="N280" s="253" t="s">
        <v>2853</v>
      </c>
      <c r="O280" s="253" t="s">
        <v>1321</v>
      </c>
      <c r="P280" s="656">
        <v>43737</v>
      </c>
      <c r="Q280" s="657">
        <v>192.58375529</v>
      </c>
      <c r="R280" s="657">
        <v>179.6380236654656</v>
      </c>
      <c r="S280" s="253">
        <v>90</v>
      </c>
      <c r="T280" s="658">
        <v>-6.7620469182639198E-2</v>
      </c>
      <c r="U280" s="659">
        <v>-3.3812973486754303</v>
      </c>
      <c r="V280" s="658">
        <v>-0.10087919429809122</v>
      </c>
      <c r="W280" s="659">
        <v>-0.7823494318645684</v>
      </c>
      <c r="X280" s="658">
        <v>5.6965470415648589E-3</v>
      </c>
      <c r="Y280" s="659">
        <v>2.9502374839166796E-2</v>
      </c>
      <c r="Z280" s="658">
        <v>6.7590612121531946E-2</v>
      </c>
      <c r="AA280" s="659">
        <v>0.3051903373536381</v>
      </c>
      <c r="AB280" s="658">
        <v>0.22874772777592886</v>
      </c>
      <c r="AC280" s="660">
        <v>-1.0047011438295208</v>
      </c>
      <c r="AD280" s="682">
        <v>0</v>
      </c>
      <c r="AE280" s="944" t="s">
        <v>1994</v>
      </c>
      <c r="AF280" s="661" t="s">
        <v>1745</v>
      </c>
      <c r="AG280" s="662" t="s">
        <v>1432</v>
      </c>
      <c r="AH280" s="662" t="s">
        <v>1730</v>
      </c>
      <c r="AI280" s="662">
        <v>20000</v>
      </c>
      <c r="AJ280" s="662">
        <v>1000</v>
      </c>
      <c r="AK280" s="662">
        <v>10000</v>
      </c>
      <c r="AL280" s="658">
        <v>0.02</v>
      </c>
      <c r="AM280" s="658">
        <v>0.2</v>
      </c>
      <c r="AN280" s="659" t="s">
        <v>34</v>
      </c>
      <c r="AO280" s="253" t="s">
        <v>34</v>
      </c>
      <c r="AP280" s="944" t="s">
        <v>1731</v>
      </c>
      <c r="AQ280" s="663" t="s">
        <v>659</v>
      </c>
      <c r="AR280" s="658">
        <v>0</v>
      </c>
      <c r="AS280" s="658">
        <v>0</v>
      </c>
      <c r="AT280" s="658" t="s">
        <v>1417</v>
      </c>
      <c r="AU280" s="658" t="s">
        <v>2751</v>
      </c>
      <c r="AX280"/>
      <c r="AY280"/>
      <c r="BA280"/>
      <c r="BB280"/>
      <c r="BC280"/>
      <c r="BD280"/>
      <c r="BE280"/>
      <c r="BF280"/>
      <c r="BG280"/>
      <c r="BH280"/>
      <c r="BI280"/>
      <c r="BJ280"/>
      <c r="BR280"/>
      <c r="BS280"/>
      <c r="BT280"/>
      <c r="BU280"/>
      <c r="BX280"/>
      <c r="BY280"/>
      <c r="CA280"/>
    </row>
    <row r="281" spans="2:79" ht="18.75">
      <c r="B281" s="252" t="s">
        <v>4418</v>
      </c>
      <c r="C281" s="251">
        <v>31353579000108</v>
      </c>
      <c r="D281" s="252" t="s">
        <v>11</v>
      </c>
      <c r="E281" s="252" t="s">
        <v>620</v>
      </c>
      <c r="F281" s="252" t="s">
        <v>663</v>
      </c>
      <c r="G281" s="253" t="s">
        <v>738</v>
      </c>
      <c r="H281" s="253" t="s">
        <v>34</v>
      </c>
      <c r="I281" s="253" t="s">
        <v>34</v>
      </c>
      <c r="J281" s="253" t="s">
        <v>608</v>
      </c>
      <c r="K281" s="253" t="s">
        <v>48</v>
      </c>
      <c r="L281" s="655"/>
      <c r="M281" s="655" t="s">
        <v>34</v>
      </c>
      <c r="N281" s="253" t="s">
        <v>2855</v>
      </c>
      <c r="O281" s="253" t="s">
        <v>1321</v>
      </c>
      <c r="P281" s="656">
        <v>43412</v>
      </c>
      <c r="Q281" s="657">
        <v>0</v>
      </c>
      <c r="R281" s="657">
        <v>0</v>
      </c>
      <c r="S281" s="253">
        <v>2</v>
      </c>
      <c r="T281" s="658"/>
      <c r="U281" s="659"/>
      <c r="V281" s="658"/>
      <c r="W281" s="659"/>
      <c r="X281" s="658"/>
      <c r="Y281" s="659"/>
      <c r="Z281" s="658"/>
      <c r="AA281" s="659"/>
      <c r="AB281" s="658"/>
      <c r="AC281" s="660"/>
      <c r="AD281" s="682">
        <v>31120022000119</v>
      </c>
      <c r="AE281" s="944" t="s">
        <v>1754</v>
      </c>
      <c r="AF281" s="661" t="s">
        <v>1729</v>
      </c>
      <c r="AG281" s="662" t="s">
        <v>1433</v>
      </c>
      <c r="AH281" s="662" t="s">
        <v>2119</v>
      </c>
      <c r="AI281" s="662">
        <v>0</v>
      </c>
      <c r="AJ281" s="662">
        <v>0</v>
      </c>
      <c r="AK281" s="662">
        <v>0</v>
      </c>
      <c r="AL281" s="658">
        <v>0</v>
      </c>
      <c r="AM281" s="658">
        <v>0</v>
      </c>
      <c r="AN281" s="659" t="s">
        <v>64</v>
      </c>
      <c r="AO281" s="253" t="s">
        <v>34</v>
      </c>
      <c r="AP281" s="944" t="s">
        <v>1735</v>
      </c>
      <c r="AQ281" s="663" t="s">
        <v>2614</v>
      </c>
      <c r="AR281" s="658">
        <v>0</v>
      </c>
      <c r="AS281" s="658">
        <v>0</v>
      </c>
      <c r="AT281" s="658" t="s">
        <v>1417</v>
      </c>
      <c r="AU281" s="658" t="s">
        <v>2751</v>
      </c>
      <c r="AX281"/>
      <c r="AY281"/>
      <c r="BA281"/>
      <c r="BB281"/>
      <c r="BC281"/>
      <c r="BD281"/>
      <c r="BE281"/>
      <c r="BF281"/>
      <c r="BG281"/>
      <c r="BH281"/>
      <c r="BI281"/>
      <c r="BJ281"/>
      <c r="BR281"/>
      <c r="BS281"/>
      <c r="BT281"/>
      <c r="BU281"/>
      <c r="BX281"/>
      <c r="BY281"/>
      <c r="CA281"/>
    </row>
    <row r="282" spans="2:79" ht="18.75">
      <c r="B282" s="252" t="s">
        <v>1715</v>
      </c>
      <c r="C282" s="251">
        <v>45605070000101</v>
      </c>
      <c r="D282" s="252" t="s">
        <v>11</v>
      </c>
      <c r="E282" s="252" t="s">
        <v>620</v>
      </c>
      <c r="F282" s="252" t="s">
        <v>663</v>
      </c>
      <c r="G282" s="253" t="s">
        <v>738</v>
      </c>
      <c r="H282" s="253" t="s">
        <v>34</v>
      </c>
      <c r="I282" s="253" t="s">
        <v>1304</v>
      </c>
      <c r="J282" s="253" t="s">
        <v>608</v>
      </c>
      <c r="K282" s="253" t="s">
        <v>48</v>
      </c>
      <c r="L282" s="655"/>
      <c r="M282" s="655" t="s">
        <v>34</v>
      </c>
      <c r="N282" s="253" t="s">
        <v>2856</v>
      </c>
      <c r="O282" s="253" t="s">
        <v>1321</v>
      </c>
      <c r="P282" s="656">
        <v>44795</v>
      </c>
      <c r="Q282" s="657"/>
      <c r="R282" s="657"/>
      <c r="S282" s="253">
        <v>1</v>
      </c>
      <c r="T282" s="658"/>
      <c r="U282" s="659"/>
      <c r="V282" s="658"/>
      <c r="W282" s="659"/>
      <c r="X282" s="658"/>
      <c r="Y282" s="659"/>
      <c r="Z282" s="658"/>
      <c r="AA282" s="659"/>
      <c r="AB282" s="658"/>
      <c r="AC282" s="660"/>
      <c r="AD282" s="682">
        <v>34474989000197</v>
      </c>
      <c r="AE282" s="944" t="s">
        <v>1754</v>
      </c>
      <c r="AF282" s="661" t="s">
        <v>1729</v>
      </c>
      <c r="AG282" s="662" t="s">
        <v>1433</v>
      </c>
      <c r="AH282" s="662" t="s">
        <v>1734</v>
      </c>
      <c r="AI282" s="662">
        <v>1000</v>
      </c>
      <c r="AJ282" s="662">
        <v>1000</v>
      </c>
      <c r="AK282" s="662">
        <v>1000</v>
      </c>
      <c r="AL282" s="658">
        <v>4.0000000000000001E-3</v>
      </c>
      <c r="AM282" s="658">
        <v>0</v>
      </c>
      <c r="AN282" s="659" t="s">
        <v>64</v>
      </c>
      <c r="AO282" s="253" t="s">
        <v>34</v>
      </c>
      <c r="AP282" s="944" t="s">
        <v>1735</v>
      </c>
      <c r="AQ282" s="663" t="s">
        <v>662</v>
      </c>
      <c r="AR282" s="658">
        <v>8.0000000000000004E-4</v>
      </c>
      <c r="AS282" s="658">
        <v>8.0000000000000004E-4</v>
      </c>
      <c r="AT282" s="658" t="s">
        <v>1417</v>
      </c>
      <c r="AU282" s="658" t="s">
        <v>2751</v>
      </c>
      <c r="AX282"/>
      <c r="AY282"/>
      <c r="BA282"/>
      <c r="BB282"/>
      <c r="BC282"/>
      <c r="BD282"/>
      <c r="BE282"/>
      <c r="BF282"/>
      <c r="BG282"/>
      <c r="BH282"/>
      <c r="BI282"/>
      <c r="BJ282"/>
      <c r="BR282"/>
      <c r="BS282"/>
      <c r="BT282"/>
      <c r="BU282"/>
      <c r="BX282"/>
      <c r="BY282"/>
      <c r="CA282"/>
    </row>
    <row r="283" spans="2:79" ht="18.75">
      <c r="B283" s="252" t="s">
        <v>92</v>
      </c>
      <c r="C283" s="251">
        <v>6041290000106</v>
      </c>
      <c r="D283" s="252" t="s">
        <v>13</v>
      </c>
      <c r="E283" s="252" t="s">
        <v>615</v>
      </c>
      <c r="F283" s="252" t="s">
        <v>619</v>
      </c>
      <c r="G283" s="253" t="s">
        <v>34</v>
      </c>
      <c r="H283" s="253" t="s">
        <v>1338</v>
      </c>
      <c r="I283" s="253" t="s">
        <v>34</v>
      </c>
      <c r="J283" s="253" t="s">
        <v>611</v>
      </c>
      <c r="K283" s="253" t="s">
        <v>48</v>
      </c>
      <c r="L283" s="655"/>
      <c r="M283" s="655" t="s">
        <v>34</v>
      </c>
      <c r="N283" s="253" t="s">
        <v>2860</v>
      </c>
      <c r="O283" s="253" t="s">
        <v>1321</v>
      </c>
      <c r="P283" s="656">
        <v>37980</v>
      </c>
      <c r="Q283" s="657">
        <v>157.54644099999999</v>
      </c>
      <c r="R283" s="657">
        <v>348.34454487550238</v>
      </c>
      <c r="S283" s="253">
        <v>5</v>
      </c>
      <c r="T283" s="658">
        <v>-5.1696337132956516E-2</v>
      </c>
      <c r="U283" s="659">
        <v>-2.5850262471821948</v>
      </c>
      <c r="V283" s="658">
        <v>-0.13771748115730631</v>
      </c>
      <c r="W283" s="659">
        <v>-1.0680417690774187</v>
      </c>
      <c r="X283" s="658">
        <v>-6.275929872938657E-2</v>
      </c>
      <c r="Y283" s="659">
        <v>-0.32502994221723852</v>
      </c>
      <c r="Z283" s="658">
        <v>0.10837066479588509</v>
      </c>
      <c r="AA283" s="659">
        <v>0.48932357187157527</v>
      </c>
      <c r="AB283" s="658">
        <v>0.14943634775031803</v>
      </c>
      <c r="AC283" s="660">
        <v>-1.7844479915263933</v>
      </c>
      <c r="AD283" s="682">
        <v>22118342000143</v>
      </c>
      <c r="AE283" s="944" t="s">
        <v>1754</v>
      </c>
      <c r="AF283" s="661" t="s">
        <v>1729</v>
      </c>
      <c r="AG283" s="662" t="s">
        <v>1433</v>
      </c>
      <c r="AH283" s="662" t="s">
        <v>1734</v>
      </c>
      <c r="AI283" s="662">
        <v>1000</v>
      </c>
      <c r="AJ283" s="662">
        <v>1000</v>
      </c>
      <c r="AK283" s="662">
        <v>1000</v>
      </c>
      <c r="AL283" s="658">
        <v>0.02</v>
      </c>
      <c r="AM283" s="658">
        <v>0.2</v>
      </c>
      <c r="AN283" s="659" t="s">
        <v>64</v>
      </c>
      <c r="AO283" s="253" t="s">
        <v>34</v>
      </c>
      <c r="AP283" s="944" t="s">
        <v>1746</v>
      </c>
      <c r="AQ283" s="663" t="s">
        <v>668</v>
      </c>
      <c r="AR283" s="658">
        <v>5.0000000000000001E-3</v>
      </c>
      <c r="AS283" s="658">
        <v>5.0000000000000001E-3</v>
      </c>
      <c r="AT283" s="658" t="s">
        <v>1417</v>
      </c>
      <c r="AU283" s="658" t="s">
        <v>2751</v>
      </c>
      <c r="AX283"/>
      <c r="AY283"/>
      <c r="BA283"/>
      <c r="BB283"/>
      <c r="BC283"/>
      <c r="BD283"/>
      <c r="BE283"/>
      <c r="BF283"/>
      <c r="BG283"/>
      <c r="BH283"/>
      <c r="BI283"/>
      <c r="BJ283"/>
      <c r="BR283"/>
      <c r="BS283"/>
      <c r="BT283"/>
      <c r="BU283"/>
      <c r="BX283"/>
      <c r="BY283"/>
      <c r="CA283"/>
    </row>
    <row r="284" spans="2:79" ht="18.75">
      <c r="B284" s="252" t="s">
        <v>1495</v>
      </c>
      <c r="C284" s="251">
        <v>4515848000104</v>
      </c>
      <c r="D284" s="252" t="s">
        <v>14</v>
      </c>
      <c r="E284" s="252" t="s">
        <v>607</v>
      </c>
      <c r="F284" s="252" t="s">
        <v>1417</v>
      </c>
      <c r="G284" s="253" t="s">
        <v>1417</v>
      </c>
      <c r="H284" s="253" t="s">
        <v>34</v>
      </c>
      <c r="I284" s="253" t="s">
        <v>34</v>
      </c>
      <c r="J284" s="253" t="s">
        <v>608</v>
      </c>
      <c r="K284" s="253" t="s">
        <v>48</v>
      </c>
      <c r="L284" s="655"/>
      <c r="M284" s="655" t="s">
        <v>34</v>
      </c>
      <c r="N284" s="253" t="s">
        <v>2861</v>
      </c>
      <c r="O284" s="253" t="s">
        <v>1321</v>
      </c>
      <c r="P284" s="656">
        <v>37092</v>
      </c>
      <c r="Q284" s="657">
        <v>0</v>
      </c>
      <c r="R284" s="657">
        <v>11.376115250000003</v>
      </c>
      <c r="S284" s="253">
        <v>3</v>
      </c>
      <c r="T284" s="658"/>
      <c r="U284" s="659"/>
      <c r="V284" s="658">
        <v>-0.11754443881613352</v>
      </c>
      <c r="W284" s="659">
        <v>-0.91159357057217905</v>
      </c>
      <c r="X284" s="658">
        <v>-0.16416932597886991</v>
      </c>
      <c r="Y284" s="659">
        <v>-0.85023172051107843</v>
      </c>
      <c r="Z284" s="658">
        <v>-0.10714803339247203</v>
      </c>
      <c r="AA284" s="659">
        <v>-0.48380305239771898</v>
      </c>
      <c r="AB284" s="658">
        <v>0.20901162816030411</v>
      </c>
      <c r="AC284" s="660">
        <v>-1.1793044742653003</v>
      </c>
      <c r="AD284" s="682">
        <v>0</v>
      </c>
      <c r="AE284" s="944" t="s">
        <v>1754</v>
      </c>
      <c r="AF284" s="661" t="s">
        <v>1729</v>
      </c>
      <c r="AG284" s="662" t="s">
        <v>1433</v>
      </c>
      <c r="AH284" s="662" t="s">
        <v>1734</v>
      </c>
      <c r="AI284" s="662">
        <v>500</v>
      </c>
      <c r="AJ284" s="662">
        <v>100</v>
      </c>
      <c r="AK284" s="662">
        <v>100</v>
      </c>
      <c r="AL284" s="658">
        <v>0.04</v>
      </c>
      <c r="AM284" s="658">
        <v>0.2</v>
      </c>
      <c r="AN284" s="659" t="s">
        <v>2127</v>
      </c>
      <c r="AO284" s="253" t="s">
        <v>34</v>
      </c>
      <c r="AP284" s="944" t="s">
        <v>1731</v>
      </c>
      <c r="AQ284" s="663" t="s">
        <v>670</v>
      </c>
      <c r="AR284" s="658">
        <v>3.5000000000000001E-3</v>
      </c>
      <c r="AS284" s="658">
        <v>3.5000000000000001E-3</v>
      </c>
      <c r="AT284" s="658" t="s">
        <v>1417</v>
      </c>
      <c r="AU284" s="658" t="s">
        <v>2751</v>
      </c>
      <c r="AX284"/>
      <c r="AY284"/>
      <c r="BA284"/>
      <c r="BB284"/>
      <c r="BC284"/>
      <c r="BD284"/>
      <c r="BE284"/>
      <c r="BF284"/>
      <c r="BG284"/>
      <c r="BH284"/>
      <c r="BI284"/>
      <c r="BJ284"/>
      <c r="BR284"/>
      <c r="BS284"/>
      <c r="BT284"/>
      <c r="BU284"/>
      <c r="BX284"/>
      <c r="BY284"/>
      <c r="CA284"/>
    </row>
    <row r="285" spans="2:79" ht="18.75">
      <c r="B285" s="252" t="s">
        <v>4419</v>
      </c>
      <c r="C285" s="251">
        <v>37355672000120</v>
      </c>
      <c r="D285" s="252" t="s">
        <v>14</v>
      </c>
      <c r="E285" s="252" t="s">
        <v>607</v>
      </c>
      <c r="F285" s="252" t="s">
        <v>1417</v>
      </c>
      <c r="G285" s="253" t="s">
        <v>1417</v>
      </c>
      <c r="H285" s="253" t="s">
        <v>1417</v>
      </c>
      <c r="I285" s="253" t="s">
        <v>1417</v>
      </c>
      <c r="J285" s="253" t="s">
        <v>608</v>
      </c>
      <c r="K285" s="253" t="s">
        <v>48</v>
      </c>
      <c r="L285" s="655"/>
      <c r="M285" s="655" t="s">
        <v>34</v>
      </c>
      <c r="N285" s="253" t="s">
        <v>4420</v>
      </c>
      <c r="O285" s="253" t="s">
        <v>1321</v>
      </c>
      <c r="P285" s="656">
        <v>44123</v>
      </c>
      <c r="Q285" s="657">
        <v>9.9051240200000006</v>
      </c>
      <c r="R285" s="657">
        <v>10.073077422500001</v>
      </c>
      <c r="S285" s="253">
        <v>8</v>
      </c>
      <c r="T285" s="658">
        <v>-2.2752788780443067E-2</v>
      </c>
      <c r="U285" s="659">
        <v>-1.1377315967815875</v>
      </c>
      <c r="V285" s="658">
        <v>-2.2752788780443067E-2</v>
      </c>
      <c r="W285" s="659">
        <v>-0.1764549320558062</v>
      </c>
      <c r="X285" s="658">
        <v>-2.2752788780443067E-2</v>
      </c>
      <c r="Y285" s="659">
        <v>-0.11783652418546914</v>
      </c>
      <c r="Z285" s="658"/>
      <c r="AA285" s="659"/>
      <c r="AB285" s="658">
        <v>0.10075331841238981</v>
      </c>
      <c r="AC285" s="660">
        <v>-1.5056248331824376</v>
      </c>
      <c r="AD285" s="682">
        <v>34461733000145</v>
      </c>
      <c r="AE285" s="944" t="s">
        <v>1754</v>
      </c>
      <c r="AF285" s="661" t="s">
        <v>1729</v>
      </c>
      <c r="AG285" s="662" t="s">
        <v>1433</v>
      </c>
      <c r="AH285" s="662" t="s">
        <v>2119</v>
      </c>
      <c r="AI285" s="662">
        <v>5000</v>
      </c>
      <c r="AJ285" s="662">
        <v>100</v>
      </c>
      <c r="AK285" s="662">
        <v>100</v>
      </c>
      <c r="AL285" s="658">
        <v>0.02</v>
      </c>
      <c r="AM285" s="658">
        <v>0.2</v>
      </c>
      <c r="AN285" s="659" t="s">
        <v>34</v>
      </c>
      <c r="AO285" s="253" t="s">
        <v>4397</v>
      </c>
      <c r="AP285" s="944" t="s">
        <v>1731</v>
      </c>
      <c r="AQ285" s="663" t="s">
        <v>2120</v>
      </c>
      <c r="AR285" s="658">
        <v>0</v>
      </c>
      <c r="AS285" s="658">
        <v>0</v>
      </c>
      <c r="AT285" s="658" t="s">
        <v>1417</v>
      </c>
      <c r="AU285" s="658" t="s">
        <v>2751</v>
      </c>
      <c r="AX285"/>
      <c r="AY285"/>
      <c r="BA285"/>
      <c r="BB285"/>
      <c r="BC285"/>
      <c r="BD285"/>
      <c r="BE285"/>
      <c r="BF285"/>
      <c r="BG285"/>
      <c r="BH285"/>
      <c r="BI285"/>
      <c r="BJ285"/>
      <c r="BR285"/>
      <c r="BS285"/>
      <c r="BT285"/>
      <c r="BU285"/>
      <c r="BX285"/>
      <c r="BY285"/>
      <c r="CA285"/>
    </row>
    <row r="286" spans="2:79" ht="18.75">
      <c r="B286" s="252" t="s">
        <v>4421</v>
      </c>
      <c r="C286" s="251">
        <v>3879361000148</v>
      </c>
      <c r="D286" s="252" t="s">
        <v>13</v>
      </c>
      <c r="E286" s="252" t="s">
        <v>615</v>
      </c>
      <c r="F286" s="252" t="s">
        <v>619</v>
      </c>
      <c r="G286" s="253" t="s">
        <v>34</v>
      </c>
      <c r="H286" s="253" t="s">
        <v>1338</v>
      </c>
      <c r="I286" s="253" t="s">
        <v>34</v>
      </c>
      <c r="J286" s="253" t="s">
        <v>608</v>
      </c>
      <c r="K286" s="253" t="s">
        <v>48</v>
      </c>
      <c r="L286" s="655"/>
      <c r="M286" s="655" t="s">
        <v>34</v>
      </c>
      <c r="N286" s="253" t="s">
        <v>4422</v>
      </c>
      <c r="O286" s="253" t="s">
        <v>1321</v>
      </c>
      <c r="P286" s="656">
        <v>36790</v>
      </c>
      <c r="Q286" s="657">
        <v>131.56978100000001</v>
      </c>
      <c r="R286" s="657">
        <v>133.37958775000001</v>
      </c>
      <c r="S286" s="253">
        <v>2</v>
      </c>
      <c r="T286" s="658">
        <v>-1.2676634158008793E-2</v>
      </c>
      <c r="U286" s="659">
        <v>-0.63388305326352634</v>
      </c>
      <c r="V286" s="658">
        <v>-1.2676634158008793E-2</v>
      </c>
      <c r="W286" s="659">
        <v>-9.8311228598510075E-2</v>
      </c>
      <c r="X286" s="658">
        <v>-1.2676634158008793E-2</v>
      </c>
      <c r="Y286" s="659">
        <v>-6.5652194197596686E-2</v>
      </c>
      <c r="Z286" s="658">
        <v>-1.2676634158008793E-2</v>
      </c>
      <c r="AA286" s="659">
        <v>-5.7238514843378656E-2</v>
      </c>
      <c r="AB286" s="658">
        <v>7.483068704789167E-2</v>
      </c>
      <c r="AC286" s="660">
        <v>-1.8925463495231567</v>
      </c>
      <c r="AD286" s="682">
        <v>0</v>
      </c>
      <c r="AE286" s="944" t="s">
        <v>1754</v>
      </c>
      <c r="AF286" s="661" t="s">
        <v>1729</v>
      </c>
      <c r="AG286" s="662" t="s">
        <v>1433</v>
      </c>
      <c r="AH286" s="662" t="s">
        <v>2119</v>
      </c>
      <c r="AI286" s="662">
        <v>0</v>
      </c>
      <c r="AJ286" s="662">
        <v>0</v>
      </c>
      <c r="AK286" s="662">
        <v>0</v>
      </c>
      <c r="AL286" s="658">
        <v>1.9E-2</v>
      </c>
      <c r="AM286" s="658">
        <v>0</v>
      </c>
      <c r="AN286" s="659" t="s">
        <v>34</v>
      </c>
      <c r="AO286" s="253" t="s">
        <v>4397</v>
      </c>
      <c r="AP286" s="944" t="s">
        <v>1746</v>
      </c>
      <c r="AQ286" s="663" t="s">
        <v>2177</v>
      </c>
      <c r="AR286" s="658">
        <v>0</v>
      </c>
      <c r="AS286" s="658">
        <v>0</v>
      </c>
      <c r="AT286" s="658" t="s">
        <v>1417</v>
      </c>
      <c r="AU286" s="658" t="s">
        <v>2751</v>
      </c>
      <c r="AX286"/>
      <c r="AY286"/>
      <c r="BA286"/>
      <c r="BB286"/>
      <c r="BC286"/>
      <c r="BD286"/>
      <c r="BE286"/>
      <c r="BF286"/>
      <c r="BG286"/>
      <c r="BH286"/>
      <c r="BI286"/>
      <c r="BJ286"/>
      <c r="BR286"/>
      <c r="BS286"/>
      <c r="BT286"/>
      <c r="BU286"/>
      <c r="BX286"/>
      <c r="BY286"/>
      <c r="CA286"/>
    </row>
    <row r="287" spans="2:79" ht="18.75">
      <c r="B287" s="252" t="s">
        <v>2657</v>
      </c>
      <c r="C287" s="251">
        <v>33165244000183</v>
      </c>
      <c r="D287" s="252" t="s">
        <v>11</v>
      </c>
      <c r="E287" s="252" t="s">
        <v>621</v>
      </c>
      <c r="F287" s="252" t="s">
        <v>663</v>
      </c>
      <c r="G287" s="253" t="s">
        <v>738</v>
      </c>
      <c r="H287" s="253" t="s">
        <v>34</v>
      </c>
      <c r="I287" s="253" t="s">
        <v>34</v>
      </c>
      <c r="J287" s="253" t="s">
        <v>608</v>
      </c>
      <c r="K287" s="253" t="s">
        <v>48</v>
      </c>
      <c r="L287" s="655"/>
      <c r="M287" s="655" t="s">
        <v>34</v>
      </c>
      <c r="N287" s="253" t="s">
        <v>2863</v>
      </c>
      <c r="O287" s="253" t="s">
        <v>1321</v>
      </c>
      <c r="P287" s="656">
        <v>43766</v>
      </c>
      <c r="Q287" s="657"/>
      <c r="R287" s="657"/>
      <c r="S287" s="253">
        <v>7</v>
      </c>
      <c r="T287" s="658"/>
      <c r="U287" s="659"/>
      <c r="V287" s="658"/>
      <c r="W287" s="659"/>
      <c r="X287" s="658"/>
      <c r="Y287" s="659"/>
      <c r="Z287" s="658"/>
      <c r="AA287" s="659"/>
      <c r="AB287" s="658"/>
      <c r="AC287" s="660"/>
      <c r="AD287" s="682">
        <v>32770526000147</v>
      </c>
      <c r="AE287" s="944" t="s">
        <v>1754</v>
      </c>
      <c r="AF287" s="661" t="s">
        <v>1745</v>
      </c>
      <c r="AG287" s="662" t="s">
        <v>1432</v>
      </c>
      <c r="AH287" s="662" t="s">
        <v>2119</v>
      </c>
      <c r="AI287" s="662">
        <v>0</v>
      </c>
      <c r="AJ287" s="662">
        <v>0</v>
      </c>
      <c r="AK287" s="662">
        <v>0</v>
      </c>
      <c r="AL287" s="658">
        <v>1.0999999999999999E-2</v>
      </c>
      <c r="AM287" s="658">
        <v>0</v>
      </c>
      <c r="AN287" s="659" t="s">
        <v>34</v>
      </c>
      <c r="AO287" s="253" t="s">
        <v>4400</v>
      </c>
      <c r="AP287" s="944" t="s">
        <v>1746</v>
      </c>
      <c r="AQ287" s="663" t="s">
        <v>2177</v>
      </c>
      <c r="AR287" s="658">
        <v>3.5200000000000001E-3</v>
      </c>
      <c r="AS287" s="658">
        <v>3.5200000000000001E-3</v>
      </c>
      <c r="AT287" s="658" t="s">
        <v>1417</v>
      </c>
      <c r="AU287" s="658" t="s">
        <v>2751</v>
      </c>
      <c r="AX287"/>
      <c r="AY287"/>
      <c r="BA287"/>
      <c r="BB287"/>
      <c r="BC287"/>
      <c r="BD287"/>
      <c r="BE287"/>
      <c r="BF287"/>
      <c r="BG287"/>
      <c r="BH287"/>
      <c r="BI287"/>
      <c r="BJ287"/>
      <c r="BR287"/>
      <c r="BS287"/>
      <c r="BT287"/>
      <c r="BU287"/>
      <c r="BX287"/>
      <c r="BY287"/>
      <c r="CA287"/>
    </row>
    <row r="288" spans="2:79" ht="18.75">
      <c r="B288" s="252" t="s">
        <v>94</v>
      </c>
      <c r="C288" s="251">
        <v>10237480000162</v>
      </c>
      <c r="D288" s="252" t="s">
        <v>14</v>
      </c>
      <c r="E288" s="252" t="s">
        <v>607</v>
      </c>
      <c r="F288" s="252" t="s">
        <v>1417</v>
      </c>
      <c r="G288" s="253" t="s">
        <v>1417</v>
      </c>
      <c r="H288" s="253" t="s">
        <v>34</v>
      </c>
      <c r="I288" s="253" t="s">
        <v>34</v>
      </c>
      <c r="J288" s="253" t="s">
        <v>608</v>
      </c>
      <c r="K288" s="253" t="s">
        <v>48</v>
      </c>
      <c r="L288" s="655"/>
      <c r="M288" s="655" t="s">
        <v>34</v>
      </c>
      <c r="N288" s="253" t="s">
        <v>2864</v>
      </c>
      <c r="O288" s="253" t="s">
        <v>1321</v>
      </c>
      <c r="P288" s="656">
        <v>39698</v>
      </c>
      <c r="Q288" s="657">
        <v>22.281262000000002</v>
      </c>
      <c r="R288" s="657">
        <v>29.234853895582308</v>
      </c>
      <c r="S288" s="253">
        <v>32</v>
      </c>
      <c r="T288" s="658">
        <v>-6.3130817010461082E-2</v>
      </c>
      <c r="U288" s="659">
        <v>-3.1567965552062502</v>
      </c>
      <c r="V288" s="658">
        <v>-0.15040612145889742</v>
      </c>
      <c r="W288" s="659">
        <v>-1.1664461090422107</v>
      </c>
      <c r="X288" s="658">
        <v>-0.26682703687084963</v>
      </c>
      <c r="Y288" s="659">
        <v>-1.3818952431270566</v>
      </c>
      <c r="Z288" s="658">
        <v>-0.19931551965616245</v>
      </c>
      <c r="AA288" s="659">
        <v>-0.89996478467017627</v>
      </c>
      <c r="AB288" s="658">
        <v>0.21896977117427882</v>
      </c>
      <c r="AC288" s="660">
        <v>-1.2757470102270423</v>
      </c>
      <c r="AD288" s="682">
        <v>26703040000193</v>
      </c>
      <c r="AE288" s="944" t="s">
        <v>1754</v>
      </c>
      <c r="AF288" s="661" t="s">
        <v>1729</v>
      </c>
      <c r="AG288" s="662" t="s">
        <v>1433</v>
      </c>
      <c r="AH288" s="662" t="s">
        <v>1734</v>
      </c>
      <c r="AI288" s="662">
        <v>1000</v>
      </c>
      <c r="AJ288" s="662">
        <v>1000</v>
      </c>
      <c r="AK288" s="662">
        <v>1000</v>
      </c>
      <c r="AL288" s="658">
        <v>0.02</v>
      </c>
      <c r="AM288" s="658">
        <v>0.2</v>
      </c>
      <c r="AN288" s="659" t="s">
        <v>666</v>
      </c>
      <c r="AO288" s="253" t="s">
        <v>34</v>
      </c>
      <c r="AP288" s="944" t="s">
        <v>1731</v>
      </c>
      <c r="AQ288" s="663" t="s">
        <v>659</v>
      </c>
      <c r="AR288" s="658">
        <v>4.6666666666666697E-3</v>
      </c>
      <c r="AS288" s="658">
        <v>4.6666666666666697E-3</v>
      </c>
      <c r="AT288" s="658" t="s">
        <v>1417</v>
      </c>
      <c r="AU288" s="658" t="s">
        <v>2751</v>
      </c>
      <c r="AX288"/>
      <c r="AY288"/>
      <c r="BA288"/>
      <c r="BB288"/>
      <c r="BC288"/>
      <c r="BD288"/>
      <c r="BE288"/>
      <c r="BF288"/>
      <c r="BG288"/>
      <c r="BH288"/>
      <c r="BI288"/>
      <c r="BJ288"/>
      <c r="BR288"/>
      <c r="BS288"/>
      <c r="BT288"/>
      <c r="BU288"/>
      <c r="BX288"/>
      <c r="BY288"/>
      <c r="CA288"/>
    </row>
    <row r="289" spans="2:79" ht="18.75">
      <c r="B289" s="252" t="s">
        <v>532</v>
      </c>
      <c r="C289" s="251">
        <v>41888275000190</v>
      </c>
      <c r="D289" s="252" t="s">
        <v>13</v>
      </c>
      <c r="E289" s="252" t="s">
        <v>615</v>
      </c>
      <c r="F289" s="252" t="s">
        <v>619</v>
      </c>
      <c r="G289" s="253" t="s">
        <v>34</v>
      </c>
      <c r="H289" s="253" t="s">
        <v>1338</v>
      </c>
      <c r="I289" s="253" t="s">
        <v>34</v>
      </c>
      <c r="J289" s="253" t="s">
        <v>611</v>
      </c>
      <c r="K289" s="253" t="s">
        <v>48</v>
      </c>
      <c r="L289" s="655"/>
      <c r="M289" s="655" t="s">
        <v>34</v>
      </c>
      <c r="N289" s="253" t="s">
        <v>2865</v>
      </c>
      <c r="O289" s="253" t="s">
        <v>1321</v>
      </c>
      <c r="P289" s="656">
        <v>44408</v>
      </c>
      <c r="Q289" s="657">
        <v>3.7521737000000002</v>
      </c>
      <c r="R289" s="657">
        <v>21.486206536709933</v>
      </c>
      <c r="S289" s="253">
        <v>16</v>
      </c>
      <c r="T289" s="658">
        <v>-1.2915110128944973E-2</v>
      </c>
      <c r="U289" s="659">
        <v>-0.64580781773198015</v>
      </c>
      <c r="V289" s="658">
        <v>-6.4402080704394238E-2</v>
      </c>
      <c r="W289" s="659">
        <v>-0.4994581053164921</v>
      </c>
      <c r="X289" s="658"/>
      <c r="Y289" s="659"/>
      <c r="Z289" s="658"/>
      <c r="AA289" s="659"/>
      <c r="AB289" s="658">
        <v>0.12042286941586819</v>
      </c>
      <c r="AC289" s="660">
        <v>-1.6055587372152857</v>
      </c>
      <c r="AD289" s="682">
        <v>19736757000176</v>
      </c>
      <c r="AE289" s="944" t="s">
        <v>1754</v>
      </c>
      <c r="AF289" s="661" t="s">
        <v>1729</v>
      </c>
      <c r="AG289" s="662" t="s">
        <v>1433</v>
      </c>
      <c r="AH289" s="662" t="s">
        <v>1734</v>
      </c>
      <c r="AI289" s="662">
        <v>1000</v>
      </c>
      <c r="AJ289" s="662">
        <v>1000</v>
      </c>
      <c r="AK289" s="662">
        <v>1000</v>
      </c>
      <c r="AL289" s="658">
        <v>2.5000000000000001E-2</v>
      </c>
      <c r="AM289" s="658">
        <v>0.2</v>
      </c>
      <c r="AN289" s="659" t="s">
        <v>64</v>
      </c>
      <c r="AO289" s="253" t="s">
        <v>34</v>
      </c>
      <c r="AP289" s="944" t="s">
        <v>1746</v>
      </c>
      <c r="AQ289" s="663" t="s">
        <v>664</v>
      </c>
      <c r="AR289" s="658">
        <v>4.0000000000000001E-3</v>
      </c>
      <c r="AS289" s="658">
        <v>4.0000000000000001E-3</v>
      </c>
      <c r="AT289" s="658" t="s">
        <v>1417</v>
      </c>
      <c r="AU289" s="658" t="s">
        <v>2751</v>
      </c>
      <c r="AX289"/>
      <c r="AY289"/>
      <c r="BA289"/>
      <c r="BB289"/>
      <c r="BC289"/>
      <c r="BD289"/>
      <c r="BE289"/>
      <c r="BF289"/>
      <c r="BG289"/>
      <c r="BH289"/>
      <c r="BI289"/>
      <c r="BJ289"/>
      <c r="BR289"/>
      <c r="BS289"/>
      <c r="BT289"/>
      <c r="BU289"/>
      <c r="BX289"/>
      <c r="BY289"/>
      <c r="CA289"/>
    </row>
    <row r="290" spans="2:79" ht="18.75">
      <c r="B290" s="252" t="s">
        <v>776</v>
      </c>
      <c r="C290" s="251">
        <v>20458815000126</v>
      </c>
      <c r="D290" s="252" t="s">
        <v>13</v>
      </c>
      <c r="E290" s="252" t="s">
        <v>616</v>
      </c>
      <c r="F290" s="252" t="s">
        <v>617</v>
      </c>
      <c r="G290" s="253" t="s">
        <v>34</v>
      </c>
      <c r="H290" s="253" t="s">
        <v>1338</v>
      </c>
      <c r="I290" s="253" t="s">
        <v>34</v>
      </c>
      <c r="J290" s="253" t="s">
        <v>608</v>
      </c>
      <c r="K290" s="253" t="s">
        <v>48</v>
      </c>
      <c r="L290" s="655"/>
      <c r="M290" s="655" t="s">
        <v>34</v>
      </c>
      <c r="N290" s="253" t="s">
        <v>2868</v>
      </c>
      <c r="O290" s="253" t="s">
        <v>1321</v>
      </c>
      <c r="P290" s="656">
        <v>41872</v>
      </c>
      <c r="Q290" s="657">
        <v>2238.2243250000001</v>
      </c>
      <c r="R290" s="657">
        <v>1075.1716959357425</v>
      </c>
      <c r="S290" s="253">
        <v>31</v>
      </c>
      <c r="T290" s="658">
        <v>-6.4855503461234143E-3</v>
      </c>
      <c r="U290" s="659">
        <v>-0.32430378634045759</v>
      </c>
      <c r="V290" s="658">
        <v>0.26823576198112131</v>
      </c>
      <c r="W290" s="659">
        <v>2.0802515072789456</v>
      </c>
      <c r="X290" s="658">
        <v>0.48722279688948134</v>
      </c>
      <c r="Y290" s="659">
        <v>2.5233232481254229</v>
      </c>
      <c r="Z290" s="658">
        <v>0.67296291441590905</v>
      </c>
      <c r="AA290" s="659">
        <v>3.0386139795241105</v>
      </c>
      <c r="AB290" s="658">
        <v>7.4989202709356662E-2</v>
      </c>
      <c r="AC290" s="660">
        <v>1.8574921122204842</v>
      </c>
      <c r="AD290" s="682">
        <v>36327493000116</v>
      </c>
      <c r="AE290" s="944" t="s">
        <v>1898</v>
      </c>
      <c r="AF290" s="661" t="s">
        <v>1729</v>
      </c>
      <c r="AG290" s="662" t="s">
        <v>1433</v>
      </c>
      <c r="AH290" s="662" t="s">
        <v>1734</v>
      </c>
      <c r="AI290" s="662">
        <v>10000</v>
      </c>
      <c r="AJ290" s="662">
        <v>5000</v>
      </c>
      <c r="AK290" s="662">
        <v>5000</v>
      </c>
      <c r="AL290" s="658">
        <v>0.02</v>
      </c>
      <c r="AM290" s="658">
        <v>0.2</v>
      </c>
      <c r="AN290" s="659" t="s">
        <v>34</v>
      </c>
      <c r="AO290" s="253" t="s">
        <v>34</v>
      </c>
      <c r="AP290" s="944" t="s">
        <v>1746</v>
      </c>
      <c r="AQ290" s="663" t="s">
        <v>664</v>
      </c>
      <c r="AR290" s="658">
        <v>3.8E-3</v>
      </c>
      <c r="AS290" s="658">
        <v>3.8E-3</v>
      </c>
      <c r="AT290" s="658" t="s">
        <v>1417</v>
      </c>
      <c r="AU290" s="658" t="s">
        <v>2751</v>
      </c>
      <c r="AX290"/>
      <c r="AY290"/>
      <c r="BA290"/>
      <c r="BB290"/>
      <c r="BC290"/>
      <c r="BD290"/>
      <c r="BE290"/>
      <c r="BF290"/>
      <c r="BG290"/>
      <c r="BH290"/>
      <c r="BI290"/>
      <c r="BJ290"/>
      <c r="BR290"/>
      <c r="BS290"/>
      <c r="BT290"/>
      <c r="BU290"/>
      <c r="BX290"/>
      <c r="BY290"/>
      <c r="CA290"/>
    </row>
    <row r="291" spans="2:79" ht="18.75">
      <c r="B291" s="252" t="s">
        <v>565</v>
      </c>
      <c r="C291" s="251">
        <v>38597242000187</v>
      </c>
      <c r="D291" s="252" t="s">
        <v>14</v>
      </c>
      <c r="E291" s="252" t="s">
        <v>614</v>
      </c>
      <c r="F291" s="252" t="s">
        <v>1417</v>
      </c>
      <c r="G291" s="253" t="s">
        <v>1417</v>
      </c>
      <c r="H291" s="253" t="s">
        <v>1338</v>
      </c>
      <c r="I291" s="253" t="s">
        <v>34</v>
      </c>
      <c r="J291" s="253" t="s">
        <v>608</v>
      </c>
      <c r="K291" s="253" t="s">
        <v>48</v>
      </c>
      <c r="L291" s="655"/>
      <c r="M291" s="655" t="s">
        <v>34</v>
      </c>
      <c r="N291" s="253" t="s">
        <v>2869</v>
      </c>
      <c r="O291" s="253" t="s">
        <v>1321</v>
      </c>
      <c r="P291" s="656">
        <v>44238</v>
      </c>
      <c r="Q291" s="657">
        <v>27.070260260000001</v>
      </c>
      <c r="R291" s="657">
        <v>26.089477133849378</v>
      </c>
      <c r="S291" s="253">
        <v>32</v>
      </c>
      <c r="T291" s="658">
        <v>3.5788955415911428E-2</v>
      </c>
      <c r="U291" s="659">
        <v>1.7895927301662862</v>
      </c>
      <c r="V291" s="658">
        <v>-1.2876470330575818E-2</v>
      </c>
      <c r="W291" s="659">
        <v>-9.9861020080902599E-2</v>
      </c>
      <c r="X291" s="658">
        <v>-7.9583523700000436E-2</v>
      </c>
      <c r="Y291" s="659">
        <v>-0.4121624784431081</v>
      </c>
      <c r="Z291" s="658"/>
      <c r="AA291" s="659"/>
      <c r="AB291" s="658">
        <v>0.19099284240965328</v>
      </c>
      <c r="AC291" s="660">
        <v>-0.74254290364022668</v>
      </c>
      <c r="AD291" s="682">
        <v>38597428000136</v>
      </c>
      <c r="AE291" s="944" t="s">
        <v>1898</v>
      </c>
      <c r="AF291" s="661" t="s">
        <v>1729</v>
      </c>
      <c r="AG291" s="662" t="s">
        <v>1433</v>
      </c>
      <c r="AH291" s="662" t="s">
        <v>1730</v>
      </c>
      <c r="AI291" s="662">
        <v>10000</v>
      </c>
      <c r="AJ291" s="662">
        <v>0</v>
      </c>
      <c r="AK291" s="662">
        <v>5000</v>
      </c>
      <c r="AL291" s="658">
        <v>2.5000000000000001E-2</v>
      </c>
      <c r="AM291" s="658">
        <v>0.2</v>
      </c>
      <c r="AN291" s="659" t="s">
        <v>34</v>
      </c>
      <c r="AO291" s="253" t="s">
        <v>34</v>
      </c>
      <c r="AP291" s="944" t="s">
        <v>1746</v>
      </c>
      <c r="AQ291" s="663" t="s">
        <v>668</v>
      </c>
      <c r="AR291" s="658">
        <v>3.8E-3</v>
      </c>
      <c r="AS291" s="658">
        <v>3.8E-3</v>
      </c>
      <c r="AT291" s="658" t="s">
        <v>1417</v>
      </c>
      <c r="AU291" s="658" t="s">
        <v>2751</v>
      </c>
      <c r="AX291"/>
      <c r="AY291"/>
      <c r="BA291"/>
      <c r="BB291"/>
      <c r="BC291"/>
      <c r="BD291"/>
      <c r="BE291"/>
      <c r="BF291"/>
      <c r="BG291"/>
      <c r="BH291"/>
      <c r="BI291"/>
      <c r="BJ291"/>
      <c r="BR291"/>
      <c r="BS291"/>
      <c r="BT291"/>
      <c r="BU291"/>
      <c r="BX291"/>
      <c r="BY291"/>
      <c r="CA291"/>
    </row>
    <row r="292" spans="2:79" ht="18.75">
      <c r="B292" s="252" t="s">
        <v>524</v>
      </c>
      <c r="C292" s="251">
        <v>40677875000147</v>
      </c>
      <c r="D292" s="252" t="s">
        <v>13</v>
      </c>
      <c r="E292" s="252" t="s">
        <v>615</v>
      </c>
      <c r="F292" s="252" t="s">
        <v>619</v>
      </c>
      <c r="G292" s="253" t="s">
        <v>34</v>
      </c>
      <c r="H292" s="253" t="s">
        <v>865</v>
      </c>
      <c r="I292" s="253" t="s">
        <v>34</v>
      </c>
      <c r="J292" s="253" t="s">
        <v>611</v>
      </c>
      <c r="K292" s="253" t="s">
        <v>48</v>
      </c>
      <c r="L292" s="655"/>
      <c r="M292" s="655" t="s">
        <v>34</v>
      </c>
      <c r="N292" s="253" t="s">
        <v>2870</v>
      </c>
      <c r="O292" s="253" t="s">
        <v>1321</v>
      </c>
      <c r="P292" s="656">
        <v>44325</v>
      </c>
      <c r="Q292" s="657">
        <v>6.0619880000000001E-2</v>
      </c>
      <c r="R292" s="657">
        <v>13.616677890443546</v>
      </c>
      <c r="S292" s="253">
        <v>16</v>
      </c>
      <c r="T292" s="658">
        <v>0.21042498824497646</v>
      </c>
      <c r="U292" s="659">
        <v>10.522101716361199</v>
      </c>
      <c r="V292" s="658">
        <v>0.2636735577346625</v>
      </c>
      <c r="W292" s="659">
        <v>2.0448701987236815</v>
      </c>
      <c r="X292" s="658"/>
      <c r="Y292" s="659"/>
      <c r="Z292" s="658"/>
      <c r="AA292" s="659"/>
      <c r="AB292" s="658">
        <v>0.16429166722579158</v>
      </c>
      <c r="AC292" s="660">
        <v>0.82006379607013569</v>
      </c>
      <c r="AD292" s="682">
        <v>41075494000150</v>
      </c>
      <c r="AE292" s="944" t="s">
        <v>1898</v>
      </c>
      <c r="AF292" s="661" t="s">
        <v>1729</v>
      </c>
      <c r="AG292" s="662" t="s">
        <v>1433</v>
      </c>
      <c r="AH292" s="662" t="s">
        <v>1734</v>
      </c>
      <c r="AI292" s="662">
        <v>10000</v>
      </c>
      <c r="AJ292" s="662">
        <v>5000</v>
      </c>
      <c r="AK292" s="662">
        <v>5000</v>
      </c>
      <c r="AL292" s="658">
        <v>2.2000000000000002E-2</v>
      </c>
      <c r="AM292" s="658">
        <v>0.2</v>
      </c>
      <c r="AN292" s="659" t="s">
        <v>34</v>
      </c>
      <c r="AO292" s="253" t="s">
        <v>34</v>
      </c>
      <c r="AP292" s="944" t="s">
        <v>1746</v>
      </c>
      <c r="AQ292" s="663" t="s">
        <v>668</v>
      </c>
      <c r="AR292" s="658">
        <v>3.8E-3</v>
      </c>
      <c r="AS292" s="658">
        <v>3.8E-3</v>
      </c>
      <c r="AT292" s="658" t="s">
        <v>1417</v>
      </c>
      <c r="AU292" s="658" t="s">
        <v>2751</v>
      </c>
      <c r="AX292"/>
      <c r="AY292"/>
      <c r="BA292"/>
      <c r="BB292"/>
      <c r="BC292"/>
      <c r="BD292"/>
      <c r="BE292"/>
      <c r="BF292"/>
      <c r="BG292"/>
      <c r="BH292"/>
      <c r="BI292"/>
      <c r="BJ292"/>
      <c r="BR292"/>
      <c r="BS292"/>
      <c r="BT292"/>
      <c r="BU292"/>
      <c r="BX292"/>
      <c r="BY292"/>
      <c r="CA292"/>
    </row>
    <row r="293" spans="2:79" ht="18.75">
      <c r="B293" s="252" t="s">
        <v>777</v>
      </c>
      <c r="C293" s="251">
        <v>43917039000180</v>
      </c>
      <c r="D293" s="252" t="s">
        <v>14</v>
      </c>
      <c r="E293" s="252" t="s">
        <v>607</v>
      </c>
      <c r="F293" s="252" t="s">
        <v>1417</v>
      </c>
      <c r="G293" s="253" t="s">
        <v>1417</v>
      </c>
      <c r="H293" s="253" t="s">
        <v>34</v>
      </c>
      <c r="I293" s="253" t="s">
        <v>34</v>
      </c>
      <c r="J293" s="253" t="s">
        <v>608</v>
      </c>
      <c r="K293" s="253" t="s">
        <v>48</v>
      </c>
      <c r="L293" s="655"/>
      <c r="M293" s="655" t="s">
        <v>34</v>
      </c>
      <c r="N293" s="253" t="s">
        <v>2871</v>
      </c>
      <c r="O293" s="253" t="s">
        <v>1321</v>
      </c>
      <c r="P293" s="656">
        <v>44493</v>
      </c>
      <c r="Q293" s="657">
        <v>94.053177009999999</v>
      </c>
      <c r="R293" s="657">
        <v>92.917382210177806</v>
      </c>
      <c r="S293" s="253">
        <v>32</v>
      </c>
      <c r="T293" s="658">
        <v>-2.3510283157567979E-2</v>
      </c>
      <c r="U293" s="659">
        <v>-1.1756093837885224</v>
      </c>
      <c r="V293" s="658">
        <v>-0.12970758295217</v>
      </c>
      <c r="W293" s="659">
        <v>-1.0059225248300447</v>
      </c>
      <c r="X293" s="658"/>
      <c r="Y293" s="659"/>
      <c r="Z293" s="658"/>
      <c r="AA293" s="659"/>
      <c r="AB293" s="658">
        <v>0.23600132586184627</v>
      </c>
      <c r="AC293" s="660">
        <v>-1.09597474274518</v>
      </c>
      <c r="AD293" s="682">
        <v>43909011000100</v>
      </c>
      <c r="AE293" s="944" t="s">
        <v>2065</v>
      </c>
      <c r="AF293" s="661" t="s">
        <v>1745</v>
      </c>
      <c r="AG293" s="662" t="s">
        <v>1432</v>
      </c>
      <c r="AH293" s="662" t="s">
        <v>1730</v>
      </c>
      <c r="AI293" s="662">
        <v>500</v>
      </c>
      <c r="AJ293" s="662">
        <v>500</v>
      </c>
      <c r="AK293" s="662">
        <v>500</v>
      </c>
      <c r="AL293" s="658">
        <v>0</v>
      </c>
      <c r="AM293" s="658">
        <v>0</v>
      </c>
      <c r="AN293" s="659" t="s">
        <v>2127</v>
      </c>
      <c r="AO293" s="253" t="s">
        <v>34</v>
      </c>
      <c r="AP293" s="944" t="s">
        <v>1731</v>
      </c>
      <c r="AQ293" s="663" t="s">
        <v>659</v>
      </c>
      <c r="AR293" s="658">
        <v>4.8006000000000004E-3</v>
      </c>
      <c r="AS293" s="658">
        <v>4.8006000000000004E-3</v>
      </c>
      <c r="AT293" s="658" t="s">
        <v>1417</v>
      </c>
      <c r="AU293" s="658" t="s">
        <v>2751</v>
      </c>
      <c r="AX293"/>
      <c r="AY293"/>
      <c r="BA293"/>
      <c r="BB293"/>
      <c r="BC293"/>
      <c r="BD293"/>
      <c r="BE293"/>
      <c r="BF293"/>
      <c r="BG293"/>
      <c r="BH293"/>
      <c r="BI293"/>
      <c r="BJ293"/>
      <c r="BR293"/>
      <c r="BS293"/>
      <c r="BT293"/>
      <c r="BU293"/>
      <c r="BX293"/>
      <c r="BY293"/>
      <c r="CA293"/>
    </row>
    <row r="294" spans="2:79" ht="18.75">
      <c r="B294" s="252" t="s">
        <v>778</v>
      </c>
      <c r="C294" s="251">
        <v>43915574000100</v>
      </c>
      <c r="D294" s="252" t="s">
        <v>14</v>
      </c>
      <c r="E294" s="252" t="s">
        <v>607</v>
      </c>
      <c r="F294" s="252" t="s">
        <v>1417</v>
      </c>
      <c r="G294" s="253" t="s">
        <v>1417</v>
      </c>
      <c r="H294" s="253" t="s">
        <v>34</v>
      </c>
      <c r="I294" s="253" t="s">
        <v>34</v>
      </c>
      <c r="J294" s="253" t="s">
        <v>608</v>
      </c>
      <c r="K294" s="253" t="s">
        <v>48</v>
      </c>
      <c r="L294" s="655"/>
      <c r="M294" s="655" t="s">
        <v>34</v>
      </c>
      <c r="N294" s="253" t="s">
        <v>2872</v>
      </c>
      <c r="O294" s="253" t="s">
        <v>1321</v>
      </c>
      <c r="P294" s="656">
        <v>44493</v>
      </c>
      <c r="Q294" s="657">
        <v>17.072511680000002</v>
      </c>
      <c r="R294" s="657">
        <v>15.851696573955545</v>
      </c>
      <c r="S294" s="253">
        <v>32</v>
      </c>
      <c r="T294" s="658">
        <v>-2.285921452910844E-2</v>
      </c>
      <c r="U294" s="659">
        <v>-1.1430533152810711</v>
      </c>
      <c r="V294" s="658">
        <v>-0.12888768052818766</v>
      </c>
      <c r="W294" s="659">
        <v>-0.99956392730108834</v>
      </c>
      <c r="X294" s="658"/>
      <c r="Y294" s="659"/>
      <c r="Z294" s="658"/>
      <c r="AA294" s="659"/>
      <c r="AB294" s="658">
        <v>0.23764261096585082</v>
      </c>
      <c r="AC294" s="660">
        <v>-1.0849552145849228</v>
      </c>
      <c r="AD294" s="682">
        <v>43907839000110</v>
      </c>
      <c r="AE294" s="944" t="s">
        <v>2065</v>
      </c>
      <c r="AF294" s="661" t="s">
        <v>1745</v>
      </c>
      <c r="AG294" s="662" t="s">
        <v>1432</v>
      </c>
      <c r="AH294" s="662" t="s">
        <v>1734</v>
      </c>
      <c r="AI294" s="662">
        <v>500</v>
      </c>
      <c r="AJ294" s="662">
        <v>500</v>
      </c>
      <c r="AK294" s="662">
        <v>500</v>
      </c>
      <c r="AL294" s="658">
        <v>0</v>
      </c>
      <c r="AM294" s="658">
        <v>0</v>
      </c>
      <c r="AN294" s="659" t="s">
        <v>2127</v>
      </c>
      <c r="AO294" s="253" t="s">
        <v>34</v>
      </c>
      <c r="AP294" s="944" t="s">
        <v>1731</v>
      </c>
      <c r="AQ294" s="663" t="s">
        <v>659</v>
      </c>
      <c r="AR294" s="658">
        <v>4.8006000000000004E-3</v>
      </c>
      <c r="AS294" s="658">
        <v>4.8006000000000004E-3</v>
      </c>
      <c r="AT294" s="658" t="s">
        <v>1417</v>
      </c>
      <c r="AU294" s="658" t="s">
        <v>2751</v>
      </c>
      <c r="AX294"/>
      <c r="AY294"/>
      <c r="BA294"/>
      <c r="BB294"/>
      <c r="BC294"/>
      <c r="BD294"/>
      <c r="BE294"/>
      <c r="BF294"/>
      <c r="BG294"/>
      <c r="BH294"/>
      <c r="BI294"/>
      <c r="BJ294"/>
      <c r="BR294"/>
      <c r="BS294"/>
      <c r="BT294"/>
      <c r="BU294"/>
      <c r="BX294"/>
      <c r="BY294"/>
      <c r="CA294"/>
    </row>
    <row r="295" spans="2:79" ht="18.75">
      <c r="B295" s="252" t="s">
        <v>1496</v>
      </c>
      <c r="C295" s="251">
        <v>31848081000108</v>
      </c>
      <c r="D295" s="252" t="s">
        <v>14</v>
      </c>
      <c r="E295" s="252" t="s">
        <v>607</v>
      </c>
      <c r="F295" s="252" t="s">
        <v>1417</v>
      </c>
      <c r="G295" s="253" t="s">
        <v>1417</v>
      </c>
      <c r="H295" s="253" t="s">
        <v>34</v>
      </c>
      <c r="I295" s="253" t="s">
        <v>34</v>
      </c>
      <c r="J295" s="253" t="s">
        <v>608</v>
      </c>
      <c r="K295" s="253" t="s">
        <v>48</v>
      </c>
      <c r="L295" s="655"/>
      <c r="M295" s="655" t="s">
        <v>34</v>
      </c>
      <c r="N295" s="253" t="s">
        <v>2873</v>
      </c>
      <c r="O295" s="253" t="s">
        <v>1324</v>
      </c>
      <c r="P295" s="656">
        <v>43383</v>
      </c>
      <c r="Q295" s="657">
        <v>0</v>
      </c>
      <c r="R295" s="657">
        <v>3.2906700232089552</v>
      </c>
      <c r="S295" s="253">
        <v>12</v>
      </c>
      <c r="T295" s="658"/>
      <c r="U295" s="659"/>
      <c r="V295" s="658">
        <v>-3.6282957739449784E-2</v>
      </c>
      <c r="W295" s="659">
        <v>-0.28138558769557687</v>
      </c>
      <c r="X295" s="658">
        <v>4.1584538437596574E-2</v>
      </c>
      <c r="Y295" s="659">
        <v>0.2153660158597929</v>
      </c>
      <c r="Z295" s="658">
        <v>-0.11146653467307854</v>
      </c>
      <c r="AA295" s="659">
        <v>-0.50330228197002469</v>
      </c>
      <c r="AB295" s="658">
        <v>0.20556134895343273</v>
      </c>
      <c r="AC295" s="660">
        <v>-0.80378372698686729</v>
      </c>
      <c r="AD295" s="682">
        <v>0</v>
      </c>
      <c r="AE295" s="944" t="s">
        <v>1973</v>
      </c>
      <c r="AF295" s="661" t="s">
        <v>1861</v>
      </c>
      <c r="AG295" s="662" t="s">
        <v>761</v>
      </c>
      <c r="AH295" s="662" t="s">
        <v>1734</v>
      </c>
      <c r="AI295" s="662">
        <v>100</v>
      </c>
      <c r="AJ295" s="662">
        <v>100</v>
      </c>
      <c r="AK295" s="662">
        <v>100</v>
      </c>
      <c r="AL295" s="658">
        <v>0.02</v>
      </c>
      <c r="AM295" s="658">
        <v>0.2</v>
      </c>
      <c r="AN295" s="659" t="s">
        <v>666</v>
      </c>
      <c r="AO295" s="253" t="s">
        <v>34</v>
      </c>
      <c r="AP295" s="944" t="s">
        <v>1731</v>
      </c>
      <c r="AQ295" s="663" t="s">
        <v>659</v>
      </c>
      <c r="AR295" s="658">
        <v>5.3333333333333297E-3</v>
      </c>
      <c r="AS295" s="658">
        <v>5.3333333333333297E-3</v>
      </c>
      <c r="AT295" s="658" t="s">
        <v>1417</v>
      </c>
      <c r="AU295" s="658" t="s">
        <v>2751</v>
      </c>
      <c r="AX295"/>
      <c r="AY295"/>
      <c r="BA295"/>
      <c r="BB295"/>
      <c r="BC295"/>
      <c r="BD295"/>
      <c r="BE295"/>
      <c r="BF295"/>
      <c r="BG295"/>
      <c r="BH295"/>
      <c r="BI295"/>
      <c r="BJ295"/>
      <c r="BR295"/>
      <c r="BS295"/>
      <c r="BT295"/>
      <c r="BU295"/>
      <c r="BX295"/>
      <c r="BY295"/>
      <c r="CA295"/>
    </row>
    <row r="296" spans="2:79" ht="18.75">
      <c r="B296" s="252" t="s">
        <v>95</v>
      </c>
      <c r="C296" s="251">
        <v>39737102000120</v>
      </c>
      <c r="D296" s="252" t="s">
        <v>14</v>
      </c>
      <c r="E296" s="252" t="s">
        <v>614</v>
      </c>
      <c r="F296" s="252" t="s">
        <v>1417</v>
      </c>
      <c r="G296" s="253" t="s">
        <v>1417</v>
      </c>
      <c r="H296" s="253" t="s">
        <v>1338</v>
      </c>
      <c r="I296" s="253" t="s">
        <v>34</v>
      </c>
      <c r="J296" s="253" t="s">
        <v>608</v>
      </c>
      <c r="K296" s="253" t="s">
        <v>48</v>
      </c>
      <c r="L296" s="655"/>
      <c r="M296" s="655" t="s">
        <v>1414</v>
      </c>
      <c r="N296" s="253" t="s">
        <v>2874</v>
      </c>
      <c r="O296" s="253" t="s">
        <v>1321</v>
      </c>
      <c r="P296" s="656">
        <v>44190</v>
      </c>
      <c r="Q296" s="657">
        <v>8.2832592500000004</v>
      </c>
      <c r="R296" s="657">
        <v>74.889297363319528</v>
      </c>
      <c r="S296" s="253">
        <v>33</v>
      </c>
      <c r="T296" s="658">
        <v>-3.0010203292801019E-2</v>
      </c>
      <c r="U296" s="659">
        <v>-1.500631717787769</v>
      </c>
      <c r="V296" s="658">
        <v>-0.28354542133486471</v>
      </c>
      <c r="W296" s="659">
        <v>-2.1989826627047959</v>
      </c>
      <c r="X296" s="658">
        <v>-0.34479166577308717</v>
      </c>
      <c r="Y296" s="659">
        <v>-1.785673477430638</v>
      </c>
      <c r="Z296" s="658"/>
      <c r="AA296" s="659"/>
      <c r="AB296" s="658">
        <v>0.2169619803558637</v>
      </c>
      <c r="AC296" s="660">
        <v>-1.9012055942017261</v>
      </c>
      <c r="AD296" s="682">
        <v>39737170000199</v>
      </c>
      <c r="AE296" s="944" t="s">
        <v>2041</v>
      </c>
      <c r="AF296" s="661" t="s">
        <v>1729</v>
      </c>
      <c r="AG296" s="662" t="s">
        <v>1433</v>
      </c>
      <c r="AH296" s="662" t="s">
        <v>1734</v>
      </c>
      <c r="AI296" s="662">
        <v>0</v>
      </c>
      <c r="AJ296" s="662">
        <v>0</v>
      </c>
      <c r="AK296" s="662">
        <v>0</v>
      </c>
      <c r="AL296" s="658">
        <v>2.5000000000000001E-2</v>
      </c>
      <c r="AM296" s="658">
        <v>0.2</v>
      </c>
      <c r="AN296" s="659" t="s">
        <v>34</v>
      </c>
      <c r="AO296" s="253" t="s">
        <v>34</v>
      </c>
      <c r="AP296" s="944" t="s">
        <v>1746</v>
      </c>
      <c r="AQ296" s="663" t="s">
        <v>668</v>
      </c>
      <c r="AR296" s="658">
        <v>3.5999999999999999E-3</v>
      </c>
      <c r="AS296" s="658">
        <v>3.5999999999999999E-3</v>
      </c>
      <c r="AT296" s="658" t="s">
        <v>1417</v>
      </c>
      <c r="AU296" s="658" t="s">
        <v>2751</v>
      </c>
      <c r="AX296"/>
      <c r="AY296"/>
      <c r="BA296"/>
      <c r="BB296"/>
      <c r="BC296"/>
      <c r="BD296"/>
      <c r="BE296"/>
      <c r="BF296"/>
      <c r="BG296"/>
      <c r="BH296"/>
      <c r="BI296"/>
      <c r="BJ296"/>
      <c r="BR296"/>
      <c r="BS296"/>
      <c r="BT296"/>
      <c r="BU296"/>
      <c r="BX296"/>
      <c r="BY296"/>
      <c r="CA296"/>
    </row>
    <row r="297" spans="2:79" ht="18.75">
      <c r="B297" s="252" t="s">
        <v>466</v>
      </c>
      <c r="C297" s="251">
        <v>43214822000188</v>
      </c>
      <c r="D297" s="252" t="s">
        <v>14</v>
      </c>
      <c r="E297" s="252" t="s">
        <v>607</v>
      </c>
      <c r="F297" s="252" t="s">
        <v>1417</v>
      </c>
      <c r="G297" s="253" t="s">
        <v>1417</v>
      </c>
      <c r="H297" s="253" t="s">
        <v>34</v>
      </c>
      <c r="I297" s="253" t="s">
        <v>34</v>
      </c>
      <c r="J297" s="253" t="s">
        <v>608</v>
      </c>
      <c r="K297" s="253" t="s">
        <v>48</v>
      </c>
      <c r="L297" s="655"/>
      <c r="M297" s="655" t="s">
        <v>1414</v>
      </c>
      <c r="N297" s="253" t="s">
        <v>2875</v>
      </c>
      <c r="O297" s="253" t="s">
        <v>1321</v>
      </c>
      <c r="P297" s="656">
        <v>44454</v>
      </c>
      <c r="Q297" s="657">
        <v>39.86</v>
      </c>
      <c r="R297" s="657">
        <v>40.16426666666667</v>
      </c>
      <c r="S297" s="253">
        <v>7</v>
      </c>
      <c r="T297" s="658">
        <v>-4.3956043956044022E-2</v>
      </c>
      <c r="U297" s="659">
        <v>-2.1979802370994346</v>
      </c>
      <c r="V297" s="658">
        <v>-4.3956043956043578E-2</v>
      </c>
      <c r="W297" s="659">
        <v>-0.34089275053493739</v>
      </c>
      <c r="X297" s="658"/>
      <c r="Y297" s="659"/>
      <c r="Z297" s="658"/>
      <c r="AA297" s="659"/>
      <c r="AB297" s="658">
        <v>0.21963613548786226</v>
      </c>
      <c r="AC297" s="660">
        <v>-0.78721087046437721</v>
      </c>
      <c r="AD297" s="682">
        <v>43214858000161</v>
      </c>
      <c r="AE297" s="944" t="s">
        <v>1897</v>
      </c>
      <c r="AF297" s="661" t="s">
        <v>1745</v>
      </c>
      <c r="AG297" s="662" t="s">
        <v>1432</v>
      </c>
      <c r="AH297" s="662" t="s">
        <v>1730</v>
      </c>
      <c r="AI297" s="662">
        <v>1000</v>
      </c>
      <c r="AJ297" s="662">
        <v>0</v>
      </c>
      <c r="AK297" s="662">
        <v>1000</v>
      </c>
      <c r="AL297" s="658">
        <v>0</v>
      </c>
      <c r="AM297" s="658">
        <v>0</v>
      </c>
      <c r="AN297" s="659" t="s">
        <v>2127</v>
      </c>
      <c r="AO297" s="253" t="s">
        <v>34</v>
      </c>
      <c r="AP297" s="944" t="s">
        <v>1731</v>
      </c>
      <c r="AQ297" s="663" t="s">
        <v>659</v>
      </c>
      <c r="AR297" s="658">
        <v>0</v>
      </c>
      <c r="AS297" s="658">
        <v>0</v>
      </c>
      <c r="AT297" s="658" t="s">
        <v>1417</v>
      </c>
      <c r="AU297" s="658" t="s">
        <v>2751</v>
      </c>
      <c r="AX297"/>
      <c r="AY297"/>
      <c r="BA297"/>
      <c r="BB297"/>
      <c r="BC297"/>
      <c r="BD297"/>
      <c r="BE297"/>
      <c r="BF297"/>
      <c r="BG297"/>
      <c r="BH297"/>
      <c r="BI297"/>
      <c r="BJ297"/>
      <c r="BR297"/>
      <c r="BS297"/>
      <c r="BT297"/>
      <c r="BU297"/>
      <c r="BX297"/>
      <c r="BY297"/>
      <c r="CA297"/>
    </row>
    <row r="298" spans="2:79" ht="18.75">
      <c r="B298" s="252" t="s">
        <v>779</v>
      </c>
      <c r="C298" s="251">
        <v>20501989000124</v>
      </c>
      <c r="D298" s="252" t="s">
        <v>14</v>
      </c>
      <c r="E298" s="252" t="s">
        <v>614</v>
      </c>
      <c r="F298" s="252" t="s">
        <v>1417</v>
      </c>
      <c r="G298" s="253" t="s">
        <v>1417</v>
      </c>
      <c r="H298" s="253" t="s">
        <v>865</v>
      </c>
      <c r="I298" s="253" t="s">
        <v>34</v>
      </c>
      <c r="J298" s="253" t="s">
        <v>608</v>
      </c>
      <c r="K298" s="253" t="s">
        <v>48</v>
      </c>
      <c r="L298" s="655"/>
      <c r="M298" s="655" t="s">
        <v>34</v>
      </c>
      <c r="N298" s="253" t="s">
        <v>2876</v>
      </c>
      <c r="O298" s="253" t="s">
        <v>1321</v>
      </c>
      <c r="P298" s="656">
        <v>41922</v>
      </c>
      <c r="Q298" s="657">
        <v>79.703973000000005</v>
      </c>
      <c r="R298" s="657">
        <v>89.342626669387798</v>
      </c>
      <c r="S298" s="253">
        <v>5</v>
      </c>
      <c r="T298" s="658">
        <v>-4.2165306458212037E-2</v>
      </c>
      <c r="U298" s="659">
        <v>-2.1084361090153969</v>
      </c>
      <c r="V298" s="658">
        <v>-8.1022507702749325E-3</v>
      </c>
      <c r="W298" s="659">
        <v>-6.2835467026215078E-2</v>
      </c>
      <c r="X298" s="658">
        <v>-0.12254051335296212</v>
      </c>
      <c r="Y298" s="659">
        <v>-0.63463640895869722</v>
      </c>
      <c r="Z298" s="658">
        <v>-5.2616746679966409E-2</v>
      </c>
      <c r="AA298" s="659">
        <v>-0.23757918689708571</v>
      </c>
      <c r="AB298" s="658">
        <v>0.16918411621034626</v>
      </c>
      <c r="AC298" s="660">
        <v>-0.81004152923359585</v>
      </c>
      <c r="AD298" s="682">
        <v>20355747000170</v>
      </c>
      <c r="AE298" s="944" t="s">
        <v>1897</v>
      </c>
      <c r="AF298" s="661" t="s">
        <v>1745</v>
      </c>
      <c r="AG298" s="662" t="s">
        <v>1432</v>
      </c>
      <c r="AH298" s="662" t="s">
        <v>1730</v>
      </c>
      <c r="AI298" s="662">
        <v>1000</v>
      </c>
      <c r="AJ298" s="662">
        <v>1000</v>
      </c>
      <c r="AK298" s="662">
        <v>1000</v>
      </c>
      <c r="AL298" s="658">
        <v>1.6E-2</v>
      </c>
      <c r="AM298" s="658">
        <v>0.15</v>
      </c>
      <c r="AN298" s="659" t="s">
        <v>34</v>
      </c>
      <c r="AO298" s="253" t="s">
        <v>34</v>
      </c>
      <c r="AP298" s="944" t="s">
        <v>1731</v>
      </c>
      <c r="AQ298" s="663" t="s">
        <v>659</v>
      </c>
      <c r="AR298" s="658">
        <v>4.2666666666666703E-3</v>
      </c>
      <c r="AS298" s="658">
        <v>4.2666666666666703E-3</v>
      </c>
      <c r="AT298" s="658" t="s">
        <v>1417</v>
      </c>
      <c r="AU298" s="658" t="s">
        <v>2751</v>
      </c>
      <c r="AX298"/>
      <c r="AY298"/>
      <c r="BA298"/>
      <c r="BB298"/>
      <c r="BC298"/>
      <c r="BD298"/>
      <c r="BE298"/>
      <c r="BF298"/>
      <c r="BG298"/>
      <c r="BH298"/>
      <c r="BI298"/>
      <c r="BJ298"/>
      <c r="BR298"/>
      <c r="BS298"/>
      <c r="BT298"/>
      <c r="BU298"/>
      <c r="BX298"/>
      <c r="BY298"/>
      <c r="CA298"/>
    </row>
    <row r="299" spans="2:79" ht="18.75">
      <c r="B299" s="252" t="s">
        <v>780</v>
      </c>
      <c r="C299" s="251">
        <v>31340838000158</v>
      </c>
      <c r="D299" s="252" t="s">
        <v>11</v>
      </c>
      <c r="E299" s="252" t="s">
        <v>620</v>
      </c>
      <c r="F299" s="252" t="s">
        <v>685</v>
      </c>
      <c r="G299" s="253" t="s">
        <v>738</v>
      </c>
      <c r="H299" s="253" t="s">
        <v>34</v>
      </c>
      <c r="I299" s="253" t="s">
        <v>1319</v>
      </c>
      <c r="J299" s="253" t="s">
        <v>608</v>
      </c>
      <c r="K299" s="253" t="s">
        <v>48</v>
      </c>
      <c r="L299" s="655"/>
      <c r="M299" s="655" t="s">
        <v>34</v>
      </c>
      <c r="N299" s="253" t="s">
        <v>2877</v>
      </c>
      <c r="O299" s="253" t="s">
        <v>1321</v>
      </c>
      <c r="P299" s="656">
        <v>43430</v>
      </c>
      <c r="Q299" s="657">
        <v>284.31606240000002</v>
      </c>
      <c r="R299" s="657">
        <v>256.25667643228917</v>
      </c>
      <c r="S299" s="253">
        <v>45</v>
      </c>
      <c r="T299" s="658">
        <v>2.0570444867129112E-2</v>
      </c>
      <c r="U299" s="659">
        <v>1.0286055617631709</v>
      </c>
      <c r="V299" s="658">
        <v>0.13814188524548632</v>
      </c>
      <c r="W299" s="659">
        <v>1.0713331543782121</v>
      </c>
      <c r="X299" s="658">
        <v>0.21604977874154718</v>
      </c>
      <c r="Y299" s="659">
        <v>1.1189202002273333</v>
      </c>
      <c r="Z299" s="658">
        <v>0.25269148538931763</v>
      </c>
      <c r="AA299" s="659">
        <v>1.1409720559076046</v>
      </c>
      <c r="AB299" s="658">
        <v>1.1626507739494331E-3</v>
      </c>
      <c r="AC299" s="660">
        <v>7.9112111777581902</v>
      </c>
      <c r="AD299" s="682">
        <v>31908013000197</v>
      </c>
      <c r="AE299" s="944" t="s">
        <v>1897</v>
      </c>
      <c r="AF299" s="661" t="s">
        <v>1745</v>
      </c>
      <c r="AG299" s="662" t="s">
        <v>1432</v>
      </c>
      <c r="AH299" s="662" t="s">
        <v>1730</v>
      </c>
      <c r="AI299" s="662">
        <v>1000</v>
      </c>
      <c r="AJ299" s="662">
        <v>1000</v>
      </c>
      <c r="AK299" s="662">
        <v>1000</v>
      </c>
      <c r="AL299" s="658">
        <v>8.5000000000000006E-3</v>
      </c>
      <c r="AM299" s="658">
        <v>0.15</v>
      </c>
      <c r="AN299" s="659" t="s">
        <v>34</v>
      </c>
      <c r="AO299" s="253" t="s">
        <v>34</v>
      </c>
      <c r="AP299" s="944" t="s">
        <v>1735</v>
      </c>
      <c r="AQ299" s="663" t="s">
        <v>675</v>
      </c>
      <c r="AR299" s="658">
        <v>1.98333333333333E-3</v>
      </c>
      <c r="AS299" s="658">
        <v>1.98333333333333E-3</v>
      </c>
      <c r="AT299" s="658" t="s">
        <v>1417</v>
      </c>
      <c r="AU299" s="658" t="s">
        <v>2751</v>
      </c>
      <c r="AX299"/>
      <c r="AY299"/>
      <c r="BA299"/>
      <c r="BB299"/>
      <c r="BC299"/>
      <c r="BD299"/>
      <c r="BE299"/>
      <c r="BF299"/>
      <c r="BG299"/>
      <c r="BH299"/>
      <c r="BI299"/>
      <c r="BJ299"/>
      <c r="BR299"/>
      <c r="BS299"/>
      <c r="BT299"/>
      <c r="BU299"/>
      <c r="BX299"/>
      <c r="BY299"/>
      <c r="CA299"/>
    </row>
    <row r="300" spans="2:79" ht="18.75">
      <c r="B300" s="252" t="s">
        <v>781</v>
      </c>
      <c r="C300" s="251">
        <v>17627210000107</v>
      </c>
      <c r="D300" s="252" t="s">
        <v>11</v>
      </c>
      <c r="E300" s="252" t="s">
        <v>620</v>
      </c>
      <c r="F300" s="252" t="s">
        <v>663</v>
      </c>
      <c r="G300" s="253" t="s">
        <v>738</v>
      </c>
      <c r="H300" s="253" t="s">
        <v>34</v>
      </c>
      <c r="I300" s="253" t="s">
        <v>1417</v>
      </c>
      <c r="J300" s="253" t="s">
        <v>608</v>
      </c>
      <c r="K300" s="253" t="s">
        <v>48</v>
      </c>
      <c r="L300" s="655"/>
      <c r="M300" s="655" t="s">
        <v>34</v>
      </c>
      <c r="N300" s="253" t="s">
        <v>2878</v>
      </c>
      <c r="O300" s="253" t="s">
        <v>1321</v>
      </c>
      <c r="P300" s="656">
        <v>41462</v>
      </c>
      <c r="Q300" s="657">
        <v>167.037565</v>
      </c>
      <c r="R300" s="657">
        <v>168.76756295967735</v>
      </c>
      <c r="S300" s="253">
        <v>1</v>
      </c>
      <c r="T300" s="658">
        <v>1.9665716265965028E-2</v>
      </c>
      <c r="U300" s="659">
        <v>0.98336546719765805</v>
      </c>
      <c r="V300" s="658">
        <v>0.13366230247013511</v>
      </c>
      <c r="W300" s="659">
        <v>1.0365926009502133</v>
      </c>
      <c r="X300" s="658">
        <v>0.20860351915863373</v>
      </c>
      <c r="Y300" s="659">
        <v>1.080356077125753</v>
      </c>
      <c r="Z300" s="658">
        <v>0.2399429318465407</v>
      </c>
      <c r="AA300" s="659">
        <v>1.0834088051192372</v>
      </c>
      <c r="AB300" s="658">
        <v>1.3534591244317147E-3</v>
      </c>
      <c r="AC300" s="660">
        <v>3.4861732712673517</v>
      </c>
      <c r="AD300" s="682">
        <v>23225882000199</v>
      </c>
      <c r="AE300" s="944" t="s">
        <v>1897</v>
      </c>
      <c r="AF300" s="661" t="s">
        <v>1745</v>
      </c>
      <c r="AG300" s="662" t="s">
        <v>1432</v>
      </c>
      <c r="AH300" s="662" t="s">
        <v>1730</v>
      </c>
      <c r="AI300" s="662">
        <v>1000</v>
      </c>
      <c r="AJ300" s="662">
        <v>1000</v>
      </c>
      <c r="AK300" s="662">
        <v>1000</v>
      </c>
      <c r="AL300" s="658">
        <v>5.0000000000000001E-3</v>
      </c>
      <c r="AM300" s="658">
        <v>0.15</v>
      </c>
      <c r="AN300" s="659" t="s">
        <v>34</v>
      </c>
      <c r="AO300" s="253" t="s">
        <v>34</v>
      </c>
      <c r="AP300" s="944" t="s">
        <v>1735</v>
      </c>
      <c r="AQ300" s="663" t="s">
        <v>675</v>
      </c>
      <c r="AR300" s="658">
        <v>1.1665E-3</v>
      </c>
      <c r="AS300" s="658">
        <v>1.1665E-3</v>
      </c>
      <c r="AT300" s="658" t="s">
        <v>1417</v>
      </c>
      <c r="AU300" s="658" t="s">
        <v>2751</v>
      </c>
      <c r="AX300"/>
      <c r="AY300"/>
      <c r="BA300"/>
      <c r="BB300"/>
      <c r="BC300"/>
      <c r="BD300"/>
      <c r="BE300"/>
      <c r="BF300"/>
      <c r="BG300"/>
      <c r="BH300"/>
      <c r="BI300"/>
      <c r="BJ300"/>
      <c r="BR300"/>
      <c r="BS300"/>
      <c r="BT300"/>
      <c r="BU300"/>
      <c r="BX300"/>
      <c r="BY300"/>
      <c r="CA300"/>
    </row>
    <row r="301" spans="2:79" ht="18.75">
      <c r="B301" s="252" t="s">
        <v>4423</v>
      </c>
      <c r="C301" s="251">
        <v>29045319000115</v>
      </c>
      <c r="D301" s="252" t="s">
        <v>13</v>
      </c>
      <c r="E301" s="252" t="s">
        <v>615</v>
      </c>
      <c r="F301" s="252" t="s">
        <v>619</v>
      </c>
      <c r="G301" s="253" t="s">
        <v>34</v>
      </c>
      <c r="H301" s="253" t="s">
        <v>1338</v>
      </c>
      <c r="I301" s="253" t="s">
        <v>34</v>
      </c>
      <c r="J301" s="253" t="s">
        <v>608</v>
      </c>
      <c r="K301" s="253" t="s">
        <v>48</v>
      </c>
      <c r="L301" s="655"/>
      <c r="M301" s="655" t="s">
        <v>34</v>
      </c>
      <c r="N301" s="253" t="s">
        <v>4424</v>
      </c>
      <c r="O301" s="253" t="s">
        <v>1321</v>
      </c>
      <c r="P301" s="656">
        <v>43222</v>
      </c>
      <c r="Q301" s="657">
        <v>61.516311000000002</v>
      </c>
      <c r="R301" s="657">
        <v>62.434412567499997</v>
      </c>
      <c r="S301" s="253">
        <v>8</v>
      </c>
      <c r="T301" s="658">
        <v>-5.4868832035214199E-3</v>
      </c>
      <c r="U301" s="659">
        <v>-0.27436638421494342</v>
      </c>
      <c r="V301" s="658">
        <v>-5.4868832035214199E-3</v>
      </c>
      <c r="W301" s="659">
        <v>-4.2552480586806683E-2</v>
      </c>
      <c r="X301" s="658">
        <v>-5.4868832035214199E-3</v>
      </c>
      <c r="Y301" s="659">
        <v>-2.8416527378408062E-2</v>
      </c>
      <c r="Z301" s="658">
        <v>-5.4868832035214199E-3</v>
      </c>
      <c r="AA301" s="659">
        <v>-2.4774797613783751E-2</v>
      </c>
      <c r="AB301" s="658">
        <v>8.0871382983152634E-2</v>
      </c>
      <c r="AC301" s="660">
        <v>-1.6622788889156848</v>
      </c>
      <c r="AD301" s="682">
        <v>0</v>
      </c>
      <c r="AE301" s="944" t="s">
        <v>1893</v>
      </c>
      <c r="AF301" s="661" t="s">
        <v>1769</v>
      </c>
      <c r="AG301" s="662" t="s">
        <v>719</v>
      </c>
      <c r="AH301" s="662" t="s">
        <v>2119</v>
      </c>
      <c r="AI301" s="662">
        <v>0</v>
      </c>
      <c r="AJ301" s="662">
        <v>0</v>
      </c>
      <c r="AK301" s="662">
        <v>0</v>
      </c>
      <c r="AL301" s="658">
        <v>5.1599999999999997E-3</v>
      </c>
      <c r="AM301" s="658">
        <v>0.2</v>
      </c>
      <c r="AN301" s="659" t="s">
        <v>2122</v>
      </c>
      <c r="AO301" s="253" t="s">
        <v>4397</v>
      </c>
      <c r="AP301" s="944" t="s">
        <v>1746</v>
      </c>
      <c r="AQ301" s="663" t="s">
        <v>2177</v>
      </c>
      <c r="AR301" s="658">
        <v>0</v>
      </c>
      <c r="AS301" s="658">
        <v>0</v>
      </c>
      <c r="AT301" s="658" t="s">
        <v>1417</v>
      </c>
      <c r="AU301" s="658" t="s">
        <v>2751</v>
      </c>
      <c r="AX301"/>
      <c r="AY301"/>
      <c r="BA301"/>
      <c r="BB301"/>
      <c r="BC301"/>
      <c r="BD301"/>
      <c r="BE301"/>
      <c r="BF301"/>
      <c r="BG301"/>
      <c r="BH301"/>
      <c r="BI301"/>
      <c r="BJ301"/>
      <c r="BR301"/>
      <c r="BS301"/>
      <c r="BT301"/>
      <c r="BU301"/>
      <c r="BX301"/>
      <c r="BY301"/>
      <c r="CA301"/>
    </row>
    <row r="302" spans="2:79" ht="18.75">
      <c r="B302" s="252" t="s">
        <v>4425</v>
      </c>
      <c r="C302" s="251">
        <v>26680218000128</v>
      </c>
      <c r="D302" s="252" t="s">
        <v>13</v>
      </c>
      <c r="E302" s="252" t="s">
        <v>615</v>
      </c>
      <c r="F302" s="252" t="s">
        <v>619</v>
      </c>
      <c r="G302" s="253" t="s">
        <v>34</v>
      </c>
      <c r="H302" s="253" t="s">
        <v>1338</v>
      </c>
      <c r="I302" s="253" t="s">
        <v>34</v>
      </c>
      <c r="J302" s="253" t="s">
        <v>608</v>
      </c>
      <c r="K302" s="253" t="s">
        <v>48</v>
      </c>
      <c r="L302" s="655"/>
      <c r="M302" s="655" t="s">
        <v>34</v>
      </c>
      <c r="N302" s="253" t="s">
        <v>4426</v>
      </c>
      <c r="O302" s="253" t="s">
        <v>1321</v>
      </c>
      <c r="P302" s="656">
        <v>42878</v>
      </c>
      <c r="Q302" s="657">
        <v>20.38663</v>
      </c>
      <c r="R302" s="657">
        <v>20.4998325</v>
      </c>
      <c r="S302" s="253">
        <v>3</v>
      </c>
      <c r="T302" s="658">
        <v>-3.5438498001943985E-3</v>
      </c>
      <c r="U302" s="659">
        <v>-0.17720684399773029</v>
      </c>
      <c r="V302" s="658">
        <v>-3.5438498001943985E-3</v>
      </c>
      <c r="W302" s="659">
        <v>-2.7483654058564504E-2</v>
      </c>
      <c r="X302" s="658">
        <v>-3.5438498001943985E-3</v>
      </c>
      <c r="Y302" s="659">
        <v>-1.8353571806952157E-2</v>
      </c>
      <c r="Z302" s="658">
        <v>-3.5438498001943985E-3</v>
      </c>
      <c r="AA302" s="659">
        <v>-1.6001463548033303E-2</v>
      </c>
      <c r="AB302" s="658">
        <v>5.781010397157104E-2</v>
      </c>
      <c r="AC302" s="660">
        <v>-2.2917751421470465</v>
      </c>
      <c r="AD302" s="682">
        <v>0</v>
      </c>
      <c r="AE302" s="944" t="s">
        <v>1893</v>
      </c>
      <c r="AF302" s="661" t="s">
        <v>1769</v>
      </c>
      <c r="AG302" s="662" t="s">
        <v>719</v>
      </c>
      <c r="AH302" s="662" t="s">
        <v>2119</v>
      </c>
      <c r="AI302" s="662">
        <v>0</v>
      </c>
      <c r="AJ302" s="662">
        <v>0</v>
      </c>
      <c r="AK302" s="662">
        <v>0</v>
      </c>
      <c r="AL302" s="658">
        <v>1.0999999999999999E-2</v>
      </c>
      <c r="AM302" s="658">
        <v>0</v>
      </c>
      <c r="AN302" s="659" t="s">
        <v>64</v>
      </c>
      <c r="AO302" s="253" t="s">
        <v>4397</v>
      </c>
      <c r="AP302" s="944" t="s">
        <v>1746</v>
      </c>
      <c r="AQ302" s="663" t="s">
        <v>2177</v>
      </c>
      <c r="AR302" s="658">
        <v>0</v>
      </c>
      <c r="AS302" s="658">
        <v>0</v>
      </c>
      <c r="AT302" s="658" t="s">
        <v>1417</v>
      </c>
      <c r="AU302" s="658" t="s">
        <v>2751</v>
      </c>
      <c r="AX302"/>
      <c r="AY302"/>
      <c r="BA302"/>
      <c r="BB302"/>
      <c r="BC302"/>
      <c r="BD302"/>
      <c r="BE302"/>
      <c r="BF302"/>
      <c r="BG302"/>
      <c r="BH302"/>
      <c r="BI302"/>
      <c r="BJ302"/>
      <c r="BR302"/>
      <c r="BS302"/>
      <c r="BT302"/>
      <c r="BU302"/>
      <c r="BX302"/>
      <c r="BY302"/>
      <c r="CA302"/>
    </row>
    <row r="303" spans="2:79" ht="18.75">
      <c r="B303" s="252" t="s">
        <v>96</v>
      </c>
      <c r="C303" s="251">
        <v>17249227000178</v>
      </c>
      <c r="D303" s="252" t="s">
        <v>14</v>
      </c>
      <c r="E303" s="252" t="s">
        <v>614</v>
      </c>
      <c r="F303" s="252" t="s">
        <v>1417</v>
      </c>
      <c r="G303" s="253" t="s">
        <v>1417</v>
      </c>
      <c r="H303" s="253" t="s">
        <v>1338</v>
      </c>
      <c r="I303" s="253" t="s">
        <v>34</v>
      </c>
      <c r="J303" s="253" t="s">
        <v>608</v>
      </c>
      <c r="K303" s="253" t="s">
        <v>48</v>
      </c>
      <c r="L303" s="655"/>
      <c r="M303" s="655" t="s">
        <v>34</v>
      </c>
      <c r="N303" s="253" t="s">
        <v>2879</v>
      </c>
      <c r="O303" s="253" t="s">
        <v>1321</v>
      </c>
      <c r="P303" s="656">
        <v>41284</v>
      </c>
      <c r="Q303" s="657">
        <v>105.14097599999999</v>
      </c>
      <c r="R303" s="657">
        <v>117.02631495180715</v>
      </c>
      <c r="S303" s="253">
        <v>32</v>
      </c>
      <c r="T303" s="658">
        <v>-2.8354400059655505E-2</v>
      </c>
      <c r="U303" s="659">
        <v>-1.4178348494749926</v>
      </c>
      <c r="V303" s="658">
        <v>1.2600163904572304E-2</v>
      </c>
      <c r="W303" s="659">
        <v>9.7718178071621517E-2</v>
      </c>
      <c r="X303" s="658">
        <v>1.9424941134447593E-2</v>
      </c>
      <c r="Y303" s="659">
        <v>0.10060162593159162</v>
      </c>
      <c r="Z303" s="658">
        <v>-8.556516684477411E-2</v>
      </c>
      <c r="AA303" s="659">
        <v>-0.38635043115341255</v>
      </c>
      <c r="AB303" s="658">
        <v>0.21324335294780922</v>
      </c>
      <c r="AC303" s="660">
        <v>-0.54559142844978104</v>
      </c>
      <c r="AD303" s="682">
        <v>21360513000183</v>
      </c>
      <c r="AE303" s="944" t="s">
        <v>1893</v>
      </c>
      <c r="AF303" s="661" t="s">
        <v>1745</v>
      </c>
      <c r="AG303" s="662" t="s">
        <v>1432</v>
      </c>
      <c r="AH303" s="662" t="s">
        <v>1801</v>
      </c>
      <c r="AI303" s="662">
        <v>20000</v>
      </c>
      <c r="AJ303" s="662">
        <v>1000</v>
      </c>
      <c r="AK303" s="662">
        <v>20000</v>
      </c>
      <c r="AL303" s="658">
        <v>0.02</v>
      </c>
      <c r="AM303" s="658">
        <v>0.2</v>
      </c>
      <c r="AN303" s="659" t="s">
        <v>34</v>
      </c>
      <c r="AO303" s="253" t="s">
        <v>34</v>
      </c>
      <c r="AP303" s="944" t="s">
        <v>1731</v>
      </c>
      <c r="AQ303" s="663" t="s">
        <v>659</v>
      </c>
      <c r="AR303" s="658">
        <v>5.0000000000000001E-3</v>
      </c>
      <c r="AS303" s="658">
        <v>5.0000000000000001E-3</v>
      </c>
      <c r="AT303" s="658" t="s">
        <v>1417</v>
      </c>
      <c r="AU303" s="658" t="s">
        <v>2751</v>
      </c>
      <c r="AX303"/>
      <c r="AY303"/>
      <c r="BA303"/>
      <c r="BB303"/>
      <c r="BC303"/>
      <c r="BD303"/>
      <c r="BE303"/>
      <c r="BF303"/>
      <c r="BG303"/>
      <c r="BH303"/>
      <c r="BI303"/>
      <c r="BJ303"/>
      <c r="BR303"/>
      <c r="BS303"/>
      <c r="BT303"/>
      <c r="BU303"/>
      <c r="BX303"/>
      <c r="BY303"/>
      <c r="CA303"/>
    </row>
    <row r="304" spans="2:79" ht="18.75">
      <c r="B304" s="252" t="s">
        <v>97</v>
      </c>
      <c r="C304" s="251">
        <v>23186344000132</v>
      </c>
      <c r="D304" s="252" t="s">
        <v>14</v>
      </c>
      <c r="E304" s="252" t="s">
        <v>607</v>
      </c>
      <c r="F304" s="252" t="s">
        <v>1417</v>
      </c>
      <c r="G304" s="253" t="s">
        <v>1417</v>
      </c>
      <c r="H304" s="253" t="s">
        <v>34</v>
      </c>
      <c r="I304" s="253" t="s">
        <v>34</v>
      </c>
      <c r="J304" s="253" t="s">
        <v>608</v>
      </c>
      <c r="K304" s="253" t="s">
        <v>48</v>
      </c>
      <c r="L304" s="655"/>
      <c r="M304" s="655" t="s">
        <v>34</v>
      </c>
      <c r="N304" s="253" t="s">
        <v>2880</v>
      </c>
      <c r="O304" s="253" t="s">
        <v>1321</v>
      </c>
      <c r="P304" s="656">
        <v>42278</v>
      </c>
      <c r="Q304" s="657">
        <v>101.559708</v>
      </c>
      <c r="R304" s="657">
        <v>129.59566464372472</v>
      </c>
      <c r="S304" s="253">
        <v>32</v>
      </c>
      <c r="T304" s="658">
        <v>-3.0327324331139049E-2</v>
      </c>
      <c r="U304" s="659">
        <v>-1.5164890541698253</v>
      </c>
      <c r="V304" s="658">
        <v>4.7071220501275768E-3</v>
      </c>
      <c r="W304" s="659">
        <v>3.6505191058055192E-2</v>
      </c>
      <c r="X304" s="658">
        <v>1.5345233135479752E-3</v>
      </c>
      <c r="Y304" s="659">
        <v>7.9472848491208576E-3</v>
      </c>
      <c r="Z304" s="658">
        <v>-0.11883813706380397</v>
      </c>
      <c r="AA304" s="659">
        <v>-0.53658710880984095</v>
      </c>
      <c r="AB304" s="658">
        <v>0.22372000410757864</v>
      </c>
      <c r="AC304" s="660">
        <v>-0.55532265830336713</v>
      </c>
      <c r="AD304" s="682">
        <v>21360513000183</v>
      </c>
      <c r="AE304" s="944" t="s">
        <v>1893</v>
      </c>
      <c r="AF304" s="661" t="s">
        <v>1745</v>
      </c>
      <c r="AG304" s="662" t="s">
        <v>1432</v>
      </c>
      <c r="AH304" s="662" t="s">
        <v>1734</v>
      </c>
      <c r="AI304" s="662">
        <v>1000</v>
      </c>
      <c r="AJ304" s="662">
        <v>0</v>
      </c>
      <c r="AK304" s="662">
        <v>0</v>
      </c>
      <c r="AL304" s="658">
        <v>0.03</v>
      </c>
      <c r="AM304" s="658">
        <v>0</v>
      </c>
      <c r="AN304" s="659" t="s">
        <v>34</v>
      </c>
      <c r="AO304" s="253" t="s">
        <v>34</v>
      </c>
      <c r="AP304" s="944" t="s">
        <v>1731</v>
      </c>
      <c r="AQ304" s="663" t="s">
        <v>659</v>
      </c>
      <c r="AR304" s="658">
        <v>1.0500000000000001E-2</v>
      </c>
      <c r="AS304" s="658">
        <v>1.0500000000000001E-2</v>
      </c>
      <c r="AT304" s="658" t="s">
        <v>1417</v>
      </c>
      <c r="AU304" s="658" t="s">
        <v>2751</v>
      </c>
      <c r="AX304"/>
      <c r="AY304"/>
      <c r="BA304"/>
      <c r="BB304"/>
      <c r="BC304"/>
      <c r="BD304"/>
      <c r="BE304"/>
      <c r="BF304"/>
      <c r="BG304"/>
      <c r="BH304"/>
      <c r="BI304"/>
      <c r="BJ304"/>
      <c r="BR304"/>
      <c r="BS304"/>
      <c r="BT304"/>
      <c r="BU304"/>
      <c r="BX304"/>
      <c r="BY304"/>
      <c r="CA304"/>
    </row>
    <row r="305" spans="2:79" ht="18.75">
      <c r="B305" s="252" t="s">
        <v>98</v>
      </c>
      <c r="C305" s="251">
        <v>13083227000190</v>
      </c>
      <c r="D305" s="252" t="s">
        <v>14</v>
      </c>
      <c r="E305" s="252" t="s">
        <v>607</v>
      </c>
      <c r="F305" s="252" t="s">
        <v>1417</v>
      </c>
      <c r="G305" s="253" t="s">
        <v>1417</v>
      </c>
      <c r="H305" s="253" t="s">
        <v>34</v>
      </c>
      <c r="I305" s="253" t="s">
        <v>34</v>
      </c>
      <c r="J305" s="253" t="s">
        <v>608</v>
      </c>
      <c r="K305" s="253" t="s">
        <v>48</v>
      </c>
      <c r="L305" s="655"/>
      <c r="M305" s="655" t="s">
        <v>34</v>
      </c>
      <c r="N305" s="253" t="s">
        <v>2881</v>
      </c>
      <c r="O305" s="253" t="s">
        <v>1321</v>
      </c>
      <c r="P305" s="656">
        <v>40787</v>
      </c>
      <c r="Q305" s="657">
        <v>108.44290700000001</v>
      </c>
      <c r="R305" s="657">
        <v>206.14501591129036</v>
      </c>
      <c r="S305" s="253">
        <v>32</v>
      </c>
      <c r="T305" s="658">
        <v>-4.7094574302321224E-2</v>
      </c>
      <c r="U305" s="659">
        <v>-2.3549194666978162</v>
      </c>
      <c r="V305" s="658">
        <v>-0.20226701399237679</v>
      </c>
      <c r="W305" s="659">
        <v>-1.5686434113884757</v>
      </c>
      <c r="X305" s="658">
        <v>-0.36794585984998707</v>
      </c>
      <c r="Y305" s="659">
        <v>-1.9055888766665698</v>
      </c>
      <c r="Z305" s="658">
        <v>-0.28685430519845656</v>
      </c>
      <c r="AA305" s="659">
        <v>-1.2952266509652111</v>
      </c>
      <c r="AB305" s="658">
        <v>0.24778453020159019</v>
      </c>
      <c r="AC305" s="660">
        <v>-1.3366892726099635</v>
      </c>
      <c r="AD305" s="682">
        <v>11046170000123</v>
      </c>
      <c r="AE305" s="944" t="s">
        <v>1867</v>
      </c>
      <c r="AF305" s="661" t="s">
        <v>1767</v>
      </c>
      <c r="AG305" s="662" t="s">
        <v>59</v>
      </c>
      <c r="AH305" s="662" t="s">
        <v>1734</v>
      </c>
      <c r="AI305" s="662">
        <v>500</v>
      </c>
      <c r="AJ305" s="662">
        <v>500</v>
      </c>
      <c r="AK305" s="662">
        <v>500</v>
      </c>
      <c r="AL305" s="658">
        <v>2E-3</v>
      </c>
      <c r="AM305" s="658">
        <v>0</v>
      </c>
      <c r="AN305" s="659" t="s">
        <v>2160</v>
      </c>
      <c r="AO305" s="253" t="s">
        <v>34</v>
      </c>
      <c r="AP305" s="944" t="s">
        <v>1731</v>
      </c>
      <c r="AQ305" s="663" t="s">
        <v>659</v>
      </c>
      <c r="AR305" s="658">
        <v>4.0000000000000001E-3</v>
      </c>
      <c r="AS305" s="658">
        <v>4.0000000000000001E-3</v>
      </c>
      <c r="AT305" s="658" t="s">
        <v>1417</v>
      </c>
      <c r="AU305" s="658" t="s">
        <v>2751</v>
      </c>
      <c r="AX305"/>
      <c r="AY305"/>
      <c r="BA305"/>
      <c r="BB305"/>
      <c r="BC305"/>
      <c r="BD305"/>
      <c r="BE305"/>
      <c r="BF305"/>
      <c r="BG305"/>
      <c r="BH305"/>
      <c r="BI305"/>
      <c r="BJ305"/>
      <c r="BR305"/>
      <c r="BS305"/>
      <c r="BT305"/>
      <c r="BU305"/>
      <c r="BX305"/>
      <c r="BY305"/>
      <c r="CA305"/>
    </row>
    <row r="306" spans="2:79" ht="18.75">
      <c r="B306" s="252" t="s">
        <v>99</v>
      </c>
      <c r="C306" s="251">
        <v>36182298000145</v>
      </c>
      <c r="D306" s="252" t="s">
        <v>14</v>
      </c>
      <c r="E306" s="252" t="s">
        <v>614</v>
      </c>
      <c r="F306" s="252" t="s">
        <v>1417</v>
      </c>
      <c r="G306" s="253" t="s">
        <v>1417</v>
      </c>
      <c r="H306" s="253" t="s">
        <v>1338</v>
      </c>
      <c r="I306" s="253" t="s">
        <v>34</v>
      </c>
      <c r="J306" s="253" t="s">
        <v>608</v>
      </c>
      <c r="K306" s="253" t="s">
        <v>48</v>
      </c>
      <c r="L306" s="655"/>
      <c r="M306" s="655" t="s">
        <v>34</v>
      </c>
      <c r="N306" s="253" t="s">
        <v>2882</v>
      </c>
      <c r="O306" s="253" t="s">
        <v>1321</v>
      </c>
      <c r="P306" s="656">
        <v>43894</v>
      </c>
      <c r="Q306" s="657">
        <v>85.034416710000002</v>
      </c>
      <c r="R306" s="657">
        <v>92.74658131133603</v>
      </c>
      <c r="S306" s="253">
        <v>32</v>
      </c>
      <c r="T306" s="658">
        <v>-4.9065695276007459E-2</v>
      </c>
      <c r="U306" s="659">
        <v>-2.4534834991987169</v>
      </c>
      <c r="V306" s="658">
        <v>-0.2421389219408191</v>
      </c>
      <c r="W306" s="659">
        <v>-1.8778624207973409</v>
      </c>
      <c r="X306" s="658">
        <v>-0.23212320492425698</v>
      </c>
      <c r="Y306" s="659">
        <v>-1.2021643551043055</v>
      </c>
      <c r="Z306" s="658"/>
      <c r="AA306" s="659"/>
      <c r="AB306" s="658">
        <v>0.21963727922523765</v>
      </c>
      <c r="AC306" s="660">
        <v>-1.6895257157463812</v>
      </c>
      <c r="AD306" s="682">
        <v>36182281000198</v>
      </c>
      <c r="AE306" s="944" t="s">
        <v>1867</v>
      </c>
      <c r="AF306" s="661" t="s">
        <v>1767</v>
      </c>
      <c r="AG306" s="662" t="s">
        <v>59</v>
      </c>
      <c r="AH306" s="662" t="s">
        <v>1730</v>
      </c>
      <c r="AI306" s="662">
        <v>500</v>
      </c>
      <c r="AJ306" s="662">
        <v>500</v>
      </c>
      <c r="AK306" s="662">
        <v>500</v>
      </c>
      <c r="AL306" s="658">
        <v>0</v>
      </c>
      <c r="AM306" s="658">
        <v>0</v>
      </c>
      <c r="AN306" s="659" t="s">
        <v>2122</v>
      </c>
      <c r="AO306" s="253" t="s">
        <v>34</v>
      </c>
      <c r="AP306" s="944" t="s">
        <v>1746</v>
      </c>
      <c r="AQ306" s="663" t="s">
        <v>668</v>
      </c>
      <c r="AR306" s="658">
        <v>4.0000000000000001E-3</v>
      </c>
      <c r="AS306" s="658">
        <v>4.0000000000000001E-3</v>
      </c>
      <c r="AT306" s="658" t="s">
        <v>1417</v>
      </c>
      <c r="AU306" s="658" t="s">
        <v>2751</v>
      </c>
      <c r="AX306"/>
      <c r="AY306"/>
      <c r="BA306"/>
      <c r="BB306"/>
      <c r="BC306"/>
      <c r="BD306"/>
      <c r="BE306"/>
      <c r="BF306"/>
      <c r="BG306"/>
      <c r="BH306"/>
      <c r="BI306"/>
      <c r="BJ306"/>
      <c r="BR306"/>
      <c r="BS306"/>
      <c r="BT306"/>
      <c r="BU306"/>
      <c r="BX306"/>
      <c r="BY306"/>
      <c r="CA306"/>
    </row>
    <row r="307" spans="2:79" ht="18.75">
      <c r="B307" s="252" t="s">
        <v>782</v>
      </c>
      <c r="C307" s="251">
        <v>41544414000169</v>
      </c>
      <c r="D307" s="252" t="s">
        <v>14</v>
      </c>
      <c r="E307" s="252" t="s">
        <v>614</v>
      </c>
      <c r="F307" s="252" t="s">
        <v>1417</v>
      </c>
      <c r="G307" s="253" t="s">
        <v>1417</v>
      </c>
      <c r="H307" s="253" t="s">
        <v>1337</v>
      </c>
      <c r="I307" s="253" t="s">
        <v>34</v>
      </c>
      <c r="J307" s="253" t="s">
        <v>611</v>
      </c>
      <c r="K307" s="253" t="s">
        <v>48</v>
      </c>
      <c r="L307" s="655"/>
      <c r="M307" s="655" t="s">
        <v>34</v>
      </c>
      <c r="N307" s="253" t="s">
        <v>2883</v>
      </c>
      <c r="O307" s="253" t="s">
        <v>1321</v>
      </c>
      <c r="P307" s="656">
        <v>44310</v>
      </c>
      <c r="Q307" s="657">
        <v>21.297687119999999</v>
      </c>
      <c r="R307" s="657">
        <v>24.706273286900814</v>
      </c>
      <c r="S307" s="253">
        <v>17</v>
      </c>
      <c r="T307" s="658">
        <v>2.6530407294491853E-2</v>
      </c>
      <c r="U307" s="659">
        <v>1.326627823327436</v>
      </c>
      <c r="V307" s="658">
        <v>8.3843159611167284E-2</v>
      </c>
      <c r="W307" s="659">
        <v>0.65022970042464145</v>
      </c>
      <c r="X307" s="658"/>
      <c r="Y307" s="659"/>
      <c r="Z307" s="658"/>
      <c r="AA307" s="659"/>
      <c r="AB307" s="658">
        <v>8.8001378161441254E-2</v>
      </c>
      <c r="AC307" s="660">
        <v>-0.5125004946272812</v>
      </c>
      <c r="AD307" s="682">
        <v>41544386000180</v>
      </c>
      <c r="AE307" s="944" t="s">
        <v>2052</v>
      </c>
      <c r="AF307" s="661" t="s">
        <v>1745</v>
      </c>
      <c r="AG307" s="662" t="s">
        <v>1432</v>
      </c>
      <c r="AH307" s="662" t="s">
        <v>1801</v>
      </c>
      <c r="AI307" s="662">
        <v>5000</v>
      </c>
      <c r="AJ307" s="662">
        <v>1000</v>
      </c>
      <c r="AK307" s="662">
        <v>5000</v>
      </c>
      <c r="AL307" s="658">
        <v>1.8700000000000001E-2</v>
      </c>
      <c r="AM307" s="658">
        <v>0.2</v>
      </c>
      <c r="AN307" s="659" t="s">
        <v>2122</v>
      </c>
      <c r="AO307" s="253" t="s">
        <v>34</v>
      </c>
      <c r="AP307" s="944" t="s">
        <v>1746</v>
      </c>
      <c r="AQ307" s="663" t="s">
        <v>668</v>
      </c>
      <c r="AR307" s="658">
        <v>4.9872900000000001E-3</v>
      </c>
      <c r="AS307" s="658">
        <v>4.9872900000000001E-3</v>
      </c>
      <c r="AT307" s="658" t="s">
        <v>1417</v>
      </c>
      <c r="AU307" s="658" t="s">
        <v>2751</v>
      </c>
      <c r="AX307"/>
      <c r="AY307"/>
      <c r="BA307"/>
      <c r="BB307"/>
      <c r="BC307"/>
      <c r="BD307"/>
      <c r="BE307"/>
      <c r="BF307"/>
      <c r="BG307"/>
      <c r="BH307"/>
      <c r="BI307"/>
      <c r="BJ307"/>
      <c r="BR307"/>
      <c r="BS307"/>
      <c r="BT307"/>
      <c r="BU307"/>
      <c r="BX307"/>
      <c r="BY307"/>
      <c r="CA307"/>
    </row>
    <row r="308" spans="2:79" ht="18.75">
      <c r="B308" s="252" t="s">
        <v>1497</v>
      </c>
      <c r="C308" s="251">
        <v>45124029000113</v>
      </c>
      <c r="D308" s="252" t="s">
        <v>14</v>
      </c>
      <c r="E308" s="252" t="s">
        <v>607</v>
      </c>
      <c r="F308" s="252" t="s">
        <v>1417</v>
      </c>
      <c r="G308" s="253" t="s">
        <v>1417</v>
      </c>
      <c r="H308" s="253" t="s">
        <v>34</v>
      </c>
      <c r="I308" s="253" t="s">
        <v>34</v>
      </c>
      <c r="J308" s="253" t="s">
        <v>608</v>
      </c>
      <c r="K308" s="253" t="s">
        <v>48</v>
      </c>
      <c r="L308" s="655"/>
      <c r="M308" s="655" t="s">
        <v>34</v>
      </c>
      <c r="N308" s="253" t="s">
        <v>2884</v>
      </c>
      <c r="O308" s="253" t="s">
        <v>1324</v>
      </c>
      <c r="P308" s="656">
        <v>44699</v>
      </c>
      <c r="Q308" s="657">
        <v>786.33444242999997</v>
      </c>
      <c r="R308" s="657">
        <v>763.97965952638947</v>
      </c>
      <c r="S308" s="253">
        <v>182</v>
      </c>
      <c r="T308" s="658">
        <v>1.3291450248188674E-2</v>
      </c>
      <c r="U308" s="659">
        <v>0.66462634801993059</v>
      </c>
      <c r="V308" s="658"/>
      <c r="W308" s="659"/>
      <c r="X308" s="658"/>
      <c r="Y308" s="659"/>
      <c r="Z308" s="658"/>
      <c r="AA308" s="659"/>
      <c r="AB308" s="658">
        <v>0.19345694446006209</v>
      </c>
      <c r="AC308" s="660"/>
      <c r="AD308" s="682">
        <v>11188572000162</v>
      </c>
      <c r="AE308" s="944" t="s">
        <v>2071</v>
      </c>
      <c r="AF308" s="661" t="s">
        <v>1745</v>
      </c>
      <c r="AG308" s="662" t="s">
        <v>1432</v>
      </c>
      <c r="AH308" s="662" t="s">
        <v>1730</v>
      </c>
      <c r="AI308" s="662">
        <v>500000</v>
      </c>
      <c r="AJ308" s="662">
        <v>50000</v>
      </c>
      <c r="AK308" s="662">
        <v>50000</v>
      </c>
      <c r="AL308" s="658">
        <v>1.3500000000000002E-2</v>
      </c>
      <c r="AM308" s="658">
        <v>0.2</v>
      </c>
      <c r="AN308" s="659" t="s">
        <v>2127</v>
      </c>
      <c r="AO308" s="253" t="s">
        <v>34</v>
      </c>
      <c r="AP308" s="944" t="s">
        <v>1731</v>
      </c>
      <c r="AQ308" s="663" t="s">
        <v>659</v>
      </c>
      <c r="AR308" s="658">
        <v>0</v>
      </c>
      <c r="AS308" s="658">
        <v>0</v>
      </c>
      <c r="AT308" s="658" t="s">
        <v>1417</v>
      </c>
      <c r="AU308" s="658" t="s">
        <v>2751</v>
      </c>
      <c r="AX308"/>
      <c r="AY308"/>
      <c r="BA308"/>
      <c r="BB308"/>
      <c r="BC308"/>
      <c r="BD308"/>
      <c r="BE308"/>
      <c r="BF308"/>
      <c r="BG308"/>
      <c r="BH308"/>
      <c r="BI308"/>
      <c r="BJ308"/>
      <c r="BR308"/>
      <c r="BS308"/>
      <c r="BT308"/>
      <c r="BU308"/>
      <c r="BX308"/>
      <c r="BY308"/>
      <c r="CA308"/>
    </row>
    <row r="309" spans="2:79" ht="18.75">
      <c r="B309" s="252" t="s">
        <v>100</v>
      </c>
      <c r="C309" s="251">
        <v>34218678000167</v>
      </c>
      <c r="D309" s="252" t="s">
        <v>11</v>
      </c>
      <c r="E309" s="252" t="s">
        <v>620</v>
      </c>
      <c r="F309" s="252" t="s">
        <v>685</v>
      </c>
      <c r="G309" s="253" t="s">
        <v>738</v>
      </c>
      <c r="H309" s="253" t="s">
        <v>34</v>
      </c>
      <c r="I309" s="253" t="s">
        <v>1319</v>
      </c>
      <c r="J309" s="253" t="s">
        <v>608</v>
      </c>
      <c r="K309" s="253" t="s">
        <v>48</v>
      </c>
      <c r="L309" s="655"/>
      <c r="M309" s="655" t="s">
        <v>34</v>
      </c>
      <c r="N309" s="253" t="s">
        <v>2885</v>
      </c>
      <c r="O309" s="253" t="s">
        <v>1321</v>
      </c>
      <c r="P309" s="656">
        <v>43828</v>
      </c>
      <c r="Q309" s="657">
        <v>366.68536945</v>
      </c>
      <c r="R309" s="657">
        <v>380.78965415341361</v>
      </c>
      <c r="S309" s="253">
        <v>180</v>
      </c>
      <c r="T309" s="658">
        <v>-1.1664266656777555E-2</v>
      </c>
      <c r="U309" s="659">
        <v>-0.58326057771469952</v>
      </c>
      <c r="V309" s="658">
        <v>0.1096243340274099</v>
      </c>
      <c r="W309" s="659">
        <v>0.8501707021117495</v>
      </c>
      <c r="X309" s="658">
        <v>0.2159827264931824</v>
      </c>
      <c r="Y309" s="659">
        <v>1.1185729371308237</v>
      </c>
      <c r="Z309" s="658">
        <v>0.26497195931426054</v>
      </c>
      <c r="AA309" s="659">
        <v>1.1964217975562963</v>
      </c>
      <c r="AB309" s="658">
        <v>2.015900249912457E-2</v>
      </c>
      <c r="AC309" s="660">
        <v>-0.95835969166715618</v>
      </c>
      <c r="AD309" s="682">
        <v>0</v>
      </c>
      <c r="AE309" s="944" t="s">
        <v>1873</v>
      </c>
      <c r="AF309" s="661" t="s">
        <v>1783</v>
      </c>
      <c r="AG309" s="662" t="s">
        <v>736</v>
      </c>
      <c r="AH309" s="662" t="s">
        <v>1730</v>
      </c>
      <c r="AI309" s="662">
        <v>5000</v>
      </c>
      <c r="AJ309" s="662">
        <v>0</v>
      </c>
      <c r="AK309" s="662">
        <v>0</v>
      </c>
      <c r="AL309" s="658">
        <v>1.1000000000000001E-2</v>
      </c>
      <c r="AM309" s="658">
        <v>0.2</v>
      </c>
      <c r="AN309" s="659" t="s">
        <v>64</v>
      </c>
      <c r="AO309" s="253" t="s">
        <v>34</v>
      </c>
      <c r="AP309" s="944" t="s">
        <v>1746</v>
      </c>
      <c r="AQ309" s="663" t="s">
        <v>671</v>
      </c>
      <c r="AR309" s="658">
        <v>2.7499999999999998E-3</v>
      </c>
      <c r="AS309" s="658">
        <v>2.7499999999999998E-3</v>
      </c>
      <c r="AT309" s="658" t="s">
        <v>1417</v>
      </c>
      <c r="AU309" s="658" t="s">
        <v>2751</v>
      </c>
      <c r="AX309"/>
      <c r="AY309"/>
      <c r="BA309"/>
      <c r="BB309"/>
      <c r="BC309"/>
      <c r="BD309"/>
      <c r="BE309"/>
      <c r="BF309"/>
      <c r="BG309"/>
      <c r="BH309"/>
      <c r="BI309"/>
      <c r="BJ309"/>
      <c r="BR309"/>
      <c r="BS309"/>
      <c r="BT309"/>
      <c r="BU309"/>
      <c r="BX309"/>
      <c r="BY309"/>
      <c r="CA309"/>
    </row>
    <row r="310" spans="2:79" ht="18.75">
      <c r="B310" s="252" t="s">
        <v>783</v>
      </c>
      <c r="C310" s="251">
        <v>14237118000142</v>
      </c>
      <c r="D310" s="252" t="s">
        <v>11</v>
      </c>
      <c r="E310" s="252" t="s">
        <v>620</v>
      </c>
      <c r="F310" s="252" t="s">
        <v>663</v>
      </c>
      <c r="G310" s="253" t="s">
        <v>738</v>
      </c>
      <c r="H310" s="253" t="s">
        <v>34</v>
      </c>
      <c r="I310" s="253" t="s">
        <v>1417</v>
      </c>
      <c r="J310" s="253" t="s">
        <v>608</v>
      </c>
      <c r="K310" s="253" t="s">
        <v>48</v>
      </c>
      <c r="L310" s="655"/>
      <c r="M310" s="655" t="s">
        <v>34</v>
      </c>
      <c r="N310" s="253" t="s">
        <v>2886</v>
      </c>
      <c r="O310" s="253" t="s">
        <v>1321</v>
      </c>
      <c r="P310" s="656">
        <v>40883</v>
      </c>
      <c r="Q310" s="657">
        <v>0</v>
      </c>
      <c r="R310" s="657">
        <v>0</v>
      </c>
      <c r="S310" s="253">
        <v>45</v>
      </c>
      <c r="T310" s="658"/>
      <c r="U310" s="659"/>
      <c r="V310" s="658"/>
      <c r="W310" s="659"/>
      <c r="X310" s="658"/>
      <c r="Y310" s="659"/>
      <c r="Z310" s="658"/>
      <c r="AA310" s="659"/>
      <c r="AB310" s="658"/>
      <c r="AC310" s="660"/>
      <c r="AD310" s="682">
        <v>0</v>
      </c>
      <c r="AE310" s="944" t="s">
        <v>1873</v>
      </c>
      <c r="AF310" s="661" t="s">
        <v>1783</v>
      </c>
      <c r="AG310" s="662" t="s">
        <v>736</v>
      </c>
      <c r="AH310" s="662" t="s">
        <v>1734</v>
      </c>
      <c r="AI310" s="662">
        <v>500</v>
      </c>
      <c r="AJ310" s="662">
        <v>500</v>
      </c>
      <c r="AK310" s="662">
        <v>500</v>
      </c>
      <c r="AL310" s="658">
        <v>6.0000000000000001E-3</v>
      </c>
      <c r="AM310" s="658">
        <v>0.2</v>
      </c>
      <c r="AN310" s="659" t="s">
        <v>64</v>
      </c>
      <c r="AO310" s="253" t="s">
        <v>34</v>
      </c>
      <c r="AP310" s="944" t="s">
        <v>1735</v>
      </c>
      <c r="AQ310" s="663" t="s">
        <v>675</v>
      </c>
      <c r="AR310" s="658">
        <v>1.5E-3</v>
      </c>
      <c r="AS310" s="658">
        <v>1.5E-3</v>
      </c>
      <c r="AT310" s="658" t="s">
        <v>1417</v>
      </c>
      <c r="AU310" s="658" t="s">
        <v>2751</v>
      </c>
      <c r="AX310"/>
      <c r="AY310"/>
      <c r="BA310"/>
      <c r="BB310"/>
      <c r="BC310"/>
      <c r="BD310"/>
      <c r="BE310"/>
      <c r="BF310"/>
      <c r="BG310"/>
      <c r="BH310"/>
      <c r="BI310"/>
      <c r="BJ310"/>
      <c r="BR310"/>
      <c r="BS310"/>
      <c r="BT310"/>
      <c r="BU310"/>
      <c r="BX310"/>
      <c r="BY310"/>
      <c r="CA310"/>
    </row>
    <row r="311" spans="2:79" ht="18.75">
      <c r="B311" s="252" t="s">
        <v>103</v>
      </c>
      <c r="C311" s="251">
        <v>30353549000120</v>
      </c>
      <c r="D311" s="252" t="s">
        <v>11</v>
      </c>
      <c r="E311" s="252" t="s">
        <v>620</v>
      </c>
      <c r="F311" s="252" t="s">
        <v>685</v>
      </c>
      <c r="G311" s="253" t="s">
        <v>738</v>
      </c>
      <c r="H311" s="253" t="s">
        <v>34</v>
      </c>
      <c r="I311" s="253" t="s">
        <v>1319</v>
      </c>
      <c r="J311" s="253" t="s">
        <v>608</v>
      </c>
      <c r="K311" s="253" t="s">
        <v>48</v>
      </c>
      <c r="L311" s="655"/>
      <c r="M311" s="655" t="s">
        <v>34</v>
      </c>
      <c r="N311" s="253" t="s">
        <v>2888</v>
      </c>
      <c r="O311" s="253" t="s">
        <v>1321</v>
      </c>
      <c r="P311" s="656">
        <v>43525</v>
      </c>
      <c r="Q311" s="657">
        <v>0</v>
      </c>
      <c r="R311" s="657">
        <v>0</v>
      </c>
      <c r="S311" s="253">
        <v>721</v>
      </c>
      <c r="T311" s="658"/>
      <c r="U311" s="659"/>
      <c r="V311" s="658"/>
      <c r="W311" s="659"/>
      <c r="X311" s="658"/>
      <c r="Y311" s="659"/>
      <c r="Z311" s="658"/>
      <c r="AA311" s="659"/>
      <c r="AB311" s="658"/>
      <c r="AC311" s="660"/>
      <c r="AD311" s="682">
        <v>0</v>
      </c>
      <c r="AE311" s="944" t="s">
        <v>1873</v>
      </c>
      <c r="AF311" s="661" t="s">
        <v>1783</v>
      </c>
      <c r="AG311" s="662" t="s">
        <v>736</v>
      </c>
      <c r="AH311" s="662" t="s">
        <v>1801</v>
      </c>
      <c r="AI311" s="662">
        <v>10000</v>
      </c>
      <c r="AJ311" s="662">
        <v>0</v>
      </c>
      <c r="AK311" s="662">
        <v>5000</v>
      </c>
      <c r="AL311" s="658">
        <v>1.55E-2</v>
      </c>
      <c r="AM311" s="658">
        <v>0.2</v>
      </c>
      <c r="AN311" s="659" t="s">
        <v>64</v>
      </c>
      <c r="AO311" s="253" t="s">
        <v>34</v>
      </c>
      <c r="AP311" s="944" t="s">
        <v>1746</v>
      </c>
      <c r="AQ311" s="663" t="s">
        <v>668</v>
      </c>
      <c r="AR311" s="658">
        <v>2.5833333333333298E-3</v>
      </c>
      <c r="AS311" s="658">
        <v>2.5833333333333298E-3</v>
      </c>
      <c r="AT311" s="658" t="s">
        <v>1417</v>
      </c>
      <c r="AU311" s="658" t="s">
        <v>2751</v>
      </c>
      <c r="AX311"/>
      <c r="AY311"/>
      <c r="BA311"/>
      <c r="BB311"/>
      <c r="BC311"/>
      <c r="BD311"/>
      <c r="BE311"/>
      <c r="BF311"/>
      <c r="BG311"/>
      <c r="BH311"/>
      <c r="BI311"/>
      <c r="BJ311"/>
      <c r="BR311"/>
      <c r="BS311"/>
      <c r="BT311"/>
      <c r="BU311"/>
      <c r="BX311"/>
      <c r="BY311"/>
      <c r="CA311"/>
    </row>
    <row r="312" spans="2:79" ht="18.75">
      <c r="B312" s="252" t="s">
        <v>104</v>
      </c>
      <c r="C312" s="251">
        <v>32065814000109</v>
      </c>
      <c r="D312" s="252" t="s">
        <v>14</v>
      </c>
      <c r="E312" s="252" t="s">
        <v>607</v>
      </c>
      <c r="F312" s="252" t="s">
        <v>1417</v>
      </c>
      <c r="G312" s="253" t="s">
        <v>1417</v>
      </c>
      <c r="H312" s="253" t="s">
        <v>34</v>
      </c>
      <c r="I312" s="253" t="s">
        <v>34</v>
      </c>
      <c r="J312" s="253" t="s">
        <v>608</v>
      </c>
      <c r="K312" s="253" t="s">
        <v>48</v>
      </c>
      <c r="L312" s="655"/>
      <c r="M312" s="655" t="s">
        <v>34</v>
      </c>
      <c r="N312" s="253" t="s">
        <v>2889</v>
      </c>
      <c r="O312" s="253" t="s">
        <v>1321</v>
      </c>
      <c r="P312" s="656">
        <v>43397</v>
      </c>
      <c r="Q312" s="657">
        <v>71.42858871</v>
      </c>
      <c r="R312" s="657">
        <v>70.352167907911678</v>
      </c>
      <c r="S312" s="253">
        <v>12</v>
      </c>
      <c r="T312" s="658">
        <v>-3.3026599119355238E-2</v>
      </c>
      <c r="U312" s="659">
        <v>-1.6514637267070738</v>
      </c>
      <c r="V312" s="658">
        <v>-2.4948560195342973E-2</v>
      </c>
      <c r="W312" s="659">
        <v>-0.19348382023145161</v>
      </c>
      <c r="X312" s="658">
        <v>2.2547362674021354E-3</v>
      </c>
      <c r="Y312" s="659">
        <v>1.1677262390531993E-2</v>
      </c>
      <c r="Z312" s="658">
        <v>0.27201540188653839</v>
      </c>
      <c r="AA312" s="659">
        <v>1.2282248919105738</v>
      </c>
      <c r="AB312" s="658">
        <v>0.18080448008320704</v>
      </c>
      <c r="AC312" s="660">
        <v>-0.85115407301472457</v>
      </c>
      <c r="AD312" s="682">
        <v>0</v>
      </c>
      <c r="AE312" s="944" t="s">
        <v>1985</v>
      </c>
      <c r="AF312" s="661" t="s">
        <v>1745</v>
      </c>
      <c r="AG312" s="662" t="s">
        <v>1432</v>
      </c>
      <c r="AH312" s="662" t="s">
        <v>1734</v>
      </c>
      <c r="AI312" s="662">
        <v>1000</v>
      </c>
      <c r="AJ312" s="662">
        <v>1000</v>
      </c>
      <c r="AK312" s="662">
        <v>1000</v>
      </c>
      <c r="AL312" s="658">
        <v>0.02</v>
      </c>
      <c r="AM312" s="658">
        <v>0.2</v>
      </c>
      <c r="AN312" s="659" t="s">
        <v>2127</v>
      </c>
      <c r="AO312" s="253" t="s">
        <v>34</v>
      </c>
      <c r="AP312" s="944" t="s">
        <v>1731</v>
      </c>
      <c r="AQ312" s="663" t="s">
        <v>659</v>
      </c>
      <c r="AR312" s="658">
        <v>6.6666666666666697E-3</v>
      </c>
      <c r="AS312" s="658">
        <v>6.6666666666666697E-3</v>
      </c>
      <c r="AT312" s="658" t="s">
        <v>1417</v>
      </c>
      <c r="AU312" s="658" t="s">
        <v>2751</v>
      </c>
      <c r="AX312"/>
      <c r="AY312"/>
      <c r="BA312"/>
      <c r="BB312"/>
      <c r="BC312"/>
      <c r="BD312"/>
      <c r="BE312"/>
      <c r="BF312"/>
      <c r="BG312"/>
      <c r="BH312"/>
      <c r="BI312"/>
      <c r="BJ312"/>
      <c r="BR312"/>
      <c r="BS312"/>
      <c r="BT312"/>
      <c r="BU312"/>
      <c r="BX312"/>
      <c r="BY312"/>
      <c r="CA312"/>
    </row>
    <row r="313" spans="2:79" ht="18.75">
      <c r="B313" s="252" t="s">
        <v>784</v>
      </c>
      <c r="C313" s="251">
        <v>7279657000189</v>
      </c>
      <c r="D313" s="252" t="s">
        <v>14</v>
      </c>
      <c r="E313" s="252" t="s">
        <v>607</v>
      </c>
      <c r="F313" s="252" t="s">
        <v>1417</v>
      </c>
      <c r="G313" s="253" t="s">
        <v>1417</v>
      </c>
      <c r="H313" s="253" t="s">
        <v>34</v>
      </c>
      <c r="I313" s="253" t="s">
        <v>34</v>
      </c>
      <c r="J313" s="253" t="s">
        <v>608</v>
      </c>
      <c r="K313" s="253" t="s">
        <v>48</v>
      </c>
      <c r="L313" s="655"/>
      <c r="M313" s="655" t="s">
        <v>34</v>
      </c>
      <c r="N313" s="253" t="s">
        <v>2890</v>
      </c>
      <c r="O313" s="253" t="s">
        <v>1321</v>
      </c>
      <c r="P313" s="656">
        <v>38506</v>
      </c>
      <c r="Q313" s="657">
        <v>262.67859199999998</v>
      </c>
      <c r="R313" s="657">
        <v>328.44860489024387</v>
      </c>
      <c r="S313" s="253">
        <v>3</v>
      </c>
      <c r="T313" s="658">
        <v>-2.971342429473034E-2</v>
      </c>
      <c r="U313" s="659">
        <v>-1.4857915658123584</v>
      </c>
      <c r="V313" s="658">
        <v>-9.3670442437952972E-2</v>
      </c>
      <c r="W313" s="659">
        <v>-0.72644332593784289</v>
      </c>
      <c r="X313" s="658">
        <v>-0.15026422882327561</v>
      </c>
      <c r="Y313" s="659">
        <v>-0.77821732556864986</v>
      </c>
      <c r="Z313" s="658">
        <v>-0.18475560491996557</v>
      </c>
      <c r="AA313" s="659">
        <v>-0.83422273631898847</v>
      </c>
      <c r="AB313" s="658">
        <v>0.19844573643169422</v>
      </c>
      <c r="AC313" s="660">
        <v>-1.1217895425098541</v>
      </c>
      <c r="AD313" s="682">
        <v>11977607000142</v>
      </c>
      <c r="AE313" s="944" t="s">
        <v>1772</v>
      </c>
      <c r="AF313" s="661" t="s">
        <v>1769</v>
      </c>
      <c r="AG313" s="662" t="s">
        <v>719</v>
      </c>
      <c r="AH313" s="662" t="s">
        <v>1734</v>
      </c>
      <c r="AI313" s="662">
        <v>1000</v>
      </c>
      <c r="AJ313" s="662">
        <v>500</v>
      </c>
      <c r="AK313" s="662">
        <v>500</v>
      </c>
      <c r="AL313" s="658">
        <v>0.02</v>
      </c>
      <c r="AM313" s="658">
        <v>0.2</v>
      </c>
      <c r="AN313" s="659" t="s">
        <v>666</v>
      </c>
      <c r="AO313" s="253" t="s">
        <v>34</v>
      </c>
      <c r="AP313" s="944" t="s">
        <v>1731</v>
      </c>
      <c r="AQ313" s="663" t="s">
        <v>659</v>
      </c>
      <c r="AR313" s="658">
        <v>5.5999999999999999E-3</v>
      </c>
      <c r="AS313" s="658">
        <v>5.5999999999999999E-3</v>
      </c>
      <c r="AT313" s="658" t="s">
        <v>1417</v>
      </c>
      <c r="AU313" s="658" t="s">
        <v>2751</v>
      </c>
      <c r="AX313"/>
      <c r="AY313"/>
      <c r="BA313"/>
      <c r="BB313"/>
      <c r="BC313"/>
      <c r="BD313"/>
      <c r="BE313"/>
      <c r="BF313"/>
      <c r="BG313"/>
      <c r="BH313"/>
      <c r="BI313"/>
      <c r="BJ313"/>
      <c r="BR313"/>
      <c r="BS313"/>
      <c r="BT313"/>
      <c r="BU313"/>
      <c r="BX313"/>
      <c r="BY313"/>
      <c r="CA313"/>
    </row>
    <row r="314" spans="2:79" ht="18.75">
      <c r="B314" s="252" t="s">
        <v>105</v>
      </c>
      <c r="C314" s="251">
        <v>22100009000107</v>
      </c>
      <c r="D314" s="252" t="s">
        <v>11</v>
      </c>
      <c r="E314" s="252" t="s">
        <v>620</v>
      </c>
      <c r="F314" s="252" t="s">
        <v>663</v>
      </c>
      <c r="G314" s="253" t="s">
        <v>738</v>
      </c>
      <c r="H314" s="253" t="s">
        <v>34</v>
      </c>
      <c r="I314" s="253" t="s">
        <v>1417</v>
      </c>
      <c r="J314" s="253" t="s">
        <v>608</v>
      </c>
      <c r="K314" s="253" t="s">
        <v>48</v>
      </c>
      <c r="L314" s="655"/>
      <c r="M314" s="655" t="s">
        <v>34</v>
      </c>
      <c r="N314" s="253" t="s">
        <v>2891</v>
      </c>
      <c r="O314" s="253" t="s">
        <v>1321</v>
      </c>
      <c r="P314" s="656">
        <v>42355</v>
      </c>
      <c r="Q314" s="657">
        <v>694.26959899999997</v>
      </c>
      <c r="R314" s="657">
        <v>692.56929352822499</v>
      </c>
      <c r="S314" s="253">
        <v>45</v>
      </c>
      <c r="T314" s="658">
        <v>-1.1785203147646861E-2</v>
      </c>
      <c r="U314" s="659">
        <v>-0.58930789209860324</v>
      </c>
      <c r="V314" s="658">
        <v>0.10662890904414302</v>
      </c>
      <c r="W314" s="659">
        <v>0.82694025256110193</v>
      </c>
      <c r="X314" s="658">
        <v>0.19678431530206031</v>
      </c>
      <c r="Y314" s="659">
        <v>1.0191445080940387</v>
      </c>
      <c r="Z314" s="658">
        <v>0.22692375957833089</v>
      </c>
      <c r="AA314" s="659">
        <v>1.024623635820048</v>
      </c>
      <c r="AB314" s="658">
        <v>9.7869676372411788E-3</v>
      </c>
      <c r="AC314" s="660">
        <v>-2.2800729735462424</v>
      </c>
      <c r="AD314" s="682">
        <v>23556180000198</v>
      </c>
      <c r="AE314" s="944" t="s">
        <v>1882</v>
      </c>
      <c r="AF314" s="661" t="s">
        <v>1729</v>
      </c>
      <c r="AG314" s="662" t="s">
        <v>1433</v>
      </c>
      <c r="AH314" s="662" t="s">
        <v>1734</v>
      </c>
      <c r="AI314" s="662">
        <v>10000</v>
      </c>
      <c r="AJ314" s="662">
        <v>5000</v>
      </c>
      <c r="AK314" s="662">
        <v>5000</v>
      </c>
      <c r="AL314" s="658">
        <v>8.0000000000000002E-3</v>
      </c>
      <c r="AM314" s="658">
        <v>0.2</v>
      </c>
      <c r="AN314" s="659" t="s">
        <v>34</v>
      </c>
      <c r="AO314" s="253" t="s">
        <v>34</v>
      </c>
      <c r="AP314" s="944" t="s">
        <v>1746</v>
      </c>
      <c r="AQ314" s="663" t="s">
        <v>686</v>
      </c>
      <c r="AR314" s="658">
        <v>2.32E-3</v>
      </c>
      <c r="AS314" s="658">
        <v>2.32E-3</v>
      </c>
      <c r="AT314" s="658" t="s">
        <v>1417</v>
      </c>
      <c r="AU314" s="658" t="s">
        <v>2751</v>
      </c>
      <c r="AX314"/>
      <c r="AY314"/>
      <c r="BA314"/>
      <c r="BB314"/>
      <c r="BC314"/>
      <c r="BD314"/>
      <c r="BE314"/>
      <c r="BF314"/>
      <c r="BG314"/>
      <c r="BH314"/>
      <c r="BI314"/>
      <c r="BJ314"/>
      <c r="BR314"/>
      <c r="BS314"/>
      <c r="BT314"/>
      <c r="BU314"/>
      <c r="BX314"/>
      <c r="BY314"/>
      <c r="CA314"/>
    </row>
    <row r="315" spans="2:79" ht="18.75">
      <c r="B315" s="252" t="s">
        <v>785</v>
      </c>
      <c r="C315" s="251">
        <v>40102910000108</v>
      </c>
      <c r="D315" s="252" t="s">
        <v>14</v>
      </c>
      <c r="E315" s="252" t="s">
        <v>607</v>
      </c>
      <c r="F315" s="252" t="s">
        <v>1417</v>
      </c>
      <c r="G315" s="253" t="s">
        <v>1417</v>
      </c>
      <c r="H315" s="253" t="s">
        <v>34</v>
      </c>
      <c r="I315" s="253" t="s">
        <v>34</v>
      </c>
      <c r="J315" s="253" t="s">
        <v>612</v>
      </c>
      <c r="K315" s="253" t="s">
        <v>49</v>
      </c>
      <c r="L315" s="655"/>
      <c r="M315" s="655" t="s">
        <v>34</v>
      </c>
      <c r="N315" s="253" t="s">
        <v>2892</v>
      </c>
      <c r="O315" s="253" t="s">
        <v>1321</v>
      </c>
      <c r="P315" s="656">
        <v>44255</v>
      </c>
      <c r="Q315" s="657">
        <v>6.5539496899999996</v>
      </c>
      <c r="R315" s="657">
        <v>9.0839482148770472</v>
      </c>
      <c r="S315" s="253">
        <v>5</v>
      </c>
      <c r="T315" s="658">
        <v>-2.9902324472010577E-2</v>
      </c>
      <c r="U315" s="659">
        <v>-1.4952373397965171</v>
      </c>
      <c r="V315" s="658">
        <v>-0.20204632708511139</v>
      </c>
      <c r="W315" s="659">
        <v>-1.5669319159932127</v>
      </c>
      <c r="X315" s="658"/>
      <c r="Y315" s="659"/>
      <c r="Z315" s="658"/>
      <c r="AA315" s="659"/>
      <c r="AB315" s="658">
        <v>0.36055220864695781</v>
      </c>
      <c r="AC315" s="660">
        <v>-0.91800917757238232</v>
      </c>
      <c r="AD315" s="682">
        <v>40103126000106</v>
      </c>
      <c r="AE315" s="944" t="s">
        <v>1772</v>
      </c>
      <c r="AF315" s="661" t="s">
        <v>1769</v>
      </c>
      <c r="AG315" s="662" t="s">
        <v>719</v>
      </c>
      <c r="AH315" s="662" t="s">
        <v>1730</v>
      </c>
      <c r="AI315" s="662">
        <v>0</v>
      </c>
      <c r="AJ315" s="662">
        <v>0</v>
      </c>
      <c r="AK315" s="662">
        <v>0</v>
      </c>
      <c r="AL315" s="658">
        <v>0.01</v>
      </c>
      <c r="AM315" s="658">
        <v>0</v>
      </c>
      <c r="AN315" s="659" t="s">
        <v>2122</v>
      </c>
      <c r="AO315" s="253" t="s">
        <v>34</v>
      </c>
      <c r="AP315" s="944" t="s">
        <v>1731</v>
      </c>
      <c r="AQ315" s="663" t="s">
        <v>687</v>
      </c>
      <c r="AR315" s="658">
        <v>5.3333333333333297E-3</v>
      </c>
      <c r="AS315" s="658">
        <v>5.3333333333333297E-3</v>
      </c>
      <c r="AT315" s="658" t="s">
        <v>1417</v>
      </c>
      <c r="AU315" s="658" t="s">
        <v>2751</v>
      </c>
      <c r="AX315"/>
      <c r="AY315"/>
      <c r="BA315"/>
      <c r="BB315"/>
      <c r="BC315"/>
      <c r="BD315"/>
      <c r="BE315"/>
      <c r="BF315"/>
      <c r="BG315"/>
      <c r="BH315"/>
      <c r="BI315"/>
      <c r="BJ315"/>
      <c r="BR315"/>
      <c r="BS315"/>
      <c r="BT315"/>
      <c r="BU315"/>
      <c r="BX315"/>
      <c r="BY315"/>
      <c r="CA315"/>
    </row>
    <row r="316" spans="2:79" ht="18.75">
      <c r="B316" s="252" t="s">
        <v>1498</v>
      </c>
      <c r="C316" s="251">
        <v>26387057000189</v>
      </c>
      <c r="D316" s="252" t="s">
        <v>11</v>
      </c>
      <c r="E316" s="252" t="s">
        <v>620</v>
      </c>
      <c r="F316" s="252" t="s">
        <v>663</v>
      </c>
      <c r="G316" s="253" t="s">
        <v>738</v>
      </c>
      <c r="H316" s="253" t="s">
        <v>34</v>
      </c>
      <c r="I316" s="253" t="s">
        <v>1417</v>
      </c>
      <c r="J316" s="253" t="s">
        <v>608</v>
      </c>
      <c r="K316" s="253" t="s">
        <v>48</v>
      </c>
      <c r="L316" s="655"/>
      <c r="M316" s="655" t="s">
        <v>34</v>
      </c>
      <c r="N316" s="253" t="s">
        <v>2893</v>
      </c>
      <c r="O316" s="253" t="s">
        <v>1321</v>
      </c>
      <c r="P316" s="656">
        <v>42693</v>
      </c>
      <c r="Q316" s="657">
        <v>0</v>
      </c>
      <c r="R316" s="657">
        <v>1.995129222222223</v>
      </c>
      <c r="S316" s="253">
        <v>6</v>
      </c>
      <c r="T316" s="658"/>
      <c r="U316" s="659"/>
      <c r="V316" s="658">
        <v>2.3437979657409125E-2</v>
      </c>
      <c r="W316" s="659">
        <v>0.18176879976701299</v>
      </c>
      <c r="X316" s="658">
        <v>7.9836077078323076E-2</v>
      </c>
      <c r="Y316" s="659">
        <v>0.41347045051457643</v>
      </c>
      <c r="Z316" s="658">
        <v>8.9825742262930275E-2</v>
      </c>
      <c r="AA316" s="659">
        <v>0.40558810941041229</v>
      </c>
      <c r="AB316" s="658">
        <v>5.3305065118921446E-3</v>
      </c>
      <c r="AC316" s="660">
        <v>-19.792852621791148</v>
      </c>
      <c r="AD316" s="682">
        <v>19782311000188</v>
      </c>
      <c r="AE316" s="944" t="s">
        <v>1772</v>
      </c>
      <c r="AF316" s="661" t="s">
        <v>1729</v>
      </c>
      <c r="AG316" s="662" t="s">
        <v>1433</v>
      </c>
      <c r="AH316" s="662" t="s">
        <v>1734</v>
      </c>
      <c r="AI316" s="662">
        <v>1000</v>
      </c>
      <c r="AJ316" s="662">
        <v>500</v>
      </c>
      <c r="AK316" s="662">
        <v>500</v>
      </c>
      <c r="AL316" s="658">
        <v>0.01</v>
      </c>
      <c r="AM316" s="658">
        <v>0</v>
      </c>
      <c r="AN316" s="659" t="s">
        <v>34</v>
      </c>
      <c r="AO316" s="253" t="s">
        <v>34</v>
      </c>
      <c r="AP316" s="944" t="s">
        <v>1735</v>
      </c>
      <c r="AQ316" s="663" t="s">
        <v>669</v>
      </c>
      <c r="AR316" s="658">
        <v>1.6000000000000001E-3</v>
      </c>
      <c r="AS316" s="658">
        <v>1.6000000000000001E-3</v>
      </c>
      <c r="AT316" s="658" t="s">
        <v>1417</v>
      </c>
      <c r="AU316" s="658" t="s">
        <v>2751</v>
      </c>
      <c r="AX316"/>
      <c r="AY316"/>
      <c r="BA316"/>
      <c r="BB316"/>
      <c r="BC316"/>
      <c r="BD316"/>
      <c r="BE316"/>
      <c r="BF316"/>
      <c r="BG316"/>
      <c r="BH316"/>
      <c r="BI316"/>
      <c r="BJ316"/>
      <c r="BR316"/>
      <c r="BS316"/>
      <c r="BT316"/>
      <c r="BU316"/>
      <c r="BX316"/>
      <c r="BY316"/>
      <c r="CA316"/>
    </row>
    <row r="317" spans="2:79" ht="18.75">
      <c r="B317" s="252" t="s">
        <v>786</v>
      </c>
      <c r="C317" s="251">
        <v>25213405000139</v>
      </c>
      <c r="D317" s="252" t="s">
        <v>11</v>
      </c>
      <c r="E317" s="252" t="s">
        <v>621</v>
      </c>
      <c r="F317" s="252" t="s">
        <v>692</v>
      </c>
      <c r="G317" s="253" t="s">
        <v>738</v>
      </c>
      <c r="H317" s="253" t="s">
        <v>34</v>
      </c>
      <c r="I317" s="253" t="s">
        <v>1417</v>
      </c>
      <c r="J317" s="253" t="s">
        <v>608</v>
      </c>
      <c r="K317" s="253" t="s">
        <v>48</v>
      </c>
      <c r="L317" s="655"/>
      <c r="M317" s="655" t="s">
        <v>34</v>
      </c>
      <c r="N317" s="253" t="s">
        <v>2894</v>
      </c>
      <c r="O317" s="253" t="s">
        <v>1321</v>
      </c>
      <c r="P317" s="656">
        <v>42621</v>
      </c>
      <c r="Q317" s="657">
        <v>145.521165</v>
      </c>
      <c r="R317" s="657">
        <v>184.46299919678722</v>
      </c>
      <c r="S317" s="253">
        <v>30</v>
      </c>
      <c r="T317" s="658">
        <v>-1.6099352917725906E-2</v>
      </c>
      <c r="U317" s="659">
        <v>-0.80503285460895135</v>
      </c>
      <c r="V317" s="658">
        <v>5.7005387317000666E-2</v>
      </c>
      <c r="W317" s="659">
        <v>0.44209445456999458</v>
      </c>
      <c r="X317" s="658">
        <v>0.14546841895492091</v>
      </c>
      <c r="Y317" s="659">
        <v>0.7533798618627926</v>
      </c>
      <c r="Z317" s="658">
        <v>0.20639755652334824</v>
      </c>
      <c r="AA317" s="659">
        <v>0.93194214295716826</v>
      </c>
      <c r="AB317" s="658">
        <v>2.6456670162339067E-2</v>
      </c>
      <c r="AC317" s="660">
        <v>-2.7191071925669541</v>
      </c>
      <c r="AD317" s="682">
        <v>24658649000162</v>
      </c>
      <c r="AE317" s="944" t="s">
        <v>1772</v>
      </c>
      <c r="AF317" s="661" t="s">
        <v>1729</v>
      </c>
      <c r="AG317" s="662" t="s">
        <v>1433</v>
      </c>
      <c r="AH317" s="662" t="s">
        <v>1734</v>
      </c>
      <c r="AI317" s="662">
        <v>5000</v>
      </c>
      <c r="AJ317" s="662">
        <v>2500</v>
      </c>
      <c r="AK317" s="662">
        <v>5000</v>
      </c>
      <c r="AL317" s="658">
        <v>1.1000000000000001E-2</v>
      </c>
      <c r="AM317" s="658">
        <v>0.2</v>
      </c>
      <c r="AN317" s="659" t="s">
        <v>2127</v>
      </c>
      <c r="AO317" s="253" t="s">
        <v>34</v>
      </c>
      <c r="AP317" s="944" t="s">
        <v>1746</v>
      </c>
      <c r="AQ317" s="663" t="s">
        <v>671</v>
      </c>
      <c r="AR317" s="658">
        <v>2.7499999999999998E-3</v>
      </c>
      <c r="AS317" s="658">
        <v>2.7499999999999998E-3</v>
      </c>
      <c r="AT317" s="658" t="s">
        <v>1417</v>
      </c>
      <c r="AU317" s="658" t="s">
        <v>2751</v>
      </c>
      <c r="AX317"/>
      <c r="AY317"/>
      <c r="BA317"/>
      <c r="BB317"/>
      <c r="BC317"/>
      <c r="BD317"/>
      <c r="BE317"/>
      <c r="BF317"/>
      <c r="BG317"/>
      <c r="BH317"/>
      <c r="BI317"/>
      <c r="BJ317"/>
      <c r="BR317"/>
      <c r="BS317"/>
      <c r="BT317"/>
      <c r="BU317"/>
      <c r="BX317"/>
      <c r="BY317"/>
      <c r="CA317"/>
    </row>
    <row r="318" spans="2:79" ht="18.75">
      <c r="B318" s="252" t="s">
        <v>106</v>
      </c>
      <c r="C318" s="251">
        <v>9141893000160</v>
      </c>
      <c r="D318" s="252" t="s">
        <v>13</v>
      </c>
      <c r="E318" s="252" t="s">
        <v>616</v>
      </c>
      <c r="F318" s="252" t="s">
        <v>617</v>
      </c>
      <c r="G318" s="253" t="s">
        <v>34</v>
      </c>
      <c r="H318" s="253" t="s">
        <v>1337</v>
      </c>
      <c r="I318" s="253" t="s">
        <v>34</v>
      </c>
      <c r="J318" s="253" t="s">
        <v>608</v>
      </c>
      <c r="K318" s="253" t="s">
        <v>48</v>
      </c>
      <c r="L318" s="655"/>
      <c r="M318" s="655" t="s">
        <v>34</v>
      </c>
      <c r="N318" s="253" t="s">
        <v>2895</v>
      </c>
      <c r="O318" s="253" t="s">
        <v>1321</v>
      </c>
      <c r="P318" s="656">
        <v>39418</v>
      </c>
      <c r="Q318" s="657">
        <v>0</v>
      </c>
      <c r="R318" s="657">
        <v>33.493871088397775</v>
      </c>
      <c r="S318" s="253">
        <v>6</v>
      </c>
      <c r="T318" s="658"/>
      <c r="U318" s="659"/>
      <c r="V318" s="658">
        <v>8.0020353965795099E-2</v>
      </c>
      <c r="W318" s="659">
        <v>0.62058265728958162</v>
      </c>
      <c r="X318" s="658">
        <v>0.11458596044610592</v>
      </c>
      <c r="Y318" s="659">
        <v>0.59343983850580251</v>
      </c>
      <c r="Z318" s="658">
        <v>7.5484120606004179E-2</v>
      </c>
      <c r="AA318" s="659">
        <v>0.34083171478262658</v>
      </c>
      <c r="AB318" s="658">
        <v>2.2835049661512348E-2</v>
      </c>
      <c r="AC318" s="660">
        <v>-2.1424764213870811</v>
      </c>
      <c r="AD318" s="682">
        <v>23686472000145</v>
      </c>
      <c r="AE318" s="944" t="s">
        <v>1772</v>
      </c>
      <c r="AF318" s="661" t="s">
        <v>1729</v>
      </c>
      <c r="AG318" s="662" t="s">
        <v>1433</v>
      </c>
      <c r="AH318" s="662" t="s">
        <v>1734</v>
      </c>
      <c r="AI318" s="662">
        <v>1000</v>
      </c>
      <c r="AJ318" s="662">
        <v>500</v>
      </c>
      <c r="AK318" s="662">
        <v>500</v>
      </c>
      <c r="AL318" s="658">
        <v>0.02</v>
      </c>
      <c r="AM318" s="658">
        <v>0.2</v>
      </c>
      <c r="AN318" s="659" t="s">
        <v>2127</v>
      </c>
      <c r="AO318" s="253" t="s">
        <v>34</v>
      </c>
      <c r="AP318" s="944" t="s">
        <v>1746</v>
      </c>
      <c r="AQ318" s="663" t="s">
        <v>668</v>
      </c>
      <c r="AR318" s="658">
        <v>4.0000000000000001E-3</v>
      </c>
      <c r="AS318" s="658">
        <v>4.0000000000000001E-3</v>
      </c>
      <c r="AT318" s="658" t="s">
        <v>1417</v>
      </c>
      <c r="AU318" s="658" t="s">
        <v>2751</v>
      </c>
      <c r="AX318"/>
      <c r="AY318"/>
      <c r="BA318"/>
      <c r="BB318"/>
      <c r="BC318"/>
      <c r="BD318"/>
      <c r="BE318"/>
      <c r="BF318"/>
      <c r="BG318"/>
      <c r="BH318"/>
      <c r="BI318"/>
      <c r="BJ318"/>
      <c r="BR318"/>
      <c r="BS318"/>
      <c r="BT318"/>
      <c r="BU318"/>
      <c r="BX318"/>
      <c r="BY318"/>
      <c r="CA318"/>
    </row>
    <row r="319" spans="2:79" ht="18.75">
      <c r="B319" s="252" t="s">
        <v>107</v>
      </c>
      <c r="C319" s="251">
        <v>10320188000109</v>
      </c>
      <c r="D319" s="252" t="s">
        <v>13</v>
      </c>
      <c r="E319" s="252" t="s">
        <v>615</v>
      </c>
      <c r="F319" s="252" t="s">
        <v>619</v>
      </c>
      <c r="G319" s="253" t="s">
        <v>34</v>
      </c>
      <c r="H319" s="253" t="s">
        <v>1337</v>
      </c>
      <c r="I319" s="253" t="s">
        <v>34</v>
      </c>
      <c r="J319" s="253" t="s">
        <v>1417</v>
      </c>
      <c r="K319" s="253" t="s">
        <v>48</v>
      </c>
      <c r="L319" s="655"/>
      <c r="M319" s="655" t="s">
        <v>1414</v>
      </c>
      <c r="N319" s="253" t="s">
        <v>2896</v>
      </c>
      <c r="O319" s="253" t="s">
        <v>1321</v>
      </c>
      <c r="P319" s="656">
        <v>39782</v>
      </c>
      <c r="Q319" s="657">
        <v>892.19967599999995</v>
      </c>
      <c r="R319" s="657">
        <v>399.05956351405615</v>
      </c>
      <c r="S319" s="253">
        <v>1</v>
      </c>
      <c r="T319" s="658">
        <v>2.4027406894021386E-2</v>
      </c>
      <c r="U319" s="659">
        <v>1.2014676651660783</v>
      </c>
      <c r="V319" s="658">
        <v>0.14985267971844074</v>
      </c>
      <c r="W319" s="659">
        <v>1.1621539967367041</v>
      </c>
      <c r="X319" s="658">
        <v>0.24410068194250001</v>
      </c>
      <c r="Y319" s="659">
        <v>1.2641956196653441</v>
      </c>
      <c r="Z319" s="658">
        <v>0.23618265271659267</v>
      </c>
      <c r="AA319" s="659">
        <v>1.0664301031931585</v>
      </c>
      <c r="AB319" s="658">
        <v>9.0612113836732091E-3</v>
      </c>
      <c r="AC319" s="660">
        <v>2.3075027594352897</v>
      </c>
      <c r="AD319" s="682">
        <v>0</v>
      </c>
      <c r="AE319" s="944" t="s">
        <v>1772</v>
      </c>
      <c r="AF319" s="661" t="s">
        <v>1745</v>
      </c>
      <c r="AG319" s="662" t="s">
        <v>1432</v>
      </c>
      <c r="AH319" s="662" t="s">
        <v>1734</v>
      </c>
      <c r="AI319" s="662">
        <v>500</v>
      </c>
      <c r="AJ319" s="662">
        <v>300</v>
      </c>
      <c r="AK319" s="662">
        <v>300</v>
      </c>
      <c r="AL319" s="658">
        <v>8.5000000000000006E-3</v>
      </c>
      <c r="AM319" s="658">
        <v>0.2</v>
      </c>
      <c r="AN319" s="659" t="s">
        <v>34</v>
      </c>
      <c r="AO319" s="253" t="s">
        <v>34</v>
      </c>
      <c r="AP319" s="944" t="s">
        <v>1746</v>
      </c>
      <c r="AQ319" s="663" t="s">
        <v>686</v>
      </c>
      <c r="AR319" s="658">
        <v>2.5500000000000002E-3</v>
      </c>
      <c r="AS319" s="658">
        <v>2.5500000000000002E-3</v>
      </c>
      <c r="AT319" s="658" t="s">
        <v>1417</v>
      </c>
      <c r="AU319" s="658" t="s">
        <v>2751</v>
      </c>
      <c r="AX319"/>
      <c r="AY319"/>
      <c r="BA319"/>
      <c r="BB319"/>
      <c r="BC319"/>
      <c r="BD319"/>
      <c r="BE319"/>
      <c r="BF319"/>
      <c r="BG319"/>
      <c r="BH319"/>
      <c r="BI319"/>
      <c r="BJ319"/>
      <c r="BR319"/>
      <c r="BS319"/>
      <c r="BT319"/>
      <c r="BU319"/>
      <c r="BX319"/>
      <c r="BY319"/>
      <c r="CA319"/>
    </row>
    <row r="320" spans="2:79" ht="18.75">
      <c r="B320" s="252" t="s">
        <v>787</v>
      </c>
      <c r="C320" s="251">
        <v>23556185000110</v>
      </c>
      <c r="D320" s="252" t="s">
        <v>11</v>
      </c>
      <c r="E320" s="252" t="s">
        <v>620</v>
      </c>
      <c r="F320" s="252" t="s">
        <v>663</v>
      </c>
      <c r="G320" s="253" t="s">
        <v>738</v>
      </c>
      <c r="H320" s="253" t="s">
        <v>34</v>
      </c>
      <c r="I320" s="253" t="s">
        <v>1417</v>
      </c>
      <c r="J320" s="253" t="s">
        <v>608</v>
      </c>
      <c r="K320" s="253" t="s">
        <v>48</v>
      </c>
      <c r="L320" s="655"/>
      <c r="M320" s="655" t="s">
        <v>34</v>
      </c>
      <c r="N320" s="253" t="s">
        <v>2897</v>
      </c>
      <c r="O320" s="253" t="s">
        <v>1321</v>
      </c>
      <c r="P320" s="656">
        <v>42351</v>
      </c>
      <c r="Q320" s="657">
        <v>2574.4533820000001</v>
      </c>
      <c r="R320" s="657">
        <v>2860.0694835140575</v>
      </c>
      <c r="S320" s="253">
        <v>1</v>
      </c>
      <c r="T320" s="658">
        <v>1.0662513888088254E-2</v>
      </c>
      <c r="U320" s="659">
        <v>0.53316888178681854</v>
      </c>
      <c r="V320" s="658">
        <v>0.12911947620580744</v>
      </c>
      <c r="W320" s="659">
        <v>1.0013615746549978</v>
      </c>
      <c r="X320" s="658">
        <v>0.21249210138433638</v>
      </c>
      <c r="Y320" s="659">
        <v>1.100495015605244</v>
      </c>
      <c r="Z320" s="658">
        <v>0.21672193517405791</v>
      </c>
      <c r="AA320" s="659">
        <v>0.97855957257463166</v>
      </c>
      <c r="AB320" s="658">
        <v>2.7894678926167252E-3</v>
      </c>
      <c r="AC320" s="660">
        <v>6.2939157494439277E-2</v>
      </c>
      <c r="AD320" s="682">
        <v>23556204000109</v>
      </c>
      <c r="AE320" s="944" t="s">
        <v>1882</v>
      </c>
      <c r="AF320" s="661" t="s">
        <v>1729</v>
      </c>
      <c r="AG320" s="662" t="s">
        <v>1433</v>
      </c>
      <c r="AH320" s="662" t="s">
        <v>1734</v>
      </c>
      <c r="AI320" s="662">
        <v>5000</v>
      </c>
      <c r="AJ320" s="662">
        <v>2500</v>
      </c>
      <c r="AK320" s="662">
        <v>5000</v>
      </c>
      <c r="AL320" s="658">
        <v>8.0000000000000002E-3</v>
      </c>
      <c r="AM320" s="658">
        <v>0</v>
      </c>
      <c r="AN320" s="659" t="s">
        <v>64</v>
      </c>
      <c r="AO320" s="253" t="s">
        <v>34</v>
      </c>
      <c r="AP320" s="944" t="s">
        <v>1735</v>
      </c>
      <c r="AQ320" s="663" t="s">
        <v>669</v>
      </c>
      <c r="AR320" s="658">
        <v>1.08E-3</v>
      </c>
      <c r="AS320" s="658">
        <v>1.08E-3</v>
      </c>
      <c r="AT320" s="658" t="s">
        <v>1417</v>
      </c>
      <c r="AU320" s="658" t="s">
        <v>2751</v>
      </c>
      <c r="AX320"/>
      <c r="AY320"/>
      <c r="BA320"/>
      <c r="BB320"/>
      <c r="BC320"/>
      <c r="BD320"/>
      <c r="BE320"/>
      <c r="BF320"/>
      <c r="BG320"/>
      <c r="BH320"/>
      <c r="BI320"/>
      <c r="BJ320"/>
      <c r="BR320"/>
      <c r="BS320"/>
      <c r="BT320"/>
      <c r="BU320"/>
      <c r="BX320"/>
      <c r="BY320"/>
      <c r="CA320"/>
    </row>
    <row r="321" spans="2:79" ht="18.75">
      <c r="B321" s="252" t="s">
        <v>108</v>
      </c>
      <c r="C321" s="251">
        <v>4455632000109</v>
      </c>
      <c r="D321" s="252" t="s">
        <v>13</v>
      </c>
      <c r="E321" s="252" t="s">
        <v>615</v>
      </c>
      <c r="F321" s="252" t="s">
        <v>619</v>
      </c>
      <c r="G321" s="253" t="s">
        <v>34</v>
      </c>
      <c r="H321" s="253" t="s">
        <v>1337</v>
      </c>
      <c r="I321" s="253" t="s">
        <v>34</v>
      </c>
      <c r="J321" s="253" t="s">
        <v>1417</v>
      </c>
      <c r="K321" s="253" t="s">
        <v>48</v>
      </c>
      <c r="L321" s="655"/>
      <c r="M321" s="655" t="s">
        <v>34</v>
      </c>
      <c r="N321" s="253" t="s">
        <v>2898</v>
      </c>
      <c r="O321" s="253" t="s">
        <v>1321</v>
      </c>
      <c r="P321" s="656">
        <v>37041</v>
      </c>
      <c r="Q321" s="657">
        <v>169.899091</v>
      </c>
      <c r="R321" s="657">
        <v>188.03945223387109</v>
      </c>
      <c r="S321" s="253">
        <v>1</v>
      </c>
      <c r="T321" s="658">
        <v>1.6267808238825676E-2</v>
      </c>
      <c r="U321" s="659">
        <v>0.81345630297436378</v>
      </c>
      <c r="V321" s="658">
        <v>0.12310772463894648</v>
      </c>
      <c r="W321" s="659">
        <v>0.95473857716210853</v>
      </c>
      <c r="X321" s="658">
        <v>0.17306514532031625</v>
      </c>
      <c r="Y321" s="659">
        <v>0.89630310284109505</v>
      </c>
      <c r="Z321" s="658">
        <v>0.16279829108528387</v>
      </c>
      <c r="AA321" s="659">
        <v>0.73507938184637145</v>
      </c>
      <c r="AB321" s="658">
        <v>3.2627005449312609E-2</v>
      </c>
      <c r="AC321" s="660">
        <v>-0.17887589521228431</v>
      </c>
      <c r="AD321" s="682">
        <v>0</v>
      </c>
      <c r="AE321" s="944" t="s">
        <v>1882</v>
      </c>
      <c r="AF321" s="661" t="s">
        <v>1729</v>
      </c>
      <c r="AG321" s="662" t="s">
        <v>1433</v>
      </c>
      <c r="AH321" s="662" t="s">
        <v>1734</v>
      </c>
      <c r="AI321" s="662">
        <v>1000</v>
      </c>
      <c r="AJ321" s="662">
        <v>500</v>
      </c>
      <c r="AK321" s="662">
        <v>500</v>
      </c>
      <c r="AL321" s="658">
        <v>2.5000000000000001E-2</v>
      </c>
      <c r="AM321" s="658">
        <v>0.2</v>
      </c>
      <c r="AN321" s="659" t="s">
        <v>64</v>
      </c>
      <c r="AO321" s="253" t="s">
        <v>34</v>
      </c>
      <c r="AP321" s="944" t="s">
        <v>1746</v>
      </c>
      <c r="AQ321" s="663" t="s">
        <v>664</v>
      </c>
      <c r="AR321" s="658">
        <v>4.0000000000000001E-3</v>
      </c>
      <c r="AS321" s="658">
        <v>4.0000000000000001E-3</v>
      </c>
      <c r="AT321" s="658" t="s">
        <v>1417</v>
      </c>
      <c r="AU321" s="658" t="s">
        <v>2751</v>
      </c>
      <c r="AX321"/>
      <c r="AY321"/>
      <c r="BA321"/>
      <c r="BB321"/>
      <c r="BC321"/>
      <c r="BD321"/>
      <c r="BE321"/>
      <c r="BF321"/>
      <c r="BG321"/>
      <c r="BH321"/>
      <c r="BI321"/>
      <c r="BJ321"/>
      <c r="BR321"/>
      <c r="BS321"/>
      <c r="BT321"/>
      <c r="BU321"/>
      <c r="BX321"/>
      <c r="BY321"/>
      <c r="CA321"/>
    </row>
    <row r="322" spans="2:79" ht="18.75">
      <c r="B322" s="252" t="s">
        <v>109</v>
      </c>
      <c r="C322" s="251">
        <v>26323079000185</v>
      </c>
      <c r="D322" s="252" t="s">
        <v>13</v>
      </c>
      <c r="E322" s="252" t="s">
        <v>615</v>
      </c>
      <c r="F322" s="252" t="s">
        <v>619</v>
      </c>
      <c r="G322" s="253" t="s">
        <v>34</v>
      </c>
      <c r="H322" s="253" t="s">
        <v>865</v>
      </c>
      <c r="I322" s="253" t="s">
        <v>34</v>
      </c>
      <c r="J322" s="253" t="s">
        <v>1417</v>
      </c>
      <c r="K322" s="253" t="s">
        <v>48</v>
      </c>
      <c r="L322" s="655"/>
      <c r="M322" s="655" t="s">
        <v>34</v>
      </c>
      <c r="N322" s="253" t="s">
        <v>2899</v>
      </c>
      <c r="O322" s="253" t="s">
        <v>1321</v>
      </c>
      <c r="P322" s="656">
        <v>42792</v>
      </c>
      <c r="Q322" s="657">
        <v>267.02976000000001</v>
      </c>
      <c r="R322" s="657">
        <v>263.98535225301214</v>
      </c>
      <c r="S322" s="253">
        <v>30</v>
      </c>
      <c r="T322" s="658">
        <v>1.3918576121761728E-2</v>
      </c>
      <c r="U322" s="659">
        <v>0.69598518180546642</v>
      </c>
      <c r="V322" s="658">
        <v>0.12907139591945782</v>
      </c>
      <c r="W322" s="659">
        <v>1.0009886971258777</v>
      </c>
      <c r="X322" s="658">
        <v>0.1747111262839971</v>
      </c>
      <c r="Y322" s="659">
        <v>0.90482762603283295</v>
      </c>
      <c r="Z322" s="658">
        <v>0.13939718835660564</v>
      </c>
      <c r="AA322" s="659">
        <v>0.62941692056593368</v>
      </c>
      <c r="AB322" s="658">
        <v>6.4191674076915908E-2</v>
      </c>
      <c r="AC322" s="660">
        <v>1.9860281649098596E-3</v>
      </c>
      <c r="AD322" s="682">
        <v>0</v>
      </c>
      <c r="AE322" s="944" t="s">
        <v>1882</v>
      </c>
      <c r="AF322" s="661" t="s">
        <v>1729</v>
      </c>
      <c r="AG322" s="662" t="s">
        <v>1433</v>
      </c>
      <c r="AH322" s="662" t="s">
        <v>1734</v>
      </c>
      <c r="AI322" s="662">
        <v>1000</v>
      </c>
      <c r="AJ322" s="662">
        <v>500</v>
      </c>
      <c r="AK322" s="662">
        <v>500</v>
      </c>
      <c r="AL322" s="658">
        <v>2.5000000000000001E-2</v>
      </c>
      <c r="AM322" s="658">
        <v>0.2</v>
      </c>
      <c r="AN322" s="659" t="s">
        <v>64</v>
      </c>
      <c r="AO322" s="253" t="s">
        <v>34</v>
      </c>
      <c r="AP322" s="944" t="s">
        <v>1746</v>
      </c>
      <c r="AQ322" s="663" t="s">
        <v>664</v>
      </c>
      <c r="AR322" s="658">
        <v>5.4000000000000003E-3</v>
      </c>
      <c r="AS322" s="658">
        <v>5.4000000000000003E-3</v>
      </c>
      <c r="AT322" s="658" t="s">
        <v>1417</v>
      </c>
      <c r="AU322" s="658" t="s">
        <v>2751</v>
      </c>
      <c r="AX322"/>
      <c r="AY322"/>
      <c r="BA322"/>
      <c r="BB322"/>
      <c r="BC322"/>
      <c r="BD322"/>
      <c r="BE322"/>
      <c r="BF322"/>
      <c r="BG322"/>
      <c r="BH322"/>
      <c r="BI322"/>
      <c r="BJ322"/>
      <c r="BR322"/>
      <c r="BS322"/>
      <c r="BT322"/>
      <c r="BU322"/>
      <c r="BX322"/>
      <c r="BY322"/>
      <c r="CA322"/>
    </row>
    <row r="323" spans="2:79" ht="18.75">
      <c r="B323" s="252" t="s">
        <v>2639</v>
      </c>
      <c r="C323" s="251">
        <v>23883385000188</v>
      </c>
      <c r="D323" s="252" t="s">
        <v>11</v>
      </c>
      <c r="E323" s="252" t="s">
        <v>620</v>
      </c>
      <c r="F323" s="252" t="s">
        <v>663</v>
      </c>
      <c r="G323" s="253" t="s">
        <v>1417</v>
      </c>
      <c r="H323" s="253" t="s">
        <v>1417</v>
      </c>
      <c r="I323" s="253" t="s">
        <v>1417</v>
      </c>
      <c r="J323" s="253" t="s">
        <v>608</v>
      </c>
      <c r="K323" s="253" t="s">
        <v>48</v>
      </c>
      <c r="L323" s="655"/>
      <c r="M323" s="655" t="s">
        <v>34</v>
      </c>
      <c r="N323" s="253" t="s">
        <v>2900</v>
      </c>
      <c r="O323" s="253" t="s">
        <v>1321</v>
      </c>
      <c r="P323" s="656">
        <v>42622</v>
      </c>
      <c r="Q323" s="657"/>
      <c r="R323" s="657"/>
      <c r="S323" s="253">
        <v>3</v>
      </c>
      <c r="T323" s="658"/>
      <c r="U323" s="659"/>
      <c r="V323" s="658"/>
      <c r="W323" s="659"/>
      <c r="X323" s="658"/>
      <c r="Y323" s="659"/>
      <c r="Z323" s="658"/>
      <c r="AA323" s="659"/>
      <c r="AB323" s="658"/>
      <c r="AC323" s="660"/>
      <c r="AD323" s="682">
        <v>23738226000190</v>
      </c>
      <c r="AE323" s="944" t="s">
        <v>1882</v>
      </c>
      <c r="AF323" s="661" t="s">
        <v>1729</v>
      </c>
      <c r="AG323" s="662" t="s">
        <v>1433</v>
      </c>
      <c r="AH323" s="662" t="s">
        <v>2119</v>
      </c>
      <c r="AI323" s="662">
        <v>0</v>
      </c>
      <c r="AJ323" s="662">
        <v>0</v>
      </c>
      <c r="AK323" s="662">
        <v>0</v>
      </c>
      <c r="AL323" s="658">
        <v>5.4999999999999997E-3</v>
      </c>
      <c r="AM323" s="658">
        <v>0</v>
      </c>
      <c r="AN323" s="659" t="s">
        <v>64</v>
      </c>
      <c r="AO323" s="253" t="s">
        <v>4397</v>
      </c>
      <c r="AP323" s="944" t="s">
        <v>1735</v>
      </c>
      <c r="AQ323" s="663" t="s">
        <v>2190</v>
      </c>
      <c r="AR323" s="658">
        <v>0</v>
      </c>
      <c r="AS323" s="658">
        <v>0</v>
      </c>
      <c r="AT323" s="658" t="s">
        <v>1417</v>
      </c>
      <c r="AU323" s="658" t="s">
        <v>2751</v>
      </c>
      <c r="AX323"/>
      <c r="AY323"/>
      <c r="BA323"/>
      <c r="BB323"/>
      <c r="BC323"/>
      <c r="BD323"/>
      <c r="BE323"/>
      <c r="BF323"/>
      <c r="BG323"/>
      <c r="BH323"/>
      <c r="BI323"/>
      <c r="BJ323"/>
      <c r="BR323"/>
      <c r="BS323"/>
      <c r="BT323"/>
      <c r="BU323"/>
      <c r="BX323"/>
      <c r="BY323"/>
      <c r="CA323"/>
    </row>
    <row r="324" spans="2:79" ht="18.75">
      <c r="B324" s="252" t="s">
        <v>110</v>
      </c>
      <c r="C324" s="251">
        <v>11392165000172</v>
      </c>
      <c r="D324" s="252" t="s">
        <v>14</v>
      </c>
      <c r="E324" s="252" t="s">
        <v>607</v>
      </c>
      <c r="F324" s="252" t="s">
        <v>1417</v>
      </c>
      <c r="G324" s="253" t="s">
        <v>1417</v>
      </c>
      <c r="H324" s="253" t="s">
        <v>34</v>
      </c>
      <c r="I324" s="253" t="s">
        <v>34</v>
      </c>
      <c r="J324" s="253" t="s">
        <v>608</v>
      </c>
      <c r="K324" s="253" t="s">
        <v>48</v>
      </c>
      <c r="L324" s="655"/>
      <c r="M324" s="655" t="s">
        <v>34</v>
      </c>
      <c r="N324" s="253" t="s">
        <v>2901</v>
      </c>
      <c r="O324" s="253" t="s">
        <v>1321</v>
      </c>
      <c r="P324" s="656">
        <v>40179</v>
      </c>
      <c r="Q324" s="657">
        <v>876.82413599999995</v>
      </c>
      <c r="R324" s="657">
        <v>1122.2164615243894</v>
      </c>
      <c r="S324" s="253">
        <v>29</v>
      </c>
      <c r="T324" s="658">
        <v>-1.7715064367539113E-2</v>
      </c>
      <c r="U324" s="659">
        <v>-0.88582497136759331</v>
      </c>
      <c r="V324" s="658">
        <v>-0.1131113681545588</v>
      </c>
      <c r="W324" s="659">
        <v>-0.87721373300874506</v>
      </c>
      <c r="X324" s="658">
        <v>-0.18058729556368824</v>
      </c>
      <c r="Y324" s="659">
        <v>-0.93526026310980548</v>
      </c>
      <c r="Z324" s="658">
        <v>-0.21588917050400258</v>
      </c>
      <c r="AA324" s="659">
        <v>-0.97479940940088505</v>
      </c>
      <c r="AB324" s="658">
        <v>0.19708781034047562</v>
      </c>
      <c r="AC324" s="660">
        <v>-1.2281595557999694</v>
      </c>
      <c r="AD324" s="682">
        <v>11403884000141</v>
      </c>
      <c r="AE324" s="944" t="s">
        <v>1772</v>
      </c>
      <c r="AF324" s="661" t="s">
        <v>1769</v>
      </c>
      <c r="AG324" s="662" t="s">
        <v>719</v>
      </c>
      <c r="AH324" s="662" t="s">
        <v>1734</v>
      </c>
      <c r="AI324" s="662">
        <v>1000</v>
      </c>
      <c r="AJ324" s="662">
        <v>500</v>
      </c>
      <c r="AK324" s="662">
        <v>500</v>
      </c>
      <c r="AL324" s="658">
        <v>0.02</v>
      </c>
      <c r="AM324" s="658">
        <v>0.2</v>
      </c>
      <c r="AN324" s="659" t="s">
        <v>2160</v>
      </c>
      <c r="AO324" s="253" t="s">
        <v>34</v>
      </c>
      <c r="AP324" s="944" t="s">
        <v>1731</v>
      </c>
      <c r="AQ324" s="663" t="s">
        <v>659</v>
      </c>
      <c r="AR324" s="658">
        <v>4.0000000000000001E-3</v>
      </c>
      <c r="AS324" s="658">
        <v>4.0000000000000001E-3</v>
      </c>
      <c r="AT324" s="658" t="s">
        <v>1417</v>
      </c>
      <c r="AU324" s="658" t="s">
        <v>2751</v>
      </c>
      <c r="AX324"/>
      <c r="AY324"/>
      <c r="BA324"/>
      <c r="BB324"/>
      <c r="BC324"/>
      <c r="BD324"/>
      <c r="BE324"/>
      <c r="BF324"/>
      <c r="BG324"/>
      <c r="BH324"/>
      <c r="BI324"/>
      <c r="BJ324"/>
      <c r="BR324"/>
      <c r="BS324"/>
      <c r="BT324"/>
      <c r="BU324"/>
      <c r="BX324"/>
      <c r="BY324"/>
      <c r="CA324"/>
    </row>
    <row r="325" spans="2:79" ht="18.75">
      <c r="B325" s="252" t="s">
        <v>111</v>
      </c>
      <c r="C325" s="251">
        <v>36352498000107</v>
      </c>
      <c r="D325" s="252" t="s">
        <v>11</v>
      </c>
      <c r="E325" s="252" t="s">
        <v>620</v>
      </c>
      <c r="F325" s="252" t="s">
        <v>663</v>
      </c>
      <c r="G325" s="253" t="s">
        <v>738</v>
      </c>
      <c r="H325" s="253" t="s">
        <v>34</v>
      </c>
      <c r="I325" s="253" t="s">
        <v>1417</v>
      </c>
      <c r="J325" s="253" t="s">
        <v>608</v>
      </c>
      <c r="K325" s="253" t="s">
        <v>48</v>
      </c>
      <c r="L325" s="655"/>
      <c r="M325" s="655" t="s">
        <v>34</v>
      </c>
      <c r="N325" s="253" t="s">
        <v>2902</v>
      </c>
      <c r="O325" s="253" t="s">
        <v>1321</v>
      </c>
      <c r="P325" s="656">
        <v>43999</v>
      </c>
      <c r="Q325" s="657">
        <v>234.46496191</v>
      </c>
      <c r="R325" s="657">
        <v>214.91488201745969</v>
      </c>
      <c r="S325" s="253">
        <v>90</v>
      </c>
      <c r="T325" s="658">
        <v>-2.1984532022916503E-2</v>
      </c>
      <c r="U325" s="659">
        <v>-1.0993156471626888</v>
      </c>
      <c r="V325" s="658">
        <v>9.8402421325990419E-2</v>
      </c>
      <c r="W325" s="659">
        <v>0.76314128948136495</v>
      </c>
      <c r="X325" s="658">
        <v>0.18333239956172354</v>
      </c>
      <c r="Y325" s="659">
        <v>0.9494771363369745</v>
      </c>
      <c r="Z325" s="658"/>
      <c r="AA325" s="659"/>
      <c r="AB325" s="658">
        <v>1.837214812055514E-2</v>
      </c>
      <c r="AC325" s="660">
        <v>-1.6623798110264245</v>
      </c>
      <c r="AD325" s="682">
        <v>36352509000140</v>
      </c>
      <c r="AE325" s="944" t="s">
        <v>1772</v>
      </c>
      <c r="AF325" s="661" t="s">
        <v>1729</v>
      </c>
      <c r="AG325" s="662" t="s">
        <v>1433</v>
      </c>
      <c r="AH325" s="662" t="s">
        <v>1730</v>
      </c>
      <c r="AI325" s="662">
        <v>10000</v>
      </c>
      <c r="AJ325" s="662">
        <v>5000</v>
      </c>
      <c r="AK325" s="662">
        <v>5000</v>
      </c>
      <c r="AL325" s="658">
        <v>1.2E-2</v>
      </c>
      <c r="AM325" s="658">
        <v>0.2</v>
      </c>
      <c r="AN325" s="659" t="s">
        <v>34</v>
      </c>
      <c r="AO325" s="253" t="s">
        <v>34</v>
      </c>
      <c r="AP325" s="944" t="s">
        <v>1746</v>
      </c>
      <c r="AQ325" s="663" t="s">
        <v>668</v>
      </c>
      <c r="AR325" s="658">
        <v>3.2000000000000002E-3</v>
      </c>
      <c r="AS325" s="658">
        <v>3.2000000000000002E-3</v>
      </c>
      <c r="AT325" s="658" t="s">
        <v>1417</v>
      </c>
      <c r="AU325" s="658" t="s">
        <v>2751</v>
      </c>
      <c r="AX325"/>
      <c r="AY325"/>
      <c r="BA325"/>
      <c r="BB325"/>
      <c r="BC325"/>
      <c r="BD325"/>
      <c r="BE325"/>
      <c r="BF325"/>
      <c r="BG325"/>
      <c r="BH325"/>
      <c r="BI325"/>
      <c r="BJ325"/>
      <c r="BR325"/>
      <c r="BS325"/>
      <c r="BT325"/>
      <c r="BU325"/>
      <c r="BX325"/>
      <c r="BY325"/>
      <c r="CA325"/>
    </row>
    <row r="326" spans="2:79" ht="18.75">
      <c r="B326" s="252" t="s">
        <v>788</v>
      </c>
      <c r="C326" s="251">
        <v>22681798000117</v>
      </c>
      <c r="D326" s="252" t="s">
        <v>11</v>
      </c>
      <c r="E326" s="252" t="s">
        <v>620</v>
      </c>
      <c r="F326" s="252" t="s">
        <v>663</v>
      </c>
      <c r="G326" s="253" t="s">
        <v>738</v>
      </c>
      <c r="H326" s="253" t="s">
        <v>34</v>
      </c>
      <c r="I326" s="253" t="s">
        <v>1304</v>
      </c>
      <c r="J326" s="253" t="s">
        <v>608</v>
      </c>
      <c r="K326" s="253" t="s">
        <v>48</v>
      </c>
      <c r="L326" s="655"/>
      <c r="M326" s="655" t="s">
        <v>1414</v>
      </c>
      <c r="N326" s="253" t="s">
        <v>2903</v>
      </c>
      <c r="O326" s="253" t="s">
        <v>1321</v>
      </c>
      <c r="P326" s="656">
        <v>42221</v>
      </c>
      <c r="Q326" s="657">
        <v>477.07001100000002</v>
      </c>
      <c r="R326" s="657">
        <v>508.8450064859436</v>
      </c>
      <c r="S326" s="253">
        <v>7</v>
      </c>
      <c r="T326" s="658">
        <v>1.9974690560954134E-2</v>
      </c>
      <c r="U326" s="659">
        <v>0.99881543341474766</v>
      </c>
      <c r="V326" s="658">
        <v>0.13088521325467539</v>
      </c>
      <c r="W326" s="659">
        <v>1.0150554129793015</v>
      </c>
      <c r="X326" s="658">
        <v>0.19912200715831818</v>
      </c>
      <c r="Y326" s="659">
        <v>1.0312513968634225</v>
      </c>
      <c r="Z326" s="658">
        <v>0.23197254417293478</v>
      </c>
      <c r="AA326" s="659">
        <v>1.0474202968546085</v>
      </c>
      <c r="AB326" s="658">
        <v>1.0182526940978197E-3</v>
      </c>
      <c r="AC326" s="660">
        <v>1.9065049561268794</v>
      </c>
      <c r="AD326" s="682">
        <v>0</v>
      </c>
      <c r="AE326" s="944" t="s">
        <v>1772</v>
      </c>
      <c r="AF326" s="661" t="s">
        <v>1745</v>
      </c>
      <c r="AG326" s="662" t="s">
        <v>1432</v>
      </c>
      <c r="AH326" s="662" t="s">
        <v>1734</v>
      </c>
      <c r="AI326" s="662">
        <v>500</v>
      </c>
      <c r="AJ326" s="662">
        <v>300</v>
      </c>
      <c r="AK326" s="662">
        <v>300</v>
      </c>
      <c r="AL326" s="658">
        <v>4.0000000000000001E-3</v>
      </c>
      <c r="AM326" s="658">
        <v>0.1</v>
      </c>
      <c r="AN326" s="659" t="s">
        <v>34</v>
      </c>
      <c r="AO326" s="253" t="s">
        <v>34</v>
      </c>
      <c r="AP326" s="944" t="s">
        <v>1735</v>
      </c>
      <c r="AQ326" s="663" t="s">
        <v>1373</v>
      </c>
      <c r="AR326" s="658">
        <v>1E-3</v>
      </c>
      <c r="AS326" s="658">
        <v>1E-3</v>
      </c>
      <c r="AT326" s="658" t="s">
        <v>1417</v>
      </c>
      <c r="AU326" s="658" t="s">
        <v>2751</v>
      </c>
      <c r="AX326"/>
      <c r="AY326"/>
      <c r="BA326"/>
      <c r="BB326"/>
      <c r="BC326"/>
      <c r="BD326"/>
      <c r="BE326"/>
      <c r="BF326"/>
      <c r="BG326"/>
      <c r="BH326"/>
      <c r="BI326"/>
      <c r="BJ326"/>
      <c r="BR326"/>
      <c r="BS326"/>
      <c r="BT326"/>
      <c r="BU326"/>
      <c r="BX326"/>
      <c r="BY326"/>
      <c r="CA326"/>
    </row>
    <row r="327" spans="2:79" ht="18.75">
      <c r="B327" s="252" t="s">
        <v>112</v>
      </c>
      <c r="C327" s="251">
        <v>13974750000106</v>
      </c>
      <c r="D327" s="252" t="s">
        <v>14</v>
      </c>
      <c r="E327" s="252" t="s">
        <v>614</v>
      </c>
      <c r="F327" s="252" t="s">
        <v>1417</v>
      </c>
      <c r="G327" s="253" t="s">
        <v>1417</v>
      </c>
      <c r="H327" s="253" t="s">
        <v>1337</v>
      </c>
      <c r="I327" s="253" t="s">
        <v>34</v>
      </c>
      <c r="J327" s="253" t="s">
        <v>608</v>
      </c>
      <c r="K327" s="253" t="s">
        <v>48</v>
      </c>
      <c r="L327" s="655"/>
      <c r="M327" s="655" t="s">
        <v>34</v>
      </c>
      <c r="N327" s="253" t="s">
        <v>2904</v>
      </c>
      <c r="O327" s="253" t="s">
        <v>1321</v>
      </c>
      <c r="P327" s="656">
        <v>40836</v>
      </c>
      <c r="Q327" s="657">
        <v>225.86552800000001</v>
      </c>
      <c r="R327" s="657">
        <v>327.42391633198361</v>
      </c>
      <c r="S327" s="253">
        <v>32</v>
      </c>
      <c r="T327" s="658">
        <v>3.8312971235853865E-2</v>
      </c>
      <c r="U327" s="659">
        <v>1.9158037444219713</v>
      </c>
      <c r="V327" s="658">
        <v>-5.7828078989951015E-2</v>
      </c>
      <c r="W327" s="659">
        <v>-0.44847468358957343</v>
      </c>
      <c r="X327" s="658">
        <v>-4.8176055828691111E-2</v>
      </c>
      <c r="Y327" s="659">
        <v>-0.24950343549523887</v>
      </c>
      <c r="Z327" s="658">
        <v>-0.12839482064531826</v>
      </c>
      <c r="AA327" s="659">
        <v>-0.57973818252670695</v>
      </c>
      <c r="AB327" s="658">
        <v>0.14673406772038916</v>
      </c>
      <c r="AC327" s="660">
        <v>-1.2728604293356396</v>
      </c>
      <c r="AD327" s="682">
        <v>13909560000105</v>
      </c>
      <c r="AE327" s="944" t="s">
        <v>1772</v>
      </c>
      <c r="AF327" s="661" t="s">
        <v>1729</v>
      </c>
      <c r="AG327" s="662" t="s">
        <v>1433</v>
      </c>
      <c r="AH327" s="662" t="s">
        <v>1734</v>
      </c>
      <c r="AI327" s="662">
        <v>1000</v>
      </c>
      <c r="AJ327" s="662">
        <v>500</v>
      </c>
      <c r="AK327" s="662">
        <v>500</v>
      </c>
      <c r="AL327" s="658">
        <v>0.02</v>
      </c>
      <c r="AM327" s="658">
        <v>0.2</v>
      </c>
      <c r="AN327" s="659" t="s">
        <v>2122</v>
      </c>
      <c r="AO327" s="253" t="s">
        <v>34</v>
      </c>
      <c r="AP327" s="944" t="s">
        <v>1731</v>
      </c>
      <c r="AQ327" s="663" t="s">
        <v>659</v>
      </c>
      <c r="AR327" s="658">
        <v>5.3333333333333297E-3</v>
      </c>
      <c r="AS327" s="658">
        <v>5.3333333333333297E-3</v>
      </c>
      <c r="AT327" s="658" t="s">
        <v>1417</v>
      </c>
      <c r="AU327" s="658" t="s">
        <v>2751</v>
      </c>
      <c r="AX327"/>
      <c r="AY327"/>
      <c r="BA327"/>
      <c r="BB327"/>
      <c r="BC327"/>
      <c r="BD327"/>
      <c r="BE327"/>
      <c r="BF327"/>
      <c r="BG327"/>
      <c r="BH327"/>
      <c r="BI327"/>
      <c r="BJ327"/>
      <c r="BR327"/>
      <c r="BS327"/>
      <c r="BT327"/>
      <c r="BU327"/>
      <c r="BX327"/>
      <c r="BY327"/>
      <c r="CA327"/>
    </row>
    <row r="328" spans="2:79" ht="18.75">
      <c r="B328" s="252" t="s">
        <v>113</v>
      </c>
      <c r="C328" s="251">
        <v>14812722000155</v>
      </c>
      <c r="D328" s="252" t="s">
        <v>13</v>
      </c>
      <c r="E328" s="252" t="s">
        <v>615</v>
      </c>
      <c r="F328" s="252" t="s">
        <v>619</v>
      </c>
      <c r="G328" s="253" t="s">
        <v>34</v>
      </c>
      <c r="H328" s="253" t="s">
        <v>865</v>
      </c>
      <c r="I328" s="253" t="s">
        <v>34</v>
      </c>
      <c r="J328" s="253" t="s">
        <v>1417</v>
      </c>
      <c r="K328" s="253" t="s">
        <v>48</v>
      </c>
      <c r="L328" s="655"/>
      <c r="M328" s="655" t="s">
        <v>34</v>
      </c>
      <c r="N328" s="253" t="s">
        <v>2905</v>
      </c>
      <c r="O328" s="253" t="s">
        <v>1321</v>
      </c>
      <c r="P328" s="656">
        <v>40933</v>
      </c>
      <c r="Q328" s="657">
        <v>61.675272</v>
      </c>
      <c r="R328" s="657">
        <v>65.279265024193563</v>
      </c>
      <c r="S328" s="253">
        <v>29</v>
      </c>
      <c r="T328" s="658">
        <v>5.0236846923320311E-2</v>
      </c>
      <c r="U328" s="659">
        <v>2.5120458251899787</v>
      </c>
      <c r="V328" s="658">
        <v>0.18184072575962529</v>
      </c>
      <c r="W328" s="659">
        <v>1.4102312124689069</v>
      </c>
      <c r="X328" s="658">
        <v>0.21946198501300818</v>
      </c>
      <c r="Y328" s="659">
        <v>1.136591991176249</v>
      </c>
      <c r="Z328" s="658">
        <v>0.11582067867428325</v>
      </c>
      <c r="AA328" s="659">
        <v>0.52296244829940552</v>
      </c>
      <c r="AB328" s="658">
        <v>6.6579368591368884E-2</v>
      </c>
      <c r="AC328" s="660">
        <v>0.79449260982769809</v>
      </c>
      <c r="AD328" s="682">
        <v>23686472000145</v>
      </c>
      <c r="AE328" s="944" t="s">
        <v>1772</v>
      </c>
      <c r="AF328" s="661" t="s">
        <v>1729</v>
      </c>
      <c r="AG328" s="662" t="s">
        <v>1433</v>
      </c>
      <c r="AH328" s="662" t="s">
        <v>1734</v>
      </c>
      <c r="AI328" s="662">
        <v>5000</v>
      </c>
      <c r="AJ328" s="662">
        <v>500</v>
      </c>
      <c r="AK328" s="662">
        <v>5000</v>
      </c>
      <c r="AL328" s="658">
        <v>0.02</v>
      </c>
      <c r="AM328" s="658">
        <v>0.25</v>
      </c>
      <c r="AN328" s="659" t="s">
        <v>2127</v>
      </c>
      <c r="AO328" s="253" t="s">
        <v>34</v>
      </c>
      <c r="AP328" s="944" t="s">
        <v>1746</v>
      </c>
      <c r="AQ328" s="663" t="s">
        <v>674</v>
      </c>
      <c r="AR328" s="658">
        <v>4.0000000000000001E-3</v>
      </c>
      <c r="AS328" s="658">
        <v>4.0000000000000001E-3</v>
      </c>
      <c r="AT328" s="658" t="s">
        <v>1417</v>
      </c>
      <c r="AU328" s="658" t="s">
        <v>2751</v>
      </c>
      <c r="AX328"/>
      <c r="AY328"/>
      <c r="BA328"/>
      <c r="BB328"/>
      <c r="BC328"/>
      <c r="BD328"/>
      <c r="BE328"/>
      <c r="BF328"/>
      <c r="BG328"/>
      <c r="BH328"/>
      <c r="BI328"/>
      <c r="BJ328"/>
      <c r="BR328"/>
      <c r="BS328"/>
      <c r="BT328"/>
      <c r="BU328"/>
      <c r="BX328"/>
      <c r="BY328"/>
      <c r="CA328"/>
    </row>
    <row r="329" spans="2:79" ht="18.75">
      <c r="B329" s="252" t="s">
        <v>114</v>
      </c>
      <c r="C329" s="251">
        <v>19782311000188</v>
      </c>
      <c r="D329" s="252" t="s">
        <v>11</v>
      </c>
      <c r="E329" s="252" t="s">
        <v>620</v>
      </c>
      <c r="F329" s="252" t="s">
        <v>663</v>
      </c>
      <c r="G329" s="253" t="s">
        <v>738</v>
      </c>
      <c r="H329" s="253" t="s">
        <v>34</v>
      </c>
      <c r="I329" s="253" t="s">
        <v>1417</v>
      </c>
      <c r="J329" s="253" t="s">
        <v>608</v>
      </c>
      <c r="K329" s="253" t="s">
        <v>48</v>
      </c>
      <c r="L329" s="655"/>
      <c r="M329" s="655" t="s">
        <v>34</v>
      </c>
      <c r="N329" s="253" t="s">
        <v>2906</v>
      </c>
      <c r="O329" s="253" t="s">
        <v>1321</v>
      </c>
      <c r="P329" s="656">
        <v>41759</v>
      </c>
      <c r="Q329" s="657">
        <v>1024.356634</v>
      </c>
      <c r="R329" s="657">
        <v>772.63786118875475</v>
      </c>
      <c r="S329" s="253">
        <v>5</v>
      </c>
      <c r="T329" s="658">
        <v>2.0206762897494457E-3</v>
      </c>
      <c r="U329" s="659">
        <v>0.10104199902261661</v>
      </c>
      <c r="V329" s="658">
        <v>0.11685189952401909</v>
      </c>
      <c r="W329" s="659">
        <v>0.90622271362293927</v>
      </c>
      <c r="X329" s="658">
        <v>0.20136380703634549</v>
      </c>
      <c r="Y329" s="659">
        <v>1.0428616617894173</v>
      </c>
      <c r="Z329" s="658">
        <v>0.20923758601882247</v>
      </c>
      <c r="AA329" s="659">
        <v>0.94476566286048858</v>
      </c>
      <c r="AB329" s="658">
        <v>5.2379186166964407E-3</v>
      </c>
      <c r="AC329" s="660">
        <v>-2.3085524628474858</v>
      </c>
      <c r="AD329" s="682">
        <v>0</v>
      </c>
      <c r="AE329" s="944" t="s">
        <v>1772</v>
      </c>
      <c r="AF329" s="661" t="s">
        <v>1729</v>
      </c>
      <c r="AG329" s="662" t="s">
        <v>1433</v>
      </c>
      <c r="AH329" s="662" t="s">
        <v>1734</v>
      </c>
      <c r="AI329" s="662">
        <v>5000</v>
      </c>
      <c r="AJ329" s="662">
        <v>2500</v>
      </c>
      <c r="AK329" s="662">
        <v>5000</v>
      </c>
      <c r="AL329" s="658">
        <v>0.01</v>
      </c>
      <c r="AM329" s="658">
        <v>0</v>
      </c>
      <c r="AN329" s="659" t="s">
        <v>2127</v>
      </c>
      <c r="AO329" s="253" t="s">
        <v>34</v>
      </c>
      <c r="AP329" s="944" t="s">
        <v>1735</v>
      </c>
      <c r="AQ329" s="663" t="s">
        <v>669</v>
      </c>
      <c r="AR329" s="658">
        <v>3.0000000000000001E-3</v>
      </c>
      <c r="AS329" s="658">
        <v>3.0000000000000001E-3</v>
      </c>
      <c r="AT329" s="658" t="s">
        <v>1417</v>
      </c>
      <c r="AU329" s="658" t="s">
        <v>2751</v>
      </c>
      <c r="AX329"/>
      <c r="AY329"/>
      <c r="BA329"/>
      <c r="BB329"/>
      <c r="BC329"/>
      <c r="BD329"/>
      <c r="BE329"/>
      <c r="BF329"/>
      <c r="BG329"/>
      <c r="BH329"/>
      <c r="BI329"/>
      <c r="BJ329"/>
      <c r="BR329"/>
      <c r="BS329"/>
      <c r="BT329"/>
      <c r="BU329"/>
      <c r="BX329"/>
      <c r="BY329"/>
      <c r="CA329"/>
    </row>
    <row r="330" spans="2:79" ht="18.75">
      <c r="B330" s="252" t="s">
        <v>1378</v>
      </c>
      <c r="C330" s="251">
        <v>16599968000116</v>
      </c>
      <c r="D330" s="252" t="s">
        <v>11</v>
      </c>
      <c r="E330" s="252" t="s">
        <v>620</v>
      </c>
      <c r="F330" s="252" t="s">
        <v>663</v>
      </c>
      <c r="G330" s="253" t="s">
        <v>738</v>
      </c>
      <c r="H330" s="253" t="s">
        <v>34</v>
      </c>
      <c r="I330" s="253" t="s">
        <v>1417</v>
      </c>
      <c r="J330" s="253" t="s">
        <v>608</v>
      </c>
      <c r="K330" s="253" t="s">
        <v>48</v>
      </c>
      <c r="L330" s="655"/>
      <c r="M330" s="655" t="s">
        <v>34</v>
      </c>
      <c r="N330" s="253" t="s">
        <v>2907</v>
      </c>
      <c r="O330" s="253" t="s">
        <v>1321</v>
      </c>
      <c r="P330" s="656">
        <v>41174</v>
      </c>
      <c r="Q330" s="657">
        <v>22.903594999999999</v>
      </c>
      <c r="R330" s="657">
        <v>31.625816767346933</v>
      </c>
      <c r="S330" s="253">
        <v>1</v>
      </c>
      <c r="T330" s="658">
        <v>1.8543141695992915E-2</v>
      </c>
      <c r="U330" s="659">
        <v>0.92723219182973604</v>
      </c>
      <c r="V330" s="658">
        <v>8.9876151189108411E-2</v>
      </c>
      <c r="W330" s="659">
        <v>0.69701742078944684</v>
      </c>
      <c r="X330" s="658">
        <v>0.11851758814683233</v>
      </c>
      <c r="Y330" s="659">
        <v>0.61380170918088761</v>
      </c>
      <c r="Z330" s="658">
        <v>0.13225665991025148</v>
      </c>
      <c r="AA330" s="659">
        <v>0.59717545659594173</v>
      </c>
      <c r="AB330" s="658">
        <v>2.138144640960753E-2</v>
      </c>
      <c r="AC330" s="660">
        <v>-1.8271803277127805</v>
      </c>
      <c r="AD330" s="682">
        <v>16802143000157</v>
      </c>
      <c r="AE330" s="944" t="s">
        <v>1772</v>
      </c>
      <c r="AF330" s="661" t="s">
        <v>1769</v>
      </c>
      <c r="AG330" s="662" t="s">
        <v>719</v>
      </c>
      <c r="AH330" s="662" t="s">
        <v>1734</v>
      </c>
      <c r="AI330" s="662">
        <v>1000</v>
      </c>
      <c r="AJ330" s="662">
        <v>1000</v>
      </c>
      <c r="AK330" s="662">
        <v>1000</v>
      </c>
      <c r="AL330" s="658">
        <v>1.4999999999999999E-2</v>
      </c>
      <c r="AM330" s="658">
        <v>0.2</v>
      </c>
      <c r="AN330" s="659" t="s">
        <v>64</v>
      </c>
      <c r="AO330" s="253" t="s">
        <v>34</v>
      </c>
      <c r="AP330" s="944" t="s">
        <v>1735</v>
      </c>
      <c r="AQ330" s="663" t="s">
        <v>669</v>
      </c>
      <c r="AR330" s="658">
        <v>2.5000000000000001E-3</v>
      </c>
      <c r="AS330" s="658">
        <v>2.5000000000000001E-3</v>
      </c>
      <c r="AT330" s="658" t="s">
        <v>1417</v>
      </c>
      <c r="AU330" s="658" t="s">
        <v>2751</v>
      </c>
      <c r="AX330"/>
      <c r="AY330"/>
      <c r="BA330"/>
      <c r="BB330"/>
      <c r="BC330"/>
      <c r="BD330"/>
      <c r="BE330"/>
      <c r="BF330"/>
      <c r="BG330"/>
      <c r="BH330"/>
      <c r="BI330"/>
      <c r="BJ330"/>
      <c r="BR330"/>
      <c r="BS330"/>
      <c r="BT330"/>
      <c r="BU330"/>
      <c r="BX330"/>
      <c r="BY330"/>
      <c r="CA330"/>
    </row>
    <row r="331" spans="2:79" ht="18.75">
      <c r="B331" s="252" t="s">
        <v>115</v>
      </c>
      <c r="C331" s="251">
        <v>39281106000146</v>
      </c>
      <c r="D331" s="252" t="s">
        <v>13</v>
      </c>
      <c r="E331" s="252" t="s">
        <v>615</v>
      </c>
      <c r="F331" s="252" t="s">
        <v>619</v>
      </c>
      <c r="G331" s="253" t="s">
        <v>34</v>
      </c>
      <c r="H331" s="253" t="s">
        <v>1338</v>
      </c>
      <c r="I331" s="253" t="s">
        <v>34</v>
      </c>
      <c r="J331" s="253" t="s">
        <v>1417</v>
      </c>
      <c r="K331" s="253" t="s">
        <v>48</v>
      </c>
      <c r="L331" s="655"/>
      <c r="M331" s="655" t="s">
        <v>1414</v>
      </c>
      <c r="N331" s="253" t="s">
        <v>2908</v>
      </c>
      <c r="O331" s="253" t="s">
        <v>1321</v>
      </c>
      <c r="P331" s="656">
        <v>44160</v>
      </c>
      <c r="Q331" s="657">
        <v>30.725181809999999</v>
      </c>
      <c r="R331" s="657">
        <v>36.386675340406491</v>
      </c>
      <c r="S331" s="253">
        <v>32</v>
      </c>
      <c r="T331" s="658">
        <v>-8.4486285218603463E-3</v>
      </c>
      <c r="U331" s="659">
        <v>-0.42246564636739242</v>
      </c>
      <c r="V331" s="658">
        <v>7.2822809117986553E-2</v>
      </c>
      <c r="W331" s="659">
        <v>0.56476346521848364</v>
      </c>
      <c r="X331" s="658">
        <v>0.18937993304717571</v>
      </c>
      <c r="Y331" s="659">
        <v>0.98079726736343775</v>
      </c>
      <c r="Z331" s="658"/>
      <c r="AA331" s="659"/>
      <c r="AB331" s="658">
        <v>6.2799085603622767E-2</v>
      </c>
      <c r="AC331" s="660">
        <v>-0.89366110651719854</v>
      </c>
      <c r="AD331" s="682">
        <v>0</v>
      </c>
      <c r="AE331" s="944" t="s">
        <v>2037</v>
      </c>
      <c r="AF331" s="661" t="s">
        <v>1742</v>
      </c>
      <c r="AG331" s="662" t="s">
        <v>741</v>
      </c>
      <c r="AH331" s="662" t="s">
        <v>1734</v>
      </c>
      <c r="AI331" s="662">
        <v>0</v>
      </c>
      <c r="AJ331" s="662">
        <v>0</v>
      </c>
      <c r="AK331" s="662">
        <v>0</v>
      </c>
      <c r="AL331" s="658">
        <v>7.8000000000000005E-3</v>
      </c>
      <c r="AM331" s="658">
        <v>0</v>
      </c>
      <c r="AN331" s="659" t="s">
        <v>34</v>
      </c>
      <c r="AO331" s="253" t="s">
        <v>34</v>
      </c>
      <c r="AP331" s="944" t="s">
        <v>1746</v>
      </c>
      <c r="AQ331" s="663" t="s">
        <v>668</v>
      </c>
      <c r="AR331" s="658">
        <v>0</v>
      </c>
      <c r="AS331" s="658">
        <v>0</v>
      </c>
      <c r="AT331" s="658" t="s">
        <v>1417</v>
      </c>
      <c r="AU331" s="658" t="s">
        <v>2751</v>
      </c>
      <c r="AX331"/>
      <c r="AY331"/>
      <c r="BA331"/>
      <c r="BB331"/>
      <c r="BC331"/>
      <c r="BD331"/>
      <c r="BE331"/>
      <c r="BF331"/>
      <c r="BG331"/>
      <c r="BH331"/>
      <c r="BI331"/>
      <c r="BJ331"/>
      <c r="BR331"/>
      <c r="BS331"/>
      <c r="BT331"/>
      <c r="BU331"/>
      <c r="BX331"/>
      <c r="BY331"/>
      <c r="CA331"/>
    </row>
    <row r="332" spans="2:79" ht="18.75">
      <c r="B332" s="252" t="s">
        <v>116</v>
      </c>
      <c r="C332" s="251">
        <v>9528698000197</v>
      </c>
      <c r="D332" s="252" t="s">
        <v>13</v>
      </c>
      <c r="E332" s="252" t="s">
        <v>615</v>
      </c>
      <c r="F332" s="252" t="s">
        <v>619</v>
      </c>
      <c r="G332" s="253" t="s">
        <v>1417</v>
      </c>
      <c r="H332" s="253" t="s">
        <v>1337</v>
      </c>
      <c r="I332" s="253" t="s">
        <v>34</v>
      </c>
      <c r="J332" s="253" t="s">
        <v>611</v>
      </c>
      <c r="K332" s="253" t="s">
        <v>48</v>
      </c>
      <c r="L332" s="655"/>
      <c r="M332" s="655" t="s">
        <v>1414</v>
      </c>
      <c r="N332" s="253" t="s">
        <v>2909</v>
      </c>
      <c r="O332" s="253" t="s">
        <v>1321</v>
      </c>
      <c r="P332" s="656">
        <v>39600</v>
      </c>
      <c r="Q332" s="657">
        <v>55.925566000000003</v>
      </c>
      <c r="R332" s="657">
        <v>58.908092465587082</v>
      </c>
      <c r="S332" s="253">
        <v>21</v>
      </c>
      <c r="T332" s="658">
        <v>-6.4455881696279249E-3</v>
      </c>
      <c r="U332" s="659">
        <v>-0.32230551565312276</v>
      </c>
      <c r="V332" s="658">
        <v>0.12615007120481181</v>
      </c>
      <c r="W332" s="659">
        <v>0.97833291813500134</v>
      </c>
      <c r="X332" s="658">
        <v>0.15401223743544401</v>
      </c>
      <c r="Y332" s="659">
        <v>0.79762823434721442</v>
      </c>
      <c r="Z332" s="658">
        <v>0.16674960201233646</v>
      </c>
      <c r="AA332" s="659">
        <v>0.75292064525508284</v>
      </c>
      <c r="AB332" s="658">
        <v>2.8836014504106031E-2</v>
      </c>
      <c r="AC332" s="660">
        <v>-9.6887114603813274E-2</v>
      </c>
      <c r="AD332" s="682">
        <v>0</v>
      </c>
      <c r="AE332" s="944" t="s">
        <v>1798</v>
      </c>
      <c r="AF332" s="661" t="s">
        <v>1769</v>
      </c>
      <c r="AG332" s="662" t="s">
        <v>719</v>
      </c>
      <c r="AH332" s="662" t="s">
        <v>1734</v>
      </c>
      <c r="AI332" s="662">
        <v>20000</v>
      </c>
      <c r="AJ332" s="662">
        <v>1000</v>
      </c>
      <c r="AK332" s="662">
        <v>20000</v>
      </c>
      <c r="AL332" s="658">
        <v>1.37E-2</v>
      </c>
      <c r="AM332" s="658">
        <v>0.2</v>
      </c>
      <c r="AN332" s="659" t="s">
        <v>64</v>
      </c>
      <c r="AO332" s="253" t="s">
        <v>34</v>
      </c>
      <c r="AP332" s="944" t="s">
        <v>1746</v>
      </c>
      <c r="AQ332" s="663" t="s">
        <v>664</v>
      </c>
      <c r="AR332" s="658">
        <v>3.4846E-3</v>
      </c>
      <c r="AS332" s="658">
        <v>3.4846E-3</v>
      </c>
      <c r="AT332" s="658" t="s">
        <v>1417</v>
      </c>
      <c r="AU332" s="658" t="s">
        <v>2751</v>
      </c>
      <c r="AX332"/>
      <c r="AY332"/>
      <c r="BA332"/>
      <c r="BB332"/>
      <c r="BC332"/>
      <c r="BD332"/>
      <c r="BE332"/>
      <c r="BF332"/>
      <c r="BG332"/>
      <c r="BH332"/>
      <c r="BI332"/>
      <c r="BJ332"/>
      <c r="BR332"/>
      <c r="BS332"/>
      <c r="BT332"/>
      <c r="BU332"/>
      <c r="BX332"/>
      <c r="BY332"/>
      <c r="CA332"/>
    </row>
    <row r="333" spans="2:79" ht="18.75">
      <c r="B333" s="252" t="s">
        <v>117</v>
      </c>
      <c r="C333" s="251">
        <v>23732231000195</v>
      </c>
      <c r="D333" s="252" t="s">
        <v>14</v>
      </c>
      <c r="E333" s="252" t="s">
        <v>614</v>
      </c>
      <c r="F333" s="252" t="s">
        <v>1417</v>
      </c>
      <c r="G333" s="253" t="s">
        <v>1417</v>
      </c>
      <c r="H333" s="253" t="s">
        <v>865</v>
      </c>
      <c r="I333" s="253" t="s">
        <v>34</v>
      </c>
      <c r="J333" s="253" t="s">
        <v>608</v>
      </c>
      <c r="K333" s="253" t="s">
        <v>48</v>
      </c>
      <c r="L333" s="655"/>
      <c r="M333" s="655" t="s">
        <v>34</v>
      </c>
      <c r="N333" s="253" t="s">
        <v>2910</v>
      </c>
      <c r="O333" s="253" t="s">
        <v>1324</v>
      </c>
      <c r="P333" s="656">
        <v>42368</v>
      </c>
      <c r="Q333" s="657">
        <v>168.00009800000001</v>
      </c>
      <c r="R333" s="657">
        <v>228.13257876829277</v>
      </c>
      <c r="S333" s="253">
        <v>32</v>
      </c>
      <c r="T333" s="658">
        <v>-3.6697842017895166E-2</v>
      </c>
      <c r="U333" s="659">
        <v>-1.8350407416143233</v>
      </c>
      <c r="V333" s="658">
        <v>-1.0573624729628084E-2</v>
      </c>
      <c r="W333" s="659">
        <v>-8.2001738391463394E-2</v>
      </c>
      <c r="X333" s="658">
        <v>-0.19603603588382679</v>
      </c>
      <c r="Y333" s="659">
        <v>-1.0152691745419622</v>
      </c>
      <c r="Z333" s="658">
        <v>-0.11775718261941615</v>
      </c>
      <c r="AA333" s="659">
        <v>-0.53170630005265052</v>
      </c>
      <c r="AB333" s="658">
        <v>0.15212284712322557</v>
      </c>
      <c r="AC333" s="660">
        <v>-0.91713727960535518</v>
      </c>
      <c r="AD333" s="682">
        <v>23732220000105</v>
      </c>
      <c r="AE333" s="944" t="s">
        <v>1798</v>
      </c>
      <c r="AF333" s="661" t="s">
        <v>1769</v>
      </c>
      <c r="AG333" s="662" t="s">
        <v>719</v>
      </c>
      <c r="AH333" s="662" t="s">
        <v>1734</v>
      </c>
      <c r="AI333" s="662">
        <v>20000</v>
      </c>
      <c r="AJ333" s="662">
        <v>1000</v>
      </c>
      <c r="AK333" s="662">
        <v>20000</v>
      </c>
      <c r="AL333" s="658">
        <v>2.2000000000000002E-2</v>
      </c>
      <c r="AM333" s="658">
        <v>0.2</v>
      </c>
      <c r="AN333" s="659" t="s">
        <v>64</v>
      </c>
      <c r="AO333" s="253" t="s">
        <v>34</v>
      </c>
      <c r="AP333" s="944" t="s">
        <v>1746</v>
      </c>
      <c r="AQ333" s="663" t="s">
        <v>668</v>
      </c>
      <c r="AR333" s="658">
        <v>4.7499999999999999E-3</v>
      </c>
      <c r="AS333" s="658">
        <v>4.7499999999999999E-3</v>
      </c>
      <c r="AT333" s="658" t="s">
        <v>1417</v>
      </c>
      <c r="AU333" s="658" t="s">
        <v>2751</v>
      </c>
      <c r="AX333"/>
      <c r="AY333"/>
      <c r="BA333"/>
      <c r="BB333"/>
      <c r="BC333"/>
      <c r="BD333"/>
      <c r="BE333"/>
      <c r="BF333"/>
      <c r="BG333"/>
      <c r="BH333"/>
      <c r="BI333"/>
      <c r="BJ333"/>
      <c r="BR333"/>
      <c r="BS333"/>
      <c r="BT333"/>
      <c r="BU333"/>
      <c r="BX333"/>
      <c r="BY333"/>
      <c r="CA333"/>
    </row>
    <row r="334" spans="2:79" ht="18.75">
      <c r="B334" s="252" t="s">
        <v>118</v>
      </c>
      <c r="C334" s="251">
        <v>35609273000112</v>
      </c>
      <c r="D334" s="252" t="s">
        <v>14</v>
      </c>
      <c r="E334" s="252" t="s">
        <v>614</v>
      </c>
      <c r="F334" s="252" t="s">
        <v>1417</v>
      </c>
      <c r="G334" s="253" t="s">
        <v>1417</v>
      </c>
      <c r="H334" s="253" t="s">
        <v>865</v>
      </c>
      <c r="I334" s="253" t="s">
        <v>34</v>
      </c>
      <c r="J334" s="253" t="s">
        <v>608</v>
      </c>
      <c r="K334" s="253" t="s">
        <v>48</v>
      </c>
      <c r="L334" s="655"/>
      <c r="M334" s="655" t="s">
        <v>1414</v>
      </c>
      <c r="N334" s="253" t="s">
        <v>2911</v>
      </c>
      <c r="O334" s="253" t="s">
        <v>1321</v>
      </c>
      <c r="P334" s="656">
        <v>43828</v>
      </c>
      <c r="Q334" s="657">
        <v>3.7949933699999998</v>
      </c>
      <c r="R334" s="657">
        <v>4.4550360206504074</v>
      </c>
      <c r="S334" s="253">
        <v>32</v>
      </c>
      <c r="T334" s="658">
        <v>-3.725349374012088E-2</v>
      </c>
      <c r="U334" s="659">
        <v>-1.8628255783340175</v>
      </c>
      <c r="V334" s="658">
        <v>-9.4715537063030375E-3</v>
      </c>
      <c r="W334" s="659">
        <v>-7.3454835881268901E-2</v>
      </c>
      <c r="X334" s="658">
        <v>-0.20079867582858402</v>
      </c>
      <c r="Y334" s="659">
        <v>-1.0399348514597495</v>
      </c>
      <c r="Z334" s="658">
        <v>-0.12643628480350555</v>
      </c>
      <c r="AA334" s="659">
        <v>-0.57089485065678303</v>
      </c>
      <c r="AB334" s="658">
        <v>0.14962599020102785</v>
      </c>
      <c r="AC334" s="660">
        <v>-0.92507633845647597</v>
      </c>
      <c r="AD334" s="682">
        <v>23732220000105</v>
      </c>
      <c r="AE334" s="944" t="s">
        <v>1798</v>
      </c>
      <c r="AF334" s="661" t="s">
        <v>1769</v>
      </c>
      <c r="AG334" s="662" t="s">
        <v>719</v>
      </c>
      <c r="AH334" s="662" t="s">
        <v>1730</v>
      </c>
      <c r="AI334" s="662">
        <v>20000</v>
      </c>
      <c r="AJ334" s="662">
        <v>1000</v>
      </c>
      <c r="AK334" s="662">
        <v>20000</v>
      </c>
      <c r="AL334" s="658">
        <v>1.9E-2</v>
      </c>
      <c r="AM334" s="658">
        <v>0.2</v>
      </c>
      <c r="AN334" s="659" t="s">
        <v>2122</v>
      </c>
      <c r="AO334" s="253" t="s">
        <v>34</v>
      </c>
      <c r="AP334" s="944" t="s">
        <v>1746</v>
      </c>
      <c r="AQ334" s="663" t="s">
        <v>668</v>
      </c>
      <c r="AR334" s="658">
        <v>3.1666666666666701E-3</v>
      </c>
      <c r="AS334" s="658">
        <v>3.1666666666666701E-3</v>
      </c>
      <c r="AT334" s="658" t="s">
        <v>1417</v>
      </c>
      <c r="AU334" s="658" t="s">
        <v>2751</v>
      </c>
      <c r="AX334"/>
      <c r="AY334"/>
      <c r="BA334"/>
      <c r="BB334"/>
      <c r="BC334"/>
      <c r="BD334"/>
      <c r="BE334"/>
      <c r="BF334"/>
      <c r="BG334"/>
      <c r="BH334"/>
      <c r="BI334"/>
      <c r="BJ334"/>
      <c r="BR334"/>
      <c r="BS334"/>
      <c r="BT334"/>
      <c r="BU334"/>
      <c r="BX334"/>
      <c r="BY334"/>
      <c r="CA334"/>
    </row>
    <row r="335" spans="2:79" ht="18.75">
      <c r="B335" s="252" t="s">
        <v>789</v>
      </c>
      <c r="C335" s="251">
        <v>28235629000130</v>
      </c>
      <c r="D335" s="252" t="s">
        <v>13</v>
      </c>
      <c r="E335" s="252" t="s">
        <v>615</v>
      </c>
      <c r="F335" s="252" t="s">
        <v>619</v>
      </c>
      <c r="G335" s="253" t="s">
        <v>34</v>
      </c>
      <c r="H335" s="253" t="s">
        <v>1337</v>
      </c>
      <c r="I335" s="253" t="s">
        <v>34</v>
      </c>
      <c r="J335" s="253" t="s">
        <v>611</v>
      </c>
      <c r="K335" s="253" t="s">
        <v>48</v>
      </c>
      <c r="L335" s="655"/>
      <c r="M335" s="655" t="s">
        <v>1414</v>
      </c>
      <c r="N335" s="253" t="s">
        <v>2912</v>
      </c>
      <c r="O335" s="253" t="s">
        <v>1321</v>
      </c>
      <c r="P335" s="656">
        <v>43089</v>
      </c>
      <c r="Q335" s="657">
        <v>20.112234619999999</v>
      </c>
      <c r="R335" s="657">
        <v>8.3290532004819262</v>
      </c>
      <c r="S335" s="253">
        <v>31</v>
      </c>
      <c r="T335" s="658">
        <v>-2.6223233862827211E-2</v>
      </c>
      <c r="U335" s="659">
        <v>-1.3112679075707756</v>
      </c>
      <c r="V335" s="658">
        <v>0.13138150339882415</v>
      </c>
      <c r="W335" s="659">
        <v>1.0189042969341777</v>
      </c>
      <c r="X335" s="658">
        <v>0.1744372821154283</v>
      </c>
      <c r="Y335" s="659">
        <v>0.90340938911673485</v>
      </c>
      <c r="Z335" s="658">
        <v>0.19449504824792796</v>
      </c>
      <c r="AA335" s="659">
        <v>0.87819902091828994</v>
      </c>
      <c r="AB335" s="658">
        <v>4.5074477535325036E-2</v>
      </c>
      <c r="AC335" s="660">
        <v>5.4079250283610006E-2</v>
      </c>
      <c r="AD335" s="682">
        <v>17087932000116</v>
      </c>
      <c r="AE335" s="944" t="s">
        <v>1797</v>
      </c>
      <c r="AF335" s="661" t="s">
        <v>1745</v>
      </c>
      <c r="AG335" s="662" t="s">
        <v>1432</v>
      </c>
      <c r="AH335" s="662" t="s">
        <v>1734</v>
      </c>
      <c r="AI335" s="662">
        <v>10000</v>
      </c>
      <c r="AJ335" s="662">
        <v>10000</v>
      </c>
      <c r="AK335" s="662">
        <v>10000</v>
      </c>
      <c r="AL335" s="658">
        <v>0</v>
      </c>
      <c r="AM335" s="658">
        <v>0</v>
      </c>
      <c r="AN335" s="659" t="s">
        <v>34</v>
      </c>
      <c r="AO335" s="253" t="s">
        <v>34</v>
      </c>
      <c r="AP335" s="944" t="s">
        <v>1746</v>
      </c>
      <c r="AQ335" s="663" t="s">
        <v>664</v>
      </c>
      <c r="AR335" s="658">
        <v>3.6099999999999999E-3</v>
      </c>
      <c r="AS335" s="658">
        <v>3.6099999999999999E-3</v>
      </c>
      <c r="AT335" s="658" t="s">
        <v>1417</v>
      </c>
      <c r="AU335" s="658" t="s">
        <v>2751</v>
      </c>
      <c r="AX335"/>
      <c r="AY335"/>
      <c r="BA335"/>
      <c r="BB335"/>
      <c r="BC335"/>
      <c r="BD335"/>
      <c r="BE335"/>
      <c r="BF335"/>
      <c r="BG335"/>
      <c r="BH335"/>
      <c r="BI335"/>
      <c r="BJ335"/>
      <c r="BR335"/>
      <c r="BS335"/>
      <c r="BT335"/>
      <c r="BU335"/>
      <c r="BX335"/>
      <c r="BY335"/>
      <c r="CA335"/>
    </row>
    <row r="336" spans="2:79" ht="18.75">
      <c r="B336" s="252" t="s">
        <v>790</v>
      </c>
      <c r="C336" s="251">
        <v>17087932000116</v>
      </c>
      <c r="D336" s="252" t="s">
        <v>13</v>
      </c>
      <c r="E336" s="252" t="s">
        <v>615</v>
      </c>
      <c r="F336" s="252" t="s">
        <v>619</v>
      </c>
      <c r="G336" s="253" t="s">
        <v>34</v>
      </c>
      <c r="H336" s="253" t="s">
        <v>1337</v>
      </c>
      <c r="I336" s="253" t="s">
        <v>34</v>
      </c>
      <c r="J336" s="253" t="s">
        <v>611</v>
      </c>
      <c r="K336" s="253" t="s">
        <v>48</v>
      </c>
      <c r="L336" s="655"/>
      <c r="M336" s="655" t="s">
        <v>1414</v>
      </c>
      <c r="N336" s="253" t="s">
        <v>2913</v>
      </c>
      <c r="O336" s="253" t="s">
        <v>1321</v>
      </c>
      <c r="P336" s="656">
        <v>41272</v>
      </c>
      <c r="Q336" s="657">
        <v>695.81691599999999</v>
      </c>
      <c r="R336" s="657">
        <v>747.56148265853699</v>
      </c>
      <c r="S336" s="253">
        <v>31</v>
      </c>
      <c r="T336" s="658">
        <v>-2.656474546925669E-2</v>
      </c>
      <c r="U336" s="659">
        <v>-1.3283448711488153</v>
      </c>
      <c r="V336" s="658">
        <v>0.13252296178034206</v>
      </c>
      <c r="W336" s="659">
        <v>1.0277566606201798</v>
      </c>
      <c r="X336" s="658">
        <v>0.17662074054667953</v>
      </c>
      <c r="Y336" s="659">
        <v>0.91471750412298214</v>
      </c>
      <c r="Z336" s="658">
        <v>0.19770822376588781</v>
      </c>
      <c r="AA336" s="659">
        <v>0.89270739848024172</v>
      </c>
      <c r="AB336" s="658">
        <v>4.527364898837314E-2</v>
      </c>
      <c r="AC336" s="660">
        <v>7.9053763359627993E-2</v>
      </c>
      <c r="AD336" s="682">
        <v>0</v>
      </c>
      <c r="AE336" s="944" t="s">
        <v>1798</v>
      </c>
      <c r="AF336" s="661" t="s">
        <v>1769</v>
      </c>
      <c r="AG336" s="662" t="s">
        <v>719</v>
      </c>
      <c r="AH336" s="662" t="s">
        <v>1734</v>
      </c>
      <c r="AI336" s="662">
        <v>20000</v>
      </c>
      <c r="AJ336" s="662">
        <v>1000</v>
      </c>
      <c r="AK336" s="662">
        <v>20000</v>
      </c>
      <c r="AL336" s="658">
        <v>2.2000000000000002E-2</v>
      </c>
      <c r="AM336" s="658">
        <v>0.2</v>
      </c>
      <c r="AN336" s="659" t="s">
        <v>64</v>
      </c>
      <c r="AO336" s="253" t="s">
        <v>34</v>
      </c>
      <c r="AP336" s="944" t="s">
        <v>1746</v>
      </c>
      <c r="AQ336" s="663" t="s">
        <v>664</v>
      </c>
      <c r="AR336" s="658">
        <v>3.6099999999999999E-3</v>
      </c>
      <c r="AS336" s="658">
        <v>3.6099999999999999E-3</v>
      </c>
      <c r="AT336" s="658" t="s">
        <v>1417</v>
      </c>
      <c r="AU336" s="658" t="s">
        <v>2751</v>
      </c>
      <c r="AX336"/>
      <c r="AY336"/>
      <c r="BA336"/>
      <c r="BB336"/>
      <c r="BC336"/>
      <c r="BD336"/>
      <c r="BE336"/>
      <c r="BF336"/>
      <c r="BG336"/>
      <c r="BH336"/>
      <c r="BI336"/>
      <c r="BJ336"/>
      <c r="BR336"/>
      <c r="BS336"/>
      <c r="BT336"/>
      <c r="BU336"/>
      <c r="BX336"/>
      <c r="BY336"/>
      <c r="CA336"/>
    </row>
    <row r="337" spans="2:79" ht="18.75">
      <c r="B337" s="252" t="s">
        <v>119</v>
      </c>
      <c r="C337" s="251">
        <v>8892340000186</v>
      </c>
      <c r="D337" s="252" t="s">
        <v>14</v>
      </c>
      <c r="E337" s="252" t="s">
        <v>607</v>
      </c>
      <c r="F337" s="252" t="s">
        <v>1417</v>
      </c>
      <c r="G337" s="253" t="s">
        <v>1417</v>
      </c>
      <c r="H337" s="253" t="s">
        <v>34</v>
      </c>
      <c r="I337" s="253" t="s">
        <v>34</v>
      </c>
      <c r="J337" s="253" t="s">
        <v>608</v>
      </c>
      <c r="K337" s="253" t="s">
        <v>48</v>
      </c>
      <c r="L337" s="655"/>
      <c r="M337" s="655" t="s">
        <v>34</v>
      </c>
      <c r="N337" s="253" t="s">
        <v>2914</v>
      </c>
      <c r="O337" s="253" t="s">
        <v>1324</v>
      </c>
      <c r="P337" s="656">
        <v>39253</v>
      </c>
      <c r="Q337" s="657">
        <v>92.571136999999993</v>
      </c>
      <c r="R337" s="657">
        <v>116.30891551821863</v>
      </c>
      <c r="S337" s="253">
        <v>62</v>
      </c>
      <c r="T337" s="658">
        <v>-6.175747520554542E-2</v>
      </c>
      <c r="U337" s="659">
        <v>-3.088123902385044</v>
      </c>
      <c r="V337" s="658">
        <v>-0.10803019692212279</v>
      </c>
      <c r="W337" s="659">
        <v>-0.8378076745587113</v>
      </c>
      <c r="X337" s="658">
        <v>-0.30116588641760234</v>
      </c>
      <c r="Y337" s="659">
        <v>-1.5597358900105336</v>
      </c>
      <c r="Z337" s="658">
        <v>-0.22708488232521218</v>
      </c>
      <c r="AA337" s="659">
        <v>-1.0253511496556622</v>
      </c>
      <c r="AB337" s="658">
        <v>0.24400047894153509</v>
      </c>
      <c r="AC337" s="660">
        <v>-0.97120344761984034</v>
      </c>
      <c r="AD337" s="682">
        <v>12823607000150</v>
      </c>
      <c r="AE337" s="944" t="s">
        <v>1798</v>
      </c>
      <c r="AF337" s="661" t="s">
        <v>1769</v>
      </c>
      <c r="AG337" s="662" t="s">
        <v>719</v>
      </c>
      <c r="AH337" s="662" t="s">
        <v>1734</v>
      </c>
      <c r="AI337" s="662">
        <v>20000</v>
      </c>
      <c r="AJ337" s="662">
        <v>1000</v>
      </c>
      <c r="AK337" s="662">
        <v>20000</v>
      </c>
      <c r="AL337" s="658">
        <v>1.9E-2</v>
      </c>
      <c r="AM337" s="658">
        <v>0</v>
      </c>
      <c r="AN337" s="659" t="s">
        <v>2122</v>
      </c>
      <c r="AO337" s="253" t="s">
        <v>34</v>
      </c>
      <c r="AP337" s="944" t="s">
        <v>1731</v>
      </c>
      <c r="AQ337" s="663" t="s">
        <v>659</v>
      </c>
      <c r="AR337" s="658">
        <v>3.8E-3</v>
      </c>
      <c r="AS337" s="658">
        <v>3.8E-3</v>
      </c>
      <c r="AT337" s="658" t="s">
        <v>1417</v>
      </c>
      <c r="AU337" s="658" t="s">
        <v>2751</v>
      </c>
      <c r="AX337"/>
      <c r="AY337"/>
      <c r="BA337"/>
      <c r="BB337"/>
      <c r="BC337"/>
      <c r="BD337"/>
      <c r="BE337"/>
      <c r="BF337"/>
      <c r="BG337"/>
      <c r="BH337"/>
      <c r="BI337"/>
      <c r="BJ337"/>
      <c r="BR337"/>
      <c r="BS337"/>
      <c r="BT337"/>
      <c r="BU337"/>
      <c r="BX337"/>
      <c r="BY337"/>
      <c r="CA337"/>
    </row>
    <row r="338" spans="2:79" ht="18.75">
      <c r="B338" s="252" t="s">
        <v>120</v>
      </c>
      <c r="C338" s="251">
        <v>9635172000106</v>
      </c>
      <c r="D338" s="252" t="s">
        <v>14</v>
      </c>
      <c r="E338" s="252" t="s">
        <v>607</v>
      </c>
      <c r="F338" s="252" t="s">
        <v>1417</v>
      </c>
      <c r="G338" s="253" t="s">
        <v>1417</v>
      </c>
      <c r="H338" s="253" t="s">
        <v>34</v>
      </c>
      <c r="I338" s="253" t="s">
        <v>34</v>
      </c>
      <c r="J338" s="253" t="s">
        <v>608</v>
      </c>
      <c r="K338" s="253" t="s">
        <v>48</v>
      </c>
      <c r="L338" s="655"/>
      <c r="M338" s="655" t="s">
        <v>1414</v>
      </c>
      <c r="N338" s="253" t="s">
        <v>2915</v>
      </c>
      <c r="O338" s="253" t="s">
        <v>1321</v>
      </c>
      <c r="P338" s="656">
        <v>40143</v>
      </c>
      <c r="Q338" s="657">
        <v>213.40535600000001</v>
      </c>
      <c r="R338" s="657">
        <v>262.01874181069968</v>
      </c>
      <c r="S338" s="253">
        <v>32</v>
      </c>
      <c r="T338" s="658">
        <v>-3.9451779638015716E-2</v>
      </c>
      <c r="U338" s="659">
        <v>-1.972748777152797</v>
      </c>
      <c r="V338" s="658">
        <v>-5.9067798943164718E-2</v>
      </c>
      <c r="W338" s="659">
        <v>-0.45808909623250094</v>
      </c>
      <c r="X338" s="658">
        <v>-0.19419013227059534</v>
      </c>
      <c r="Y338" s="659">
        <v>-1.0057092534323548</v>
      </c>
      <c r="Z338" s="658">
        <v>-0.10212227767655946</v>
      </c>
      <c r="AA338" s="659">
        <v>-0.46111037312979863</v>
      </c>
      <c r="AB338" s="658">
        <v>0.21366527118143713</v>
      </c>
      <c r="AC338" s="660">
        <v>-0.87993573944124992</v>
      </c>
      <c r="AD338" s="682">
        <v>9635130000175</v>
      </c>
      <c r="AE338" s="944" t="s">
        <v>1798</v>
      </c>
      <c r="AF338" s="661" t="s">
        <v>1769</v>
      </c>
      <c r="AG338" s="662" t="s">
        <v>719</v>
      </c>
      <c r="AH338" s="662" t="s">
        <v>1734</v>
      </c>
      <c r="AI338" s="662">
        <v>20000</v>
      </c>
      <c r="AJ338" s="662">
        <v>1000</v>
      </c>
      <c r="AK338" s="662">
        <v>20000</v>
      </c>
      <c r="AL338" s="658">
        <v>1.9E-2</v>
      </c>
      <c r="AM338" s="658">
        <v>0.2</v>
      </c>
      <c r="AN338" s="659" t="s">
        <v>666</v>
      </c>
      <c r="AO338" s="253" t="s">
        <v>34</v>
      </c>
      <c r="AP338" s="944" t="s">
        <v>1731</v>
      </c>
      <c r="AQ338" s="663" t="s">
        <v>659</v>
      </c>
      <c r="AR338" s="658">
        <v>3.6099999999999999E-3</v>
      </c>
      <c r="AS338" s="658">
        <v>3.6099999999999999E-3</v>
      </c>
      <c r="AT338" s="658" t="s">
        <v>1417</v>
      </c>
      <c r="AU338" s="658" t="s">
        <v>2751</v>
      </c>
      <c r="AX338"/>
      <c r="AY338"/>
      <c r="BA338"/>
      <c r="BB338"/>
      <c r="BC338"/>
      <c r="BD338"/>
      <c r="BE338"/>
      <c r="BF338"/>
      <c r="BG338"/>
      <c r="BH338"/>
      <c r="BI338"/>
      <c r="BJ338"/>
      <c r="BR338"/>
      <c r="BS338"/>
      <c r="BT338"/>
      <c r="BU338"/>
      <c r="BX338"/>
      <c r="BY338"/>
      <c r="CA338"/>
    </row>
    <row r="339" spans="2:79" ht="18.75">
      <c r="B339" s="252" t="s">
        <v>791</v>
      </c>
      <c r="C339" s="251">
        <v>24038672000154</v>
      </c>
      <c r="D339" s="252" t="s">
        <v>13</v>
      </c>
      <c r="E339" s="252" t="s">
        <v>615</v>
      </c>
      <c r="F339" s="252" t="s">
        <v>619</v>
      </c>
      <c r="G339" s="253" t="s">
        <v>34</v>
      </c>
      <c r="H339" s="253" t="s">
        <v>1337</v>
      </c>
      <c r="I339" s="253" t="s">
        <v>34</v>
      </c>
      <c r="J339" s="253" t="s">
        <v>1417</v>
      </c>
      <c r="K339" s="253" t="s">
        <v>48</v>
      </c>
      <c r="L339" s="655"/>
      <c r="M339" s="655" t="s">
        <v>1414</v>
      </c>
      <c r="N339" s="253" t="s">
        <v>2916</v>
      </c>
      <c r="O339" s="253" t="s">
        <v>1321</v>
      </c>
      <c r="P339" s="656">
        <v>42536</v>
      </c>
      <c r="Q339" s="657">
        <v>15.687704</v>
      </c>
      <c r="R339" s="657">
        <v>23.933820717213081</v>
      </c>
      <c r="S339" s="253">
        <v>32</v>
      </c>
      <c r="T339" s="658">
        <v>3.4092014968267748E-4</v>
      </c>
      <c r="U339" s="659">
        <v>1.7047388345066739E-2</v>
      </c>
      <c r="V339" s="658">
        <v>8.7434437143212085E-2</v>
      </c>
      <c r="W339" s="659">
        <v>0.67808117124984413</v>
      </c>
      <c r="X339" s="658">
        <v>0.12130465716723493</v>
      </c>
      <c r="Y339" s="659">
        <v>0.62823591894736386</v>
      </c>
      <c r="Z339" s="658">
        <v>0.20072959029554149</v>
      </c>
      <c r="AA339" s="659">
        <v>0.90634970532599157</v>
      </c>
      <c r="AB339" s="658">
        <v>3.2981265341281631E-2</v>
      </c>
      <c r="AC339" s="660">
        <v>-1.2585773127272999</v>
      </c>
      <c r="AD339" s="682">
        <v>0</v>
      </c>
      <c r="AE339" s="944" t="s">
        <v>1930</v>
      </c>
      <c r="AF339" s="661" t="s">
        <v>1745</v>
      </c>
      <c r="AG339" s="662" t="s">
        <v>1432</v>
      </c>
      <c r="AH339" s="662" t="s">
        <v>1734</v>
      </c>
      <c r="AI339" s="662">
        <v>1000</v>
      </c>
      <c r="AJ339" s="662">
        <v>0</v>
      </c>
      <c r="AK339" s="662">
        <v>0</v>
      </c>
      <c r="AL339" s="658">
        <v>8.0000000000000002E-3</v>
      </c>
      <c r="AM339" s="658">
        <v>0</v>
      </c>
      <c r="AN339" s="659" t="s">
        <v>34</v>
      </c>
      <c r="AO339" s="253" t="s">
        <v>34</v>
      </c>
      <c r="AP339" s="944" t="s">
        <v>1746</v>
      </c>
      <c r="AQ339" s="663" t="s">
        <v>668</v>
      </c>
      <c r="AR339" s="658">
        <v>2.13333333333333E-3</v>
      </c>
      <c r="AS339" s="658">
        <v>2.13333333333333E-3</v>
      </c>
      <c r="AT339" s="658" t="s">
        <v>1417</v>
      </c>
      <c r="AU339" s="658" t="s">
        <v>2751</v>
      </c>
      <c r="AX339"/>
      <c r="AY339"/>
      <c r="BA339"/>
      <c r="BB339"/>
      <c r="BC339"/>
      <c r="BD339"/>
      <c r="BE339"/>
      <c r="BF339"/>
      <c r="BG339"/>
      <c r="BH339"/>
      <c r="BI339"/>
      <c r="BJ339"/>
      <c r="BR339"/>
      <c r="BS339"/>
      <c r="BT339"/>
      <c r="BU339"/>
      <c r="BX339"/>
      <c r="BY339"/>
      <c r="CA339"/>
    </row>
    <row r="340" spans="2:79" ht="18.75">
      <c r="B340" s="252" t="s">
        <v>121</v>
      </c>
      <c r="C340" s="251">
        <v>36499625000197</v>
      </c>
      <c r="D340" s="252" t="s">
        <v>14</v>
      </c>
      <c r="E340" s="252" t="s">
        <v>614</v>
      </c>
      <c r="F340" s="252" t="s">
        <v>1417</v>
      </c>
      <c r="G340" s="253" t="s">
        <v>1417</v>
      </c>
      <c r="H340" s="253" t="s">
        <v>865</v>
      </c>
      <c r="I340" s="253" t="s">
        <v>34</v>
      </c>
      <c r="J340" s="253" t="s">
        <v>608</v>
      </c>
      <c r="K340" s="253" t="s">
        <v>48</v>
      </c>
      <c r="L340" s="655"/>
      <c r="M340" s="655" t="s">
        <v>34</v>
      </c>
      <c r="N340" s="253" t="s">
        <v>2917</v>
      </c>
      <c r="O340" s="253" t="s">
        <v>1321</v>
      </c>
      <c r="P340" s="656">
        <v>43947</v>
      </c>
      <c r="Q340" s="657">
        <v>23.50120029</v>
      </c>
      <c r="R340" s="657">
        <v>37.171629928506214</v>
      </c>
      <c r="S340" s="253">
        <v>16</v>
      </c>
      <c r="T340" s="658">
        <v>7.2479356955696961E-3</v>
      </c>
      <c r="U340" s="659">
        <v>0.36242614177382598</v>
      </c>
      <c r="V340" s="658">
        <v>7.1028748610576731E-2</v>
      </c>
      <c r="W340" s="659">
        <v>0.5508499696908008</v>
      </c>
      <c r="X340" s="658">
        <v>0.21000439749692146</v>
      </c>
      <c r="Y340" s="659">
        <v>1.0876112156401327</v>
      </c>
      <c r="Z340" s="658"/>
      <c r="AA340" s="659"/>
      <c r="AB340" s="658">
        <v>0.12010651382508883</v>
      </c>
      <c r="AC340" s="660">
        <v>-0.48219833372695753</v>
      </c>
      <c r="AD340" s="682">
        <v>0</v>
      </c>
      <c r="AE340" s="944" t="s">
        <v>1772</v>
      </c>
      <c r="AF340" s="661" t="s">
        <v>1745</v>
      </c>
      <c r="AG340" s="662" t="s">
        <v>1432</v>
      </c>
      <c r="AH340" s="662" t="s">
        <v>1734</v>
      </c>
      <c r="AI340" s="662">
        <v>500</v>
      </c>
      <c r="AJ340" s="662">
        <v>100</v>
      </c>
      <c r="AK340" s="662">
        <v>500</v>
      </c>
      <c r="AL340" s="658">
        <v>0.02</v>
      </c>
      <c r="AM340" s="658">
        <v>0.2</v>
      </c>
      <c r="AN340" s="659" t="s">
        <v>34</v>
      </c>
      <c r="AO340" s="253" t="s">
        <v>34</v>
      </c>
      <c r="AP340" s="944" t="s">
        <v>1746</v>
      </c>
      <c r="AQ340" s="663" t="s">
        <v>668</v>
      </c>
      <c r="AR340" s="658">
        <v>4.0000000000000001E-3</v>
      </c>
      <c r="AS340" s="658">
        <v>4.0000000000000001E-3</v>
      </c>
      <c r="AT340" s="658" t="s">
        <v>1417</v>
      </c>
      <c r="AU340" s="658" t="s">
        <v>2751</v>
      </c>
      <c r="AX340"/>
      <c r="AY340"/>
      <c r="BA340"/>
      <c r="BB340"/>
      <c r="BC340"/>
      <c r="BD340"/>
      <c r="BE340"/>
      <c r="BF340"/>
      <c r="BG340"/>
      <c r="BH340"/>
      <c r="BI340"/>
      <c r="BJ340"/>
      <c r="BR340"/>
      <c r="BS340"/>
      <c r="BT340"/>
      <c r="BU340"/>
      <c r="BX340"/>
      <c r="BY340"/>
      <c r="CA340"/>
    </row>
    <row r="341" spans="2:79" ht="18.75">
      <c r="B341" s="252" t="s">
        <v>792</v>
      </c>
      <c r="C341" s="251">
        <v>37569846000157</v>
      </c>
      <c r="D341" s="252" t="s">
        <v>14</v>
      </c>
      <c r="E341" s="252" t="s">
        <v>607</v>
      </c>
      <c r="F341" s="252" t="s">
        <v>1417</v>
      </c>
      <c r="G341" s="253" t="s">
        <v>1417</v>
      </c>
      <c r="H341" s="253" t="s">
        <v>34</v>
      </c>
      <c r="I341" s="253" t="s">
        <v>34</v>
      </c>
      <c r="J341" s="253" t="s">
        <v>608</v>
      </c>
      <c r="K341" s="253" t="s">
        <v>48</v>
      </c>
      <c r="L341" s="655"/>
      <c r="M341" s="655" t="s">
        <v>34</v>
      </c>
      <c r="N341" s="253" t="s">
        <v>2918</v>
      </c>
      <c r="O341" s="253" t="s">
        <v>1321</v>
      </c>
      <c r="P341" s="656">
        <v>44034</v>
      </c>
      <c r="Q341" s="657">
        <v>33.811126590000001</v>
      </c>
      <c r="R341" s="657">
        <v>28.571733285469399</v>
      </c>
      <c r="S341" s="253">
        <v>16</v>
      </c>
      <c r="T341" s="658">
        <v>-1.7529157560015496E-2</v>
      </c>
      <c r="U341" s="659">
        <v>-0.87652887799559243</v>
      </c>
      <c r="V341" s="658">
        <v>-4.4742644923178365E-2</v>
      </c>
      <c r="W341" s="659">
        <v>-0.34699308494010289</v>
      </c>
      <c r="X341" s="658">
        <v>3.3665871280431192E-2</v>
      </c>
      <c r="Y341" s="659">
        <v>0.17435529743814418</v>
      </c>
      <c r="Z341" s="658"/>
      <c r="AA341" s="659"/>
      <c r="AB341" s="658">
        <v>0.19335243139960398</v>
      </c>
      <c r="AC341" s="660">
        <v>-0.89828999362830075</v>
      </c>
      <c r="AD341" s="682">
        <v>0</v>
      </c>
      <c r="AE341" s="944" t="s">
        <v>1772</v>
      </c>
      <c r="AF341" s="661" t="s">
        <v>1769</v>
      </c>
      <c r="AG341" s="662" t="s">
        <v>719</v>
      </c>
      <c r="AH341" s="662" t="s">
        <v>1734</v>
      </c>
      <c r="AI341" s="662">
        <v>500</v>
      </c>
      <c r="AJ341" s="662">
        <v>100</v>
      </c>
      <c r="AK341" s="662">
        <v>500</v>
      </c>
      <c r="AL341" s="658">
        <v>0.02</v>
      </c>
      <c r="AM341" s="658">
        <v>0.2</v>
      </c>
      <c r="AN341" s="659" t="s">
        <v>666</v>
      </c>
      <c r="AO341" s="253" t="s">
        <v>34</v>
      </c>
      <c r="AP341" s="944" t="s">
        <v>1731</v>
      </c>
      <c r="AQ341" s="663" t="s">
        <v>659</v>
      </c>
      <c r="AR341" s="658">
        <v>4.0000000000000001E-3</v>
      </c>
      <c r="AS341" s="658">
        <v>4.0000000000000001E-3</v>
      </c>
      <c r="AT341" s="658" t="s">
        <v>1417</v>
      </c>
      <c r="AU341" s="658" t="s">
        <v>2751</v>
      </c>
      <c r="AX341"/>
      <c r="AY341"/>
      <c r="BA341"/>
      <c r="BB341"/>
      <c r="BC341"/>
      <c r="BD341"/>
      <c r="BE341"/>
      <c r="BF341"/>
      <c r="BG341"/>
      <c r="BH341"/>
      <c r="BI341"/>
      <c r="BJ341"/>
      <c r="BR341"/>
      <c r="BS341"/>
      <c r="BT341"/>
      <c r="BU341"/>
      <c r="BX341"/>
      <c r="BY341"/>
      <c r="CA341"/>
    </row>
    <row r="342" spans="2:79" ht="18.75">
      <c r="B342" s="252" t="s">
        <v>793</v>
      </c>
      <c r="C342" s="251">
        <v>38110723000116</v>
      </c>
      <c r="D342" s="252" t="s">
        <v>14</v>
      </c>
      <c r="E342" s="252" t="s">
        <v>607</v>
      </c>
      <c r="F342" s="252" t="s">
        <v>860</v>
      </c>
      <c r="G342" s="253" t="s">
        <v>866</v>
      </c>
      <c r="H342" s="253" t="s">
        <v>34</v>
      </c>
      <c r="I342" s="253" t="s">
        <v>34</v>
      </c>
      <c r="J342" s="253" t="s">
        <v>690</v>
      </c>
      <c r="K342" s="253" t="s">
        <v>1417</v>
      </c>
      <c r="L342" s="655"/>
      <c r="M342" s="655" t="s">
        <v>1414</v>
      </c>
      <c r="N342" s="253" t="s">
        <v>2919</v>
      </c>
      <c r="O342" s="253" t="s">
        <v>1321</v>
      </c>
      <c r="P342" s="656">
        <v>44093</v>
      </c>
      <c r="Q342" s="657">
        <v>1.5984373000000001</v>
      </c>
      <c r="R342" s="657">
        <v>1.6441868741078842</v>
      </c>
      <c r="S342" s="253">
        <v>3</v>
      </c>
      <c r="T342" s="658">
        <v>-1.9295928849039523E-2</v>
      </c>
      <c r="U342" s="659">
        <v>-0.96487459856664359</v>
      </c>
      <c r="V342" s="658">
        <v>9.2701459896483929E-2</v>
      </c>
      <c r="W342" s="659">
        <v>0.71892856587180876</v>
      </c>
      <c r="X342" s="658">
        <v>1.1440543963205041E-2</v>
      </c>
      <c r="Y342" s="659">
        <v>5.9250492254993008E-2</v>
      </c>
      <c r="Z342" s="658"/>
      <c r="AA342" s="659"/>
      <c r="AB342" s="658">
        <v>0.23429221504199652</v>
      </c>
      <c r="AC342" s="660">
        <v>-0.15468909004854481</v>
      </c>
      <c r="AD342" s="682">
        <v>37174238000143</v>
      </c>
      <c r="AE342" s="944" t="s">
        <v>1779</v>
      </c>
      <c r="AF342" s="661" t="s">
        <v>1779</v>
      </c>
      <c r="AG342" s="662" t="s">
        <v>1435</v>
      </c>
      <c r="AH342" s="662" t="s">
        <v>1734</v>
      </c>
      <c r="AI342" s="662">
        <v>200</v>
      </c>
      <c r="AJ342" s="662">
        <v>200</v>
      </c>
      <c r="AK342" s="662">
        <v>200</v>
      </c>
      <c r="AL342" s="658">
        <v>0.01</v>
      </c>
      <c r="AM342" s="658">
        <v>0.2</v>
      </c>
      <c r="AN342" s="659" t="s">
        <v>2122</v>
      </c>
      <c r="AO342" s="253" t="s">
        <v>34</v>
      </c>
      <c r="AP342" s="944" t="s">
        <v>1731</v>
      </c>
      <c r="AQ342" s="663" t="s">
        <v>694</v>
      </c>
      <c r="AR342" s="658">
        <v>3.333E-3</v>
      </c>
      <c r="AS342" s="658">
        <v>3.333E-3</v>
      </c>
      <c r="AT342" s="658" t="s">
        <v>1417</v>
      </c>
      <c r="AU342" s="658" t="s">
        <v>2751</v>
      </c>
      <c r="AX342"/>
      <c r="AY342"/>
      <c r="BA342"/>
      <c r="BB342"/>
      <c r="BC342"/>
      <c r="BD342"/>
      <c r="BE342"/>
      <c r="BF342"/>
      <c r="BG342"/>
      <c r="BH342"/>
      <c r="BI342"/>
      <c r="BJ342"/>
      <c r="BR342"/>
      <c r="BS342"/>
      <c r="BT342"/>
      <c r="BU342"/>
      <c r="BX342"/>
      <c r="BY342"/>
      <c r="CA342"/>
    </row>
    <row r="343" spans="2:79" ht="18.75">
      <c r="B343" s="252" t="s">
        <v>794</v>
      </c>
      <c r="C343" s="251">
        <v>33824951000134</v>
      </c>
      <c r="D343" s="252" t="s">
        <v>14</v>
      </c>
      <c r="E343" s="252" t="s">
        <v>607</v>
      </c>
      <c r="F343" s="252" t="s">
        <v>1417</v>
      </c>
      <c r="G343" s="253" t="s">
        <v>1417</v>
      </c>
      <c r="H343" s="253" t="s">
        <v>34</v>
      </c>
      <c r="I343" s="253" t="s">
        <v>34</v>
      </c>
      <c r="J343" s="253" t="s">
        <v>608</v>
      </c>
      <c r="K343" s="253" t="s">
        <v>48</v>
      </c>
      <c r="L343" s="655"/>
      <c r="M343" s="655" t="s">
        <v>34</v>
      </c>
      <c r="N343" s="253" t="s">
        <v>2920</v>
      </c>
      <c r="O343" s="253" t="s">
        <v>1321</v>
      </c>
      <c r="P343" s="656">
        <v>43695</v>
      </c>
      <c r="Q343" s="657">
        <v>1.7530403299999999</v>
      </c>
      <c r="R343" s="657">
        <v>2.0461340741532257</v>
      </c>
      <c r="S343" s="253">
        <v>3</v>
      </c>
      <c r="T343" s="658">
        <v>-3.8684190498924464E-2</v>
      </c>
      <c r="U343" s="659">
        <v>-1.9343662111597817</v>
      </c>
      <c r="V343" s="658">
        <v>-0.14209330462143721</v>
      </c>
      <c r="W343" s="659">
        <v>-1.1019776368737699</v>
      </c>
      <c r="X343" s="658">
        <v>-0.19304830010631147</v>
      </c>
      <c r="Y343" s="659">
        <v>-0.99979571313007631</v>
      </c>
      <c r="Z343" s="658">
        <v>-0.13791933121223954</v>
      </c>
      <c r="AA343" s="659">
        <v>-0.62274398617027238</v>
      </c>
      <c r="AB343" s="658">
        <v>0.18119136910647843</v>
      </c>
      <c r="AC343" s="660">
        <v>-1.4958616152900117</v>
      </c>
      <c r="AD343" s="682">
        <v>30530788000109</v>
      </c>
      <c r="AE343" s="944" t="s">
        <v>1779</v>
      </c>
      <c r="AF343" s="661" t="s">
        <v>1779</v>
      </c>
      <c r="AG343" s="662" t="s">
        <v>1435</v>
      </c>
      <c r="AH343" s="662" t="s">
        <v>1734</v>
      </c>
      <c r="AI343" s="662">
        <v>200</v>
      </c>
      <c r="AJ343" s="662">
        <v>200</v>
      </c>
      <c r="AK343" s="662">
        <v>200</v>
      </c>
      <c r="AL343" s="658">
        <v>1.4999999999999999E-2</v>
      </c>
      <c r="AM343" s="658">
        <v>0.2</v>
      </c>
      <c r="AN343" s="659" t="s">
        <v>666</v>
      </c>
      <c r="AO343" s="253" t="s">
        <v>34</v>
      </c>
      <c r="AP343" s="944" t="s">
        <v>1731</v>
      </c>
      <c r="AQ343" s="663" t="s">
        <v>659</v>
      </c>
      <c r="AR343" s="658">
        <v>4.9994999999999996E-3</v>
      </c>
      <c r="AS343" s="658">
        <v>4.9994999999999996E-3</v>
      </c>
      <c r="AT343" s="658" t="s">
        <v>1417</v>
      </c>
      <c r="AU343" s="658" t="s">
        <v>2751</v>
      </c>
      <c r="AX343"/>
      <c r="AY343"/>
      <c r="BA343"/>
      <c r="BB343"/>
      <c r="BC343"/>
      <c r="BD343"/>
      <c r="BE343"/>
      <c r="BF343"/>
      <c r="BG343"/>
      <c r="BH343"/>
      <c r="BI343"/>
      <c r="BJ343"/>
      <c r="BR343"/>
      <c r="BS343"/>
      <c r="BT343"/>
      <c r="BU343"/>
      <c r="BX343"/>
      <c r="BY343"/>
      <c r="CA343"/>
    </row>
    <row r="344" spans="2:79" ht="18.75">
      <c r="B344" s="252" t="s">
        <v>795</v>
      </c>
      <c r="C344" s="251">
        <v>39293641000117</v>
      </c>
      <c r="D344" s="252" t="s">
        <v>14</v>
      </c>
      <c r="E344" s="252" t="s">
        <v>607</v>
      </c>
      <c r="F344" s="252" t="s">
        <v>860</v>
      </c>
      <c r="G344" s="253" t="s">
        <v>1417</v>
      </c>
      <c r="H344" s="253" t="s">
        <v>34</v>
      </c>
      <c r="I344" s="253" t="s">
        <v>34</v>
      </c>
      <c r="J344" s="253" t="s">
        <v>611</v>
      </c>
      <c r="K344" s="253" t="s">
        <v>1417</v>
      </c>
      <c r="L344" s="655"/>
      <c r="M344" s="655" t="s">
        <v>1414</v>
      </c>
      <c r="N344" s="253" t="s">
        <v>2921</v>
      </c>
      <c r="O344" s="253" t="s">
        <v>1321</v>
      </c>
      <c r="P344" s="656">
        <v>44193</v>
      </c>
      <c r="Q344" s="657">
        <v>0</v>
      </c>
      <c r="R344" s="657">
        <v>0</v>
      </c>
      <c r="S344" s="253">
        <v>5</v>
      </c>
      <c r="T344" s="658"/>
      <c r="U344" s="659"/>
      <c r="V344" s="658"/>
      <c r="W344" s="659"/>
      <c r="X344" s="658"/>
      <c r="Y344" s="659"/>
      <c r="Z344" s="658"/>
      <c r="AA344" s="659"/>
      <c r="AB344" s="658"/>
      <c r="AC344" s="660"/>
      <c r="AD344" s="682">
        <v>40910469000182</v>
      </c>
      <c r="AE344" s="944" t="s">
        <v>1779</v>
      </c>
      <c r="AF344" s="661" t="s">
        <v>1779</v>
      </c>
      <c r="AG344" s="662" t="s">
        <v>1435</v>
      </c>
      <c r="AH344" s="662" t="s">
        <v>1730</v>
      </c>
      <c r="AI344" s="662">
        <v>1000</v>
      </c>
      <c r="AJ344" s="662">
        <v>0</v>
      </c>
      <c r="AK344" s="662">
        <v>0</v>
      </c>
      <c r="AL344" s="658">
        <v>5.0000000000000001E-3</v>
      </c>
      <c r="AM344" s="658">
        <v>0</v>
      </c>
      <c r="AN344" s="659" t="s">
        <v>2122</v>
      </c>
      <c r="AO344" s="253" t="s">
        <v>34</v>
      </c>
      <c r="AP344" s="944" t="s">
        <v>1731</v>
      </c>
      <c r="AQ344" s="663" t="s">
        <v>687</v>
      </c>
      <c r="AR344" s="658">
        <v>1.6665E-3</v>
      </c>
      <c r="AS344" s="658">
        <v>1.6665E-3</v>
      </c>
      <c r="AT344" s="658" t="s">
        <v>1417</v>
      </c>
      <c r="AU344" s="658" t="s">
        <v>2751</v>
      </c>
      <c r="AX344"/>
      <c r="AY344"/>
      <c r="BA344"/>
      <c r="BB344"/>
      <c r="BC344"/>
      <c r="BD344"/>
      <c r="BE344"/>
      <c r="BF344"/>
      <c r="BG344"/>
      <c r="BH344"/>
      <c r="BI344"/>
      <c r="BJ344"/>
      <c r="BR344"/>
      <c r="BS344"/>
      <c r="BT344"/>
      <c r="BU344"/>
      <c r="BX344"/>
      <c r="BY344"/>
      <c r="CA344"/>
    </row>
    <row r="345" spans="2:79" ht="18.75">
      <c r="B345" s="252" t="s">
        <v>796</v>
      </c>
      <c r="C345" s="251">
        <v>41755418000196</v>
      </c>
      <c r="D345" s="252" t="s">
        <v>14</v>
      </c>
      <c r="E345" s="252" t="s">
        <v>607</v>
      </c>
      <c r="F345" s="252" t="s">
        <v>1417</v>
      </c>
      <c r="G345" s="253" t="s">
        <v>1417</v>
      </c>
      <c r="H345" s="253" t="s">
        <v>34</v>
      </c>
      <c r="I345" s="253" t="s">
        <v>34</v>
      </c>
      <c r="J345" s="253" t="s">
        <v>611</v>
      </c>
      <c r="K345" s="253" t="s">
        <v>1417</v>
      </c>
      <c r="L345" s="655"/>
      <c r="M345" s="655" t="s">
        <v>1414</v>
      </c>
      <c r="N345" s="253" t="s">
        <v>2922</v>
      </c>
      <c r="O345" s="253" t="s">
        <v>1321</v>
      </c>
      <c r="P345" s="656">
        <v>44434</v>
      </c>
      <c r="Q345" s="657">
        <v>1.63</v>
      </c>
      <c r="R345" s="657">
        <v>1.7416666666666665</v>
      </c>
      <c r="S345" s="253">
        <v>5</v>
      </c>
      <c r="T345" s="658">
        <v>1.4925373134328401E-2</v>
      </c>
      <c r="U345" s="659">
        <v>0.74632911035839122</v>
      </c>
      <c r="V345" s="658">
        <v>-0.139240506329114</v>
      </c>
      <c r="W345" s="659">
        <v>-1.0798533015363148</v>
      </c>
      <c r="X345" s="658"/>
      <c r="Y345" s="659"/>
      <c r="Z345" s="658"/>
      <c r="AA345" s="659"/>
      <c r="AB345" s="658">
        <v>0.27834195782296628</v>
      </c>
      <c r="AC345" s="660">
        <v>-0.96350696773669886</v>
      </c>
      <c r="AD345" s="682">
        <v>40904778000140</v>
      </c>
      <c r="AE345" s="944" t="s">
        <v>1779</v>
      </c>
      <c r="AF345" s="661" t="s">
        <v>1779</v>
      </c>
      <c r="AG345" s="662" t="s">
        <v>1435</v>
      </c>
      <c r="AH345" s="662" t="s">
        <v>1801</v>
      </c>
      <c r="AI345" s="662">
        <v>0</v>
      </c>
      <c r="AJ345" s="662">
        <v>0</v>
      </c>
      <c r="AK345" s="662">
        <v>0</v>
      </c>
      <c r="AL345" s="658">
        <v>0</v>
      </c>
      <c r="AM345" s="658">
        <v>0</v>
      </c>
      <c r="AN345" s="659" t="s">
        <v>2122</v>
      </c>
      <c r="AO345" s="253" t="s">
        <v>34</v>
      </c>
      <c r="AP345" s="944" t="s">
        <v>1731</v>
      </c>
      <c r="AQ345" s="663" t="s">
        <v>687</v>
      </c>
      <c r="AR345" s="658">
        <v>1.66666666666667E-3</v>
      </c>
      <c r="AS345" s="658">
        <v>1.66666666666667E-3</v>
      </c>
      <c r="AT345" s="658" t="s">
        <v>1417</v>
      </c>
      <c r="AU345" s="658" t="s">
        <v>2751</v>
      </c>
      <c r="AX345"/>
      <c r="AY345"/>
      <c r="BA345"/>
      <c r="BB345"/>
      <c r="BC345"/>
      <c r="BD345"/>
      <c r="BE345"/>
      <c r="BF345"/>
      <c r="BG345"/>
      <c r="BH345"/>
      <c r="BI345"/>
      <c r="BJ345"/>
      <c r="BR345"/>
      <c r="BS345"/>
      <c r="BT345"/>
      <c r="BU345"/>
      <c r="BX345"/>
      <c r="BY345"/>
      <c r="CA345"/>
    </row>
    <row r="346" spans="2:79" ht="18.75">
      <c r="B346" s="252" t="s">
        <v>797</v>
      </c>
      <c r="C346" s="251">
        <v>43617048000156</v>
      </c>
      <c r="D346" s="252" t="s">
        <v>14</v>
      </c>
      <c r="E346" s="252" t="s">
        <v>607</v>
      </c>
      <c r="F346" s="252" t="s">
        <v>1417</v>
      </c>
      <c r="G346" s="253" t="s">
        <v>1417</v>
      </c>
      <c r="H346" s="253" t="s">
        <v>34</v>
      </c>
      <c r="I346" s="253" t="s">
        <v>34</v>
      </c>
      <c r="J346" s="253" t="s">
        <v>608</v>
      </c>
      <c r="K346" s="253" t="s">
        <v>48</v>
      </c>
      <c r="L346" s="655"/>
      <c r="M346" s="655" t="s">
        <v>1414</v>
      </c>
      <c r="N346" s="253" t="s">
        <v>2923</v>
      </c>
      <c r="O346" s="253" t="s">
        <v>1321</v>
      </c>
      <c r="P346" s="656">
        <v>44492</v>
      </c>
      <c r="Q346" s="657">
        <v>1.8978303700000001</v>
      </c>
      <c r="R346" s="657">
        <v>1.8790583366176479</v>
      </c>
      <c r="S346" s="253">
        <v>4</v>
      </c>
      <c r="T346" s="658">
        <v>-2.6133909735628014E-2</v>
      </c>
      <c r="U346" s="659">
        <v>-1.3068013394129057</v>
      </c>
      <c r="V346" s="658">
        <v>-6.7837435398156454E-2</v>
      </c>
      <c r="W346" s="659">
        <v>-0.52610034618309076</v>
      </c>
      <c r="X346" s="658"/>
      <c r="Y346" s="659"/>
      <c r="Z346" s="658"/>
      <c r="AA346" s="659"/>
      <c r="AB346" s="658">
        <v>0.18937310839095478</v>
      </c>
      <c r="AC346" s="660">
        <v>-1.039119791172757</v>
      </c>
      <c r="AD346" s="682">
        <v>40054367000102</v>
      </c>
      <c r="AE346" s="944" t="s">
        <v>1779</v>
      </c>
      <c r="AF346" s="661" t="s">
        <v>1779</v>
      </c>
      <c r="AG346" s="662" t="s">
        <v>1435</v>
      </c>
      <c r="AH346" s="662" t="s">
        <v>1734</v>
      </c>
      <c r="AI346" s="662">
        <v>200</v>
      </c>
      <c r="AJ346" s="662">
        <v>200</v>
      </c>
      <c r="AK346" s="662">
        <v>200</v>
      </c>
      <c r="AL346" s="658">
        <v>0</v>
      </c>
      <c r="AM346" s="658">
        <v>0</v>
      </c>
      <c r="AN346" s="659" t="s">
        <v>2122</v>
      </c>
      <c r="AO346" s="253" t="s">
        <v>34</v>
      </c>
      <c r="AP346" s="944" t="s">
        <v>1731</v>
      </c>
      <c r="AQ346" s="663" t="s">
        <v>659</v>
      </c>
      <c r="AR346" s="658">
        <v>3.3333333333333301E-3</v>
      </c>
      <c r="AS346" s="658">
        <v>3.3333333333333301E-3</v>
      </c>
      <c r="AT346" s="658" t="s">
        <v>1417</v>
      </c>
      <c r="AU346" s="658" t="s">
        <v>2751</v>
      </c>
      <c r="AX346"/>
      <c r="AY346"/>
      <c r="BA346"/>
      <c r="BB346"/>
      <c r="BC346"/>
      <c r="BD346"/>
      <c r="BE346"/>
      <c r="BF346"/>
      <c r="BG346"/>
      <c r="BH346"/>
      <c r="BI346"/>
      <c r="BJ346"/>
      <c r="BR346"/>
      <c r="BS346"/>
      <c r="BT346"/>
      <c r="BU346"/>
      <c r="BX346"/>
      <c r="BY346"/>
      <c r="CA346"/>
    </row>
    <row r="347" spans="2:79" ht="18.75">
      <c r="B347" s="252" t="s">
        <v>1287</v>
      </c>
      <c r="C347" s="251">
        <v>44315932000107</v>
      </c>
      <c r="D347" s="252" t="s">
        <v>11</v>
      </c>
      <c r="E347" s="252" t="s">
        <v>620</v>
      </c>
      <c r="F347" s="252" t="s">
        <v>619</v>
      </c>
      <c r="G347" s="253" t="s">
        <v>738</v>
      </c>
      <c r="H347" s="253" t="s">
        <v>34</v>
      </c>
      <c r="I347" s="253" t="s">
        <v>1417</v>
      </c>
      <c r="J347" s="253" t="s">
        <v>608</v>
      </c>
      <c r="K347" s="253" t="s">
        <v>48</v>
      </c>
      <c r="L347" s="655"/>
      <c r="M347" s="655" t="s">
        <v>34</v>
      </c>
      <c r="N347" s="253" t="s">
        <v>2924</v>
      </c>
      <c r="O347" s="253" t="s">
        <v>1321</v>
      </c>
      <c r="P347" s="656">
        <v>44651</v>
      </c>
      <c r="Q347" s="657"/>
      <c r="R347" s="657"/>
      <c r="S347" s="253">
        <v>2</v>
      </c>
      <c r="T347" s="658"/>
      <c r="U347" s="659"/>
      <c r="V347" s="658"/>
      <c r="W347" s="659"/>
      <c r="X347" s="658"/>
      <c r="Y347" s="659"/>
      <c r="Z347" s="658"/>
      <c r="AA347" s="659"/>
      <c r="AB347" s="658"/>
      <c r="AC347" s="660"/>
      <c r="AD347" s="682">
        <v>23434820000197</v>
      </c>
      <c r="AE347" s="944" t="s">
        <v>1779</v>
      </c>
      <c r="AF347" s="661" t="s">
        <v>1779</v>
      </c>
      <c r="AG347" s="662" t="s">
        <v>1435</v>
      </c>
      <c r="AH347" s="662" t="s">
        <v>1734</v>
      </c>
      <c r="AI347" s="662">
        <v>200</v>
      </c>
      <c r="AJ347" s="662">
        <v>200</v>
      </c>
      <c r="AK347" s="662">
        <v>200</v>
      </c>
      <c r="AL347" s="658">
        <v>9.0000000000000011E-3</v>
      </c>
      <c r="AM347" s="658">
        <v>0.2</v>
      </c>
      <c r="AN347" s="659" t="s">
        <v>64</v>
      </c>
      <c r="AO347" s="253" t="s">
        <v>34</v>
      </c>
      <c r="AP347" s="944" t="s">
        <v>1735</v>
      </c>
      <c r="AQ347" s="663" t="s">
        <v>669</v>
      </c>
      <c r="AR347" s="658">
        <v>3.0000000000000001E-3</v>
      </c>
      <c r="AS347" s="658">
        <v>3.0000000000000001E-3</v>
      </c>
      <c r="AT347" s="658" t="s">
        <v>1417</v>
      </c>
      <c r="AU347" s="658" t="s">
        <v>2751</v>
      </c>
      <c r="AX347"/>
      <c r="AY347"/>
      <c r="BA347"/>
      <c r="BB347"/>
      <c r="BC347"/>
      <c r="BD347"/>
      <c r="BE347"/>
      <c r="BF347"/>
      <c r="BG347"/>
      <c r="BH347"/>
      <c r="BI347"/>
      <c r="BJ347"/>
      <c r="BR347"/>
      <c r="BS347"/>
      <c r="BT347"/>
      <c r="BU347"/>
      <c r="BX347"/>
      <c r="BY347"/>
      <c r="CA347"/>
    </row>
    <row r="348" spans="2:79" ht="18.75">
      <c r="B348" s="252" t="s">
        <v>1288</v>
      </c>
      <c r="C348" s="251">
        <v>45081757000195</v>
      </c>
      <c r="D348" s="252" t="s">
        <v>11</v>
      </c>
      <c r="E348" s="252" t="s">
        <v>620</v>
      </c>
      <c r="F348" s="252" t="s">
        <v>619</v>
      </c>
      <c r="G348" s="253" t="s">
        <v>738</v>
      </c>
      <c r="H348" s="253" t="s">
        <v>34</v>
      </c>
      <c r="I348" s="253" t="s">
        <v>1417</v>
      </c>
      <c r="J348" s="253" t="s">
        <v>608</v>
      </c>
      <c r="K348" s="253" t="s">
        <v>48</v>
      </c>
      <c r="L348" s="655"/>
      <c r="M348" s="655" t="s">
        <v>1414</v>
      </c>
      <c r="N348" s="253" t="s">
        <v>2925</v>
      </c>
      <c r="O348" s="253" t="s">
        <v>1321</v>
      </c>
      <c r="P348" s="656">
        <v>44694</v>
      </c>
      <c r="Q348" s="657"/>
      <c r="R348" s="657"/>
      <c r="S348" s="253">
        <v>10</v>
      </c>
      <c r="T348" s="658"/>
      <c r="U348" s="659"/>
      <c r="V348" s="658"/>
      <c r="W348" s="659"/>
      <c r="X348" s="658"/>
      <c r="Y348" s="659"/>
      <c r="Z348" s="658"/>
      <c r="AA348" s="659"/>
      <c r="AB348" s="658"/>
      <c r="AC348" s="660"/>
      <c r="AD348" s="682">
        <v>18428655000120</v>
      </c>
      <c r="AE348" s="944" t="s">
        <v>1779</v>
      </c>
      <c r="AF348" s="661" t="s">
        <v>1779</v>
      </c>
      <c r="AG348" s="662" t="s">
        <v>1435</v>
      </c>
      <c r="AH348" s="662" t="s">
        <v>1734</v>
      </c>
      <c r="AI348" s="662">
        <v>200</v>
      </c>
      <c r="AJ348" s="662">
        <v>200</v>
      </c>
      <c r="AK348" s="662">
        <v>200</v>
      </c>
      <c r="AL348" s="658">
        <v>5.0000000000000001E-3</v>
      </c>
      <c r="AM348" s="658">
        <v>0.2</v>
      </c>
      <c r="AN348" s="659" t="s">
        <v>64</v>
      </c>
      <c r="AO348" s="253" t="s">
        <v>34</v>
      </c>
      <c r="AP348" s="944" t="s">
        <v>1735</v>
      </c>
      <c r="AQ348" s="663" t="s">
        <v>1374</v>
      </c>
      <c r="AR348" s="658">
        <v>1.66666666666667E-3</v>
      </c>
      <c r="AS348" s="658">
        <v>1.66666666666667E-3</v>
      </c>
      <c r="AT348" s="658" t="s">
        <v>1417</v>
      </c>
      <c r="AU348" s="658" t="s">
        <v>2751</v>
      </c>
      <c r="AX348"/>
      <c r="AY348"/>
      <c r="BA348"/>
      <c r="BB348"/>
      <c r="BC348"/>
      <c r="BD348"/>
      <c r="BE348"/>
      <c r="BF348"/>
      <c r="BG348"/>
      <c r="BH348"/>
      <c r="BI348"/>
      <c r="BJ348"/>
      <c r="BR348"/>
      <c r="BS348"/>
      <c r="BT348"/>
      <c r="BU348"/>
      <c r="BX348"/>
      <c r="BY348"/>
      <c r="CA348"/>
    </row>
    <row r="349" spans="2:79" ht="18.75">
      <c r="B349" s="252" t="s">
        <v>1388</v>
      </c>
      <c r="C349" s="251">
        <v>33824969000136</v>
      </c>
      <c r="D349" s="252" t="s">
        <v>13</v>
      </c>
      <c r="E349" s="252" t="s">
        <v>615</v>
      </c>
      <c r="F349" s="252" t="s">
        <v>619</v>
      </c>
      <c r="G349" s="253" t="s">
        <v>34</v>
      </c>
      <c r="H349" s="253" t="s">
        <v>1337</v>
      </c>
      <c r="I349" s="253" t="s">
        <v>34</v>
      </c>
      <c r="J349" s="253" t="s">
        <v>1417</v>
      </c>
      <c r="K349" s="253" t="s">
        <v>48</v>
      </c>
      <c r="L349" s="655"/>
      <c r="M349" s="655" t="s">
        <v>1414</v>
      </c>
      <c r="N349" s="253" t="s">
        <v>2926</v>
      </c>
      <c r="O349" s="253" t="s">
        <v>1321</v>
      </c>
      <c r="P349" s="656">
        <v>43695</v>
      </c>
      <c r="Q349" s="657">
        <v>1.7220198200000001</v>
      </c>
      <c r="R349" s="657">
        <v>1.681567452217742</v>
      </c>
      <c r="S349" s="253">
        <v>4</v>
      </c>
      <c r="T349" s="658">
        <v>4.0044065112321281E-3</v>
      </c>
      <c r="U349" s="659">
        <v>0.20023654498576138</v>
      </c>
      <c r="V349" s="658">
        <v>6.4580536932925314E-2</v>
      </c>
      <c r="W349" s="659">
        <v>0.50084208870350677</v>
      </c>
      <c r="X349" s="658">
        <v>0.105737264854743</v>
      </c>
      <c r="Y349" s="659">
        <v>0.54761250972763831</v>
      </c>
      <c r="Z349" s="658">
        <v>0.14422953955451145</v>
      </c>
      <c r="AA349" s="659">
        <v>0.65123632485906802</v>
      </c>
      <c r="AB349" s="658">
        <v>3.8091799501333942E-2</v>
      </c>
      <c r="AC349" s="660">
        <v>-1.689691045223765</v>
      </c>
      <c r="AD349" s="682">
        <v>9605786000145</v>
      </c>
      <c r="AE349" s="944" t="s">
        <v>1779</v>
      </c>
      <c r="AF349" s="661" t="s">
        <v>1779</v>
      </c>
      <c r="AG349" s="662" t="s">
        <v>1435</v>
      </c>
      <c r="AH349" s="662" t="s">
        <v>1734</v>
      </c>
      <c r="AI349" s="662">
        <v>200</v>
      </c>
      <c r="AJ349" s="662">
        <v>100</v>
      </c>
      <c r="AK349" s="662">
        <v>200</v>
      </c>
      <c r="AL349" s="658">
        <v>0.01</v>
      </c>
      <c r="AM349" s="658">
        <v>0</v>
      </c>
      <c r="AN349" s="659" t="s">
        <v>64</v>
      </c>
      <c r="AO349" s="253" t="s">
        <v>34</v>
      </c>
      <c r="AP349" s="944" t="s">
        <v>1746</v>
      </c>
      <c r="AQ349" s="663" t="s">
        <v>668</v>
      </c>
      <c r="AR349" s="658">
        <v>3.3333333333333301E-3</v>
      </c>
      <c r="AS349" s="658">
        <v>3.3333333333333301E-3</v>
      </c>
      <c r="AT349" s="658" t="s">
        <v>1417</v>
      </c>
      <c r="AU349" s="658" t="s">
        <v>2751</v>
      </c>
      <c r="AX349"/>
      <c r="AY349"/>
      <c r="BA349"/>
      <c r="BB349"/>
      <c r="BC349"/>
      <c r="BD349"/>
      <c r="BE349"/>
      <c r="BF349"/>
      <c r="BG349"/>
      <c r="BH349"/>
      <c r="BI349"/>
      <c r="BJ349"/>
      <c r="BR349"/>
      <c r="BS349"/>
      <c r="BT349"/>
      <c r="BU349"/>
      <c r="BX349"/>
      <c r="BY349"/>
      <c r="CA349"/>
    </row>
    <row r="350" spans="2:79" ht="18.75">
      <c r="B350" s="252" t="s">
        <v>798</v>
      </c>
      <c r="C350" s="251">
        <v>39293607000142</v>
      </c>
      <c r="D350" s="252" t="s">
        <v>13</v>
      </c>
      <c r="E350" s="252" t="s">
        <v>616</v>
      </c>
      <c r="F350" s="252" t="s">
        <v>617</v>
      </c>
      <c r="G350" s="253" t="s">
        <v>34</v>
      </c>
      <c r="H350" s="253" t="s">
        <v>1338</v>
      </c>
      <c r="I350" s="253" t="s">
        <v>34</v>
      </c>
      <c r="J350" s="253" t="s">
        <v>608</v>
      </c>
      <c r="K350" s="253" t="s">
        <v>48</v>
      </c>
      <c r="L350" s="655"/>
      <c r="M350" s="655" t="s">
        <v>1414</v>
      </c>
      <c r="N350" s="253" t="s">
        <v>2927</v>
      </c>
      <c r="O350" s="253" t="s">
        <v>1321</v>
      </c>
      <c r="P350" s="656">
        <v>44193</v>
      </c>
      <c r="Q350" s="657">
        <v>0</v>
      </c>
      <c r="R350" s="657">
        <v>0</v>
      </c>
      <c r="S350" s="253">
        <v>5</v>
      </c>
      <c r="T350" s="658"/>
      <c r="U350" s="659"/>
      <c r="V350" s="658"/>
      <c r="W350" s="659"/>
      <c r="X350" s="658"/>
      <c r="Y350" s="659"/>
      <c r="Z350" s="658"/>
      <c r="AA350" s="659"/>
      <c r="AB350" s="658"/>
      <c r="AC350" s="660"/>
      <c r="AD350" s="682">
        <v>37243087000138</v>
      </c>
      <c r="AE350" s="944" t="s">
        <v>1779</v>
      </c>
      <c r="AF350" s="661" t="s">
        <v>1779</v>
      </c>
      <c r="AG350" s="662" t="s">
        <v>1435</v>
      </c>
      <c r="AH350" s="662" t="s">
        <v>1730</v>
      </c>
      <c r="AI350" s="662">
        <v>1000</v>
      </c>
      <c r="AJ350" s="662">
        <v>0</v>
      </c>
      <c r="AK350" s="662">
        <v>0</v>
      </c>
      <c r="AL350" s="658">
        <v>6.0000000000000001E-3</v>
      </c>
      <c r="AM350" s="658">
        <v>0</v>
      </c>
      <c r="AN350" s="659" t="s">
        <v>64</v>
      </c>
      <c r="AO350" s="253" t="s">
        <v>34</v>
      </c>
      <c r="AP350" s="944" t="s">
        <v>1746</v>
      </c>
      <c r="AQ350" s="663" t="s">
        <v>679</v>
      </c>
      <c r="AR350" s="658">
        <v>1.9997999999999999E-3</v>
      </c>
      <c r="AS350" s="658">
        <v>1.9997999999999999E-3</v>
      </c>
      <c r="AT350" s="658" t="s">
        <v>1417</v>
      </c>
      <c r="AU350" s="658" t="s">
        <v>2751</v>
      </c>
      <c r="AX350"/>
      <c r="AY350"/>
      <c r="BA350"/>
      <c r="BB350"/>
      <c r="BC350"/>
      <c r="BD350"/>
      <c r="BE350"/>
      <c r="BF350"/>
      <c r="BG350"/>
      <c r="BH350"/>
      <c r="BI350"/>
      <c r="BJ350"/>
      <c r="BR350"/>
      <c r="BS350"/>
      <c r="BT350"/>
      <c r="BU350"/>
      <c r="BX350"/>
      <c r="BY350"/>
      <c r="CA350"/>
    </row>
    <row r="351" spans="2:79" ht="18.75">
      <c r="B351" s="252" t="s">
        <v>799</v>
      </c>
      <c r="C351" s="251">
        <v>33824820000157</v>
      </c>
      <c r="D351" s="252" t="s">
        <v>11</v>
      </c>
      <c r="E351" s="252" t="s">
        <v>4235</v>
      </c>
      <c r="F351" s="252" t="s">
        <v>663</v>
      </c>
      <c r="G351" s="253" t="s">
        <v>1417</v>
      </c>
      <c r="H351" s="253" t="s">
        <v>34</v>
      </c>
      <c r="I351" s="253" t="s">
        <v>1417</v>
      </c>
      <c r="J351" s="253" t="s">
        <v>611</v>
      </c>
      <c r="K351" s="253" t="s">
        <v>48</v>
      </c>
      <c r="L351" s="655"/>
      <c r="M351" s="655" t="s">
        <v>1414</v>
      </c>
      <c r="N351" s="253" t="s">
        <v>2928</v>
      </c>
      <c r="O351" s="253" t="s">
        <v>1321</v>
      </c>
      <c r="P351" s="656">
        <v>43693</v>
      </c>
      <c r="Q351" s="657">
        <v>1.0586778100000001</v>
      </c>
      <c r="R351" s="657">
        <v>3.2186426308835343</v>
      </c>
      <c r="S351" s="253">
        <v>6</v>
      </c>
      <c r="T351" s="658">
        <v>1.6068635946676624E-2</v>
      </c>
      <c r="U351" s="659">
        <v>0.80349688164065169</v>
      </c>
      <c r="V351" s="658">
        <v>7.2092000495237452E-2</v>
      </c>
      <c r="W351" s="659">
        <v>0.55909581774382189</v>
      </c>
      <c r="X351" s="658">
        <v>0.11033837307418803</v>
      </c>
      <c r="Y351" s="659">
        <v>0.57144161503918678</v>
      </c>
      <c r="Z351" s="658">
        <v>0.18925194578372051</v>
      </c>
      <c r="AA351" s="659">
        <v>0.85452496087347174</v>
      </c>
      <c r="AB351" s="658">
        <v>2.6266657488946799E-2</v>
      </c>
      <c r="AC351" s="660">
        <v>-2.1644135336014716</v>
      </c>
      <c r="AD351" s="682">
        <v>32841087000116</v>
      </c>
      <c r="AE351" s="944" t="s">
        <v>1779</v>
      </c>
      <c r="AF351" s="661" t="s">
        <v>1779</v>
      </c>
      <c r="AG351" s="662" t="s">
        <v>1435</v>
      </c>
      <c r="AH351" s="662" t="s">
        <v>1730</v>
      </c>
      <c r="AI351" s="662">
        <v>25000</v>
      </c>
      <c r="AJ351" s="662">
        <v>0</v>
      </c>
      <c r="AK351" s="662">
        <v>0</v>
      </c>
      <c r="AL351" s="658">
        <v>6.9999999999999993E-3</v>
      </c>
      <c r="AM351" s="658">
        <v>0.2</v>
      </c>
      <c r="AN351" s="659" t="s">
        <v>64</v>
      </c>
      <c r="AO351" s="253" t="s">
        <v>34</v>
      </c>
      <c r="AP351" s="944" t="s">
        <v>1735</v>
      </c>
      <c r="AQ351" s="663" t="s">
        <v>2133</v>
      </c>
      <c r="AR351" s="658">
        <v>1.6665E-3</v>
      </c>
      <c r="AS351" s="658">
        <v>1.6665E-3</v>
      </c>
      <c r="AT351" s="658" t="s">
        <v>1417</v>
      </c>
      <c r="AU351" s="658" t="s">
        <v>2751</v>
      </c>
      <c r="AX351"/>
      <c r="AY351"/>
      <c r="BA351"/>
      <c r="BB351"/>
      <c r="BC351"/>
      <c r="BD351"/>
      <c r="BE351"/>
      <c r="BF351"/>
      <c r="BG351"/>
      <c r="BH351"/>
      <c r="BI351"/>
      <c r="BJ351"/>
      <c r="BR351"/>
      <c r="BS351"/>
      <c r="BT351"/>
      <c r="BU351"/>
      <c r="BX351"/>
      <c r="BY351"/>
      <c r="CA351"/>
    </row>
    <row r="352" spans="2:79" ht="18.75">
      <c r="B352" s="252" t="s">
        <v>1499</v>
      </c>
      <c r="C352" s="251">
        <v>14091645000191</v>
      </c>
      <c r="D352" s="252" t="s">
        <v>11</v>
      </c>
      <c r="E352" s="252" t="s">
        <v>621</v>
      </c>
      <c r="F352" s="252" t="s">
        <v>663</v>
      </c>
      <c r="G352" s="253" t="s">
        <v>738</v>
      </c>
      <c r="H352" s="253" t="s">
        <v>34</v>
      </c>
      <c r="I352" s="253" t="s">
        <v>1417</v>
      </c>
      <c r="J352" s="253" t="s">
        <v>608</v>
      </c>
      <c r="K352" s="253" t="s">
        <v>48</v>
      </c>
      <c r="L352" s="655"/>
      <c r="M352" s="655" t="s">
        <v>34</v>
      </c>
      <c r="N352" s="253" t="s">
        <v>2929</v>
      </c>
      <c r="O352" s="253" t="s">
        <v>1321</v>
      </c>
      <c r="P352" s="656">
        <v>41564</v>
      </c>
      <c r="Q352" s="657">
        <v>400.77811400000002</v>
      </c>
      <c r="R352" s="657">
        <v>549.19001610843361</v>
      </c>
      <c r="S352" s="253">
        <v>30</v>
      </c>
      <c r="T352" s="658">
        <v>2.7447310170296557E-2</v>
      </c>
      <c r="U352" s="659">
        <v>1.3724766809355888</v>
      </c>
      <c r="V352" s="658">
        <v>0.11219353353340655</v>
      </c>
      <c r="W352" s="659">
        <v>0.87009564092444225</v>
      </c>
      <c r="X352" s="658">
        <v>0.18121411017164979</v>
      </c>
      <c r="Y352" s="659">
        <v>0.93850653131119421</v>
      </c>
      <c r="Z352" s="658">
        <v>0.24839589950257768</v>
      </c>
      <c r="AA352" s="659">
        <v>1.1215762956865181</v>
      </c>
      <c r="AB352" s="658">
        <v>2.8170803930848573E-2</v>
      </c>
      <c r="AC352" s="660">
        <v>-0.5946005642756691</v>
      </c>
      <c r="AD352" s="682">
        <v>0</v>
      </c>
      <c r="AE352" s="944" t="s">
        <v>1779</v>
      </c>
      <c r="AF352" s="661" t="s">
        <v>1779</v>
      </c>
      <c r="AG352" s="662" t="s">
        <v>1435</v>
      </c>
      <c r="AH352" s="662" t="s">
        <v>1734</v>
      </c>
      <c r="AI352" s="662">
        <v>1000000</v>
      </c>
      <c r="AJ352" s="662">
        <v>0</v>
      </c>
      <c r="AK352" s="662">
        <v>1000000</v>
      </c>
      <c r="AL352" s="658">
        <v>2E-3</v>
      </c>
      <c r="AM352" s="658">
        <v>0</v>
      </c>
      <c r="AN352" s="659" t="s">
        <v>2141</v>
      </c>
      <c r="AO352" s="253" t="s">
        <v>34</v>
      </c>
      <c r="AP352" s="944" t="s">
        <v>1735</v>
      </c>
      <c r="AQ352" s="663" t="s">
        <v>669</v>
      </c>
      <c r="AR352" s="658">
        <v>0</v>
      </c>
      <c r="AS352" s="658">
        <v>0</v>
      </c>
      <c r="AT352" s="658" t="s">
        <v>1417</v>
      </c>
      <c r="AU352" s="658" t="s">
        <v>2751</v>
      </c>
      <c r="AX352"/>
      <c r="AY352"/>
      <c r="BA352"/>
      <c r="BB352"/>
      <c r="BC352"/>
      <c r="BD352"/>
      <c r="BE352"/>
      <c r="BF352"/>
      <c r="BG352"/>
      <c r="BH352"/>
      <c r="BI352"/>
      <c r="BJ352"/>
      <c r="BR352"/>
      <c r="BS352"/>
      <c r="BT352"/>
      <c r="BU352"/>
      <c r="BX352"/>
      <c r="BY352"/>
      <c r="CA352"/>
    </row>
    <row r="353" spans="2:79" ht="18.75">
      <c r="B353" s="252" t="s">
        <v>1500</v>
      </c>
      <c r="C353" s="251">
        <v>6015368000100</v>
      </c>
      <c r="D353" s="252" t="s">
        <v>13</v>
      </c>
      <c r="E353" s="252" t="s">
        <v>615</v>
      </c>
      <c r="F353" s="252" t="s">
        <v>619</v>
      </c>
      <c r="G353" s="253" t="s">
        <v>34</v>
      </c>
      <c r="H353" s="253" t="s">
        <v>1337</v>
      </c>
      <c r="I353" s="253" t="s">
        <v>1417</v>
      </c>
      <c r="J353" s="253" t="s">
        <v>608</v>
      </c>
      <c r="K353" s="253" t="s">
        <v>48</v>
      </c>
      <c r="L353" s="655"/>
      <c r="M353" s="655" t="s">
        <v>34</v>
      </c>
      <c r="N353" s="253" t="s">
        <v>2930</v>
      </c>
      <c r="O353" s="253" t="s">
        <v>1321</v>
      </c>
      <c r="P353" s="656">
        <v>38899</v>
      </c>
      <c r="Q353" s="657">
        <v>17531.097351</v>
      </c>
      <c r="R353" s="657">
        <v>18589.36092499597</v>
      </c>
      <c r="S353" s="253">
        <v>1</v>
      </c>
      <c r="T353" s="658">
        <v>1.7436028107268076E-2</v>
      </c>
      <c r="U353" s="659">
        <v>0.87187202814724363</v>
      </c>
      <c r="V353" s="658">
        <v>0.11793372095195553</v>
      </c>
      <c r="W353" s="659">
        <v>0.91461257424200848</v>
      </c>
      <c r="X353" s="658">
        <v>0.17920711843067183</v>
      </c>
      <c r="Y353" s="659">
        <v>0.92811233598384757</v>
      </c>
      <c r="Z353" s="658">
        <v>0.22690020899272967</v>
      </c>
      <c r="AA353" s="659">
        <v>1.0245172984021891</v>
      </c>
      <c r="AB353" s="658">
        <v>4.4973280565119679E-3</v>
      </c>
      <c r="AC353" s="660">
        <v>-2.4481621879663558</v>
      </c>
      <c r="AD353" s="682">
        <v>12013309000103</v>
      </c>
      <c r="AE353" s="944" t="s">
        <v>1779</v>
      </c>
      <c r="AF353" s="661" t="s">
        <v>1779</v>
      </c>
      <c r="AG353" s="662" t="s">
        <v>1435</v>
      </c>
      <c r="AH353" s="662" t="s">
        <v>1734</v>
      </c>
      <c r="AI353" s="662">
        <v>0</v>
      </c>
      <c r="AJ353" s="662">
        <v>0</v>
      </c>
      <c r="AK353" s="662">
        <v>0</v>
      </c>
      <c r="AL353" s="658">
        <v>0.01</v>
      </c>
      <c r="AM353" s="658">
        <v>0.2</v>
      </c>
      <c r="AN353" s="659" t="s">
        <v>64</v>
      </c>
      <c r="AO353" s="253" t="s">
        <v>34</v>
      </c>
      <c r="AP353" s="944" t="s">
        <v>1746</v>
      </c>
      <c r="AQ353" s="663" t="s">
        <v>688</v>
      </c>
      <c r="AR353" s="658">
        <v>0</v>
      </c>
      <c r="AS353" s="658">
        <v>0</v>
      </c>
      <c r="AT353" s="658" t="s">
        <v>1417</v>
      </c>
      <c r="AU353" s="658" t="s">
        <v>2751</v>
      </c>
      <c r="AX353"/>
      <c r="AY353"/>
      <c r="BA353"/>
      <c r="BB353"/>
      <c r="BC353"/>
      <c r="BD353"/>
      <c r="BE353"/>
      <c r="BF353"/>
      <c r="BG353"/>
      <c r="BH353"/>
      <c r="BI353"/>
      <c r="BJ353"/>
      <c r="BR353"/>
      <c r="BS353"/>
      <c r="BT353"/>
      <c r="BU353"/>
      <c r="BX353"/>
      <c r="BY353"/>
      <c r="CA353"/>
    </row>
    <row r="354" spans="2:79" ht="18.75">
      <c r="B354" s="252" t="s">
        <v>1501</v>
      </c>
      <c r="C354" s="251">
        <v>12013309000103</v>
      </c>
      <c r="D354" s="252" t="s">
        <v>13</v>
      </c>
      <c r="E354" s="252" t="s">
        <v>615</v>
      </c>
      <c r="F354" s="252" t="s">
        <v>619</v>
      </c>
      <c r="G354" s="253" t="s">
        <v>34</v>
      </c>
      <c r="H354" s="253" t="s">
        <v>1337</v>
      </c>
      <c r="I354" s="253" t="s">
        <v>1417</v>
      </c>
      <c r="J354" s="253" t="s">
        <v>608</v>
      </c>
      <c r="K354" s="253" t="s">
        <v>48</v>
      </c>
      <c r="L354" s="655"/>
      <c r="M354" s="655" t="s">
        <v>34</v>
      </c>
      <c r="N354" s="253" t="s">
        <v>2931</v>
      </c>
      <c r="O354" s="253" t="s">
        <v>1321</v>
      </c>
      <c r="P354" s="656">
        <v>40419</v>
      </c>
      <c r="Q354" s="657">
        <v>17835.956572999999</v>
      </c>
      <c r="R354" s="657">
        <v>19014.496857612914</v>
      </c>
      <c r="S354" s="253">
        <v>1</v>
      </c>
      <c r="T354" s="658">
        <v>1.8226983062216817E-2</v>
      </c>
      <c r="U354" s="659">
        <v>0.91142297957389407</v>
      </c>
      <c r="V354" s="658">
        <v>0.12352029770074258</v>
      </c>
      <c r="W354" s="659">
        <v>0.95793820918479322</v>
      </c>
      <c r="X354" s="658">
        <v>0.19112802019473163</v>
      </c>
      <c r="Y354" s="659">
        <v>0.9898505977234654</v>
      </c>
      <c r="Z354" s="658">
        <v>0.24978829640470668</v>
      </c>
      <c r="AA354" s="659">
        <v>1.1278633534146953</v>
      </c>
      <c r="AB354" s="658">
        <v>4.5617941992159251E-3</v>
      </c>
      <c r="AC354" s="660">
        <v>-1.1889207424083224</v>
      </c>
      <c r="AD354" s="682">
        <v>0</v>
      </c>
      <c r="AE354" s="944" t="s">
        <v>1779</v>
      </c>
      <c r="AF354" s="661" t="s">
        <v>1779</v>
      </c>
      <c r="AG354" s="662" t="s">
        <v>1435</v>
      </c>
      <c r="AH354" s="662" t="s">
        <v>1734</v>
      </c>
      <c r="AI354" s="662">
        <v>0</v>
      </c>
      <c r="AJ354" s="662">
        <v>0</v>
      </c>
      <c r="AK354" s="662">
        <v>0</v>
      </c>
      <c r="AL354" s="658">
        <v>5.0000000000000001E-3</v>
      </c>
      <c r="AM354" s="658">
        <v>0</v>
      </c>
      <c r="AN354" s="659" t="s">
        <v>64</v>
      </c>
      <c r="AO354" s="253" t="s">
        <v>34</v>
      </c>
      <c r="AP354" s="944" t="s">
        <v>1746</v>
      </c>
      <c r="AQ354" s="663" t="s">
        <v>688</v>
      </c>
      <c r="AR354" s="658">
        <v>0</v>
      </c>
      <c r="AS354" s="658">
        <v>0</v>
      </c>
      <c r="AT354" s="658" t="s">
        <v>1417</v>
      </c>
      <c r="AU354" s="658" t="s">
        <v>2751</v>
      </c>
      <c r="AX354"/>
      <c r="AY354"/>
      <c r="BA354"/>
      <c r="BB354"/>
      <c r="BC354"/>
      <c r="BD354"/>
      <c r="BE354"/>
      <c r="BF354"/>
      <c r="BG354"/>
      <c r="BH354"/>
      <c r="BI354"/>
      <c r="BJ354"/>
      <c r="BR354"/>
      <c r="BS354"/>
      <c r="BT354"/>
      <c r="BU354"/>
      <c r="BX354"/>
      <c r="BY354"/>
      <c r="CA354"/>
    </row>
    <row r="355" spans="2:79" ht="18.75">
      <c r="B355" s="252" t="s">
        <v>122</v>
      </c>
      <c r="C355" s="251">
        <v>39800501000198</v>
      </c>
      <c r="D355" s="252" t="s">
        <v>13</v>
      </c>
      <c r="E355" s="252" t="s">
        <v>615</v>
      </c>
      <c r="F355" s="252" t="s">
        <v>619</v>
      </c>
      <c r="G355" s="253" t="s">
        <v>34</v>
      </c>
      <c r="H355" s="253" t="s">
        <v>1338</v>
      </c>
      <c r="I355" s="253" t="s">
        <v>34</v>
      </c>
      <c r="J355" s="253" t="s">
        <v>1417</v>
      </c>
      <c r="K355" s="253" t="s">
        <v>48</v>
      </c>
      <c r="L355" s="655"/>
      <c r="M355" s="655" t="s">
        <v>1414</v>
      </c>
      <c r="N355" s="253" t="s">
        <v>2932</v>
      </c>
      <c r="O355" s="253" t="s">
        <v>1321</v>
      </c>
      <c r="P355" s="656">
        <v>44163</v>
      </c>
      <c r="Q355" s="657">
        <v>3.69348784</v>
      </c>
      <c r="R355" s="657">
        <v>1.8127234046987957</v>
      </c>
      <c r="S355" s="253">
        <v>6</v>
      </c>
      <c r="T355" s="658">
        <v>0.14479015626094216</v>
      </c>
      <c r="U355" s="659">
        <v>7.240094270229033</v>
      </c>
      <c r="V355" s="658">
        <v>1.2408381177059447</v>
      </c>
      <c r="W355" s="659">
        <v>9.6230843552793388</v>
      </c>
      <c r="X355" s="658">
        <v>0.18065826307333155</v>
      </c>
      <c r="Y355" s="659">
        <v>0.93562780331541107</v>
      </c>
      <c r="Z355" s="658"/>
      <c r="AA355" s="659"/>
      <c r="AB355" s="658">
        <v>0.34347045818808603</v>
      </c>
      <c r="AC355" s="660">
        <v>3.2372338923258366</v>
      </c>
      <c r="AD355" s="682">
        <v>0</v>
      </c>
      <c r="AE355" s="944" t="s">
        <v>2034</v>
      </c>
      <c r="AF355" s="661" t="s">
        <v>1745</v>
      </c>
      <c r="AG355" s="662" t="s">
        <v>1432</v>
      </c>
      <c r="AH355" s="662" t="s">
        <v>1734</v>
      </c>
      <c r="AI355" s="662">
        <v>1</v>
      </c>
      <c r="AJ355" s="662">
        <v>1</v>
      </c>
      <c r="AK355" s="662">
        <v>1</v>
      </c>
      <c r="AL355" s="658">
        <v>2E-3</v>
      </c>
      <c r="AM355" s="658">
        <v>0.4</v>
      </c>
      <c r="AN355" s="659" t="s">
        <v>34</v>
      </c>
      <c r="AO355" s="253" t="s">
        <v>34</v>
      </c>
      <c r="AP355" s="944" t="s">
        <v>1746</v>
      </c>
      <c r="AQ355" s="663" t="s">
        <v>668</v>
      </c>
      <c r="AR355" s="658">
        <v>2.6659999999999998E-4</v>
      </c>
      <c r="AS355" s="658">
        <v>2.6659999999999998E-4</v>
      </c>
      <c r="AT355" s="658" t="s">
        <v>1417</v>
      </c>
      <c r="AU355" s="658" t="s">
        <v>2751</v>
      </c>
      <c r="AX355"/>
      <c r="AY355"/>
      <c r="BA355"/>
      <c r="BB355"/>
      <c r="BC355"/>
      <c r="BD355"/>
      <c r="BE355"/>
      <c r="BF355"/>
      <c r="BG355"/>
      <c r="BH355"/>
      <c r="BI355"/>
      <c r="BJ355"/>
      <c r="BR355"/>
      <c r="BS355"/>
      <c r="BT355"/>
      <c r="BU355"/>
      <c r="BX355"/>
      <c r="BY355"/>
      <c r="CA355"/>
    </row>
    <row r="356" spans="2:79" ht="18.75">
      <c r="B356" s="252" t="s">
        <v>123</v>
      </c>
      <c r="C356" s="251">
        <v>39974143000130</v>
      </c>
      <c r="D356" s="252" t="s">
        <v>14</v>
      </c>
      <c r="E356" s="252" t="s">
        <v>607</v>
      </c>
      <c r="F356" s="252" t="s">
        <v>1417</v>
      </c>
      <c r="G356" s="253" t="s">
        <v>1417</v>
      </c>
      <c r="H356" s="253" t="s">
        <v>34</v>
      </c>
      <c r="I356" s="253" t="s">
        <v>34</v>
      </c>
      <c r="J356" s="253" t="s">
        <v>608</v>
      </c>
      <c r="K356" s="253" t="s">
        <v>48</v>
      </c>
      <c r="L356" s="655"/>
      <c r="M356" s="655" t="s">
        <v>1414</v>
      </c>
      <c r="N356" s="253" t="s">
        <v>2933</v>
      </c>
      <c r="O356" s="253" t="s">
        <v>1321</v>
      </c>
      <c r="P356" s="656">
        <v>44231</v>
      </c>
      <c r="Q356" s="657">
        <v>16.98188283</v>
      </c>
      <c r="R356" s="657">
        <v>18.023044449153222</v>
      </c>
      <c r="S356" s="253">
        <v>182</v>
      </c>
      <c r="T356" s="658">
        <v>5.6246046453263476E-2</v>
      </c>
      <c r="U356" s="659">
        <v>2.8125301413129304</v>
      </c>
      <c r="V356" s="658">
        <v>-0.22577989569231294</v>
      </c>
      <c r="W356" s="659">
        <v>-1.7509930997205119</v>
      </c>
      <c r="X356" s="658">
        <v>-0.45189932557287793</v>
      </c>
      <c r="Y356" s="659">
        <v>-2.3403832524053638</v>
      </c>
      <c r="Z356" s="658"/>
      <c r="AA356" s="659"/>
      <c r="AB356" s="658">
        <v>0.47498181931758737</v>
      </c>
      <c r="AC356" s="660">
        <v>-0.74681554264274297</v>
      </c>
      <c r="AD356" s="682">
        <v>0</v>
      </c>
      <c r="AE356" s="944" t="s">
        <v>2003</v>
      </c>
      <c r="AF356" s="661" t="s">
        <v>1729</v>
      </c>
      <c r="AG356" s="662" t="s">
        <v>1433</v>
      </c>
      <c r="AH356" s="662" t="s">
        <v>1801</v>
      </c>
      <c r="AI356" s="662">
        <v>5000</v>
      </c>
      <c r="AJ356" s="662">
        <v>0</v>
      </c>
      <c r="AK356" s="662">
        <v>1000</v>
      </c>
      <c r="AL356" s="658">
        <v>5.0000000000000001E-3</v>
      </c>
      <c r="AM356" s="658">
        <v>0.25</v>
      </c>
      <c r="AN356" s="659" t="s">
        <v>34</v>
      </c>
      <c r="AO356" s="253" t="s">
        <v>34</v>
      </c>
      <c r="AP356" s="944" t="s">
        <v>1731</v>
      </c>
      <c r="AQ356" s="663" t="s">
        <v>659</v>
      </c>
      <c r="AR356" s="658">
        <v>0</v>
      </c>
      <c r="AS356" s="658">
        <v>0</v>
      </c>
      <c r="AT356" s="658" t="s">
        <v>1417</v>
      </c>
      <c r="AU356" s="658" t="s">
        <v>2751</v>
      </c>
      <c r="AX356"/>
      <c r="AY356"/>
      <c r="BA356"/>
      <c r="BB356"/>
      <c r="BC356"/>
      <c r="BD356"/>
      <c r="BE356"/>
      <c r="BF356"/>
      <c r="BG356"/>
      <c r="BH356"/>
      <c r="BI356"/>
      <c r="BJ356"/>
      <c r="BR356"/>
      <c r="BS356"/>
      <c r="BT356"/>
      <c r="BU356"/>
      <c r="BX356"/>
      <c r="BY356"/>
      <c r="CA356"/>
    </row>
    <row r="357" spans="2:79" ht="18.75">
      <c r="B357" s="252" t="s">
        <v>496</v>
      </c>
      <c r="C357" s="251">
        <v>33361831000148</v>
      </c>
      <c r="D357" s="252" t="s">
        <v>13</v>
      </c>
      <c r="E357" s="252" t="s">
        <v>615</v>
      </c>
      <c r="F357" s="252" t="s">
        <v>619</v>
      </c>
      <c r="G357" s="253" t="s">
        <v>34</v>
      </c>
      <c r="H357" s="253" t="s">
        <v>1338</v>
      </c>
      <c r="I357" s="253" t="s">
        <v>34</v>
      </c>
      <c r="J357" s="253" t="s">
        <v>1417</v>
      </c>
      <c r="K357" s="253" t="s">
        <v>48</v>
      </c>
      <c r="L357" s="655"/>
      <c r="M357" s="655" t="s">
        <v>34</v>
      </c>
      <c r="N357" s="253" t="s">
        <v>2934</v>
      </c>
      <c r="O357" s="253" t="s">
        <v>1321</v>
      </c>
      <c r="P357" s="656">
        <v>39902</v>
      </c>
      <c r="Q357" s="657">
        <v>35.980747219999998</v>
      </c>
      <c r="R357" s="657">
        <v>58.115359568306467</v>
      </c>
      <c r="S357" s="253">
        <v>5</v>
      </c>
      <c r="T357" s="658">
        <v>4.6035679779166339E-2</v>
      </c>
      <c r="U357" s="659">
        <v>2.3019704516000359</v>
      </c>
      <c r="V357" s="658">
        <v>-1.261311218874861E-2</v>
      </c>
      <c r="W357" s="659">
        <v>-9.7818596030343707E-2</v>
      </c>
      <c r="X357" s="658">
        <v>3.7882364798215606E-2</v>
      </c>
      <c r="Y357" s="659">
        <v>0.19619248606503223</v>
      </c>
      <c r="Z357" s="658">
        <v>0.13591146158166545</v>
      </c>
      <c r="AA357" s="659">
        <v>0.61367789857788291</v>
      </c>
      <c r="AB357" s="658">
        <v>0.12915918381092539</v>
      </c>
      <c r="AC357" s="660">
        <v>-1.0959888213815334</v>
      </c>
      <c r="AD357" s="682">
        <v>32222759000105</v>
      </c>
      <c r="AE357" s="944" t="s">
        <v>1982</v>
      </c>
      <c r="AF357" s="661" t="s">
        <v>1739</v>
      </c>
      <c r="AG357" s="662" t="s">
        <v>728</v>
      </c>
      <c r="AH357" s="662" t="s">
        <v>1730</v>
      </c>
      <c r="AI357" s="662">
        <v>10000</v>
      </c>
      <c r="AJ357" s="662">
        <v>5000</v>
      </c>
      <c r="AK357" s="662">
        <v>5000</v>
      </c>
      <c r="AL357" s="658">
        <v>9.0000000000000011E-3</v>
      </c>
      <c r="AM357" s="658">
        <v>0</v>
      </c>
      <c r="AN357" s="659" t="s">
        <v>34</v>
      </c>
      <c r="AO357" s="253" t="s">
        <v>34</v>
      </c>
      <c r="AP357" s="944" t="s">
        <v>1746</v>
      </c>
      <c r="AQ357" s="663" t="s">
        <v>679</v>
      </c>
      <c r="AR357" s="658">
        <v>5.3334000000000003E-3</v>
      </c>
      <c r="AS357" s="658">
        <v>5.3334000000000003E-3</v>
      </c>
      <c r="AT357" s="658" t="s">
        <v>1417</v>
      </c>
      <c r="AU357" s="658" t="s">
        <v>2751</v>
      </c>
      <c r="AX357"/>
      <c r="AY357"/>
      <c r="BA357"/>
      <c r="BB357"/>
      <c r="BC357"/>
      <c r="BD357"/>
      <c r="BE357"/>
      <c r="BF357"/>
      <c r="BG357"/>
      <c r="BH357"/>
      <c r="BI357"/>
      <c r="BJ357"/>
      <c r="BR357"/>
      <c r="BS357"/>
      <c r="BT357"/>
      <c r="BU357"/>
      <c r="BX357"/>
      <c r="BY357"/>
      <c r="CA357"/>
    </row>
    <row r="358" spans="2:79" ht="18.75">
      <c r="B358" s="252" t="s">
        <v>800</v>
      </c>
      <c r="C358" s="251">
        <v>33361798000156</v>
      </c>
      <c r="D358" s="252" t="s">
        <v>11</v>
      </c>
      <c r="E358" s="252" t="s">
        <v>4235</v>
      </c>
      <c r="F358" s="252" t="s">
        <v>663</v>
      </c>
      <c r="G358" s="253" t="s">
        <v>1417</v>
      </c>
      <c r="H358" s="253" t="s">
        <v>34</v>
      </c>
      <c r="I358" s="253" t="s">
        <v>1417</v>
      </c>
      <c r="J358" s="253" t="s">
        <v>611</v>
      </c>
      <c r="K358" s="253" t="s">
        <v>48</v>
      </c>
      <c r="L358" s="655"/>
      <c r="M358" s="655" t="s">
        <v>34</v>
      </c>
      <c r="N358" s="253" t="s">
        <v>2935</v>
      </c>
      <c r="O358" s="253" t="s">
        <v>1321</v>
      </c>
      <c r="P358" s="656">
        <v>43552</v>
      </c>
      <c r="Q358" s="657">
        <v>24.664473189999999</v>
      </c>
      <c r="R358" s="657">
        <v>30.078809873132542</v>
      </c>
      <c r="S358" s="253">
        <v>5</v>
      </c>
      <c r="T358" s="658">
        <v>2.1917849424376357E-2</v>
      </c>
      <c r="U358" s="659">
        <v>1.0959812471448838</v>
      </c>
      <c r="V358" s="658">
        <v>6.0299013214546893E-2</v>
      </c>
      <c r="W358" s="659">
        <v>0.46763754467542851</v>
      </c>
      <c r="X358" s="658">
        <v>5.7856422308588007E-2</v>
      </c>
      <c r="Y358" s="659">
        <v>0.29963798163109773</v>
      </c>
      <c r="Z358" s="658">
        <v>7.7331523578049177E-2</v>
      </c>
      <c r="AA358" s="659">
        <v>0.34917325096005852</v>
      </c>
      <c r="AB358" s="658">
        <v>3.4608950868498203E-2</v>
      </c>
      <c r="AC358" s="660">
        <v>-1.9834434303734845</v>
      </c>
      <c r="AD358" s="682">
        <v>33361923000128</v>
      </c>
      <c r="AE358" s="944" t="s">
        <v>1982</v>
      </c>
      <c r="AF358" s="661" t="s">
        <v>1739</v>
      </c>
      <c r="AG358" s="662" t="s">
        <v>728</v>
      </c>
      <c r="AH358" s="662" t="s">
        <v>1730</v>
      </c>
      <c r="AI358" s="662">
        <v>10000</v>
      </c>
      <c r="AJ358" s="662">
        <v>5000</v>
      </c>
      <c r="AK358" s="662">
        <v>5000</v>
      </c>
      <c r="AL358" s="658">
        <v>8.0000000000000002E-3</v>
      </c>
      <c r="AM358" s="658">
        <v>0</v>
      </c>
      <c r="AN358" s="659" t="s">
        <v>34</v>
      </c>
      <c r="AO358" s="253" t="s">
        <v>34</v>
      </c>
      <c r="AP358" s="944" t="s">
        <v>1746</v>
      </c>
      <c r="AQ358" s="663" t="s">
        <v>679</v>
      </c>
      <c r="AR358" s="658">
        <v>4.6666666666666697E-3</v>
      </c>
      <c r="AS358" s="658">
        <v>4.6666666666666697E-3</v>
      </c>
      <c r="AT358" s="658" t="s">
        <v>1417</v>
      </c>
      <c r="AU358" s="658" t="s">
        <v>2751</v>
      </c>
      <c r="AX358"/>
      <c r="AY358"/>
      <c r="BA358"/>
      <c r="BB358"/>
      <c r="BC358"/>
      <c r="BD358"/>
      <c r="BE358"/>
      <c r="BF358"/>
      <c r="BG358"/>
      <c r="BH358"/>
      <c r="BI358"/>
      <c r="BJ358"/>
      <c r="BR358"/>
      <c r="BS358"/>
      <c r="BT358"/>
      <c r="BU358"/>
      <c r="BX358"/>
      <c r="BY358"/>
      <c r="CA358"/>
    </row>
    <row r="359" spans="2:79" ht="18.75">
      <c r="B359" s="252" t="s">
        <v>802</v>
      </c>
      <c r="C359" s="251">
        <v>41673246000101</v>
      </c>
      <c r="D359" s="252" t="s">
        <v>14</v>
      </c>
      <c r="E359" s="252" t="s">
        <v>607</v>
      </c>
      <c r="F359" s="252" t="s">
        <v>1417</v>
      </c>
      <c r="G359" s="253" t="s">
        <v>866</v>
      </c>
      <c r="H359" s="253" t="s">
        <v>34</v>
      </c>
      <c r="I359" s="253" t="s">
        <v>34</v>
      </c>
      <c r="J359" s="253" t="s">
        <v>611</v>
      </c>
      <c r="K359" s="253" t="s">
        <v>48</v>
      </c>
      <c r="L359" s="655"/>
      <c r="M359" s="655" t="s">
        <v>1414</v>
      </c>
      <c r="N359" s="253" t="s">
        <v>2937</v>
      </c>
      <c r="O359" s="253" t="s">
        <v>1321</v>
      </c>
      <c r="P359" s="656">
        <v>44317</v>
      </c>
      <c r="Q359" s="657">
        <v>1.0943692</v>
      </c>
      <c r="R359" s="657">
        <v>1.0946570489558223</v>
      </c>
      <c r="S359" s="253">
        <v>5</v>
      </c>
      <c r="T359" s="658">
        <v>0.13166582408524308</v>
      </c>
      <c r="U359" s="659">
        <v>6.5838245027276221</v>
      </c>
      <c r="V359" s="658">
        <v>-0.10163366495020998</v>
      </c>
      <c r="W359" s="659">
        <v>-0.78820058571398777</v>
      </c>
      <c r="X359" s="658"/>
      <c r="Y359" s="659"/>
      <c r="Z359" s="658"/>
      <c r="AA359" s="659"/>
      <c r="AB359" s="658">
        <v>0.35238280113276887</v>
      </c>
      <c r="AC359" s="660">
        <v>-0.65433833222218629</v>
      </c>
      <c r="AD359" s="682">
        <v>0</v>
      </c>
      <c r="AE359" s="944" t="s">
        <v>1797</v>
      </c>
      <c r="AF359" s="661" t="s">
        <v>1745</v>
      </c>
      <c r="AG359" s="662" t="s">
        <v>1432</v>
      </c>
      <c r="AH359" s="662" t="s">
        <v>1730</v>
      </c>
      <c r="AI359" s="662">
        <v>100</v>
      </c>
      <c r="AJ359" s="662">
        <v>100</v>
      </c>
      <c r="AK359" s="662">
        <v>100</v>
      </c>
      <c r="AL359" s="658">
        <v>4.0000000000000002E-4</v>
      </c>
      <c r="AM359" s="658">
        <v>0</v>
      </c>
      <c r="AN359" s="659" t="s">
        <v>34</v>
      </c>
      <c r="AO359" s="253" t="s">
        <v>34</v>
      </c>
      <c r="AP359" s="944" t="s">
        <v>1731</v>
      </c>
      <c r="AQ359" s="663" t="s">
        <v>687</v>
      </c>
      <c r="AR359" s="658">
        <v>0</v>
      </c>
      <c r="AS359" s="658">
        <v>0</v>
      </c>
      <c r="AT359" s="658" t="s">
        <v>1417</v>
      </c>
      <c r="AU359" s="658" t="s">
        <v>2751</v>
      </c>
      <c r="AX359"/>
      <c r="AY359"/>
      <c r="BA359"/>
      <c r="BB359"/>
      <c r="BC359"/>
      <c r="BD359"/>
      <c r="BE359"/>
      <c r="BF359"/>
      <c r="BG359"/>
      <c r="BH359"/>
      <c r="BI359"/>
      <c r="BJ359"/>
      <c r="BR359"/>
      <c r="BS359"/>
      <c r="BT359"/>
      <c r="BU359"/>
      <c r="BX359"/>
      <c r="BY359"/>
      <c r="CA359"/>
    </row>
    <row r="360" spans="2:79" ht="18.75">
      <c r="B360" s="252" t="s">
        <v>124</v>
      </c>
      <c r="C360" s="251">
        <v>37830181000193</v>
      </c>
      <c r="D360" s="252" t="s">
        <v>14</v>
      </c>
      <c r="E360" s="252" t="s">
        <v>607</v>
      </c>
      <c r="F360" s="252" t="s">
        <v>1417</v>
      </c>
      <c r="G360" s="253" t="s">
        <v>1417</v>
      </c>
      <c r="H360" s="253" t="s">
        <v>34</v>
      </c>
      <c r="I360" s="253" t="s">
        <v>34</v>
      </c>
      <c r="J360" s="253" t="s">
        <v>608</v>
      </c>
      <c r="K360" s="253" t="s">
        <v>48</v>
      </c>
      <c r="L360" s="655"/>
      <c r="M360" s="655" t="s">
        <v>34</v>
      </c>
      <c r="N360" s="253" t="s">
        <v>2938</v>
      </c>
      <c r="O360" s="253" t="s">
        <v>1321</v>
      </c>
      <c r="P360" s="656">
        <v>44049</v>
      </c>
      <c r="Q360" s="657">
        <v>5.4888940599999998</v>
      </c>
      <c r="R360" s="657">
        <v>7.0982386445306149</v>
      </c>
      <c r="S360" s="253">
        <v>3</v>
      </c>
      <c r="T360" s="658">
        <v>-6.7346159781322301E-2</v>
      </c>
      <c r="U360" s="659">
        <v>-3.3675807675484291</v>
      </c>
      <c r="V360" s="658">
        <v>-0.14544866498470632</v>
      </c>
      <c r="W360" s="659">
        <v>-1.127999496903179</v>
      </c>
      <c r="X360" s="658">
        <v>-3.0163636948435379E-2</v>
      </c>
      <c r="Y360" s="659">
        <v>-0.15621725183205437</v>
      </c>
      <c r="Z360" s="658"/>
      <c r="AA360" s="659"/>
      <c r="AB360" s="658">
        <v>0.25821406125105328</v>
      </c>
      <c r="AC360" s="660">
        <v>-1.0626554305449367</v>
      </c>
      <c r="AD360" s="682">
        <v>37830134000140</v>
      </c>
      <c r="AE360" s="944" t="s">
        <v>2005</v>
      </c>
      <c r="AF360" s="661" t="s">
        <v>1769</v>
      </c>
      <c r="AG360" s="662" t="s">
        <v>719</v>
      </c>
      <c r="AH360" s="662" t="s">
        <v>1734</v>
      </c>
      <c r="AI360" s="662">
        <v>5000</v>
      </c>
      <c r="AJ360" s="662">
        <v>5000</v>
      </c>
      <c r="AK360" s="662">
        <v>5000</v>
      </c>
      <c r="AL360" s="658">
        <v>0.02</v>
      </c>
      <c r="AM360" s="658">
        <v>0</v>
      </c>
      <c r="AN360" s="659" t="s">
        <v>666</v>
      </c>
      <c r="AO360" s="253" t="s">
        <v>34</v>
      </c>
      <c r="AP360" s="944" t="s">
        <v>1731</v>
      </c>
      <c r="AQ360" s="663" t="s">
        <v>659</v>
      </c>
      <c r="AR360" s="658">
        <v>4.0000000000000001E-3</v>
      </c>
      <c r="AS360" s="658">
        <v>4.0000000000000001E-3</v>
      </c>
      <c r="AT360" s="658" t="s">
        <v>1417</v>
      </c>
      <c r="AU360" s="658" t="s">
        <v>2751</v>
      </c>
      <c r="AX360"/>
      <c r="AY360"/>
      <c r="BA360"/>
      <c r="BB360"/>
      <c r="BC360"/>
      <c r="BD360"/>
      <c r="BE360"/>
      <c r="BF360"/>
      <c r="BG360"/>
      <c r="BH360"/>
      <c r="BI360"/>
      <c r="BJ360"/>
      <c r="BR360"/>
      <c r="BS360"/>
      <c r="BT360"/>
      <c r="BU360"/>
      <c r="BX360"/>
      <c r="BY360"/>
      <c r="CA360"/>
    </row>
    <row r="361" spans="2:79" ht="18.75">
      <c r="B361" s="252" t="s">
        <v>803</v>
      </c>
      <c r="C361" s="251">
        <v>35844973000191</v>
      </c>
      <c r="D361" s="252" t="s">
        <v>13</v>
      </c>
      <c r="E361" s="252" t="s">
        <v>616</v>
      </c>
      <c r="F361" s="252" t="s">
        <v>617</v>
      </c>
      <c r="G361" s="253" t="s">
        <v>1417</v>
      </c>
      <c r="H361" s="253" t="s">
        <v>1337</v>
      </c>
      <c r="I361" s="253" t="s">
        <v>34</v>
      </c>
      <c r="J361" s="253" t="s">
        <v>608</v>
      </c>
      <c r="K361" s="253" t="s">
        <v>48</v>
      </c>
      <c r="L361" s="655"/>
      <c r="M361" s="655" t="s">
        <v>1414</v>
      </c>
      <c r="N361" s="253" t="s">
        <v>2939</v>
      </c>
      <c r="O361" s="253" t="s">
        <v>1321</v>
      </c>
      <c r="P361" s="656">
        <v>43890</v>
      </c>
      <c r="Q361" s="657">
        <v>74.175069949999994</v>
      </c>
      <c r="R361" s="657">
        <v>80.631162592081651</v>
      </c>
      <c r="S361" s="253">
        <v>15</v>
      </c>
      <c r="T361" s="658">
        <v>4.4575316753419081E-3</v>
      </c>
      <c r="U361" s="659">
        <v>0.2228946385267018</v>
      </c>
      <c r="V361" s="658">
        <v>6.7598139355572906E-2</v>
      </c>
      <c r="W361" s="659">
        <v>0.5242445311732139</v>
      </c>
      <c r="X361" s="658">
        <v>0.16556973877868697</v>
      </c>
      <c r="Y361" s="659">
        <v>0.85748444800517465</v>
      </c>
      <c r="Z361" s="658"/>
      <c r="AA361" s="659"/>
      <c r="AB361" s="658">
        <v>5.8147291345188042E-2</v>
      </c>
      <c r="AC361" s="660">
        <v>-1.055006495952491</v>
      </c>
      <c r="AD361" s="682">
        <v>35844975000180</v>
      </c>
      <c r="AE361" s="944" t="s">
        <v>2005</v>
      </c>
      <c r="AF361" s="661" t="s">
        <v>1769</v>
      </c>
      <c r="AG361" s="662" t="s">
        <v>719</v>
      </c>
      <c r="AH361" s="662" t="s">
        <v>1734</v>
      </c>
      <c r="AI361" s="662">
        <v>1000</v>
      </c>
      <c r="AJ361" s="662">
        <v>1000</v>
      </c>
      <c r="AK361" s="662">
        <v>1000</v>
      </c>
      <c r="AL361" s="658">
        <v>1.44E-2</v>
      </c>
      <c r="AM361" s="658">
        <v>0.2</v>
      </c>
      <c r="AN361" s="659" t="s">
        <v>64</v>
      </c>
      <c r="AO361" s="253" t="s">
        <v>34</v>
      </c>
      <c r="AP361" s="944" t="s">
        <v>1746</v>
      </c>
      <c r="AQ361" s="663" t="s">
        <v>668</v>
      </c>
      <c r="AR361" s="658">
        <v>2.8739999999999998E-3</v>
      </c>
      <c r="AS361" s="658">
        <v>2.8739999999999998E-3</v>
      </c>
      <c r="AT361" s="658" t="s">
        <v>1417</v>
      </c>
      <c r="AU361" s="658" t="s">
        <v>2751</v>
      </c>
      <c r="AX361"/>
      <c r="AY361"/>
      <c r="BA361"/>
      <c r="BB361"/>
      <c r="BC361"/>
      <c r="BD361"/>
      <c r="BE361"/>
      <c r="BF361"/>
      <c r="BG361"/>
      <c r="BH361"/>
      <c r="BI361"/>
      <c r="BJ361"/>
      <c r="BR361"/>
      <c r="BS361"/>
      <c r="BT361"/>
      <c r="BU361"/>
      <c r="BX361"/>
      <c r="BY361"/>
      <c r="CA361"/>
    </row>
    <row r="362" spans="2:79" ht="18.75">
      <c r="B362" s="252" t="s">
        <v>125</v>
      </c>
      <c r="C362" s="251">
        <v>40830356000177</v>
      </c>
      <c r="D362" s="252" t="s">
        <v>13</v>
      </c>
      <c r="E362" s="252" t="s">
        <v>616</v>
      </c>
      <c r="F362" s="252" t="s">
        <v>617</v>
      </c>
      <c r="G362" s="253" t="s">
        <v>34</v>
      </c>
      <c r="H362" s="253" t="s">
        <v>865</v>
      </c>
      <c r="I362" s="253" t="s">
        <v>34</v>
      </c>
      <c r="J362" s="253" t="s">
        <v>608</v>
      </c>
      <c r="K362" s="253" t="s">
        <v>48</v>
      </c>
      <c r="L362" s="655"/>
      <c r="M362" s="655" t="s">
        <v>34</v>
      </c>
      <c r="N362" s="253" t="s">
        <v>2940</v>
      </c>
      <c r="O362" s="253" t="s">
        <v>1321</v>
      </c>
      <c r="P362" s="656">
        <v>44259</v>
      </c>
      <c r="Q362" s="657">
        <v>26.40800746</v>
      </c>
      <c r="R362" s="657">
        <v>25.979013578312756</v>
      </c>
      <c r="S362" s="253">
        <v>32</v>
      </c>
      <c r="T362" s="658">
        <v>-1.2136289459108163E-2</v>
      </c>
      <c r="U362" s="659">
        <v>-0.60686362970956198</v>
      </c>
      <c r="V362" s="658">
        <v>1.1406718291091522E-3</v>
      </c>
      <c r="W362" s="659">
        <v>8.8462637281823426E-3</v>
      </c>
      <c r="X362" s="658"/>
      <c r="Y362" s="659"/>
      <c r="Z362" s="658"/>
      <c r="AA362" s="659"/>
      <c r="AB362" s="658">
        <v>0.11760315752937055</v>
      </c>
      <c r="AC362" s="660">
        <v>-1.0867330461408848</v>
      </c>
      <c r="AD362" s="682">
        <v>40830170000118</v>
      </c>
      <c r="AE362" s="944" t="s">
        <v>2005</v>
      </c>
      <c r="AF362" s="661" t="s">
        <v>1769</v>
      </c>
      <c r="AG362" s="662" t="s">
        <v>719</v>
      </c>
      <c r="AH362" s="662" t="s">
        <v>1730</v>
      </c>
      <c r="AI362" s="662">
        <v>5000</v>
      </c>
      <c r="AJ362" s="662">
        <v>5000</v>
      </c>
      <c r="AK362" s="662">
        <v>5000</v>
      </c>
      <c r="AL362" s="658">
        <v>0.02</v>
      </c>
      <c r="AM362" s="658">
        <v>0.2</v>
      </c>
      <c r="AN362" s="659" t="s">
        <v>64</v>
      </c>
      <c r="AO362" s="253" t="s">
        <v>34</v>
      </c>
      <c r="AP362" s="944" t="s">
        <v>1746</v>
      </c>
      <c r="AQ362" s="663" t="s">
        <v>668</v>
      </c>
      <c r="AR362" s="658">
        <v>4.0000000000000001E-3</v>
      </c>
      <c r="AS362" s="658">
        <v>4.0000000000000001E-3</v>
      </c>
      <c r="AT362" s="658" t="s">
        <v>1417</v>
      </c>
      <c r="AU362" s="658" t="s">
        <v>2751</v>
      </c>
      <c r="AX362"/>
      <c r="AY362"/>
      <c r="BA362"/>
      <c r="BB362"/>
      <c r="BC362"/>
      <c r="BD362"/>
      <c r="BE362"/>
      <c r="BF362"/>
      <c r="BG362"/>
      <c r="BH362"/>
      <c r="BI362"/>
      <c r="BJ362"/>
      <c r="BR362"/>
      <c r="BS362"/>
      <c r="BT362"/>
      <c r="BU362"/>
      <c r="BX362"/>
      <c r="BY362"/>
      <c r="CA362"/>
    </row>
    <row r="363" spans="2:79" ht="18.75">
      <c r="B363" s="252" t="s">
        <v>467</v>
      </c>
      <c r="C363" s="251">
        <v>41902590000125</v>
      </c>
      <c r="D363" s="252" t="s">
        <v>13</v>
      </c>
      <c r="E363" s="252" t="s">
        <v>616</v>
      </c>
      <c r="F363" s="252" t="s">
        <v>617</v>
      </c>
      <c r="G363" s="253" t="s">
        <v>34</v>
      </c>
      <c r="H363" s="253" t="s">
        <v>865</v>
      </c>
      <c r="I363" s="253" t="s">
        <v>34</v>
      </c>
      <c r="J363" s="253" t="s">
        <v>608</v>
      </c>
      <c r="K363" s="253" t="s">
        <v>48</v>
      </c>
      <c r="L363" s="655"/>
      <c r="M363" s="655" t="s">
        <v>34</v>
      </c>
      <c r="N363" s="253" t="s">
        <v>2941</v>
      </c>
      <c r="O363" s="253" t="s">
        <v>1321</v>
      </c>
      <c r="P363" s="656">
        <v>44357</v>
      </c>
      <c r="Q363" s="657">
        <v>58.565127099999998</v>
      </c>
      <c r="R363" s="657">
        <v>53.804400200228535</v>
      </c>
      <c r="S363" s="253">
        <v>32</v>
      </c>
      <c r="T363" s="658">
        <v>-1.3382263692914176E-2</v>
      </c>
      <c r="U363" s="659">
        <v>-0.6691673880864385</v>
      </c>
      <c r="V363" s="658">
        <v>4.4392562160593396E-3</v>
      </c>
      <c r="W363" s="659">
        <v>3.4427808456445941E-2</v>
      </c>
      <c r="X363" s="658"/>
      <c r="Y363" s="659"/>
      <c r="Z363" s="658"/>
      <c r="AA363" s="659"/>
      <c r="AB363" s="658">
        <v>0.13803903934344131</v>
      </c>
      <c r="AC363" s="660">
        <v>-0.90195247534982681</v>
      </c>
      <c r="AD363" s="682">
        <v>41902547000160</v>
      </c>
      <c r="AE363" s="944" t="s">
        <v>2005</v>
      </c>
      <c r="AF363" s="661" t="s">
        <v>1769</v>
      </c>
      <c r="AG363" s="662" t="s">
        <v>719</v>
      </c>
      <c r="AH363" s="662" t="s">
        <v>1730</v>
      </c>
      <c r="AI363" s="662">
        <v>5000</v>
      </c>
      <c r="AJ363" s="662">
        <v>5000</v>
      </c>
      <c r="AK363" s="662">
        <v>5000</v>
      </c>
      <c r="AL363" s="658">
        <v>0.02</v>
      </c>
      <c r="AM363" s="658">
        <v>0.2</v>
      </c>
      <c r="AN363" s="659" t="s">
        <v>64</v>
      </c>
      <c r="AO363" s="253" t="s">
        <v>34</v>
      </c>
      <c r="AP363" s="944" t="s">
        <v>1731</v>
      </c>
      <c r="AQ363" s="663" t="s">
        <v>659</v>
      </c>
      <c r="AR363" s="658">
        <v>4.0000000000000001E-3</v>
      </c>
      <c r="AS363" s="658">
        <v>4.0000000000000001E-3</v>
      </c>
      <c r="AT363" s="658" t="s">
        <v>1417</v>
      </c>
      <c r="AU363" s="658" t="s">
        <v>2751</v>
      </c>
      <c r="AX363"/>
      <c r="AY363"/>
      <c r="BA363"/>
      <c r="BB363"/>
      <c r="BC363"/>
      <c r="BD363"/>
      <c r="BE363"/>
      <c r="BF363"/>
      <c r="BG363"/>
      <c r="BH363"/>
      <c r="BI363"/>
      <c r="BJ363"/>
      <c r="BR363"/>
      <c r="BS363"/>
      <c r="BT363"/>
      <c r="BU363"/>
      <c r="BX363"/>
      <c r="BY363"/>
      <c r="CA363"/>
    </row>
    <row r="364" spans="2:79" ht="18.75">
      <c r="B364" s="252" t="s">
        <v>804</v>
      </c>
      <c r="C364" s="251">
        <v>33346541000125</v>
      </c>
      <c r="D364" s="252" t="s">
        <v>13</v>
      </c>
      <c r="E364" s="252" t="s">
        <v>615</v>
      </c>
      <c r="F364" s="252" t="s">
        <v>619</v>
      </c>
      <c r="G364" s="253" t="s">
        <v>34</v>
      </c>
      <c r="H364" s="253" t="s">
        <v>865</v>
      </c>
      <c r="I364" s="253" t="s">
        <v>34</v>
      </c>
      <c r="J364" s="253" t="s">
        <v>1417</v>
      </c>
      <c r="K364" s="253" t="s">
        <v>48</v>
      </c>
      <c r="L364" s="655"/>
      <c r="M364" s="655" t="s">
        <v>34</v>
      </c>
      <c r="N364" s="253" t="s">
        <v>2942</v>
      </c>
      <c r="O364" s="253" t="s">
        <v>1321</v>
      </c>
      <c r="P364" s="656">
        <v>43614</v>
      </c>
      <c r="Q364" s="657">
        <v>328.84484044999999</v>
      </c>
      <c r="R364" s="657">
        <v>237.61927997060494</v>
      </c>
      <c r="S364" s="253">
        <v>31</v>
      </c>
      <c r="T364" s="658">
        <v>9.7386236781591418E-3</v>
      </c>
      <c r="U364" s="659">
        <v>0.48697062917098888</v>
      </c>
      <c r="V364" s="658">
        <v>0.10992415591870364</v>
      </c>
      <c r="W364" s="659">
        <v>0.85249591384590639</v>
      </c>
      <c r="X364" s="658">
        <v>0.14761876977172017</v>
      </c>
      <c r="Y364" s="659">
        <v>0.764516512779572</v>
      </c>
      <c r="Z364" s="658">
        <v>0.23897068951685396</v>
      </c>
      <c r="AA364" s="659">
        <v>1.0790188616748271</v>
      </c>
      <c r="AB364" s="658">
        <v>5.0065214151062083E-2</v>
      </c>
      <c r="AC364" s="660">
        <v>-0.37989957399755236</v>
      </c>
      <c r="AD364" s="682">
        <v>31556580000121</v>
      </c>
      <c r="AE364" s="944" t="s">
        <v>1977</v>
      </c>
      <c r="AF364" s="661" t="s">
        <v>1783</v>
      </c>
      <c r="AG364" s="662" t="s">
        <v>736</v>
      </c>
      <c r="AH364" s="662" t="s">
        <v>1734</v>
      </c>
      <c r="AI364" s="662">
        <v>25000</v>
      </c>
      <c r="AJ364" s="662">
        <v>10000</v>
      </c>
      <c r="AK364" s="662">
        <v>25000</v>
      </c>
      <c r="AL364" s="658">
        <v>0</v>
      </c>
      <c r="AM364" s="658">
        <v>0</v>
      </c>
      <c r="AN364" s="659" t="s">
        <v>64</v>
      </c>
      <c r="AO364" s="253" t="s">
        <v>34</v>
      </c>
      <c r="AP364" s="944" t="s">
        <v>1746</v>
      </c>
      <c r="AQ364" s="663" t="s">
        <v>664</v>
      </c>
      <c r="AR364" s="658">
        <v>5.0666666666666698E-3</v>
      </c>
      <c r="AS364" s="658">
        <v>5.0666666666666698E-3</v>
      </c>
      <c r="AT364" s="658" t="s">
        <v>1417</v>
      </c>
      <c r="AU364" s="658" t="s">
        <v>2751</v>
      </c>
      <c r="AX364"/>
      <c r="AY364"/>
      <c r="BA364"/>
      <c r="BB364"/>
      <c r="BC364"/>
      <c r="BD364"/>
      <c r="BE364"/>
      <c r="BF364"/>
      <c r="BG364"/>
      <c r="BH364"/>
      <c r="BI364"/>
      <c r="BJ364"/>
      <c r="BR364"/>
      <c r="BS364"/>
      <c r="BT364"/>
      <c r="BU364"/>
      <c r="BX364"/>
      <c r="BY364"/>
      <c r="CA364"/>
    </row>
    <row r="365" spans="2:79" ht="18.75">
      <c r="B365" s="252" t="s">
        <v>805</v>
      </c>
      <c r="C365" s="251">
        <v>38068882000108</v>
      </c>
      <c r="D365" s="252" t="s">
        <v>14</v>
      </c>
      <c r="E365" s="252" t="s">
        <v>607</v>
      </c>
      <c r="F365" s="252" t="s">
        <v>1417</v>
      </c>
      <c r="G365" s="253" t="s">
        <v>1417</v>
      </c>
      <c r="H365" s="253" t="s">
        <v>34</v>
      </c>
      <c r="I365" s="253" t="s">
        <v>34</v>
      </c>
      <c r="J365" s="253" t="s">
        <v>611</v>
      </c>
      <c r="K365" s="253" t="s">
        <v>1417</v>
      </c>
      <c r="L365" s="655"/>
      <c r="M365" s="655" t="s">
        <v>34</v>
      </c>
      <c r="N365" s="253" t="s">
        <v>2943</v>
      </c>
      <c r="O365" s="253" t="s">
        <v>1321</v>
      </c>
      <c r="P365" s="656">
        <v>44104</v>
      </c>
      <c r="Q365" s="657">
        <v>9.5181314799999992</v>
      </c>
      <c r="R365" s="657">
        <v>10.077730395182193</v>
      </c>
      <c r="S365" s="253">
        <v>34</v>
      </c>
      <c r="T365" s="658">
        <v>-8.6252239607393921E-3</v>
      </c>
      <c r="U365" s="659">
        <v>-0.43129613359245289</v>
      </c>
      <c r="V365" s="658">
        <v>-0.10838192606414865</v>
      </c>
      <c r="W365" s="659">
        <v>-0.84053544311741935</v>
      </c>
      <c r="X365" s="658">
        <v>-0.19550101587791968</v>
      </c>
      <c r="Y365" s="659">
        <v>-1.0124983099031637</v>
      </c>
      <c r="Z365" s="658"/>
      <c r="AA365" s="659"/>
      <c r="AB365" s="658">
        <v>0.23257704823965328</v>
      </c>
      <c r="AC365" s="660">
        <v>-1.0204181251212305</v>
      </c>
      <c r="AD365" s="682">
        <v>38090006000170</v>
      </c>
      <c r="AE365" s="944" t="s">
        <v>2031</v>
      </c>
      <c r="AF365" s="661" t="s">
        <v>1767</v>
      </c>
      <c r="AG365" s="662" t="s">
        <v>1432</v>
      </c>
      <c r="AH365" s="662" t="s">
        <v>1730</v>
      </c>
      <c r="AI365" s="662">
        <v>1</v>
      </c>
      <c r="AJ365" s="662">
        <v>1000</v>
      </c>
      <c r="AK365" s="662">
        <v>1000</v>
      </c>
      <c r="AL365" s="658">
        <v>0</v>
      </c>
      <c r="AM365" s="658">
        <v>0</v>
      </c>
      <c r="AN365" s="659" t="s">
        <v>2127</v>
      </c>
      <c r="AO365" s="253" t="s">
        <v>34</v>
      </c>
      <c r="AP365" s="944" t="s">
        <v>1731</v>
      </c>
      <c r="AQ365" s="663" t="s">
        <v>687</v>
      </c>
      <c r="AR365" s="658">
        <v>4.7999999999999996E-3</v>
      </c>
      <c r="AS365" s="658">
        <v>4.7999999999999996E-3</v>
      </c>
      <c r="AT365" s="658" t="s">
        <v>1417</v>
      </c>
      <c r="AU365" s="658" t="s">
        <v>2751</v>
      </c>
      <c r="AX365"/>
      <c r="AY365"/>
      <c r="BA365"/>
      <c r="BB365"/>
      <c r="BC365"/>
      <c r="BD365"/>
      <c r="BE365"/>
      <c r="BF365"/>
      <c r="BG365"/>
      <c r="BH365"/>
      <c r="BI365"/>
      <c r="BJ365"/>
      <c r="BR365"/>
      <c r="BS365"/>
      <c r="BT365"/>
      <c r="BU365"/>
      <c r="BX365"/>
      <c r="BY365"/>
      <c r="CA365"/>
    </row>
    <row r="366" spans="2:79" ht="18.75">
      <c r="B366" s="252" t="s">
        <v>806</v>
      </c>
      <c r="C366" s="251">
        <v>12047839000164</v>
      </c>
      <c r="D366" s="252" t="s">
        <v>14</v>
      </c>
      <c r="E366" s="252" t="s">
        <v>607</v>
      </c>
      <c r="F366" s="252" t="s">
        <v>1417</v>
      </c>
      <c r="G366" s="253" t="s">
        <v>1417</v>
      </c>
      <c r="H366" s="253" t="s">
        <v>34</v>
      </c>
      <c r="I366" s="253" t="s">
        <v>34</v>
      </c>
      <c r="J366" s="253" t="s">
        <v>611</v>
      </c>
      <c r="K366" s="253" t="s">
        <v>1417</v>
      </c>
      <c r="L366" s="655"/>
      <c r="M366" s="655" t="s">
        <v>34</v>
      </c>
      <c r="N366" s="253" t="s">
        <v>2944</v>
      </c>
      <c r="O366" s="253" t="s">
        <v>1321</v>
      </c>
      <c r="P366" s="656">
        <v>40388</v>
      </c>
      <c r="Q366" s="657">
        <v>2.8052779999999999</v>
      </c>
      <c r="R366" s="657">
        <v>3.6174389718875508</v>
      </c>
      <c r="S366" s="253">
        <v>5</v>
      </c>
      <c r="T366" s="658">
        <v>5.6217069212490145E-2</v>
      </c>
      <c r="U366" s="659">
        <v>2.8110811619050216</v>
      </c>
      <c r="V366" s="658">
        <v>1.537193763860123E-2</v>
      </c>
      <c r="W366" s="659">
        <v>0.11921414283584143</v>
      </c>
      <c r="X366" s="658">
        <v>-6.6674460369607447E-2</v>
      </c>
      <c r="Y366" s="659">
        <v>-0.34530653528720345</v>
      </c>
      <c r="Z366" s="658">
        <v>0.37182188898680013</v>
      </c>
      <c r="AA366" s="659">
        <v>1.6788788290792676</v>
      </c>
      <c r="AB366" s="658">
        <v>0.27158721736179853</v>
      </c>
      <c r="AC366" s="660">
        <v>-0.41817863488358037</v>
      </c>
      <c r="AD366" s="682">
        <v>0</v>
      </c>
      <c r="AE366" s="944" t="s">
        <v>1752</v>
      </c>
      <c r="AF366" s="661" t="s">
        <v>1739</v>
      </c>
      <c r="AG366" s="662" t="s">
        <v>728</v>
      </c>
      <c r="AH366" s="662" t="s">
        <v>1801</v>
      </c>
      <c r="AI366" s="662">
        <v>25000</v>
      </c>
      <c r="AJ366" s="662">
        <v>5000</v>
      </c>
      <c r="AK366" s="662">
        <v>0</v>
      </c>
      <c r="AL366" s="658">
        <v>1.3000000000000001E-2</v>
      </c>
      <c r="AM366" s="658">
        <v>0</v>
      </c>
      <c r="AN366" s="659" t="s">
        <v>34</v>
      </c>
      <c r="AO366" s="253" t="s">
        <v>34</v>
      </c>
      <c r="AP366" s="944" t="s">
        <v>1731</v>
      </c>
      <c r="AQ366" s="663" t="s">
        <v>687</v>
      </c>
      <c r="AR366" s="658">
        <v>4.5500000000000002E-3</v>
      </c>
      <c r="AS366" s="658">
        <v>4.5500000000000002E-3</v>
      </c>
      <c r="AT366" s="658" t="s">
        <v>1417</v>
      </c>
      <c r="AU366" s="658" t="s">
        <v>2751</v>
      </c>
      <c r="AX366"/>
      <c r="AY366"/>
      <c r="BA366"/>
      <c r="BB366"/>
      <c r="BC366"/>
      <c r="BD366"/>
      <c r="BE366"/>
      <c r="BF366"/>
      <c r="BG366"/>
      <c r="BH366"/>
      <c r="BI366"/>
      <c r="BJ366"/>
      <c r="BR366"/>
      <c r="BS366"/>
      <c r="BT366"/>
      <c r="BU366"/>
      <c r="BX366"/>
      <c r="BY366"/>
      <c r="CA366"/>
    </row>
    <row r="367" spans="2:79" ht="18.75">
      <c r="B367" s="252" t="s">
        <v>126</v>
      </c>
      <c r="C367" s="251">
        <v>12239939000192</v>
      </c>
      <c r="D367" s="252" t="s">
        <v>14</v>
      </c>
      <c r="E367" s="252" t="s">
        <v>607</v>
      </c>
      <c r="F367" s="252" t="s">
        <v>1417</v>
      </c>
      <c r="G367" s="253" t="s">
        <v>1417</v>
      </c>
      <c r="H367" s="253" t="s">
        <v>34</v>
      </c>
      <c r="I367" s="253" t="s">
        <v>34</v>
      </c>
      <c r="J367" s="253" t="s">
        <v>608</v>
      </c>
      <c r="K367" s="253" t="s">
        <v>48</v>
      </c>
      <c r="L367" s="655"/>
      <c r="M367" s="655" t="s">
        <v>34</v>
      </c>
      <c r="N367" s="253" t="s">
        <v>2945</v>
      </c>
      <c r="O367" s="253" t="s">
        <v>1321</v>
      </c>
      <c r="P367" s="656">
        <v>40810</v>
      </c>
      <c r="Q367" s="657">
        <v>167.71776500000001</v>
      </c>
      <c r="R367" s="657">
        <v>195.17102438152608</v>
      </c>
      <c r="S367" s="253">
        <v>29</v>
      </c>
      <c r="T367" s="658">
        <v>-1.0743638608593842E-2</v>
      </c>
      <c r="U367" s="659">
        <v>-0.53722544639918013</v>
      </c>
      <c r="V367" s="658">
        <v>-6.31482938608533E-2</v>
      </c>
      <c r="W367" s="659">
        <v>-0.48973459957729049</v>
      </c>
      <c r="X367" s="658">
        <v>-7.0529603925715278E-2</v>
      </c>
      <c r="Y367" s="659">
        <v>-0.36527229514509946</v>
      </c>
      <c r="Z367" s="658">
        <v>-4.5979023061451074E-2</v>
      </c>
      <c r="AA367" s="659">
        <v>-0.20760802600935099</v>
      </c>
      <c r="AB367" s="658">
        <v>0.2136539246749721</v>
      </c>
      <c r="AC367" s="660">
        <v>-0.89908108919538032</v>
      </c>
      <c r="AD367" s="682">
        <v>12241282000106</v>
      </c>
      <c r="AE367" s="944" t="s">
        <v>1752</v>
      </c>
      <c r="AF367" s="661" t="s">
        <v>1739</v>
      </c>
      <c r="AG367" s="662" t="s">
        <v>728</v>
      </c>
      <c r="AH367" s="662" t="s">
        <v>1734</v>
      </c>
      <c r="AI367" s="662">
        <v>5000</v>
      </c>
      <c r="AJ367" s="662">
        <v>5000</v>
      </c>
      <c r="AK367" s="662">
        <v>1000</v>
      </c>
      <c r="AL367" s="658">
        <v>2.0199999999999999E-2</v>
      </c>
      <c r="AM367" s="658">
        <v>0.2</v>
      </c>
      <c r="AN367" s="659" t="s">
        <v>666</v>
      </c>
      <c r="AO367" s="253" t="s">
        <v>34</v>
      </c>
      <c r="AP367" s="944" t="s">
        <v>1731</v>
      </c>
      <c r="AQ367" s="663" t="s">
        <v>659</v>
      </c>
      <c r="AR367" s="658">
        <v>6.6E-3</v>
      </c>
      <c r="AS367" s="658">
        <v>6.6E-3</v>
      </c>
      <c r="AT367" s="658" t="s">
        <v>1417</v>
      </c>
      <c r="AU367" s="658" t="s">
        <v>2751</v>
      </c>
      <c r="AX367"/>
      <c r="AY367"/>
      <c r="BA367"/>
      <c r="BB367"/>
      <c r="BC367"/>
      <c r="BD367"/>
      <c r="BE367"/>
      <c r="BF367"/>
      <c r="BG367"/>
      <c r="BH367"/>
      <c r="BI367"/>
      <c r="BJ367"/>
      <c r="BR367"/>
      <c r="BS367"/>
      <c r="BT367"/>
      <c r="BU367"/>
      <c r="BX367"/>
      <c r="BY367"/>
      <c r="CA367"/>
    </row>
    <row r="368" spans="2:79" ht="18.75">
      <c r="B368" s="252" t="s">
        <v>807</v>
      </c>
      <c r="C368" s="251">
        <v>26845868000186</v>
      </c>
      <c r="D368" s="252" t="s">
        <v>13</v>
      </c>
      <c r="E368" s="252" t="s">
        <v>615</v>
      </c>
      <c r="F368" s="252" t="s">
        <v>619</v>
      </c>
      <c r="G368" s="253" t="s">
        <v>34</v>
      </c>
      <c r="H368" s="253" t="s">
        <v>1338</v>
      </c>
      <c r="I368" s="253" t="s">
        <v>34</v>
      </c>
      <c r="J368" s="253" t="s">
        <v>1417</v>
      </c>
      <c r="K368" s="253" t="s">
        <v>48</v>
      </c>
      <c r="L368" s="655"/>
      <c r="M368" s="655" t="s">
        <v>34</v>
      </c>
      <c r="N368" s="253" t="s">
        <v>2946</v>
      </c>
      <c r="O368" s="253" t="s">
        <v>1321</v>
      </c>
      <c r="P368" s="656">
        <v>43155</v>
      </c>
      <c r="Q368" s="657">
        <v>28.38207122</v>
      </c>
      <c r="R368" s="657">
        <v>47.321765214698793</v>
      </c>
      <c r="S368" s="253">
        <v>5</v>
      </c>
      <c r="T368" s="658">
        <v>2.7107265000779979E-2</v>
      </c>
      <c r="U368" s="659">
        <v>1.3554730451428416</v>
      </c>
      <c r="V368" s="658">
        <v>-1.1910737002954308E-2</v>
      </c>
      <c r="W368" s="659">
        <v>-9.2371458675755025E-2</v>
      </c>
      <c r="X368" s="658">
        <v>5.602401860771411E-2</v>
      </c>
      <c r="Y368" s="659">
        <v>0.29014797646737184</v>
      </c>
      <c r="Z368" s="658">
        <v>6.1492120890402235E-2</v>
      </c>
      <c r="AA368" s="659">
        <v>0.27765396007050103</v>
      </c>
      <c r="AB368" s="658">
        <v>7.6901145731820358E-2</v>
      </c>
      <c r="AC368" s="660">
        <v>-1.8316326123533873</v>
      </c>
      <c r="AD368" s="682">
        <v>0</v>
      </c>
      <c r="AE368" s="944" t="s">
        <v>1752</v>
      </c>
      <c r="AF368" s="661" t="s">
        <v>1739</v>
      </c>
      <c r="AG368" s="662" t="s">
        <v>728</v>
      </c>
      <c r="AH368" s="662" t="s">
        <v>1730</v>
      </c>
      <c r="AI368" s="662">
        <v>25000</v>
      </c>
      <c r="AJ368" s="662">
        <v>5000</v>
      </c>
      <c r="AK368" s="662">
        <v>5000</v>
      </c>
      <c r="AL368" s="658">
        <v>2.0000000000000001E-4</v>
      </c>
      <c r="AM368" s="658">
        <v>0</v>
      </c>
      <c r="AN368" s="659" t="s">
        <v>34</v>
      </c>
      <c r="AO368" s="253" t="s">
        <v>34</v>
      </c>
      <c r="AP368" s="944" t="s">
        <v>1746</v>
      </c>
      <c r="AQ368" s="663" t="s">
        <v>679</v>
      </c>
      <c r="AR368" s="658">
        <v>4.0400000000000002E-3</v>
      </c>
      <c r="AS368" s="658">
        <v>4.0400000000000002E-3</v>
      </c>
      <c r="AT368" s="658" t="s">
        <v>1417</v>
      </c>
      <c r="AU368" s="658" t="s">
        <v>2751</v>
      </c>
      <c r="AX368"/>
      <c r="AY368"/>
      <c r="BA368"/>
      <c r="BB368"/>
      <c r="BC368"/>
      <c r="BD368"/>
      <c r="BE368"/>
      <c r="BF368"/>
      <c r="BG368"/>
      <c r="BH368"/>
      <c r="BI368"/>
      <c r="BJ368"/>
      <c r="BR368"/>
      <c r="BS368"/>
      <c r="BT368"/>
      <c r="BU368"/>
      <c r="BX368"/>
      <c r="BY368"/>
      <c r="CA368"/>
    </row>
    <row r="369" spans="2:79" ht="18.75">
      <c r="B369" s="252" t="s">
        <v>808</v>
      </c>
      <c r="C369" s="251">
        <v>38443033000189</v>
      </c>
      <c r="D369" s="252" t="s">
        <v>11</v>
      </c>
      <c r="E369" s="252" t="s">
        <v>621</v>
      </c>
      <c r="F369" s="252" t="s">
        <v>692</v>
      </c>
      <c r="G369" s="253" t="s">
        <v>738</v>
      </c>
      <c r="H369" s="253" t="s">
        <v>34</v>
      </c>
      <c r="I369" s="253" t="s">
        <v>1417</v>
      </c>
      <c r="J369" s="253" t="s">
        <v>608</v>
      </c>
      <c r="K369" s="253" t="s">
        <v>48</v>
      </c>
      <c r="L369" s="655"/>
      <c r="M369" s="655" t="s">
        <v>1414</v>
      </c>
      <c r="N369" s="253" t="s">
        <v>2947</v>
      </c>
      <c r="O369" s="253" t="s">
        <v>1321</v>
      </c>
      <c r="P369" s="656">
        <v>44246</v>
      </c>
      <c r="Q369" s="657">
        <v>133.19291618</v>
      </c>
      <c r="R369" s="657">
        <v>300.76685455603229</v>
      </c>
      <c r="S369" s="253">
        <v>30</v>
      </c>
      <c r="T369" s="658">
        <v>1.1238736427817475E-2</v>
      </c>
      <c r="U369" s="659">
        <v>0.56198234270160419</v>
      </c>
      <c r="V369" s="658">
        <v>6.9115732022892562E-2</v>
      </c>
      <c r="W369" s="659">
        <v>0.53601393287532317</v>
      </c>
      <c r="X369" s="658">
        <v>0.1373336035622672</v>
      </c>
      <c r="Y369" s="659">
        <v>0.71124971333415588</v>
      </c>
      <c r="Z369" s="658"/>
      <c r="AA369" s="659"/>
      <c r="AB369" s="658">
        <v>3.7155564519770222E-2</v>
      </c>
      <c r="AC369" s="660">
        <v>-1.6102077359654063</v>
      </c>
      <c r="AD369" s="682">
        <v>25108905000100</v>
      </c>
      <c r="AE369" s="944" t="s">
        <v>1752</v>
      </c>
      <c r="AF369" s="661" t="s">
        <v>1739</v>
      </c>
      <c r="AG369" s="662" t="s">
        <v>728</v>
      </c>
      <c r="AH369" s="662" t="s">
        <v>1734</v>
      </c>
      <c r="AI369" s="662">
        <v>1000</v>
      </c>
      <c r="AJ369" s="662">
        <v>1000</v>
      </c>
      <c r="AK369" s="662">
        <v>1000</v>
      </c>
      <c r="AL369" s="658">
        <v>0.01</v>
      </c>
      <c r="AM369" s="658">
        <v>0</v>
      </c>
      <c r="AN369" s="659" t="s">
        <v>34</v>
      </c>
      <c r="AO369" s="253" t="s">
        <v>34</v>
      </c>
      <c r="AP369" s="944" t="s">
        <v>1735</v>
      </c>
      <c r="AQ369" s="663" t="s">
        <v>675</v>
      </c>
      <c r="AR369" s="658">
        <v>0</v>
      </c>
      <c r="AS369" s="658">
        <v>0</v>
      </c>
      <c r="AT369" s="658" t="s">
        <v>1417</v>
      </c>
      <c r="AU369" s="658" t="s">
        <v>2751</v>
      </c>
      <c r="AX369"/>
      <c r="AY369"/>
      <c r="BA369"/>
      <c r="BB369"/>
      <c r="BC369"/>
      <c r="BD369"/>
      <c r="BE369"/>
      <c r="BF369"/>
      <c r="BG369"/>
      <c r="BH369"/>
      <c r="BI369"/>
      <c r="BJ369"/>
      <c r="BR369"/>
      <c r="BS369"/>
      <c r="BT369"/>
      <c r="BU369"/>
      <c r="BX369"/>
      <c r="BY369"/>
      <c r="CA369"/>
    </row>
    <row r="370" spans="2:79" ht="18.75">
      <c r="B370" s="252" t="s">
        <v>809</v>
      </c>
      <c r="C370" s="251">
        <v>5104498000156</v>
      </c>
      <c r="D370" s="252" t="s">
        <v>11</v>
      </c>
      <c r="E370" s="252" t="s">
        <v>621</v>
      </c>
      <c r="F370" s="252" t="s">
        <v>672</v>
      </c>
      <c r="G370" s="253" t="s">
        <v>865</v>
      </c>
      <c r="H370" s="253" t="s">
        <v>34</v>
      </c>
      <c r="I370" s="253" t="s">
        <v>1417</v>
      </c>
      <c r="J370" s="253" t="s">
        <v>608</v>
      </c>
      <c r="K370" s="253" t="s">
        <v>48</v>
      </c>
      <c r="L370" s="655"/>
      <c r="M370" s="655" t="s">
        <v>1414</v>
      </c>
      <c r="N370" s="253" t="s">
        <v>2948</v>
      </c>
      <c r="O370" s="253" t="s">
        <v>1321</v>
      </c>
      <c r="P370" s="656">
        <v>37538</v>
      </c>
      <c r="Q370" s="657">
        <v>54.972436000000002</v>
      </c>
      <c r="R370" s="657">
        <v>85.358016389558188</v>
      </c>
      <c r="S370" s="253">
        <v>3</v>
      </c>
      <c r="T370" s="658">
        <v>1.4326325780217752E-2</v>
      </c>
      <c r="U370" s="659">
        <v>0.71637431627504267</v>
      </c>
      <c r="V370" s="658">
        <v>7.0301342756443619E-2</v>
      </c>
      <c r="W370" s="659">
        <v>0.54520871174186847</v>
      </c>
      <c r="X370" s="658">
        <v>6.4890908702976091E-2</v>
      </c>
      <c r="Y370" s="659">
        <v>0.33606953444615989</v>
      </c>
      <c r="Z370" s="658">
        <v>8.8941541575297434E-2</v>
      </c>
      <c r="AA370" s="659">
        <v>0.40159569836874603</v>
      </c>
      <c r="AB370" s="658">
        <v>5.7717379778251865E-2</v>
      </c>
      <c r="AC370" s="660">
        <v>-1.0160296069511021</v>
      </c>
      <c r="AD370" s="682">
        <v>14951623000154</v>
      </c>
      <c r="AE370" s="944" t="s">
        <v>1752</v>
      </c>
      <c r="AF370" s="661" t="s">
        <v>1739</v>
      </c>
      <c r="AG370" s="662" t="s">
        <v>728</v>
      </c>
      <c r="AH370" s="662" t="s">
        <v>1734</v>
      </c>
      <c r="AI370" s="662">
        <v>1000</v>
      </c>
      <c r="AJ370" s="662">
        <v>1000</v>
      </c>
      <c r="AK370" s="662">
        <v>1000</v>
      </c>
      <c r="AL370" s="658">
        <v>5.0000000000000001E-3</v>
      </c>
      <c r="AM370" s="658">
        <v>0</v>
      </c>
      <c r="AN370" s="659" t="s">
        <v>34</v>
      </c>
      <c r="AO370" s="253" t="s">
        <v>34</v>
      </c>
      <c r="AP370" s="944" t="s">
        <v>1735</v>
      </c>
      <c r="AQ370" s="663" t="s">
        <v>673</v>
      </c>
      <c r="AR370" s="658">
        <v>1.6000000000000001E-3</v>
      </c>
      <c r="AS370" s="658">
        <v>1.6000000000000001E-3</v>
      </c>
      <c r="AT370" s="658" t="s">
        <v>1417</v>
      </c>
      <c r="AU370" s="658" t="s">
        <v>2751</v>
      </c>
      <c r="AX370"/>
      <c r="AY370"/>
      <c r="BA370"/>
      <c r="BB370"/>
      <c r="BC370"/>
      <c r="BD370"/>
      <c r="BE370"/>
      <c r="BF370"/>
      <c r="BG370"/>
      <c r="BH370"/>
      <c r="BI370"/>
      <c r="BJ370"/>
      <c r="BR370"/>
      <c r="BS370"/>
      <c r="BT370"/>
      <c r="BU370"/>
      <c r="BX370"/>
      <c r="BY370"/>
      <c r="CA370"/>
    </row>
    <row r="371" spans="2:79" ht="18.75">
      <c r="B371" s="252" t="s">
        <v>1502</v>
      </c>
      <c r="C371" s="251">
        <v>25108905000100</v>
      </c>
      <c r="D371" s="252" t="s">
        <v>11</v>
      </c>
      <c r="E371" s="252" t="s">
        <v>621</v>
      </c>
      <c r="F371" s="252" t="s">
        <v>692</v>
      </c>
      <c r="G371" s="253" t="s">
        <v>738</v>
      </c>
      <c r="H371" s="253" t="s">
        <v>34</v>
      </c>
      <c r="I371" s="253" t="s">
        <v>1417</v>
      </c>
      <c r="J371" s="253" t="s">
        <v>608</v>
      </c>
      <c r="K371" s="253" t="s">
        <v>48</v>
      </c>
      <c r="L371" s="655"/>
      <c r="M371" s="655" t="s">
        <v>34</v>
      </c>
      <c r="N371" s="253" t="s">
        <v>2949</v>
      </c>
      <c r="O371" s="253" t="s">
        <v>1321</v>
      </c>
      <c r="P371" s="656">
        <v>42735</v>
      </c>
      <c r="Q371" s="657">
        <v>389.94618500000001</v>
      </c>
      <c r="R371" s="657">
        <v>489.52213064658622</v>
      </c>
      <c r="S371" s="253">
        <v>0</v>
      </c>
      <c r="T371" s="658">
        <v>1.274754653138177E-2</v>
      </c>
      <c r="U371" s="659">
        <v>0.63742895915522779</v>
      </c>
      <c r="V371" s="658">
        <v>7.9400040309178577E-2</v>
      </c>
      <c r="W371" s="659">
        <v>0.61577193253896811</v>
      </c>
      <c r="X371" s="658">
        <v>0.15950921037385246</v>
      </c>
      <c r="Y371" s="659">
        <v>0.82609701638769983</v>
      </c>
      <c r="Z371" s="658">
        <v>0.22589158733698245</v>
      </c>
      <c r="AA371" s="659">
        <v>1.0199630922229908</v>
      </c>
      <c r="AB371" s="658">
        <v>3.7031442367431902E-2</v>
      </c>
      <c r="AC371" s="660">
        <v>-1.3378865626142122</v>
      </c>
      <c r="AD371" s="682">
        <v>0</v>
      </c>
      <c r="AE371" s="944" t="s">
        <v>1752</v>
      </c>
      <c r="AF371" s="661" t="s">
        <v>1739</v>
      </c>
      <c r="AG371" s="662" t="s">
        <v>728</v>
      </c>
      <c r="AH371" s="662" t="s">
        <v>1734</v>
      </c>
      <c r="AI371" s="662">
        <v>1000</v>
      </c>
      <c r="AJ371" s="662">
        <v>1000</v>
      </c>
      <c r="AK371" s="662">
        <v>1000</v>
      </c>
      <c r="AL371" s="658">
        <v>2E-3</v>
      </c>
      <c r="AM371" s="658">
        <v>0</v>
      </c>
      <c r="AN371" s="659" t="s">
        <v>34</v>
      </c>
      <c r="AO371" s="253" t="s">
        <v>34</v>
      </c>
      <c r="AP371" s="944" t="s">
        <v>1735</v>
      </c>
      <c r="AQ371" s="663" t="s">
        <v>675</v>
      </c>
      <c r="AR371" s="658">
        <v>3.3E-3</v>
      </c>
      <c r="AS371" s="658">
        <v>3.3E-3</v>
      </c>
      <c r="AT371" s="658" t="s">
        <v>1417</v>
      </c>
      <c r="AU371" s="658" t="s">
        <v>2751</v>
      </c>
      <c r="AX371"/>
      <c r="AY371"/>
      <c r="BA371"/>
      <c r="BB371"/>
      <c r="BC371"/>
      <c r="BD371"/>
      <c r="BE371"/>
      <c r="BF371"/>
      <c r="BG371"/>
      <c r="BH371"/>
      <c r="BI371"/>
      <c r="BJ371"/>
      <c r="BR371"/>
      <c r="BS371"/>
      <c r="BT371"/>
      <c r="BU371"/>
      <c r="BX371"/>
      <c r="BY371"/>
      <c r="CA371"/>
    </row>
    <row r="372" spans="2:79" ht="18.75">
      <c r="B372" s="252" t="s">
        <v>810</v>
      </c>
      <c r="C372" s="251">
        <v>9636393000107</v>
      </c>
      <c r="D372" s="252" t="s">
        <v>11</v>
      </c>
      <c r="E372" s="252" t="s">
        <v>620</v>
      </c>
      <c r="F372" s="252" t="s">
        <v>672</v>
      </c>
      <c r="G372" s="253" t="s">
        <v>738</v>
      </c>
      <c r="H372" s="253" t="s">
        <v>34</v>
      </c>
      <c r="I372" s="253" t="s">
        <v>1417</v>
      </c>
      <c r="J372" s="253" t="s">
        <v>608</v>
      </c>
      <c r="K372" s="253" t="s">
        <v>48</v>
      </c>
      <c r="L372" s="655"/>
      <c r="M372" s="655" t="s">
        <v>34</v>
      </c>
      <c r="N372" s="253" t="s">
        <v>2950</v>
      </c>
      <c r="O372" s="253" t="s">
        <v>1321</v>
      </c>
      <c r="P372" s="656">
        <v>39708</v>
      </c>
      <c r="Q372" s="657">
        <v>6280.7574249999998</v>
      </c>
      <c r="R372" s="657">
        <v>2831.5384767489863</v>
      </c>
      <c r="S372" s="253">
        <v>0</v>
      </c>
      <c r="T372" s="658">
        <v>2.0124558120760305E-2</v>
      </c>
      <c r="U372" s="659">
        <v>1.006309418427723</v>
      </c>
      <c r="V372" s="658">
        <v>0.13581057889528414</v>
      </c>
      <c r="W372" s="659">
        <v>1.0532531507533474</v>
      </c>
      <c r="X372" s="658">
        <v>0.21240050675223832</v>
      </c>
      <c r="Y372" s="659">
        <v>1.1000206476855734</v>
      </c>
      <c r="Z372" s="658">
        <v>0.22669469939083542</v>
      </c>
      <c r="AA372" s="659">
        <v>1.0235893656203592</v>
      </c>
      <c r="AB372" s="658">
        <v>1.1547589736960085E-3</v>
      </c>
      <c r="AC372" s="660">
        <v>5.9464092550134593</v>
      </c>
      <c r="AD372" s="682">
        <v>0</v>
      </c>
      <c r="AE372" s="944" t="s">
        <v>1752</v>
      </c>
      <c r="AF372" s="661" t="s">
        <v>1739</v>
      </c>
      <c r="AG372" s="662" t="s">
        <v>728</v>
      </c>
      <c r="AH372" s="662" t="s">
        <v>1734</v>
      </c>
      <c r="AI372" s="662">
        <v>100</v>
      </c>
      <c r="AJ372" s="662">
        <v>100</v>
      </c>
      <c r="AK372" s="662">
        <v>100</v>
      </c>
      <c r="AL372" s="658">
        <v>3.4999999999999996E-3</v>
      </c>
      <c r="AM372" s="658">
        <v>0</v>
      </c>
      <c r="AN372" s="659" t="s">
        <v>64</v>
      </c>
      <c r="AO372" s="253" t="s">
        <v>34</v>
      </c>
      <c r="AP372" s="944" t="s">
        <v>1735</v>
      </c>
      <c r="AQ372" s="663" t="s">
        <v>662</v>
      </c>
      <c r="AR372" s="658">
        <v>1.16666666666667E-3</v>
      </c>
      <c r="AS372" s="658">
        <v>1.16666666666667E-3</v>
      </c>
      <c r="AT372" s="658" t="s">
        <v>1417</v>
      </c>
      <c r="AU372" s="658" t="s">
        <v>2751</v>
      </c>
      <c r="AX372"/>
      <c r="AY372"/>
      <c r="BA372"/>
      <c r="BB372"/>
      <c r="BC372"/>
      <c r="BD372"/>
      <c r="BE372"/>
      <c r="BF372"/>
      <c r="BG372"/>
      <c r="BH372"/>
      <c r="BI372"/>
      <c r="BJ372"/>
      <c r="BR372"/>
      <c r="BS372"/>
      <c r="BT372"/>
      <c r="BU372"/>
      <c r="BX372"/>
      <c r="BY372"/>
      <c r="CA372"/>
    </row>
    <row r="373" spans="2:79" ht="18.75">
      <c r="B373" s="252" t="s">
        <v>127</v>
      </c>
      <c r="C373" s="251">
        <v>30282227000138</v>
      </c>
      <c r="D373" s="252" t="s">
        <v>14</v>
      </c>
      <c r="E373" s="252" t="s">
        <v>607</v>
      </c>
      <c r="F373" s="252" t="s">
        <v>1417</v>
      </c>
      <c r="G373" s="253" t="s">
        <v>1417</v>
      </c>
      <c r="H373" s="253" t="s">
        <v>34</v>
      </c>
      <c r="I373" s="253" t="s">
        <v>34</v>
      </c>
      <c r="J373" s="253" t="s">
        <v>608</v>
      </c>
      <c r="K373" s="253" t="s">
        <v>48</v>
      </c>
      <c r="L373" s="655"/>
      <c r="M373" s="655" t="s">
        <v>1414</v>
      </c>
      <c r="N373" s="253" t="s">
        <v>2951</v>
      </c>
      <c r="O373" s="253" t="s">
        <v>1321</v>
      </c>
      <c r="P373" s="656">
        <v>43406</v>
      </c>
      <c r="Q373" s="657">
        <v>70.166862649999999</v>
      </c>
      <c r="R373" s="657">
        <v>144.74980610538154</v>
      </c>
      <c r="S373" s="253">
        <v>32</v>
      </c>
      <c r="T373" s="658">
        <v>-2.5816400538922424E-2</v>
      </c>
      <c r="U373" s="659">
        <v>-1.2909245935402771</v>
      </c>
      <c r="V373" s="658">
        <v>-6.0369833245984106E-2</v>
      </c>
      <c r="W373" s="659">
        <v>-0.46818677597872194</v>
      </c>
      <c r="X373" s="658">
        <v>-0.16319288165125212</v>
      </c>
      <c r="Y373" s="659">
        <v>-0.84517472258711412</v>
      </c>
      <c r="Z373" s="658">
        <v>-0.14294847229387508</v>
      </c>
      <c r="AA373" s="659">
        <v>-0.64545195130222954</v>
      </c>
      <c r="AB373" s="658">
        <v>0.19600487524620902</v>
      </c>
      <c r="AC373" s="660">
        <v>-0.96586241773307124</v>
      </c>
      <c r="AD373" s="682">
        <v>0</v>
      </c>
      <c r="AE373" s="944" t="s">
        <v>1752</v>
      </c>
      <c r="AF373" s="661" t="s">
        <v>1739</v>
      </c>
      <c r="AG373" s="662" t="s">
        <v>728</v>
      </c>
      <c r="AH373" s="662" t="s">
        <v>1734</v>
      </c>
      <c r="AI373" s="662">
        <v>1000</v>
      </c>
      <c r="AJ373" s="662">
        <v>1000</v>
      </c>
      <c r="AK373" s="662">
        <v>1000</v>
      </c>
      <c r="AL373" s="658">
        <v>0.04</v>
      </c>
      <c r="AM373" s="658">
        <v>0.1</v>
      </c>
      <c r="AN373" s="659" t="s">
        <v>666</v>
      </c>
      <c r="AO373" s="253" t="s">
        <v>34</v>
      </c>
      <c r="AP373" s="944" t="s">
        <v>1731</v>
      </c>
      <c r="AQ373" s="663" t="s">
        <v>659</v>
      </c>
      <c r="AR373" s="658">
        <v>3.3333333333333301E-3</v>
      </c>
      <c r="AS373" s="658">
        <v>3.3333333333333301E-3</v>
      </c>
      <c r="AT373" s="658" t="s">
        <v>1417</v>
      </c>
      <c r="AU373" s="658" t="s">
        <v>2751</v>
      </c>
      <c r="AX373"/>
      <c r="AY373"/>
      <c r="BA373"/>
      <c r="BB373"/>
      <c r="BC373"/>
      <c r="BD373"/>
      <c r="BE373"/>
      <c r="BF373"/>
      <c r="BG373"/>
      <c r="BH373"/>
      <c r="BI373"/>
      <c r="BJ373"/>
      <c r="BR373"/>
      <c r="BS373"/>
      <c r="BT373"/>
      <c r="BU373"/>
      <c r="BX373"/>
      <c r="BY373"/>
      <c r="CA373"/>
    </row>
    <row r="374" spans="2:79" ht="18.75">
      <c r="B374" s="252" t="s">
        <v>128</v>
      </c>
      <c r="C374" s="251">
        <v>7965741000156</v>
      </c>
      <c r="D374" s="252" t="s">
        <v>13</v>
      </c>
      <c r="E374" s="252" t="s">
        <v>615</v>
      </c>
      <c r="F374" s="252" t="s">
        <v>619</v>
      </c>
      <c r="G374" s="253" t="s">
        <v>34</v>
      </c>
      <c r="H374" s="253" t="s">
        <v>1337</v>
      </c>
      <c r="I374" s="253" t="s">
        <v>34</v>
      </c>
      <c r="J374" s="253" t="s">
        <v>1417</v>
      </c>
      <c r="K374" s="253" t="s">
        <v>48</v>
      </c>
      <c r="L374" s="655"/>
      <c r="M374" s="655" t="s">
        <v>1414</v>
      </c>
      <c r="N374" s="253" t="s">
        <v>2952</v>
      </c>
      <c r="O374" s="253" t="s">
        <v>1321</v>
      </c>
      <c r="P374" s="656">
        <v>38941</v>
      </c>
      <c r="Q374" s="657">
        <v>116.572529</v>
      </c>
      <c r="R374" s="657">
        <v>133.42982667479669</v>
      </c>
      <c r="S374" s="253">
        <v>30</v>
      </c>
      <c r="T374" s="658">
        <v>9.308011797809268E-3</v>
      </c>
      <c r="U374" s="659">
        <v>0.46543829100571349</v>
      </c>
      <c r="V374" s="658">
        <v>0.13087891510078697</v>
      </c>
      <c r="W374" s="659">
        <v>1.0150065688429988</v>
      </c>
      <c r="X374" s="658">
        <v>0.19279412515951422</v>
      </c>
      <c r="Y374" s="659">
        <v>0.99847934296751584</v>
      </c>
      <c r="Z374" s="658">
        <v>0.25307698826962732</v>
      </c>
      <c r="AA374" s="659">
        <v>1.1427127082023487</v>
      </c>
      <c r="AB374" s="658">
        <v>0.22509999178150852</v>
      </c>
      <c r="AC374" s="660">
        <v>8.5962049073587711E-3</v>
      </c>
      <c r="AD374" s="682">
        <v>0</v>
      </c>
      <c r="AE374" s="944" t="s">
        <v>1752</v>
      </c>
      <c r="AF374" s="661" t="s">
        <v>1739</v>
      </c>
      <c r="AG374" s="662" t="s">
        <v>728</v>
      </c>
      <c r="AH374" s="662" t="s">
        <v>1730</v>
      </c>
      <c r="AI374" s="662">
        <v>5000</v>
      </c>
      <c r="AJ374" s="662">
        <v>5000</v>
      </c>
      <c r="AK374" s="662">
        <v>0</v>
      </c>
      <c r="AL374" s="658">
        <v>6.9999999999999993E-3</v>
      </c>
      <c r="AM374" s="658">
        <v>0.2</v>
      </c>
      <c r="AN374" s="659" t="s">
        <v>64</v>
      </c>
      <c r="AO374" s="253" t="s">
        <v>34</v>
      </c>
      <c r="AP374" s="944" t="s">
        <v>1746</v>
      </c>
      <c r="AQ374" s="663" t="s">
        <v>668</v>
      </c>
      <c r="AR374" s="658">
        <v>1.8666666666666699E-3</v>
      </c>
      <c r="AS374" s="658">
        <v>1.8666666666666699E-3</v>
      </c>
      <c r="AT374" s="658" t="s">
        <v>1417</v>
      </c>
      <c r="AU374" s="658" t="s">
        <v>2751</v>
      </c>
      <c r="AX374"/>
      <c r="AY374"/>
      <c r="BA374"/>
      <c r="BB374"/>
      <c r="BC374"/>
      <c r="BD374"/>
      <c r="BE374"/>
      <c r="BF374"/>
      <c r="BG374"/>
      <c r="BH374"/>
      <c r="BI374"/>
      <c r="BJ374"/>
      <c r="BR374"/>
      <c r="BS374"/>
      <c r="BT374"/>
      <c r="BU374"/>
      <c r="BX374"/>
      <c r="BY374"/>
      <c r="CA374"/>
    </row>
    <row r="375" spans="2:79" ht="18.75">
      <c r="B375" s="252" t="s">
        <v>811</v>
      </c>
      <c r="C375" s="251">
        <v>2539921000152</v>
      </c>
      <c r="D375" s="252" t="s">
        <v>11</v>
      </c>
      <c r="E375" s="252" t="s">
        <v>620</v>
      </c>
      <c r="F375" s="252" t="s">
        <v>663</v>
      </c>
      <c r="G375" s="253" t="s">
        <v>738</v>
      </c>
      <c r="H375" s="253" t="s">
        <v>34</v>
      </c>
      <c r="I375" s="253" t="s">
        <v>1304</v>
      </c>
      <c r="J375" s="253" t="s">
        <v>608</v>
      </c>
      <c r="K375" s="253" t="s">
        <v>48</v>
      </c>
      <c r="L375" s="655"/>
      <c r="M375" s="655" t="s">
        <v>34</v>
      </c>
      <c r="N375" s="253" t="s">
        <v>2953</v>
      </c>
      <c r="O375" s="253" t="s">
        <v>1321</v>
      </c>
      <c r="P375" s="656">
        <v>35973</v>
      </c>
      <c r="Q375" s="657">
        <v>223.483395</v>
      </c>
      <c r="R375" s="657">
        <v>206.77996569477904</v>
      </c>
      <c r="S375" s="253">
        <v>1</v>
      </c>
      <c r="T375" s="658">
        <v>1.9942354510028348E-2</v>
      </c>
      <c r="U375" s="659">
        <v>0.99719849989471132</v>
      </c>
      <c r="V375" s="658">
        <v>0.12751216431960377</v>
      </c>
      <c r="W375" s="659">
        <v>0.98889637259078589</v>
      </c>
      <c r="X375" s="658">
        <v>0.18749464255927251</v>
      </c>
      <c r="Y375" s="659">
        <v>0.97103336192229939</v>
      </c>
      <c r="Z375" s="658">
        <v>0.21808392956833278</v>
      </c>
      <c r="AA375" s="659">
        <v>0.98470935455789166</v>
      </c>
      <c r="AB375" s="658">
        <v>7.6848581616284625E-3</v>
      </c>
      <c r="AC375" s="660">
        <v>-0.18630729378109773</v>
      </c>
      <c r="AD375" s="682">
        <v>0</v>
      </c>
      <c r="AE375" s="944" t="s">
        <v>1752</v>
      </c>
      <c r="AF375" s="661" t="s">
        <v>1739</v>
      </c>
      <c r="AG375" s="662" t="s">
        <v>728</v>
      </c>
      <c r="AH375" s="662" t="s">
        <v>1734</v>
      </c>
      <c r="AI375" s="662">
        <v>300</v>
      </c>
      <c r="AJ375" s="662">
        <v>100</v>
      </c>
      <c r="AK375" s="662">
        <v>100</v>
      </c>
      <c r="AL375" s="658">
        <v>5.1999999999999998E-3</v>
      </c>
      <c r="AM375" s="658">
        <v>0</v>
      </c>
      <c r="AN375" s="659" t="s">
        <v>34</v>
      </c>
      <c r="AO375" s="253" t="s">
        <v>34</v>
      </c>
      <c r="AP375" s="944" t="s">
        <v>1735</v>
      </c>
      <c r="AQ375" s="663" t="s">
        <v>662</v>
      </c>
      <c r="AR375" s="658">
        <v>1.6639999999999999E-3</v>
      </c>
      <c r="AS375" s="658">
        <v>1.6639999999999999E-3</v>
      </c>
      <c r="AT375" s="658" t="s">
        <v>1417</v>
      </c>
      <c r="AU375" s="658" t="s">
        <v>2751</v>
      </c>
      <c r="AX375"/>
      <c r="AY375"/>
      <c r="BA375"/>
      <c r="BB375"/>
      <c r="BC375"/>
      <c r="BD375"/>
      <c r="BE375"/>
      <c r="BF375"/>
      <c r="BG375"/>
      <c r="BH375"/>
      <c r="BI375"/>
      <c r="BJ375"/>
      <c r="BR375"/>
      <c r="BS375"/>
      <c r="BT375"/>
      <c r="BU375"/>
      <c r="BX375"/>
      <c r="BY375"/>
      <c r="CA375"/>
    </row>
    <row r="376" spans="2:79" ht="18.75">
      <c r="B376" s="252" t="s">
        <v>812</v>
      </c>
      <c r="C376" s="251">
        <v>21185984000100</v>
      </c>
      <c r="D376" s="252" t="s">
        <v>11</v>
      </c>
      <c r="E376" s="252" t="s">
        <v>620</v>
      </c>
      <c r="F376" s="252" t="s">
        <v>663</v>
      </c>
      <c r="G376" s="253" t="s">
        <v>738</v>
      </c>
      <c r="H376" s="253" t="s">
        <v>34</v>
      </c>
      <c r="I376" s="253" t="s">
        <v>1417</v>
      </c>
      <c r="J376" s="253" t="s">
        <v>608</v>
      </c>
      <c r="K376" s="253" t="s">
        <v>48</v>
      </c>
      <c r="L376" s="655"/>
      <c r="M376" s="655" t="s">
        <v>1414</v>
      </c>
      <c r="N376" s="253" t="s">
        <v>2954</v>
      </c>
      <c r="O376" s="253" t="s">
        <v>1321</v>
      </c>
      <c r="P376" s="656">
        <v>42005</v>
      </c>
      <c r="Q376" s="657">
        <v>705.92643299999997</v>
      </c>
      <c r="R376" s="657">
        <v>628.37309966265093</v>
      </c>
      <c r="S376" s="253">
        <v>10</v>
      </c>
      <c r="T376" s="658">
        <v>1.8928667470924809E-2</v>
      </c>
      <c r="U376" s="659">
        <v>0.94651004210762102</v>
      </c>
      <c r="V376" s="658">
        <v>0.13901527126074864</v>
      </c>
      <c r="W376" s="659">
        <v>1.0781065337414519</v>
      </c>
      <c r="X376" s="658">
        <v>0.2268187359916205</v>
      </c>
      <c r="Y376" s="659">
        <v>1.1746925498806331</v>
      </c>
      <c r="Z376" s="658">
        <v>0.23697124453358942</v>
      </c>
      <c r="AA376" s="659">
        <v>1.0699908136987952</v>
      </c>
      <c r="AB376" s="658">
        <v>6.8515167880017188E-3</v>
      </c>
      <c r="AC376" s="660">
        <v>1.4699463090562834</v>
      </c>
      <c r="AD376" s="682">
        <v>17137984000150</v>
      </c>
      <c r="AE376" s="944" t="s">
        <v>1752</v>
      </c>
      <c r="AF376" s="661" t="s">
        <v>1739</v>
      </c>
      <c r="AG376" s="662" t="s">
        <v>728</v>
      </c>
      <c r="AH376" s="662" t="s">
        <v>1734</v>
      </c>
      <c r="AI376" s="662">
        <v>5000</v>
      </c>
      <c r="AJ376" s="662">
        <v>5000</v>
      </c>
      <c r="AK376" s="662">
        <v>5000</v>
      </c>
      <c r="AL376" s="658">
        <v>4.0000000000000001E-3</v>
      </c>
      <c r="AM376" s="658">
        <v>0</v>
      </c>
      <c r="AN376" s="659" t="s">
        <v>34</v>
      </c>
      <c r="AO376" s="253" t="s">
        <v>34</v>
      </c>
      <c r="AP376" s="944" t="s">
        <v>1735</v>
      </c>
      <c r="AQ376" s="663" t="s">
        <v>677</v>
      </c>
      <c r="AR376" s="658">
        <v>1.2800000000000001E-3</v>
      </c>
      <c r="AS376" s="658">
        <v>1.2800000000000001E-3</v>
      </c>
      <c r="AT376" s="658" t="s">
        <v>1417</v>
      </c>
      <c r="AU376" s="658" t="s">
        <v>2751</v>
      </c>
      <c r="AX376"/>
      <c r="AY376"/>
      <c r="BA376"/>
      <c r="BB376"/>
      <c r="BC376"/>
      <c r="BD376"/>
      <c r="BE376"/>
      <c r="BF376"/>
      <c r="BG376"/>
      <c r="BH376"/>
      <c r="BI376"/>
      <c r="BJ376"/>
      <c r="BR376"/>
      <c r="BS376"/>
      <c r="BT376"/>
      <c r="BU376"/>
      <c r="BX376"/>
      <c r="BY376"/>
      <c r="CA376"/>
    </row>
    <row r="377" spans="2:79" ht="18.75">
      <c r="B377" s="252" t="s">
        <v>129</v>
      </c>
      <c r="C377" s="251">
        <v>11108013000103</v>
      </c>
      <c r="D377" s="252" t="s">
        <v>14</v>
      </c>
      <c r="E377" s="252" t="s">
        <v>607</v>
      </c>
      <c r="F377" s="252" t="s">
        <v>1417</v>
      </c>
      <c r="G377" s="253" t="s">
        <v>1417</v>
      </c>
      <c r="H377" s="253" t="s">
        <v>34</v>
      </c>
      <c r="I377" s="253" t="s">
        <v>34</v>
      </c>
      <c r="J377" s="253" t="s">
        <v>608</v>
      </c>
      <c r="K377" s="253" t="s">
        <v>48</v>
      </c>
      <c r="L377" s="655"/>
      <c r="M377" s="655" t="s">
        <v>34</v>
      </c>
      <c r="N377" s="253" t="s">
        <v>2955</v>
      </c>
      <c r="O377" s="253" t="s">
        <v>1321</v>
      </c>
      <c r="P377" s="656">
        <v>40117</v>
      </c>
      <c r="Q377" s="657">
        <v>248.914367</v>
      </c>
      <c r="R377" s="657">
        <v>327.08513499196789</v>
      </c>
      <c r="S377" s="253">
        <v>7</v>
      </c>
      <c r="T377" s="658">
        <v>-2.4046472464940294E-2</v>
      </c>
      <c r="U377" s="659">
        <v>-1.2024210209350981</v>
      </c>
      <c r="V377" s="658">
        <v>-0.16033819078971279</v>
      </c>
      <c r="W377" s="659">
        <v>-1.2434723863858028</v>
      </c>
      <c r="X377" s="658">
        <v>-0.24419880988637743</v>
      </c>
      <c r="Y377" s="659">
        <v>-1.2647038235582191</v>
      </c>
      <c r="Z377" s="658">
        <v>-0.2429860569046467</v>
      </c>
      <c r="AA377" s="659">
        <v>-1.0971493577483917</v>
      </c>
      <c r="AB377" s="658">
        <v>0.26146087281586394</v>
      </c>
      <c r="AC377" s="660">
        <v>-1.1064068482637957</v>
      </c>
      <c r="AD377" s="682">
        <v>0</v>
      </c>
      <c r="AE377" s="944" t="s">
        <v>1752</v>
      </c>
      <c r="AF377" s="661" t="s">
        <v>1739</v>
      </c>
      <c r="AG377" s="662" t="s">
        <v>728</v>
      </c>
      <c r="AH377" s="662" t="s">
        <v>1734</v>
      </c>
      <c r="AI377" s="662">
        <v>5000</v>
      </c>
      <c r="AJ377" s="662">
        <v>1000</v>
      </c>
      <c r="AK377" s="662">
        <v>1000</v>
      </c>
      <c r="AL377" s="658">
        <v>0.02</v>
      </c>
      <c r="AM377" s="658">
        <v>0.2</v>
      </c>
      <c r="AN377" s="659" t="s">
        <v>2122</v>
      </c>
      <c r="AO377" s="253" t="s">
        <v>34</v>
      </c>
      <c r="AP377" s="944" t="s">
        <v>1731</v>
      </c>
      <c r="AQ377" s="663" t="s">
        <v>681</v>
      </c>
      <c r="AR377" s="658">
        <v>6.6E-3</v>
      </c>
      <c r="AS377" s="658">
        <v>6.6E-3</v>
      </c>
      <c r="AT377" s="658" t="s">
        <v>1417</v>
      </c>
      <c r="AU377" s="658" t="s">
        <v>2751</v>
      </c>
      <c r="AX377"/>
      <c r="AY377"/>
      <c r="BA377"/>
      <c r="BB377"/>
      <c r="BC377"/>
      <c r="BD377"/>
      <c r="BE377"/>
      <c r="BF377"/>
      <c r="BG377"/>
      <c r="BH377"/>
      <c r="BI377"/>
      <c r="BJ377"/>
      <c r="BR377"/>
      <c r="BS377"/>
      <c r="BT377"/>
      <c r="BU377"/>
      <c r="BX377"/>
      <c r="BY377"/>
      <c r="CA377"/>
    </row>
    <row r="378" spans="2:79" ht="18.75">
      <c r="B378" s="252" t="s">
        <v>474</v>
      </c>
      <c r="C378" s="251">
        <v>9636619000161</v>
      </c>
      <c r="D378" s="252" t="s">
        <v>11</v>
      </c>
      <c r="E378" s="252" t="s">
        <v>620</v>
      </c>
      <c r="F378" s="252" t="s">
        <v>663</v>
      </c>
      <c r="G378" s="253" t="s">
        <v>738</v>
      </c>
      <c r="H378" s="253" t="s">
        <v>34</v>
      </c>
      <c r="I378" s="253" t="s">
        <v>1304</v>
      </c>
      <c r="J378" s="253" t="s">
        <v>608</v>
      </c>
      <c r="K378" s="253" t="s">
        <v>48</v>
      </c>
      <c r="L378" s="655"/>
      <c r="M378" s="655" t="s">
        <v>1414</v>
      </c>
      <c r="N378" s="253" t="s">
        <v>2956</v>
      </c>
      <c r="O378" s="253" t="s">
        <v>1321</v>
      </c>
      <c r="P378" s="656">
        <v>39733</v>
      </c>
      <c r="Q378" s="657">
        <v>735.073712</v>
      </c>
      <c r="R378" s="657">
        <v>648.63684241532201</v>
      </c>
      <c r="S378" s="253">
        <v>0</v>
      </c>
      <c r="T378" s="658">
        <v>1.9467008273708508E-2</v>
      </c>
      <c r="U378" s="659">
        <v>0.97342926273917008</v>
      </c>
      <c r="V378" s="658">
        <v>0.12684357903546872</v>
      </c>
      <c r="W378" s="659">
        <v>0.98371128640095729</v>
      </c>
      <c r="X378" s="658">
        <v>0.19035087997175415</v>
      </c>
      <c r="Y378" s="659">
        <v>0.98582579427787198</v>
      </c>
      <c r="Z378" s="658">
        <v>0.21242155382711481</v>
      </c>
      <c r="AA378" s="659">
        <v>0.95914215952231285</v>
      </c>
      <c r="AB378" s="658">
        <v>2.3334157854162218E-3</v>
      </c>
      <c r="AC378" s="660">
        <v>-0.90010979802512281</v>
      </c>
      <c r="AD378" s="682">
        <v>14167491000174</v>
      </c>
      <c r="AE378" s="944" t="s">
        <v>1752</v>
      </c>
      <c r="AF378" s="661" t="s">
        <v>1739</v>
      </c>
      <c r="AG378" s="662" t="s">
        <v>728</v>
      </c>
      <c r="AH378" s="662" t="s">
        <v>1734</v>
      </c>
      <c r="AI378" s="662">
        <v>300</v>
      </c>
      <c r="AJ378" s="662">
        <v>100</v>
      </c>
      <c r="AK378" s="662">
        <v>0</v>
      </c>
      <c r="AL378" s="658">
        <v>2.2000000000000001E-3</v>
      </c>
      <c r="AM378" s="658">
        <v>0</v>
      </c>
      <c r="AN378" s="659" t="s">
        <v>64</v>
      </c>
      <c r="AO378" s="253" t="s">
        <v>34</v>
      </c>
      <c r="AP378" s="944" t="s">
        <v>1735</v>
      </c>
      <c r="AQ378" s="663" t="s">
        <v>684</v>
      </c>
      <c r="AR378" s="658">
        <v>5.8666666666666698E-4</v>
      </c>
      <c r="AS378" s="658">
        <v>5.8666666666666698E-4</v>
      </c>
      <c r="AT378" s="658" t="s">
        <v>1417</v>
      </c>
      <c r="AU378" s="658" t="s">
        <v>2751</v>
      </c>
      <c r="AX378"/>
      <c r="AY378"/>
      <c r="BA378"/>
      <c r="BB378"/>
      <c r="BC378"/>
      <c r="BD378"/>
      <c r="BE378"/>
      <c r="BF378"/>
      <c r="BG378"/>
      <c r="BH378"/>
      <c r="BI378"/>
      <c r="BJ378"/>
      <c r="BR378"/>
      <c r="BS378"/>
      <c r="BT378"/>
      <c r="BU378"/>
      <c r="BX378"/>
      <c r="BY378"/>
      <c r="CA378"/>
    </row>
    <row r="379" spans="2:79" ht="18.75">
      <c r="B379" s="252" t="s">
        <v>813</v>
      </c>
      <c r="C379" s="251">
        <v>5862906000139</v>
      </c>
      <c r="D379" s="252" t="s">
        <v>11</v>
      </c>
      <c r="E379" s="252" t="s">
        <v>620</v>
      </c>
      <c r="F379" s="252" t="s">
        <v>663</v>
      </c>
      <c r="G379" s="253" t="s">
        <v>738</v>
      </c>
      <c r="H379" s="253" t="s">
        <v>34</v>
      </c>
      <c r="I379" s="253" t="s">
        <v>1417</v>
      </c>
      <c r="J379" s="253" t="s">
        <v>608</v>
      </c>
      <c r="K379" s="253" t="s">
        <v>48</v>
      </c>
      <c r="L379" s="655"/>
      <c r="M379" s="655" t="s">
        <v>34</v>
      </c>
      <c r="N379" s="253" t="s">
        <v>2957</v>
      </c>
      <c r="O379" s="253" t="s">
        <v>1321</v>
      </c>
      <c r="P379" s="656">
        <v>38504</v>
      </c>
      <c r="Q379" s="657">
        <v>338.23422799999997</v>
      </c>
      <c r="R379" s="657">
        <v>417.93618465725797</v>
      </c>
      <c r="S379" s="253">
        <v>1</v>
      </c>
      <c r="T379" s="658">
        <v>1.9383142572582779E-2</v>
      </c>
      <c r="U379" s="659">
        <v>0.9692356379937499</v>
      </c>
      <c r="V379" s="658">
        <v>0.13563373242886012</v>
      </c>
      <c r="W379" s="659">
        <v>1.0518816515706193</v>
      </c>
      <c r="X379" s="658">
        <v>0.21258423494370882</v>
      </c>
      <c r="Y379" s="659">
        <v>1.1009721746252676</v>
      </c>
      <c r="Z379" s="658">
        <v>0.2330540022461447</v>
      </c>
      <c r="AA379" s="659">
        <v>1.0523033796354433</v>
      </c>
      <c r="AB379" s="658">
        <v>2.8039542675180563E-3</v>
      </c>
      <c r="AC379" s="660">
        <v>2.3858531002338075</v>
      </c>
      <c r="AD379" s="682">
        <v>0</v>
      </c>
      <c r="AE379" s="944" t="s">
        <v>1752</v>
      </c>
      <c r="AF379" s="661" t="s">
        <v>1739</v>
      </c>
      <c r="AG379" s="662" t="s">
        <v>728</v>
      </c>
      <c r="AH379" s="662" t="s">
        <v>1734</v>
      </c>
      <c r="AI379" s="662">
        <v>5000</v>
      </c>
      <c r="AJ379" s="662">
        <v>200</v>
      </c>
      <c r="AK379" s="662">
        <v>0</v>
      </c>
      <c r="AL379" s="658">
        <v>3.4000000000000002E-3</v>
      </c>
      <c r="AM379" s="658">
        <v>0</v>
      </c>
      <c r="AN379" s="659" t="s">
        <v>34</v>
      </c>
      <c r="AO379" s="253" t="s">
        <v>34</v>
      </c>
      <c r="AP379" s="944" t="s">
        <v>1735</v>
      </c>
      <c r="AQ379" s="663" t="s">
        <v>662</v>
      </c>
      <c r="AR379" s="658">
        <v>1.088E-3</v>
      </c>
      <c r="AS379" s="658">
        <v>1.088E-3</v>
      </c>
      <c r="AT379" s="658" t="s">
        <v>1417</v>
      </c>
      <c r="AU379" s="658" t="s">
        <v>2751</v>
      </c>
      <c r="AX379"/>
      <c r="AY379"/>
      <c r="BA379"/>
      <c r="BB379"/>
      <c r="BC379"/>
      <c r="BD379"/>
      <c r="BE379"/>
      <c r="BF379"/>
      <c r="BG379"/>
      <c r="BH379"/>
      <c r="BI379"/>
      <c r="BJ379"/>
      <c r="BR379"/>
      <c r="BS379"/>
      <c r="BT379"/>
      <c r="BU379"/>
      <c r="BX379"/>
      <c r="BY379"/>
      <c r="CA379"/>
    </row>
    <row r="380" spans="2:79" ht="18.75">
      <c r="B380" s="252" t="s">
        <v>1503</v>
      </c>
      <c r="C380" s="251">
        <v>37327331000140</v>
      </c>
      <c r="D380" s="252" t="s">
        <v>14</v>
      </c>
      <c r="E380" s="252" t="s">
        <v>607</v>
      </c>
      <c r="F380" s="252" t="s">
        <v>1417</v>
      </c>
      <c r="G380" s="253" t="s">
        <v>1417</v>
      </c>
      <c r="H380" s="253" t="s">
        <v>34</v>
      </c>
      <c r="I380" s="253" t="s">
        <v>34</v>
      </c>
      <c r="J380" s="253" t="s">
        <v>608</v>
      </c>
      <c r="K380" s="253" t="s">
        <v>48</v>
      </c>
      <c r="L380" s="655"/>
      <c r="M380" s="655" t="s">
        <v>34</v>
      </c>
      <c r="N380" s="253" t="s">
        <v>2958</v>
      </c>
      <c r="O380" s="253" t="s">
        <v>1321</v>
      </c>
      <c r="P380" s="656">
        <v>44045</v>
      </c>
      <c r="Q380" s="657">
        <v>0</v>
      </c>
      <c r="R380" s="657">
        <v>9.1569094353571376</v>
      </c>
      <c r="S380" s="253">
        <v>17</v>
      </c>
      <c r="T380" s="658"/>
      <c r="U380" s="659"/>
      <c r="V380" s="658">
        <v>-1.8369324596640646E-2</v>
      </c>
      <c r="W380" s="659">
        <v>-0.14245980810920866</v>
      </c>
      <c r="X380" s="658">
        <v>-7.2313678271452742E-2</v>
      </c>
      <c r="Y380" s="659">
        <v>-0.37451200293735337</v>
      </c>
      <c r="Z380" s="658"/>
      <c r="AA380" s="659"/>
      <c r="AB380" s="658">
        <v>8.0947932607827358E-2</v>
      </c>
      <c r="AC380" s="660">
        <v>-1.8198517157581411</v>
      </c>
      <c r="AD380" s="682">
        <v>0</v>
      </c>
      <c r="AE380" s="944" t="s">
        <v>1752</v>
      </c>
      <c r="AF380" s="661" t="s">
        <v>1739</v>
      </c>
      <c r="AG380" s="662" t="s">
        <v>728</v>
      </c>
      <c r="AH380" s="662" t="s">
        <v>1734</v>
      </c>
      <c r="AI380" s="662">
        <v>5000</v>
      </c>
      <c r="AJ380" s="662">
        <v>5000</v>
      </c>
      <c r="AK380" s="662">
        <v>1000</v>
      </c>
      <c r="AL380" s="658">
        <v>0.02</v>
      </c>
      <c r="AM380" s="658">
        <v>0.2</v>
      </c>
      <c r="AN380" s="659" t="s">
        <v>34</v>
      </c>
      <c r="AO380" s="253" t="s">
        <v>34</v>
      </c>
      <c r="AP380" s="944" t="s">
        <v>1746</v>
      </c>
      <c r="AQ380" s="663" t="s">
        <v>668</v>
      </c>
      <c r="AR380" s="658">
        <v>0</v>
      </c>
      <c r="AS380" s="658">
        <v>0</v>
      </c>
      <c r="AT380" s="658" t="s">
        <v>1417</v>
      </c>
      <c r="AU380" s="658" t="s">
        <v>2751</v>
      </c>
      <c r="AX380"/>
      <c r="AY380"/>
      <c r="BA380"/>
      <c r="BB380"/>
      <c r="BC380"/>
      <c r="BD380"/>
      <c r="BE380"/>
      <c r="BF380"/>
      <c r="BG380"/>
      <c r="BH380"/>
      <c r="BI380"/>
      <c r="BJ380"/>
      <c r="BR380"/>
      <c r="BS380"/>
      <c r="BT380"/>
      <c r="BU380"/>
      <c r="BX380"/>
      <c r="BY380"/>
      <c r="CA380"/>
    </row>
    <row r="381" spans="2:79" ht="18.75">
      <c r="B381" s="252" t="s">
        <v>1504</v>
      </c>
      <c r="C381" s="251">
        <v>17898543000170</v>
      </c>
      <c r="D381" s="252" t="s">
        <v>11</v>
      </c>
      <c r="E381" s="252" t="s">
        <v>620</v>
      </c>
      <c r="F381" s="252" t="s">
        <v>672</v>
      </c>
      <c r="G381" s="253" t="s">
        <v>738</v>
      </c>
      <c r="H381" s="253" t="s">
        <v>34</v>
      </c>
      <c r="I381" s="253" t="s">
        <v>1417</v>
      </c>
      <c r="J381" s="253" t="s">
        <v>608</v>
      </c>
      <c r="K381" s="253" t="s">
        <v>48</v>
      </c>
      <c r="L381" s="655"/>
      <c r="M381" s="655" t="s">
        <v>34</v>
      </c>
      <c r="N381" s="253" t="s">
        <v>2959</v>
      </c>
      <c r="O381" s="253" t="s">
        <v>1321</v>
      </c>
      <c r="P381" s="656">
        <v>41411</v>
      </c>
      <c r="Q381" s="657">
        <v>1944.486625</v>
      </c>
      <c r="R381" s="657">
        <v>2541.4357658895174</v>
      </c>
      <c r="S381" s="253">
        <v>0</v>
      </c>
      <c r="T381" s="658">
        <v>1.9774678403182477E-2</v>
      </c>
      <c r="U381" s="659">
        <v>0.98881401539811864</v>
      </c>
      <c r="V381" s="658">
        <v>0.12695854884986857</v>
      </c>
      <c r="W381" s="659">
        <v>0.98460291296085534</v>
      </c>
      <c r="X381" s="658">
        <v>0.19036646316717531</v>
      </c>
      <c r="Y381" s="659">
        <v>0.98590649953127418</v>
      </c>
      <c r="Z381" s="658">
        <v>0.20754433281751883</v>
      </c>
      <c r="AA381" s="659">
        <v>0.93712015559977879</v>
      </c>
      <c r="AB381" s="658">
        <v>1.0328325165740498E-3</v>
      </c>
      <c r="AC381" s="660">
        <v>-1.9222483462326594</v>
      </c>
      <c r="AD381" s="682">
        <v>0</v>
      </c>
      <c r="AE381" s="944" t="s">
        <v>1754</v>
      </c>
      <c r="AF381" s="661" t="s">
        <v>1729</v>
      </c>
      <c r="AG381" s="662" t="s">
        <v>1433</v>
      </c>
      <c r="AH381" s="662" t="s">
        <v>1734</v>
      </c>
      <c r="AI381" s="662">
        <v>0</v>
      </c>
      <c r="AJ381" s="662">
        <v>0</v>
      </c>
      <c r="AK381" s="662">
        <v>0</v>
      </c>
      <c r="AL381" s="658">
        <v>2E-3</v>
      </c>
      <c r="AM381" s="658">
        <v>0</v>
      </c>
      <c r="AN381" s="659" t="s">
        <v>64</v>
      </c>
      <c r="AO381" s="253" t="s">
        <v>34</v>
      </c>
      <c r="AP381" s="944" t="s">
        <v>1735</v>
      </c>
      <c r="AQ381" s="663" t="s">
        <v>1505</v>
      </c>
      <c r="AR381" s="658">
        <v>0</v>
      </c>
      <c r="AS381" s="658">
        <v>0</v>
      </c>
      <c r="AT381" s="658" t="s">
        <v>1417</v>
      </c>
      <c r="AU381" s="658" t="s">
        <v>2751</v>
      </c>
      <c r="AX381"/>
      <c r="AY381"/>
      <c r="BA381"/>
      <c r="BB381"/>
      <c r="BC381"/>
      <c r="BD381"/>
      <c r="BE381"/>
      <c r="BF381"/>
      <c r="BG381"/>
      <c r="BH381"/>
      <c r="BI381"/>
      <c r="BJ381"/>
      <c r="BR381"/>
      <c r="BS381"/>
      <c r="BT381"/>
      <c r="BU381"/>
      <c r="BX381"/>
      <c r="BY381"/>
      <c r="CA381"/>
    </row>
    <row r="382" spans="2:79" ht="18.75">
      <c r="B382" s="252" t="s">
        <v>1506</v>
      </c>
      <c r="C382" s="251">
        <v>30618435000165</v>
      </c>
      <c r="D382" s="252" t="s">
        <v>14</v>
      </c>
      <c r="E382" s="252" t="s">
        <v>607</v>
      </c>
      <c r="F382" s="252" t="s">
        <v>1417</v>
      </c>
      <c r="G382" s="253" t="s">
        <v>1417</v>
      </c>
      <c r="H382" s="253" t="s">
        <v>34</v>
      </c>
      <c r="I382" s="253" t="s">
        <v>34</v>
      </c>
      <c r="J382" s="253" t="s">
        <v>608</v>
      </c>
      <c r="K382" s="253" t="s">
        <v>48</v>
      </c>
      <c r="L382" s="655"/>
      <c r="M382" s="655" t="s">
        <v>34</v>
      </c>
      <c r="N382" s="253" t="s">
        <v>2960</v>
      </c>
      <c r="O382" s="253" t="s">
        <v>1321</v>
      </c>
      <c r="P382" s="656">
        <v>43428</v>
      </c>
      <c r="Q382" s="657">
        <v>41.054748689999997</v>
      </c>
      <c r="R382" s="657">
        <v>47.688601171967882</v>
      </c>
      <c r="S382" s="253">
        <v>32</v>
      </c>
      <c r="T382" s="658">
        <v>-6.0760949883024939E-2</v>
      </c>
      <c r="U382" s="659">
        <v>-3.0382935999388208</v>
      </c>
      <c r="V382" s="658">
        <v>-0.28636187109026279</v>
      </c>
      <c r="W382" s="659">
        <v>-2.2208251038676359</v>
      </c>
      <c r="X382" s="658">
        <v>-0.40662640944696682</v>
      </c>
      <c r="Y382" s="659">
        <v>-2.1059151558789675</v>
      </c>
      <c r="Z382" s="658">
        <v>-0.24798632008986354</v>
      </c>
      <c r="AA382" s="659">
        <v>-1.1197269311784031</v>
      </c>
      <c r="AB382" s="658">
        <v>0.28293627700241503</v>
      </c>
      <c r="AC382" s="660">
        <v>-1.4678421054275279</v>
      </c>
      <c r="AD382" s="682">
        <v>29224691000199</v>
      </c>
      <c r="AE382" s="944" t="s">
        <v>1803</v>
      </c>
      <c r="AF382" s="661" t="s">
        <v>1729</v>
      </c>
      <c r="AG382" s="662" t="s">
        <v>1433</v>
      </c>
      <c r="AH382" s="662" t="s">
        <v>1801</v>
      </c>
      <c r="AI382" s="662">
        <v>5000</v>
      </c>
      <c r="AJ382" s="662">
        <v>1000</v>
      </c>
      <c r="AK382" s="662">
        <v>5000</v>
      </c>
      <c r="AL382" s="658">
        <v>5.9999999999999995E-4</v>
      </c>
      <c r="AM382" s="658">
        <v>0</v>
      </c>
      <c r="AN382" s="659" t="s">
        <v>666</v>
      </c>
      <c r="AO382" s="253" t="s">
        <v>34</v>
      </c>
      <c r="AP382" s="944" t="s">
        <v>1731</v>
      </c>
      <c r="AQ382" s="663" t="s">
        <v>687</v>
      </c>
      <c r="AR382" s="658">
        <v>0</v>
      </c>
      <c r="AS382" s="658">
        <v>0</v>
      </c>
      <c r="AT382" s="658" t="s">
        <v>1417</v>
      </c>
      <c r="AU382" s="658" t="s">
        <v>2751</v>
      </c>
      <c r="AX382"/>
      <c r="AY382"/>
      <c r="BA382"/>
      <c r="BB382"/>
      <c r="BC382"/>
      <c r="BD382"/>
      <c r="BE382"/>
      <c r="BF382"/>
      <c r="BG382"/>
      <c r="BH382"/>
      <c r="BI382"/>
      <c r="BJ382"/>
      <c r="BR382"/>
      <c r="BS382"/>
      <c r="BT382"/>
      <c r="BU382"/>
      <c r="BX382"/>
      <c r="BY382"/>
      <c r="CA382"/>
    </row>
    <row r="383" spans="2:79" ht="18.75">
      <c r="B383" s="252" t="s">
        <v>130</v>
      </c>
      <c r="C383" s="251">
        <v>15390811000113</v>
      </c>
      <c r="D383" s="252" t="s">
        <v>14</v>
      </c>
      <c r="E383" s="252" t="s">
        <v>607</v>
      </c>
      <c r="F383" s="252" t="s">
        <v>1417</v>
      </c>
      <c r="G383" s="253" t="s">
        <v>1417</v>
      </c>
      <c r="H383" s="253" t="s">
        <v>34</v>
      </c>
      <c r="I383" s="253" t="s">
        <v>34</v>
      </c>
      <c r="J383" s="253" t="s">
        <v>608</v>
      </c>
      <c r="K383" s="253" t="s">
        <v>48</v>
      </c>
      <c r="L383" s="655"/>
      <c r="M383" s="655" t="s">
        <v>34</v>
      </c>
      <c r="N383" s="253" t="s">
        <v>2961</v>
      </c>
      <c r="O383" s="253" t="s">
        <v>1324</v>
      </c>
      <c r="P383" s="656">
        <v>41061</v>
      </c>
      <c r="Q383" s="657">
        <v>64.089241000000001</v>
      </c>
      <c r="R383" s="657">
        <v>87.177115915662654</v>
      </c>
      <c r="S383" s="253">
        <v>32</v>
      </c>
      <c r="T383" s="658">
        <v>-6.4360835464166266E-2</v>
      </c>
      <c r="U383" s="659">
        <v>-3.2183024599508889</v>
      </c>
      <c r="V383" s="658">
        <v>-0.30018807920514989</v>
      </c>
      <c r="W383" s="659">
        <v>-2.3280516349555027</v>
      </c>
      <c r="X383" s="658">
        <v>-0.42540068719148738</v>
      </c>
      <c r="Y383" s="659">
        <v>-2.2031470009444156</v>
      </c>
      <c r="Z383" s="658">
        <v>-0.34483697033035643</v>
      </c>
      <c r="AA383" s="659">
        <v>-1.5570344461135897</v>
      </c>
      <c r="AB383" s="658">
        <v>0.28291191685324663</v>
      </c>
      <c r="AC383" s="660">
        <v>-1.5168395641479449</v>
      </c>
      <c r="AD383" s="682">
        <v>15165493000197</v>
      </c>
      <c r="AE383" s="944" t="s">
        <v>1803</v>
      </c>
      <c r="AF383" s="661" t="s">
        <v>1729</v>
      </c>
      <c r="AG383" s="662" t="s">
        <v>1433</v>
      </c>
      <c r="AH383" s="662" t="s">
        <v>1734</v>
      </c>
      <c r="AI383" s="662">
        <v>150000</v>
      </c>
      <c r="AJ383" s="662">
        <v>10000</v>
      </c>
      <c r="AK383" s="662">
        <v>150000</v>
      </c>
      <c r="AL383" s="658">
        <v>2.7999999999999997E-2</v>
      </c>
      <c r="AM383" s="658">
        <v>0.2</v>
      </c>
      <c r="AN383" s="659" t="s">
        <v>666</v>
      </c>
      <c r="AO383" s="253" t="s">
        <v>34</v>
      </c>
      <c r="AP383" s="944" t="s">
        <v>1731</v>
      </c>
      <c r="AQ383" s="663" t="s">
        <v>665</v>
      </c>
      <c r="AR383" s="658">
        <v>4.0000000000000001E-3</v>
      </c>
      <c r="AS383" s="658">
        <v>4.0000000000000001E-3</v>
      </c>
      <c r="AT383" s="658" t="s">
        <v>1417</v>
      </c>
      <c r="AU383" s="658" t="s">
        <v>2751</v>
      </c>
      <c r="AX383"/>
      <c r="AY383"/>
      <c r="BA383"/>
      <c r="BB383"/>
      <c r="BC383"/>
      <c r="BD383"/>
      <c r="BE383"/>
      <c r="BF383"/>
      <c r="BG383"/>
      <c r="BH383"/>
      <c r="BI383"/>
      <c r="BJ383"/>
      <c r="BR383"/>
      <c r="BS383"/>
      <c r="BT383"/>
      <c r="BU383"/>
      <c r="BX383"/>
      <c r="BY383"/>
      <c r="CA383"/>
    </row>
    <row r="384" spans="2:79" ht="18.75">
      <c r="B384" s="252" t="s">
        <v>131</v>
      </c>
      <c r="C384" s="251">
        <v>8323402000139</v>
      </c>
      <c r="D384" s="252" t="s">
        <v>14</v>
      </c>
      <c r="E384" s="252" t="s">
        <v>607</v>
      </c>
      <c r="F384" s="252" t="s">
        <v>1417</v>
      </c>
      <c r="G384" s="253" t="s">
        <v>1417</v>
      </c>
      <c r="H384" s="253" t="s">
        <v>34</v>
      </c>
      <c r="I384" s="253" t="s">
        <v>34</v>
      </c>
      <c r="J384" s="253" t="s">
        <v>608</v>
      </c>
      <c r="K384" s="253" t="s">
        <v>48</v>
      </c>
      <c r="L384" s="655"/>
      <c r="M384" s="655" t="s">
        <v>1414</v>
      </c>
      <c r="N384" s="253" t="s">
        <v>2962</v>
      </c>
      <c r="O384" s="253" t="s">
        <v>1321</v>
      </c>
      <c r="P384" s="656">
        <v>39639</v>
      </c>
      <c r="Q384" s="657">
        <v>461.60721699999999</v>
      </c>
      <c r="R384" s="657">
        <v>838.98304930120526</v>
      </c>
      <c r="S384" s="253">
        <v>32</v>
      </c>
      <c r="T384" s="658">
        <v>-6.3496328439115457E-2</v>
      </c>
      <c r="U384" s="659">
        <v>-3.1750736071042707</v>
      </c>
      <c r="V384" s="658">
        <v>-0.29597041365103138</v>
      </c>
      <c r="W384" s="659">
        <v>-2.2953423307920593</v>
      </c>
      <c r="X384" s="658">
        <v>-0.4186559233869378</v>
      </c>
      <c r="Y384" s="659">
        <v>-2.1682159192713319</v>
      </c>
      <c r="Z384" s="658">
        <v>-0.32779642696274969</v>
      </c>
      <c r="AA384" s="659">
        <v>-1.4800916723198239</v>
      </c>
      <c r="AB384" s="658">
        <v>0.28265247819634659</v>
      </c>
      <c r="AC384" s="660">
        <v>-1.5033100923412033</v>
      </c>
      <c r="AD384" s="682">
        <v>15165493000197</v>
      </c>
      <c r="AE384" s="944" t="s">
        <v>1803</v>
      </c>
      <c r="AF384" s="661" t="s">
        <v>1729</v>
      </c>
      <c r="AG384" s="662" t="s">
        <v>1433</v>
      </c>
      <c r="AH384" s="662" t="s">
        <v>1734</v>
      </c>
      <c r="AI384" s="662">
        <v>150000</v>
      </c>
      <c r="AJ384" s="662">
        <v>10000</v>
      </c>
      <c r="AK384" s="662">
        <v>150000</v>
      </c>
      <c r="AL384" s="658">
        <v>2.2000000000000002E-2</v>
      </c>
      <c r="AM384" s="658">
        <v>0.2</v>
      </c>
      <c r="AN384" s="659" t="s">
        <v>666</v>
      </c>
      <c r="AO384" s="253" t="s">
        <v>34</v>
      </c>
      <c r="AP384" s="944" t="s">
        <v>1731</v>
      </c>
      <c r="AQ384" s="663" t="s">
        <v>665</v>
      </c>
      <c r="AR384" s="658">
        <v>0</v>
      </c>
      <c r="AS384" s="658">
        <v>0</v>
      </c>
      <c r="AT384" s="658" t="s">
        <v>1417</v>
      </c>
      <c r="AU384" s="658" t="s">
        <v>2751</v>
      </c>
      <c r="AX384"/>
      <c r="AY384"/>
      <c r="BA384"/>
      <c r="BB384"/>
      <c r="BC384"/>
      <c r="BD384"/>
      <c r="BE384"/>
      <c r="BF384"/>
      <c r="BG384"/>
      <c r="BH384"/>
      <c r="BI384"/>
      <c r="BJ384"/>
      <c r="BR384"/>
      <c r="BS384"/>
      <c r="BT384"/>
      <c r="BU384"/>
      <c r="BX384"/>
      <c r="BY384"/>
      <c r="CA384"/>
    </row>
    <row r="385" spans="2:79" ht="18.75">
      <c r="B385" s="252" t="s">
        <v>4383</v>
      </c>
      <c r="C385" s="251">
        <v>38173778000175</v>
      </c>
      <c r="D385" s="252" t="s">
        <v>14</v>
      </c>
      <c r="E385" s="252" t="s">
        <v>607</v>
      </c>
      <c r="F385" s="252" t="s">
        <v>1317</v>
      </c>
      <c r="G385" s="253" t="s">
        <v>1417</v>
      </c>
      <c r="H385" s="253" t="s">
        <v>1417</v>
      </c>
      <c r="I385" s="253" t="s">
        <v>1417</v>
      </c>
      <c r="J385" s="253" t="s">
        <v>608</v>
      </c>
      <c r="K385" s="253" t="s">
        <v>48</v>
      </c>
      <c r="L385" s="655"/>
      <c r="M385" s="655" t="s">
        <v>34</v>
      </c>
      <c r="N385" s="253" t="s">
        <v>2963</v>
      </c>
      <c r="O385" s="253" t="s">
        <v>1321</v>
      </c>
      <c r="P385" s="656">
        <v>44393</v>
      </c>
      <c r="Q385" s="657">
        <v>38.049474060000001</v>
      </c>
      <c r="R385" s="657">
        <v>47.139164048383002</v>
      </c>
      <c r="S385" s="253">
        <v>32</v>
      </c>
      <c r="T385" s="658">
        <v>-6.2272132812727699E-2</v>
      </c>
      <c r="U385" s="659">
        <v>-3.1138588673102481</v>
      </c>
      <c r="V385" s="658">
        <v>-0.31415142377859817</v>
      </c>
      <c r="W385" s="659">
        <v>-2.436341701802053</v>
      </c>
      <c r="X385" s="658"/>
      <c r="Y385" s="659"/>
      <c r="Z385" s="658"/>
      <c r="AA385" s="659"/>
      <c r="AB385" s="658">
        <v>0.27993451472858105</v>
      </c>
      <c r="AC385" s="660">
        <v>-1.5828535243501609</v>
      </c>
      <c r="AD385" s="682">
        <v>41128218000103</v>
      </c>
      <c r="AE385" s="944" t="s">
        <v>1797</v>
      </c>
      <c r="AF385" s="661" t="s">
        <v>1745</v>
      </c>
      <c r="AG385" s="662" t="s">
        <v>1432</v>
      </c>
      <c r="AH385" s="662" t="s">
        <v>1730</v>
      </c>
      <c r="AI385" s="662">
        <v>0</v>
      </c>
      <c r="AJ385" s="662">
        <v>0</v>
      </c>
      <c r="AK385" s="662">
        <v>0</v>
      </c>
      <c r="AL385" s="658">
        <v>5.0000000000000001E-3</v>
      </c>
      <c r="AM385" s="658">
        <v>0</v>
      </c>
      <c r="AN385" s="659" t="s">
        <v>34</v>
      </c>
      <c r="AO385" s="253" t="s">
        <v>4400</v>
      </c>
      <c r="AP385" s="944" t="s">
        <v>1731</v>
      </c>
      <c r="AQ385" s="663" t="s">
        <v>2120</v>
      </c>
      <c r="AR385" s="658">
        <v>0</v>
      </c>
      <c r="AS385" s="658">
        <v>0</v>
      </c>
      <c r="AT385" s="658" t="s">
        <v>1417</v>
      </c>
      <c r="AU385" s="658" t="s">
        <v>2751</v>
      </c>
      <c r="AX385"/>
      <c r="AY385"/>
      <c r="BA385"/>
      <c r="BB385"/>
      <c r="BC385"/>
      <c r="BD385"/>
      <c r="BE385"/>
      <c r="BF385"/>
      <c r="BG385"/>
      <c r="BH385"/>
      <c r="BI385"/>
      <c r="BJ385"/>
      <c r="BR385"/>
      <c r="BS385"/>
      <c r="BT385"/>
      <c r="BU385"/>
      <c r="BX385"/>
      <c r="BY385"/>
      <c r="CA385"/>
    </row>
    <row r="386" spans="2:79" ht="18.75">
      <c r="B386" s="252" t="s">
        <v>132</v>
      </c>
      <c r="C386" s="251">
        <v>29286347000124</v>
      </c>
      <c r="D386" s="252" t="s">
        <v>14</v>
      </c>
      <c r="E386" s="252" t="s">
        <v>607</v>
      </c>
      <c r="F386" s="252" t="s">
        <v>1417</v>
      </c>
      <c r="G386" s="253" t="s">
        <v>1417</v>
      </c>
      <c r="H386" s="253" t="s">
        <v>34</v>
      </c>
      <c r="I386" s="253" t="s">
        <v>34</v>
      </c>
      <c r="J386" s="253" t="s">
        <v>608</v>
      </c>
      <c r="K386" s="253" t="s">
        <v>48</v>
      </c>
      <c r="L386" s="655"/>
      <c r="M386" s="655" t="s">
        <v>1414</v>
      </c>
      <c r="N386" s="253" t="s">
        <v>2964</v>
      </c>
      <c r="O386" s="253" t="s">
        <v>1324</v>
      </c>
      <c r="P386" s="656">
        <v>43170</v>
      </c>
      <c r="Q386" s="657">
        <v>317.04440729999999</v>
      </c>
      <c r="R386" s="657">
        <v>441.36966449887097</v>
      </c>
      <c r="S386" s="253">
        <v>32</v>
      </c>
      <c r="T386" s="658">
        <v>-6.2657403640844156E-2</v>
      </c>
      <c r="U386" s="659">
        <v>-3.1331239692147261</v>
      </c>
      <c r="V386" s="658">
        <v>-0.29512212829701689</v>
      </c>
      <c r="W386" s="659">
        <v>-2.2887636148398758</v>
      </c>
      <c r="X386" s="658">
        <v>-0.43486525738435089</v>
      </c>
      <c r="Y386" s="659">
        <v>-2.2521639397117221</v>
      </c>
      <c r="Z386" s="658">
        <v>-0.31294330259439318</v>
      </c>
      <c r="AA386" s="659">
        <v>-1.4130257012559191</v>
      </c>
      <c r="AB386" s="658">
        <v>0.28319835443339425</v>
      </c>
      <c r="AC386" s="660">
        <v>-1.4974170262826927</v>
      </c>
      <c r="AD386" s="682">
        <v>29224691000199</v>
      </c>
      <c r="AE386" s="944" t="s">
        <v>1803</v>
      </c>
      <c r="AF386" s="661" t="s">
        <v>1729</v>
      </c>
      <c r="AG386" s="662" t="s">
        <v>1433</v>
      </c>
      <c r="AH386" s="662" t="s">
        <v>1730</v>
      </c>
      <c r="AI386" s="662">
        <v>300000</v>
      </c>
      <c r="AJ386" s="662">
        <v>10000</v>
      </c>
      <c r="AK386" s="662">
        <v>300000</v>
      </c>
      <c r="AL386" s="658">
        <v>1.3000000000000001E-2</v>
      </c>
      <c r="AM386" s="658">
        <v>0.2</v>
      </c>
      <c r="AN386" s="659" t="s">
        <v>666</v>
      </c>
      <c r="AO386" s="253" t="s">
        <v>34</v>
      </c>
      <c r="AP386" s="944" t="s">
        <v>1731</v>
      </c>
      <c r="AQ386" s="663" t="s">
        <v>665</v>
      </c>
      <c r="AR386" s="658">
        <v>0</v>
      </c>
      <c r="AS386" s="658">
        <v>0</v>
      </c>
      <c r="AT386" s="658" t="s">
        <v>1417</v>
      </c>
      <c r="AU386" s="658" t="s">
        <v>2751</v>
      </c>
      <c r="AX386"/>
      <c r="AY386"/>
      <c r="BA386"/>
      <c r="BB386"/>
      <c r="BC386"/>
      <c r="BD386"/>
      <c r="BE386"/>
      <c r="BF386"/>
      <c r="BG386"/>
      <c r="BH386"/>
      <c r="BI386"/>
      <c r="BJ386"/>
      <c r="BR386"/>
      <c r="BS386"/>
      <c r="BT386"/>
      <c r="BU386"/>
      <c r="BX386"/>
      <c r="BY386"/>
      <c r="CA386"/>
    </row>
    <row r="387" spans="2:79" ht="18.75">
      <c r="B387" s="252" t="s">
        <v>1508</v>
      </c>
      <c r="C387" s="251">
        <v>41063234000165</v>
      </c>
      <c r="D387" s="252" t="s">
        <v>14</v>
      </c>
      <c r="E387" s="252" t="s">
        <v>614</v>
      </c>
      <c r="F387" s="252" t="s">
        <v>1417</v>
      </c>
      <c r="G387" s="253" t="s">
        <v>1417</v>
      </c>
      <c r="H387" s="253" t="s">
        <v>865</v>
      </c>
      <c r="I387" s="253" t="s">
        <v>34</v>
      </c>
      <c r="J387" s="253" t="s">
        <v>608</v>
      </c>
      <c r="K387" s="253" t="s">
        <v>48</v>
      </c>
      <c r="L387" s="655"/>
      <c r="M387" s="655" t="s">
        <v>34</v>
      </c>
      <c r="N387" s="253" t="s">
        <v>2965</v>
      </c>
      <c r="O387" s="253" t="s">
        <v>1321</v>
      </c>
      <c r="P387" s="656">
        <v>44315</v>
      </c>
      <c r="Q387" s="657">
        <v>38.817754090000001</v>
      </c>
      <c r="R387" s="657">
        <v>27.384638764777332</v>
      </c>
      <c r="S387" s="253">
        <v>32</v>
      </c>
      <c r="T387" s="658">
        <v>2.322830611003468E-4</v>
      </c>
      <c r="U387" s="659">
        <v>1.1615093892937125E-2</v>
      </c>
      <c r="V387" s="658">
        <v>0.15030508014551991</v>
      </c>
      <c r="W387" s="659">
        <v>1.1656625023266161</v>
      </c>
      <c r="X387" s="658"/>
      <c r="Y387" s="659"/>
      <c r="Z387" s="658"/>
      <c r="AA387" s="659"/>
      <c r="AB387" s="658">
        <v>0.14655315645385814</v>
      </c>
      <c r="AC387" s="660">
        <v>0.14575715198230524</v>
      </c>
      <c r="AD387" s="682">
        <v>40386431000152</v>
      </c>
      <c r="AE387" s="944" t="s">
        <v>1797</v>
      </c>
      <c r="AF387" s="661" t="s">
        <v>1745</v>
      </c>
      <c r="AG387" s="662" t="s">
        <v>1432</v>
      </c>
      <c r="AH387" s="662" t="s">
        <v>1730</v>
      </c>
      <c r="AI387" s="662">
        <v>10000</v>
      </c>
      <c r="AJ387" s="662">
        <v>0</v>
      </c>
      <c r="AK387" s="662">
        <v>0</v>
      </c>
      <c r="AL387" s="658">
        <v>0</v>
      </c>
      <c r="AM387" s="658">
        <v>0</v>
      </c>
      <c r="AN387" s="659" t="s">
        <v>34</v>
      </c>
      <c r="AO387" s="253" t="s">
        <v>4400</v>
      </c>
      <c r="AP387" s="944" t="s">
        <v>1746</v>
      </c>
      <c r="AQ387" s="663" t="s">
        <v>2177</v>
      </c>
      <c r="AR387" s="658">
        <v>0</v>
      </c>
      <c r="AS387" s="658">
        <v>0</v>
      </c>
      <c r="AT387" s="658" t="s">
        <v>1417</v>
      </c>
      <c r="AU387" s="658" t="s">
        <v>2751</v>
      </c>
      <c r="AX387"/>
      <c r="AY387"/>
      <c r="BA387"/>
      <c r="BB387"/>
      <c r="BC387"/>
      <c r="BD387"/>
      <c r="BE387"/>
      <c r="BF387"/>
      <c r="BG387"/>
      <c r="BH387"/>
      <c r="BI387"/>
      <c r="BJ387"/>
      <c r="BR387"/>
      <c r="BS387"/>
      <c r="BT387"/>
      <c r="BU387"/>
      <c r="BX387"/>
      <c r="BY387"/>
      <c r="CA387"/>
    </row>
    <row r="388" spans="2:79" ht="18.75">
      <c r="B388" s="252" t="s">
        <v>133</v>
      </c>
      <c r="C388" s="251">
        <v>34425904000180</v>
      </c>
      <c r="D388" s="252" t="s">
        <v>13</v>
      </c>
      <c r="E388" s="252" t="s">
        <v>615</v>
      </c>
      <c r="F388" s="252" t="s">
        <v>619</v>
      </c>
      <c r="G388" s="253" t="s">
        <v>34</v>
      </c>
      <c r="H388" s="253" t="s">
        <v>865</v>
      </c>
      <c r="I388" s="253" t="s">
        <v>34</v>
      </c>
      <c r="J388" s="253" t="s">
        <v>1417</v>
      </c>
      <c r="K388" s="253" t="s">
        <v>48</v>
      </c>
      <c r="L388" s="655"/>
      <c r="M388" s="655" t="s">
        <v>34</v>
      </c>
      <c r="N388" s="253" t="s">
        <v>2966</v>
      </c>
      <c r="O388" s="253" t="s">
        <v>1321</v>
      </c>
      <c r="P388" s="656">
        <v>43698</v>
      </c>
      <c r="Q388" s="657">
        <v>41.717434179999998</v>
      </c>
      <c r="R388" s="657">
        <v>59.571323627871521</v>
      </c>
      <c r="S388" s="253">
        <v>31</v>
      </c>
      <c r="T388" s="658">
        <v>-1.1726510539270096E-2</v>
      </c>
      <c r="U388" s="659">
        <v>-0.58637302395157553</v>
      </c>
      <c r="V388" s="658">
        <v>-1.582803374842856E-2</v>
      </c>
      <c r="W388" s="659">
        <v>-0.12275130959140307</v>
      </c>
      <c r="X388" s="658">
        <v>3.8522910843874936E-2</v>
      </c>
      <c r="Y388" s="659">
        <v>0.19950986928032055</v>
      </c>
      <c r="Z388" s="658">
        <v>0.24888822342499317</v>
      </c>
      <c r="AA388" s="659">
        <v>1.1237992745774192</v>
      </c>
      <c r="AB388" s="658">
        <v>6.5065248288454405E-2</v>
      </c>
      <c r="AC388" s="660">
        <v>-2.2250271381951552</v>
      </c>
      <c r="AD388" s="682">
        <v>0</v>
      </c>
      <c r="AE388" s="944" t="s">
        <v>1987</v>
      </c>
      <c r="AF388" s="661" t="s">
        <v>1745</v>
      </c>
      <c r="AG388" s="662" t="s">
        <v>1432</v>
      </c>
      <c r="AH388" s="662" t="s">
        <v>1734</v>
      </c>
      <c r="AI388" s="662">
        <v>1000</v>
      </c>
      <c r="AJ388" s="662">
        <v>1000</v>
      </c>
      <c r="AK388" s="662">
        <v>1000</v>
      </c>
      <c r="AL388" s="658">
        <v>0.02</v>
      </c>
      <c r="AM388" s="658">
        <v>0.25</v>
      </c>
      <c r="AN388" s="659" t="s">
        <v>34</v>
      </c>
      <c r="AO388" s="253" t="s">
        <v>34</v>
      </c>
      <c r="AP388" s="944" t="s">
        <v>1746</v>
      </c>
      <c r="AQ388" s="663" t="s">
        <v>668</v>
      </c>
      <c r="AR388" s="658">
        <v>4.6666666666666697E-3</v>
      </c>
      <c r="AS388" s="658">
        <v>4.6666666666666697E-3</v>
      </c>
      <c r="AT388" s="658" t="s">
        <v>1417</v>
      </c>
      <c r="AU388" s="658" t="s">
        <v>2751</v>
      </c>
      <c r="AX388"/>
      <c r="AY388"/>
      <c r="BA388"/>
      <c r="BB388"/>
      <c r="BC388"/>
      <c r="BD388"/>
      <c r="BE388"/>
      <c r="BF388"/>
      <c r="BG388"/>
      <c r="BH388"/>
      <c r="BI388"/>
      <c r="BJ388"/>
      <c r="BR388"/>
      <c r="BS388"/>
      <c r="BT388"/>
      <c r="BU388"/>
      <c r="BX388"/>
      <c r="BY388"/>
      <c r="CA388"/>
    </row>
    <row r="389" spans="2:79" ht="18.75">
      <c r="B389" s="252" t="s">
        <v>814</v>
      </c>
      <c r="C389" s="251">
        <v>34109809000178</v>
      </c>
      <c r="D389" s="252" t="s">
        <v>11</v>
      </c>
      <c r="E389" s="252" t="s">
        <v>620</v>
      </c>
      <c r="F389" s="252" t="s">
        <v>663</v>
      </c>
      <c r="G389" s="253" t="s">
        <v>738</v>
      </c>
      <c r="H389" s="253" t="s">
        <v>34</v>
      </c>
      <c r="I389" s="253" t="s">
        <v>1417</v>
      </c>
      <c r="J389" s="253" t="s">
        <v>608</v>
      </c>
      <c r="K389" s="253" t="s">
        <v>48</v>
      </c>
      <c r="L389" s="655"/>
      <c r="M389" s="655" t="s">
        <v>1414</v>
      </c>
      <c r="N389" s="253" t="s">
        <v>2967</v>
      </c>
      <c r="O389" s="253" t="s">
        <v>1321</v>
      </c>
      <c r="P389" s="656">
        <v>43771</v>
      </c>
      <c r="Q389" s="657">
        <v>322.16209885000001</v>
      </c>
      <c r="R389" s="657">
        <v>76.620587046585413</v>
      </c>
      <c r="S389" s="253">
        <v>7</v>
      </c>
      <c r="T389" s="658">
        <v>1.8565346902553292E-2</v>
      </c>
      <c r="U389" s="659">
        <v>0.9283425420975906</v>
      </c>
      <c r="V389" s="658">
        <v>0.13994530977188946</v>
      </c>
      <c r="W389" s="659">
        <v>1.0853192707767332</v>
      </c>
      <c r="X389" s="658">
        <v>0.2209584043640318</v>
      </c>
      <c r="Y389" s="659">
        <v>1.1443419358863263</v>
      </c>
      <c r="Z389" s="658">
        <v>0.24715538149554739</v>
      </c>
      <c r="AA389" s="659">
        <v>1.1159750132424695</v>
      </c>
      <c r="AB389" s="658">
        <v>3.9875806683924561E-3</v>
      </c>
      <c r="AC389" s="660">
        <v>2.7589160546151876</v>
      </c>
      <c r="AD389" s="682">
        <v>32388077000177</v>
      </c>
      <c r="AE389" s="944" t="s">
        <v>1736</v>
      </c>
      <c r="AF389" s="661" t="s">
        <v>1769</v>
      </c>
      <c r="AG389" s="662" t="s">
        <v>719</v>
      </c>
      <c r="AH389" s="662" t="s">
        <v>1734</v>
      </c>
      <c r="AI389" s="662">
        <v>1000</v>
      </c>
      <c r="AJ389" s="662">
        <v>500</v>
      </c>
      <c r="AK389" s="662">
        <v>500</v>
      </c>
      <c r="AL389" s="658">
        <v>2.5000000000000001E-3</v>
      </c>
      <c r="AM389" s="658">
        <v>0.2</v>
      </c>
      <c r="AN389" s="659" t="s">
        <v>64</v>
      </c>
      <c r="AO389" s="253" t="s">
        <v>34</v>
      </c>
      <c r="AP389" s="944" t="s">
        <v>1735</v>
      </c>
      <c r="AQ389" s="663" t="s">
        <v>675</v>
      </c>
      <c r="AR389" s="658">
        <v>6.6666666666666697E-4</v>
      </c>
      <c r="AS389" s="658">
        <v>6.6666666666666697E-4</v>
      </c>
      <c r="AT389" s="658" t="s">
        <v>1417</v>
      </c>
      <c r="AU389" s="658" t="s">
        <v>2751</v>
      </c>
      <c r="AX389"/>
      <c r="AY389"/>
      <c r="BA389"/>
      <c r="BB389"/>
      <c r="BC389"/>
      <c r="BD389"/>
      <c r="BE389"/>
      <c r="BF389"/>
      <c r="BG389"/>
      <c r="BH389"/>
      <c r="BI389"/>
      <c r="BJ389"/>
      <c r="BR389"/>
      <c r="BS389"/>
      <c r="BT389"/>
      <c r="BU389"/>
      <c r="BX389"/>
      <c r="BY389"/>
      <c r="CA389"/>
    </row>
    <row r="390" spans="2:79" ht="18.75">
      <c r="B390" s="252" t="s">
        <v>815</v>
      </c>
      <c r="C390" s="251">
        <v>32158410000151</v>
      </c>
      <c r="D390" s="252" t="s">
        <v>11</v>
      </c>
      <c r="E390" s="252" t="s">
        <v>620</v>
      </c>
      <c r="F390" s="252" t="s">
        <v>672</v>
      </c>
      <c r="G390" s="253" t="s">
        <v>738</v>
      </c>
      <c r="H390" s="253" t="s">
        <v>34</v>
      </c>
      <c r="I390" s="253" t="s">
        <v>1304</v>
      </c>
      <c r="J390" s="253" t="s">
        <v>608</v>
      </c>
      <c r="K390" s="253" t="s">
        <v>48</v>
      </c>
      <c r="L390" s="655"/>
      <c r="M390" s="655" t="s">
        <v>1414</v>
      </c>
      <c r="N390" s="253" t="s">
        <v>2968</v>
      </c>
      <c r="O390" s="253" t="s">
        <v>1321</v>
      </c>
      <c r="P390" s="656">
        <v>43464</v>
      </c>
      <c r="Q390" s="657">
        <v>48.07749896</v>
      </c>
      <c r="R390" s="657">
        <v>37.440378242734717</v>
      </c>
      <c r="S390" s="253">
        <v>0</v>
      </c>
      <c r="T390" s="658">
        <v>1.9736433277132148E-2</v>
      </c>
      <c r="U390" s="659">
        <v>0.98690160418777262</v>
      </c>
      <c r="V390" s="658">
        <v>0.13059732159531889</v>
      </c>
      <c r="W390" s="659">
        <v>1.0128227238930805</v>
      </c>
      <c r="X390" s="658">
        <v>0.19500306584473148</v>
      </c>
      <c r="Y390" s="659">
        <v>1.0099194303778822</v>
      </c>
      <c r="Z390" s="658">
        <v>0.21669327893578316</v>
      </c>
      <c r="AA390" s="659">
        <v>0.97843018172060847</v>
      </c>
      <c r="AB390" s="658">
        <v>2.3703213318528571E-3</v>
      </c>
      <c r="AC390" s="660">
        <v>0.69754768111464693</v>
      </c>
      <c r="AD390" s="682">
        <v>32312120000110</v>
      </c>
      <c r="AE390" s="944" t="s">
        <v>1736</v>
      </c>
      <c r="AF390" s="661" t="s">
        <v>1769</v>
      </c>
      <c r="AG390" s="662" t="s">
        <v>719</v>
      </c>
      <c r="AH390" s="662" t="s">
        <v>1734</v>
      </c>
      <c r="AI390" s="662">
        <v>10000</v>
      </c>
      <c r="AJ390" s="662">
        <v>30</v>
      </c>
      <c r="AK390" s="662">
        <v>30</v>
      </c>
      <c r="AL390" s="658">
        <v>2.5000000000000001E-3</v>
      </c>
      <c r="AM390" s="658">
        <v>0</v>
      </c>
      <c r="AN390" s="659" t="s">
        <v>64</v>
      </c>
      <c r="AO390" s="253" t="s">
        <v>34</v>
      </c>
      <c r="AP390" s="944" t="s">
        <v>1735</v>
      </c>
      <c r="AQ390" s="663" t="s">
        <v>669</v>
      </c>
      <c r="AR390" s="658">
        <v>6.6666666666666697E-4</v>
      </c>
      <c r="AS390" s="658">
        <v>6.6666666666666697E-4</v>
      </c>
      <c r="AT390" s="658" t="s">
        <v>1417</v>
      </c>
      <c r="AU390" s="658" t="s">
        <v>2751</v>
      </c>
      <c r="AX390"/>
      <c r="AY390"/>
      <c r="BA390"/>
      <c r="BB390"/>
      <c r="BC390"/>
      <c r="BD390"/>
      <c r="BE390"/>
      <c r="BF390"/>
      <c r="BG390"/>
      <c r="BH390"/>
      <c r="BI390"/>
      <c r="BJ390"/>
      <c r="BR390"/>
      <c r="BS390"/>
      <c r="BT390"/>
      <c r="BU390"/>
      <c r="BX390"/>
      <c r="BY390"/>
      <c r="CA390"/>
    </row>
    <row r="391" spans="2:79" ht="18.75">
      <c r="B391" s="252" t="s">
        <v>816</v>
      </c>
      <c r="C391" s="251">
        <v>34054884000189</v>
      </c>
      <c r="D391" s="252" t="s">
        <v>14</v>
      </c>
      <c r="E391" s="252" t="s">
        <v>607</v>
      </c>
      <c r="F391" s="252" t="s">
        <v>1417</v>
      </c>
      <c r="G391" s="253" t="s">
        <v>1417</v>
      </c>
      <c r="H391" s="253" t="s">
        <v>34</v>
      </c>
      <c r="I391" s="253" t="s">
        <v>34</v>
      </c>
      <c r="J391" s="253" t="s">
        <v>608</v>
      </c>
      <c r="K391" s="253" t="s">
        <v>48</v>
      </c>
      <c r="L391" s="655"/>
      <c r="M391" s="655" t="s">
        <v>34</v>
      </c>
      <c r="N391" s="253" t="s">
        <v>2969</v>
      </c>
      <c r="O391" s="253" t="s">
        <v>1324</v>
      </c>
      <c r="P391" s="656">
        <v>43740</v>
      </c>
      <c r="Q391" s="657">
        <v>9.1017795100000001</v>
      </c>
      <c r="R391" s="657">
        <v>10.469408151428567</v>
      </c>
      <c r="S391" s="253">
        <v>16</v>
      </c>
      <c r="T391" s="658">
        <v>-5.0556053221894826E-2</v>
      </c>
      <c r="U391" s="659">
        <v>-2.5280074330299849</v>
      </c>
      <c r="V391" s="658">
        <v>-0.15712486884337007</v>
      </c>
      <c r="W391" s="659">
        <v>-1.2185520783221733</v>
      </c>
      <c r="X391" s="658">
        <v>-0.18652995170799069</v>
      </c>
      <c r="Y391" s="659">
        <v>-0.9660372351650256</v>
      </c>
      <c r="Z391" s="658">
        <v>-0.1694867943740489</v>
      </c>
      <c r="AA391" s="659">
        <v>-0.76527982701202246</v>
      </c>
      <c r="AB391" s="658">
        <v>0.26677372321008175</v>
      </c>
      <c r="AC391" s="660">
        <v>-1.0723274198369306</v>
      </c>
      <c r="AD391" s="682">
        <v>34791820000160</v>
      </c>
      <c r="AE391" s="944" t="s">
        <v>1736</v>
      </c>
      <c r="AF391" s="661" t="s">
        <v>1769</v>
      </c>
      <c r="AG391" s="662" t="s">
        <v>719</v>
      </c>
      <c r="AH391" s="662" t="s">
        <v>1734</v>
      </c>
      <c r="AI391" s="662">
        <v>1000</v>
      </c>
      <c r="AJ391" s="662">
        <v>500</v>
      </c>
      <c r="AK391" s="662">
        <v>500</v>
      </c>
      <c r="AL391" s="658">
        <v>1.4999999999999999E-2</v>
      </c>
      <c r="AM391" s="658">
        <v>0.2</v>
      </c>
      <c r="AN391" s="659" t="s">
        <v>666</v>
      </c>
      <c r="AO391" s="253" t="s">
        <v>34</v>
      </c>
      <c r="AP391" s="944" t="s">
        <v>1731</v>
      </c>
      <c r="AQ391" s="663" t="s">
        <v>670</v>
      </c>
      <c r="AR391" s="658">
        <v>4.0000000000000001E-3</v>
      </c>
      <c r="AS391" s="658">
        <v>4.0000000000000001E-3</v>
      </c>
      <c r="AT391" s="658" t="s">
        <v>1417</v>
      </c>
      <c r="AU391" s="658" t="s">
        <v>2751</v>
      </c>
      <c r="AX391"/>
      <c r="AY391"/>
      <c r="BA391"/>
      <c r="BB391"/>
      <c r="BC391"/>
      <c r="BD391"/>
      <c r="BE391"/>
      <c r="BF391"/>
      <c r="BG391"/>
      <c r="BH391"/>
      <c r="BI391"/>
      <c r="BJ391"/>
      <c r="BR391"/>
      <c r="BS391"/>
      <c r="BT391"/>
      <c r="BU391"/>
      <c r="BX391"/>
      <c r="BY391"/>
      <c r="CA391"/>
    </row>
    <row r="392" spans="2:79" ht="18.75">
      <c r="B392" s="252" t="s">
        <v>817</v>
      </c>
      <c r="C392" s="251">
        <v>32158441000102</v>
      </c>
      <c r="D392" s="252" t="s">
        <v>14</v>
      </c>
      <c r="E392" s="252" t="s">
        <v>607</v>
      </c>
      <c r="F392" s="252" t="s">
        <v>1417</v>
      </c>
      <c r="G392" s="253" t="s">
        <v>1417</v>
      </c>
      <c r="H392" s="253" t="s">
        <v>34</v>
      </c>
      <c r="I392" s="253" t="s">
        <v>34</v>
      </c>
      <c r="J392" s="253" t="s">
        <v>608</v>
      </c>
      <c r="K392" s="253" t="s">
        <v>48</v>
      </c>
      <c r="L392" s="655"/>
      <c r="M392" s="655" t="s">
        <v>34</v>
      </c>
      <c r="N392" s="253" t="s">
        <v>2970</v>
      </c>
      <c r="O392" s="253" t="s">
        <v>1321</v>
      </c>
      <c r="P392" s="656">
        <v>43464</v>
      </c>
      <c r="Q392" s="657">
        <v>10.950572080000001</v>
      </c>
      <c r="R392" s="657">
        <v>11.120870264734682</v>
      </c>
      <c r="S392" s="253">
        <v>3</v>
      </c>
      <c r="T392" s="658">
        <v>-2.3035722937899683E-2</v>
      </c>
      <c r="U392" s="659">
        <v>-1.1518794506492354</v>
      </c>
      <c r="V392" s="658">
        <v>-3.3522311329424737E-3</v>
      </c>
      <c r="W392" s="659">
        <v>-2.5997591877930833E-2</v>
      </c>
      <c r="X392" s="658">
        <v>-8.158875282882383E-2</v>
      </c>
      <c r="Y392" s="659">
        <v>-0.42254754521519122</v>
      </c>
      <c r="Z392" s="658">
        <v>-0.11082673838000112</v>
      </c>
      <c r="AA392" s="659">
        <v>-0.50041342447350112</v>
      </c>
      <c r="AB392" s="658">
        <v>0.21324493066091199</v>
      </c>
      <c r="AC392" s="660">
        <v>-0.62039524301798954</v>
      </c>
      <c r="AD392" s="682">
        <v>24752576000173</v>
      </c>
      <c r="AE392" s="944" t="s">
        <v>1736</v>
      </c>
      <c r="AF392" s="661" t="s">
        <v>1769</v>
      </c>
      <c r="AG392" s="662" t="s">
        <v>719</v>
      </c>
      <c r="AH392" s="662" t="s">
        <v>1734</v>
      </c>
      <c r="AI392" s="662">
        <v>100</v>
      </c>
      <c r="AJ392" s="662">
        <v>100</v>
      </c>
      <c r="AK392" s="662">
        <v>100</v>
      </c>
      <c r="AL392" s="658">
        <v>1.4999999999999999E-2</v>
      </c>
      <c r="AM392" s="658">
        <v>0.2</v>
      </c>
      <c r="AN392" s="659" t="s">
        <v>666</v>
      </c>
      <c r="AO392" s="253" t="s">
        <v>34</v>
      </c>
      <c r="AP392" s="944" t="s">
        <v>1731</v>
      </c>
      <c r="AQ392" s="663" t="s">
        <v>670</v>
      </c>
      <c r="AR392" s="658">
        <v>4.0000000000000001E-3</v>
      </c>
      <c r="AS392" s="658">
        <v>4.0000000000000001E-3</v>
      </c>
      <c r="AT392" s="658" t="s">
        <v>1417</v>
      </c>
      <c r="AU392" s="658" t="s">
        <v>2751</v>
      </c>
      <c r="AX392"/>
      <c r="AY392"/>
      <c r="BA392"/>
      <c r="BB392"/>
      <c r="BC392"/>
      <c r="BD392"/>
      <c r="BE392"/>
      <c r="BF392"/>
      <c r="BG392"/>
      <c r="BH392"/>
      <c r="BI392"/>
      <c r="BJ392"/>
      <c r="BR392"/>
      <c r="BS392"/>
      <c r="BT392"/>
      <c r="BU392"/>
      <c r="BX392"/>
      <c r="BY392"/>
      <c r="CA392"/>
    </row>
    <row r="393" spans="2:79" ht="18.75">
      <c r="B393" s="252" t="s">
        <v>818</v>
      </c>
      <c r="C393" s="251">
        <v>34054867000141</v>
      </c>
      <c r="D393" s="252" t="s">
        <v>14</v>
      </c>
      <c r="E393" s="252" t="s">
        <v>607</v>
      </c>
      <c r="F393" s="252" t="s">
        <v>1417</v>
      </c>
      <c r="G393" s="253" t="s">
        <v>1417</v>
      </c>
      <c r="H393" s="253" t="s">
        <v>34</v>
      </c>
      <c r="I393" s="253" t="s">
        <v>34</v>
      </c>
      <c r="J393" s="253" t="s">
        <v>608</v>
      </c>
      <c r="K393" s="253" t="s">
        <v>48</v>
      </c>
      <c r="L393" s="655"/>
      <c r="M393" s="655" t="s">
        <v>34</v>
      </c>
      <c r="N393" s="253" t="s">
        <v>2971</v>
      </c>
      <c r="O393" s="253" t="s">
        <v>1321</v>
      </c>
      <c r="P393" s="656">
        <v>43740</v>
      </c>
      <c r="Q393" s="657">
        <v>9.7067724099999992</v>
      </c>
      <c r="R393" s="657">
        <v>10.696337825696716</v>
      </c>
      <c r="S393" s="253">
        <v>12</v>
      </c>
      <c r="T393" s="658">
        <v>-1.6183243863030161E-2</v>
      </c>
      <c r="U393" s="659">
        <v>-0.80922774166554667</v>
      </c>
      <c r="V393" s="658">
        <v>-0.12573527516901783</v>
      </c>
      <c r="W393" s="659">
        <v>-0.97511604625967518</v>
      </c>
      <c r="X393" s="658">
        <v>-0.12016909103302231</v>
      </c>
      <c r="Y393" s="659">
        <v>-0.62235483036830752</v>
      </c>
      <c r="Z393" s="658">
        <v>-0.18770036102368526</v>
      </c>
      <c r="AA393" s="659">
        <v>-0.84751912586939615</v>
      </c>
      <c r="AB393" s="658">
        <v>0.2571376421961023</v>
      </c>
      <c r="AC393" s="660">
        <v>-0.99043913773456316</v>
      </c>
      <c r="AD393" s="682">
        <v>16880814000106</v>
      </c>
      <c r="AE393" s="944" t="s">
        <v>1736</v>
      </c>
      <c r="AF393" s="661" t="s">
        <v>1769</v>
      </c>
      <c r="AG393" s="662" t="s">
        <v>719</v>
      </c>
      <c r="AH393" s="662" t="s">
        <v>1734</v>
      </c>
      <c r="AI393" s="662">
        <v>100</v>
      </c>
      <c r="AJ393" s="662">
        <v>100</v>
      </c>
      <c r="AK393" s="662">
        <v>100</v>
      </c>
      <c r="AL393" s="658">
        <v>1.4999999999999999E-2</v>
      </c>
      <c r="AM393" s="658">
        <v>0.2</v>
      </c>
      <c r="AN393" s="659" t="s">
        <v>2122</v>
      </c>
      <c r="AO393" s="253" t="s">
        <v>34</v>
      </c>
      <c r="AP393" s="944" t="s">
        <v>1731</v>
      </c>
      <c r="AQ393" s="663" t="s">
        <v>681</v>
      </c>
      <c r="AR393" s="658">
        <v>4.0000000000000001E-3</v>
      </c>
      <c r="AS393" s="658">
        <v>4.0000000000000001E-3</v>
      </c>
      <c r="AT393" s="658" t="s">
        <v>1417</v>
      </c>
      <c r="AU393" s="658" t="s">
        <v>2751</v>
      </c>
      <c r="AX393"/>
      <c r="AY393"/>
      <c r="BA393"/>
      <c r="BB393"/>
      <c r="BC393"/>
      <c r="BD393"/>
      <c r="BE393"/>
      <c r="BF393"/>
      <c r="BG393"/>
      <c r="BH393"/>
      <c r="BI393"/>
      <c r="BJ393"/>
      <c r="BR393"/>
      <c r="BS393"/>
      <c r="BT393"/>
      <c r="BU393"/>
      <c r="BX393"/>
      <c r="BY393"/>
      <c r="CA393"/>
    </row>
    <row r="394" spans="2:79" ht="18.75">
      <c r="B394" s="252" t="s">
        <v>819</v>
      </c>
      <c r="C394" s="251">
        <v>32158424000175</v>
      </c>
      <c r="D394" s="252" t="s">
        <v>13</v>
      </c>
      <c r="E394" s="252" t="s">
        <v>615</v>
      </c>
      <c r="F394" s="252" t="s">
        <v>619</v>
      </c>
      <c r="G394" s="253" t="s">
        <v>34</v>
      </c>
      <c r="H394" s="253" t="s">
        <v>1337</v>
      </c>
      <c r="I394" s="253" t="s">
        <v>34</v>
      </c>
      <c r="J394" s="253" t="s">
        <v>1417</v>
      </c>
      <c r="K394" s="253" t="s">
        <v>48</v>
      </c>
      <c r="L394" s="655"/>
      <c r="M394" s="655" t="s">
        <v>1414</v>
      </c>
      <c r="N394" s="253" t="s">
        <v>2972</v>
      </c>
      <c r="O394" s="253" t="s">
        <v>1321</v>
      </c>
      <c r="P394" s="656">
        <v>43464</v>
      </c>
      <c r="Q394" s="657">
        <v>12.338577239999999</v>
      </c>
      <c r="R394" s="657">
        <v>12.062294843591834</v>
      </c>
      <c r="S394" s="253">
        <v>2</v>
      </c>
      <c r="T394" s="658">
        <v>1.8923392892559177E-2</v>
      </c>
      <c r="U394" s="659">
        <v>0.9462462918252188</v>
      </c>
      <c r="V394" s="658">
        <v>9.1712116737638683E-2</v>
      </c>
      <c r="W394" s="659">
        <v>0.71125590290471052</v>
      </c>
      <c r="X394" s="658">
        <v>0.12080905811656018</v>
      </c>
      <c r="Y394" s="659">
        <v>0.62566921514306684</v>
      </c>
      <c r="Z394" s="658">
        <v>0.15381444191932236</v>
      </c>
      <c r="AA394" s="659">
        <v>0.6945148141995493</v>
      </c>
      <c r="AB394" s="658">
        <v>2.0650134036723576E-2</v>
      </c>
      <c r="AC394" s="660">
        <v>-1.8029806800739294</v>
      </c>
      <c r="AD394" s="682">
        <v>0</v>
      </c>
      <c r="AE394" s="944" t="s">
        <v>1736</v>
      </c>
      <c r="AF394" s="661" t="s">
        <v>1769</v>
      </c>
      <c r="AG394" s="662" t="s">
        <v>719</v>
      </c>
      <c r="AH394" s="662" t="s">
        <v>1734</v>
      </c>
      <c r="AI394" s="662">
        <v>100</v>
      </c>
      <c r="AJ394" s="662">
        <v>100</v>
      </c>
      <c r="AK394" s="662">
        <v>100</v>
      </c>
      <c r="AL394" s="658">
        <v>0.01</v>
      </c>
      <c r="AM394" s="658">
        <v>0.2</v>
      </c>
      <c r="AN394" s="659" t="s">
        <v>64</v>
      </c>
      <c r="AO394" s="253" t="s">
        <v>34</v>
      </c>
      <c r="AP394" s="944" t="s">
        <v>1746</v>
      </c>
      <c r="AQ394" s="663" t="s">
        <v>668</v>
      </c>
      <c r="AR394" s="658">
        <v>2.66666666666667E-3</v>
      </c>
      <c r="AS394" s="658">
        <v>2.66666666666667E-3</v>
      </c>
      <c r="AT394" s="658" t="s">
        <v>1417</v>
      </c>
      <c r="AU394" s="658" t="s">
        <v>2751</v>
      </c>
      <c r="AX394"/>
      <c r="AY394"/>
      <c r="BA394"/>
      <c r="BB394"/>
      <c r="BC394"/>
      <c r="BD394"/>
      <c r="BE394"/>
      <c r="BF394"/>
      <c r="BG394"/>
      <c r="BH394"/>
      <c r="BI394"/>
      <c r="BJ394"/>
      <c r="BR394"/>
      <c r="BS394"/>
      <c r="BT394"/>
      <c r="BU394"/>
      <c r="BX394"/>
      <c r="BY394"/>
      <c r="CA394"/>
    </row>
    <row r="395" spans="2:79" ht="18.75">
      <c r="B395" s="252" t="s">
        <v>820</v>
      </c>
      <c r="C395" s="251">
        <v>32158430000122</v>
      </c>
      <c r="D395" s="252" t="s">
        <v>14</v>
      </c>
      <c r="E395" s="252" t="s">
        <v>607</v>
      </c>
      <c r="F395" s="252" t="s">
        <v>1417</v>
      </c>
      <c r="G395" s="253" t="s">
        <v>1417</v>
      </c>
      <c r="H395" s="253" t="s">
        <v>34</v>
      </c>
      <c r="I395" s="253" t="s">
        <v>34</v>
      </c>
      <c r="J395" s="253" t="s">
        <v>608</v>
      </c>
      <c r="K395" s="253" t="s">
        <v>48</v>
      </c>
      <c r="L395" s="655"/>
      <c r="M395" s="655" t="s">
        <v>34</v>
      </c>
      <c r="N395" s="253" t="s">
        <v>2973</v>
      </c>
      <c r="O395" s="253" t="s">
        <v>1321</v>
      </c>
      <c r="P395" s="656">
        <v>43464</v>
      </c>
      <c r="Q395" s="657">
        <v>12.23408646</v>
      </c>
      <c r="R395" s="657">
        <v>12.689726952367339</v>
      </c>
      <c r="S395" s="253">
        <v>16</v>
      </c>
      <c r="T395" s="658">
        <v>-3.2260851524410716E-2</v>
      </c>
      <c r="U395" s="659">
        <v>-1.6131732453803744</v>
      </c>
      <c r="V395" s="658">
        <v>-1.281229169579079E-2</v>
      </c>
      <c r="W395" s="659">
        <v>-9.936329486797571E-2</v>
      </c>
      <c r="X395" s="658">
        <v>4.9828182550507583E-2</v>
      </c>
      <c r="Y395" s="659">
        <v>0.25805978752273723</v>
      </c>
      <c r="Z395" s="658">
        <v>5.244056271829356E-2</v>
      </c>
      <c r="AA395" s="659">
        <v>0.23678366750450269</v>
      </c>
      <c r="AB395" s="658">
        <v>0.19209234581269588</v>
      </c>
      <c r="AC395" s="660">
        <v>-0.7379586133057161</v>
      </c>
      <c r="AD395" s="682">
        <v>17284948000119</v>
      </c>
      <c r="AE395" s="944" t="s">
        <v>1736</v>
      </c>
      <c r="AF395" s="661" t="s">
        <v>1769</v>
      </c>
      <c r="AG395" s="662" t="s">
        <v>719</v>
      </c>
      <c r="AH395" s="662" t="s">
        <v>1734</v>
      </c>
      <c r="AI395" s="662">
        <v>100</v>
      </c>
      <c r="AJ395" s="662">
        <v>100</v>
      </c>
      <c r="AK395" s="662">
        <v>100</v>
      </c>
      <c r="AL395" s="658">
        <v>1.4999999999999999E-2</v>
      </c>
      <c r="AM395" s="658">
        <v>1</v>
      </c>
      <c r="AN395" s="659" t="s">
        <v>2122</v>
      </c>
      <c r="AO395" s="253" t="s">
        <v>34</v>
      </c>
      <c r="AP395" s="944" t="s">
        <v>1731</v>
      </c>
      <c r="AQ395" s="663" t="s">
        <v>667</v>
      </c>
      <c r="AR395" s="658">
        <v>4.0000000000000001E-3</v>
      </c>
      <c r="AS395" s="658">
        <v>4.0000000000000001E-3</v>
      </c>
      <c r="AT395" s="658" t="s">
        <v>1417</v>
      </c>
      <c r="AU395" s="658" t="s">
        <v>2751</v>
      </c>
      <c r="AX395"/>
      <c r="AY395"/>
      <c r="BA395"/>
      <c r="BB395"/>
      <c r="BC395"/>
      <c r="BD395"/>
      <c r="BE395"/>
      <c r="BF395"/>
      <c r="BG395"/>
      <c r="BH395"/>
      <c r="BI395"/>
      <c r="BJ395"/>
      <c r="BR395"/>
      <c r="BS395"/>
      <c r="BT395"/>
      <c r="BU395"/>
      <c r="BX395"/>
      <c r="BY395"/>
      <c r="CA395"/>
    </row>
    <row r="396" spans="2:79" ht="18.75">
      <c r="B396" s="252" t="s">
        <v>821</v>
      </c>
      <c r="C396" s="251">
        <v>36521791000142</v>
      </c>
      <c r="D396" s="252" t="s">
        <v>14</v>
      </c>
      <c r="E396" s="252" t="s">
        <v>614</v>
      </c>
      <c r="F396" s="252" t="s">
        <v>1417</v>
      </c>
      <c r="G396" s="253" t="s">
        <v>1417</v>
      </c>
      <c r="H396" s="253" t="s">
        <v>865</v>
      </c>
      <c r="I396" s="253" t="s">
        <v>34</v>
      </c>
      <c r="J396" s="253" t="s">
        <v>608</v>
      </c>
      <c r="K396" s="253" t="s">
        <v>48</v>
      </c>
      <c r="L396" s="655"/>
      <c r="M396" s="655" t="s">
        <v>34</v>
      </c>
      <c r="N396" s="253" t="s">
        <v>2974</v>
      </c>
      <c r="O396" s="253" t="s">
        <v>1321</v>
      </c>
      <c r="P396" s="656">
        <v>43953</v>
      </c>
      <c r="Q396" s="657">
        <v>12.614587050000001</v>
      </c>
      <c r="R396" s="657">
        <v>12.495965954467204</v>
      </c>
      <c r="S396" s="253">
        <v>16</v>
      </c>
      <c r="T396" s="658">
        <v>-1.4569041392867299E-2</v>
      </c>
      <c r="U396" s="659">
        <v>-0.7285110800013842</v>
      </c>
      <c r="V396" s="658">
        <v>3.5326570585942241E-2</v>
      </c>
      <c r="W396" s="659">
        <v>0.27396850876869494</v>
      </c>
      <c r="X396" s="658">
        <v>4.0618790838215624E-2</v>
      </c>
      <c r="Y396" s="659">
        <v>0.21036441621195862</v>
      </c>
      <c r="Z396" s="658"/>
      <c r="AA396" s="659"/>
      <c r="AB396" s="658">
        <v>0.1650484892774671</v>
      </c>
      <c r="AC396" s="660">
        <v>-0.5672111224445302</v>
      </c>
      <c r="AD396" s="682">
        <v>20216279000152</v>
      </c>
      <c r="AE396" s="944" t="s">
        <v>1736</v>
      </c>
      <c r="AF396" s="661" t="s">
        <v>1769</v>
      </c>
      <c r="AG396" s="662" t="s">
        <v>719</v>
      </c>
      <c r="AH396" s="662" t="s">
        <v>1730</v>
      </c>
      <c r="AI396" s="662">
        <v>100</v>
      </c>
      <c r="AJ396" s="662">
        <v>100</v>
      </c>
      <c r="AK396" s="662">
        <v>100</v>
      </c>
      <c r="AL396" s="658">
        <v>1.4999999999999999E-2</v>
      </c>
      <c r="AM396" s="658">
        <v>0.2</v>
      </c>
      <c r="AN396" s="659" t="s">
        <v>2141</v>
      </c>
      <c r="AO396" s="253" t="s">
        <v>34</v>
      </c>
      <c r="AP396" s="944" t="s">
        <v>1746</v>
      </c>
      <c r="AQ396" s="663" t="s">
        <v>668</v>
      </c>
      <c r="AR396" s="658">
        <v>4.0000000000000001E-3</v>
      </c>
      <c r="AS396" s="658">
        <v>4.0000000000000001E-3</v>
      </c>
      <c r="AT396" s="658" t="s">
        <v>1417</v>
      </c>
      <c r="AU396" s="658" t="s">
        <v>2751</v>
      </c>
      <c r="AX396"/>
      <c r="AY396"/>
      <c r="BA396"/>
      <c r="BB396"/>
      <c r="BC396"/>
      <c r="BD396"/>
      <c r="BE396"/>
      <c r="BF396"/>
      <c r="BG396"/>
      <c r="BH396"/>
      <c r="BI396"/>
      <c r="BJ396"/>
      <c r="BR396"/>
      <c r="BS396"/>
      <c r="BT396"/>
      <c r="BU396"/>
      <c r="BX396"/>
      <c r="BY396"/>
      <c r="CA396"/>
    </row>
    <row r="397" spans="2:79" ht="18.75">
      <c r="B397" s="252" t="s">
        <v>578</v>
      </c>
      <c r="C397" s="251">
        <v>39151551000191</v>
      </c>
      <c r="D397" s="252" t="s">
        <v>14</v>
      </c>
      <c r="E397" s="252" t="s">
        <v>607</v>
      </c>
      <c r="F397" s="252" t="s">
        <v>1417</v>
      </c>
      <c r="G397" s="253" t="s">
        <v>1417</v>
      </c>
      <c r="H397" s="253" t="s">
        <v>34</v>
      </c>
      <c r="I397" s="253" t="s">
        <v>34</v>
      </c>
      <c r="J397" s="253" t="s">
        <v>612</v>
      </c>
      <c r="K397" s="253" t="s">
        <v>48</v>
      </c>
      <c r="L397" s="655"/>
      <c r="M397" s="655" t="s">
        <v>1414</v>
      </c>
      <c r="N397" s="253" t="s">
        <v>2975</v>
      </c>
      <c r="O397" s="253" t="s">
        <v>1321</v>
      </c>
      <c r="P397" s="656">
        <v>44195</v>
      </c>
      <c r="Q397" s="657">
        <v>24.347004370000001</v>
      </c>
      <c r="R397" s="657">
        <v>90.72487204710751</v>
      </c>
      <c r="S397" s="253">
        <v>9</v>
      </c>
      <c r="T397" s="658">
        <v>1.5319612254137915E-2</v>
      </c>
      <c r="U397" s="659">
        <v>0.76604266317263714</v>
      </c>
      <c r="V397" s="658">
        <v>-0.26099136284599633</v>
      </c>
      <c r="W397" s="659">
        <v>-2.024068945681381</v>
      </c>
      <c r="X397" s="658">
        <v>-0.37163517628058718</v>
      </c>
      <c r="Y397" s="659">
        <v>-1.9246958190725016</v>
      </c>
      <c r="Z397" s="658"/>
      <c r="AA397" s="659"/>
      <c r="AB397" s="658">
        <v>0.30141375690714811</v>
      </c>
      <c r="AC397" s="660">
        <v>-1.2936877078669837</v>
      </c>
      <c r="AD397" s="682">
        <v>0</v>
      </c>
      <c r="AE397" s="944" t="s">
        <v>1736</v>
      </c>
      <c r="AF397" s="661" t="s">
        <v>1737</v>
      </c>
      <c r="AG397" s="662" t="s">
        <v>719</v>
      </c>
      <c r="AH397" s="662" t="s">
        <v>1730</v>
      </c>
      <c r="AI397" s="662">
        <v>1000</v>
      </c>
      <c r="AJ397" s="662">
        <v>500</v>
      </c>
      <c r="AK397" s="662">
        <v>500</v>
      </c>
      <c r="AL397" s="658">
        <v>5.0000000000000001E-3</v>
      </c>
      <c r="AM397" s="658">
        <v>0</v>
      </c>
      <c r="AN397" s="659" t="s">
        <v>2122</v>
      </c>
      <c r="AO397" s="253" t="s">
        <v>34</v>
      </c>
      <c r="AP397" s="944" t="s">
        <v>1731</v>
      </c>
      <c r="AQ397" s="663" t="s">
        <v>687</v>
      </c>
      <c r="AR397" s="658">
        <v>1.33333333333333E-3</v>
      </c>
      <c r="AS397" s="658">
        <v>1.33333333333333E-3</v>
      </c>
      <c r="AT397" s="658" t="s">
        <v>1417</v>
      </c>
      <c r="AU397" s="658" t="s">
        <v>2751</v>
      </c>
      <c r="AX397"/>
      <c r="AY397"/>
      <c r="BA397"/>
      <c r="BB397"/>
      <c r="BC397"/>
      <c r="BD397"/>
      <c r="BE397"/>
      <c r="BF397"/>
      <c r="BG397"/>
      <c r="BH397"/>
      <c r="BI397"/>
      <c r="BJ397"/>
      <c r="BR397"/>
      <c r="BS397"/>
      <c r="BT397"/>
      <c r="BU397"/>
      <c r="BX397"/>
      <c r="BY397"/>
      <c r="CA397"/>
    </row>
    <row r="398" spans="2:79" ht="18.75">
      <c r="B398" s="252" t="s">
        <v>1289</v>
      </c>
      <c r="C398" s="251">
        <v>32388012000121</v>
      </c>
      <c r="D398" s="252" t="s">
        <v>11</v>
      </c>
      <c r="E398" s="252" t="s">
        <v>620</v>
      </c>
      <c r="F398" s="252" t="s">
        <v>692</v>
      </c>
      <c r="G398" s="253" t="s">
        <v>738</v>
      </c>
      <c r="H398" s="253" t="s">
        <v>34</v>
      </c>
      <c r="I398" s="253" t="s">
        <v>1417</v>
      </c>
      <c r="J398" s="253" t="s">
        <v>608</v>
      </c>
      <c r="K398" s="253" t="s">
        <v>48</v>
      </c>
      <c r="L398" s="655"/>
      <c r="M398" s="655" t="s">
        <v>34</v>
      </c>
      <c r="N398" s="253" t="s">
        <v>2976</v>
      </c>
      <c r="O398" s="253" t="s">
        <v>1321</v>
      </c>
      <c r="P398" s="656">
        <v>43677</v>
      </c>
      <c r="Q398" s="657">
        <v>2275.1227638199998</v>
      </c>
      <c r="R398" s="657">
        <v>2107.7479454906975</v>
      </c>
      <c r="S398" s="253">
        <v>31</v>
      </c>
      <c r="T398" s="658">
        <v>-5.6950886274155232E-3</v>
      </c>
      <c r="U398" s="659">
        <v>-0.28477749872365082</v>
      </c>
      <c r="V398" s="658">
        <v>8.9202082407335181E-2</v>
      </c>
      <c r="W398" s="659">
        <v>0.69178980837514048</v>
      </c>
      <c r="X398" s="658">
        <v>0.1858753714982837</v>
      </c>
      <c r="Y398" s="659">
        <v>0.96264716911831893</v>
      </c>
      <c r="Z398" s="658">
        <v>0.23394666056898727</v>
      </c>
      <c r="AA398" s="659">
        <v>1.0563339792429749</v>
      </c>
      <c r="AB398" s="658">
        <v>2.523431607259061E-2</v>
      </c>
      <c r="AC398" s="660">
        <v>-1.574911993855088</v>
      </c>
      <c r="AD398" s="682">
        <v>32388028000134</v>
      </c>
      <c r="AE398" s="944" t="s">
        <v>1736</v>
      </c>
      <c r="AF398" s="661" t="s">
        <v>1737</v>
      </c>
      <c r="AG398" s="662" t="s">
        <v>719</v>
      </c>
      <c r="AH398" s="662" t="s">
        <v>1734</v>
      </c>
      <c r="AI398" s="662">
        <v>1000</v>
      </c>
      <c r="AJ398" s="662">
        <v>1000</v>
      </c>
      <c r="AK398" s="662">
        <v>0</v>
      </c>
      <c r="AL398" s="658">
        <v>5.0000000000000001E-3</v>
      </c>
      <c r="AM398" s="658">
        <v>0</v>
      </c>
      <c r="AN398" s="659" t="s">
        <v>64</v>
      </c>
      <c r="AO398" s="253" t="s">
        <v>34</v>
      </c>
      <c r="AP398" s="944" t="s">
        <v>1735</v>
      </c>
      <c r="AQ398" s="663" t="s">
        <v>675</v>
      </c>
      <c r="AR398" s="658">
        <v>1.33333333333333E-3</v>
      </c>
      <c r="AS398" s="658">
        <v>1.33333333333333E-3</v>
      </c>
      <c r="AT398" s="658" t="s">
        <v>1417</v>
      </c>
      <c r="AU398" s="658" t="s">
        <v>2751</v>
      </c>
      <c r="AX398"/>
      <c r="AY398"/>
      <c r="BA398"/>
      <c r="BB398"/>
      <c r="BC398"/>
      <c r="BD398"/>
      <c r="BE398"/>
      <c r="BF398"/>
      <c r="BG398"/>
      <c r="BH398"/>
      <c r="BI398"/>
      <c r="BJ398"/>
      <c r="BR398"/>
      <c r="BS398"/>
      <c r="BT398"/>
      <c r="BU398"/>
      <c r="BX398"/>
      <c r="BY398"/>
      <c r="CA398"/>
    </row>
    <row r="399" spans="2:79" ht="18.75">
      <c r="B399" s="252" t="s">
        <v>1290</v>
      </c>
      <c r="C399" s="251">
        <v>44315861000134</v>
      </c>
      <c r="D399" s="252" t="s">
        <v>11</v>
      </c>
      <c r="E399" s="252" t="s">
        <v>621</v>
      </c>
      <c r="F399" s="252" t="s">
        <v>692</v>
      </c>
      <c r="G399" s="253" t="s">
        <v>865</v>
      </c>
      <c r="H399" s="253" t="s">
        <v>34</v>
      </c>
      <c r="I399" s="253" t="s">
        <v>1417</v>
      </c>
      <c r="J399" s="253" t="s">
        <v>608</v>
      </c>
      <c r="K399" s="253" t="s">
        <v>48</v>
      </c>
      <c r="L399" s="655"/>
      <c r="M399" s="655" t="s">
        <v>34</v>
      </c>
      <c r="N399" s="253" t="s">
        <v>2977</v>
      </c>
      <c r="O399" s="253" t="s">
        <v>1321</v>
      </c>
      <c r="P399" s="656">
        <v>44560</v>
      </c>
      <c r="Q399" s="657"/>
      <c r="R399" s="657"/>
      <c r="S399" s="253">
        <v>31</v>
      </c>
      <c r="T399" s="658"/>
      <c r="U399" s="659"/>
      <c r="V399" s="658"/>
      <c r="W399" s="659"/>
      <c r="X399" s="658"/>
      <c r="Y399" s="659"/>
      <c r="Z399" s="658"/>
      <c r="AA399" s="659"/>
      <c r="AB399" s="658"/>
      <c r="AC399" s="660"/>
      <c r="AD399" s="682">
        <v>44315864000178</v>
      </c>
      <c r="AE399" s="944" t="s">
        <v>1736</v>
      </c>
      <c r="AF399" s="661" t="s">
        <v>1737</v>
      </c>
      <c r="AG399" s="662" t="s">
        <v>719</v>
      </c>
      <c r="AH399" s="662" t="s">
        <v>1734</v>
      </c>
      <c r="AI399" s="662">
        <v>100</v>
      </c>
      <c r="AJ399" s="662">
        <v>100</v>
      </c>
      <c r="AK399" s="662">
        <v>100</v>
      </c>
      <c r="AL399" s="658">
        <v>5.0000000000000001E-3</v>
      </c>
      <c r="AM399" s="658">
        <v>0.15</v>
      </c>
      <c r="AN399" s="659" t="s">
        <v>636</v>
      </c>
      <c r="AO399" s="253" t="s">
        <v>34</v>
      </c>
      <c r="AP399" s="944" t="s">
        <v>1746</v>
      </c>
      <c r="AQ399" s="663" t="s">
        <v>671</v>
      </c>
      <c r="AR399" s="658">
        <v>1.33333333333333E-3</v>
      </c>
      <c r="AS399" s="658">
        <v>1.33333333333333E-3</v>
      </c>
      <c r="AT399" s="658" t="s">
        <v>1417</v>
      </c>
      <c r="AU399" s="658" t="s">
        <v>2751</v>
      </c>
      <c r="AX399"/>
      <c r="AY399"/>
      <c r="BA399"/>
      <c r="BB399"/>
      <c r="BC399"/>
      <c r="BD399"/>
      <c r="BE399"/>
      <c r="BF399"/>
      <c r="BG399"/>
      <c r="BH399"/>
      <c r="BI399"/>
      <c r="BJ399"/>
      <c r="BR399"/>
      <c r="BS399"/>
      <c r="BT399"/>
      <c r="BU399"/>
      <c r="BX399"/>
      <c r="BY399"/>
      <c r="CA399"/>
    </row>
    <row r="400" spans="2:79" ht="18.75">
      <c r="B400" s="252" t="s">
        <v>533</v>
      </c>
      <c r="C400" s="251">
        <v>28428129000114</v>
      </c>
      <c r="D400" s="252" t="s">
        <v>13</v>
      </c>
      <c r="E400" s="252" t="s">
        <v>615</v>
      </c>
      <c r="F400" s="252" t="s">
        <v>619</v>
      </c>
      <c r="G400" s="253" t="s">
        <v>34</v>
      </c>
      <c r="H400" s="253" t="s">
        <v>865</v>
      </c>
      <c r="I400" s="253" t="s">
        <v>34</v>
      </c>
      <c r="J400" s="253" t="s">
        <v>1417</v>
      </c>
      <c r="K400" s="253" t="s">
        <v>48</v>
      </c>
      <c r="L400" s="655"/>
      <c r="M400" s="655" t="s">
        <v>1414</v>
      </c>
      <c r="N400" s="253" t="s">
        <v>2978</v>
      </c>
      <c r="O400" s="253" t="s">
        <v>1321</v>
      </c>
      <c r="P400" s="656">
        <v>43041</v>
      </c>
      <c r="Q400" s="657">
        <v>191.09488343000001</v>
      </c>
      <c r="R400" s="657">
        <v>209.15805129337406</v>
      </c>
      <c r="S400" s="253">
        <v>31</v>
      </c>
      <c r="T400" s="658">
        <v>1.1118265853944598E-2</v>
      </c>
      <c r="U400" s="659">
        <v>0.55595832605466922</v>
      </c>
      <c r="V400" s="658">
        <v>0.1306400087253472</v>
      </c>
      <c r="W400" s="659">
        <v>1.0131537758226479</v>
      </c>
      <c r="X400" s="658">
        <v>0.16160674752712345</v>
      </c>
      <c r="Y400" s="659">
        <v>0.83696014573313582</v>
      </c>
      <c r="Z400" s="658">
        <v>0.22711227489139385</v>
      </c>
      <c r="AA400" s="659">
        <v>1.0254748346801288</v>
      </c>
      <c r="AB400" s="658">
        <v>6.3980350088135837E-2</v>
      </c>
      <c r="AC400" s="660">
        <v>2.6509690494384532E-2</v>
      </c>
      <c r="AD400" s="682">
        <v>0</v>
      </c>
      <c r="AE400" s="944" t="s">
        <v>1736</v>
      </c>
      <c r="AF400" s="661" t="s">
        <v>1737</v>
      </c>
      <c r="AG400" s="662" t="s">
        <v>719</v>
      </c>
      <c r="AH400" s="662" t="s">
        <v>1734</v>
      </c>
      <c r="AI400" s="662">
        <v>500</v>
      </c>
      <c r="AJ400" s="662">
        <v>500</v>
      </c>
      <c r="AK400" s="662">
        <v>500</v>
      </c>
      <c r="AL400" s="658">
        <v>0.01</v>
      </c>
      <c r="AM400" s="658">
        <v>0</v>
      </c>
      <c r="AN400" s="659" t="s">
        <v>64</v>
      </c>
      <c r="AO400" s="253" t="s">
        <v>34</v>
      </c>
      <c r="AP400" s="944" t="s">
        <v>1746</v>
      </c>
      <c r="AQ400" s="663" t="s">
        <v>668</v>
      </c>
      <c r="AR400" s="658">
        <v>2.66666666666667E-3</v>
      </c>
      <c r="AS400" s="658">
        <v>2.66666666666667E-3</v>
      </c>
      <c r="AT400" s="658" t="s">
        <v>1417</v>
      </c>
      <c r="AU400" s="658" t="s">
        <v>2751</v>
      </c>
      <c r="AX400"/>
      <c r="AY400"/>
      <c r="BA400"/>
      <c r="BB400"/>
      <c r="BC400"/>
      <c r="BD400"/>
      <c r="BE400"/>
      <c r="BF400"/>
      <c r="BG400"/>
      <c r="BH400"/>
      <c r="BI400"/>
      <c r="BJ400"/>
      <c r="BR400"/>
      <c r="BS400"/>
      <c r="BT400"/>
      <c r="BU400"/>
      <c r="BX400"/>
      <c r="BY400"/>
      <c r="CA400"/>
    </row>
    <row r="401" spans="2:79" ht="18.75">
      <c r="B401" s="252" t="s">
        <v>134</v>
      </c>
      <c r="C401" s="251">
        <v>39345047000122</v>
      </c>
      <c r="D401" s="252" t="s">
        <v>14</v>
      </c>
      <c r="E401" s="252" t="s">
        <v>607</v>
      </c>
      <c r="F401" s="252" t="s">
        <v>1417</v>
      </c>
      <c r="G401" s="253" t="s">
        <v>1417</v>
      </c>
      <c r="H401" s="253" t="s">
        <v>34</v>
      </c>
      <c r="I401" s="253" t="s">
        <v>34</v>
      </c>
      <c r="J401" s="253" t="s">
        <v>611</v>
      </c>
      <c r="K401" s="253" t="s">
        <v>1417</v>
      </c>
      <c r="L401" s="655"/>
      <c r="M401" s="655" t="s">
        <v>1414</v>
      </c>
      <c r="N401" s="253" t="s">
        <v>2979</v>
      </c>
      <c r="O401" s="253" t="s">
        <v>1321</v>
      </c>
      <c r="P401" s="656">
        <v>44164</v>
      </c>
      <c r="Q401" s="657">
        <v>11.04255094</v>
      </c>
      <c r="R401" s="657">
        <v>12.545051560901642</v>
      </c>
      <c r="S401" s="253">
        <v>3</v>
      </c>
      <c r="T401" s="658">
        <v>-5.5610891853844491E-3</v>
      </c>
      <c r="U401" s="659">
        <v>-0.27807698387155949</v>
      </c>
      <c r="V401" s="658">
        <v>-0.12880227553610224</v>
      </c>
      <c r="W401" s="659">
        <v>-0.99890158510554106</v>
      </c>
      <c r="X401" s="658">
        <v>-0.12166520023107619</v>
      </c>
      <c r="Y401" s="659">
        <v>-0.63010316879845685</v>
      </c>
      <c r="Z401" s="658"/>
      <c r="AA401" s="659"/>
      <c r="AB401" s="658">
        <v>0.19434406636251961</v>
      </c>
      <c r="AC401" s="660">
        <v>-1.3262364517067573</v>
      </c>
      <c r="AD401" s="682">
        <v>39152933000130</v>
      </c>
      <c r="AE401" s="944" t="s">
        <v>1736</v>
      </c>
      <c r="AF401" s="661" t="s">
        <v>1769</v>
      </c>
      <c r="AG401" s="662" t="s">
        <v>719</v>
      </c>
      <c r="AH401" s="662" t="s">
        <v>1734</v>
      </c>
      <c r="AI401" s="662">
        <v>100</v>
      </c>
      <c r="AJ401" s="662">
        <v>100</v>
      </c>
      <c r="AK401" s="662">
        <v>100</v>
      </c>
      <c r="AL401" s="658">
        <v>0.01</v>
      </c>
      <c r="AM401" s="658">
        <v>0</v>
      </c>
      <c r="AN401" s="659" t="s">
        <v>2122</v>
      </c>
      <c r="AO401" s="253" t="s">
        <v>34</v>
      </c>
      <c r="AP401" s="944" t="s">
        <v>1731</v>
      </c>
      <c r="AQ401" s="663" t="s">
        <v>659</v>
      </c>
      <c r="AR401" s="658">
        <v>0</v>
      </c>
      <c r="AS401" s="658">
        <v>0</v>
      </c>
      <c r="AT401" s="658" t="s">
        <v>1417</v>
      </c>
      <c r="AU401" s="658" t="s">
        <v>2751</v>
      </c>
      <c r="AX401"/>
      <c r="AY401"/>
      <c r="BA401"/>
      <c r="BB401"/>
      <c r="BC401"/>
      <c r="BD401"/>
      <c r="BE401"/>
      <c r="BF401"/>
      <c r="BG401"/>
      <c r="BH401"/>
      <c r="BI401"/>
      <c r="BJ401"/>
      <c r="BR401"/>
      <c r="BS401"/>
      <c r="BT401"/>
      <c r="BU401"/>
      <c r="BX401"/>
      <c r="BY401"/>
      <c r="CA401"/>
    </row>
    <row r="402" spans="2:79" ht="18.75">
      <c r="B402" s="252" t="s">
        <v>468</v>
      </c>
      <c r="C402" s="251">
        <v>41219215000185</v>
      </c>
      <c r="D402" s="252" t="s">
        <v>14</v>
      </c>
      <c r="E402" s="252" t="s">
        <v>607</v>
      </c>
      <c r="F402" s="252" t="s">
        <v>1417</v>
      </c>
      <c r="G402" s="253" t="s">
        <v>1417</v>
      </c>
      <c r="H402" s="253" t="s">
        <v>34</v>
      </c>
      <c r="I402" s="253" t="s">
        <v>34</v>
      </c>
      <c r="J402" s="253" t="s">
        <v>608</v>
      </c>
      <c r="K402" s="253" t="s">
        <v>48</v>
      </c>
      <c r="L402" s="655"/>
      <c r="M402" s="655" t="s">
        <v>1414</v>
      </c>
      <c r="N402" s="253" t="s">
        <v>2980</v>
      </c>
      <c r="O402" s="253" t="s">
        <v>1321</v>
      </c>
      <c r="P402" s="656">
        <v>44349</v>
      </c>
      <c r="Q402" s="657">
        <v>7.3192962699999997</v>
      </c>
      <c r="R402" s="657">
        <v>8.1797637535102066</v>
      </c>
      <c r="S402" s="253">
        <v>32</v>
      </c>
      <c r="T402" s="658">
        <v>-4.3234938474831064E-2</v>
      </c>
      <c r="U402" s="659">
        <v>-2.1619220422774639</v>
      </c>
      <c r="V402" s="658">
        <v>-0.18281218094618246</v>
      </c>
      <c r="W402" s="659">
        <v>-1.4177651486643041</v>
      </c>
      <c r="X402" s="658"/>
      <c r="Y402" s="659"/>
      <c r="Z402" s="658"/>
      <c r="AA402" s="659"/>
      <c r="AB402" s="658">
        <v>0.23720026427193175</v>
      </c>
      <c r="AC402" s="660">
        <v>-1.3143159488033562</v>
      </c>
      <c r="AD402" s="682">
        <v>0</v>
      </c>
      <c r="AE402" s="944" t="s">
        <v>1736</v>
      </c>
      <c r="AF402" s="661" t="s">
        <v>1737</v>
      </c>
      <c r="AG402" s="662" t="s">
        <v>719</v>
      </c>
      <c r="AH402" s="662" t="s">
        <v>1734</v>
      </c>
      <c r="AI402" s="662">
        <v>100</v>
      </c>
      <c r="AJ402" s="662">
        <v>100</v>
      </c>
      <c r="AK402" s="662">
        <v>100</v>
      </c>
      <c r="AL402" s="658">
        <v>7.4999999999999997E-3</v>
      </c>
      <c r="AM402" s="658">
        <v>0</v>
      </c>
      <c r="AN402" s="659" t="s">
        <v>2122</v>
      </c>
      <c r="AO402" s="253" t="s">
        <v>34</v>
      </c>
      <c r="AP402" s="944" t="s">
        <v>1731</v>
      </c>
      <c r="AQ402" s="663" t="s">
        <v>659</v>
      </c>
      <c r="AR402" s="658">
        <v>2E-3</v>
      </c>
      <c r="AS402" s="658">
        <v>2E-3</v>
      </c>
      <c r="AT402" s="658" t="s">
        <v>1417</v>
      </c>
      <c r="AU402" s="658" t="s">
        <v>2751</v>
      </c>
      <c r="AX402"/>
      <c r="AY402"/>
      <c r="BA402"/>
      <c r="BB402"/>
      <c r="BC402"/>
      <c r="BD402"/>
      <c r="BE402"/>
      <c r="BF402"/>
      <c r="BG402"/>
      <c r="BH402"/>
      <c r="BI402"/>
      <c r="BJ402"/>
      <c r="BR402"/>
      <c r="BS402"/>
      <c r="BT402"/>
      <c r="BU402"/>
      <c r="BX402"/>
      <c r="BY402"/>
      <c r="CA402"/>
    </row>
    <row r="403" spans="2:79" ht="18.75">
      <c r="B403" s="252" t="s">
        <v>822</v>
      </c>
      <c r="C403" s="251">
        <v>37310314000109</v>
      </c>
      <c r="D403" s="252" t="s">
        <v>13</v>
      </c>
      <c r="E403" s="252" t="s">
        <v>615</v>
      </c>
      <c r="F403" s="252" t="s">
        <v>619</v>
      </c>
      <c r="G403" s="253" t="s">
        <v>34</v>
      </c>
      <c r="H403" s="253" t="s">
        <v>1337</v>
      </c>
      <c r="I403" s="253" t="s">
        <v>34</v>
      </c>
      <c r="J403" s="253" t="s">
        <v>1417</v>
      </c>
      <c r="K403" s="253" t="s">
        <v>48</v>
      </c>
      <c r="L403" s="655"/>
      <c r="M403" s="655" t="s">
        <v>1414</v>
      </c>
      <c r="N403" s="253" t="s">
        <v>2981</v>
      </c>
      <c r="O403" s="253" t="s">
        <v>1321</v>
      </c>
      <c r="P403" s="656">
        <v>44014</v>
      </c>
      <c r="Q403" s="657">
        <v>75.383223749999999</v>
      </c>
      <c r="R403" s="657">
        <v>89.860771078979596</v>
      </c>
      <c r="S403" s="253">
        <v>6</v>
      </c>
      <c r="T403" s="658">
        <v>2.0290251393307868E-2</v>
      </c>
      <c r="U403" s="659">
        <v>1.0145947531781401</v>
      </c>
      <c r="V403" s="658">
        <v>7.5417950795796829E-2</v>
      </c>
      <c r="W403" s="659">
        <v>0.5848895936176014</v>
      </c>
      <c r="X403" s="658">
        <v>0.10058845844936481</v>
      </c>
      <c r="Y403" s="659">
        <v>0.52094687957705466</v>
      </c>
      <c r="Z403" s="658"/>
      <c r="AA403" s="659"/>
      <c r="AB403" s="658">
        <v>3.2656313590981825E-2</v>
      </c>
      <c r="AC403" s="660">
        <v>-1.639069226288081</v>
      </c>
      <c r="AD403" s="682">
        <v>0</v>
      </c>
      <c r="AE403" s="944" t="s">
        <v>1736</v>
      </c>
      <c r="AF403" s="661" t="s">
        <v>1737</v>
      </c>
      <c r="AG403" s="662" t="s">
        <v>719</v>
      </c>
      <c r="AH403" s="662" t="s">
        <v>1734</v>
      </c>
      <c r="AI403" s="662">
        <v>100</v>
      </c>
      <c r="AJ403" s="662">
        <v>100</v>
      </c>
      <c r="AK403" s="662">
        <v>100</v>
      </c>
      <c r="AL403" s="658">
        <v>0.01</v>
      </c>
      <c r="AM403" s="658">
        <v>0.3</v>
      </c>
      <c r="AN403" s="659" t="s">
        <v>64</v>
      </c>
      <c r="AO403" s="253" t="s">
        <v>34</v>
      </c>
      <c r="AP403" s="944" t="s">
        <v>1746</v>
      </c>
      <c r="AQ403" s="663" t="s">
        <v>668</v>
      </c>
      <c r="AR403" s="658">
        <v>0</v>
      </c>
      <c r="AS403" s="658">
        <v>0</v>
      </c>
      <c r="AT403" s="658" t="s">
        <v>1417</v>
      </c>
      <c r="AU403" s="658" t="s">
        <v>2751</v>
      </c>
      <c r="AX403"/>
      <c r="AY403"/>
      <c r="BA403"/>
      <c r="BB403"/>
      <c r="BC403"/>
      <c r="BD403"/>
      <c r="BE403"/>
      <c r="BF403"/>
      <c r="BG403"/>
      <c r="BH403"/>
      <c r="BI403"/>
      <c r="BJ403"/>
      <c r="BR403"/>
      <c r="BS403"/>
      <c r="BT403"/>
      <c r="BU403"/>
      <c r="BX403"/>
      <c r="BY403"/>
      <c r="CA403"/>
    </row>
    <row r="404" spans="2:79" ht="18.75">
      <c r="B404" s="252" t="s">
        <v>823</v>
      </c>
      <c r="C404" s="251">
        <v>38376759000146</v>
      </c>
      <c r="D404" s="252" t="s">
        <v>13</v>
      </c>
      <c r="E404" s="252" t="s">
        <v>616</v>
      </c>
      <c r="F404" s="252" t="s">
        <v>617</v>
      </c>
      <c r="G404" s="253" t="s">
        <v>34</v>
      </c>
      <c r="H404" s="253" t="s">
        <v>1337</v>
      </c>
      <c r="I404" s="253" t="s">
        <v>34</v>
      </c>
      <c r="J404" s="253" t="s">
        <v>608</v>
      </c>
      <c r="K404" s="253" t="s">
        <v>48</v>
      </c>
      <c r="L404" s="655"/>
      <c r="M404" s="655" t="s">
        <v>1414</v>
      </c>
      <c r="N404" s="253" t="s">
        <v>2982</v>
      </c>
      <c r="O404" s="253" t="s">
        <v>1321</v>
      </c>
      <c r="P404" s="656">
        <v>44107</v>
      </c>
      <c r="Q404" s="657">
        <v>69.212002479999995</v>
      </c>
      <c r="R404" s="657">
        <v>45.172362438326537</v>
      </c>
      <c r="S404" s="253">
        <v>16</v>
      </c>
      <c r="T404" s="658">
        <v>1.7966200851239567E-2</v>
      </c>
      <c r="U404" s="659">
        <v>0.89838281275432574</v>
      </c>
      <c r="V404" s="658">
        <v>0.16638872188967557</v>
      </c>
      <c r="W404" s="659">
        <v>1.2903961311824479</v>
      </c>
      <c r="X404" s="658">
        <v>0.20003980183943004</v>
      </c>
      <c r="Y404" s="659">
        <v>1.0360046487035262</v>
      </c>
      <c r="Z404" s="658"/>
      <c r="AA404" s="659"/>
      <c r="AB404" s="658">
        <v>4.5716022570117337E-2</v>
      </c>
      <c r="AC404" s="660">
        <v>0.81907415251306959</v>
      </c>
      <c r="AD404" s="682">
        <v>38388984000100</v>
      </c>
      <c r="AE404" s="944" t="s">
        <v>1736</v>
      </c>
      <c r="AF404" s="661" t="s">
        <v>1737</v>
      </c>
      <c r="AG404" s="662" t="s">
        <v>719</v>
      </c>
      <c r="AH404" s="662" t="s">
        <v>1734</v>
      </c>
      <c r="AI404" s="662">
        <v>100</v>
      </c>
      <c r="AJ404" s="662">
        <v>100</v>
      </c>
      <c r="AK404" s="662">
        <v>100</v>
      </c>
      <c r="AL404" s="658">
        <v>0.01</v>
      </c>
      <c r="AM404" s="658">
        <v>0.3</v>
      </c>
      <c r="AN404" s="659" t="s">
        <v>64</v>
      </c>
      <c r="AO404" s="253" t="s">
        <v>34</v>
      </c>
      <c r="AP404" s="944" t="s">
        <v>1746</v>
      </c>
      <c r="AQ404" s="663" t="s">
        <v>668</v>
      </c>
      <c r="AR404" s="658">
        <v>2.66666666666667E-3</v>
      </c>
      <c r="AS404" s="658">
        <v>2.66666666666667E-3</v>
      </c>
      <c r="AT404" s="658" t="s">
        <v>1417</v>
      </c>
      <c r="AU404" s="658" t="s">
        <v>2751</v>
      </c>
      <c r="AX404"/>
      <c r="AY404"/>
      <c r="BA404"/>
      <c r="BB404"/>
      <c r="BC404"/>
      <c r="BD404"/>
      <c r="BE404"/>
      <c r="BF404"/>
      <c r="BG404"/>
      <c r="BH404"/>
      <c r="BI404"/>
      <c r="BJ404"/>
      <c r="BR404"/>
      <c r="BS404"/>
      <c r="BT404"/>
      <c r="BU404"/>
      <c r="BX404"/>
      <c r="BY404"/>
      <c r="CA404"/>
    </row>
    <row r="405" spans="2:79" ht="18.75">
      <c r="B405" s="252" t="s">
        <v>511</v>
      </c>
      <c r="C405" s="251">
        <v>38860877000125</v>
      </c>
      <c r="D405" s="252" t="s">
        <v>13</v>
      </c>
      <c r="E405" s="252" t="s">
        <v>616</v>
      </c>
      <c r="F405" s="252" t="s">
        <v>619</v>
      </c>
      <c r="G405" s="253" t="s">
        <v>1417</v>
      </c>
      <c r="H405" s="253" t="s">
        <v>865</v>
      </c>
      <c r="I405" s="253" t="s">
        <v>34</v>
      </c>
      <c r="J405" s="253" t="s">
        <v>611</v>
      </c>
      <c r="K405" s="253" t="s">
        <v>1417</v>
      </c>
      <c r="L405" s="655"/>
      <c r="M405" s="655" t="s">
        <v>1414</v>
      </c>
      <c r="N405" s="253" t="s">
        <v>2983</v>
      </c>
      <c r="O405" s="253" t="s">
        <v>1321</v>
      </c>
      <c r="P405" s="656">
        <v>44164</v>
      </c>
      <c r="Q405" s="657">
        <v>15.83929547</v>
      </c>
      <c r="R405" s="657">
        <v>16.25700217036734</v>
      </c>
      <c r="S405" s="253">
        <v>3</v>
      </c>
      <c r="T405" s="658">
        <v>1.4686712077718322E-2</v>
      </c>
      <c r="U405" s="659">
        <v>0.73439509085657262</v>
      </c>
      <c r="V405" s="658">
        <v>4.9123060197145962E-2</v>
      </c>
      <c r="W405" s="659">
        <v>0.38096456364554165</v>
      </c>
      <c r="X405" s="658">
        <v>7.8428292064978145E-2</v>
      </c>
      <c r="Y405" s="659">
        <v>0.40617954238134801</v>
      </c>
      <c r="Z405" s="658"/>
      <c r="AA405" s="659"/>
      <c r="AB405" s="658">
        <v>4.8882135001726008E-2</v>
      </c>
      <c r="AC405" s="660">
        <v>-1.6329247739859143</v>
      </c>
      <c r="AD405" s="682">
        <v>0</v>
      </c>
      <c r="AE405" s="944" t="s">
        <v>1736</v>
      </c>
      <c r="AF405" s="661" t="s">
        <v>1737</v>
      </c>
      <c r="AG405" s="662" t="s">
        <v>719</v>
      </c>
      <c r="AH405" s="662" t="s">
        <v>1734</v>
      </c>
      <c r="AI405" s="662">
        <v>100</v>
      </c>
      <c r="AJ405" s="662">
        <v>100</v>
      </c>
      <c r="AK405" s="662">
        <v>100</v>
      </c>
      <c r="AL405" s="658">
        <v>2.5000000000000001E-3</v>
      </c>
      <c r="AM405" s="658">
        <v>0</v>
      </c>
      <c r="AN405" s="659" t="s">
        <v>2122</v>
      </c>
      <c r="AO405" s="253" t="s">
        <v>34</v>
      </c>
      <c r="AP405" s="944" t="s">
        <v>1746</v>
      </c>
      <c r="AQ405" s="663" t="s">
        <v>668</v>
      </c>
      <c r="AR405" s="658">
        <v>0</v>
      </c>
      <c r="AS405" s="658">
        <v>0</v>
      </c>
      <c r="AT405" s="658" t="s">
        <v>1417</v>
      </c>
      <c r="AU405" s="658" t="s">
        <v>2751</v>
      </c>
      <c r="AX405"/>
      <c r="AY405"/>
      <c r="BA405"/>
      <c r="BB405"/>
      <c r="BC405"/>
      <c r="BD405"/>
      <c r="BE405"/>
      <c r="BF405"/>
      <c r="BG405"/>
      <c r="BH405"/>
      <c r="BI405"/>
      <c r="BJ405"/>
      <c r="BR405"/>
      <c r="BS405"/>
      <c r="BT405"/>
      <c r="BU405"/>
      <c r="BX405"/>
      <c r="BY405"/>
      <c r="CA405"/>
    </row>
    <row r="406" spans="2:79" ht="18.75">
      <c r="B406" s="252" t="s">
        <v>534</v>
      </c>
      <c r="C406" s="251">
        <v>32743384000129</v>
      </c>
      <c r="D406" s="252" t="s">
        <v>13</v>
      </c>
      <c r="E406" s="252" t="s">
        <v>615</v>
      </c>
      <c r="F406" s="252" t="s">
        <v>619</v>
      </c>
      <c r="G406" s="253" t="s">
        <v>34</v>
      </c>
      <c r="H406" s="253" t="s">
        <v>865</v>
      </c>
      <c r="I406" s="253" t="s">
        <v>34</v>
      </c>
      <c r="J406" s="253" t="s">
        <v>1417</v>
      </c>
      <c r="K406" s="253" t="s">
        <v>48</v>
      </c>
      <c r="L406" s="655"/>
      <c r="M406" s="655" t="s">
        <v>1414</v>
      </c>
      <c r="N406" s="253" t="s">
        <v>2984</v>
      </c>
      <c r="O406" s="253" t="s">
        <v>1321</v>
      </c>
      <c r="P406" s="656">
        <v>43740</v>
      </c>
      <c r="Q406" s="657">
        <v>14.75593583</v>
      </c>
      <c r="R406" s="657">
        <v>42.610014290243868</v>
      </c>
      <c r="S406" s="253">
        <v>46</v>
      </c>
      <c r="T406" s="658">
        <v>4.6513669029699223E-2</v>
      </c>
      <c r="U406" s="659">
        <v>2.3258718501714783</v>
      </c>
      <c r="V406" s="658">
        <v>8.4778386590265375E-2</v>
      </c>
      <c r="W406" s="659">
        <v>0.65748267563774399</v>
      </c>
      <c r="X406" s="658">
        <v>9.6014368177856912E-2</v>
      </c>
      <c r="Y406" s="659">
        <v>0.49725770001730119</v>
      </c>
      <c r="Z406" s="658">
        <v>0.15094003688948976</v>
      </c>
      <c r="AA406" s="659">
        <v>0.68153607923605652</v>
      </c>
      <c r="AB406" s="658">
        <v>0.10457386771249755</v>
      </c>
      <c r="AC406" s="660">
        <v>-0.42233804508355949</v>
      </c>
      <c r="AD406" s="682">
        <v>0</v>
      </c>
      <c r="AE406" s="944" t="s">
        <v>1736</v>
      </c>
      <c r="AF406" s="661" t="s">
        <v>1737</v>
      </c>
      <c r="AG406" s="662" t="s">
        <v>719</v>
      </c>
      <c r="AH406" s="662" t="s">
        <v>1730</v>
      </c>
      <c r="AI406" s="662">
        <v>500</v>
      </c>
      <c r="AJ406" s="662">
        <v>500</v>
      </c>
      <c r="AK406" s="662">
        <v>500</v>
      </c>
      <c r="AL406" s="658">
        <v>0.01</v>
      </c>
      <c r="AM406" s="658">
        <v>0</v>
      </c>
      <c r="AN406" s="659" t="s">
        <v>2122</v>
      </c>
      <c r="AO406" s="253" t="s">
        <v>34</v>
      </c>
      <c r="AP406" s="944" t="s">
        <v>1746</v>
      </c>
      <c r="AQ406" s="663" t="s">
        <v>668</v>
      </c>
      <c r="AR406" s="658">
        <v>2.66666666666667E-3</v>
      </c>
      <c r="AS406" s="658">
        <v>2.66666666666667E-3</v>
      </c>
      <c r="AT406" s="658" t="s">
        <v>1417</v>
      </c>
      <c r="AU406" s="658" t="s">
        <v>2751</v>
      </c>
      <c r="AX406"/>
      <c r="AY406"/>
      <c r="BA406"/>
      <c r="BB406"/>
      <c r="BC406"/>
      <c r="BD406"/>
      <c r="BE406"/>
      <c r="BF406"/>
      <c r="BG406"/>
      <c r="BH406"/>
      <c r="BI406"/>
      <c r="BJ406"/>
      <c r="BR406"/>
      <c r="BS406"/>
      <c r="BT406"/>
      <c r="BU406"/>
      <c r="BX406"/>
      <c r="BY406"/>
      <c r="CA406"/>
    </row>
    <row r="407" spans="2:79" ht="18.75">
      <c r="B407" s="252" t="s">
        <v>824</v>
      </c>
      <c r="C407" s="251">
        <v>35847960000176</v>
      </c>
      <c r="D407" s="252" t="s">
        <v>13</v>
      </c>
      <c r="E407" s="252" t="s">
        <v>615</v>
      </c>
      <c r="F407" s="252" t="s">
        <v>619</v>
      </c>
      <c r="G407" s="253" t="s">
        <v>34</v>
      </c>
      <c r="H407" s="253" t="s">
        <v>865</v>
      </c>
      <c r="I407" s="253" t="s">
        <v>34</v>
      </c>
      <c r="J407" s="253" t="s">
        <v>1417</v>
      </c>
      <c r="K407" s="253" t="s">
        <v>48</v>
      </c>
      <c r="L407" s="655"/>
      <c r="M407" s="655" t="s">
        <v>1414</v>
      </c>
      <c r="N407" s="253" t="s">
        <v>2985</v>
      </c>
      <c r="O407" s="253" t="s">
        <v>1321</v>
      </c>
      <c r="P407" s="656">
        <v>43923</v>
      </c>
      <c r="Q407" s="657">
        <v>6.1244124900000001</v>
      </c>
      <c r="R407" s="657">
        <v>9.9330893570901644</v>
      </c>
      <c r="S407" s="253">
        <v>31</v>
      </c>
      <c r="T407" s="658">
        <v>1.6097703758271242E-2</v>
      </c>
      <c r="U407" s="659">
        <v>0.80495038995647261</v>
      </c>
      <c r="V407" s="658">
        <v>9.9527729028603629E-2</v>
      </c>
      <c r="W407" s="659">
        <v>0.77186839964454479</v>
      </c>
      <c r="X407" s="658">
        <v>8.260155625906096E-2</v>
      </c>
      <c r="Y407" s="659">
        <v>0.42779284666170425</v>
      </c>
      <c r="Z407" s="658"/>
      <c r="AA407" s="659"/>
      <c r="AB407" s="658">
        <v>3.5388904252802084E-2</v>
      </c>
      <c r="AC407" s="660">
        <v>-0.83122608736481463</v>
      </c>
      <c r="AD407" s="682">
        <v>26756412000140</v>
      </c>
      <c r="AE407" s="944" t="s">
        <v>1736</v>
      </c>
      <c r="AF407" s="661" t="s">
        <v>1737</v>
      </c>
      <c r="AG407" s="662" t="s">
        <v>719</v>
      </c>
      <c r="AH407" s="662" t="s">
        <v>1734</v>
      </c>
      <c r="AI407" s="662">
        <v>100</v>
      </c>
      <c r="AJ407" s="662">
        <v>100</v>
      </c>
      <c r="AK407" s="662">
        <v>100</v>
      </c>
      <c r="AL407" s="658">
        <v>0.01</v>
      </c>
      <c r="AM407" s="658">
        <v>0.3</v>
      </c>
      <c r="AN407" s="659" t="s">
        <v>2122</v>
      </c>
      <c r="AO407" s="253" t="s">
        <v>34</v>
      </c>
      <c r="AP407" s="944" t="s">
        <v>1746</v>
      </c>
      <c r="AQ407" s="663" t="s">
        <v>668</v>
      </c>
      <c r="AR407" s="658">
        <v>2.66666666666667E-3</v>
      </c>
      <c r="AS407" s="658">
        <v>2.66666666666667E-3</v>
      </c>
      <c r="AT407" s="658" t="s">
        <v>1417</v>
      </c>
      <c r="AU407" s="658" t="s">
        <v>2751</v>
      </c>
      <c r="AX407"/>
      <c r="AY407"/>
      <c r="BA407"/>
      <c r="BB407"/>
      <c r="BC407"/>
      <c r="BD407"/>
      <c r="BE407"/>
      <c r="BF407"/>
      <c r="BG407"/>
      <c r="BH407"/>
      <c r="BI407"/>
      <c r="BJ407"/>
      <c r="BR407"/>
      <c r="BS407"/>
      <c r="BT407"/>
      <c r="BU407"/>
      <c r="BX407"/>
      <c r="BY407"/>
      <c r="CA407"/>
    </row>
    <row r="408" spans="2:79" ht="18.75">
      <c r="B408" s="252" t="s">
        <v>825</v>
      </c>
      <c r="C408" s="251">
        <v>35847901000106</v>
      </c>
      <c r="D408" s="252" t="s">
        <v>13</v>
      </c>
      <c r="E408" s="252" t="s">
        <v>615</v>
      </c>
      <c r="F408" s="252" t="s">
        <v>619</v>
      </c>
      <c r="G408" s="253" t="s">
        <v>34</v>
      </c>
      <c r="H408" s="253" t="s">
        <v>1337</v>
      </c>
      <c r="I408" s="253" t="s">
        <v>34</v>
      </c>
      <c r="J408" s="253" t="s">
        <v>1417</v>
      </c>
      <c r="K408" s="253" t="s">
        <v>48</v>
      </c>
      <c r="L408" s="655"/>
      <c r="M408" s="655" t="s">
        <v>1414</v>
      </c>
      <c r="N408" s="253" t="s">
        <v>2986</v>
      </c>
      <c r="O408" s="253" t="s">
        <v>1321</v>
      </c>
      <c r="P408" s="656">
        <v>43923</v>
      </c>
      <c r="Q408" s="657">
        <v>51.598399999999998</v>
      </c>
      <c r="R408" s="657">
        <v>59.861801639344272</v>
      </c>
      <c r="S408" s="253">
        <v>3</v>
      </c>
      <c r="T408" s="658">
        <v>1.7555879078530401E-2</v>
      </c>
      <c r="U408" s="659">
        <v>0.87786506215401627</v>
      </c>
      <c r="V408" s="658">
        <v>0.1104672897196266</v>
      </c>
      <c r="W408" s="659">
        <v>0.856708084884098</v>
      </c>
      <c r="X408" s="658">
        <v>0.13161904761904797</v>
      </c>
      <c r="Y408" s="659">
        <v>0.68165407052701266</v>
      </c>
      <c r="Z408" s="658"/>
      <c r="AA408" s="659"/>
      <c r="AB408" s="658">
        <v>3.2541343216588435E-2</v>
      </c>
      <c r="AC408" s="660">
        <v>-0.56778909229976149</v>
      </c>
      <c r="AD408" s="682">
        <v>0</v>
      </c>
      <c r="AE408" s="944" t="s">
        <v>1736</v>
      </c>
      <c r="AF408" s="661" t="s">
        <v>1737</v>
      </c>
      <c r="AG408" s="662" t="s">
        <v>719</v>
      </c>
      <c r="AH408" s="662" t="s">
        <v>1734</v>
      </c>
      <c r="AI408" s="662">
        <v>100</v>
      </c>
      <c r="AJ408" s="662">
        <v>100</v>
      </c>
      <c r="AK408" s="662">
        <v>100</v>
      </c>
      <c r="AL408" s="658">
        <v>0.01</v>
      </c>
      <c r="AM408" s="658">
        <v>0.3</v>
      </c>
      <c r="AN408" s="659" t="s">
        <v>2122</v>
      </c>
      <c r="AO408" s="253" t="s">
        <v>34</v>
      </c>
      <c r="AP408" s="944" t="s">
        <v>1746</v>
      </c>
      <c r="AQ408" s="663" t="s">
        <v>668</v>
      </c>
      <c r="AR408" s="658">
        <v>2.66666666666667E-3</v>
      </c>
      <c r="AS408" s="658">
        <v>2.66666666666667E-3</v>
      </c>
      <c r="AT408" s="658" t="s">
        <v>1417</v>
      </c>
      <c r="AU408" s="658" t="s">
        <v>2751</v>
      </c>
      <c r="AX408"/>
      <c r="AY408"/>
      <c r="BA408"/>
      <c r="BB408"/>
      <c r="BC408"/>
      <c r="BD408"/>
      <c r="BE408"/>
      <c r="BF408"/>
      <c r="BG408"/>
      <c r="BH408"/>
      <c r="BI408"/>
      <c r="BJ408"/>
      <c r="BR408"/>
      <c r="BS408"/>
      <c r="BT408"/>
      <c r="BU408"/>
      <c r="BX408"/>
      <c r="BY408"/>
      <c r="CA408"/>
    </row>
    <row r="409" spans="2:79" ht="18.75">
      <c r="B409" s="252" t="s">
        <v>1291</v>
      </c>
      <c r="C409" s="251">
        <v>44315854000132</v>
      </c>
      <c r="D409" s="252" t="s">
        <v>11</v>
      </c>
      <c r="E409" s="252" t="s">
        <v>621</v>
      </c>
      <c r="F409" s="252" t="s">
        <v>663</v>
      </c>
      <c r="G409" s="253" t="s">
        <v>865</v>
      </c>
      <c r="H409" s="253" t="s">
        <v>34</v>
      </c>
      <c r="I409" s="253" t="s">
        <v>1417</v>
      </c>
      <c r="J409" s="253" t="s">
        <v>608</v>
      </c>
      <c r="K409" s="253" t="s">
        <v>48</v>
      </c>
      <c r="L409" s="655"/>
      <c r="M409" s="655" t="s">
        <v>34</v>
      </c>
      <c r="N409" s="253" t="s">
        <v>2987</v>
      </c>
      <c r="O409" s="253" t="s">
        <v>1321</v>
      </c>
      <c r="P409" s="656">
        <v>44560</v>
      </c>
      <c r="Q409" s="657"/>
      <c r="R409" s="657"/>
      <c r="S409" s="253">
        <v>31</v>
      </c>
      <c r="T409" s="658"/>
      <c r="U409" s="659"/>
      <c r="V409" s="658"/>
      <c r="W409" s="659"/>
      <c r="X409" s="658"/>
      <c r="Y409" s="659"/>
      <c r="Z409" s="658"/>
      <c r="AA409" s="659"/>
      <c r="AB409" s="658"/>
      <c r="AC409" s="660"/>
      <c r="AD409" s="682">
        <v>40142060000163</v>
      </c>
      <c r="AE409" s="944" t="s">
        <v>1736</v>
      </c>
      <c r="AF409" s="661" t="s">
        <v>1737</v>
      </c>
      <c r="AG409" s="662" t="s">
        <v>719</v>
      </c>
      <c r="AH409" s="662" t="s">
        <v>1734</v>
      </c>
      <c r="AI409" s="662">
        <v>10000</v>
      </c>
      <c r="AJ409" s="662">
        <v>1000</v>
      </c>
      <c r="AK409" s="662">
        <v>0</v>
      </c>
      <c r="AL409" s="658">
        <v>3.4999999999999996E-3</v>
      </c>
      <c r="AM409" s="658">
        <v>0.2</v>
      </c>
      <c r="AN409" s="659" t="s">
        <v>636</v>
      </c>
      <c r="AO409" s="253" t="s">
        <v>34</v>
      </c>
      <c r="AP409" s="944" t="s">
        <v>1735</v>
      </c>
      <c r="AQ409" s="663" t="s">
        <v>675</v>
      </c>
      <c r="AR409" s="658">
        <v>9.33333333333333E-4</v>
      </c>
      <c r="AS409" s="658">
        <v>9.33333333333333E-4</v>
      </c>
      <c r="AT409" s="658" t="s">
        <v>1417</v>
      </c>
      <c r="AU409" s="658" t="s">
        <v>2751</v>
      </c>
      <c r="AX409"/>
      <c r="AY409"/>
      <c r="BA409"/>
      <c r="BB409"/>
      <c r="BC409"/>
      <c r="BD409"/>
      <c r="BE409"/>
      <c r="BF409"/>
      <c r="BG409"/>
      <c r="BH409"/>
      <c r="BI409"/>
      <c r="BJ409"/>
      <c r="BR409"/>
      <c r="BS409"/>
      <c r="BT409"/>
      <c r="BU409"/>
      <c r="BX409"/>
      <c r="BY409"/>
      <c r="CA409"/>
    </row>
    <row r="410" spans="2:79" ht="18.75">
      <c r="B410" s="252" t="s">
        <v>478</v>
      </c>
      <c r="C410" s="251">
        <v>74326471000120</v>
      </c>
      <c r="D410" s="252" t="s">
        <v>11</v>
      </c>
      <c r="E410" s="252" t="s">
        <v>4235</v>
      </c>
      <c r="F410" s="252" t="s">
        <v>1417</v>
      </c>
      <c r="G410" s="253" t="s">
        <v>1417</v>
      </c>
      <c r="H410" s="253" t="s">
        <v>34</v>
      </c>
      <c r="I410" s="253" t="s">
        <v>34</v>
      </c>
      <c r="J410" s="253" t="s">
        <v>611</v>
      </c>
      <c r="K410" s="253" t="s">
        <v>48</v>
      </c>
      <c r="L410" s="655"/>
      <c r="M410" s="655" t="s">
        <v>1414</v>
      </c>
      <c r="N410" s="253" t="s">
        <v>2988</v>
      </c>
      <c r="O410" s="253" t="s">
        <v>1321</v>
      </c>
      <c r="P410" s="656">
        <v>34613</v>
      </c>
      <c r="Q410" s="657">
        <v>10.920793</v>
      </c>
      <c r="R410" s="657">
        <v>16.498434672064779</v>
      </c>
      <c r="S410" s="253">
        <v>4</v>
      </c>
      <c r="T410" s="658">
        <v>5.8086869641351679E-3</v>
      </c>
      <c r="U410" s="659">
        <v>0.29045787567765591</v>
      </c>
      <c r="V410" s="658">
        <v>-2.7734446780754651E-2</v>
      </c>
      <c r="W410" s="659">
        <v>-0.21508923453418252</v>
      </c>
      <c r="X410" s="658">
        <v>-0.13688275960862084</v>
      </c>
      <c r="Y410" s="659">
        <v>-0.70891479584512318</v>
      </c>
      <c r="Z410" s="658">
        <v>8.8224055946500402E-2</v>
      </c>
      <c r="AA410" s="659">
        <v>0.39835605200032387</v>
      </c>
      <c r="AB410" s="658">
        <v>0.16211744154342203</v>
      </c>
      <c r="AC410" s="660">
        <v>-0.96644972148525921</v>
      </c>
      <c r="AD410" s="682">
        <v>0</v>
      </c>
      <c r="AE410" s="944" t="s">
        <v>1736</v>
      </c>
      <c r="AF410" s="661" t="s">
        <v>1737</v>
      </c>
      <c r="AG410" s="662" t="s">
        <v>719</v>
      </c>
      <c r="AH410" s="662" t="s">
        <v>1734</v>
      </c>
      <c r="AI410" s="662">
        <v>100</v>
      </c>
      <c r="AJ410" s="662">
        <v>100</v>
      </c>
      <c r="AK410" s="662">
        <v>100</v>
      </c>
      <c r="AL410" s="658">
        <v>5.0000000000000001E-3</v>
      </c>
      <c r="AM410" s="658">
        <v>0</v>
      </c>
      <c r="AN410" s="659" t="s">
        <v>2122</v>
      </c>
      <c r="AO410" s="253" t="s">
        <v>34</v>
      </c>
      <c r="AP410" s="944" t="s">
        <v>1735</v>
      </c>
      <c r="AQ410" s="663" t="s">
        <v>660</v>
      </c>
      <c r="AR410" s="658">
        <v>1.33333333333333E-3</v>
      </c>
      <c r="AS410" s="658">
        <v>1.33333333333333E-3</v>
      </c>
      <c r="AT410" s="658" t="s">
        <v>1417</v>
      </c>
      <c r="AU410" s="658" t="s">
        <v>2751</v>
      </c>
      <c r="AX410"/>
      <c r="AY410"/>
      <c r="BA410"/>
      <c r="BB410"/>
      <c r="BC410"/>
      <c r="BD410"/>
      <c r="BE410"/>
      <c r="BF410"/>
      <c r="BG410"/>
      <c r="BH410"/>
      <c r="BI410"/>
      <c r="BJ410"/>
      <c r="BR410"/>
      <c r="BS410"/>
      <c r="BT410"/>
      <c r="BU410"/>
      <c r="BX410"/>
      <c r="BY410"/>
      <c r="CA410"/>
    </row>
    <row r="411" spans="2:79" ht="18.75">
      <c r="B411" s="252" t="s">
        <v>579</v>
      </c>
      <c r="C411" s="251">
        <v>37703644000156</v>
      </c>
      <c r="D411" s="252" t="s">
        <v>14</v>
      </c>
      <c r="E411" s="252" t="s">
        <v>607</v>
      </c>
      <c r="F411" s="252" t="s">
        <v>1417</v>
      </c>
      <c r="G411" s="253" t="s">
        <v>1417</v>
      </c>
      <c r="H411" s="253" t="s">
        <v>34</v>
      </c>
      <c r="I411" s="253" t="s">
        <v>34</v>
      </c>
      <c r="J411" s="253" t="s">
        <v>611</v>
      </c>
      <c r="K411" s="253" t="s">
        <v>49</v>
      </c>
      <c r="L411" s="655"/>
      <c r="M411" s="655" t="s">
        <v>1414</v>
      </c>
      <c r="N411" s="253" t="s">
        <v>2989</v>
      </c>
      <c r="O411" s="253" t="s">
        <v>1321</v>
      </c>
      <c r="P411" s="656">
        <v>44135</v>
      </c>
      <c r="Q411" s="657">
        <v>18.585491749999999</v>
      </c>
      <c r="R411" s="657">
        <v>47.090601840244922</v>
      </c>
      <c r="S411" s="253">
        <v>4</v>
      </c>
      <c r="T411" s="658">
        <v>2.7794915091315042E-2</v>
      </c>
      <c r="U411" s="659">
        <v>1.3898583349234039</v>
      </c>
      <c r="V411" s="658">
        <v>-4.973412552904477E-2</v>
      </c>
      <c r="W411" s="659">
        <v>-0.38570356477029799</v>
      </c>
      <c r="X411" s="658">
        <v>-6.2165960979324808E-2</v>
      </c>
      <c r="Y411" s="659">
        <v>-0.32195705041439276</v>
      </c>
      <c r="Z411" s="658"/>
      <c r="AA411" s="659"/>
      <c r="AB411" s="658">
        <v>0.23988768061672064</v>
      </c>
      <c r="AC411" s="660">
        <v>-0.74484039579054118</v>
      </c>
      <c r="AD411" s="682">
        <v>0</v>
      </c>
      <c r="AE411" s="944" t="s">
        <v>1736</v>
      </c>
      <c r="AF411" s="661" t="s">
        <v>1737</v>
      </c>
      <c r="AG411" s="662" t="s">
        <v>719</v>
      </c>
      <c r="AH411" s="662" t="s">
        <v>1730</v>
      </c>
      <c r="AI411" s="662">
        <v>1000</v>
      </c>
      <c r="AJ411" s="662">
        <v>500</v>
      </c>
      <c r="AK411" s="662">
        <v>500</v>
      </c>
      <c r="AL411" s="658">
        <v>5.0000000000000001E-3</v>
      </c>
      <c r="AM411" s="658">
        <v>0</v>
      </c>
      <c r="AN411" s="659" t="s">
        <v>2122</v>
      </c>
      <c r="AO411" s="253" t="s">
        <v>34</v>
      </c>
      <c r="AP411" s="944" t="s">
        <v>1731</v>
      </c>
      <c r="AQ411" s="663" t="s">
        <v>687</v>
      </c>
      <c r="AR411" s="658">
        <v>0</v>
      </c>
      <c r="AS411" s="658">
        <v>0</v>
      </c>
      <c r="AT411" s="658" t="s">
        <v>1417</v>
      </c>
      <c r="AU411" s="658" t="s">
        <v>2751</v>
      </c>
      <c r="AX411"/>
      <c r="AY411"/>
      <c r="BA411"/>
      <c r="BB411"/>
      <c r="BC411"/>
      <c r="BD411"/>
      <c r="BE411"/>
      <c r="BF411"/>
      <c r="BG411"/>
      <c r="BH411"/>
      <c r="BI411"/>
      <c r="BJ411"/>
      <c r="BR411"/>
      <c r="BS411"/>
      <c r="BT411"/>
      <c r="BU411"/>
      <c r="BX411"/>
      <c r="BY411"/>
      <c r="CA411"/>
    </row>
    <row r="412" spans="2:79" ht="18.75">
      <c r="B412" s="252" t="s">
        <v>135</v>
      </c>
      <c r="C412" s="251">
        <v>38389079000167</v>
      </c>
      <c r="D412" s="252" t="s">
        <v>11</v>
      </c>
      <c r="E412" s="252" t="s">
        <v>4235</v>
      </c>
      <c r="F412" s="252" t="s">
        <v>1417</v>
      </c>
      <c r="G412" s="253" t="s">
        <v>1417</v>
      </c>
      <c r="H412" s="253" t="s">
        <v>34</v>
      </c>
      <c r="I412" s="253" t="s">
        <v>34</v>
      </c>
      <c r="J412" s="253" t="s">
        <v>611</v>
      </c>
      <c r="K412" s="253" t="s">
        <v>49</v>
      </c>
      <c r="L412" s="655"/>
      <c r="M412" s="655" t="s">
        <v>1414</v>
      </c>
      <c r="N412" s="253" t="s">
        <v>2990</v>
      </c>
      <c r="O412" s="253" t="s">
        <v>1321</v>
      </c>
      <c r="P412" s="656">
        <v>44135</v>
      </c>
      <c r="Q412" s="657">
        <v>7.3568785400000003</v>
      </c>
      <c r="R412" s="657">
        <v>20.673809134590162</v>
      </c>
      <c r="S412" s="253">
        <v>4</v>
      </c>
      <c r="T412" s="658">
        <v>-4.2831537129026653E-3</v>
      </c>
      <c r="U412" s="659">
        <v>-0.21417503410528477</v>
      </c>
      <c r="V412" s="658">
        <v>-6.2773676853527194E-2</v>
      </c>
      <c r="W412" s="659">
        <v>-0.48682932852623167</v>
      </c>
      <c r="X412" s="658">
        <v>-0.15618035617641324</v>
      </c>
      <c r="Y412" s="659">
        <v>-0.80885690521136744</v>
      </c>
      <c r="Z412" s="658"/>
      <c r="AA412" s="659"/>
      <c r="AB412" s="658">
        <v>0.18071365015107868</v>
      </c>
      <c r="AC412" s="660">
        <v>-1.0608915604329692</v>
      </c>
      <c r="AD412" s="682">
        <v>0</v>
      </c>
      <c r="AE412" s="944" t="s">
        <v>1736</v>
      </c>
      <c r="AF412" s="661" t="s">
        <v>1737</v>
      </c>
      <c r="AG412" s="662" t="s">
        <v>719</v>
      </c>
      <c r="AH412" s="662" t="s">
        <v>1730</v>
      </c>
      <c r="AI412" s="662">
        <v>1000</v>
      </c>
      <c r="AJ412" s="662">
        <v>500</v>
      </c>
      <c r="AK412" s="662">
        <v>500</v>
      </c>
      <c r="AL412" s="658">
        <v>5.0000000000000001E-3</v>
      </c>
      <c r="AM412" s="658">
        <v>0</v>
      </c>
      <c r="AN412" s="659" t="s">
        <v>2122</v>
      </c>
      <c r="AO412" s="253" t="s">
        <v>34</v>
      </c>
      <c r="AP412" s="944" t="s">
        <v>1746</v>
      </c>
      <c r="AQ412" s="663" t="s">
        <v>679</v>
      </c>
      <c r="AR412" s="658">
        <v>0</v>
      </c>
      <c r="AS412" s="658">
        <v>0</v>
      </c>
      <c r="AT412" s="658" t="s">
        <v>1417</v>
      </c>
      <c r="AU412" s="658" t="s">
        <v>2751</v>
      </c>
      <c r="AX412"/>
      <c r="AY412"/>
      <c r="BA412"/>
      <c r="BB412"/>
      <c r="BC412"/>
      <c r="BD412"/>
      <c r="BE412"/>
      <c r="BF412"/>
      <c r="BG412"/>
      <c r="BH412"/>
      <c r="BI412"/>
      <c r="BJ412"/>
      <c r="BR412"/>
      <c r="BS412"/>
      <c r="BT412"/>
      <c r="BU412"/>
      <c r="BX412"/>
      <c r="BY412"/>
      <c r="CA412"/>
    </row>
    <row r="413" spans="2:79" ht="18.75">
      <c r="B413" s="252" t="s">
        <v>826</v>
      </c>
      <c r="C413" s="251">
        <v>7187751000108</v>
      </c>
      <c r="D413" s="252" t="s">
        <v>14</v>
      </c>
      <c r="E413" s="252" t="s">
        <v>607</v>
      </c>
      <c r="F413" s="252" t="s">
        <v>1417</v>
      </c>
      <c r="G413" s="253" t="s">
        <v>1417</v>
      </c>
      <c r="H413" s="253" t="s">
        <v>34</v>
      </c>
      <c r="I413" s="253" t="s">
        <v>34</v>
      </c>
      <c r="J413" s="253" t="s">
        <v>608</v>
      </c>
      <c r="K413" s="253" t="s">
        <v>48</v>
      </c>
      <c r="L413" s="655"/>
      <c r="M413" s="655" t="s">
        <v>1414</v>
      </c>
      <c r="N413" s="253" t="s">
        <v>2991</v>
      </c>
      <c r="O413" s="253" t="s">
        <v>1321</v>
      </c>
      <c r="P413" s="656">
        <v>39418</v>
      </c>
      <c r="Q413" s="657">
        <v>16.46659</v>
      </c>
      <c r="R413" s="657">
        <v>21.971935264227639</v>
      </c>
      <c r="S413" s="253">
        <v>3</v>
      </c>
      <c r="T413" s="658">
        <v>-5.0872663797056683E-2</v>
      </c>
      <c r="U413" s="659">
        <v>-2.5438392441856554</v>
      </c>
      <c r="V413" s="658">
        <v>-0.20441962903453925</v>
      </c>
      <c r="W413" s="659">
        <v>-1.5853376085118442</v>
      </c>
      <c r="X413" s="658">
        <v>-0.23971693671461458</v>
      </c>
      <c r="Y413" s="659">
        <v>-1.2414922356734588</v>
      </c>
      <c r="Z413" s="658">
        <v>-0.25559627646130256</v>
      </c>
      <c r="AA413" s="659">
        <v>-1.1540879922688096</v>
      </c>
      <c r="AB413" s="658">
        <v>0.23195792376648247</v>
      </c>
      <c r="AC413" s="660">
        <v>-1.4371724538150832</v>
      </c>
      <c r="AD413" s="682">
        <v>0</v>
      </c>
      <c r="AE413" s="944" t="s">
        <v>1736</v>
      </c>
      <c r="AF413" s="661" t="s">
        <v>1769</v>
      </c>
      <c r="AG413" s="662" t="s">
        <v>719</v>
      </c>
      <c r="AH413" s="662" t="s">
        <v>1734</v>
      </c>
      <c r="AI413" s="662">
        <v>1000</v>
      </c>
      <c r="AJ413" s="662">
        <v>100</v>
      </c>
      <c r="AK413" s="662">
        <v>100</v>
      </c>
      <c r="AL413" s="658">
        <v>0.01</v>
      </c>
      <c r="AM413" s="658">
        <v>0</v>
      </c>
      <c r="AN413" s="659" t="s">
        <v>2122</v>
      </c>
      <c r="AO413" s="253" t="s">
        <v>34</v>
      </c>
      <c r="AP413" s="944" t="s">
        <v>1731</v>
      </c>
      <c r="AQ413" s="663" t="s">
        <v>682</v>
      </c>
      <c r="AR413" s="658">
        <v>0</v>
      </c>
      <c r="AS413" s="658">
        <v>0</v>
      </c>
      <c r="AT413" s="658" t="s">
        <v>1417</v>
      </c>
      <c r="AU413" s="658" t="s">
        <v>2751</v>
      </c>
      <c r="AX413"/>
      <c r="AY413"/>
      <c r="BA413"/>
      <c r="BB413"/>
      <c r="BC413"/>
      <c r="BD413"/>
      <c r="BE413"/>
      <c r="BF413"/>
      <c r="BG413"/>
      <c r="BH413"/>
      <c r="BI413"/>
      <c r="BJ413"/>
      <c r="BR413"/>
      <c r="BS413"/>
      <c r="BT413"/>
      <c r="BU413"/>
      <c r="BX413"/>
      <c r="BY413"/>
      <c r="CA413"/>
    </row>
    <row r="414" spans="2:79" ht="18.75">
      <c r="B414" s="252" t="s">
        <v>30</v>
      </c>
      <c r="C414" s="251">
        <v>14866273000128</v>
      </c>
      <c r="D414" s="252" t="s">
        <v>14</v>
      </c>
      <c r="E414" s="252" t="s">
        <v>607</v>
      </c>
      <c r="F414" s="252" t="s">
        <v>1417</v>
      </c>
      <c r="G414" s="253" t="s">
        <v>1417</v>
      </c>
      <c r="H414" s="253" t="s">
        <v>34</v>
      </c>
      <c r="I414" s="253" t="s">
        <v>34</v>
      </c>
      <c r="J414" s="253" t="s">
        <v>608</v>
      </c>
      <c r="K414" s="253" t="s">
        <v>48</v>
      </c>
      <c r="L414" s="655"/>
      <c r="M414" s="655" t="s">
        <v>34</v>
      </c>
      <c r="N414" s="253" t="s">
        <v>2992</v>
      </c>
      <c r="O414" s="253" t="s">
        <v>1321</v>
      </c>
      <c r="P414" s="656">
        <v>41150</v>
      </c>
      <c r="Q414" s="657">
        <v>345.269901</v>
      </c>
      <c r="R414" s="657">
        <v>444.44515992369475</v>
      </c>
      <c r="S414" s="253">
        <v>32</v>
      </c>
      <c r="T414" s="658">
        <v>-3.1299512742679392E-2</v>
      </c>
      <c r="U414" s="659">
        <v>-1.5651024124929631</v>
      </c>
      <c r="V414" s="658">
        <v>-8.9126077327502884E-2</v>
      </c>
      <c r="W414" s="659">
        <v>-0.69120036541379093</v>
      </c>
      <c r="X414" s="658">
        <v>-0.25195003523246384</v>
      </c>
      <c r="Y414" s="659">
        <v>-1.304847362083317</v>
      </c>
      <c r="Z414" s="658">
        <v>-0.21962364454499916</v>
      </c>
      <c r="AA414" s="659">
        <v>-0.99166159420194677</v>
      </c>
      <c r="AB414" s="658">
        <v>0.22451847180288872</v>
      </c>
      <c r="AC414" s="660">
        <v>-0.97127859914235115</v>
      </c>
      <c r="AD414" s="682">
        <v>14284684000105</v>
      </c>
      <c r="AE414" s="944" t="s">
        <v>1810</v>
      </c>
      <c r="AF414" s="661" t="s">
        <v>1729</v>
      </c>
      <c r="AG414" s="662" t="s">
        <v>1433</v>
      </c>
      <c r="AH414" s="662" t="s">
        <v>1734</v>
      </c>
      <c r="AI414" s="662">
        <v>100000</v>
      </c>
      <c r="AJ414" s="662">
        <v>10000</v>
      </c>
      <c r="AK414" s="662">
        <v>100000</v>
      </c>
      <c r="AL414" s="658">
        <v>1.38E-2</v>
      </c>
      <c r="AM414" s="658">
        <v>0.2</v>
      </c>
      <c r="AN414" s="659" t="s">
        <v>666</v>
      </c>
      <c r="AO414" s="253" t="s">
        <v>34</v>
      </c>
      <c r="AP414" s="944" t="s">
        <v>1731</v>
      </c>
      <c r="AQ414" s="663" t="s">
        <v>659</v>
      </c>
      <c r="AR414" s="658">
        <v>4.1399999999999996E-3</v>
      </c>
      <c r="AS414" s="658">
        <v>4.1399999999999996E-3</v>
      </c>
      <c r="AT414" s="658" t="s">
        <v>1417</v>
      </c>
      <c r="AU414" s="658" t="s">
        <v>2751</v>
      </c>
      <c r="AX414"/>
      <c r="AY414"/>
      <c r="BA414"/>
      <c r="BB414"/>
      <c r="BC414"/>
      <c r="BD414"/>
      <c r="BE414"/>
      <c r="BF414"/>
      <c r="BG414"/>
      <c r="BH414"/>
      <c r="BI414"/>
      <c r="BJ414"/>
      <c r="BR414"/>
      <c r="BS414"/>
      <c r="BT414"/>
      <c r="BU414"/>
      <c r="BX414"/>
      <c r="BY414"/>
      <c r="CA414"/>
    </row>
    <row r="415" spans="2:79" ht="18.75">
      <c r="B415" s="252" t="s">
        <v>136</v>
      </c>
      <c r="C415" s="251">
        <v>35704552000165</v>
      </c>
      <c r="D415" s="252" t="s">
        <v>14</v>
      </c>
      <c r="E415" s="252" t="s">
        <v>607</v>
      </c>
      <c r="F415" s="252" t="s">
        <v>1417</v>
      </c>
      <c r="G415" s="253" t="s">
        <v>1417</v>
      </c>
      <c r="H415" s="253" t="s">
        <v>34</v>
      </c>
      <c r="I415" s="253" t="s">
        <v>34</v>
      </c>
      <c r="J415" s="253" t="s">
        <v>608</v>
      </c>
      <c r="K415" s="253" t="s">
        <v>48</v>
      </c>
      <c r="L415" s="655"/>
      <c r="M415" s="655" t="s">
        <v>34</v>
      </c>
      <c r="N415" s="253" t="s">
        <v>2993</v>
      </c>
      <c r="O415" s="253" t="s">
        <v>1321</v>
      </c>
      <c r="P415" s="656">
        <v>43869</v>
      </c>
      <c r="Q415" s="657">
        <v>3.06995211</v>
      </c>
      <c r="R415" s="657">
        <v>3.2228430508064529</v>
      </c>
      <c r="S415" s="253">
        <v>32</v>
      </c>
      <c r="T415" s="658">
        <v>-3.0709379580487695E-2</v>
      </c>
      <c r="U415" s="659">
        <v>-1.5355933641115518</v>
      </c>
      <c r="V415" s="658">
        <v>-8.9421229764833687E-2</v>
      </c>
      <c r="W415" s="659">
        <v>-0.69348936408458595</v>
      </c>
      <c r="X415" s="658">
        <v>-0.25171110197486046</v>
      </c>
      <c r="Y415" s="659">
        <v>-1.3036099285159428</v>
      </c>
      <c r="Z415" s="658">
        <v>-0.22321926594916608</v>
      </c>
      <c r="AA415" s="659">
        <v>-1.0078968208834356</v>
      </c>
      <c r="AB415" s="658">
        <v>0.22399093538163239</v>
      </c>
      <c r="AC415" s="660">
        <v>-0.97488382214920788</v>
      </c>
      <c r="AD415" s="682">
        <v>11176045000138</v>
      </c>
      <c r="AE415" s="944" t="s">
        <v>1810</v>
      </c>
      <c r="AF415" s="661" t="s">
        <v>1729</v>
      </c>
      <c r="AG415" s="662" t="s">
        <v>1433</v>
      </c>
      <c r="AH415" s="662" t="s">
        <v>1730</v>
      </c>
      <c r="AI415" s="662">
        <v>100000</v>
      </c>
      <c r="AJ415" s="662">
        <v>10000</v>
      </c>
      <c r="AK415" s="662">
        <v>100000</v>
      </c>
      <c r="AL415" s="658">
        <v>1.4999999999999999E-2</v>
      </c>
      <c r="AM415" s="658">
        <v>0.2</v>
      </c>
      <c r="AN415" s="659" t="s">
        <v>34</v>
      </c>
      <c r="AO415" s="253" t="s">
        <v>34</v>
      </c>
      <c r="AP415" s="944" t="s">
        <v>1731</v>
      </c>
      <c r="AQ415" s="663" t="s">
        <v>659</v>
      </c>
      <c r="AR415" s="658">
        <v>4.1399999999999996E-3</v>
      </c>
      <c r="AS415" s="658">
        <v>4.1399999999999996E-3</v>
      </c>
      <c r="AT415" s="658" t="s">
        <v>1417</v>
      </c>
      <c r="AU415" s="658" t="s">
        <v>2751</v>
      </c>
      <c r="AX415"/>
      <c r="AY415"/>
      <c r="BA415"/>
      <c r="BB415"/>
      <c r="BC415"/>
      <c r="BD415"/>
      <c r="BE415"/>
      <c r="BF415"/>
      <c r="BG415"/>
      <c r="BH415"/>
      <c r="BI415"/>
      <c r="BJ415"/>
      <c r="BR415"/>
      <c r="BS415"/>
      <c r="BT415"/>
      <c r="BU415"/>
      <c r="BX415"/>
      <c r="BY415"/>
      <c r="CA415"/>
    </row>
    <row r="416" spans="2:79" ht="18.75">
      <c r="B416" s="252" t="s">
        <v>1509</v>
      </c>
      <c r="C416" s="251">
        <v>42870660000173</v>
      </c>
      <c r="D416" s="252" t="s">
        <v>14</v>
      </c>
      <c r="E416" s="252" t="s">
        <v>607</v>
      </c>
      <c r="F416" s="252" t="s">
        <v>1417</v>
      </c>
      <c r="G416" s="253" t="s">
        <v>1417</v>
      </c>
      <c r="H416" s="253" t="s">
        <v>34</v>
      </c>
      <c r="I416" s="253" t="s">
        <v>34</v>
      </c>
      <c r="J416" s="253" t="s">
        <v>608</v>
      </c>
      <c r="K416" s="253" t="s">
        <v>48</v>
      </c>
      <c r="L416" s="655"/>
      <c r="M416" s="655" t="s">
        <v>34</v>
      </c>
      <c r="N416" s="253" t="s">
        <v>2994</v>
      </c>
      <c r="O416" s="253" t="s">
        <v>1321</v>
      </c>
      <c r="P416" s="656">
        <v>44453</v>
      </c>
      <c r="Q416" s="657">
        <v>314.3</v>
      </c>
      <c r="R416" s="657">
        <v>204.3388198916326</v>
      </c>
      <c r="S416" s="253">
        <v>32</v>
      </c>
      <c r="T416" s="658">
        <v>0</v>
      </c>
      <c r="U416" s="659">
        <v>0</v>
      </c>
      <c r="V416" s="658">
        <v>-9.2871483829110146E-2</v>
      </c>
      <c r="W416" s="659">
        <v>-0.72024715418943985</v>
      </c>
      <c r="X416" s="658"/>
      <c r="Y416" s="659"/>
      <c r="Z416" s="658"/>
      <c r="AA416" s="659"/>
      <c r="AB416" s="658">
        <v>9.5098398205202647E-2</v>
      </c>
      <c r="AC416" s="660">
        <v>-2.3324829593582304</v>
      </c>
      <c r="AD416" s="682">
        <v>0</v>
      </c>
      <c r="AE416" s="944" t="s">
        <v>1810</v>
      </c>
      <c r="AF416" s="661" t="s">
        <v>1729</v>
      </c>
      <c r="AG416" s="662" t="s">
        <v>1433</v>
      </c>
      <c r="AH416" s="662" t="s">
        <v>1801</v>
      </c>
      <c r="AI416" s="662">
        <v>0</v>
      </c>
      <c r="AJ416" s="662">
        <v>0</v>
      </c>
      <c r="AK416" s="662">
        <v>0</v>
      </c>
      <c r="AL416" s="658">
        <v>0</v>
      </c>
      <c r="AM416" s="658">
        <v>0</v>
      </c>
      <c r="AN416" s="659" t="s">
        <v>2127</v>
      </c>
      <c r="AO416" s="253" t="s">
        <v>34</v>
      </c>
      <c r="AP416" s="944" t="s">
        <v>1731</v>
      </c>
      <c r="AQ416" s="663" t="s">
        <v>2181</v>
      </c>
      <c r="AR416" s="658">
        <v>0</v>
      </c>
      <c r="AS416" s="658">
        <v>0</v>
      </c>
      <c r="AT416" s="658" t="s">
        <v>1417</v>
      </c>
      <c r="AU416" s="658" t="s">
        <v>2751</v>
      </c>
      <c r="AX416"/>
      <c r="AY416"/>
      <c r="BA416"/>
      <c r="BB416"/>
      <c r="BC416"/>
      <c r="BD416"/>
      <c r="BE416"/>
      <c r="BF416"/>
      <c r="BG416"/>
      <c r="BH416"/>
      <c r="BI416"/>
      <c r="BJ416"/>
      <c r="BR416"/>
      <c r="BS416"/>
      <c r="BT416"/>
      <c r="BU416"/>
      <c r="BX416"/>
      <c r="BY416"/>
      <c r="CA416"/>
    </row>
    <row r="417" spans="2:79" ht="18.75">
      <c r="B417" s="252" t="s">
        <v>137</v>
      </c>
      <c r="C417" s="251">
        <v>9577036000107</v>
      </c>
      <c r="D417" s="252" t="s">
        <v>14</v>
      </c>
      <c r="E417" s="252" t="s">
        <v>607</v>
      </c>
      <c r="F417" s="252" t="s">
        <v>1417</v>
      </c>
      <c r="G417" s="253" t="s">
        <v>1417</v>
      </c>
      <c r="H417" s="253" t="s">
        <v>34</v>
      </c>
      <c r="I417" s="253" t="s">
        <v>34</v>
      </c>
      <c r="J417" s="253" t="s">
        <v>608</v>
      </c>
      <c r="K417" s="253" t="s">
        <v>48</v>
      </c>
      <c r="L417" s="655"/>
      <c r="M417" s="655" t="s">
        <v>34</v>
      </c>
      <c r="N417" s="253" t="s">
        <v>2995</v>
      </c>
      <c r="O417" s="253" t="s">
        <v>1324</v>
      </c>
      <c r="P417" s="656">
        <v>39729</v>
      </c>
      <c r="Q417" s="657">
        <v>210.27858000000001</v>
      </c>
      <c r="R417" s="657">
        <v>305.26764030646603</v>
      </c>
      <c r="S417" s="253">
        <v>16</v>
      </c>
      <c r="T417" s="658">
        <v>-3.028315255858971E-2</v>
      </c>
      <c r="U417" s="659">
        <v>-1.5142802866292753</v>
      </c>
      <c r="V417" s="658">
        <v>-8.6455914837182624E-2</v>
      </c>
      <c r="W417" s="659">
        <v>-0.67049242735160464</v>
      </c>
      <c r="X417" s="658">
        <v>-0.25193143988649547</v>
      </c>
      <c r="Y417" s="659">
        <v>-1.3047510569245919</v>
      </c>
      <c r="Z417" s="658">
        <v>-0.1973306901859988</v>
      </c>
      <c r="AA417" s="659">
        <v>-0.89100272978451389</v>
      </c>
      <c r="AB417" s="658">
        <v>0.2237239891327861</v>
      </c>
      <c r="AC417" s="660">
        <v>-0.96279270327209077</v>
      </c>
      <c r="AD417" s="682">
        <v>11176045000138</v>
      </c>
      <c r="AE417" s="944" t="s">
        <v>1810</v>
      </c>
      <c r="AF417" s="661" t="s">
        <v>1729</v>
      </c>
      <c r="AG417" s="662" t="s">
        <v>1433</v>
      </c>
      <c r="AH417" s="662" t="s">
        <v>1730</v>
      </c>
      <c r="AI417" s="662">
        <v>15000</v>
      </c>
      <c r="AJ417" s="662">
        <v>5000</v>
      </c>
      <c r="AK417" s="662">
        <v>15000</v>
      </c>
      <c r="AL417" s="658">
        <v>1.38E-2</v>
      </c>
      <c r="AM417" s="658">
        <v>0.2</v>
      </c>
      <c r="AN417" s="659" t="s">
        <v>2182</v>
      </c>
      <c r="AO417" s="253" t="s">
        <v>34</v>
      </c>
      <c r="AP417" s="944" t="s">
        <v>1731</v>
      </c>
      <c r="AQ417" s="663" t="s">
        <v>659</v>
      </c>
      <c r="AR417" s="658">
        <v>4.1399999999999996E-3</v>
      </c>
      <c r="AS417" s="658">
        <v>4.1399999999999996E-3</v>
      </c>
      <c r="AT417" s="658" t="s">
        <v>1417</v>
      </c>
      <c r="AU417" s="658" t="s">
        <v>2751</v>
      </c>
      <c r="AX417"/>
      <c r="AY417"/>
      <c r="BA417"/>
      <c r="BB417"/>
      <c r="BC417"/>
      <c r="BD417"/>
      <c r="BE417"/>
      <c r="BF417"/>
      <c r="BG417"/>
      <c r="BH417"/>
      <c r="BI417"/>
      <c r="BJ417"/>
      <c r="BR417"/>
      <c r="BS417"/>
      <c r="BT417"/>
      <c r="BU417"/>
      <c r="BX417"/>
      <c r="BY417"/>
      <c r="CA417"/>
    </row>
    <row r="418" spans="2:79" ht="18.75">
      <c r="B418" s="252" t="s">
        <v>1510</v>
      </c>
      <c r="C418" s="251">
        <v>40779790000170</v>
      </c>
      <c r="D418" s="252" t="s">
        <v>14</v>
      </c>
      <c r="E418" s="252" t="s">
        <v>607</v>
      </c>
      <c r="F418" s="252" t="s">
        <v>1417</v>
      </c>
      <c r="G418" s="253" t="s">
        <v>1417</v>
      </c>
      <c r="H418" s="253" t="s">
        <v>34</v>
      </c>
      <c r="I418" s="253" t="s">
        <v>34</v>
      </c>
      <c r="J418" s="253" t="s">
        <v>608</v>
      </c>
      <c r="K418" s="253" t="s">
        <v>48</v>
      </c>
      <c r="L418" s="655"/>
      <c r="M418" s="655" t="s">
        <v>34</v>
      </c>
      <c r="N418" s="253" t="s">
        <v>2996</v>
      </c>
      <c r="O418" s="253" t="s">
        <v>1321</v>
      </c>
      <c r="P418" s="656">
        <v>44266</v>
      </c>
      <c r="Q418" s="657">
        <v>116.06905043</v>
      </c>
      <c r="R418" s="657">
        <v>104.98248243807232</v>
      </c>
      <c r="S418" s="253">
        <v>92</v>
      </c>
      <c r="T418" s="658">
        <v>-2.8258656208347888E-2</v>
      </c>
      <c r="U418" s="659">
        <v>-1.4130472691092897</v>
      </c>
      <c r="V418" s="658">
        <v>-7.4157831192002033E-2</v>
      </c>
      <c r="W418" s="659">
        <v>-0.57511697535900252</v>
      </c>
      <c r="X418" s="658"/>
      <c r="Y418" s="659"/>
      <c r="Z418" s="658"/>
      <c r="AA418" s="659"/>
      <c r="AB418" s="658">
        <v>0.22421166843144497</v>
      </c>
      <c r="AC418" s="660">
        <v>-0.90584821949572547</v>
      </c>
      <c r="AD418" s="682">
        <v>11176045000138</v>
      </c>
      <c r="AE418" s="944" t="s">
        <v>1810</v>
      </c>
      <c r="AF418" s="661" t="s">
        <v>1729</v>
      </c>
      <c r="AG418" s="662" t="s">
        <v>1433</v>
      </c>
      <c r="AH418" s="662" t="s">
        <v>1730</v>
      </c>
      <c r="AI418" s="662">
        <v>0</v>
      </c>
      <c r="AJ418" s="662">
        <v>0</v>
      </c>
      <c r="AK418" s="662">
        <v>0</v>
      </c>
      <c r="AL418" s="658">
        <v>11.54</v>
      </c>
      <c r="AM418" s="658">
        <v>0</v>
      </c>
      <c r="AN418" s="659" t="s">
        <v>34</v>
      </c>
      <c r="AO418" s="253" t="s">
        <v>34</v>
      </c>
      <c r="AP418" s="944" t="s">
        <v>1731</v>
      </c>
      <c r="AQ418" s="663" t="s">
        <v>659</v>
      </c>
      <c r="AR418" s="658">
        <v>0</v>
      </c>
      <c r="AS418" s="658">
        <v>0</v>
      </c>
      <c r="AT418" s="658" t="s">
        <v>1417</v>
      </c>
      <c r="AU418" s="658" t="s">
        <v>2751</v>
      </c>
      <c r="AX418"/>
      <c r="AY418"/>
      <c r="BA418"/>
      <c r="BB418"/>
      <c r="BC418"/>
      <c r="BD418"/>
      <c r="BE418"/>
      <c r="BF418"/>
      <c r="BG418"/>
      <c r="BH418"/>
      <c r="BI418"/>
      <c r="BJ418"/>
      <c r="BR418"/>
      <c r="BS418"/>
      <c r="BT418"/>
      <c r="BU418"/>
      <c r="BX418"/>
      <c r="BY418"/>
      <c r="CA418"/>
    </row>
    <row r="419" spans="2:79" ht="18.75">
      <c r="B419" s="252" t="s">
        <v>827</v>
      </c>
      <c r="C419" s="251">
        <v>24623412000146</v>
      </c>
      <c r="D419" s="252" t="s">
        <v>11</v>
      </c>
      <c r="E419" s="252" t="s">
        <v>620</v>
      </c>
      <c r="F419" s="252" t="s">
        <v>692</v>
      </c>
      <c r="G419" s="253" t="s">
        <v>738</v>
      </c>
      <c r="H419" s="253" t="s">
        <v>34</v>
      </c>
      <c r="I419" s="253" t="s">
        <v>1417</v>
      </c>
      <c r="J419" s="253" t="s">
        <v>608</v>
      </c>
      <c r="K419" s="253" t="s">
        <v>48</v>
      </c>
      <c r="L419" s="655"/>
      <c r="M419" s="655" t="s">
        <v>34</v>
      </c>
      <c r="N419" s="253" t="s">
        <v>2997</v>
      </c>
      <c r="O419" s="253" t="s">
        <v>1321</v>
      </c>
      <c r="P419" s="656">
        <v>42592</v>
      </c>
      <c r="Q419" s="657">
        <v>85.957588000000001</v>
      </c>
      <c r="R419" s="657">
        <v>99.170602085020235</v>
      </c>
      <c r="S419" s="253">
        <v>31</v>
      </c>
      <c r="T419" s="658">
        <v>-1.7717262026825109E-3</v>
      </c>
      <c r="U419" s="659">
        <v>-8.8593486323327905E-2</v>
      </c>
      <c r="V419" s="658">
        <v>6.5300257422181041E-2</v>
      </c>
      <c r="W419" s="659">
        <v>0.50642374426477799</v>
      </c>
      <c r="X419" s="658">
        <v>0.14437583228510031</v>
      </c>
      <c r="Y419" s="659">
        <v>0.74772136361075858</v>
      </c>
      <c r="Z419" s="658">
        <v>0.20111769167288118</v>
      </c>
      <c r="AA419" s="659">
        <v>0.9081020905546493</v>
      </c>
      <c r="AB419" s="658">
        <v>2.7050559536147791E-2</v>
      </c>
      <c r="AC419" s="660">
        <v>-2.3527665643869584</v>
      </c>
      <c r="AD419" s="682">
        <v>24601713000179</v>
      </c>
      <c r="AE419" s="944" t="s">
        <v>1826</v>
      </c>
      <c r="AF419" s="661" t="s">
        <v>1729</v>
      </c>
      <c r="AG419" s="662" t="s">
        <v>1433</v>
      </c>
      <c r="AH419" s="662" t="s">
        <v>1734</v>
      </c>
      <c r="AI419" s="662">
        <v>100</v>
      </c>
      <c r="AJ419" s="662">
        <v>100</v>
      </c>
      <c r="AK419" s="662">
        <v>100</v>
      </c>
      <c r="AL419" s="658">
        <v>0.01</v>
      </c>
      <c r="AM419" s="658">
        <v>0.2</v>
      </c>
      <c r="AN419" s="659" t="s">
        <v>2141</v>
      </c>
      <c r="AO419" s="253" t="s">
        <v>34</v>
      </c>
      <c r="AP419" s="944" t="s">
        <v>1746</v>
      </c>
      <c r="AQ419" s="663" t="s">
        <v>671</v>
      </c>
      <c r="AR419" s="658">
        <v>2E-3</v>
      </c>
      <c r="AS419" s="658">
        <v>2E-3</v>
      </c>
      <c r="AT419" s="658" t="s">
        <v>1417</v>
      </c>
      <c r="AU419" s="658" t="s">
        <v>2751</v>
      </c>
      <c r="AX419"/>
      <c r="AY419"/>
      <c r="BA419"/>
      <c r="BB419"/>
      <c r="BC419"/>
      <c r="BD419"/>
      <c r="BE419"/>
      <c r="BF419"/>
      <c r="BG419"/>
      <c r="BH419"/>
      <c r="BI419"/>
      <c r="BJ419"/>
      <c r="BR419"/>
      <c r="BS419"/>
      <c r="BT419"/>
      <c r="BU419"/>
      <c r="BX419"/>
      <c r="BY419"/>
      <c r="CA419"/>
    </row>
    <row r="420" spans="2:79" ht="18.75">
      <c r="B420" s="252" t="s">
        <v>828</v>
      </c>
      <c r="C420" s="251">
        <v>30178843000143</v>
      </c>
      <c r="D420" s="252" t="s">
        <v>11</v>
      </c>
      <c r="E420" s="252" t="s">
        <v>620</v>
      </c>
      <c r="F420" s="252" t="s">
        <v>692</v>
      </c>
      <c r="G420" s="253" t="s">
        <v>738</v>
      </c>
      <c r="H420" s="253" t="s">
        <v>34</v>
      </c>
      <c r="I420" s="253" t="s">
        <v>1417</v>
      </c>
      <c r="J420" s="253" t="s">
        <v>608</v>
      </c>
      <c r="K420" s="253" t="s">
        <v>48</v>
      </c>
      <c r="L420" s="655"/>
      <c r="M420" s="655" t="s">
        <v>34</v>
      </c>
      <c r="N420" s="253" t="s">
        <v>2998</v>
      </c>
      <c r="O420" s="253" t="s">
        <v>1321</v>
      </c>
      <c r="P420" s="656">
        <v>43558</v>
      </c>
      <c r="Q420" s="657">
        <v>34.29607042</v>
      </c>
      <c r="R420" s="657">
        <v>39.677095703252043</v>
      </c>
      <c r="S420" s="253">
        <v>31</v>
      </c>
      <c r="T420" s="658">
        <v>-3.2003064471105569E-3</v>
      </c>
      <c r="U420" s="659">
        <v>-0.16002828485759799</v>
      </c>
      <c r="V420" s="658">
        <v>8.1116546792909805E-2</v>
      </c>
      <c r="W420" s="659">
        <v>0.62908397256548521</v>
      </c>
      <c r="X420" s="658">
        <v>0.16879757620681279</v>
      </c>
      <c r="Y420" s="659">
        <v>0.87420139408314479</v>
      </c>
      <c r="Z420" s="658">
        <v>0.21174881062232487</v>
      </c>
      <c r="AA420" s="659">
        <v>0.95610453759261282</v>
      </c>
      <c r="AB420" s="658">
        <v>1.6079169493190191E-2</v>
      </c>
      <c r="AC420" s="660">
        <v>-2.9744921013572418</v>
      </c>
      <c r="AD420" s="682">
        <v>30618457000125</v>
      </c>
      <c r="AE420" s="944" t="s">
        <v>1826</v>
      </c>
      <c r="AF420" s="661" t="s">
        <v>1729</v>
      </c>
      <c r="AG420" s="662" t="s">
        <v>1433</v>
      </c>
      <c r="AH420" s="662" t="s">
        <v>1734</v>
      </c>
      <c r="AI420" s="662">
        <v>100</v>
      </c>
      <c r="AJ420" s="662">
        <v>100</v>
      </c>
      <c r="AK420" s="662">
        <v>100</v>
      </c>
      <c r="AL420" s="658">
        <v>0</v>
      </c>
      <c r="AM420" s="658">
        <v>0.2</v>
      </c>
      <c r="AN420" s="659" t="s">
        <v>64</v>
      </c>
      <c r="AO420" s="253" t="s">
        <v>34</v>
      </c>
      <c r="AP420" s="944" t="s">
        <v>1746</v>
      </c>
      <c r="AQ420" s="663" t="s">
        <v>671</v>
      </c>
      <c r="AR420" s="658">
        <v>2E-3</v>
      </c>
      <c r="AS420" s="658">
        <v>2E-3</v>
      </c>
      <c r="AT420" s="658" t="s">
        <v>1417</v>
      </c>
      <c r="AU420" s="658" t="s">
        <v>2751</v>
      </c>
      <c r="AX420"/>
      <c r="AY420"/>
      <c r="BA420"/>
      <c r="BB420"/>
      <c r="BC420"/>
      <c r="BD420"/>
      <c r="BE420"/>
      <c r="BF420"/>
      <c r="BG420"/>
      <c r="BH420"/>
      <c r="BI420"/>
      <c r="BJ420"/>
      <c r="BR420"/>
      <c r="BS420"/>
      <c r="BT420"/>
      <c r="BU420"/>
      <c r="BX420"/>
      <c r="BY420"/>
      <c r="CA420"/>
    </row>
    <row r="421" spans="2:79" ht="18.75">
      <c r="B421" s="252" t="s">
        <v>1511</v>
      </c>
      <c r="C421" s="251">
        <v>8621010000156</v>
      </c>
      <c r="D421" s="252" t="s">
        <v>14</v>
      </c>
      <c r="E421" s="252" t="s">
        <v>607</v>
      </c>
      <c r="F421" s="252" t="s">
        <v>1417</v>
      </c>
      <c r="G421" s="253" t="s">
        <v>1417</v>
      </c>
      <c r="H421" s="253" t="s">
        <v>34</v>
      </c>
      <c r="I421" s="253" t="s">
        <v>34</v>
      </c>
      <c r="J421" s="253" t="s">
        <v>608</v>
      </c>
      <c r="K421" s="253" t="s">
        <v>48</v>
      </c>
      <c r="L421" s="655"/>
      <c r="M421" s="655" t="s">
        <v>34</v>
      </c>
      <c r="N421" s="253" t="s">
        <v>2999</v>
      </c>
      <c r="O421" s="253" t="s">
        <v>1321</v>
      </c>
      <c r="P421" s="656">
        <v>39162</v>
      </c>
      <c r="Q421" s="657">
        <v>0</v>
      </c>
      <c r="R421" s="657">
        <v>96.272592014925394</v>
      </c>
      <c r="S421" s="253">
        <v>3</v>
      </c>
      <c r="T421" s="658"/>
      <c r="U421" s="659"/>
      <c r="V421" s="658">
        <v>-7.3352053119538074E-2</v>
      </c>
      <c r="W421" s="659">
        <v>-0.5688679165556747</v>
      </c>
      <c r="X421" s="658">
        <v>-0.13226050198848416</v>
      </c>
      <c r="Y421" s="659">
        <v>-0.68497615794439826</v>
      </c>
      <c r="Z421" s="658">
        <v>-7.3357734007362674E-2</v>
      </c>
      <c r="AA421" s="659">
        <v>-0.33123049024841467</v>
      </c>
      <c r="AB421" s="658">
        <v>0.19155747605364176</v>
      </c>
      <c r="AC421" s="660">
        <v>-1.0560588223123046</v>
      </c>
      <c r="AD421" s="682">
        <v>9075535000104</v>
      </c>
      <c r="AE421" s="944" t="s">
        <v>1785</v>
      </c>
      <c r="AF421" s="661" t="s">
        <v>1769</v>
      </c>
      <c r="AG421" s="662" t="s">
        <v>719</v>
      </c>
      <c r="AH421" s="662" t="s">
        <v>1734</v>
      </c>
      <c r="AI421" s="662">
        <v>0</v>
      </c>
      <c r="AJ421" s="662">
        <v>0</v>
      </c>
      <c r="AK421" s="662">
        <v>0</v>
      </c>
      <c r="AL421" s="658">
        <v>1.9799999999999998E-2</v>
      </c>
      <c r="AM421" s="658">
        <v>0.2</v>
      </c>
      <c r="AN421" s="659" t="s">
        <v>2160</v>
      </c>
      <c r="AO421" s="253" t="s">
        <v>34</v>
      </c>
      <c r="AP421" s="944" t="s">
        <v>1731</v>
      </c>
      <c r="AQ421" s="663" t="s">
        <v>659</v>
      </c>
      <c r="AR421" s="658">
        <v>3.9500000000000004E-3</v>
      </c>
      <c r="AS421" s="658">
        <v>3.9500000000000004E-3</v>
      </c>
      <c r="AT421" s="658" t="s">
        <v>1417</v>
      </c>
      <c r="AU421" s="658" t="s">
        <v>2751</v>
      </c>
      <c r="AX421"/>
      <c r="AY421"/>
      <c r="BA421"/>
      <c r="BB421"/>
      <c r="BC421"/>
      <c r="BD421"/>
      <c r="BE421"/>
      <c r="BF421"/>
      <c r="BG421"/>
      <c r="BH421"/>
      <c r="BI421"/>
      <c r="BJ421"/>
      <c r="BR421"/>
      <c r="BS421"/>
      <c r="BT421"/>
      <c r="BU421"/>
      <c r="BX421"/>
      <c r="BY421"/>
      <c r="CA421"/>
    </row>
    <row r="422" spans="2:79" ht="18.75">
      <c r="B422" s="252" t="s">
        <v>138</v>
      </c>
      <c r="C422" s="251">
        <v>15350679000116</v>
      </c>
      <c r="D422" s="252" t="s">
        <v>11</v>
      </c>
      <c r="E422" s="252" t="s">
        <v>620</v>
      </c>
      <c r="F422" s="252" t="s">
        <v>663</v>
      </c>
      <c r="G422" s="253" t="s">
        <v>738</v>
      </c>
      <c r="H422" s="253" t="s">
        <v>34</v>
      </c>
      <c r="I422" s="253" t="s">
        <v>1304</v>
      </c>
      <c r="J422" s="253" t="s">
        <v>608</v>
      </c>
      <c r="K422" s="253" t="s">
        <v>48</v>
      </c>
      <c r="L422" s="655"/>
      <c r="M422" s="655" t="s">
        <v>1414</v>
      </c>
      <c r="N422" s="253" t="s">
        <v>3000</v>
      </c>
      <c r="O422" s="253" t="s">
        <v>1321</v>
      </c>
      <c r="P422" s="656">
        <v>41060</v>
      </c>
      <c r="Q422" s="657">
        <v>200.61593400000001</v>
      </c>
      <c r="R422" s="657">
        <v>222.76004662499992</v>
      </c>
      <c r="S422" s="253">
        <v>1</v>
      </c>
      <c r="T422" s="658">
        <v>1.8884196801226549E-2</v>
      </c>
      <c r="U422" s="659">
        <v>0.94428632849897387</v>
      </c>
      <c r="V422" s="658">
        <v>0.13175233862732272</v>
      </c>
      <c r="W422" s="659">
        <v>1.021780239117795</v>
      </c>
      <c r="X422" s="658">
        <v>0.20397011813961252</v>
      </c>
      <c r="Y422" s="659">
        <v>1.0563597276449295</v>
      </c>
      <c r="Z422" s="658">
        <v>0.21113186955476038</v>
      </c>
      <c r="AA422" s="659">
        <v>0.95331887777052438</v>
      </c>
      <c r="AB422" s="658">
        <v>1.1414517581747161E-3</v>
      </c>
      <c r="AC422" s="660">
        <v>2.4604011167544191</v>
      </c>
      <c r="AD422" s="682">
        <v>0</v>
      </c>
      <c r="AE422" s="944" t="s">
        <v>1826</v>
      </c>
      <c r="AF422" s="661" t="s">
        <v>1729</v>
      </c>
      <c r="AG422" s="662" t="s">
        <v>1433</v>
      </c>
      <c r="AH422" s="662" t="s">
        <v>1734</v>
      </c>
      <c r="AI422" s="662">
        <v>3000</v>
      </c>
      <c r="AJ422" s="662">
        <v>100</v>
      </c>
      <c r="AK422" s="662">
        <v>100</v>
      </c>
      <c r="AL422" s="658">
        <v>3.4999999999999996E-3</v>
      </c>
      <c r="AM422" s="658">
        <v>0</v>
      </c>
      <c r="AN422" s="659" t="s">
        <v>64</v>
      </c>
      <c r="AO422" s="253" t="s">
        <v>34</v>
      </c>
      <c r="AP422" s="944" t="s">
        <v>1735</v>
      </c>
      <c r="AQ422" s="663" t="s">
        <v>669</v>
      </c>
      <c r="AR422" s="658">
        <v>6.2500000000000001E-4</v>
      </c>
      <c r="AS422" s="658">
        <v>6.2500000000000001E-4</v>
      </c>
      <c r="AT422" s="658" t="s">
        <v>1417</v>
      </c>
      <c r="AU422" s="658" t="s">
        <v>2751</v>
      </c>
      <c r="AX422"/>
      <c r="AY422"/>
      <c r="BA422"/>
      <c r="BB422"/>
      <c r="BC422"/>
      <c r="BD422"/>
      <c r="BE422"/>
      <c r="BF422"/>
      <c r="BG422"/>
      <c r="BH422"/>
      <c r="BI422"/>
      <c r="BJ422"/>
      <c r="BR422"/>
      <c r="BS422"/>
      <c r="BT422"/>
      <c r="BU422"/>
      <c r="BX422"/>
      <c r="BY422"/>
      <c r="CA422"/>
    </row>
    <row r="423" spans="2:79" ht="18.75">
      <c r="B423" s="252" t="s">
        <v>829</v>
      </c>
      <c r="C423" s="251">
        <v>11616354000181</v>
      </c>
      <c r="D423" s="252" t="s">
        <v>11</v>
      </c>
      <c r="E423" s="252" t="s">
        <v>620</v>
      </c>
      <c r="F423" s="252" t="s">
        <v>672</v>
      </c>
      <c r="G423" s="253" t="s">
        <v>738</v>
      </c>
      <c r="H423" s="253" t="s">
        <v>34</v>
      </c>
      <c r="I423" s="253" t="s">
        <v>1304</v>
      </c>
      <c r="J423" s="253" t="s">
        <v>608</v>
      </c>
      <c r="K423" s="253" t="s">
        <v>48</v>
      </c>
      <c r="L423" s="655"/>
      <c r="M423" s="655" t="s">
        <v>1414</v>
      </c>
      <c r="N423" s="253" t="s">
        <v>3001</v>
      </c>
      <c r="O423" s="253" t="s">
        <v>1321</v>
      </c>
      <c r="P423" s="656">
        <v>40261</v>
      </c>
      <c r="Q423" s="657">
        <v>270.69511299999999</v>
      </c>
      <c r="R423" s="657">
        <v>273.75700476923083</v>
      </c>
      <c r="S423" s="253">
        <v>0</v>
      </c>
      <c r="T423" s="658">
        <v>1.952765975348103E-2</v>
      </c>
      <c r="U423" s="659">
        <v>0.97646208239018661</v>
      </c>
      <c r="V423" s="658">
        <v>0.12777383164766487</v>
      </c>
      <c r="W423" s="659">
        <v>0.99092568385631008</v>
      </c>
      <c r="X423" s="658">
        <v>0.19146794767670494</v>
      </c>
      <c r="Y423" s="659">
        <v>0.99161107962910688</v>
      </c>
      <c r="Z423" s="658">
        <v>0.21199181763225483</v>
      </c>
      <c r="AA423" s="659">
        <v>0.95720178155907487</v>
      </c>
      <c r="AB423" s="658">
        <v>1.1150749545897759E-3</v>
      </c>
      <c r="AC423" s="660">
        <v>-1.0493265894882737</v>
      </c>
      <c r="AD423" s="682">
        <v>0</v>
      </c>
      <c r="AE423" s="944" t="s">
        <v>1826</v>
      </c>
      <c r="AF423" s="661" t="s">
        <v>1729</v>
      </c>
      <c r="AG423" s="662" t="s">
        <v>1433</v>
      </c>
      <c r="AH423" s="662" t="s">
        <v>1734</v>
      </c>
      <c r="AI423" s="662">
        <v>3000</v>
      </c>
      <c r="AJ423" s="662">
        <v>0</v>
      </c>
      <c r="AK423" s="662">
        <v>0</v>
      </c>
      <c r="AL423" s="658">
        <v>2.5000000000000001E-3</v>
      </c>
      <c r="AM423" s="658">
        <v>0</v>
      </c>
      <c r="AN423" s="659" t="s">
        <v>64</v>
      </c>
      <c r="AO423" s="253" t="s">
        <v>34</v>
      </c>
      <c r="AP423" s="944" t="s">
        <v>1735</v>
      </c>
      <c r="AQ423" s="663" t="s">
        <v>662</v>
      </c>
      <c r="AR423" s="658">
        <v>3.7500000000000001E-4</v>
      </c>
      <c r="AS423" s="658">
        <v>3.7500000000000001E-4</v>
      </c>
      <c r="AT423" s="658" t="s">
        <v>1417</v>
      </c>
      <c r="AU423" s="658" t="s">
        <v>2751</v>
      </c>
      <c r="AX423"/>
      <c r="AY423"/>
      <c r="BA423"/>
      <c r="BB423"/>
      <c r="BC423"/>
      <c r="BD423"/>
      <c r="BE423"/>
      <c r="BF423"/>
      <c r="BG423"/>
      <c r="BH423"/>
      <c r="BI423"/>
      <c r="BJ423"/>
      <c r="BR423"/>
      <c r="BS423"/>
      <c r="BT423"/>
      <c r="BU423"/>
      <c r="BX423"/>
      <c r="BY423"/>
      <c r="CA423"/>
    </row>
    <row r="424" spans="2:79" ht="18.75">
      <c r="B424" s="252" t="s">
        <v>139</v>
      </c>
      <c r="C424" s="251">
        <v>35726300000137</v>
      </c>
      <c r="D424" s="252" t="s">
        <v>11</v>
      </c>
      <c r="E424" s="252" t="s">
        <v>620</v>
      </c>
      <c r="F424" s="252" t="s">
        <v>685</v>
      </c>
      <c r="G424" s="253" t="s">
        <v>738</v>
      </c>
      <c r="H424" s="253" t="s">
        <v>34</v>
      </c>
      <c r="I424" s="253" t="s">
        <v>1319</v>
      </c>
      <c r="J424" s="253" t="s">
        <v>608</v>
      </c>
      <c r="K424" s="253" t="s">
        <v>48</v>
      </c>
      <c r="L424" s="655"/>
      <c r="M424" s="655" t="s">
        <v>34</v>
      </c>
      <c r="N424" s="253" t="s">
        <v>3002</v>
      </c>
      <c r="O424" s="253" t="s">
        <v>1324</v>
      </c>
      <c r="P424" s="656">
        <v>43861</v>
      </c>
      <c r="Q424" s="657">
        <v>586.73978595000005</v>
      </c>
      <c r="R424" s="657">
        <v>389.95903684278198</v>
      </c>
      <c r="S424" s="253">
        <v>91</v>
      </c>
      <c r="T424" s="658">
        <v>2.3526204291201669E-2</v>
      </c>
      <c r="U424" s="659">
        <v>1.1764055049570712</v>
      </c>
      <c r="V424" s="658">
        <v>0.15960528770578475</v>
      </c>
      <c r="W424" s="659">
        <v>1.2377884957152592</v>
      </c>
      <c r="X424" s="658">
        <v>0.26675415176727668</v>
      </c>
      <c r="Y424" s="659">
        <v>1.3815177717167249</v>
      </c>
      <c r="Z424" s="658">
        <v>0.33053769301469194</v>
      </c>
      <c r="AA424" s="659">
        <v>1.4924692479166251</v>
      </c>
      <c r="AB424" s="658">
        <v>9.5955128707679842E-4</v>
      </c>
      <c r="AC424" s="660">
        <v>31.953871222875438</v>
      </c>
      <c r="AD424" s="682">
        <v>0</v>
      </c>
      <c r="AE424" s="944" t="s">
        <v>2004</v>
      </c>
      <c r="AF424" s="661" t="s">
        <v>1745</v>
      </c>
      <c r="AG424" s="662" t="s">
        <v>1432</v>
      </c>
      <c r="AH424" s="662" t="s">
        <v>1730</v>
      </c>
      <c r="AI424" s="662">
        <v>1000</v>
      </c>
      <c r="AJ424" s="662">
        <v>1000</v>
      </c>
      <c r="AK424" s="662">
        <v>1000</v>
      </c>
      <c r="AL424" s="658">
        <v>9.0000000000000011E-3</v>
      </c>
      <c r="AM424" s="658">
        <v>0</v>
      </c>
      <c r="AN424" s="659" t="s">
        <v>64</v>
      </c>
      <c r="AO424" s="253" t="s">
        <v>34</v>
      </c>
      <c r="AP424" s="944" t="s">
        <v>1746</v>
      </c>
      <c r="AQ424" s="663" t="s">
        <v>686</v>
      </c>
      <c r="AR424" s="658">
        <v>1.5E-3</v>
      </c>
      <c r="AS424" s="658">
        <v>1.5E-3</v>
      </c>
      <c r="AT424" s="658" t="s">
        <v>1417</v>
      </c>
      <c r="AU424" s="658" t="s">
        <v>2751</v>
      </c>
      <c r="AX424"/>
      <c r="AY424"/>
      <c r="BA424"/>
      <c r="BB424"/>
      <c r="BC424"/>
      <c r="BD424"/>
      <c r="BE424"/>
      <c r="BF424"/>
      <c r="BG424"/>
      <c r="BH424"/>
      <c r="BI424"/>
      <c r="BJ424"/>
      <c r="BR424"/>
      <c r="BS424"/>
      <c r="BT424"/>
      <c r="BU424"/>
      <c r="BX424"/>
      <c r="BY424"/>
      <c r="CA424"/>
    </row>
    <row r="425" spans="2:79" ht="18.75">
      <c r="B425" s="252" t="s">
        <v>830</v>
      </c>
      <c r="C425" s="251">
        <v>36015243000140</v>
      </c>
      <c r="D425" s="252" t="s">
        <v>11</v>
      </c>
      <c r="E425" s="252" t="s">
        <v>620</v>
      </c>
      <c r="F425" s="252" t="s">
        <v>685</v>
      </c>
      <c r="G425" s="253" t="s">
        <v>738</v>
      </c>
      <c r="H425" s="253" t="s">
        <v>34</v>
      </c>
      <c r="I425" s="253" t="s">
        <v>1319</v>
      </c>
      <c r="J425" s="253" t="s">
        <v>608</v>
      </c>
      <c r="K425" s="253" t="s">
        <v>48</v>
      </c>
      <c r="L425" s="655"/>
      <c r="M425" s="655" t="s">
        <v>1414</v>
      </c>
      <c r="N425" s="253" t="s">
        <v>3003</v>
      </c>
      <c r="O425" s="253" t="s">
        <v>1321</v>
      </c>
      <c r="P425" s="656">
        <v>43861</v>
      </c>
      <c r="Q425" s="657">
        <v>160.84428210999999</v>
      </c>
      <c r="R425" s="657">
        <v>128.34934348439515</v>
      </c>
      <c r="S425" s="253">
        <v>181</v>
      </c>
      <c r="T425" s="658">
        <v>2.4801800621801817E-2</v>
      </c>
      <c r="U425" s="659">
        <v>1.2401904881548178</v>
      </c>
      <c r="V425" s="658">
        <v>0.17481107365753834</v>
      </c>
      <c r="W425" s="659">
        <v>1.3557140807001677</v>
      </c>
      <c r="X425" s="658">
        <v>0.30312204556937572</v>
      </c>
      <c r="Y425" s="659">
        <v>1.5698668237357523</v>
      </c>
      <c r="Z425" s="658">
        <v>0.41929289999999919</v>
      </c>
      <c r="AA425" s="659">
        <v>1.8932235939940572</v>
      </c>
      <c r="AB425" s="658">
        <v>3.0587214918030761E-3</v>
      </c>
      <c r="AC425" s="660">
        <v>14.995534681293229</v>
      </c>
      <c r="AD425" s="682">
        <v>0</v>
      </c>
      <c r="AE425" s="944" t="s">
        <v>2004</v>
      </c>
      <c r="AF425" s="661" t="s">
        <v>1745</v>
      </c>
      <c r="AG425" s="662" t="s">
        <v>1432</v>
      </c>
      <c r="AH425" s="662" t="s">
        <v>1801</v>
      </c>
      <c r="AI425" s="662">
        <v>1000</v>
      </c>
      <c r="AJ425" s="662">
        <v>1000</v>
      </c>
      <c r="AK425" s="662">
        <v>1000</v>
      </c>
      <c r="AL425" s="658">
        <v>6.0000000000000001E-3</v>
      </c>
      <c r="AM425" s="658">
        <v>0.2</v>
      </c>
      <c r="AN425" s="659" t="s">
        <v>64</v>
      </c>
      <c r="AO425" s="253" t="s">
        <v>34</v>
      </c>
      <c r="AP425" s="944" t="s">
        <v>1746</v>
      </c>
      <c r="AQ425" s="663" t="s">
        <v>679</v>
      </c>
      <c r="AR425" s="658">
        <v>0</v>
      </c>
      <c r="AS425" s="658">
        <v>0</v>
      </c>
      <c r="AT425" s="658" t="s">
        <v>1417</v>
      </c>
      <c r="AU425" s="658" t="s">
        <v>2751</v>
      </c>
      <c r="AX425"/>
      <c r="AY425"/>
      <c r="BA425"/>
      <c r="BB425"/>
      <c r="BC425"/>
      <c r="BD425"/>
      <c r="BE425"/>
      <c r="BF425"/>
      <c r="BG425"/>
      <c r="BH425"/>
      <c r="BI425"/>
      <c r="BJ425"/>
      <c r="BR425"/>
      <c r="BS425"/>
      <c r="BT425"/>
      <c r="BU425"/>
      <c r="BX425"/>
      <c r="BY425"/>
      <c r="CA425"/>
    </row>
    <row r="426" spans="2:79" ht="18.75">
      <c r="B426" s="252" t="s">
        <v>831</v>
      </c>
      <c r="C426" s="251">
        <v>36484248000112</v>
      </c>
      <c r="D426" s="252" t="s">
        <v>13</v>
      </c>
      <c r="E426" s="252" t="s">
        <v>616</v>
      </c>
      <c r="F426" s="252" t="s">
        <v>610</v>
      </c>
      <c r="G426" s="253" t="s">
        <v>34</v>
      </c>
      <c r="H426" s="253" t="s">
        <v>1338</v>
      </c>
      <c r="I426" s="253" t="s">
        <v>34</v>
      </c>
      <c r="J426" s="253" t="s">
        <v>1417</v>
      </c>
      <c r="K426" s="253" t="s">
        <v>48</v>
      </c>
      <c r="L426" s="655"/>
      <c r="M426" s="655" t="s">
        <v>34</v>
      </c>
      <c r="N426" s="253" t="s">
        <v>3004</v>
      </c>
      <c r="O426" s="253" t="s">
        <v>1321</v>
      </c>
      <c r="P426" s="656">
        <v>43894</v>
      </c>
      <c r="Q426" s="657">
        <v>5.3585219400000001</v>
      </c>
      <c r="R426" s="657">
        <v>12.252853311866669</v>
      </c>
      <c r="S426" s="253">
        <v>11</v>
      </c>
      <c r="T426" s="658">
        <v>7.7709138818988777E-3</v>
      </c>
      <c r="U426" s="659">
        <v>0.38857716935799941</v>
      </c>
      <c r="V426" s="658">
        <v>8.8159110710192001E-2</v>
      </c>
      <c r="W426" s="659">
        <v>0.68370123946469041</v>
      </c>
      <c r="X426" s="658">
        <v>0.10435030391896749</v>
      </c>
      <c r="Y426" s="659">
        <v>0.54042944933755155</v>
      </c>
      <c r="Z426" s="658"/>
      <c r="AA426" s="659"/>
      <c r="AB426" s="658">
        <v>6.4317308326602193E-2</v>
      </c>
      <c r="AC426" s="660">
        <v>-0.63411855685085328</v>
      </c>
      <c r="AD426" s="682">
        <v>0</v>
      </c>
      <c r="AE426" s="944" t="s">
        <v>2012</v>
      </c>
      <c r="AF426" s="661" t="s">
        <v>2013</v>
      </c>
      <c r="AG426" s="662" t="s">
        <v>1432</v>
      </c>
      <c r="AH426" s="662" t="s">
        <v>1734</v>
      </c>
      <c r="AI426" s="662">
        <v>1000</v>
      </c>
      <c r="AJ426" s="662">
        <v>1000</v>
      </c>
      <c r="AK426" s="662">
        <v>0</v>
      </c>
      <c r="AL426" s="658">
        <v>1.8500000000000003E-2</v>
      </c>
      <c r="AM426" s="658">
        <v>0.2</v>
      </c>
      <c r="AN426" s="659" t="s">
        <v>2127</v>
      </c>
      <c r="AO426" s="253" t="s">
        <v>34</v>
      </c>
      <c r="AP426" s="944" t="s">
        <v>1746</v>
      </c>
      <c r="AQ426" s="663" t="s">
        <v>664</v>
      </c>
      <c r="AR426" s="658">
        <v>6.1666666666666701E-3</v>
      </c>
      <c r="AS426" s="658">
        <v>6.1666666666666701E-3</v>
      </c>
      <c r="AT426" s="658" t="s">
        <v>1417</v>
      </c>
      <c r="AU426" s="658" t="s">
        <v>2751</v>
      </c>
      <c r="AX426"/>
      <c r="AY426"/>
      <c r="BA426"/>
      <c r="BB426"/>
      <c r="BC426"/>
      <c r="BD426"/>
      <c r="BE426"/>
      <c r="BF426"/>
      <c r="BG426"/>
      <c r="BH426"/>
      <c r="BI426"/>
      <c r="BJ426"/>
      <c r="BR426"/>
      <c r="BS426"/>
      <c r="BT426"/>
      <c r="BU426"/>
      <c r="BX426"/>
      <c r="BY426"/>
      <c r="CA426"/>
    </row>
    <row r="427" spans="2:79" ht="18.75">
      <c r="B427" s="252" t="s">
        <v>140</v>
      </c>
      <c r="C427" s="251">
        <v>6070574000112</v>
      </c>
      <c r="D427" s="252" t="s">
        <v>14</v>
      </c>
      <c r="E427" s="252" t="s">
        <v>607</v>
      </c>
      <c r="F427" s="252" t="s">
        <v>1417</v>
      </c>
      <c r="G427" s="253" t="s">
        <v>1417</v>
      </c>
      <c r="H427" s="253" t="s">
        <v>34</v>
      </c>
      <c r="I427" s="253" t="s">
        <v>34</v>
      </c>
      <c r="J427" s="253" t="s">
        <v>608</v>
      </c>
      <c r="K427" s="253" t="s">
        <v>48</v>
      </c>
      <c r="L427" s="655"/>
      <c r="M427" s="655" t="s">
        <v>34</v>
      </c>
      <c r="N427" s="253" t="s">
        <v>3005</v>
      </c>
      <c r="O427" s="253" t="s">
        <v>1321</v>
      </c>
      <c r="P427" s="656">
        <v>37995</v>
      </c>
      <c r="Q427" s="657">
        <v>227.08531500000001</v>
      </c>
      <c r="R427" s="657">
        <v>245.73446463453826</v>
      </c>
      <c r="S427" s="253">
        <v>32</v>
      </c>
      <c r="T427" s="658">
        <v>-1.9808114145802858E-3</v>
      </c>
      <c r="U427" s="659">
        <v>-9.9048593795706935E-2</v>
      </c>
      <c r="V427" s="658">
        <v>-3.9426705742946933E-2</v>
      </c>
      <c r="W427" s="659">
        <v>-0.30576632825932165</v>
      </c>
      <c r="X427" s="658">
        <v>-0.13244925475765557</v>
      </c>
      <c r="Y427" s="659">
        <v>-0.68595370713470494</v>
      </c>
      <c r="Z427" s="658">
        <v>-0.15956749224250044</v>
      </c>
      <c r="AA427" s="659">
        <v>-0.72049143009091288</v>
      </c>
      <c r="AB427" s="658">
        <v>0.1845551669225175</v>
      </c>
      <c r="AC427" s="660">
        <v>-0.91230507385589998</v>
      </c>
      <c r="AD427" s="682">
        <v>16993142000137</v>
      </c>
      <c r="AE427" s="944" t="s">
        <v>1761</v>
      </c>
      <c r="AF427" s="661" t="s">
        <v>1729</v>
      </c>
      <c r="AG427" s="662" t="s">
        <v>1433</v>
      </c>
      <c r="AH427" s="662" t="s">
        <v>1730</v>
      </c>
      <c r="AI427" s="662">
        <v>5</v>
      </c>
      <c r="AJ427" s="662">
        <v>1000</v>
      </c>
      <c r="AK427" s="662">
        <v>1000</v>
      </c>
      <c r="AL427" s="658">
        <v>0.02</v>
      </c>
      <c r="AM427" s="658">
        <v>0.15</v>
      </c>
      <c r="AN427" s="659" t="s">
        <v>2141</v>
      </c>
      <c r="AO427" s="253" t="s">
        <v>34</v>
      </c>
      <c r="AP427" s="944" t="s">
        <v>1731</v>
      </c>
      <c r="AQ427" s="663" t="s">
        <v>659</v>
      </c>
      <c r="AR427" s="658">
        <v>4.6666666666666697E-3</v>
      </c>
      <c r="AS427" s="658">
        <v>4.6666666666666697E-3</v>
      </c>
      <c r="AT427" s="658" t="s">
        <v>1417</v>
      </c>
      <c r="AU427" s="658" t="s">
        <v>2751</v>
      </c>
      <c r="AX427"/>
      <c r="AY427"/>
      <c r="BA427"/>
      <c r="BB427"/>
      <c r="BC427"/>
      <c r="BD427"/>
      <c r="BE427"/>
      <c r="BF427"/>
      <c r="BG427"/>
      <c r="BH427"/>
      <c r="BI427"/>
      <c r="BJ427"/>
      <c r="BR427"/>
      <c r="BS427"/>
      <c r="BT427"/>
      <c r="BU427"/>
      <c r="BX427"/>
      <c r="BY427"/>
      <c r="CA427"/>
    </row>
    <row r="428" spans="2:79" ht="18.75">
      <c r="B428" s="252" t="s">
        <v>832</v>
      </c>
      <c r="C428" s="251">
        <v>29283812000173</v>
      </c>
      <c r="D428" s="252" t="s">
        <v>14</v>
      </c>
      <c r="E428" s="252" t="s">
        <v>607</v>
      </c>
      <c r="F428" s="252" t="s">
        <v>1417</v>
      </c>
      <c r="G428" s="253" t="s">
        <v>1417</v>
      </c>
      <c r="H428" s="253" t="s">
        <v>34</v>
      </c>
      <c r="I428" s="253" t="s">
        <v>34</v>
      </c>
      <c r="J428" s="253" t="s">
        <v>608</v>
      </c>
      <c r="K428" s="253" t="s">
        <v>48</v>
      </c>
      <c r="L428" s="655"/>
      <c r="M428" s="655" t="s">
        <v>34</v>
      </c>
      <c r="N428" s="253" t="s">
        <v>3006</v>
      </c>
      <c r="O428" s="253" t="s">
        <v>1321</v>
      </c>
      <c r="P428" s="656">
        <v>43134</v>
      </c>
      <c r="Q428" s="657">
        <v>3.82139367</v>
      </c>
      <c r="R428" s="657">
        <v>4.1041602497590395</v>
      </c>
      <c r="S428" s="253">
        <v>32</v>
      </c>
      <c r="T428" s="658">
        <v>-3.4530143751484443E-3</v>
      </c>
      <c r="U428" s="659">
        <v>-0.17266470482617088</v>
      </c>
      <c r="V428" s="658">
        <v>-4.8393456701937732E-2</v>
      </c>
      <c r="W428" s="659">
        <v>-0.37530626230863889</v>
      </c>
      <c r="X428" s="658">
        <v>-0.14736122297483356</v>
      </c>
      <c r="Y428" s="659">
        <v>-0.7631826798304302</v>
      </c>
      <c r="Z428" s="658">
        <v>-0.17659779584812196</v>
      </c>
      <c r="AA428" s="659">
        <v>-0.79738796852274607</v>
      </c>
      <c r="AB428" s="658">
        <v>0.18393976524036129</v>
      </c>
      <c r="AC428" s="660">
        <v>-0.9641056457639402</v>
      </c>
      <c r="AD428" s="682">
        <v>16993142000137</v>
      </c>
      <c r="AE428" s="944" t="s">
        <v>1761</v>
      </c>
      <c r="AF428" s="661" t="s">
        <v>1729</v>
      </c>
      <c r="AG428" s="662" t="s">
        <v>1433</v>
      </c>
      <c r="AH428" s="662" t="s">
        <v>1734</v>
      </c>
      <c r="AI428" s="662">
        <v>5000</v>
      </c>
      <c r="AJ428" s="662">
        <v>1000</v>
      </c>
      <c r="AK428" s="662">
        <v>1000</v>
      </c>
      <c r="AL428" s="658">
        <v>2.5499999999999998E-2</v>
      </c>
      <c r="AM428" s="658">
        <v>0.2</v>
      </c>
      <c r="AN428" s="659" t="s">
        <v>2141</v>
      </c>
      <c r="AO428" s="253" t="s">
        <v>34</v>
      </c>
      <c r="AP428" s="944" t="s">
        <v>1731</v>
      </c>
      <c r="AQ428" s="663" t="s">
        <v>659</v>
      </c>
      <c r="AR428" s="658">
        <v>5.8333333333333301E-3</v>
      </c>
      <c r="AS428" s="658">
        <v>5.8333333333333301E-3</v>
      </c>
      <c r="AT428" s="658" t="s">
        <v>1417</v>
      </c>
      <c r="AU428" s="658" t="s">
        <v>2751</v>
      </c>
      <c r="AX428"/>
      <c r="AY428"/>
      <c r="BA428"/>
      <c r="BB428"/>
      <c r="BC428"/>
      <c r="BD428"/>
      <c r="BE428"/>
      <c r="BF428"/>
      <c r="BG428"/>
      <c r="BH428"/>
      <c r="BI428"/>
      <c r="BJ428"/>
      <c r="BR428"/>
      <c r="BS428"/>
      <c r="BT428"/>
      <c r="BU428"/>
      <c r="BX428"/>
      <c r="BY428"/>
      <c r="CA428"/>
    </row>
    <row r="429" spans="2:79" ht="18.75">
      <c r="B429" s="252" t="s">
        <v>141</v>
      </c>
      <c r="C429" s="251">
        <v>5097427000173</v>
      </c>
      <c r="D429" s="252" t="s">
        <v>13</v>
      </c>
      <c r="E429" s="252" t="s">
        <v>616</v>
      </c>
      <c r="F429" s="252" t="s">
        <v>617</v>
      </c>
      <c r="G429" s="253" t="s">
        <v>34</v>
      </c>
      <c r="H429" s="253" t="s">
        <v>865</v>
      </c>
      <c r="I429" s="253" t="s">
        <v>34</v>
      </c>
      <c r="J429" s="253" t="s">
        <v>608</v>
      </c>
      <c r="K429" s="253" t="s">
        <v>48</v>
      </c>
      <c r="L429" s="655"/>
      <c r="M429" s="655" t="s">
        <v>34</v>
      </c>
      <c r="N429" s="253" t="s">
        <v>3007</v>
      </c>
      <c r="O429" s="253" t="s">
        <v>1321</v>
      </c>
      <c r="P429" s="656">
        <v>37433</v>
      </c>
      <c r="Q429" s="657">
        <v>13.358252</v>
      </c>
      <c r="R429" s="657">
        <v>15.318283947580642</v>
      </c>
      <c r="S429" s="253">
        <v>8</v>
      </c>
      <c r="T429" s="658">
        <v>3.6230089821356337E-3</v>
      </c>
      <c r="U429" s="659">
        <v>0.18116512372066859</v>
      </c>
      <c r="V429" s="658">
        <v>7.6016689549916805E-2</v>
      </c>
      <c r="W429" s="659">
        <v>0.58953299830952333</v>
      </c>
      <c r="X429" s="658">
        <v>7.5716485845285453E-2</v>
      </c>
      <c r="Y429" s="659">
        <v>0.39213511810102464</v>
      </c>
      <c r="Z429" s="658">
        <v>8.1086335611203708E-2</v>
      </c>
      <c r="AA429" s="659">
        <v>0.36612726742964569</v>
      </c>
      <c r="AB429" s="658">
        <v>5.6696548491542112E-2</v>
      </c>
      <c r="AC429" s="660">
        <v>-0.93351749453967436</v>
      </c>
      <c r="AD429" s="682">
        <v>0</v>
      </c>
      <c r="AE429" s="944" t="s">
        <v>1761</v>
      </c>
      <c r="AF429" s="661" t="s">
        <v>1729</v>
      </c>
      <c r="AG429" s="662" t="s">
        <v>1433</v>
      </c>
      <c r="AH429" s="662" t="s">
        <v>1734</v>
      </c>
      <c r="AI429" s="662">
        <v>5000</v>
      </c>
      <c r="AJ429" s="662">
        <v>1000</v>
      </c>
      <c r="AK429" s="662">
        <v>1000</v>
      </c>
      <c r="AL429" s="658">
        <v>0.02</v>
      </c>
      <c r="AM429" s="658">
        <v>0.2</v>
      </c>
      <c r="AN429" s="659" t="s">
        <v>64</v>
      </c>
      <c r="AO429" s="253" t="s">
        <v>34</v>
      </c>
      <c r="AP429" s="944" t="s">
        <v>1746</v>
      </c>
      <c r="AQ429" s="663" t="s">
        <v>668</v>
      </c>
      <c r="AR429" s="658">
        <v>4.6666666666666697E-3</v>
      </c>
      <c r="AS429" s="658">
        <v>4.6666666666666697E-3</v>
      </c>
      <c r="AT429" s="658" t="s">
        <v>1417</v>
      </c>
      <c r="AU429" s="658" t="s">
        <v>2751</v>
      </c>
      <c r="AX429"/>
      <c r="AY429"/>
      <c r="BA429"/>
      <c r="BB429"/>
      <c r="BC429"/>
      <c r="BD429"/>
      <c r="BE429"/>
      <c r="BF429"/>
      <c r="BG429"/>
      <c r="BH429"/>
      <c r="BI429"/>
      <c r="BJ429"/>
      <c r="BR429"/>
      <c r="BS429"/>
      <c r="BT429"/>
      <c r="BU429"/>
      <c r="BX429"/>
      <c r="BY429"/>
      <c r="CA429"/>
    </row>
    <row r="430" spans="2:79" ht="18.75">
      <c r="B430" s="252" t="s">
        <v>142</v>
      </c>
      <c r="C430" s="251">
        <v>8739850000118</v>
      </c>
      <c r="D430" s="252" t="s">
        <v>13</v>
      </c>
      <c r="E430" s="252" t="s">
        <v>616</v>
      </c>
      <c r="F430" s="252" t="s">
        <v>617</v>
      </c>
      <c r="G430" s="253" t="s">
        <v>34</v>
      </c>
      <c r="H430" s="253" t="s">
        <v>1338</v>
      </c>
      <c r="I430" s="253" t="s">
        <v>34</v>
      </c>
      <c r="J430" s="253" t="s">
        <v>608</v>
      </c>
      <c r="K430" s="253" t="s">
        <v>48</v>
      </c>
      <c r="L430" s="655"/>
      <c r="M430" s="655" t="s">
        <v>34</v>
      </c>
      <c r="N430" s="253" t="s">
        <v>3008</v>
      </c>
      <c r="O430" s="253" t="s">
        <v>1321</v>
      </c>
      <c r="P430" s="656">
        <v>39170</v>
      </c>
      <c r="Q430" s="657">
        <v>23.814005999999999</v>
      </c>
      <c r="R430" s="657">
        <v>25.214578266129021</v>
      </c>
      <c r="S430" s="253">
        <v>11</v>
      </c>
      <c r="T430" s="658">
        <v>-8.3040794638866711E-3</v>
      </c>
      <c r="U430" s="659">
        <v>-0.4152376079880698</v>
      </c>
      <c r="V430" s="658">
        <v>5.9845118972685407E-2</v>
      </c>
      <c r="W430" s="659">
        <v>0.46411745408868543</v>
      </c>
      <c r="X430" s="658">
        <v>3.4298043793648869E-2</v>
      </c>
      <c r="Y430" s="659">
        <v>0.17762931419107925</v>
      </c>
      <c r="Z430" s="658">
        <v>4.6319888664538844E-2</v>
      </c>
      <c r="AA430" s="659">
        <v>0.20914712863223534</v>
      </c>
      <c r="AB430" s="658">
        <v>0.10752434957867017</v>
      </c>
      <c r="AC430" s="660">
        <v>-0.6426338847420493</v>
      </c>
      <c r="AD430" s="682">
        <v>0</v>
      </c>
      <c r="AE430" s="944" t="s">
        <v>1761</v>
      </c>
      <c r="AF430" s="661" t="s">
        <v>1729</v>
      </c>
      <c r="AG430" s="662" t="s">
        <v>1433</v>
      </c>
      <c r="AH430" s="662" t="s">
        <v>1734</v>
      </c>
      <c r="AI430" s="662">
        <v>5000</v>
      </c>
      <c r="AJ430" s="662">
        <v>1000</v>
      </c>
      <c r="AK430" s="662">
        <v>1000</v>
      </c>
      <c r="AL430" s="658">
        <v>0.02</v>
      </c>
      <c r="AM430" s="658">
        <v>0.2</v>
      </c>
      <c r="AN430" s="659" t="s">
        <v>64</v>
      </c>
      <c r="AO430" s="253" t="s">
        <v>34</v>
      </c>
      <c r="AP430" s="944" t="s">
        <v>1746</v>
      </c>
      <c r="AQ430" s="663" t="s">
        <v>664</v>
      </c>
      <c r="AR430" s="658">
        <v>4.6666666666666697E-3</v>
      </c>
      <c r="AS430" s="658">
        <v>4.6666666666666697E-3</v>
      </c>
      <c r="AT430" s="658" t="s">
        <v>1417</v>
      </c>
      <c r="AU430" s="658" t="s">
        <v>2751</v>
      </c>
      <c r="AX430"/>
      <c r="AY430"/>
      <c r="BA430"/>
      <c r="BB430"/>
      <c r="BC430"/>
      <c r="BD430"/>
      <c r="BE430"/>
      <c r="BF430"/>
      <c r="BG430"/>
      <c r="BH430"/>
      <c r="BI430"/>
      <c r="BJ430"/>
      <c r="BR430"/>
      <c r="BS430"/>
      <c r="BT430"/>
      <c r="BU430"/>
      <c r="BX430"/>
      <c r="BY430"/>
      <c r="CA430"/>
    </row>
    <row r="431" spans="2:79" ht="18.75">
      <c r="B431" s="252" t="s">
        <v>143</v>
      </c>
      <c r="C431" s="251">
        <v>33342285000106</v>
      </c>
      <c r="D431" s="252" t="s">
        <v>11</v>
      </c>
      <c r="E431" s="252" t="s">
        <v>620</v>
      </c>
      <c r="F431" s="252" t="s">
        <v>663</v>
      </c>
      <c r="G431" s="253" t="s">
        <v>738</v>
      </c>
      <c r="H431" s="253" t="s">
        <v>34</v>
      </c>
      <c r="I431" s="253" t="s">
        <v>1417</v>
      </c>
      <c r="J431" s="253" t="s">
        <v>608</v>
      </c>
      <c r="K431" s="253" t="s">
        <v>48</v>
      </c>
      <c r="L431" s="655"/>
      <c r="M431" s="655" t="s">
        <v>34</v>
      </c>
      <c r="N431" s="253" t="s">
        <v>3009</v>
      </c>
      <c r="O431" s="253" t="s">
        <v>1321</v>
      </c>
      <c r="P431" s="656">
        <v>43705</v>
      </c>
      <c r="Q431" s="657">
        <v>18.65016456</v>
      </c>
      <c r="R431" s="657">
        <v>21.975320234578323</v>
      </c>
      <c r="S431" s="253">
        <v>31</v>
      </c>
      <c r="T431" s="658">
        <v>1.6802140734847315E-2</v>
      </c>
      <c r="U431" s="659">
        <v>0.84017509203258811</v>
      </c>
      <c r="V431" s="658">
        <v>0.14149028255732565</v>
      </c>
      <c r="W431" s="659">
        <v>1.0973010137847174</v>
      </c>
      <c r="X431" s="658">
        <v>0.23249648253175081</v>
      </c>
      <c r="Y431" s="659">
        <v>1.2040975570624386</v>
      </c>
      <c r="Z431" s="658">
        <v>0.23473024543324428</v>
      </c>
      <c r="AA431" s="659">
        <v>1.0598720819699898</v>
      </c>
      <c r="AB431" s="658">
        <v>2.2875379328666265E-3</v>
      </c>
      <c r="AC431" s="660">
        <v>5.484662321999104</v>
      </c>
      <c r="AD431" s="682">
        <v>0</v>
      </c>
      <c r="AE431" s="944" t="s">
        <v>1983</v>
      </c>
      <c r="AF431" s="661" t="s">
        <v>1729</v>
      </c>
      <c r="AG431" s="662" t="s">
        <v>1433</v>
      </c>
      <c r="AH431" s="662" t="s">
        <v>1734</v>
      </c>
      <c r="AI431" s="662">
        <v>1000</v>
      </c>
      <c r="AJ431" s="662">
        <v>1000</v>
      </c>
      <c r="AK431" s="662">
        <v>1000</v>
      </c>
      <c r="AL431" s="658">
        <v>3.4999999999999996E-3</v>
      </c>
      <c r="AM431" s="658">
        <v>0</v>
      </c>
      <c r="AN431" s="659" t="s">
        <v>34</v>
      </c>
      <c r="AO431" s="253" t="s">
        <v>34</v>
      </c>
      <c r="AP431" s="944" t="s">
        <v>1735</v>
      </c>
      <c r="AQ431" s="663" t="s">
        <v>662</v>
      </c>
      <c r="AR431" s="658">
        <v>9.33333333333333E-4</v>
      </c>
      <c r="AS431" s="658">
        <v>9.33333333333333E-4</v>
      </c>
      <c r="AT431" s="658" t="s">
        <v>1417</v>
      </c>
      <c r="AU431" s="658" t="s">
        <v>2751</v>
      </c>
      <c r="AX431"/>
      <c r="AY431"/>
      <c r="BA431"/>
      <c r="BB431"/>
      <c r="BC431"/>
      <c r="BD431"/>
      <c r="BE431"/>
      <c r="BF431"/>
      <c r="BG431"/>
      <c r="BH431"/>
      <c r="BI431"/>
      <c r="BJ431"/>
      <c r="BR431"/>
      <c r="BS431"/>
      <c r="BT431"/>
      <c r="BU431"/>
      <c r="BX431"/>
      <c r="BY431"/>
      <c r="CA431"/>
    </row>
    <row r="432" spans="2:79" ht="18.75">
      <c r="B432" s="252" t="s">
        <v>144</v>
      </c>
      <c r="C432" s="251">
        <v>41266134000136</v>
      </c>
      <c r="D432" s="252" t="s">
        <v>13</v>
      </c>
      <c r="E432" s="252" t="s">
        <v>615</v>
      </c>
      <c r="F432" s="252" t="s">
        <v>619</v>
      </c>
      <c r="G432" s="253" t="s">
        <v>34</v>
      </c>
      <c r="H432" s="253" t="s">
        <v>1337</v>
      </c>
      <c r="I432" s="253" t="s">
        <v>34</v>
      </c>
      <c r="J432" s="253" t="s">
        <v>1417</v>
      </c>
      <c r="K432" s="253" t="s">
        <v>48</v>
      </c>
      <c r="L432" s="655"/>
      <c r="M432" s="655" t="s">
        <v>34</v>
      </c>
      <c r="N432" s="253" t="s">
        <v>3010</v>
      </c>
      <c r="O432" s="253" t="s">
        <v>1321</v>
      </c>
      <c r="P432" s="656">
        <v>44316</v>
      </c>
      <c r="Q432" s="657">
        <v>11.76111815</v>
      </c>
      <c r="R432" s="657">
        <v>8.0659458647177402</v>
      </c>
      <c r="S432" s="253">
        <v>10</v>
      </c>
      <c r="T432" s="658">
        <v>1.0349591982794282E-2</v>
      </c>
      <c r="U432" s="659">
        <v>0.51752151906510857</v>
      </c>
      <c r="V432" s="658">
        <v>8.2631465950316896E-2</v>
      </c>
      <c r="W432" s="659">
        <v>0.64083264036923482</v>
      </c>
      <c r="X432" s="658"/>
      <c r="Y432" s="659"/>
      <c r="Z432" s="658"/>
      <c r="AA432" s="659"/>
      <c r="AB432" s="658">
        <v>4.2516344903669477E-2</v>
      </c>
      <c r="AC432" s="660">
        <v>-1.0892856288893815</v>
      </c>
      <c r="AD432" s="682">
        <v>0</v>
      </c>
      <c r="AE432" s="944" t="s">
        <v>1797</v>
      </c>
      <c r="AF432" s="661" t="s">
        <v>1745</v>
      </c>
      <c r="AG432" s="662" t="s">
        <v>1432</v>
      </c>
      <c r="AH432" s="662" t="s">
        <v>1734</v>
      </c>
      <c r="AI432" s="662">
        <v>0</v>
      </c>
      <c r="AJ432" s="662">
        <v>0</v>
      </c>
      <c r="AK432" s="662">
        <v>0</v>
      </c>
      <c r="AL432" s="658">
        <v>8.0000000000000002E-3</v>
      </c>
      <c r="AM432" s="658">
        <v>0</v>
      </c>
      <c r="AN432" s="659" t="s">
        <v>34</v>
      </c>
      <c r="AO432" s="253" t="s">
        <v>34</v>
      </c>
      <c r="AP432" s="944" t="s">
        <v>1746</v>
      </c>
      <c r="AQ432" s="663" t="s">
        <v>686</v>
      </c>
      <c r="AR432" s="658">
        <v>5.3333333333333297E-3</v>
      </c>
      <c r="AS432" s="658">
        <v>5.3333333333333297E-3</v>
      </c>
      <c r="AT432" s="658" t="s">
        <v>1417</v>
      </c>
      <c r="AU432" s="658" t="s">
        <v>2751</v>
      </c>
      <c r="AX432"/>
      <c r="AY432"/>
      <c r="BA432"/>
      <c r="BB432"/>
      <c r="BC432"/>
      <c r="BD432"/>
      <c r="BE432"/>
      <c r="BF432"/>
      <c r="BG432"/>
      <c r="BH432"/>
      <c r="BI432"/>
      <c r="BJ432"/>
      <c r="BR432"/>
      <c r="BS432"/>
      <c r="BT432"/>
      <c r="BU432"/>
      <c r="BX432"/>
      <c r="BY432"/>
      <c r="CA432"/>
    </row>
    <row r="433" spans="2:79" ht="18.75">
      <c r="B433" s="252" t="s">
        <v>145</v>
      </c>
      <c r="C433" s="251">
        <v>41266158000195</v>
      </c>
      <c r="D433" s="252" t="s">
        <v>13</v>
      </c>
      <c r="E433" s="252" t="s">
        <v>615</v>
      </c>
      <c r="F433" s="252" t="s">
        <v>619</v>
      </c>
      <c r="G433" s="253" t="s">
        <v>34</v>
      </c>
      <c r="H433" s="253" t="s">
        <v>1338</v>
      </c>
      <c r="I433" s="253" t="s">
        <v>34</v>
      </c>
      <c r="J433" s="253" t="s">
        <v>1417</v>
      </c>
      <c r="K433" s="253" t="s">
        <v>48</v>
      </c>
      <c r="L433" s="655"/>
      <c r="M433" s="655" t="s">
        <v>34</v>
      </c>
      <c r="N433" s="253" t="s">
        <v>3011</v>
      </c>
      <c r="O433" s="253" t="s">
        <v>1321</v>
      </c>
      <c r="P433" s="656">
        <v>44316</v>
      </c>
      <c r="Q433" s="657">
        <v>7.4171987399999999</v>
      </c>
      <c r="R433" s="657">
        <v>5.6268118021774214</v>
      </c>
      <c r="S433" s="253">
        <v>10</v>
      </c>
      <c r="T433" s="658">
        <v>3.4698741001373268E-3</v>
      </c>
      <c r="U433" s="659">
        <v>0.17350775936414414</v>
      </c>
      <c r="V433" s="658">
        <v>4.1650926198137928E-3</v>
      </c>
      <c r="W433" s="659">
        <v>3.2301584756375123E-2</v>
      </c>
      <c r="X433" s="658"/>
      <c r="Y433" s="659"/>
      <c r="Z433" s="658"/>
      <c r="AA433" s="659"/>
      <c r="AB433" s="658">
        <v>8.3714048312228895E-2</v>
      </c>
      <c r="AC433" s="660">
        <v>-1.4905361685721625</v>
      </c>
      <c r="AD433" s="682">
        <v>0</v>
      </c>
      <c r="AE433" s="944" t="s">
        <v>1797</v>
      </c>
      <c r="AF433" s="661" t="s">
        <v>1745</v>
      </c>
      <c r="AG433" s="662" t="s">
        <v>1432</v>
      </c>
      <c r="AH433" s="662" t="s">
        <v>1734</v>
      </c>
      <c r="AI433" s="662">
        <v>0</v>
      </c>
      <c r="AJ433" s="662">
        <v>0</v>
      </c>
      <c r="AK433" s="662">
        <v>0</v>
      </c>
      <c r="AL433" s="658">
        <v>8.0000000000000002E-3</v>
      </c>
      <c r="AM433" s="658">
        <v>0</v>
      </c>
      <c r="AN433" s="659" t="s">
        <v>34</v>
      </c>
      <c r="AO433" s="253" t="s">
        <v>34</v>
      </c>
      <c r="AP433" s="944" t="s">
        <v>1746</v>
      </c>
      <c r="AQ433" s="663" t="s">
        <v>668</v>
      </c>
      <c r="AR433" s="658">
        <v>5.3333333333333297E-3</v>
      </c>
      <c r="AS433" s="658">
        <v>5.3333333333333297E-3</v>
      </c>
      <c r="AT433" s="658" t="s">
        <v>1417</v>
      </c>
      <c r="AU433" s="658" t="s">
        <v>2751</v>
      </c>
      <c r="AX433"/>
      <c r="AY433"/>
      <c r="BA433"/>
      <c r="BB433"/>
      <c r="BC433"/>
      <c r="BD433"/>
      <c r="BE433"/>
      <c r="BF433"/>
      <c r="BG433"/>
      <c r="BH433"/>
      <c r="BI433"/>
      <c r="BJ433"/>
      <c r="BR433"/>
      <c r="BS433"/>
      <c r="BT433"/>
      <c r="BU433"/>
      <c r="BX433"/>
      <c r="BY433"/>
      <c r="CA433"/>
    </row>
    <row r="434" spans="2:79" ht="18.75">
      <c r="B434" s="252" t="s">
        <v>833</v>
      </c>
      <c r="C434" s="251">
        <v>45294999000167</v>
      </c>
      <c r="D434" s="252" t="s">
        <v>11</v>
      </c>
      <c r="E434" s="252" t="s">
        <v>4235</v>
      </c>
      <c r="F434" s="252" t="s">
        <v>1417</v>
      </c>
      <c r="G434" s="253" t="s">
        <v>1417</v>
      </c>
      <c r="H434" s="253" t="s">
        <v>34</v>
      </c>
      <c r="I434" s="253" t="s">
        <v>34</v>
      </c>
      <c r="J434" s="253" t="s">
        <v>696</v>
      </c>
      <c r="K434" s="253" t="s">
        <v>48</v>
      </c>
      <c r="L434" s="655"/>
      <c r="M434" s="655" t="s">
        <v>1414</v>
      </c>
      <c r="N434" s="253" t="s">
        <v>3012</v>
      </c>
      <c r="O434" s="253" t="s">
        <v>1321</v>
      </c>
      <c r="P434" s="656">
        <v>44678</v>
      </c>
      <c r="Q434" s="657"/>
      <c r="R434" s="657"/>
      <c r="S434" s="253">
        <v>7</v>
      </c>
      <c r="T434" s="658"/>
      <c r="U434" s="659"/>
      <c r="V434" s="658"/>
      <c r="W434" s="659"/>
      <c r="X434" s="658"/>
      <c r="Y434" s="659"/>
      <c r="Z434" s="658"/>
      <c r="AA434" s="659"/>
      <c r="AB434" s="658"/>
      <c r="AC434" s="660"/>
      <c r="AD434" s="682">
        <v>0</v>
      </c>
      <c r="AE434" s="944" t="s">
        <v>1747</v>
      </c>
      <c r="AF434" s="661" t="s">
        <v>1745</v>
      </c>
      <c r="AG434" s="662" t="s">
        <v>1432</v>
      </c>
      <c r="AH434" s="662" t="s">
        <v>1730</v>
      </c>
      <c r="AI434" s="662">
        <v>0</v>
      </c>
      <c r="AJ434" s="662">
        <v>0</v>
      </c>
      <c r="AK434" s="662">
        <v>0</v>
      </c>
      <c r="AL434" s="658">
        <v>8.0000000000000002E-3</v>
      </c>
      <c r="AM434" s="658">
        <v>0.2</v>
      </c>
      <c r="AN434" s="659" t="s">
        <v>2127</v>
      </c>
      <c r="AO434" s="253" t="s">
        <v>34</v>
      </c>
      <c r="AP434" s="944" t="s">
        <v>1746</v>
      </c>
      <c r="AQ434" s="663" t="s">
        <v>679</v>
      </c>
      <c r="AR434" s="658">
        <v>0</v>
      </c>
      <c r="AS434" s="658">
        <v>0</v>
      </c>
      <c r="AT434" s="658" t="s">
        <v>1417</v>
      </c>
      <c r="AU434" s="658" t="s">
        <v>2751</v>
      </c>
      <c r="AX434"/>
      <c r="AY434"/>
      <c r="BA434"/>
      <c r="BB434"/>
      <c r="BC434"/>
      <c r="BD434"/>
      <c r="BE434"/>
      <c r="BF434"/>
      <c r="BG434"/>
      <c r="BH434"/>
      <c r="BI434"/>
      <c r="BJ434"/>
      <c r="BR434"/>
      <c r="BS434"/>
      <c r="BT434"/>
      <c r="BU434"/>
      <c r="BX434"/>
      <c r="BY434"/>
      <c r="CA434"/>
    </row>
    <row r="435" spans="2:79" ht="18.75">
      <c r="B435" s="252" t="s">
        <v>834</v>
      </c>
      <c r="C435" s="251">
        <v>42730970000192</v>
      </c>
      <c r="D435" s="252" t="s">
        <v>11</v>
      </c>
      <c r="E435" s="252" t="s">
        <v>620</v>
      </c>
      <c r="F435" s="252" t="s">
        <v>663</v>
      </c>
      <c r="G435" s="253" t="s">
        <v>738</v>
      </c>
      <c r="H435" s="253" t="s">
        <v>34</v>
      </c>
      <c r="I435" s="253" t="s">
        <v>1417</v>
      </c>
      <c r="J435" s="253" t="s">
        <v>608</v>
      </c>
      <c r="K435" s="253" t="s">
        <v>48</v>
      </c>
      <c r="L435" s="655"/>
      <c r="M435" s="655" t="s">
        <v>34</v>
      </c>
      <c r="N435" s="253" t="s">
        <v>3013</v>
      </c>
      <c r="O435" s="253" t="s">
        <v>1321</v>
      </c>
      <c r="P435" s="656">
        <v>44456</v>
      </c>
      <c r="Q435" s="657"/>
      <c r="R435" s="657"/>
      <c r="S435" s="253">
        <v>31</v>
      </c>
      <c r="T435" s="658"/>
      <c r="U435" s="659"/>
      <c r="V435" s="658"/>
      <c r="W435" s="659"/>
      <c r="X435" s="658"/>
      <c r="Y435" s="659"/>
      <c r="Z435" s="658"/>
      <c r="AA435" s="659"/>
      <c r="AB435" s="658"/>
      <c r="AC435" s="660"/>
      <c r="AD435" s="682">
        <v>0</v>
      </c>
      <c r="AE435" s="944" t="s">
        <v>1747</v>
      </c>
      <c r="AF435" s="661" t="s">
        <v>1745</v>
      </c>
      <c r="AG435" s="662" t="s">
        <v>1432</v>
      </c>
      <c r="AH435" s="662" t="s">
        <v>1730</v>
      </c>
      <c r="AI435" s="662">
        <v>5000</v>
      </c>
      <c r="AJ435" s="662">
        <v>1000</v>
      </c>
      <c r="AK435" s="662">
        <v>1000</v>
      </c>
      <c r="AL435" s="658">
        <v>5.0000000000000001E-3</v>
      </c>
      <c r="AM435" s="658">
        <v>0.2</v>
      </c>
      <c r="AN435" s="659" t="s">
        <v>2127</v>
      </c>
      <c r="AO435" s="253" t="s">
        <v>34</v>
      </c>
      <c r="AP435" s="944" t="s">
        <v>1735</v>
      </c>
      <c r="AQ435" s="663" t="s">
        <v>675</v>
      </c>
      <c r="AR435" s="658">
        <v>1.66666666666667E-3</v>
      </c>
      <c r="AS435" s="658">
        <v>1.66666666666667E-3</v>
      </c>
      <c r="AT435" s="658" t="s">
        <v>1417</v>
      </c>
      <c r="AU435" s="658" t="s">
        <v>2751</v>
      </c>
      <c r="AX435"/>
      <c r="AY435"/>
      <c r="BA435"/>
      <c r="BB435"/>
      <c r="BC435"/>
      <c r="BD435"/>
      <c r="BE435"/>
      <c r="BF435"/>
      <c r="BG435"/>
      <c r="BH435"/>
      <c r="BI435"/>
      <c r="BJ435"/>
      <c r="BR435"/>
      <c r="BS435"/>
      <c r="BT435"/>
      <c r="BU435"/>
      <c r="BX435"/>
      <c r="BY435"/>
      <c r="CA435"/>
    </row>
    <row r="436" spans="2:79" ht="18.75">
      <c r="B436" s="252" t="s">
        <v>2668</v>
      </c>
      <c r="C436" s="251">
        <v>41801819000135</v>
      </c>
      <c r="D436" s="252" t="s">
        <v>11</v>
      </c>
      <c r="E436" s="252" t="s">
        <v>620</v>
      </c>
      <c r="F436" s="252" t="s">
        <v>663</v>
      </c>
      <c r="G436" s="253" t="s">
        <v>738</v>
      </c>
      <c r="H436" s="253" t="s">
        <v>34</v>
      </c>
      <c r="I436" s="253" t="s">
        <v>34</v>
      </c>
      <c r="J436" s="253" t="s">
        <v>608</v>
      </c>
      <c r="K436" s="253" t="s">
        <v>48</v>
      </c>
      <c r="L436" s="655"/>
      <c r="M436" s="655" t="s">
        <v>34</v>
      </c>
      <c r="N436" s="253" t="s">
        <v>3014</v>
      </c>
      <c r="O436" s="253" t="s">
        <v>1321</v>
      </c>
      <c r="P436" s="656">
        <v>44469</v>
      </c>
      <c r="Q436" s="657"/>
      <c r="R436" s="657"/>
      <c r="S436" s="253">
        <v>60</v>
      </c>
      <c r="T436" s="658"/>
      <c r="U436" s="659"/>
      <c r="V436" s="658"/>
      <c r="W436" s="659"/>
      <c r="X436" s="658"/>
      <c r="Y436" s="659"/>
      <c r="Z436" s="658"/>
      <c r="AA436" s="659"/>
      <c r="AB436" s="658"/>
      <c r="AC436" s="660"/>
      <c r="AD436" s="682">
        <v>41774687000108</v>
      </c>
      <c r="AE436" s="944" t="s">
        <v>1747</v>
      </c>
      <c r="AF436" s="661" t="s">
        <v>1745</v>
      </c>
      <c r="AG436" s="662" t="s">
        <v>1432</v>
      </c>
      <c r="AH436" s="662" t="s">
        <v>2119</v>
      </c>
      <c r="AI436" s="662">
        <v>1000</v>
      </c>
      <c r="AJ436" s="662">
        <v>0</v>
      </c>
      <c r="AK436" s="662">
        <v>0</v>
      </c>
      <c r="AL436" s="658">
        <v>0</v>
      </c>
      <c r="AM436" s="658">
        <v>0</v>
      </c>
      <c r="AN436" s="659" t="s">
        <v>34</v>
      </c>
      <c r="AO436" s="253" t="s">
        <v>4400</v>
      </c>
      <c r="AP436" s="944" t="s">
        <v>1746</v>
      </c>
      <c r="AQ436" s="663" t="s">
        <v>2177</v>
      </c>
      <c r="AR436" s="658">
        <v>0</v>
      </c>
      <c r="AS436" s="658">
        <v>0</v>
      </c>
      <c r="AT436" s="658" t="s">
        <v>1417</v>
      </c>
      <c r="AU436" s="658" t="s">
        <v>2751</v>
      </c>
      <c r="AX436"/>
      <c r="AY436"/>
      <c r="BA436"/>
      <c r="BB436"/>
      <c r="BC436"/>
      <c r="BD436"/>
      <c r="BE436"/>
      <c r="BF436"/>
      <c r="BG436"/>
      <c r="BH436"/>
      <c r="BI436"/>
      <c r="BJ436"/>
      <c r="BR436"/>
      <c r="BS436"/>
      <c r="BT436"/>
      <c r="BU436"/>
      <c r="BX436"/>
      <c r="BY436"/>
      <c r="CA436"/>
    </row>
    <row r="437" spans="2:79" ht="18.75">
      <c r="B437" s="252" t="s">
        <v>4427</v>
      </c>
      <c r="C437" s="251">
        <v>46700364000185</v>
      </c>
      <c r="D437" s="252" t="s">
        <v>11</v>
      </c>
      <c r="E437" s="252" t="s">
        <v>620</v>
      </c>
      <c r="F437" s="252" t="s">
        <v>663</v>
      </c>
      <c r="G437" s="253" t="s">
        <v>1417</v>
      </c>
      <c r="H437" s="253" t="s">
        <v>34</v>
      </c>
      <c r="I437" s="253" t="s">
        <v>1417</v>
      </c>
      <c r="J437" s="253" t="s">
        <v>608</v>
      </c>
      <c r="K437" s="253" t="s">
        <v>48</v>
      </c>
      <c r="L437" s="655"/>
      <c r="M437" s="655" t="s">
        <v>34</v>
      </c>
      <c r="N437" s="253" t="s">
        <v>4428</v>
      </c>
      <c r="O437" s="253" t="s">
        <v>1321</v>
      </c>
      <c r="P437" s="656">
        <v>44879</v>
      </c>
      <c r="Q437" s="657"/>
      <c r="R437" s="657"/>
      <c r="S437" s="253">
        <v>10</v>
      </c>
      <c r="T437" s="658"/>
      <c r="U437" s="659"/>
      <c r="V437" s="658"/>
      <c r="W437" s="659"/>
      <c r="X437" s="658"/>
      <c r="Y437" s="659"/>
      <c r="Z437" s="658"/>
      <c r="AA437" s="659"/>
      <c r="AB437" s="658"/>
      <c r="AC437" s="660"/>
      <c r="AD437" s="682">
        <v>0</v>
      </c>
      <c r="AE437" s="944" t="s">
        <v>1775</v>
      </c>
      <c r="AF437" s="661" t="s">
        <v>1769</v>
      </c>
      <c r="AG437" s="662" t="s">
        <v>719</v>
      </c>
      <c r="AH437" s="662" t="s">
        <v>2119</v>
      </c>
      <c r="AI437" s="662">
        <v>0</v>
      </c>
      <c r="AJ437" s="662">
        <v>0</v>
      </c>
      <c r="AK437" s="662">
        <v>0</v>
      </c>
      <c r="AL437" s="658">
        <v>8.0000000000000002E-3</v>
      </c>
      <c r="AM437" s="658">
        <v>0.2</v>
      </c>
      <c r="AN437" s="659" t="s">
        <v>64</v>
      </c>
      <c r="AO437" s="253" t="s">
        <v>4400</v>
      </c>
      <c r="AP437" s="944" t="s">
        <v>1735</v>
      </c>
      <c r="AQ437" s="663" t="s">
        <v>2190</v>
      </c>
      <c r="AR437" s="658">
        <v>0</v>
      </c>
      <c r="AS437" s="658">
        <v>0</v>
      </c>
      <c r="AT437" s="658" t="s">
        <v>1417</v>
      </c>
      <c r="AU437" s="658" t="s">
        <v>2751</v>
      </c>
      <c r="AX437"/>
      <c r="AY437"/>
      <c r="BA437"/>
      <c r="BB437"/>
      <c r="BC437"/>
      <c r="BD437"/>
      <c r="BE437"/>
      <c r="BF437"/>
      <c r="BG437"/>
      <c r="BH437"/>
      <c r="BI437"/>
      <c r="BJ437"/>
      <c r="BR437"/>
      <c r="BS437"/>
      <c r="BT437"/>
      <c r="BU437"/>
      <c r="BX437"/>
      <c r="BY437"/>
      <c r="CA437"/>
    </row>
    <row r="438" spans="2:79" ht="18.75">
      <c r="B438" s="252" t="s">
        <v>835</v>
      </c>
      <c r="C438" s="251">
        <v>26623189000162</v>
      </c>
      <c r="D438" s="252" t="s">
        <v>13</v>
      </c>
      <c r="E438" s="252" t="s">
        <v>615</v>
      </c>
      <c r="F438" s="252" t="s">
        <v>619</v>
      </c>
      <c r="G438" s="253" t="s">
        <v>34</v>
      </c>
      <c r="H438" s="253" t="s">
        <v>1337</v>
      </c>
      <c r="I438" s="253" t="s">
        <v>34</v>
      </c>
      <c r="J438" s="253" t="s">
        <v>1417</v>
      </c>
      <c r="K438" s="253" t="s">
        <v>48</v>
      </c>
      <c r="L438" s="655"/>
      <c r="M438" s="655" t="s">
        <v>34</v>
      </c>
      <c r="N438" s="253" t="s">
        <v>3015</v>
      </c>
      <c r="O438" s="253" t="s">
        <v>1321</v>
      </c>
      <c r="P438" s="656">
        <v>42763</v>
      </c>
      <c r="Q438" s="657">
        <v>295.02777400000002</v>
      </c>
      <c r="R438" s="657">
        <v>312.97482909016389</v>
      </c>
      <c r="S438" s="253">
        <v>61</v>
      </c>
      <c r="T438" s="658">
        <v>9.5942607259751345E-3</v>
      </c>
      <c r="U438" s="659">
        <v>0.4797518968349514</v>
      </c>
      <c r="V438" s="658">
        <v>0.11873739301095854</v>
      </c>
      <c r="W438" s="659">
        <v>0.92084530025792521</v>
      </c>
      <c r="X438" s="658">
        <v>0.13999384648694346</v>
      </c>
      <c r="Y438" s="659">
        <v>0.72502709169237634</v>
      </c>
      <c r="Z438" s="658">
        <v>0.23747689353204771</v>
      </c>
      <c r="AA438" s="659">
        <v>1.0722739589992778</v>
      </c>
      <c r="AB438" s="658">
        <v>4.3477716435851688E-2</v>
      </c>
      <c r="AC438" s="660">
        <v>-0.23475281759309535</v>
      </c>
      <c r="AD438" s="682">
        <v>0</v>
      </c>
      <c r="AE438" s="944" t="s">
        <v>1797</v>
      </c>
      <c r="AF438" s="661" t="s">
        <v>1745</v>
      </c>
      <c r="AG438" s="662" t="s">
        <v>1432</v>
      </c>
      <c r="AH438" s="662" t="s">
        <v>1730</v>
      </c>
      <c r="AI438" s="662">
        <v>5000</v>
      </c>
      <c r="AJ438" s="662">
        <v>1000</v>
      </c>
      <c r="AK438" s="662">
        <v>5000</v>
      </c>
      <c r="AL438" s="658">
        <v>5.0000000000000001E-3</v>
      </c>
      <c r="AM438" s="658">
        <v>0.1</v>
      </c>
      <c r="AN438" s="659" t="s">
        <v>34</v>
      </c>
      <c r="AO438" s="253" t="s">
        <v>34</v>
      </c>
      <c r="AP438" s="944" t="s">
        <v>1746</v>
      </c>
      <c r="AQ438" s="663" t="s">
        <v>668</v>
      </c>
      <c r="AR438" s="658">
        <v>4.0000000000000001E-3</v>
      </c>
      <c r="AS438" s="658">
        <v>4.0000000000000001E-3</v>
      </c>
      <c r="AT438" s="658" t="s">
        <v>1417</v>
      </c>
      <c r="AU438" s="658" t="s">
        <v>2751</v>
      </c>
      <c r="AX438"/>
      <c r="AY438"/>
      <c r="BA438"/>
      <c r="BB438"/>
      <c r="BC438"/>
      <c r="BD438"/>
      <c r="BE438"/>
      <c r="BF438"/>
      <c r="BG438"/>
      <c r="BH438"/>
      <c r="BI438"/>
      <c r="BJ438"/>
      <c r="BR438"/>
      <c r="BS438"/>
      <c r="BT438"/>
      <c r="BU438"/>
      <c r="BX438"/>
      <c r="BY438"/>
      <c r="CA438"/>
    </row>
    <row r="439" spans="2:79" ht="18.75">
      <c r="B439" s="252" t="s">
        <v>836</v>
      </c>
      <c r="C439" s="251">
        <v>35726720000113</v>
      </c>
      <c r="D439" s="252" t="s">
        <v>13</v>
      </c>
      <c r="E439" s="252" t="s">
        <v>615</v>
      </c>
      <c r="F439" s="252" t="s">
        <v>619</v>
      </c>
      <c r="G439" s="253" t="s">
        <v>34</v>
      </c>
      <c r="H439" s="253" t="s">
        <v>865</v>
      </c>
      <c r="I439" s="253" t="s">
        <v>34</v>
      </c>
      <c r="J439" s="253" t="s">
        <v>1417</v>
      </c>
      <c r="K439" s="253" t="s">
        <v>48</v>
      </c>
      <c r="L439" s="655"/>
      <c r="M439" s="655" t="s">
        <v>34</v>
      </c>
      <c r="N439" s="253" t="s">
        <v>3016</v>
      </c>
      <c r="O439" s="253" t="s">
        <v>1321</v>
      </c>
      <c r="P439" s="656">
        <v>43831</v>
      </c>
      <c r="Q439" s="657">
        <v>22.460129330000001</v>
      </c>
      <c r="R439" s="657">
        <v>27.596171359193548</v>
      </c>
      <c r="S439" s="253">
        <v>91</v>
      </c>
      <c r="T439" s="658">
        <v>1.1964337824826421E-2</v>
      </c>
      <c r="U439" s="659">
        <v>0.59826535152360505</v>
      </c>
      <c r="V439" s="658">
        <v>0.11331825164897213</v>
      </c>
      <c r="W439" s="659">
        <v>0.87881817865725176</v>
      </c>
      <c r="X439" s="658">
        <v>0.14679983934484309</v>
      </c>
      <c r="Y439" s="659">
        <v>0.76027527817821783</v>
      </c>
      <c r="Z439" s="658">
        <v>0.26086896578097396</v>
      </c>
      <c r="AA439" s="659">
        <v>1.1778956451620555</v>
      </c>
      <c r="AB439" s="658">
        <v>6.1137044218367909E-2</v>
      </c>
      <c r="AC439" s="660">
        <v>-0.2555841224839861</v>
      </c>
      <c r="AD439" s="682">
        <v>35343618000139</v>
      </c>
      <c r="AE439" s="944" t="s">
        <v>1797</v>
      </c>
      <c r="AF439" s="661" t="s">
        <v>1745</v>
      </c>
      <c r="AG439" s="662" t="s">
        <v>1432</v>
      </c>
      <c r="AH439" s="662" t="s">
        <v>1801</v>
      </c>
      <c r="AI439" s="662">
        <v>100000</v>
      </c>
      <c r="AJ439" s="662">
        <v>10000</v>
      </c>
      <c r="AK439" s="662">
        <v>100000</v>
      </c>
      <c r="AL439" s="658">
        <v>0.01</v>
      </c>
      <c r="AM439" s="658">
        <v>0.1</v>
      </c>
      <c r="AN439" s="659" t="s">
        <v>34</v>
      </c>
      <c r="AO439" s="253" t="s">
        <v>34</v>
      </c>
      <c r="AP439" s="944" t="s">
        <v>1746</v>
      </c>
      <c r="AQ439" s="663" t="s">
        <v>679</v>
      </c>
      <c r="AR439" s="658">
        <v>8.0000000000000002E-3</v>
      </c>
      <c r="AS439" s="658">
        <v>8.0000000000000002E-3</v>
      </c>
      <c r="AT439" s="658" t="s">
        <v>1417</v>
      </c>
      <c r="AU439" s="658" t="s">
        <v>2751</v>
      </c>
      <c r="AX439"/>
      <c r="AY439"/>
      <c r="BA439"/>
      <c r="BB439"/>
      <c r="BC439"/>
      <c r="BD439"/>
      <c r="BE439"/>
      <c r="BF439"/>
      <c r="BG439"/>
      <c r="BH439"/>
      <c r="BI439"/>
      <c r="BJ439"/>
      <c r="BR439"/>
      <c r="BS439"/>
      <c r="BT439"/>
      <c r="BU439"/>
      <c r="BX439"/>
      <c r="BY439"/>
      <c r="CA439"/>
    </row>
    <row r="440" spans="2:79" ht="18.75">
      <c r="B440" s="252" t="s">
        <v>837</v>
      </c>
      <c r="C440" s="251">
        <v>9120774000120</v>
      </c>
      <c r="D440" s="252" t="s">
        <v>14</v>
      </c>
      <c r="E440" s="252" t="s">
        <v>607</v>
      </c>
      <c r="F440" s="252" t="s">
        <v>1417</v>
      </c>
      <c r="G440" s="253" t="s">
        <v>1417</v>
      </c>
      <c r="H440" s="253" t="s">
        <v>34</v>
      </c>
      <c r="I440" s="253" t="s">
        <v>34</v>
      </c>
      <c r="J440" s="253" t="s">
        <v>608</v>
      </c>
      <c r="K440" s="253" t="s">
        <v>48</v>
      </c>
      <c r="L440" s="655"/>
      <c r="M440" s="655" t="s">
        <v>34</v>
      </c>
      <c r="N440" s="253" t="s">
        <v>3017</v>
      </c>
      <c r="O440" s="253" t="s">
        <v>1321</v>
      </c>
      <c r="P440" s="656">
        <v>39424</v>
      </c>
      <c r="Q440" s="657">
        <v>600.62308810000002</v>
      </c>
      <c r="R440" s="657">
        <v>736.24983649437729</v>
      </c>
      <c r="S440" s="253">
        <v>32</v>
      </c>
      <c r="T440" s="658">
        <v>-1.3150217512504669E-2</v>
      </c>
      <c r="U440" s="659">
        <v>-0.65756413918750345</v>
      </c>
      <c r="V440" s="658">
        <v>-4.491848644479457E-2</v>
      </c>
      <c r="W440" s="659">
        <v>-0.34835679046423834</v>
      </c>
      <c r="X440" s="658">
        <v>-0.29252608123735757</v>
      </c>
      <c r="Y440" s="659">
        <v>-1.5149904031208237</v>
      </c>
      <c r="Z440" s="658">
        <v>-0.12435183166309294</v>
      </c>
      <c r="AA440" s="659">
        <v>-0.56148296730267855</v>
      </c>
      <c r="AB440" s="658">
        <v>0.22121460431072129</v>
      </c>
      <c r="AC440" s="660">
        <v>-0.78594447429597925</v>
      </c>
      <c r="AD440" s="682">
        <v>12976456000170</v>
      </c>
      <c r="AE440" s="944" t="s">
        <v>1747</v>
      </c>
      <c r="AF440" s="661" t="s">
        <v>1745</v>
      </c>
      <c r="AG440" s="662" t="s">
        <v>1432</v>
      </c>
      <c r="AH440" s="662" t="s">
        <v>1730</v>
      </c>
      <c r="AI440" s="662">
        <v>5000</v>
      </c>
      <c r="AJ440" s="662">
        <v>0</v>
      </c>
      <c r="AK440" s="662">
        <v>0</v>
      </c>
      <c r="AL440" s="658">
        <v>0.02</v>
      </c>
      <c r="AM440" s="658">
        <v>0.2</v>
      </c>
      <c r="AN440" s="659" t="s">
        <v>2127</v>
      </c>
      <c r="AO440" s="253" t="s">
        <v>34</v>
      </c>
      <c r="AP440" s="944" t="s">
        <v>1731</v>
      </c>
      <c r="AQ440" s="663" t="s">
        <v>659</v>
      </c>
      <c r="AR440" s="658">
        <v>7.0000000000000001E-3</v>
      </c>
      <c r="AS440" s="658">
        <v>7.0000000000000001E-3</v>
      </c>
      <c r="AT440" s="658" t="s">
        <v>1417</v>
      </c>
      <c r="AU440" s="658" t="s">
        <v>2751</v>
      </c>
      <c r="AX440"/>
      <c r="AY440"/>
      <c r="BA440"/>
      <c r="BB440"/>
      <c r="BC440"/>
      <c r="BD440"/>
      <c r="BE440"/>
      <c r="BF440"/>
      <c r="BG440"/>
      <c r="BH440"/>
      <c r="BI440"/>
      <c r="BJ440"/>
      <c r="BR440"/>
      <c r="BS440"/>
      <c r="BT440"/>
      <c r="BU440"/>
      <c r="BX440"/>
      <c r="BY440"/>
      <c r="CA440"/>
    </row>
    <row r="441" spans="2:79" ht="18.75">
      <c r="B441" s="252" t="s">
        <v>146</v>
      </c>
      <c r="C441" s="251">
        <v>22710616000199</v>
      </c>
      <c r="D441" s="252" t="s">
        <v>14</v>
      </c>
      <c r="E441" s="252" t="s">
        <v>607</v>
      </c>
      <c r="F441" s="252" t="s">
        <v>1417</v>
      </c>
      <c r="G441" s="253" t="s">
        <v>1417</v>
      </c>
      <c r="H441" s="253" t="s">
        <v>34</v>
      </c>
      <c r="I441" s="253" t="s">
        <v>34</v>
      </c>
      <c r="J441" s="253" t="s">
        <v>611</v>
      </c>
      <c r="K441" s="253" t="s">
        <v>48</v>
      </c>
      <c r="L441" s="655"/>
      <c r="M441" s="655" t="s">
        <v>34</v>
      </c>
      <c r="N441" s="253" t="s">
        <v>3018</v>
      </c>
      <c r="O441" s="253" t="s">
        <v>1321</v>
      </c>
      <c r="P441" s="656">
        <v>42250</v>
      </c>
      <c r="Q441" s="657">
        <v>0</v>
      </c>
      <c r="R441" s="657">
        <v>5.1667195278969968</v>
      </c>
      <c r="S441" s="253">
        <v>32</v>
      </c>
      <c r="T441" s="658">
        <v>-1.7672678001097397E-2</v>
      </c>
      <c r="U441" s="659">
        <v>-0.88370548136402272</v>
      </c>
      <c r="V441" s="658">
        <v>-0.20999444257351896</v>
      </c>
      <c r="W441" s="659">
        <v>-1.6285720161150996</v>
      </c>
      <c r="X441" s="658">
        <v>-0.16893339556261588</v>
      </c>
      <c r="Y441" s="659">
        <v>-0.87490480151857541</v>
      </c>
      <c r="Z441" s="658">
        <v>-4.6236654793123E-2</v>
      </c>
      <c r="AA441" s="659">
        <v>-0.20877130464574775</v>
      </c>
      <c r="AB441" s="658">
        <v>0.24091189958801512</v>
      </c>
      <c r="AC441" s="660">
        <v>-1.4068975114966418</v>
      </c>
      <c r="AD441" s="682">
        <v>22314799000123</v>
      </c>
      <c r="AE441" s="944" t="s">
        <v>1747</v>
      </c>
      <c r="AF441" s="661" t="s">
        <v>1745</v>
      </c>
      <c r="AG441" s="662" t="s">
        <v>1432</v>
      </c>
      <c r="AH441" s="662" t="s">
        <v>1801</v>
      </c>
      <c r="AI441" s="662">
        <v>50000</v>
      </c>
      <c r="AJ441" s="662">
        <v>5000</v>
      </c>
      <c r="AK441" s="662">
        <v>5000</v>
      </c>
      <c r="AL441" s="658">
        <v>1.4999999999999999E-2</v>
      </c>
      <c r="AM441" s="658">
        <v>0</v>
      </c>
      <c r="AN441" s="659" t="s">
        <v>2127</v>
      </c>
      <c r="AO441" s="253" t="s">
        <v>34</v>
      </c>
      <c r="AP441" s="944" t="s">
        <v>1731</v>
      </c>
      <c r="AQ441" s="663" t="s">
        <v>687</v>
      </c>
      <c r="AR441" s="658">
        <v>5.2500000000000003E-3</v>
      </c>
      <c r="AS441" s="658">
        <v>5.2500000000000003E-3</v>
      </c>
      <c r="AT441" s="658" t="s">
        <v>1417</v>
      </c>
      <c r="AU441" s="658" t="s">
        <v>2751</v>
      </c>
      <c r="AX441"/>
      <c r="AY441"/>
      <c r="BA441"/>
      <c r="BB441"/>
      <c r="BC441"/>
      <c r="BD441"/>
      <c r="BE441"/>
      <c r="BF441"/>
      <c r="BG441"/>
      <c r="BH441"/>
      <c r="BI441"/>
      <c r="BJ441"/>
      <c r="BR441"/>
      <c r="BS441"/>
      <c r="BT441"/>
      <c r="BU441"/>
      <c r="BX441"/>
      <c r="BY441"/>
      <c r="CA441"/>
    </row>
    <row r="442" spans="2:79" ht="18.75">
      <c r="B442" s="252" t="s">
        <v>147</v>
      </c>
      <c r="C442" s="251">
        <v>22353918000157</v>
      </c>
      <c r="D442" s="252" t="s">
        <v>14</v>
      </c>
      <c r="E442" s="252" t="s">
        <v>607</v>
      </c>
      <c r="F442" s="252" t="s">
        <v>1417</v>
      </c>
      <c r="G442" s="253" t="s">
        <v>1417</v>
      </c>
      <c r="H442" s="253" t="s">
        <v>34</v>
      </c>
      <c r="I442" s="253" t="s">
        <v>34</v>
      </c>
      <c r="J442" s="253" t="s">
        <v>611</v>
      </c>
      <c r="K442" s="253" t="s">
        <v>49</v>
      </c>
      <c r="L442" s="655"/>
      <c r="M442" s="655" t="s">
        <v>34</v>
      </c>
      <c r="N442" s="253" t="s">
        <v>3019</v>
      </c>
      <c r="O442" s="253" t="s">
        <v>1321</v>
      </c>
      <c r="P442" s="656">
        <v>42250</v>
      </c>
      <c r="Q442" s="657">
        <v>0</v>
      </c>
      <c r="R442" s="657">
        <v>7.1288430000000007</v>
      </c>
      <c r="S442" s="253">
        <v>32</v>
      </c>
      <c r="T442" s="658">
        <v>-5.4488128144800085E-2</v>
      </c>
      <c r="U442" s="659">
        <v>-2.7246271056279707</v>
      </c>
      <c r="V442" s="658">
        <v>-0.26070209089643137</v>
      </c>
      <c r="W442" s="659">
        <v>-2.0218255520166002</v>
      </c>
      <c r="X442" s="658">
        <v>-0.30956202317297399</v>
      </c>
      <c r="Y442" s="659">
        <v>-1.6032194199367316</v>
      </c>
      <c r="Z442" s="658">
        <v>-1.5619603728856846E-2</v>
      </c>
      <c r="AA442" s="659">
        <v>-7.0526837702974202E-2</v>
      </c>
      <c r="AB442" s="658">
        <v>0.26841710800721436</v>
      </c>
      <c r="AC442" s="660">
        <v>-1.4516436870810301</v>
      </c>
      <c r="AD442" s="682">
        <v>22690848000122</v>
      </c>
      <c r="AE442" s="944" t="s">
        <v>1747</v>
      </c>
      <c r="AF442" s="661" t="s">
        <v>1745</v>
      </c>
      <c r="AG442" s="662" t="s">
        <v>1432</v>
      </c>
      <c r="AH442" s="662" t="s">
        <v>1801</v>
      </c>
      <c r="AI442" s="662">
        <v>50000</v>
      </c>
      <c r="AJ442" s="662">
        <v>5000</v>
      </c>
      <c r="AK442" s="662">
        <v>5000</v>
      </c>
      <c r="AL442" s="658">
        <v>1.4999999999999999E-2</v>
      </c>
      <c r="AM442" s="658">
        <v>0.2</v>
      </c>
      <c r="AN442" s="659" t="s">
        <v>2127</v>
      </c>
      <c r="AO442" s="253" t="s">
        <v>34</v>
      </c>
      <c r="AP442" s="944" t="s">
        <v>1731</v>
      </c>
      <c r="AQ442" s="663" t="s">
        <v>687</v>
      </c>
      <c r="AR442" s="658">
        <v>5.2500000000000003E-3</v>
      </c>
      <c r="AS442" s="658">
        <v>5.2500000000000003E-3</v>
      </c>
      <c r="AT442" s="658" t="s">
        <v>1417</v>
      </c>
      <c r="AU442" s="658" t="s">
        <v>2751</v>
      </c>
      <c r="AX442"/>
      <c r="AY442"/>
      <c r="BA442"/>
      <c r="BB442"/>
      <c r="BC442"/>
      <c r="BD442"/>
      <c r="BE442"/>
      <c r="BF442"/>
      <c r="BG442"/>
      <c r="BH442"/>
      <c r="BI442"/>
      <c r="BJ442"/>
      <c r="BR442"/>
      <c r="BS442"/>
      <c r="BT442"/>
      <c r="BU442"/>
      <c r="BX442"/>
      <c r="BY442"/>
      <c r="CA442"/>
    </row>
    <row r="443" spans="2:79" ht="18.75">
      <c r="B443" s="252" t="s">
        <v>838</v>
      </c>
      <c r="C443" s="251">
        <v>11977794000164</v>
      </c>
      <c r="D443" s="252" t="s">
        <v>14</v>
      </c>
      <c r="E443" s="252" t="s">
        <v>607</v>
      </c>
      <c r="F443" s="252" t="s">
        <v>1417</v>
      </c>
      <c r="G443" s="253" t="s">
        <v>1417</v>
      </c>
      <c r="H443" s="253" t="s">
        <v>34</v>
      </c>
      <c r="I443" s="253" t="s">
        <v>34</v>
      </c>
      <c r="J443" s="253" t="s">
        <v>608</v>
      </c>
      <c r="K443" s="253" t="s">
        <v>48</v>
      </c>
      <c r="L443" s="655"/>
      <c r="M443" s="655" t="s">
        <v>34</v>
      </c>
      <c r="N443" s="253" t="s">
        <v>3020</v>
      </c>
      <c r="O443" s="253" t="s">
        <v>1321</v>
      </c>
      <c r="P443" s="656">
        <v>40380</v>
      </c>
      <c r="Q443" s="657">
        <v>1337.859375</v>
      </c>
      <c r="R443" s="657">
        <v>1501.1420242048207</v>
      </c>
      <c r="S443" s="253">
        <v>32</v>
      </c>
      <c r="T443" s="658">
        <v>-1.0111446902202226E-2</v>
      </c>
      <c r="U443" s="659">
        <v>-0.50561330045409725</v>
      </c>
      <c r="V443" s="658">
        <v>-8.2217714085902505E-2</v>
      </c>
      <c r="W443" s="659">
        <v>-0.63762386636672841</v>
      </c>
      <c r="X443" s="658">
        <v>-0.33554455627833257</v>
      </c>
      <c r="Y443" s="659">
        <v>-1.7377827660044884</v>
      </c>
      <c r="Z443" s="658">
        <v>-0.26721644032592151</v>
      </c>
      <c r="AA443" s="659">
        <v>-1.2065562510792351</v>
      </c>
      <c r="AB443" s="658">
        <v>0.22590801862631221</v>
      </c>
      <c r="AC443" s="660">
        <v>-0.9347238969944921</v>
      </c>
      <c r="AD443" s="682">
        <v>17009959000190</v>
      </c>
      <c r="AE443" s="944" t="s">
        <v>1747</v>
      </c>
      <c r="AF443" s="661" t="s">
        <v>1745</v>
      </c>
      <c r="AG443" s="662" t="s">
        <v>1432</v>
      </c>
      <c r="AH443" s="662" t="s">
        <v>1734</v>
      </c>
      <c r="AI443" s="662">
        <v>5000</v>
      </c>
      <c r="AJ443" s="662">
        <v>0</v>
      </c>
      <c r="AK443" s="662">
        <v>0</v>
      </c>
      <c r="AL443" s="658">
        <v>0.03</v>
      </c>
      <c r="AM443" s="658">
        <v>0</v>
      </c>
      <c r="AN443" s="659" t="s">
        <v>2127</v>
      </c>
      <c r="AO443" s="253" t="s">
        <v>34</v>
      </c>
      <c r="AP443" s="944" t="s">
        <v>1731</v>
      </c>
      <c r="AQ443" s="663" t="s">
        <v>659</v>
      </c>
      <c r="AR443" s="658">
        <v>1.0500000000000001E-2</v>
      </c>
      <c r="AS443" s="658">
        <v>1.0500000000000001E-2</v>
      </c>
      <c r="AT443" s="658" t="s">
        <v>1417</v>
      </c>
      <c r="AU443" s="658" t="s">
        <v>2751</v>
      </c>
      <c r="AX443"/>
      <c r="AY443"/>
      <c r="BA443"/>
      <c r="BB443"/>
      <c r="BC443"/>
      <c r="BD443"/>
      <c r="BE443"/>
      <c r="BF443"/>
      <c r="BG443"/>
      <c r="BH443"/>
      <c r="BI443"/>
      <c r="BJ443"/>
      <c r="BR443"/>
      <c r="BS443"/>
      <c r="BT443"/>
      <c r="BU443"/>
      <c r="BX443"/>
      <c r="BY443"/>
      <c r="CA443"/>
    </row>
    <row r="444" spans="2:79" ht="18.75">
      <c r="B444" s="252" t="s">
        <v>839</v>
      </c>
      <c r="C444" s="251">
        <v>14799785000119</v>
      </c>
      <c r="D444" s="252" t="s">
        <v>13</v>
      </c>
      <c r="E444" s="252" t="s">
        <v>616</v>
      </c>
      <c r="F444" s="252" t="s">
        <v>617</v>
      </c>
      <c r="G444" s="253" t="s">
        <v>34</v>
      </c>
      <c r="H444" s="253" t="s">
        <v>1338</v>
      </c>
      <c r="I444" s="253" t="s">
        <v>34</v>
      </c>
      <c r="J444" s="253" t="s">
        <v>608</v>
      </c>
      <c r="K444" s="253" t="s">
        <v>48</v>
      </c>
      <c r="L444" s="655"/>
      <c r="M444" s="655" t="s">
        <v>34</v>
      </c>
      <c r="N444" s="253" t="s">
        <v>3021</v>
      </c>
      <c r="O444" s="253" t="s">
        <v>1321</v>
      </c>
      <c r="P444" s="656">
        <v>40954</v>
      </c>
      <c r="Q444" s="657">
        <v>368.27293100000003</v>
      </c>
      <c r="R444" s="657">
        <v>403.69212234538151</v>
      </c>
      <c r="S444" s="253">
        <v>32</v>
      </c>
      <c r="T444" s="658">
        <v>1.4666528644524224E-2</v>
      </c>
      <c r="U444" s="659">
        <v>0.73338583744601071</v>
      </c>
      <c r="V444" s="658">
        <v>0.25478780971581449</v>
      </c>
      <c r="W444" s="659">
        <v>1.9759584675921316</v>
      </c>
      <c r="X444" s="658">
        <v>0.11686726631153355</v>
      </c>
      <c r="Y444" s="659">
        <v>0.6052547046472655</v>
      </c>
      <c r="Z444" s="658">
        <v>0.23891260486661481</v>
      </c>
      <c r="AA444" s="659">
        <v>1.078756593388668</v>
      </c>
      <c r="AB444" s="658">
        <v>9.7571319906706103E-2</v>
      </c>
      <c r="AC444" s="660">
        <v>1.2897632253960813</v>
      </c>
      <c r="AD444" s="682">
        <v>14816895000141</v>
      </c>
      <c r="AE444" s="944" t="s">
        <v>1747</v>
      </c>
      <c r="AF444" s="661" t="s">
        <v>1745</v>
      </c>
      <c r="AG444" s="662" t="s">
        <v>1432</v>
      </c>
      <c r="AH444" s="662" t="s">
        <v>1730</v>
      </c>
      <c r="AI444" s="662">
        <v>5000</v>
      </c>
      <c r="AJ444" s="662">
        <v>1000</v>
      </c>
      <c r="AK444" s="662">
        <v>1000</v>
      </c>
      <c r="AL444" s="658">
        <v>0.02</v>
      </c>
      <c r="AM444" s="658">
        <v>0.2</v>
      </c>
      <c r="AN444" s="659" t="s">
        <v>2127</v>
      </c>
      <c r="AO444" s="253" t="s">
        <v>34</v>
      </c>
      <c r="AP444" s="944" t="s">
        <v>1731</v>
      </c>
      <c r="AQ444" s="663" t="s">
        <v>659</v>
      </c>
      <c r="AR444" s="658">
        <v>7.0000000000000001E-3</v>
      </c>
      <c r="AS444" s="658">
        <v>7.0000000000000001E-3</v>
      </c>
      <c r="AT444" s="658" t="s">
        <v>1417</v>
      </c>
      <c r="AU444" s="658" t="s">
        <v>2751</v>
      </c>
      <c r="AX444"/>
      <c r="AY444"/>
      <c r="BA444"/>
      <c r="BB444"/>
      <c r="BC444"/>
      <c r="BD444"/>
      <c r="BE444"/>
      <c r="BF444"/>
      <c r="BG444"/>
      <c r="BH444"/>
      <c r="BI444"/>
      <c r="BJ444"/>
      <c r="BR444"/>
      <c r="BS444"/>
      <c r="BT444"/>
      <c r="BU444"/>
      <c r="BX444"/>
      <c r="BY444"/>
      <c r="CA444"/>
    </row>
    <row r="445" spans="2:79" ht="18.75">
      <c r="B445" s="252" t="s">
        <v>1512</v>
      </c>
      <c r="C445" s="251">
        <v>37970310000149</v>
      </c>
      <c r="D445" s="252" t="s">
        <v>13</v>
      </c>
      <c r="E445" s="252" t="s">
        <v>616</v>
      </c>
      <c r="F445" s="252" t="s">
        <v>617</v>
      </c>
      <c r="G445" s="253" t="s">
        <v>34</v>
      </c>
      <c r="H445" s="253" t="s">
        <v>1338</v>
      </c>
      <c r="I445" s="253" t="s">
        <v>34</v>
      </c>
      <c r="J445" s="253" t="s">
        <v>608</v>
      </c>
      <c r="K445" s="253" t="s">
        <v>48</v>
      </c>
      <c r="L445" s="655"/>
      <c r="M445" s="655" t="s">
        <v>34</v>
      </c>
      <c r="N445" s="253" t="s">
        <v>3022</v>
      </c>
      <c r="O445" s="253" t="s">
        <v>1321</v>
      </c>
      <c r="P445" s="656">
        <v>44086</v>
      </c>
      <c r="Q445" s="657">
        <v>181.01799659</v>
      </c>
      <c r="R445" s="657">
        <v>149.24573838834678</v>
      </c>
      <c r="S445" s="253">
        <v>32</v>
      </c>
      <c r="T445" s="658">
        <v>1.4990846163500215E-2</v>
      </c>
      <c r="U445" s="659">
        <v>0.7496030270085472</v>
      </c>
      <c r="V445" s="658">
        <v>0.24707921397979682</v>
      </c>
      <c r="W445" s="659">
        <v>1.9161759174190363</v>
      </c>
      <c r="X445" s="658">
        <v>0.10699644484705928</v>
      </c>
      <c r="Y445" s="659">
        <v>0.55413379356014913</v>
      </c>
      <c r="Z445" s="658"/>
      <c r="AA445" s="659"/>
      <c r="AB445" s="658">
        <v>9.4780760766260727E-2</v>
      </c>
      <c r="AC445" s="660">
        <v>1.2464059538870182</v>
      </c>
      <c r="AD445" s="682">
        <v>37967588000167</v>
      </c>
      <c r="AE445" s="944" t="s">
        <v>1747</v>
      </c>
      <c r="AF445" s="661" t="s">
        <v>1745</v>
      </c>
      <c r="AG445" s="662" t="s">
        <v>1432</v>
      </c>
      <c r="AH445" s="662" t="s">
        <v>1730</v>
      </c>
      <c r="AI445" s="662">
        <v>5000</v>
      </c>
      <c r="AJ445" s="662">
        <v>1000</v>
      </c>
      <c r="AK445" s="662">
        <v>1000</v>
      </c>
      <c r="AL445" s="658">
        <v>0.02</v>
      </c>
      <c r="AM445" s="658">
        <v>0.2</v>
      </c>
      <c r="AN445" s="659" t="s">
        <v>34</v>
      </c>
      <c r="AO445" s="253" t="s">
        <v>34</v>
      </c>
      <c r="AP445" s="944" t="s">
        <v>1746</v>
      </c>
      <c r="AQ445" s="663" t="s">
        <v>668</v>
      </c>
      <c r="AR445" s="658">
        <v>7.0000000000000001E-3</v>
      </c>
      <c r="AS445" s="658">
        <v>7.0000000000000001E-3</v>
      </c>
      <c r="AT445" s="658" t="s">
        <v>1417</v>
      </c>
      <c r="AU445" s="658" t="s">
        <v>2751</v>
      </c>
      <c r="AX445"/>
      <c r="AY445"/>
      <c r="BA445"/>
      <c r="BB445"/>
      <c r="BC445"/>
      <c r="BD445"/>
      <c r="BE445"/>
      <c r="BF445"/>
      <c r="BG445"/>
      <c r="BH445"/>
      <c r="BI445"/>
      <c r="BJ445"/>
      <c r="BR445"/>
      <c r="BS445"/>
      <c r="BT445"/>
      <c r="BU445"/>
      <c r="BX445"/>
      <c r="BY445"/>
      <c r="CA445"/>
    </row>
    <row r="446" spans="2:79" ht="18.75">
      <c r="B446" s="252" t="s">
        <v>4429</v>
      </c>
      <c r="C446" s="251">
        <v>37681077000184</v>
      </c>
      <c r="D446" s="252" t="s">
        <v>13</v>
      </c>
      <c r="E446" s="252" t="s">
        <v>616</v>
      </c>
      <c r="F446" s="252" t="s">
        <v>617</v>
      </c>
      <c r="G446" s="253" t="s">
        <v>34</v>
      </c>
      <c r="H446" s="253" t="s">
        <v>1338</v>
      </c>
      <c r="I446" s="253" t="s">
        <v>34</v>
      </c>
      <c r="J446" s="253" t="s">
        <v>608</v>
      </c>
      <c r="K446" s="253" t="s">
        <v>48</v>
      </c>
      <c r="L446" s="655"/>
      <c r="M446" s="655" t="s">
        <v>34</v>
      </c>
      <c r="N446" s="253" t="s">
        <v>4430</v>
      </c>
      <c r="O446" s="253" t="s">
        <v>1321</v>
      </c>
      <c r="P446" s="656">
        <v>44162</v>
      </c>
      <c r="Q446" s="657">
        <v>33.710516830000003</v>
      </c>
      <c r="R446" s="657">
        <v>33.872919617500003</v>
      </c>
      <c r="S446" s="253">
        <v>8</v>
      </c>
      <c r="T446" s="658">
        <v>-6.0877753870810514E-3</v>
      </c>
      <c r="U446" s="659">
        <v>-0.30441342724302722</v>
      </c>
      <c r="V446" s="658">
        <v>-6.0877753870810514E-3</v>
      </c>
      <c r="W446" s="659">
        <v>-4.7212585791757078E-2</v>
      </c>
      <c r="X446" s="658">
        <v>-6.0877753870810514E-3</v>
      </c>
      <c r="Y446" s="659">
        <v>-3.1528543536257919E-2</v>
      </c>
      <c r="Z446" s="658"/>
      <c r="AA446" s="659"/>
      <c r="AB446" s="658">
        <v>4.4228301269467696E-2</v>
      </c>
      <c r="AC446" s="660">
        <v>-3.0530606186108797</v>
      </c>
      <c r="AD446" s="682">
        <v>37927544000103</v>
      </c>
      <c r="AE446" s="944" t="s">
        <v>1747</v>
      </c>
      <c r="AF446" s="661" t="s">
        <v>1745</v>
      </c>
      <c r="AG446" s="662" t="s">
        <v>1432</v>
      </c>
      <c r="AH446" s="662" t="s">
        <v>2119</v>
      </c>
      <c r="AI446" s="662">
        <v>0</v>
      </c>
      <c r="AJ446" s="662">
        <v>0</v>
      </c>
      <c r="AK446" s="662">
        <v>0</v>
      </c>
      <c r="AL446" s="658">
        <v>0</v>
      </c>
      <c r="AM446" s="658">
        <v>0</v>
      </c>
      <c r="AN446" s="659" t="s">
        <v>34</v>
      </c>
      <c r="AO446" s="253" t="s">
        <v>4400</v>
      </c>
      <c r="AP446" s="944" t="s">
        <v>1746</v>
      </c>
      <c r="AQ446" s="663" t="s">
        <v>2177</v>
      </c>
      <c r="AR446" s="658">
        <v>0</v>
      </c>
      <c r="AS446" s="658">
        <v>0</v>
      </c>
      <c r="AT446" s="658" t="s">
        <v>1417</v>
      </c>
      <c r="AU446" s="658" t="s">
        <v>2751</v>
      </c>
      <c r="AX446"/>
      <c r="AY446"/>
      <c r="BA446"/>
      <c r="BB446"/>
      <c r="BC446"/>
      <c r="BD446"/>
      <c r="BE446"/>
      <c r="BF446"/>
      <c r="BG446"/>
      <c r="BH446"/>
      <c r="BI446"/>
      <c r="BJ446"/>
      <c r="BR446"/>
      <c r="BS446"/>
      <c r="BT446"/>
      <c r="BU446"/>
      <c r="BX446"/>
      <c r="BY446"/>
      <c r="CA446"/>
    </row>
    <row r="447" spans="2:79" ht="18.75">
      <c r="B447" s="252" t="s">
        <v>4431</v>
      </c>
      <c r="C447" s="251">
        <v>35002894000133</v>
      </c>
      <c r="D447" s="252" t="s">
        <v>14</v>
      </c>
      <c r="E447" s="252" t="s">
        <v>607</v>
      </c>
      <c r="F447" s="252" t="s">
        <v>1417</v>
      </c>
      <c r="G447" s="253" t="s">
        <v>1417</v>
      </c>
      <c r="H447" s="253" t="s">
        <v>1417</v>
      </c>
      <c r="I447" s="253" t="s">
        <v>1417</v>
      </c>
      <c r="J447" s="253" t="s">
        <v>1417</v>
      </c>
      <c r="K447" s="253" t="s">
        <v>1417</v>
      </c>
      <c r="L447" s="655"/>
      <c r="M447" s="655" t="s">
        <v>34</v>
      </c>
      <c r="N447" s="253" t="s">
        <v>4432</v>
      </c>
      <c r="O447" s="253" t="s">
        <v>1321</v>
      </c>
      <c r="P447" s="656">
        <v>43892</v>
      </c>
      <c r="Q447" s="657">
        <v>19.567062270000001</v>
      </c>
      <c r="R447" s="657">
        <v>19.813474497500003</v>
      </c>
      <c r="S447" s="253">
        <v>9</v>
      </c>
      <c r="T447" s="658">
        <v>-8.619024824005117E-3</v>
      </c>
      <c r="U447" s="659">
        <v>-0.43098615164679283</v>
      </c>
      <c r="V447" s="658">
        <v>-8.619024824005117E-3</v>
      </c>
      <c r="W447" s="659">
        <v>-6.6843210051436786E-2</v>
      </c>
      <c r="X447" s="658">
        <v>-8.619024824005117E-3</v>
      </c>
      <c r="Y447" s="659">
        <v>-4.4637865579010588E-2</v>
      </c>
      <c r="Z447" s="658"/>
      <c r="AA447" s="659"/>
      <c r="AB447" s="658">
        <v>9.840528509677858E-2</v>
      </c>
      <c r="AC447" s="660">
        <v>-1.3979222166320084</v>
      </c>
      <c r="AD447" s="682">
        <v>0</v>
      </c>
      <c r="AE447" s="944" t="s">
        <v>1747</v>
      </c>
      <c r="AF447" s="661" t="s">
        <v>1745</v>
      </c>
      <c r="AG447" s="662" t="s">
        <v>1432</v>
      </c>
      <c r="AH447" s="662" t="s">
        <v>2119</v>
      </c>
      <c r="AI447" s="662">
        <v>0</v>
      </c>
      <c r="AJ447" s="662">
        <v>0</v>
      </c>
      <c r="AK447" s="662">
        <v>0</v>
      </c>
      <c r="AL447" s="658">
        <v>1.7500000000000002E-2</v>
      </c>
      <c r="AM447" s="658">
        <v>0.2</v>
      </c>
      <c r="AN447" s="659" t="s">
        <v>34</v>
      </c>
      <c r="AO447" s="253" t="s">
        <v>4400</v>
      </c>
      <c r="AP447" s="944" t="s">
        <v>1746</v>
      </c>
      <c r="AQ447" s="663" t="s">
        <v>2177</v>
      </c>
      <c r="AR447" s="658">
        <v>0</v>
      </c>
      <c r="AS447" s="658">
        <v>0</v>
      </c>
      <c r="AT447" s="658" t="s">
        <v>1417</v>
      </c>
      <c r="AU447" s="658" t="s">
        <v>2751</v>
      </c>
      <c r="AX447"/>
      <c r="AY447"/>
      <c r="BA447"/>
      <c r="BB447"/>
      <c r="BC447"/>
      <c r="BD447"/>
      <c r="BE447"/>
      <c r="BF447"/>
      <c r="BG447"/>
      <c r="BH447"/>
      <c r="BI447"/>
      <c r="BJ447"/>
      <c r="BR447"/>
      <c r="BS447"/>
      <c r="BT447"/>
      <c r="BU447"/>
      <c r="BX447"/>
      <c r="BY447"/>
      <c r="CA447"/>
    </row>
    <row r="448" spans="2:79" ht="18.75">
      <c r="B448" s="252" t="s">
        <v>840</v>
      </c>
      <c r="C448" s="251">
        <v>15912241000184</v>
      </c>
      <c r="D448" s="252" t="s">
        <v>14</v>
      </c>
      <c r="E448" s="252" t="s">
        <v>607</v>
      </c>
      <c r="F448" s="252" t="s">
        <v>1417</v>
      </c>
      <c r="G448" s="253" t="s">
        <v>1417</v>
      </c>
      <c r="H448" s="253" t="s">
        <v>34</v>
      </c>
      <c r="I448" s="253" t="s">
        <v>34</v>
      </c>
      <c r="J448" s="253" t="s">
        <v>1417</v>
      </c>
      <c r="K448" s="253" t="s">
        <v>48</v>
      </c>
      <c r="L448" s="655"/>
      <c r="M448" s="655" t="s">
        <v>34</v>
      </c>
      <c r="N448" s="253" t="s">
        <v>3023</v>
      </c>
      <c r="O448" s="253" t="s">
        <v>1321</v>
      </c>
      <c r="P448" s="656">
        <v>41157</v>
      </c>
      <c r="Q448" s="657">
        <v>31.854099999999999</v>
      </c>
      <c r="R448" s="657">
        <v>53.090689837398429</v>
      </c>
      <c r="S448" s="253">
        <v>94</v>
      </c>
      <c r="T448" s="658">
        <v>3.6870195367968428E-2</v>
      </c>
      <c r="U448" s="659">
        <v>1.8436591072169635</v>
      </c>
      <c r="V448" s="658">
        <v>-0.16593800464768171</v>
      </c>
      <c r="W448" s="659">
        <v>-1.2869006792147855</v>
      </c>
      <c r="X448" s="658">
        <v>-0.39963710591970947</v>
      </c>
      <c r="Y448" s="659">
        <v>-2.0697176047973542</v>
      </c>
      <c r="Z448" s="658">
        <v>-0.31729963247146731</v>
      </c>
      <c r="AA448" s="659">
        <v>-1.4326957374203713</v>
      </c>
      <c r="AB448" s="658">
        <v>0.20683899274312012</v>
      </c>
      <c r="AC448" s="660">
        <v>-1.4256592056638626</v>
      </c>
      <c r="AD448" s="682">
        <v>16565058000112</v>
      </c>
      <c r="AE448" s="944" t="s">
        <v>1797</v>
      </c>
      <c r="AF448" s="661" t="s">
        <v>1745</v>
      </c>
      <c r="AG448" s="662" t="s">
        <v>1432</v>
      </c>
      <c r="AH448" s="662" t="s">
        <v>1734</v>
      </c>
      <c r="AI448" s="662">
        <v>5000</v>
      </c>
      <c r="AJ448" s="662">
        <v>5000</v>
      </c>
      <c r="AK448" s="662">
        <v>5000</v>
      </c>
      <c r="AL448" s="658">
        <v>7.4999999999999997E-3</v>
      </c>
      <c r="AM448" s="658">
        <v>0.1</v>
      </c>
      <c r="AN448" s="659" t="s">
        <v>2127</v>
      </c>
      <c r="AO448" s="253" t="s">
        <v>34</v>
      </c>
      <c r="AP448" s="944" t="s">
        <v>1731</v>
      </c>
      <c r="AQ448" s="663" t="s">
        <v>659</v>
      </c>
      <c r="AR448" s="658">
        <v>6.0000000000000001E-3</v>
      </c>
      <c r="AS448" s="658">
        <v>6.0000000000000001E-3</v>
      </c>
      <c r="AT448" s="658" t="s">
        <v>1417</v>
      </c>
      <c r="AU448" s="658" t="s">
        <v>2751</v>
      </c>
      <c r="AX448"/>
      <c r="AY448"/>
      <c r="BA448"/>
      <c r="BB448"/>
      <c r="BC448"/>
      <c r="BD448"/>
      <c r="BE448"/>
      <c r="BF448"/>
      <c r="BG448"/>
      <c r="BH448"/>
      <c r="BI448"/>
      <c r="BJ448"/>
      <c r="BR448"/>
      <c r="BS448"/>
      <c r="BT448"/>
      <c r="BU448"/>
      <c r="BX448"/>
      <c r="BY448"/>
      <c r="CA448"/>
    </row>
    <row r="449" spans="2:79" ht="18.75">
      <c r="B449" s="252" t="s">
        <v>841</v>
      </c>
      <c r="C449" s="251">
        <v>40428039000129</v>
      </c>
      <c r="D449" s="252" t="s">
        <v>14</v>
      </c>
      <c r="E449" s="252" t="s">
        <v>607</v>
      </c>
      <c r="F449" s="252" t="s">
        <v>1417</v>
      </c>
      <c r="G449" s="253" t="s">
        <v>1417</v>
      </c>
      <c r="H449" s="253" t="s">
        <v>34</v>
      </c>
      <c r="I449" s="253" t="s">
        <v>34</v>
      </c>
      <c r="J449" s="253" t="s">
        <v>608</v>
      </c>
      <c r="K449" s="253" t="s">
        <v>48</v>
      </c>
      <c r="L449" s="655"/>
      <c r="M449" s="655" t="s">
        <v>34</v>
      </c>
      <c r="N449" s="253" t="s">
        <v>3024</v>
      </c>
      <c r="O449" s="253" t="s">
        <v>1321</v>
      </c>
      <c r="P449" s="656">
        <v>33670</v>
      </c>
      <c r="Q449" s="657">
        <v>9.1374999999999993</v>
      </c>
      <c r="R449" s="657">
        <v>11.843770963855421</v>
      </c>
      <c r="S449" s="253">
        <v>3</v>
      </c>
      <c r="T449" s="658">
        <v>-3.8506665924545547E-2</v>
      </c>
      <c r="U449" s="659">
        <v>-1.9254892633963627</v>
      </c>
      <c r="V449" s="658">
        <v>-8.754774797409115E-2</v>
      </c>
      <c r="W449" s="659">
        <v>-0.67895993187812975</v>
      </c>
      <c r="X449" s="658">
        <v>-0.1679833977048818</v>
      </c>
      <c r="Y449" s="659">
        <v>-0.86998476966580984</v>
      </c>
      <c r="Z449" s="658">
        <v>-0.10232740064227974</v>
      </c>
      <c r="AA449" s="659">
        <v>-0.46203656014219902</v>
      </c>
      <c r="AB449" s="658">
        <v>0.20650878787372323</v>
      </c>
      <c r="AC449" s="660">
        <v>-1.0483411367135651</v>
      </c>
      <c r="AD449" s="682">
        <v>0</v>
      </c>
      <c r="AE449" s="944" t="s">
        <v>1747</v>
      </c>
      <c r="AF449" s="661" t="s">
        <v>1745</v>
      </c>
      <c r="AG449" s="662" t="s">
        <v>1432</v>
      </c>
      <c r="AH449" s="662" t="s">
        <v>1734</v>
      </c>
      <c r="AI449" s="662">
        <v>1000</v>
      </c>
      <c r="AJ449" s="662">
        <v>1000</v>
      </c>
      <c r="AK449" s="662">
        <v>1000</v>
      </c>
      <c r="AL449" s="658">
        <v>1.4999999999999999E-2</v>
      </c>
      <c r="AM449" s="658">
        <v>0</v>
      </c>
      <c r="AN449" s="659" t="s">
        <v>2127</v>
      </c>
      <c r="AO449" s="253" t="s">
        <v>34</v>
      </c>
      <c r="AP449" s="944" t="s">
        <v>1731</v>
      </c>
      <c r="AQ449" s="663" t="s">
        <v>670</v>
      </c>
      <c r="AR449" s="658">
        <v>5.2500000000000003E-3</v>
      </c>
      <c r="AS449" s="658">
        <v>5.2500000000000003E-3</v>
      </c>
      <c r="AT449" s="658" t="s">
        <v>1417</v>
      </c>
      <c r="AU449" s="658" t="s">
        <v>2751</v>
      </c>
      <c r="AX449"/>
      <c r="AY449"/>
      <c r="BA449"/>
      <c r="BB449"/>
      <c r="BC449"/>
      <c r="BD449"/>
      <c r="BE449"/>
      <c r="BF449"/>
      <c r="BG449"/>
      <c r="BH449"/>
      <c r="BI449"/>
      <c r="BJ449"/>
      <c r="BR449"/>
      <c r="BS449"/>
      <c r="BT449"/>
      <c r="BU449"/>
      <c r="BX449"/>
      <c r="BY449"/>
      <c r="CA449"/>
    </row>
    <row r="450" spans="2:79" ht="18.75">
      <c r="B450" s="252" t="s">
        <v>842</v>
      </c>
      <c r="C450" s="251">
        <v>22232878000195</v>
      </c>
      <c r="D450" s="252" t="s">
        <v>11</v>
      </c>
      <c r="E450" s="252" t="s">
        <v>620</v>
      </c>
      <c r="F450" s="252" t="s">
        <v>663</v>
      </c>
      <c r="G450" s="253" t="s">
        <v>738</v>
      </c>
      <c r="H450" s="253" t="s">
        <v>34</v>
      </c>
      <c r="I450" s="253" t="s">
        <v>1417</v>
      </c>
      <c r="J450" s="253" t="s">
        <v>608</v>
      </c>
      <c r="K450" s="253" t="s">
        <v>48</v>
      </c>
      <c r="L450" s="655"/>
      <c r="M450" s="655" t="s">
        <v>34</v>
      </c>
      <c r="N450" s="253" t="s">
        <v>3025</v>
      </c>
      <c r="O450" s="253" t="s">
        <v>1321</v>
      </c>
      <c r="P450" s="656">
        <v>42186</v>
      </c>
      <c r="Q450" s="657">
        <v>1014.4562110000001</v>
      </c>
      <c r="R450" s="657">
        <v>888.78355392369474</v>
      </c>
      <c r="S450" s="253">
        <v>31</v>
      </c>
      <c r="T450" s="658">
        <v>-2.102325289997653E-3</v>
      </c>
      <c r="U450" s="659">
        <v>-0.10512477974564867</v>
      </c>
      <c r="V450" s="658">
        <v>0.12328598841382443</v>
      </c>
      <c r="W450" s="659">
        <v>0.9561210680113682</v>
      </c>
      <c r="X450" s="658">
        <v>0.23155298155298509</v>
      </c>
      <c r="Y450" s="659">
        <v>1.1992111724976198</v>
      </c>
      <c r="Z450" s="658">
        <v>0.232780590351229</v>
      </c>
      <c r="AA450" s="659">
        <v>1.0510688491906564</v>
      </c>
      <c r="AB450" s="658">
        <v>1.0923243780080612E-2</v>
      </c>
      <c r="AC450" s="660">
        <v>-0.51797077378073175</v>
      </c>
      <c r="AD450" s="682">
        <v>0</v>
      </c>
      <c r="AE450" s="944" t="s">
        <v>1747</v>
      </c>
      <c r="AF450" s="661" t="s">
        <v>1745</v>
      </c>
      <c r="AG450" s="662" t="s">
        <v>1432</v>
      </c>
      <c r="AH450" s="662" t="s">
        <v>1734</v>
      </c>
      <c r="AI450" s="662">
        <v>0</v>
      </c>
      <c r="AJ450" s="662">
        <v>0</v>
      </c>
      <c r="AK450" s="662">
        <v>0</v>
      </c>
      <c r="AL450" s="658">
        <v>3.0000000000000001E-3</v>
      </c>
      <c r="AM450" s="658">
        <v>0.2</v>
      </c>
      <c r="AN450" s="659" t="s">
        <v>34</v>
      </c>
      <c r="AO450" s="253" t="s">
        <v>34</v>
      </c>
      <c r="AP450" s="944" t="s">
        <v>1735</v>
      </c>
      <c r="AQ450" s="663" t="s">
        <v>675</v>
      </c>
      <c r="AR450" s="658">
        <v>1.0499999999999999E-3</v>
      </c>
      <c r="AS450" s="658">
        <v>1.0499999999999999E-3</v>
      </c>
      <c r="AT450" s="658" t="s">
        <v>1417</v>
      </c>
      <c r="AU450" s="658" t="s">
        <v>2751</v>
      </c>
      <c r="AX450"/>
      <c r="AY450"/>
      <c r="BA450"/>
      <c r="BB450"/>
      <c r="BC450"/>
      <c r="BD450"/>
      <c r="BE450"/>
      <c r="BF450"/>
      <c r="BG450"/>
      <c r="BH450"/>
      <c r="BI450"/>
      <c r="BJ450"/>
      <c r="BR450"/>
      <c r="BS450"/>
      <c r="BT450"/>
      <c r="BU450"/>
      <c r="BX450"/>
      <c r="BY450"/>
      <c r="CA450"/>
    </row>
    <row r="451" spans="2:79" ht="18.75">
      <c r="B451" s="252" t="s">
        <v>843</v>
      </c>
      <c r="C451" s="251">
        <v>42730755000191</v>
      </c>
      <c r="D451" s="252" t="s">
        <v>11</v>
      </c>
      <c r="E451" s="252" t="s">
        <v>620</v>
      </c>
      <c r="F451" s="252" t="s">
        <v>685</v>
      </c>
      <c r="G451" s="253" t="s">
        <v>738</v>
      </c>
      <c r="H451" s="253" t="s">
        <v>34</v>
      </c>
      <c r="I451" s="253" t="s">
        <v>1319</v>
      </c>
      <c r="J451" s="253" t="s">
        <v>608</v>
      </c>
      <c r="K451" s="253" t="s">
        <v>48</v>
      </c>
      <c r="L451" s="655"/>
      <c r="M451" s="655" t="s">
        <v>34</v>
      </c>
      <c r="N451" s="253" t="s">
        <v>3026</v>
      </c>
      <c r="O451" s="253" t="s">
        <v>1321</v>
      </c>
      <c r="P451" s="656">
        <v>44454</v>
      </c>
      <c r="Q451" s="657"/>
      <c r="R451" s="657"/>
      <c r="S451" s="253">
        <v>16</v>
      </c>
      <c r="T451" s="658"/>
      <c r="U451" s="659"/>
      <c r="V451" s="658"/>
      <c r="W451" s="659"/>
      <c r="X451" s="658"/>
      <c r="Y451" s="659"/>
      <c r="Z451" s="658"/>
      <c r="AA451" s="659"/>
      <c r="AB451" s="658"/>
      <c r="AC451" s="660"/>
      <c r="AD451" s="682">
        <v>9215250000113</v>
      </c>
      <c r="AE451" s="944" t="s">
        <v>1747</v>
      </c>
      <c r="AF451" s="661" t="s">
        <v>1745</v>
      </c>
      <c r="AG451" s="662" t="s">
        <v>1432</v>
      </c>
      <c r="AH451" s="662" t="s">
        <v>1801</v>
      </c>
      <c r="AI451" s="662">
        <v>50000</v>
      </c>
      <c r="AJ451" s="662">
        <v>5000</v>
      </c>
      <c r="AK451" s="662">
        <v>5000</v>
      </c>
      <c r="AL451" s="658">
        <v>1.7500000000000002E-2</v>
      </c>
      <c r="AM451" s="658">
        <v>0</v>
      </c>
      <c r="AN451" s="659" t="s">
        <v>2127</v>
      </c>
      <c r="AO451" s="253" t="s">
        <v>34</v>
      </c>
      <c r="AP451" s="944" t="s">
        <v>1746</v>
      </c>
      <c r="AQ451" s="663" t="s">
        <v>679</v>
      </c>
      <c r="AR451" s="658">
        <v>6.1250000000000002E-3</v>
      </c>
      <c r="AS451" s="658">
        <v>6.1250000000000002E-3</v>
      </c>
      <c r="AT451" s="658" t="s">
        <v>1417</v>
      </c>
      <c r="AU451" s="658" t="s">
        <v>2751</v>
      </c>
      <c r="AX451"/>
      <c r="AY451"/>
      <c r="BA451"/>
      <c r="BB451"/>
      <c r="BC451"/>
      <c r="BD451"/>
      <c r="BE451"/>
      <c r="BF451"/>
      <c r="BG451"/>
      <c r="BH451"/>
      <c r="BI451"/>
      <c r="BJ451"/>
      <c r="BR451"/>
      <c r="BS451"/>
      <c r="BT451"/>
      <c r="BU451"/>
      <c r="BX451"/>
      <c r="BY451"/>
      <c r="CA451"/>
    </row>
    <row r="452" spans="2:79" ht="18.75">
      <c r="B452" s="252" t="s">
        <v>148</v>
      </c>
      <c r="C452" s="251">
        <v>4501865000192</v>
      </c>
      <c r="D452" s="252" t="s">
        <v>11</v>
      </c>
      <c r="E452" s="252" t="s">
        <v>620</v>
      </c>
      <c r="F452" s="252" t="s">
        <v>663</v>
      </c>
      <c r="G452" s="253" t="s">
        <v>738</v>
      </c>
      <c r="H452" s="253" t="s">
        <v>34</v>
      </c>
      <c r="I452" s="253" t="s">
        <v>1304</v>
      </c>
      <c r="J452" s="253" t="s">
        <v>608</v>
      </c>
      <c r="K452" s="253" t="s">
        <v>48</v>
      </c>
      <c r="L452" s="655"/>
      <c r="M452" s="655" t="s">
        <v>1414</v>
      </c>
      <c r="N452" s="253" t="s">
        <v>3027</v>
      </c>
      <c r="O452" s="253" t="s">
        <v>1321</v>
      </c>
      <c r="P452" s="656">
        <v>37076</v>
      </c>
      <c r="Q452" s="657">
        <v>1154.445792</v>
      </c>
      <c r="R452" s="657">
        <v>976.21414876209633</v>
      </c>
      <c r="S452" s="253">
        <v>0</v>
      </c>
      <c r="T452" s="658">
        <v>2.0009757069078482E-2</v>
      </c>
      <c r="U452" s="659">
        <v>1.0005689008541396</v>
      </c>
      <c r="V452" s="658">
        <v>0.1332637638299079</v>
      </c>
      <c r="W452" s="659">
        <v>1.0335018102185138</v>
      </c>
      <c r="X452" s="658">
        <v>0.20191607961004632</v>
      </c>
      <c r="Y452" s="659">
        <v>1.0457218773487427</v>
      </c>
      <c r="Z452" s="658">
        <v>0.18935391554313097</v>
      </c>
      <c r="AA452" s="659">
        <v>0.85498538258438017</v>
      </c>
      <c r="AB452" s="658">
        <v>9.6892643824489139E-4</v>
      </c>
      <c r="AC452" s="660">
        <v>4.4583925183675568</v>
      </c>
      <c r="AD452" s="682">
        <v>0</v>
      </c>
      <c r="AE452" s="944" t="s">
        <v>1747</v>
      </c>
      <c r="AF452" s="661" t="s">
        <v>1745</v>
      </c>
      <c r="AG452" s="662" t="s">
        <v>1432</v>
      </c>
      <c r="AH452" s="662" t="s">
        <v>1734</v>
      </c>
      <c r="AI452" s="662">
        <v>500</v>
      </c>
      <c r="AJ452" s="662">
        <v>100</v>
      </c>
      <c r="AK452" s="662">
        <v>100</v>
      </c>
      <c r="AL452" s="658">
        <v>2.5000000000000001E-3</v>
      </c>
      <c r="AM452" s="658">
        <v>0</v>
      </c>
      <c r="AN452" s="659" t="s">
        <v>2127</v>
      </c>
      <c r="AO452" s="253" t="s">
        <v>34</v>
      </c>
      <c r="AP452" s="944" t="s">
        <v>1735</v>
      </c>
      <c r="AQ452" s="663" t="s">
        <v>669</v>
      </c>
      <c r="AR452" s="658">
        <v>8.7500000000000002E-4</v>
      </c>
      <c r="AS452" s="658">
        <v>8.7500000000000002E-4</v>
      </c>
      <c r="AT452" s="658" t="s">
        <v>1417</v>
      </c>
      <c r="AU452" s="658" t="s">
        <v>2751</v>
      </c>
      <c r="AX452"/>
      <c r="AY452"/>
      <c r="BA452"/>
      <c r="BB452"/>
      <c r="BC452"/>
      <c r="BD452"/>
      <c r="BE452"/>
      <c r="BF452"/>
      <c r="BG452"/>
      <c r="BH452"/>
      <c r="BI452"/>
      <c r="BJ452"/>
      <c r="BR452"/>
      <c r="BS452"/>
      <c r="BT452"/>
      <c r="BU452"/>
      <c r="BX452"/>
      <c r="BY452"/>
      <c r="CA452"/>
    </row>
    <row r="453" spans="2:79" ht="18.75">
      <c r="B453" s="252" t="s">
        <v>1513</v>
      </c>
      <c r="C453" s="251">
        <v>16565016000181</v>
      </c>
      <c r="D453" s="252" t="s">
        <v>11</v>
      </c>
      <c r="E453" s="252" t="s">
        <v>620</v>
      </c>
      <c r="F453" s="252" t="s">
        <v>663</v>
      </c>
      <c r="G453" s="253" t="s">
        <v>738</v>
      </c>
      <c r="H453" s="253" t="s">
        <v>34</v>
      </c>
      <c r="I453" s="253" t="s">
        <v>1417</v>
      </c>
      <c r="J453" s="253" t="s">
        <v>608</v>
      </c>
      <c r="K453" s="253" t="s">
        <v>48</v>
      </c>
      <c r="L453" s="655"/>
      <c r="M453" s="655" t="s">
        <v>34</v>
      </c>
      <c r="N453" s="253" t="s">
        <v>3028</v>
      </c>
      <c r="O453" s="253" t="s">
        <v>1321</v>
      </c>
      <c r="P453" s="656">
        <v>41140</v>
      </c>
      <c r="Q453" s="657">
        <v>2244.2680500000001</v>
      </c>
      <c r="R453" s="657">
        <v>2226.1356681646575</v>
      </c>
      <c r="S453" s="253">
        <v>0</v>
      </c>
      <c r="T453" s="658">
        <v>2.035472068045352E-2</v>
      </c>
      <c r="U453" s="659">
        <v>1.0178184786614373</v>
      </c>
      <c r="V453" s="658">
        <v>0.13383832228670234</v>
      </c>
      <c r="W453" s="659">
        <v>1.0379576892069786</v>
      </c>
      <c r="X453" s="658">
        <v>0.19942024989946883</v>
      </c>
      <c r="Y453" s="659">
        <v>1.0327959938057958</v>
      </c>
      <c r="Z453" s="658">
        <v>0.20792114806311091</v>
      </c>
      <c r="AA453" s="659">
        <v>0.93882158081716649</v>
      </c>
      <c r="AB453" s="658">
        <v>9.1050932354192935E-4</v>
      </c>
      <c r="AC453" s="660">
        <v>5.3754670197933416</v>
      </c>
      <c r="AD453" s="682">
        <v>16157572000119</v>
      </c>
      <c r="AE453" s="944" t="s">
        <v>1747</v>
      </c>
      <c r="AF453" s="661" t="s">
        <v>1745</v>
      </c>
      <c r="AG453" s="662" t="s">
        <v>1432</v>
      </c>
      <c r="AH453" s="662" t="s">
        <v>1734</v>
      </c>
      <c r="AI453" s="662">
        <v>500</v>
      </c>
      <c r="AJ453" s="662">
        <v>100</v>
      </c>
      <c r="AK453" s="662">
        <v>100</v>
      </c>
      <c r="AL453" s="658">
        <v>1.5E-3</v>
      </c>
      <c r="AM453" s="658">
        <v>0</v>
      </c>
      <c r="AN453" s="659" t="s">
        <v>2127</v>
      </c>
      <c r="AO453" s="253" t="s">
        <v>34</v>
      </c>
      <c r="AP453" s="944" t="s">
        <v>1735</v>
      </c>
      <c r="AQ453" s="663" t="s">
        <v>669</v>
      </c>
      <c r="AR453" s="658">
        <v>0</v>
      </c>
      <c r="AS453" s="658">
        <v>0</v>
      </c>
      <c r="AT453" s="658" t="s">
        <v>1417</v>
      </c>
      <c r="AU453" s="658" t="s">
        <v>2751</v>
      </c>
      <c r="AX453"/>
      <c r="AY453"/>
      <c r="BA453"/>
      <c r="BB453"/>
      <c r="BC453"/>
      <c r="BD453"/>
      <c r="BE453"/>
      <c r="BF453"/>
      <c r="BG453"/>
      <c r="BH453"/>
      <c r="BI453"/>
      <c r="BJ453"/>
      <c r="BR453"/>
      <c r="BS453"/>
      <c r="BT453"/>
      <c r="BU453"/>
      <c r="BX453"/>
      <c r="BY453"/>
      <c r="CA453"/>
    </row>
    <row r="454" spans="2:79" ht="18.75">
      <c r="B454" s="252" t="s">
        <v>844</v>
      </c>
      <c r="C454" s="251">
        <v>14171644000157</v>
      </c>
      <c r="D454" s="252" t="s">
        <v>11</v>
      </c>
      <c r="E454" s="252" t="s">
        <v>620</v>
      </c>
      <c r="F454" s="252" t="s">
        <v>663</v>
      </c>
      <c r="G454" s="253" t="s">
        <v>738</v>
      </c>
      <c r="H454" s="253" t="s">
        <v>34</v>
      </c>
      <c r="I454" s="253" t="s">
        <v>1417</v>
      </c>
      <c r="J454" s="253" t="s">
        <v>608</v>
      </c>
      <c r="K454" s="253" t="s">
        <v>48</v>
      </c>
      <c r="L454" s="655"/>
      <c r="M454" s="655" t="s">
        <v>34</v>
      </c>
      <c r="N454" s="253" t="s">
        <v>3030</v>
      </c>
      <c r="O454" s="253" t="s">
        <v>1321</v>
      </c>
      <c r="P454" s="656">
        <v>40901</v>
      </c>
      <c r="Q454" s="657">
        <v>2865.6063800000002</v>
      </c>
      <c r="R454" s="657">
        <v>2227.7386158634531</v>
      </c>
      <c r="S454" s="253">
        <v>31</v>
      </c>
      <c r="T454" s="658">
        <v>-3.418267736298386E-3</v>
      </c>
      <c r="U454" s="659">
        <v>-0.17092723214609004</v>
      </c>
      <c r="V454" s="658">
        <v>0.11806288844062096</v>
      </c>
      <c r="W454" s="659">
        <v>0.91561430816817535</v>
      </c>
      <c r="X454" s="658">
        <v>0.21663862320237692</v>
      </c>
      <c r="Y454" s="659">
        <v>1.1219698213186029</v>
      </c>
      <c r="Z454" s="658">
        <v>0.21582877508757803</v>
      </c>
      <c r="AA454" s="659">
        <v>0.97452670736528169</v>
      </c>
      <c r="AB454" s="658">
        <v>9.9273257637985893E-3</v>
      </c>
      <c r="AC454" s="660">
        <v>-1.0960676888277996</v>
      </c>
      <c r="AD454" s="682">
        <v>14557317000138</v>
      </c>
      <c r="AE454" s="944" t="s">
        <v>1747</v>
      </c>
      <c r="AF454" s="661" t="s">
        <v>1745</v>
      </c>
      <c r="AG454" s="662" t="s">
        <v>1432</v>
      </c>
      <c r="AH454" s="662" t="s">
        <v>1734</v>
      </c>
      <c r="AI454" s="662">
        <v>5000</v>
      </c>
      <c r="AJ454" s="662">
        <v>1000</v>
      </c>
      <c r="AK454" s="662">
        <v>1000</v>
      </c>
      <c r="AL454" s="658">
        <v>5.0000000000000001E-3</v>
      </c>
      <c r="AM454" s="658">
        <v>0.2</v>
      </c>
      <c r="AN454" s="659" t="s">
        <v>2127</v>
      </c>
      <c r="AO454" s="253" t="s">
        <v>34</v>
      </c>
      <c r="AP454" s="944" t="s">
        <v>1735</v>
      </c>
      <c r="AQ454" s="663" t="s">
        <v>675</v>
      </c>
      <c r="AR454" s="658">
        <v>1.75E-3</v>
      </c>
      <c r="AS454" s="658">
        <v>1.75E-3</v>
      </c>
      <c r="AT454" s="658" t="s">
        <v>1417</v>
      </c>
      <c r="AU454" s="658" t="s">
        <v>2751</v>
      </c>
      <c r="AX454"/>
      <c r="AY454"/>
      <c r="BA454"/>
      <c r="BB454"/>
      <c r="BC454"/>
      <c r="BD454"/>
      <c r="BE454"/>
      <c r="BF454"/>
      <c r="BG454"/>
      <c r="BH454"/>
      <c r="BI454"/>
      <c r="BJ454"/>
      <c r="BR454"/>
      <c r="BS454"/>
      <c r="BT454"/>
      <c r="BU454"/>
      <c r="BX454"/>
      <c r="BY454"/>
      <c r="CA454"/>
    </row>
    <row r="455" spans="2:79" ht="18.75">
      <c r="B455" s="252" t="s">
        <v>845</v>
      </c>
      <c r="C455" s="251">
        <v>44347394000124</v>
      </c>
      <c r="D455" s="252" t="s">
        <v>11</v>
      </c>
      <c r="E455" s="252" t="s">
        <v>621</v>
      </c>
      <c r="F455" s="252" t="s">
        <v>663</v>
      </c>
      <c r="G455" s="253" t="s">
        <v>865</v>
      </c>
      <c r="H455" s="253" t="s">
        <v>34</v>
      </c>
      <c r="I455" s="253" t="s">
        <v>1417</v>
      </c>
      <c r="J455" s="253" t="s">
        <v>608</v>
      </c>
      <c r="K455" s="253" t="s">
        <v>48</v>
      </c>
      <c r="L455" s="655"/>
      <c r="M455" s="655" t="s">
        <v>1414</v>
      </c>
      <c r="N455" s="253" t="s">
        <v>3032</v>
      </c>
      <c r="O455" s="253" t="s">
        <v>1321</v>
      </c>
      <c r="P455" s="656">
        <v>44581</v>
      </c>
      <c r="Q455" s="657">
        <v>81.257044919999998</v>
      </c>
      <c r="R455" s="657">
        <v>64.944971135530949</v>
      </c>
      <c r="S455" s="253">
        <v>31</v>
      </c>
      <c r="T455" s="658">
        <v>1.7198905360322314E-2</v>
      </c>
      <c r="U455" s="659">
        <v>0.86001493035940124</v>
      </c>
      <c r="V455" s="658">
        <v>0.11308815007878326</v>
      </c>
      <c r="W455" s="659">
        <v>0.87703366963176854</v>
      </c>
      <c r="X455" s="658"/>
      <c r="Y455" s="659"/>
      <c r="Z455" s="658"/>
      <c r="AA455" s="659"/>
      <c r="AB455" s="658">
        <v>2.8911552781967397E-2</v>
      </c>
      <c r="AC455" s="660">
        <v>-0.5484229604538774</v>
      </c>
      <c r="AD455" s="682">
        <v>0</v>
      </c>
      <c r="AE455" s="944" t="s">
        <v>1747</v>
      </c>
      <c r="AF455" s="661" t="s">
        <v>1745</v>
      </c>
      <c r="AG455" s="662" t="s">
        <v>1432</v>
      </c>
      <c r="AH455" s="662" t="s">
        <v>1734</v>
      </c>
      <c r="AI455" s="662">
        <v>1000</v>
      </c>
      <c r="AJ455" s="662">
        <v>1000</v>
      </c>
      <c r="AK455" s="662">
        <v>1000</v>
      </c>
      <c r="AL455" s="658">
        <v>0</v>
      </c>
      <c r="AM455" s="658">
        <v>0</v>
      </c>
      <c r="AN455" s="659" t="s">
        <v>2127</v>
      </c>
      <c r="AO455" s="253" t="s">
        <v>34</v>
      </c>
      <c r="AP455" s="944" t="s">
        <v>1735</v>
      </c>
      <c r="AQ455" s="663" t="s">
        <v>675</v>
      </c>
      <c r="AR455" s="658">
        <v>0</v>
      </c>
      <c r="AS455" s="658">
        <v>0</v>
      </c>
      <c r="AT455" s="658" t="s">
        <v>1417</v>
      </c>
      <c r="AU455" s="658" t="s">
        <v>2751</v>
      </c>
      <c r="AX455"/>
      <c r="AY455"/>
      <c r="BA455"/>
      <c r="BB455"/>
      <c r="BC455"/>
      <c r="BD455"/>
      <c r="BE455"/>
      <c r="BF455"/>
      <c r="BG455"/>
      <c r="BH455"/>
      <c r="BI455"/>
      <c r="BJ455"/>
      <c r="BR455"/>
      <c r="BS455"/>
      <c r="BT455"/>
      <c r="BU455"/>
      <c r="BX455"/>
      <c r="BY455"/>
      <c r="CA455"/>
    </row>
    <row r="456" spans="2:79" ht="18.75">
      <c r="B456" s="252" t="s">
        <v>4435</v>
      </c>
      <c r="C456" s="251">
        <v>43103846000160</v>
      </c>
      <c r="D456" s="252" t="s">
        <v>11</v>
      </c>
      <c r="E456" s="252" t="s">
        <v>620</v>
      </c>
      <c r="F456" s="252" t="s">
        <v>663</v>
      </c>
      <c r="G456" s="253" t="s">
        <v>738</v>
      </c>
      <c r="H456" s="253" t="s">
        <v>34</v>
      </c>
      <c r="I456" s="253" t="s">
        <v>1417</v>
      </c>
      <c r="J456" s="253" t="s">
        <v>608</v>
      </c>
      <c r="K456" s="253" t="s">
        <v>48</v>
      </c>
      <c r="L456" s="655"/>
      <c r="M456" s="655" t="s">
        <v>34</v>
      </c>
      <c r="N456" s="253" t="s">
        <v>3089</v>
      </c>
      <c r="O456" s="253" t="s">
        <v>1321</v>
      </c>
      <c r="P456" s="656">
        <v>44580</v>
      </c>
      <c r="Q456" s="657">
        <v>21.16</v>
      </c>
      <c r="R456" s="657">
        <v>22.644666666666655</v>
      </c>
      <c r="S456" s="253">
        <v>7</v>
      </c>
      <c r="T456" s="658">
        <v>9.0090090090086949E-3</v>
      </c>
      <c r="U456" s="659">
        <v>0.4504869404865795</v>
      </c>
      <c r="V456" s="658">
        <v>9.8039215686273273E-2</v>
      </c>
      <c r="W456" s="659">
        <v>0.76032451712448967</v>
      </c>
      <c r="X456" s="658"/>
      <c r="Y456" s="659"/>
      <c r="Z456" s="658"/>
      <c r="AA456" s="659"/>
      <c r="AB456" s="658">
        <v>7.8017324486823136E-2</v>
      </c>
      <c r="AC456" s="660">
        <v>-0.39612603948927749</v>
      </c>
      <c r="AD456" s="682">
        <v>0</v>
      </c>
      <c r="AE456" s="944" t="s">
        <v>1747</v>
      </c>
      <c r="AF456" s="661" t="s">
        <v>1745</v>
      </c>
      <c r="AG456" s="662" t="s">
        <v>1432</v>
      </c>
      <c r="AH456" s="662" t="s">
        <v>1801</v>
      </c>
      <c r="AI456" s="662">
        <v>1000</v>
      </c>
      <c r="AJ456" s="662">
        <v>0</v>
      </c>
      <c r="AK456" s="662">
        <v>0</v>
      </c>
      <c r="AL456" s="658">
        <v>0</v>
      </c>
      <c r="AM456" s="658">
        <v>0</v>
      </c>
      <c r="AN456" s="659" t="s">
        <v>2127</v>
      </c>
      <c r="AO456" s="253" t="s">
        <v>4400</v>
      </c>
      <c r="AP456" s="944" t="s">
        <v>1735</v>
      </c>
      <c r="AQ456" s="663" t="s">
        <v>2190</v>
      </c>
      <c r="AR456" s="658">
        <v>0</v>
      </c>
      <c r="AS456" s="658">
        <v>0</v>
      </c>
      <c r="AT456" s="658" t="s">
        <v>1417</v>
      </c>
      <c r="AU456" s="658" t="s">
        <v>2751</v>
      </c>
      <c r="AX456"/>
      <c r="AY456"/>
      <c r="BA456"/>
      <c r="BB456"/>
      <c r="BC456"/>
      <c r="BD456"/>
      <c r="BE456"/>
      <c r="BF456"/>
      <c r="BG456"/>
      <c r="BH456"/>
      <c r="BI456"/>
      <c r="BJ456"/>
      <c r="BR456"/>
      <c r="BS456"/>
      <c r="BT456"/>
      <c r="BU456"/>
      <c r="BX456"/>
      <c r="BY456"/>
      <c r="CA456"/>
    </row>
    <row r="457" spans="2:79" ht="18.75">
      <c r="B457" s="252" t="s">
        <v>4436</v>
      </c>
      <c r="C457" s="251">
        <v>33165157000126</v>
      </c>
      <c r="D457" s="252" t="s">
        <v>11</v>
      </c>
      <c r="E457" s="252" t="s">
        <v>620</v>
      </c>
      <c r="F457" s="252" t="s">
        <v>663</v>
      </c>
      <c r="G457" s="253" t="s">
        <v>738</v>
      </c>
      <c r="H457" s="253" t="s">
        <v>34</v>
      </c>
      <c r="I457" s="253" t="s">
        <v>1417</v>
      </c>
      <c r="J457" s="253" t="s">
        <v>608</v>
      </c>
      <c r="K457" s="253" t="s">
        <v>48</v>
      </c>
      <c r="L457" s="655"/>
      <c r="M457" s="655" t="s">
        <v>34</v>
      </c>
      <c r="N457" s="253" t="s">
        <v>3034</v>
      </c>
      <c r="O457" s="253" t="s">
        <v>1321</v>
      </c>
      <c r="P457" s="656">
        <v>43713</v>
      </c>
      <c r="Q457" s="657">
        <v>2358.1893952300002</v>
      </c>
      <c r="R457" s="657">
        <v>1998.7738651248194</v>
      </c>
      <c r="S457" s="253">
        <v>7</v>
      </c>
      <c r="T457" s="658">
        <v>-2.0695416131281119E-3</v>
      </c>
      <c r="U457" s="659">
        <v>-0.10348546311536314</v>
      </c>
      <c r="V457" s="658">
        <v>0.1192711284932102</v>
      </c>
      <c r="W457" s="659">
        <v>0.92498458442064035</v>
      </c>
      <c r="X457" s="658">
        <v>0.21229367280013745</v>
      </c>
      <c r="Y457" s="659">
        <v>1.0994673554407395</v>
      </c>
      <c r="Z457" s="658">
        <v>0.22435028221847997</v>
      </c>
      <c r="AA457" s="659">
        <v>1.0130036726480522</v>
      </c>
      <c r="AB457" s="658">
        <v>9.4519816983321524E-3</v>
      </c>
      <c r="AC457" s="660">
        <v>-1.0233601018593763</v>
      </c>
      <c r="AD457" s="682">
        <v>21336440000194</v>
      </c>
      <c r="AE457" s="944" t="s">
        <v>1747</v>
      </c>
      <c r="AF457" s="661" t="s">
        <v>1745</v>
      </c>
      <c r="AG457" s="662" t="s">
        <v>1432</v>
      </c>
      <c r="AH457" s="662" t="s">
        <v>1801</v>
      </c>
      <c r="AI457" s="662">
        <v>0</v>
      </c>
      <c r="AJ457" s="662">
        <v>0</v>
      </c>
      <c r="AK457" s="662">
        <v>0</v>
      </c>
      <c r="AL457" s="658">
        <v>0.01</v>
      </c>
      <c r="AM457" s="658">
        <v>0</v>
      </c>
      <c r="AN457" s="659" t="s">
        <v>34</v>
      </c>
      <c r="AO457" s="253" t="s">
        <v>4400</v>
      </c>
      <c r="AP457" s="944" t="s">
        <v>1746</v>
      </c>
      <c r="AQ457" s="663" t="s">
        <v>2177</v>
      </c>
      <c r="AR457" s="658">
        <v>0</v>
      </c>
      <c r="AS457" s="658">
        <v>0</v>
      </c>
      <c r="AT457" s="658" t="s">
        <v>1417</v>
      </c>
      <c r="AU457" s="658" t="s">
        <v>2751</v>
      </c>
      <c r="AX457"/>
      <c r="AY457"/>
      <c r="BA457"/>
      <c r="BB457"/>
      <c r="BC457"/>
      <c r="BD457"/>
      <c r="BE457"/>
      <c r="BF457"/>
      <c r="BG457"/>
      <c r="BH457"/>
      <c r="BI457"/>
      <c r="BJ457"/>
      <c r="BR457"/>
      <c r="BS457"/>
      <c r="BT457"/>
      <c r="BU457"/>
      <c r="BX457"/>
      <c r="BY457"/>
      <c r="CA457"/>
    </row>
    <row r="458" spans="2:79" ht="18.75">
      <c r="B458" s="252" t="s">
        <v>1515</v>
      </c>
      <c r="C458" s="251">
        <v>21336440000194</v>
      </c>
      <c r="D458" s="252" t="s">
        <v>11</v>
      </c>
      <c r="E458" s="252" t="s">
        <v>620</v>
      </c>
      <c r="F458" s="252" t="s">
        <v>663</v>
      </c>
      <c r="G458" s="253" t="s">
        <v>738</v>
      </c>
      <c r="H458" s="253" t="s">
        <v>34</v>
      </c>
      <c r="I458" s="253" t="s">
        <v>1417</v>
      </c>
      <c r="J458" s="253" t="s">
        <v>608</v>
      </c>
      <c r="K458" s="253" t="s">
        <v>48</v>
      </c>
      <c r="L458" s="655"/>
      <c r="M458" s="655" t="s">
        <v>34</v>
      </c>
      <c r="N458" s="253" t="s">
        <v>3033</v>
      </c>
      <c r="O458" s="253" t="s">
        <v>1321</v>
      </c>
      <c r="P458" s="656">
        <v>42013</v>
      </c>
      <c r="Q458" s="657">
        <v>2385.8730110000001</v>
      </c>
      <c r="R458" s="657">
        <v>2089.2488472217751</v>
      </c>
      <c r="S458" s="253">
        <v>7</v>
      </c>
      <c r="T458" s="658">
        <v>-1.2770856932413643E-3</v>
      </c>
      <c r="U458" s="659">
        <v>-6.3859457362313021E-2</v>
      </c>
      <c r="V458" s="658">
        <v>0.12478219993403661</v>
      </c>
      <c r="W458" s="659">
        <v>0.96772465228790683</v>
      </c>
      <c r="X458" s="658">
        <v>0.2262079925002427</v>
      </c>
      <c r="Y458" s="659">
        <v>1.1715295138727255</v>
      </c>
      <c r="Z458" s="658">
        <v>0.25152844491560011</v>
      </c>
      <c r="AA458" s="659">
        <v>1.1357206059889151</v>
      </c>
      <c r="AB458" s="658">
        <v>9.4941139903014001E-3</v>
      </c>
      <c r="AC458" s="660">
        <v>-0.43834627612466931</v>
      </c>
      <c r="AD458" s="682">
        <v>0</v>
      </c>
      <c r="AE458" s="944" t="s">
        <v>1747</v>
      </c>
      <c r="AF458" s="661" t="s">
        <v>1745</v>
      </c>
      <c r="AG458" s="662" t="s">
        <v>1432</v>
      </c>
      <c r="AH458" s="662" t="s">
        <v>1730</v>
      </c>
      <c r="AI458" s="662">
        <v>0</v>
      </c>
      <c r="AJ458" s="662">
        <v>0</v>
      </c>
      <c r="AK458" s="662">
        <v>0</v>
      </c>
      <c r="AL458" s="658">
        <v>0</v>
      </c>
      <c r="AM458" s="658">
        <v>0</v>
      </c>
      <c r="AN458" s="659" t="s">
        <v>34</v>
      </c>
      <c r="AO458" s="253" t="s">
        <v>34</v>
      </c>
      <c r="AP458" s="944" t="s">
        <v>1746</v>
      </c>
      <c r="AQ458" s="663" t="s">
        <v>2177</v>
      </c>
      <c r="AR458" s="658">
        <v>0</v>
      </c>
      <c r="AS458" s="658">
        <v>0</v>
      </c>
      <c r="AT458" s="658" t="s">
        <v>1417</v>
      </c>
      <c r="AU458" s="658" t="s">
        <v>2751</v>
      </c>
      <c r="AX458"/>
      <c r="AY458"/>
      <c r="BA458"/>
      <c r="BB458"/>
      <c r="BC458"/>
      <c r="BD458"/>
      <c r="BE458"/>
      <c r="BF458"/>
      <c r="BG458"/>
      <c r="BH458"/>
      <c r="BI458"/>
      <c r="BJ458"/>
      <c r="BR458"/>
      <c r="BS458"/>
      <c r="BT458"/>
      <c r="BU458"/>
      <c r="BX458"/>
      <c r="BY458"/>
      <c r="CA458"/>
    </row>
    <row r="459" spans="2:79" ht="18.75">
      <c r="B459" s="252" t="s">
        <v>846</v>
      </c>
      <c r="C459" s="251">
        <v>37287717000176</v>
      </c>
      <c r="D459" s="252" t="s">
        <v>11</v>
      </c>
      <c r="E459" s="252" t="s">
        <v>620</v>
      </c>
      <c r="F459" s="252" t="s">
        <v>685</v>
      </c>
      <c r="G459" s="253" t="s">
        <v>738</v>
      </c>
      <c r="H459" s="253" t="s">
        <v>34</v>
      </c>
      <c r="I459" s="253" t="s">
        <v>1319</v>
      </c>
      <c r="J459" s="253" t="s">
        <v>608</v>
      </c>
      <c r="K459" s="253" t="s">
        <v>48</v>
      </c>
      <c r="L459" s="655"/>
      <c r="M459" s="655" t="s">
        <v>34</v>
      </c>
      <c r="N459" s="253" t="s">
        <v>3035</v>
      </c>
      <c r="O459" s="253" t="s">
        <v>1321</v>
      </c>
      <c r="P459" s="656">
        <v>44017</v>
      </c>
      <c r="Q459" s="657">
        <v>36.259986339999998</v>
      </c>
      <c r="R459" s="657">
        <v>46.435542822329332</v>
      </c>
      <c r="S459" s="253">
        <v>91</v>
      </c>
      <c r="T459" s="658">
        <v>2.3195061995389565E-2</v>
      </c>
      <c r="U459" s="659">
        <v>1.1598470489096939</v>
      </c>
      <c r="V459" s="658">
        <v>0.1511728985927614</v>
      </c>
      <c r="W459" s="659">
        <v>1.1723927034734924</v>
      </c>
      <c r="X459" s="658">
        <v>0.24763861619505612</v>
      </c>
      <c r="Y459" s="659">
        <v>1.2825185548949924</v>
      </c>
      <c r="Z459" s="658"/>
      <c r="AA459" s="659"/>
      <c r="AB459" s="658">
        <v>9.225305982929104E-4</v>
      </c>
      <c r="AC459" s="660">
        <v>24.0956659726046</v>
      </c>
      <c r="AD459" s="682">
        <v>0</v>
      </c>
      <c r="AE459" s="944" t="s">
        <v>1747</v>
      </c>
      <c r="AF459" s="661" t="s">
        <v>1745</v>
      </c>
      <c r="AG459" s="662" t="s">
        <v>1432</v>
      </c>
      <c r="AH459" s="662" t="s">
        <v>1730</v>
      </c>
      <c r="AI459" s="662">
        <v>5000</v>
      </c>
      <c r="AJ459" s="662">
        <v>1000</v>
      </c>
      <c r="AK459" s="662">
        <v>1000</v>
      </c>
      <c r="AL459" s="658">
        <v>0.01</v>
      </c>
      <c r="AM459" s="658">
        <v>0.2</v>
      </c>
      <c r="AN459" s="659" t="s">
        <v>64</v>
      </c>
      <c r="AO459" s="253" t="s">
        <v>34</v>
      </c>
      <c r="AP459" s="944" t="s">
        <v>1746</v>
      </c>
      <c r="AQ459" s="663" t="s">
        <v>671</v>
      </c>
      <c r="AR459" s="658">
        <v>3.5000000000000001E-3</v>
      </c>
      <c r="AS459" s="658">
        <v>3.5000000000000001E-3</v>
      </c>
      <c r="AT459" s="658" t="s">
        <v>1417</v>
      </c>
      <c r="AU459" s="658" t="s">
        <v>2751</v>
      </c>
      <c r="AX459"/>
      <c r="AY459"/>
      <c r="BA459"/>
      <c r="BB459"/>
      <c r="BC459"/>
      <c r="BD459"/>
      <c r="BE459"/>
      <c r="BF459"/>
      <c r="BG459"/>
      <c r="BH459"/>
      <c r="BI459"/>
      <c r="BJ459"/>
      <c r="BR459"/>
      <c r="BS459"/>
      <c r="BT459"/>
      <c r="BU459"/>
      <c r="BX459"/>
      <c r="BY459"/>
      <c r="CA459"/>
    </row>
    <row r="460" spans="2:79" ht="18.75">
      <c r="B460" s="252" t="s">
        <v>847</v>
      </c>
      <c r="C460" s="251">
        <v>30934757000113</v>
      </c>
      <c r="D460" s="252" t="s">
        <v>11</v>
      </c>
      <c r="E460" s="252" t="s">
        <v>620</v>
      </c>
      <c r="F460" s="252" t="s">
        <v>692</v>
      </c>
      <c r="G460" s="253" t="s">
        <v>738</v>
      </c>
      <c r="H460" s="253" t="s">
        <v>34</v>
      </c>
      <c r="I460" s="253" t="s">
        <v>1417</v>
      </c>
      <c r="J460" s="253" t="s">
        <v>608</v>
      </c>
      <c r="K460" s="253" t="s">
        <v>48</v>
      </c>
      <c r="L460" s="655"/>
      <c r="M460" s="655" t="s">
        <v>34</v>
      </c>
      <c r="N460" s="253" t="s">
        <v>3036</v>
      </c>
      <c r="O460" s="253" t="s">
        <v>1321</v>
      </c>
      <c r="P460" s="656">
        <v>43439</v>
      </c>
      <c r="Q460" s="657">
        <v>331.41322726999999</v>
      </c>
      <c r="R460" s="657">
        <v>377.98701654100375</v>
      </c>
      <c r="S460" s="253">
        <v>31</v>
      </c>
      <c r="T460" s="658">
        <v>-2.20560595529673E-3</v>
      </c>
      <c r="U460" s="659">
        <v>-0.1102892313379908</v>
      </c>
      <c r="V460" s="658">
        <v>9.4277698690188982E-2</v>
      </c>
      <c r="W460" s="659">
        <v>0.73115278646871518</v>
      </c>
      <c r="X460" s="658">
        <v>0.20767617770454661</v>
      </c>
      <c r="Y460" s="659">
        <v>1.0755533826192822</v>
      </c>
      <c r="Z460" s="658">
        <v>0.25783133203979802</v>
      </c>
      <c r="AA460" s="659">
        <v>1.1641798873500182</v>
      </c>
      <c r="AB460" s="658">
        <v>8.4086809306368939E-3</v>
      </c>
      <c r="AC460" s="660">
        <v>-4.1226693036114126</v>
      </c>
      <c r="AD460" s="682">
        <v>31094141000144</v>
      </c>
      <c r="AE460" s="944" t="s">
        <v>1747</v>
      </c>
      <c r="AF460" s="661" t="s">
        <v>1745</v>
      </c>
      <c r="AG460" s="662" t="s">
        <v>1432</v>
      </c>
      <c r="AH460" s="662" t="s">
        <v>1734</v>
      </c>
      <c r="AI460" s="662">
        <v>500</v>
      </c>
      <c r="AJ460" s="662">
        <v>100</v>
      </c>
      <c r="AK460" s="662">
        <v>100</v>
      </c>
      <c r="AL460" s="658">
        <v>8.0000000000000002E-3</v>
      </c>
      <c r="AM460" s="658">
        <v>0.2</v>
      </c>
      <c r="AN460" s="659" t="s">
        <v>34</v>
      </c>
      <c r="AO460" s="253" t="s">
        <v>34</v>
      </c>
      <c r="AP460" s="944" t="s">
        <v>1735</v>
      </c>
      <c r="AQ460" s="663" t="s">
        <v>675</v>
      </c>
      <c r="AR460" s="658">
        <v>2.8E-3</v>
      </c>
      <c r="AS460" s="658">
        <v>2.8E-3</v>
      </c>
      <c r="AT460" s="658" t="s">
        <v>1417</v>
      </c>
      <c r="AU460" s="658" t="s">
        <v>2751</v>
      </c>
      <c r="AX460"/>
      <c r="AY460"/>
      <c r="BA460"/>
      <c r="BB460"/>
      <c r="BC460"/>
      <c r="BD460"/>
      <c r="BE460"/>
      <c r="BF460"/>
      <c r="BG460"/>
      <c r="BH460"/>
      <c r="BI460"/>
      <c r="BJ460"/>
      <c r="BR460"/>
      <c r="BS460"/>
      <c r="BT460"/>
      <c r="BU460"/>
      <c r="BX460"/>
      <c r="BY460"/>
      <c r="CA460"/>
    </row>
    <row r="461" spans="2:79" ht="18.75">
      <c r="B461" s="252" t="s">
        <v>1517</v>
      </c>
      <c r="C461" s="251">
        <v>31094141000144</v>
      </c>
      <c r="D461" s="252" t="s">
        <v>11</v>
      </c>
      <c r="E461" s="252" t="s">
        <v>621</v>
      </c>
      <c r="F461" s="252" t="s">
        <v>692</v>
      </c>
      <c r="G461" s="253" t="s">
        <v>738</v>
      </c>
      <c r="H461" s="253" t="s">
        <v>34</v>
      </c>
      <c r="I461" s="253" t="s">
        <v>1417</v>
      </c>
      <c r="J461" s="253" t="s">
        <v>608</v>
      </c>
      <c r="K461" s="253" t="s">
        <v>48</v>
      </c>
      <c r="L461" s="655"/>
      <c r="M461" s="655" t="s">
        <v>34</v>
      </c>
      <c r="N461" s="253" t="s">
        <v>3038</v>
      </c>
      <c r="O461" s="253" t="s">
        <v>1321</v>
      </c>
      <c r="P461" s="656">
        <v>43439</v>
      </c>
      <c r="Q461" s="657">
        <v>331.36990285000002</v>
      </c>
      <c r="R461" s="657">
        <v>378.18100285955774</v>
      </c>
      <c r="S461" s="253">
        <v>1</v>
      </c>
      <c r="T461" s="658">
        <v>-9.3545253156379626E-4</v>
      </c>
      <c r="U461" s="659">
        <v>-4.6776415529522233E-2</v>
      </c>
      <c r="V461" s="658">
        <v>0.10476996810798278</v>
      </c>
      <c r="W461" s="659">
        <v>0.81252358919068213</v>
      </c>
      <c r="X461" s="658">
        <v>0.23504419643507091</v>
      </c>
      <c r="Y461" s="659">
        <v>1.2172921484544299</v>
      </c>
      <c r="Z461" s="658">
        <v>0.29956894418638846</v>
      </c>
      <c r="AA461" s="659">
        <v>1.3526367681436069</v>
      </c>
      <c r="AB461" s="658">
        <v>8.8094518340984789E-3</v>
      </c>
      <c r="AC461" s="660">
        <v>-2.7440914365677358</v>
      </c>
      <c r="AD461" s="682">
        <v>0</v>
      </c>
      <c r="AE461" s="944" t="s">
        <v>1747</v>
      </c>
      <c r="AF461" s="661" t="s">
        <v>1745</v>
      </c>
      <c r="AG461" s="662" t="s">
        <v>1432</v>
      </c>
      <c r="AH461" s="662" t="s">
        <v>1734</v>
      </c>
      <c r="AI461" s="662">
        <v>1000</v>
      </c>
      <c r="AJ461" s="662">
        <v>1000</v>
      </c>
      <c r="AK461" s="662">
        <v>1000</v>
      </c>
      <c r="AL461" s="658">
        <v>0</v>
      </c>
      <c r="AM461" s="658">
        <v>0</v>
      </c>
      <c r="AN461" s="659" t="s">
        <v>34</v>
      </c>
      <c r="AO461" s="253" t="s">
        <v>34</v>
      </c>
      <c r="AP461" s="944" t="s">
        <v>1735</v>
      </c>
      <c r="AQ461" s="663" t="s">
        <v>675</v>
      </c>
      <c r="AR461" s="658">
        <v>0</v>
      </c>
      <c r="AS461" s="658">
        <v>0</v>
      </c>
      <c r="AT461" s="658" t="s">
        <v>1417</v>
      </c>
      <c r="AU461" s="658" t="s">
        <v>2751</v>
      </c>
      <c r="AX461"/>
      <c r="AY461"/>
      <c r="BA461"/>
      <c r="BB461"/>
      <c r="BC461"/>
      <c r="BD461"/>
      <c r="BE461"/>
      <c r="BF461"/>
      <c r="BG461"/>
      <c r="BH461"/>
      <c r="BI461"/>
      <c r="BJ461"/>
      <c r="BR461"/>
      <c r="BS461"/>
      <c r="BT461"/>
      <c r="BU461"/>
      <c r="BX461"/>
      <c r="BY461"/>
      <c r="CA461"/>
    </row>
    <row r="462" spans="2:79" ht="18.75">
      <c r="B462" s="252" t="s">
        <v>149</v>
      </c>
      <c r="C462" s="251">
        <v>1214092000175</v>
      </c>
      <c r="D462" s="252" t="s">
        <v>13</v>
      </c>
      <c r="E462" s="252" t="s">
        <v>615</v>
      </c>
      <c r="F462" s="252" t="s">
        <v>619</v>
      </c>
      <c r="G462" s="253" t="s">
        <v>34</v>
      </c>
      <c r="H462" s="253" t="s">
        <v>1337</v>
      </c>
      <c r="I462" s="253" t="s">
        <v>34</v>
      </c>
      <c r="J462" s="253" t="s">
        <v>1417</v>
      </c>
      <c r="K462" s="253" t="s">
        <v>48</v>
      </c>
      <c r="L462" s="655"/>
      <c r="M462" s="655" t="s">
        <v>34</v>
      </c>
      <c r="N462" s="253" t="s">
        <v>3040</v>
      </c>
      <c r="O462" s="253" t="s">
        <v>1321</v>
      </c>
      <c r="P462" s="656">
        <v>35195</v>
      </c>
      <c r="Q462" s="657">
        <v>228.872491</v>
      </c>
      <c r="R462" s="657">
        <v>243.81060356048377</v>
      </c>
      <c r="S462" s="253">
        <v>31</v>
      </c>
      <c r="T462" s="658">
        <v>6.9968138167004756E-3</v>
      </c>
      <c r="U462" s="659">
        <v>0.3498690306878105</v>
      </c>
      <c r="V462" s="658">
        <v>0.14332917745942209</v>
      </c>
      <c r="W462" s="659">
        <v>1.111562213945205</v>
      </c>
      <c r="X462" s="658">
        <v>0.15710207987754221</v>
      </c>
      <c r="Y462" s="659">
        <v>0.81363050541697213</v>
      </c>
      <c r="Z462" s="658">
        <v>0.15121921321208953</v>
      </c>
      <c r="AA462" s="659">
        <v>0.68279663766867105</v>
      </c>
      <c r="AB462" s="658">
        <v>1.862695201299007E-2</v>
      </c>
      <c r="AC462" s="660">
        <v>0.77228244334348051</v>
      </c>
      <c r="AD462" s="682">
        <v>0</v>
      </c>
      <c r="AE462" s="944" t="s">
        <v>1747</v>
      </c>
      <c r="AF462" s="661" t="s">
        <v>1745</v>
      </c>
      <c r="AG462" s="662" t="s">
        <v>1432</v>
      </c>
      <c r="AH462" s="662" t="s">
        <v>1734</v>
      </c>
      <c r="AI462" s="662">
        <v>5000</v>
      </c>
      <c r="AJ462" s="662">
        <v>1000</v>
      </c>
      <c r="AK462" s="662">
        <v>1000</v>
      </c>
      <c r="AL462" s="658">
        <v>0.02</v>
      </c>
      <c r="AM462" s="658">
        <v>0.2</v>
      </c>
      <c r="AN462" s="659" t="s">
        <v>2122</v>
      </c>
      <c r="AO462" s="253" t="s">
        <v>34</v>
      </c>
      <c r="AP462" s="944" t="s">
        <v>1746</v>
      </c>
      <c r="AQ462" s="663" t="s">
        <v>668</v>
      </c>
      <c r="AR462" s="658">
        <v>7.0000000000000001E-3</v>
      </c>
      <c r="AS462" s="658">
        <v>7.0000000000000001E-3</v>
      </c>
      <c r="AT462" s="658" t="s">
        <v>1417</v>
      </c>
      <c r="AU462" s="658" t="s">
        <v>2751</v>
      </c>
      <c r="AX462"/>
      <c r="AY462"/>
      <c r="BA462"/>
      <c r="BB462"/>
      <c r="BC462"/>
      <c r="BD462"/>
      <c r="BE462"/>
      <c r="BF462"/>
      <c r="BG462"/>
      <c r="BH462"/>
      <c r="BI462"/>
      <c r="BJ462"/>
      <c r="BR462"/>
      <c r="BS462"/>
      <c r="BT462"/>
      <c r="BU462"/>
      <c r="BX462"/>
      <c r="BY462"/>
      <c r="CA462"/>
    </row>
    <row r="463" spans="2:79" ht="18.75">
      <c r="B463" s="252" t="s">
        <v>4437</v>
      </c>
      <c r="C463" s="251">
        <v>29178343000122</v>
      </c>
      <c r="D463" s="252" t="s">
        <v>13</v>
      </c>
      <c r="E463" s="252" t="s">
        <v>615</v>
      </c>
      <c r="F463" s="252" t="s">
        <v>619</v>
      </c>
      <c r="G463" s="253" t="s">
        <v>34</v>
      </c>
      <c r="H463" s="253" t="s">
        <v>1337</v>
      </c>
      <c r="I463" s="253" t="s">
        <v>34</v>
      </c>
      <c r="J463" s="253" t="s">
        <v>608</v>
      </c>
      <c r="K463" s="253" t="s">
        <v>48</v>
      </c>
      <c r="L463" s="655"/>
      <c r="M463" s="655" t="s">
        <v>34</v>
      </c>
      <c r="N463" s="253" t="s">
        <v>4438</v>
      </c>
      <c r="O463" s="253" t="s">
        <v>1321</v>
      </c>
      <c r="P463" s="656">
        <v>43333</v>
      </c>
      <c r="Q463" s="657">
        <v>31.378633099999998</v>
      </c>
      <c r="R463" s="657">
        <v>29.796163607499999</v>
      </c>
      <c r="S463" s="253">
        <v>7</v>
      </c>
      <c r="T463" s="658">
        <v>1.3984953407160106E-3</v>
      </c>
      <c r="U463" s="659">
        <v>6.993043149295447E-2</v>
      </c>
      <c r="V463" s="658">
        <v>1.3984953407160106E-3</v>
      </c>
      <c r="W463" s="659">
        <v>1.0845765005233781E-2</v>
      </c>
      <c r="X463" s="658">
        <v>1.3984953407160106E-3</v>
      </c>
      <c r="Y463" s="659">
        <v>7.2427969876464101E-3</v>
      </c>
      <c r="Z463" s="658">
        <v>1.3984953407160106E-3</v>
      </c>
      <c r="AA463" s="659">
        <v>6.3145938677576325E-3</v>
      </c>
      <c r="AB463" s="658">
        <v>1.8274391998040103E-3</v>
      </c>
      <c r="AC463" s="660">
        <v>-69.794614299480585</v>
      </c>
      <c r="AD463" s="682">
        <v>29587745000180</v>
      </c>
      <c r="AE463" s="944" t="s">
        <v>1747</v>
      </c>
      <c r="AF463" s="661" t="s">
        <v>1745</v>
      </c>
      <c r="AG463" s="662" t="s">
        <v>1432</v>
      </c>
      <c r="AH463" s="662" t="s">
        <v>2119</v>
      </c>
      <c r="AI463" s="662">
        <v>0</v>
      </c>
      <c r="AJ463" s="662">
        <v>0</v>
      </c>
      <c r="AK463" s="662">
        <v>0</v>
      </c>
      <c r="AL463" s="658">
        <v>0</v>
      </c>
      <c r="AM463" s="658">
        <v>0</v>
      </c>
      <c r="AN463" s="659" t="s">
        <v>34</v>
      </c>
      <c r="AO463" s="253" t="s">
        <v>4400</v>
      </c>
      <c r="AP463" s="944" t="s">
        <v>1746</v>
      </c>
      <c r="AQ463" s="663" t="s">
        <v>2177</v>
      </c>
      <c r="AR463" s="658">
        <v>0</v>
      </c>
      <c r="AS463" s="658">
        <v>0</v>
      </c>
      <c r="AT463" s="658" t="s">
        <v>1417</v>
      </c>
      <c r="AU463" s="658" t="s">
        <v>2751</v>
      </c>
      <c r="AX463"/>
      <c r="AY463"/>
      <c r="BA463"/>
      <c r="BB463"/>
      <c r="BC463"/>
      <c r="BD463"/>
      <c r="BE463"/>
      <c r="BF463"/>
      <c r="BG463"/>
      <c r="BH463"/>
      <c r="BI463"/>
      <c r="BJ463"/>
      <c r="BR463"/>
      <c r="BS463"/>
      <c r="BT463"/>
      <c r="BU463"/>
      <c r="BX463"/>
      <c r="BY463"/>
      <c r="CA463"/>
    </row>
    <row r="464" spans="2:79" ht="18.75">
      <c r="B464" s="252" t="s">
        <v>850</v>
      </c>
      <c r="C464" s="251">
        <v>39800632000175</v>
      </c>
      <c r="D464" s="252" t="s">
        <v>14</v>
      </c>
      <c r="E464" s="252" t="s">
        <v>607</v>
      </c>
      <c r="F464" s="252" t="s">
        <v>1417</v>
      </c>
      <c r="G464" s="253" t="s">
        <v>1417</v>
      </c>
      <c r="H464" s="253" t="s">
        <v>34</v>
      </c>
      <c r="I464" s="253" t="s">
        <v>34</v>
      </c>
      <c r="J464" s="253" t="s">
        <v>611</v>
      </c>
      <c r="K464" s="253" t="s">
        <v>1417</v>
      </c>
      <c r="L464" s="655"/>
      <c r="M464" s="655" t="s">
        <v>34</v>
      </c>
      <c r="N464" s="253" t="s">
        <v>3041</v>
      </c>
      <c r="O464" s="253" t="s">
        <v>1321</v>
      </c>
      <c r="P464" s="656">
        <v>44167</v>
      </c>
      <c r="Q464" s="657">
        <v>22.23786106</v>
      </c>
      <c r="R464" s="657">
        <v>33.346631065622475</v>
      </c>
      <c r="S464" s="253">
        <v>4</v>
      </c>
      <c r="T464" s="658">
        <v>6.1796789677906361E-2</v>
      </c>
      <c r="U464" s="659">
        <v>3.0900897852421942</v>
      </c>
      <c r="V464" s="658">
        <v>-9.5728385908692148E-3</v>
      </c>
      <c r="W464" s="659">
        <v>-7.4240331566956752E-2</v>
      </c>
      <c r="X464" s="658">
        <v>6.0374802668242467E-2</v>
      </c>
      <c r="Y464" s="659">
        <v>0.3126806548182065</v>
      </c>
      <c r="Z464" s="658"/>
      <c r="AA464" s="659"/>
      <c r="AB464" s="658">
        <v>0.22797208620049664</v>
      </c>
      <c r="AC464" s="660">
        <v>-0.60760398497136625</v>
      </c>
      <c r="AD464" s="682">
        <v>0</v>
      </c>
      <c r="AE464" s="944" t="s">
        <v>1797</v>
      </c>
      <c r="AF464" s="661" t="s">
        <v>1745</v>
      </c>
      <c r="AG464" s="662" t="s">
        <v>1432</v>
      </c>
      <c r="AH464" s="662" t="s">
        <v>1734</v>
      </c>
      <c r="AI464" s="662">
        <v>1</v>
      </c>
      <c r="AJ464" s="662">
        <v>1</v>
      </c>
      <c r="AK464" s="662">
        <v>1</v>
      </c>
      <c r="AL464" s="658">
        <v>0</v>
      </c>
      <c r="AM464" s="658">
        <v>0</v>
      </c>
      <c r="AN464" s="659" t="s">
        <v>34</v>
      </c>
      <c r="AO464" s="253" t="s">
        <v>34</v>
      </c>
      <c r="AP464" s="944" t="s">
        <v>1731</v>
      </c>
      <c r="AQ464" s="663" t="s">
        <v>659</v>
      </c>
      <c r="AR464" s="658">
        <v>6.6666666666666697E-3</v>
      </c>
      <c r="AS464" s="658">
        <v>6.6666666666666697E-3</v>
      </c>
      <c r="AT464" s="658" t="s">
        <v>1417</v>
      </c>
      <c r="AU464" s="658" t="s">
        <v>2751</v>
      </c>
      <c r="AX464"/>
      <c r="AY464"/>
      <c r="BA464"/>
      <c r="BB464"/>
      <c r="BC464"/>
      <c r="BD464"/>
      <c r="BE464"/>
      <c r="BF464"/>
      <c r="BG464"/>
      <c r="BH464"/>
      <c r="BI464"/>
      <c r="BJ464"/>
      <c r="BR464"/>
      <c r="BS464"/>
      <c r="BT464"/>
      <c r="BU464"/>
      <c r="BX464"/>
      <c r="BY464"/>
      <c r="CA464"/>
    </row>
    <row r="465" spans="2:79" ht="18.75">
      <c r="B465" s="252" t="s">
        <v>851</v>
      </c>
      <c r="C465" s="251">
        <v>9290813000138</v>
      </c>
      <c r="D465" s="252" t="s">
        <v>14</v>
      </c>
      <c r="E465" s="252" t="s">
        <v>607</v>
      </c>
      <c r="F465" s="252" t="s">
        <v>1417</v>
      </c>
      <c r="G465" s="253" t="s">
        <v>1417</v>
      </c>
      <c r="H465" s="253" t="s">
        <v>34</v>
      </c>
      <c r="I465" s="253" t="s">
        <v>34</v>
      </c>
      <c r="J465" s="253" t="s">
        <v>608</v>
      </c>
      <c r="K465" s="253" t="s">
        <v>48</v>
      </c>
      <c r="L465" s="655"/>
      <c r="M465" s="655" t="s">
        <v>34</v>
      </c>
      <c r="N465" s="253" t="s">
        <v>3042</v>
      </c>
      <c r="O465" s="253" t="s">
        <v>1321</v>
      </c>
      <c r="P465" s="656">
        <v>39519</v>
      </c>
      <c r="Q465" s="657">
        <v>34.477333000000002</v>
      </c>
      <c r="R465" s="657">
        <v>49.037431885140499</v>
      </c>
      <c r="S465" s="253">
        <v>3</v>
      </c>
      <c r="T465" s="658">
        <v>-3.940980837192154E-2</v>
      </c>
      <c r="U465" s="659">
        <v>-1.9706500438479233</v>
      </c>
      <c r="V465" s="658">
        <v>-1.0126189310899925E-2</v>
      </c>
      <c r="W465" s="659">
        <v>-7.8531737980836763E-2</v>
      </c>
      <c r="X465" s="658">
        <v>-9.484395493942499E-2</v>
      </c>
      <c r="Y465" s="659">
        <v>-0.49119613854418531</v>
      </c>
      <c r="Z465" s="658">
        <v>-0.12840731114577419</v>
      </c>
      <c r="AA465" s="659">
        <v>-0.57979458059632361</v>
      </c>
      <c r="AB465" s="658">
        <v>0.1886947021901465</v>
      </c>
      <c r="AC465" s="660">
        <v>-0.73701114627769559</v>
      </c>
      <c r="AD465" s="682">
        <v>18969955000117</v>
      </c>
      <c r="AE465" s="944" t="s">
        <v>1747</v>
      </c>
      <c r="AF465" s="661" t="s">
        <v>1745</v>
      </c>
      <c r="AG465" s="662" t="s">
        <v>1432</v>
      </c>
      <c r="AH465" s="662" t="s">
        <v>1734</v>
      </c>
      <c r="AI465" s="662">
        <v>5000</v>
      </c>
      <c r="AJ465" s="662">
        <v>1000</v>
      </c>
      <c r="AK465" s="662">
        <v>1000</v>
      </c>
      <c r="AL465" s="658">
        <v>2.5000000000000001E-2</v>
      </c>
      <c r="AM465" s="658">
        <v>0</v>
      </c>
      <c r="AN465" s="659" t="s">
        <v>2127</v>
      </c>
      <c r="AO465" s="253" t="s">
        <v>34</v>
      </c>
      <c r="AP465" s="944" t="s">
        <v>1731</v>
      </c>
      <c r="AQ465" s="663" t="s">
        <v>667</v>
      </c>
      <c r="AR465" s="658">
        <v>8.7500000000000008E-3</v>
      </c>
      <c r="AS465" s="658">
        <v>8.7500000000000008E-3</v>
      </c>
      <c r="AT465" s="658" t="s">
        <v>1417</v>
      </c>
      <c r="AU465" s="658" t="s">
        <v>2751</v>
      </c>
      <c r="AX465"/>
      <c r="AY465"/>
      <c r="BA465"/>
      <c r="BB465"/>
      <c r="BC465"/>
      <c r="BD465"/>
      <c r="BE465"/>
      <c r="BF465"/>
      <c r="BG465"/>
      <c r="BH465"/>
      <c r="BI465"/>
      <c r="BJ465"/>
      <c r="BR465"/>
      <c r="BS465"/>
      <c r="BT465"/>
      <c r="BU465"/>
      <c r="BX465"/>
      <c r="BY465"/>
      <c r="CA465"/>
    </row>
    <row r="466" spans="2:79" ht="18.75">
      <c r="B466" s="252" t="s">
        <v>1518</v>
      </c>
      <c r="C466" s="251">
        <v>37681227000150</v>
      </c>
      <c r="D466" s="252" t="s">
        <v>14</v>
      </c>
      <c r="E466" s="252" t="s">
        <v>15</v>
      </c>
      <c r="F466" s="252" t="s">
        <v>1326</v>
      </c>
      <c r="G466" s="253" t="s">
        <v>866</v>
      </c>
      <c r="H466" s="253" t="s">
        <v>34</v>
      </c>
      <c r="I466" s="253" t="s">
        <v>34</v>
      </c>
      <c r="J466" s="253" t="s">
        <v>608</v>
      </c>
      <c r="K466" s="253" t="s">
        <v>48</v>
      </c>
      <c r="L466" s="655"/>
      <c r="M466" s="655" t="s">
        <v>34</v>
      </c>
      <c r="N466" s="253" t="s">
        <v>3043</v>
      </c>
      <c r="O466" s="253" t="s">
        <v>1321</v>
      </c>
      <c r="P466" s="656">
        <v>44084</v>
      </c>
      <c r="Q466" s="657">
        <v>140.83260329000001</v>
      </c>
      <c r="R466" s="657">
        <v>141.89619147546185</v>
      </c>
      <c r="S466" s="253">
        <v>32</v>
      </c>
      <c r="T466" s="658">
        <v>-2.2668435904853457E-3</v>
      </c>
      <c r="U466" s="659">
        <v>-0.11335136113397247</v>
      </c>
      <c r="V466" s="658">
        <v>-6.1612569523546989E-3</v>
      </c>
      <c r="W466" s="659">
        <v>-4.7782458115226314E-2</v>
      </c>
      <c r="X466" s="658">
        <v>0.75724306908040595</v>
      </c>
      <c r="Y466" s="659">
        <v>3.9217562332697278</v>
      </c>
      <c r="Z466" s="658"/>
      <c r="AA466" s="659"/>
      <c r="AB466" s="658">
        <v>0.18913662762379044</v>
      </c>
      <c r="AC466" s="660">
        <v>-0.71432576596363573</v>
      </c>
      <c r="AD466" s="682">
        <v>35640811000131</v>
      </c>
      <c r="AE466" s="944" t="s">
        <v>1797</v>
      </c>
      <c r="AF466" s="661" t="s">
        <v>1745</v>
      </c>
      <c r="AG466" s="662" t="s">
        <v>1432</v>
      </c>
      <c r="AH466" s="662" t="s">
        <v>1730</v>
      </c>
      <c r="AI466" s="662">
        <v>50000</v>
      </c>
      <c r="AJ466" s="662">
        <v>0</v>
      </c>
      <c r="AK466" s="662">
        <v>0</v>
      </c>
      <c r="AL466" s="658">
        <v>7.4999999999999997E-3</v>
      </c>
      <c r="AM466" s="658">
        <v>0</v>
      </c>
      <c r="AN466" s="659" t="s">
        <v>34</v>
      </c>
      <c r="AO466" s="253" t="s">
        <v>34</v>
      </c>
      <c r="AP466" s="944" t="s">
        <v>1746</v>
      </c>
      <c r="AQ466" s="663" t="s">
        <v>671</v>
      </c>
      <c r="AR466" s="658">
        <v>0</v>
      </c>
      <c r="AS466" s="658">
        <v>0</v>
      </c>
      <c r="AT466" s="658" t="s">
        <v>1417</v>
      </c>
      <c r="AU466" s="658" t="s">
        <v>2751</v>
      </c>
      <c r="AX466"/>
      <c r="AY466"/>
      <c r="BA466"/>
      <c r="BB466"/>
      <c r="BC466"/>
      <c r="BD466"/>
      <c r="BE466"/>
      <c r="BF466"/>
      <c r="BG466"/>
      <c r="BH466"/>
      <c r="BI466"/>
      <c r="BJ466"/>
      <c r="BR466"/>
      <c r="BS466"/>
      <c r="BT466"/>
      <c r="BU466"/>
      <c r="BX466"/>
      <c r="BY466"/>
      <c r="CA466"/>
    </row>
    <row r="467" spans="2:79" ht="18.75">
      <c r="B467" s="252" t="s">
        <v>1519</v>
      </c>
      <c r="C467" s="251">
        <v>37927641000104</v>
      </c>
      <c r="D467" s="252" t="s">
        <v>14</v>
      </c>
      <c r="E467" s="252" t="s">
        <v>15</v>
      </c>
      <c r="F467" s="252" t="s">
        <v>1326</v>
      </c>
      <c r="G467" s="253" t="s">
        <v>866</v>
      </c>
      <c r="H467" s="253" t="s">
        <v>34</v>
      </c>
      <c r="I467" s="253" t="s">
        <v>34</v>
      </c>
      <c r="J467" s="253" t="s">
        <v>608</v>
      </c>
      <c r="K467" s="253" t="s">
        <v>48</v>
      </c>
      <c r="L467" s="655"/>
      <c r="M467" s="655" t="s">
        <v>34</v>
      </c>
      <c r="N467" s="253" t="s">
        <v>3044</v>
      </c>
      <c r="O467" s="253" t="s">
        <v>1321</v>
      </c>
      <c r="P467" s="656">
        <v>44084</v>
      </c>
      <c r="Q467" s="657">
        <v>237.55232821000001</v>
      </c>
      <c r="R467" s="657">
        <v>238.98959269016049</v>
      </c>
      <c r="S467" s="253">
        <v>31</v>
      </c>
      <c r="T467" s="658">
        <v>-1.7913361204644485E-3</v>
      </c>
      <c r="U467" s="659">
        <v>-8.957406164031835E-2</v>
      </c>
      <c r="V467" s="658">
        <v>-3.3110932758341205E-3</v>
      </c>
      <c r="W467" s="659">
        <v>-2.5678555040248092E-2</v>
      </c>
      <c r="X467" s="658">
        <v>0.76422457878021199</v>
      </c>
      <c r="Y467" s="659">
        <v>3.9579134201768293</v>
      </c>
      <c r="Z467" s="658"/>
      <c r="AA467" s="659"/>
      <c r="AB467" s="658">
        <v>0.18857018176855941</v>
      </c>
      <c r="AC467" s="660">
        <v>-0.7013569244205583</v>
      </c>
      <c r="AD467" s="682">
        <v>35640811000131</v>
      </c>
      <c r="AE467" s="944" t="s">
        <v>1797</v>
      </c>
      <c r="AF467" s="661" t="s">
        <v>1745</v>
      </c>
      <c r="AG467" s="662" t="s">
        <v>1432</v>
      </c>
      <c r="AH467" s="662" t="s">
        <v>1801</v>
      </c>
      <c r="AI467" s="662">
        <v>250000</v>
      </c>
      <c r="AJ467" s="662">
        <v>0</v>
      </c>
      <c r="AK467" s="662">
        <v>0</v>
      </c>
      <c r="AL467" s="658">
        <v>5.0000000000000001E-3</v>
      </c>
      <c r="AM467" s="658">
        <v>0</v>
      </c>
      <c r="AN467" s="659" t="s">
        <v>34</v>
      </c>
      <c r="AO467" s="253" t="s">
        <v>34</v>
      </c>
      <c r="AP467" s="944" t="s">
        <v>1746</v>
      </c>
      <c r="AQ467" s="663" t="s">
        <v>671</v>
      </c>
      <c r="AR467" s="658">
        <v>0</v>
      </c>
      <c r="AS467" s="658">
        <v>0</v>
      </c>
      <c r="AT467" s="658" t="s">
        <v>1417</v>
      </c>
      <c r="AU467" s="658" t="s">
        <v>2751</v>
      </c>
      <c r="AX467"/>
      <c r="AY467"/>
      <c r="BA467"/>
      <c r="BB467"/>
      <c r="BC467"/>
      <c r="BD467"/>
      <c r="BE467"/>
      <c r="BF467"/>
      <c r="BG467"/>
      <c r="BH467"/>
      <c r="BI467"/>
      <c r="BJ467"/>
      <c r="BR467"/>
      <c r="BS467"/>
      <c r="BT467"/>
      <c r="BU467"/>
      <c r="BX467"/>
      <c r="BY467"/>
      <c r="CA467"/>
    </row>
    <row r="468" spans="2:79" ht="18.75">
      <c r="B468" s="252" t="s">
        <v>852</v>
      </c>
      <c r="C468" s="251">
        <v>11952873000110</v>
      </c>
      <c r="D468" s="252" t="s">
        <v>13</v>
      </c>
      <c r="E468" s="252" t="s">
        <v>615</v>
      </c>
      <c r="F468" s="252" t="s">
        <v>619</v>
      </c>
      <c r="G468" s="253" t="s">
        <v>34</v>
      </c>
      <c r="H468" s="253" t="s">
        <v>1337</v>
      </c>
      <c r="I468" s="253" t="s">
        <v>34</v>
      </c>
      <c r="J468" s="253" t="s">
        <v>1417</v>
      </c>
      <c r="K468" s="253" t="s">
        <v>48</v>
      </c>
      <c r="L468" s="655"/>
      <c r="M468" s="655" t="s">
        <v>34</v>
      </c>
      <c r="N468" s="253" t="s">
        <v>3045</v>
      </c>
      <c r="O468" s="253" t="s">
        <v>1321</v>
      </c>
      <c r="P468" s="656">
        <v>40332</v>
      </c>
      <c r="Q468" s="657">
        <v>907.73872300000005</v>
      </c>
      <c r="R468" s="657">
        <v>272.41472515261034</v>
      </c>
      <c r="S468" s="253">
        <v>3</v>
      </c>
      <c r="T468" s="658">
        <v>8.3088530794335203E-3</v>
      </c>
      <c r="U468" s="659">
        <v>0.41547630810043606</v>
      </c>
      <c r="V468" s="658">
        <v>0.17620523855818337</v>
      </c>
      <c r="W468" s="659">
        <v>1.3665262617998912</v>
      </c>
      <c r="X468" s="658">
        <v>0.25937290779216071</v>
      </c>
      <c r="Y468" s="659">
        <v>1.3432903639652753</v>
      </c>
      <c r="Z468" s="658">
        <v>0.28849534350337414</v>
      </c>
      <c r="AA468" s="659">
        <v>1.3026363935044192</v>
      </c>
      <c r="AB468" s="658">
        <v>2.6094120689212654E-2</v>
      </c>
      <c r="AC468" s="660">
        <v>1.811186882834221</v>
      </c>
      <c r="AD468" s="682">
        <v>0</v>
      </c>
      <c r="AE468" s="944" t="s">
        <v>1747</v>
      </c>
      <c r="AF468" s="661" t="s">
        <v>1745</v>
      </c>
      <c r="AG468" s="662" t="s">
        <v>1432</v>
      </c>
      <c r="AH468" s="662" t="s">
        <v>1734</v>
      </c>
      <c r="AI468" s="662">
        <v>5000</v>
      </c>
      <c r="AJ468" s="662">
        <v>1000</v>
      </c>
      <c r="AK468" s="662">
        <v>1000</v>
      </c>
      <c r="AL468" s="658">
        <v>1.2500000000000001E-2</v>
      </c>
      <c r="AM468" s="658">
        <v>0.2</v>
      </c>
      <c r="AN468" s="659" t="s">
        <v>2127</v>
      </c>
      <c r="AO468" s="253" t="s">
        <v>34</v>
      </c>
      <c r="AP468" s="944" t="s">
        <v>1746</v>
      </c>
      <c r="AQ468" s="663" t="s">
        <v>669</v>
      </c>
      <c r="AR468" s="658">
        <v>4.3750000000000004E-3</v>
      </c>
      <c r="AS468" s="658">
        <v>4.3750000000000004E-3</v>
      </c>
      <c r="AT468" s="658" t="s">
        <v>1417</v>
      </c>
      <c r="AU468" s="658" t="s">
        <v>2751</v>
      </c>
      <c r="AX468"/>
      <c r="AY468"/>
      <c r="BA468"/>
      <c r="BB468"/>
      <c r="BC468"/>
      <c r="BD468"/>
      <c r="BE468"/>
      <c r="BF468"/>
      <c r="BG468"/>
      <c r="BH468"/>
      <c r="BI468"/>
      <c r="BJ468"/>
      <c r="BR468"/>
      <c r="BS468"/>
      <c r="BT468"/>
      <c r="BU468"/>
      <c r="BX468"/>
      <c r="BY468"/>
      <c r="CA468"/>
    </row>
    <row r="469" spans="2:79" ht="18.75">
      <c r="B469" s="252" t="s">
        <v>4439</v>
      </c>
      <c r="C469" s="251">
        <v>44025612000104</v>
      </c>
      <c r="D469" s="252" t="s">
        <v>13</v>
      </c>
      <c r="E469" s="252" t="s">
        <v>615</v>
      </c>
      <c r="F469" s="252" t="s">
        <v>619</v>
      </c>
      <c r="G469" s="253" t="s">
        <v>34</v>
      </c>
      <c r="H469" s="253" t="s">
        <v>34</v>
      </c>
      <c r="I469" s="253" t="s">
        <v>34</v>
      </c>
      <c r="J469" s="253" t="s">
        <v>608</v>
      </c>
      <c r="K469" s="253" t="s">
        <v>48</v>
      </c>
      <c r="L469" s="655"/>
      <c r="M469" s="655" t="s">
        <v>34</v>
      </c>
      <c r="N469" s="253" t="s">
        <v>4440</v>
      </c>
      <c r="O469" s="253" t="s">
        <v>1321</v>
      </c>
      <c r="P469" s="656">
        <v>44774</v>
      </c>
      <c r="Q469" s="657"/>
      <c r="R469" s="657"/>
      <c r="S469" s="253">
        <v>3</v>
      </c>
      <c r="T469" s="658"/>
      <c r="U469" s="659"/>
      <c r="V469" s="658"/>
      <c r="W469" s="659"/>
      <c r="X469" s="658"/>
      <c r="Y469" s="659"/>
      <c r="Z469" s="658"/>
      <c r="AA469" s="659"/>
      <c r="AB469" s="658"/>
      <c r="AC469" s="660"/>
      <c r="AD469" s="682">
        <v>45355395000183</v>
      </c>
      <c r="AE469" s="944" t="s">
        <v>1747</v>
      </c>
      <c r="AF469" s="661" t="s">
        <v>1745</v>
      </c>
      <c r="AG469" s="662" t="s">
        <v>1432</v>
      </c>
      <c r="AH469" s="662" t="s">
        <v>2119</v>
      </c>
      <c r="AI469" s="662">
        <v>0</v>
      </c>
      <c r="AJ469" s="662">
        <v>0</v>
      </c>
      <c r="AK469" s="662">
        <v>0</v>
      </c>
      <c r="AL469" s="658">
        <v>0</v>
      </c>
      <c r="AM469" s="658">
        <v>0</v>
      </c>
      <c r="AN469" s="659" t="s">
        <v>2127</v>
      </c>
      <c r="AO469" s="253" t="s">
        <v>4400</v>
      </c>
      <c r="AP469" s="944" t="s">
        <v>1746</v>
      </c>
      <c r="AQ469" s="663" t="s">
        <v>2177</v>
      </c>
      <c r="AR469" s="658">
        <v>0</v>
      </c>
      <c r="AS469" s="658">
        <v>0</v>
      </c>
      <c r="AT469" s="658" t="s">
        <v>1417</v>
      </c>
      <c r="AU469" s="658" t="s">
        <v>2751</v>
      </c>
      <c r="AX469"/>
      <c r="AY469"/>
      <c r="BA469"/>
      <c r="BB469"/>
      <c r="BC469"/>
      <c r="BD469"/>
      <c r="BE469"/>
      <c r="BF469"/>
      <c r="BG469"/>
      <c r="BH469"/>
      <c r="BI469"/>
      <c r="BJ469"/>
      <c r="BR469"/>
      <c r="BS469"/>
      <c r="BT469"/>
      <c r="BU469"/>
      <c r="BX469"/>
      <c r="BY469"/>
      <c r="CA469"/>
    </row>
    <row r="470" spans="2:79" ht="18.75">
      <c r="B470" s="252" t="s">
        <v>853</v>
      </c>
      <c r="C470" s="251">
        <v>44967234000188</v>
      </c>
      <c r="D470" s="252" t="s">
        <v>14</v>
      </c>
      <c r="E470" s="252" t="s">
        <v>607</v>
      </c>
      <c r="F470" s="252" t="s">
        <v>1417</v>
      </c>
      <c r="G470" s="253" t="s">
        <v>1417</v>
      </c>
      <c r="H470" s="253" t="s">
        <v>34</v>
      </c>
      <c r="I470" s="253" t="s">
        <v>34</v>
      </c>
      <c r="J470" s="253" t="s">
        <v>608</v>
      </c>
      <c r="K470" s="253" t="s">
        <v>48</v>
      </c>
      <c r="L470" s="655"/>
      <c r="M470" s="655" t="s">
        <v>1414</v>
      </c>
      <c r="N470" s="253" t="s">
        <v>3046</v>
      </c>
      <c r="O470" s="253" t="s">
        <v>1324</v>
      </c>
      <c r="P470" s="656">
        <v>44603</v>
      </c>
      <c r="Q470" s="657">
        <v>36.446951339999998</v>
      </c>
      <c r="R470" s="657">
        <v>36.260226003703679</v>
      </c>
      <c r="S470" s="253">
        <v>367</v>
      </c>
      <c r="T470" s="658">
        <v>-2.089365849644198E-2</v>
      </c>
      <c r="U470" s="659">
        <v>-1.0447675523713631</v>
      </c>
      <c r="V470" s="658">
        <v>-4.753107304435733E-2</v>
      </c>
      <c r="W470" s="659">
        <v>-0.36861820964077496</v>
      </c>
      <c r="X470" s="658"/>
      <c r="Y470" s="659"/>
      <c r="Z470" s="658"/>
      <c r="AA470" s="659"/>
      <c r="AB470" s="658">
        <v>0.1581157582884227</v>
      </c>
      <c r="AC470" s="660">
        <v>-1.1161125519774791</v>
      </c>
      <c r="AD470" s="682">
        <v>0</v>
      </c>
      <c r="AE470" s="944" t="s">
        <v>2070</v>
      </c>
      <c r="AF470" s="661" t="s">
        <v>1745</v>
      </c>
      <c r="AG470" s="662" t="s">
        <v>1432</v>
      </c>
      <c r="AH470" s="662" t="s">
        <v>1734</v>
      </c>
      <c r="AI470" s="662">
        <v>25000</v>
      </c>
      <c r="AJ470" s="662">
        <v>10000</v>
      </c>
      <c r="AK470" s="662">
        <v>10000</v>
      </c>
      <c r="AL470" s="658">
        <v>0</v>
      </c>
      <c r="AM470" s="658">
        <v>0</v>
      </c>
      <c r="AN470" s="659" t="s">
        <v>2127</v>
      </c>
      <c r="AO470" s="253" t="s">
        <v>34</v>
      </c>
      <c r="AP470" s="944" t="s">
        <v>1731</v>
      </c>
      <c r="AQ470" s="663" t="s">
        <v>659</v>
      </c>
      <c r="AR470" s="658">
        <v>0</v>
      </c>
      <c r="AS470" s="658">
        <v>0</v>
      </c>
      <c r="AT470" s="658" t="s">
        <v>1417</v>
      </c>
      <c r="AU470" s="658" t="s">
        <v>2751</v>
      </c>
      <c r="AX470"/>
      <c r="AY470"/>
      <c r="BA470"/>
      <c r="BB470"/>
      <c r="BC470"/>
      <c r="BD470"/>
      <c r="BE470"/>
      <c r="BF470"/>
      <c r="BG470"/>
      <c r="BH470"/>
      <c r="BI470"/>
      <c r="BJ470"/>
      <c r="BR470"/>
      <c r="BS470"/>
      <c r="BT470"/>
      <c r="BU470"/>
      <c r="BX470"/>
      <c r="BY470"/>
      <c r="CA470"/>
    </row>
    <row r="471" spans="2:79" ht="18.75">
      <c r="B471" s="252" t="s">
        <v>854</v>
      </c>
      <c r="C471" s="251">
        <v>9518581000122</v>
      </c>
      <c r="D471" s="252" t="s">
        <v>11</v>
      </c>
      <c r="E471" s="252" t="s">
        <v>621</v>
      </c>
      <c r="F471" s="252" t="s">
        <v>672</v>
      </c>
      <c r="G471" s="253" t="s">
        <v>865</v>
      </c>
      <c r="H471" s="253" t="s">
        <v>34</v>
      </c>
      <c r="I471" s="253" t="s">
        <v>1417</v>
      </c>
      <c r="J471" s="253" t="s">
        <v>608</v>
      </c>
      <c r="K471" s="253" t="s">
        <v>48</v>
      </c>
      <c r="L471" s="655"/>
      <c r="M471" s="655" t="s">
        <v>34</v>
      </c>
      <c r="N471" s="253" t="s">
        <v>3047</v>
      </c>
      <c r="O471" s="253" t="s">
        <v>1321</v>
      </c>
      <c r="P471" s="656">
        <v>39631</v>
      </c>
      <c r="Q471" s="657">
        <v>326.21608300000003</v>
      </c>
      <c r="R471" s="657">
        <v>311.40402029718871</v>
      </c>
      <c r="S471" s="253">
        <v>1</v>
      </c>
      <c r="T471" s="658">
        <v>1.5192416794843622E-2</v>
      </c>
      <c r="U471" s="659">
        <v>0.75968237501619573</v>
      </c>
      <c r="V471" s="658">
        <v>7.7374039307887443E-2</v>
      </c>
      <c r="W471" s="659">
        <v>0.60005966656236376</v>
      </c>
      <c r="X471" s="658">
        <v>7.0843676157286817E-2</v>
      </c>
      <c r="Y471" s="659">
        <v>0.36689887290085021</v>
      </c>
      <c r="Z471" s="658">
        <v>9.7019408886362291E-2</v>
      </c>
      <c r="AA471" s="659">
        <v>0.43806950696999197</v>
      </c>
      <c r="AB471" s="658">
        <v>5.6502897938256177E-2</v>
      </c>
      <c r="AC471" s="660">
        <v>-0.91269425145687466</v>
      </c>
      <c r="AD471" s="682">
        <v>0</v>
      </c>
      <c r="AE471" s="944" t="s">
        <v>1797</v>
      </c>
      <c r="AF471" s="661" t="s">
        <v>1745</v>
      </c>
      <c r="AG471" s="662" t="s">
        <v>1432</v>
      </c>
      <c r="AH471" s="662" t="s">
        <v>1734</v>
      </c>
      <c r="AI471" s="662">
        <v>0</v>
      </c>
      <c r="AJ471" s="662">
        <v>0</v>
      </c>
      <c r="AK471" s="662">
        <v>0</v>
      </c>
      <c r="AL471" s="658">
        <v>4.0000000000000001E-3</v>
      </c>
      <c r="AM471" s="658">
        <v>0</v>
      </c>
      <c r="AN471" s="659" t="s">
        <v>2122</v>
      </c>
      <c r="AO471" s="253" t="s">
        <v>34</v>
      </c>
      <c r="AP471" s="944" t="s">
        <v>1735</v>
      </c>
      <c r="AQ471" s="663" t="s">
        <v>675</v>
      </c>
      <c r="AR471" s="658">
        <v>3.2000000000000002E-3</v>
      </c>
      <c r="AS471" s="658">
        <v>3.2000000000000002E-3</v>
      </c>
      <c r="AT471" s="658" t="s">
        <v>1417</v>
      </c>
      <c r="AU471" s="658" t="s">
        <v>2751</v>
      </c>
      <c r="AX471"/>
      <c r="AY471"/>
      <c r="BA471"/>
      <c r="BB471"/>
      <c r="BC471"/>
      <c r="BD471"/>
      <c r="BE471"/>
      <c r="BF471"/>
      <c r="BG471"/>
      <c r="BH471"/>
      <c r="BI471"/>
      <c r="BJ471"/>
      <c r="BR471"/>
      <c r="BS471"/>
      <c r="BT471"/>
      <c r="BU471"/>
      <c r="BX471"/>
      <c r="BY471"/>
      <c r="CA471"/>
    </row>
    <row r="472" spans="2:79" ht="18.75">
      <c r="B472" s="252" t="s">
        <v>855</v>
      </c>
      <c r="C472" s="251">
        <v>44980432000181</v>
      </c>
      <c r="D472" s="252" t="s">
        <v>14</v>
      </c>
      <c r="E472" s="252" t="s">
        <v>607</v>
      </c>
      <c r="F472" s="252" t="s">
        <v>1417</v>
      </c>
      <c r="G472" s="253" t="s">
        <v>1417</v>
      </c>
      <c r="H472" s="253" t="s">
        <v>34</v>
      </c>
      <c r="I472" s="253" t="s">
        <v>34</v>
      </c>
      <c r="J472" s="253" t="s">
        <v>611</v>
      </c>
      <c r="K472" s="253" t="s">
        <v>1417</v>
      </c>
      <c r="L472" s="655"/>
      <c r="M472" s="655" t="s">
        <v>34</v>
      </c>
      <c r="N472" s="253" t="s">
        <v>3048</v>
      </c>
      <c r="O472" s="253" t="s">
        <v>1321</v>
      </c>
      <c r="P472" s="656">
        <v>44612</v>
      </c>
      <c r="Q472" s="657">
        <v>23.35438654</v>
      </c>
      <c r="R472" s="657">
        <v>19.867943789687491</v>
      </c>
      <c r="S472" s="253">
        <v>7</v>
      </c>
      <c r="T472" s="658">
        <v>2.9749361215244186E-2</v>
      </c>
      <c r="U472" s="659">
        <v>1.4875885573967382</v>
      </c>
      <c r="V472" s="658">
        <v>3.8592543865940465E-2</v>
      </c>
      <c r="W472" s="659">
        <v>0.29929714425066783</v>
      </c>
      <c r="X472" s="658"/>
      <c r="Y472" s="659"/>
      <c r="Z472" s="658"/>
      <c r="AA472" s="659"/>
      <c r="AB472" s="658">
        <v>0.18741669328009192</v>
      </c>
      <c r="AC472" s="660">
        <v>-0.48208814273453698</v>
      </c>
      <c r="AD472" s="682">
        <v>0</v>
      </c>
      <c r="AE472" s="944" t="s">
        <v>1915</v>
      </c>
      <c r="AF472" s="661" t="s">
        <v>1745</v>
      </c>
      <c r="AG472" s="662" t="s">
        <v>1432</v>
      </c>
      <c r="AH472" s="662" t="s">
        <v>1730</v>
      </c>
      <c r="AI472" s="662">
        <v>500</v>
      </c>
      <c r="AJ472" s="662">
        <v>500</v>
      </c>
      <c r="AK472" s="662">
        <v>500</v>
      </c>
      <c r="AL472" s="658">
        <v>0</v>
      </c>
      <c r="AM472" s="658">
        <v>0</v>
      </c>
      <c r="AN472" s="659" t="s">
        <v>2127</v>
      </c>
      <c r="AO472" s="253" t="s">
        <v>34</v>
      </c>
      <c r="AP472" s="944" t="s">
        <v>1731</v>
      </c>
      <c r="AQ472" s="663" t="s">
        <v>687</v>
      </c>
      <c r="AR472" s="658">
        <v>0.01</v>
      </c>
      <c r="AS472" s="658">
        <v>0.01</v>
      </c>
      <c r="AT472" s="658" t="s">
        <v>1417</v>
      </c>
      <c r="AU472" s="658" t="s">
        <v>2751</v>
      </c>
      <c r="AX472"/>
      <c r="AY472"/>
      <c r="BA472"/>
      <c r="BB472"/>
      <c r="BC472"/>
      <c r="BD472"/>
      <c r="BE472"/>
      <c r="BF472"/>
      <c r="BG472"/>
      <c r="BH472"/>
      <c r="BI472"/>
      <c r="BJ472"/>
      <c r="BR472"/>
      <c r="BS472"/>
      <c r="BT472"/>
      <c r="BU472"/>
      <c r="BX472"/>
      <c r="BY472"/>
      <c r="CA472"/>
    </row>
    <row r="473" spans="2:79" ht="18.75">
      <c r="B473" s="252" t="s">
        <v>151</v>
      </c>
      <c r="C473" s="251">
        <v>888897000131</v>
      </c>
      <c r="D473" s="252" t="s">
        <v>13</v>
      </c>
      <c r="E473" s="252" t="s">
        <v>616</v>
      </c>
      <c r="F473" s="252" t="s">
        <v>617</v>
      </c>
      <c r="G473" s="253" t="s">
        <v>34</v>
      </c>
      <c r="H473" s="253" t="s">
        <v>1337</v>
      </c>
      <c r="I473" s="253" t="s">
        <v>34</v>
      </c>
      <c r="J473" s="253" t="s">
        <v>608</v>
      </c>
      <c r="K473" s="253" t="s">
        <v>48</v>
      </c>
      <c r="L473" s="655"/>
      <c r="M473" s="655" t="s">
        <v>34</v>
      </c>
      <c r="N473" s="253" t="s">
        <v>3049</v>
      </c>
      <c r="O473" s="253" t="s">
        <v>1321</v>
      </c>
      <c r="P473" s="656">
        <v>35005</v>
      </c>
      <c r="Q473" s="657">
        <v>160.69664599999999</v>
      </c>
      <c r="R473" s="657">
        <v>64.33129562903224</v>
      </c>
      <c r="S473" s="253">
        <v>1</v>
      </c>
      <c r="T473" s="658">
        <v>1.4168228788079773E-2</v>
      </c>
      <c r="U473" s="659">
        <v>0.70846882631303343</v>
      </c>
      <c r="V473" s="658">
        <v>0.14339252884156006</v>
      </c>
      <c r="W473" s="659">
        <v>1.1120535235573439</v>
      </c>
      <c r="X473" s="658">
        <v>0.22700734108807907</v>
      </c>
      <c r="Y473" s="659">
        <v>1.1756693342750564</v>
      </c>
      <c r="Z473" s="658">
        <v>0.25630322485470525</v>
      </c>
      <c r="AA473" s="659">
        <v>1.1572800601004525</v>
      </c>
      <c r="AB473" s="658">
        <v>1.2551591066197153E-2</v>
      </c>
      <c r="AC473" s="660">
        <v>1.1511384746817852</v>
      </c>
      <c r="AD473" s="682">
        <v>0</v>
      </c>
      <c r="AE473" s="944" t="s">
        <v>1747</v>
      </c>
      <c r="AF473" s="661" t="s">
        <v>1745</v>
      </c>
      <c r="AG473" s="662" t="s">
        <v>1432</v>
      </c>
      <c r="AH473" s="662" t="s">
        <v>1734</v>
      </c>
      <c r="AI473" s="662">
        <v>1000</v>
      </c>
      <c r="AJ473" s="662">
        <v>1000</v>
      </c>
      <c r="AK473" s="662">
        <v>1000</v>
      </c>
      <c r="AL473" s="658">
        <v>1.4999999999999999E-2</v>
      </c>
      <c r="AM473" s="658">
        <v>0.2</v>
      </c>
      <c r="AN473" s="659" t="s">
        <v>2127</v>
      </c>
      <c r="AO473" s="253" t="s">
        <v>34</v>
      </c>
      <c r="AP473" s="944" t="s">
        <v>1746</v>
      </c>
      <c r="AQ473" s="663" t="s">
        <v>664</v>
      </c>
      <c r="AR473" s="658">
        <v>5.2500000000000003E-3</v>
      </c>
      <c r="AS473" s="658">
        <v>5.2500000000000003E-3</v>
      </c>
      <c r="AT473" s="658" t="s">
        <v>1417</v>
      </c>
      <c r="AU473" s="658" t="s">
        <v>2751</v>
      </c>
      <c r="AX473"/>
      <c r="AY473"/>
      <c r="BA473"/>
      <c r="BB473"/>
      <c r="BC473"/>
      <c r="BD473"/>
      <c r="BE473"/>
      <c r="BF473"/>
      <c r="BG473"/>
      <c r="BH473"/>
      <c r="BI473"/>
      <c r="BJ473"/>
      <c r="BR473"/>
      <c r="BS473"/>
      <c r="BT473"/>
      <c r="BU473"/>
      <c r="BX473"/>
      <c r="BY473"/>
      <c r="CA473"/>
    </row>
    <row r="474" spans="2:79" ht="18.75">
      <c r="B474" s="252" t="s">
        <v>1520</v>
      </c>
      <c r="C474" s="251">
        <v>33598974000178</v>
      </c>
      <c r="D474" s="252" t="s">
        <v>13</v>
      </c>
      <c r="E474" s="252" t="s">
        <v>615</v>
      </c>
      <c r="F474" s="252" t="s">
        <v>619</v>
      </c>
      <c r="G474" s="253" t="s">
        <v>1417</v>
      </c>
      <c r="H474" s="253" t="s">
        <v>1337</v>
      </c>
      <c r="I474" s="253" t="s">
        <v>1417</v>
      </c>
      <c r="J474" s="253" t="s">
        <v>611</v>
      </c>
      <c r="K474" s="253" t="s">
        <v>48</v>
      </c>
      <c r="L474" s="655"/>
      <c r="M474" s="655" t="s">
        <v>34</v>
      </c>
      <c r="N474" s="253" t="s">
        <v>3050</v>
      </c>
      <c r="O474" s="253" t="s">
        <v>1321</v>
      </c>
      <c r="P474" s="656">
        <v>43679</v>
      </c>
      <c r="Q474" s="657">
        <v>34.198869719999998</v>
      </c>
      <c r="R474" s="657">
        <v>32.893993123694777</v>
      </c>
      <c r="S474" s="253">
        <v>1</v>
      </c>
      <c r="T474" s="658">
        <v>8.2660002345265049E-3</v>
      </c>
      <c r="U474" s="659">
        <v>0.41333349228417893</v>
      </c>
      <c r="V474" s="658">
        <v>0.19953145241308445</v>
      </c>
      <c r="W474" s="659">
        <v>1.54742828311271</v>
      </c>
      <c r="X474" s="658">
        <v>0.20139888565735009</v>
      </c>
      <c r="Y474" s="659">
        <v>1.0430433337071892</v>
      </c>
      <c r="Z474" s="658">
        <v>0.20530780422809447</v>
      </c>
      <c r="AA474" s="659">
        <v>0.92702160946617995</v>
      </c>
      <c r="AB474" s="658">
        <v>3.1556611467039024E-2</v>
      </c>
      <c r="AC474" s="660">
        <v>2.236854328926444</v>
      </c>
      <c r="AD474" s="682">
        <v>0</v>
      </c>
      <c r="AE474" s="944" t="s">
        <v>1747</v>
      </c>
      <c r="AF474" s="661" t="s">
        <v>1745</v>
      </c>
      <c r="AG474" s="662" t="s">
        <v>1432</v>
      </c>
      <c r="AH474" s="662" t="s">
        <v>1730</v>
      </c>
      <c r="AI474" s="662">
        <v>25000</v>
      </c>
      <c r="AJ474" s="662">
        <v>10000</v>
      </c>
      <c r="AK474" s="662">
        <v>25000</v>
      </c>
      <c r="AL474" s="658">
        <v>0</v>
      </c>
      <c r="AM474" s="658">
        <v>0</v>
      </c>
      <c r="AN474" s="659" t="s">
        <v>34</v>
      </c>
      <c r="AO474" s="253" t="s">
        <v>34</v>
      </c>
      <c r="AP474" s="944" t="s">
        <v>1746</v>
      </c>
      <c r="AQ474" s="663" t="s">
        <v>668</v>
      </c>
      <c r="AR474" s="658">
        <v>0</v>
      </c>
      <c r="AS474" s="658">
        <v>0</v>
      </c>
      <c r="AT474" s="658" t="s">
        <v>1417</v>
      </c>
      <c r="AU474" s="658" t="s">
        <v>2751</v>
      </c>
      <c r="AX474"/>
      <c r="AY474"/>
      <c r="BA474"/>
      <c r="BB474"/>
      <c r="BC474"/>
      <c r="BD474"/>
      <c r="BE474"/>
      <c r="BF474"/>
      <c r="BG474"/>
      <c r="BH474"/>
      <c r="BI474"/>
      <c r="BJ474"/>
      <c r="BR474"/>
      <c r="BS474"/>
      <c r="BT474"/>
      <c r="BU474"/>
      <c r="BX474"/>
      <c r="BY474"/>
      <c r="CA474"/>
    </row>
    <row r="475" spans="2:79" ht="18.75">
      <c r="B475" s="252" t="s">
        <v>152</v>
      </c>
      <c r="C475" s="251">
        <v>34096227000102</v>
      </c>
      <c r="D475" s="252" t="s">
        <v>13</v>
      </c>
      <c r="E475" s="252" t="s">
        <v>615</v>
      </c>
      <c r="F475" s="252" t="s">
        <v>619</v>
      </c>
      <c r="G475" s="253" t="s">
        <v>34</v>
      </c>
      <c r="H475" s="253" t="s">
        <v>1337</v>
      </c>
      <c r="I475" s="253" t="s">
        <v>34</v>
      </c>
      <c r="J475" s="253" t="s">
        <v>1417</v>
      </c>
      <c r="K475" s="253" t="s">
        <v>48</v>
      </c>
      <c r="L475" s="655"/>
      <c r="M475" s="655" t="s">
        <v>34</v>
      </c>
      <c r="N475" s="253" t="s">
        <v>3051</v>
      </c>
      <c r="O475" s="253" t="s">
        <v>1321</v>
      </c>
      <c r="P475" s="656">
        <v>43679</v>
      </c>
      <c r="Q475" s="657">
        <v>34.227762970000001</v>
      </c>
      <c r="R475" s="657">
        <v>32.894797287710844</v>
      </c>
      <c r="S475" s="253">
        <v>60</v>
      </c>
      <c r="T475" s="658">
        <v>5.1013600476221832E-3</v>
      </c>
      <c r="U475" s="659">
        <v>0.25508866489929943</v>
      </c>
      <c r="V475" s="658">
        <v>0.17505307174005136</v>
      </c>
      <c r="W475" s="659">
        <v>1.3575908508675316</v>
      </c>
      <c r="X475" s="658">
        <v>0.15350191463049478</v>
      </c>
      <c r="Y475" s="659">
        <v>0.79498527632883365</v>
      </c>
      <c r="Z475" s="658">
        <v>0.13386049673074085</v>
      </c>
      <c r="AA475" s="659">
        <v>0.60441722412758103</v>
      </c>
      <c r="AB475" s="658">
        <v>3.1294470452684305E-2</v>
      </c>
      <c r="AC475" s="660">
        <v>1.4733964699283788</v>
      </c>
      <c r="AD475" s="682">
        <v>33598974000178</v>
      </c>
      <c r="AE475" s="944" t="s">
        <v>1747</v>
      </c>
      <c r="AF475" s="661" t="s">
        <v>1745</v>
      </c>
      <c r="AG475" s="662" t="s">
        <v>1432</v>
      </c>
      <c r="AH475" s="662" t="s">
        <v>1730</v>
      </c>
      <c r="AI475" s="662">
        <v>25000</v>
      </c>
      <c r="AJ475" s="662">
        <v>10000</v>
      </c>
      <c r="AK475" s="662">
        <v>25000</v>
      </c>
      <c r="AL475" s="658">
        <v>0.02</v>
      </c>
      <c r="AM475" s="658">
        <v>0.2</v>
      </c>
      <c r="AN475" s="659" t="s">
        <v>34</v>
      </c>
      <c r="AO475" s="253" t="s">
        <v>34</v>
      </c>
      <c r="AP475" s="944" t="s">
        <v>1746</v>
      </c>
      <c r="AQ475" s="663" t="s">
        <v>668</v>
      </c>
      <c r="AR475" s="658">
        <v>7.0000000000000001E-3</v>
      </c>
      <c r="AS475" s="658">
        <v>7.0000000000000001E-3</v>
      </c>
      <c r="AT475" s="658" t="s">
        <v>1417</v>
      </c>
      <c r="AU475" s="658" t="s">
        <v>2751</v>
      </c>
      <c r="AX475"/>
      <c r="AY475"/>
      <c r="BA475"/>
      <c r="BB475"/>
      <c r="BC475"/>
      <c r="BD475"/>
      <c r="BE475"/>
      <c r="BF475"/>
      <c r="BG475"/>
      <c r="BH475"/>
      <c r="BI475"/>
      <c r="BJ475"/>
      <c r="BR475"/>
      <c r="BS475"/>
      <c r="BT475"/>
      <c r="BU475"/>
      <c r="BX475"/>
      <c r="BY475"/>
      <c r="CA475"/>
    </row>
    <row r="476" spans="2:79" ht="18.75">
      <c r="B476" s="252" t="s">
        <v>1521</v>
      </c>
      <c r="C476" s="251">
        <v>9290807000180</v>
      </c>
      <c r="D476" s="252" t="s">
        <v>14</v>
      </c>
      <c r="E476" s="252" t="s">
        <v>607</v>
      </c>
      <c r="F476" s="252" t="s">
        <v>672</v>
      </c>
      <c r="G476" s="253" t="s">
        <v>1417</v>
      </c>
      <c r="H476" s="253" t="s">
        <v>34</v>
      </c>
      <c r="I476" s="253" t="s">
        <v>1417</v>
      </c>
      <c r="J476" s="253" t="s">
        <v>608</v>
      </c>
      <c r="K476" s="253" t="s">
        <v>48</v>
      </c>
      <c r="L476" s="655"/>
      <c r="M476" s="655" t="s">
        <v>34</v>
      </c>
      <c r="N476" s="253" t="s">
        <v>3052</v>
      </c>
      <c r="O476" s="253" t="s">
        <v>1321</v>
      </c>
      <c r="P476" s="656">
        <v>39509</v>
      </c>
      <c r="Q476" s="657">
        <v>4.9897369999999999</v>
      </c>
      <c r="R476" s="657">
        <v>9.2319517510040079</v>
      </c>
      <c r="S476" s="253">
        <v>1</v>
      </c>
      <c r="T476" s="658">
        <v>-3.3961165321286679E-2</v>
      </c>
      <c r="U476" s="659">
        <v>-1.698195822164994</v>
      </c>
      <c r="V476" s="658">
        <v>-6.2296043071717877E-2</v>
      </c>
      <c r="W476" s="659">
        <v>-0.48312513044616318</v>
      </c>
      <c r="X476" s="658">
        <v>-3.5009554585257785E-2</v>
      </c>
      <c r="Y476" s="659">
        <v>-0.18131422329882396</v>
      </c>
      <c r="Z476" s="658">
        <v>2.0437127286214274E-2</v>
      </c>
      <c r="AA476" s="659">
        <v>9.2279291091551224E-2</v>
      </c>
      <c r="AB476" s="658">
        <v>0.21898564393875833</v>
      </c>
      <c r="AC476" s="660">
        <v>-0.87329903951141441</v>
      </c>
      <c r="AD476" s="682">
        <v>0</v>
      </c>
      <c r="AE476" s="944" t="s">
        <v>1747</v>
      </c>
      <c r="AF476" s="661" t="s">
        <v>1745</v>
      </c>
      <c r="AG476" s="662" t="s">
        <v>1432</v>
      </c>
      <c r="AH476" s="662" t="s">
        <v>1730</v>
      </c>
      <c r="AI476" s="662">
        <v>50000</v>
      </c>
      <c r="AJ476" s="662">
        <v>50000</v>
      </c>
      <c r="AK476" s="662">
        <v>50000</v>
      </c>
      <c r="AL476" s="658">
        <v>0.01</v>
      </c>
      <c r="AM476" s="658">
        <v>0</v>
      </c>
      <c r="AN476" s="659" t="s">
        <v>2127</v>
      </c>
      <c r="AO476" s="253" t="s">
        <v>34</v>
      </c>
      <c r="AP476" s="944" t="s">
        <v>1746</v>
      </c>
      <c r="AQ476" s="663" t="s">
        <v>671</v>
      </c>
      <c r="AR476" s="658">
        <v>3.5000000000000001E-3</v>
      </c>
      <c r="AS476" s="658">
        <v>3.5000000000000001E-3</v>
      </c>
      <c r="AT476" s="658" t="s">
        <v>1417</v>
      </c>
      <c r="AU476" s="658" t="s">
        <v>2751</v>
      </c>
      <c r="AX476"/>
      <c r="AY476"/>
      <c r="BA476"/>
      <c r="BB476"/>
      <c r="BC476"/>
      <c r="BD476"/>
      <c r="BE476"/>
      <c r="BF476"/>
      <c r="BG476"/>
      <c r="BH476"/>
      <c r="BI476"/>
      <c r="BJ476"/>
      <c r="BR476"/>
      <c r="BS476"/>
      <c r="BT476"/>
      <c r="BU476"/>
      <c r="BX476"/>
      <c r="BY476"/>
      <c r="CA476"/>
    </row>
    <row r="477" spans="2:79" ht="18.75">
      <c r="B477" s="252" t="s">
        <v>1522</v>
      </c>
      <c r="C477" s="251">
        <v>37953612000109</v>
      </c>
      <c r="D477" s="252" t="s">
        <v>11</v>
      </c>
      <c r="E477" s="252" t="s">
        <v>620</v>
      </c>
      <c r="F477" s="252" t="s">
        <v>672</v>
      </c>
      <c r="G477" s="253" t="s">
        <v>738</v>
      </c>
      <c r="H477" s="253" t="s">
        <v>34</v>
      </c>
      <c r="I477" s="253" t="s">
        <v>1304</v>
      </c>
      <c r="J477" s="253" t="s">
        <v>608</v>
      </c>
      <c r="K477" s="253" t="s">
        <v>48</v>
      </c>
      <c r="L477" s="655"/>
      <c r="M477" s="655" t="s">
        <v>34</v>
      </c>
      <c r="N477" s="253" t="s">
        <v>3053</v>
      </c>
      <c r="O477" s="253" t="s">
        <v>1321</v>
      </c>
      <c r="P477" s="656">
        <v>44057</v>
      </c>
      <c r="Q477" s="657">
        <v>138.80211045999999</v>
      </c>
      <c r="R477" s="657">
        <v>89.025274853694782</v>
      </c>
      <c r="S477" s="253">
        <v>0</v>
      </c>
      <c r="T477" s="658">
        <v>1.9562071263429015E-2</v>
      </c>
      <c r="U477" s="659">
        <v>0.9781827972677597</v>
      </c>
      <c r="V477" s="658">
        <v>0.12998146893789109</v>
      </c>
      <c r="W477" s="659">
        <v>1.0080465955744184</v>
      </c>
      <c r="X477" s="658">
        <v>0.19649342333530861</v>
      </c>
      <c r="Y477" s="659">
        <v>1.0176379807577081</v>
      </c>
      <c r="Z477" s="658"/>
      <c r="AA477" s="659"/>
      <c r="AB477" s="658">
        <v>1.5575748367315503E-3</v>
      </c>
      <c r="AC477" s="660">
        <v>0.66613781028972785</v>
      </c>
      <c r="AD477" s="682">
        <v>0</v>
      </c>
      <c r="AE477" s="944" t="s">
        <v>1747</v>
      </c>
      <c r="AF477" s="661" t="s">
        <v>1745</v>
      </c>
      <c r="AG477" s="662" t="s">
        <v>1432</v>
      </c>
      <c r="AH477" s="662" t="s">
        <v>1734</v>
      </c>
      <c r="AI477" s="662">
        <v>0</v>
      </c>
      <c r="AJ477" s="662">
        <v>50</v>
      </c>
      <c r="AK477" s="662">
        <v>1</v>
      </c>
      <c r="AL477" s="658">
        <v>0</v>
      </c>
      <c r="AM477" s="658">
        <v>0</v>
      </c>
      <c r="AN477" s="659" t="s">
        <v>64</v>
      </c>
      <c r="AO477" s="253" t="s">
        <v>34</v>
      </c>
      <c r="AP477" s="944" t="s">
        <v>1735</v>
      </c>
      <c r="AQ477" s="663" t="s">
        <v>684</v>
      </c>
      <c r="AR477" s="658">
        <v>0</v>
      </c>
      <c r="AS477" s="658">
        <v>0</v>
      </c>
      <c r="AT477" s="658" t="s">
        <v>1417</v>
      </c>
      <c r="AU477" s="658" t="s">
        <v>2751</v>
      </c>
      <c r="AX477"/>
      <c r="AY477"/>
      <c r="BA477"/>
      <c r="BB477"/>
      <c r="BC477"/>
      <c r="BD477"/>
      <c r="BE477"/>
      <c r="BF477"/>
      <c r="BG477"/>
      <c r="BH477"/>
      <c r="BI477"/>
      <c r="BJ477"/>
      <c r="BR477"/>
      <c r="BS477"/>
      <c r="BT477"/>
      <c r="BU477"/>
      <c r="BX477"/>
      <c r="BY477"/>
      <c r="CA477"/>
    </row>
    <row r="478" spans="2:79" ht="18.75">
      <c r="B478" s="252" t="s">
        <v>856</v>
      </c>
      <c r="C478" s="251">
        <v>9083998000100</v>
      </c>
      <c r="D478" s="252" t="s">
        <v>13</v>
      </c>
      <c r="E478" s="252" t="s">
        <v>615</v>
      </c>
      <c r="F478" s="252" t="s">
        <v>619</v>
      </c>
      <c r="G478" s="253" t="s">
        <v>34</v>
      </c>
      <c r="H478" s="253" t="s">
        <v>1337</v>
      </c>
      <c r="I478" s="253" t="s">
        <v>34</v>
      </c>
      <c r="J478" s="253" t="s">
        <v>608</v>
      </c>
      <c r="K478" s="253" t="s">
        <v>48</v>
      </c>
      <c r="L478" s="655"/>
      <c r="M478" s="655" t="s">
        <v>1414</v>
      </c>
      <c r="N478" s="253" t="s">
        <v>3054</v>
      </c>
      <c r="O478" s="253" t="s">
        <v>1321</v>
      </c>
      <c r="P478" s="656">
        <v>39569</v>
      </c>
      <c r="Q478" s="657">
        <v>5.82721</v>
      </c>
      <c r="R478" s="657">
        <v>3.7855539558232918</v>
      </c>
      <c r="S478" s="253">
        <v>1</v>
      </c>
      <c r="T478" s="658">
        <v>2.1420636349929412E-2</v>
      </c>
      <c r="U478" s="659">
        <v>1.0711185795136771</v>
      </c>
      <c r="V478" s="658">
        <v>0.13866409254466561</v>
      </c>
      <c r="W478" s="659">
        <v>1.0753830339066035</v>
      </c>
      <c r="X478" s="658">
        <v>0.13816125862381234</v>
      </c>
      <c r="Y478" s="659">
        <v>0.71553613275368744</v>
      </c>
      <c r="Z478" s="658">
        <v>0.14391814701560079</v>
      </c>
      <c r="AA478" s="659">
        <v>0.64983030128542929</v>
      </c>
      <c r="AB478" s="658">
        <v>1.6395069853066508E-2</v>
      </c>
      <c r="AC478" s="660">
        <v>0.59287231984920197</v>
      </c>
      <c r="AD478" s="682">
        <v>0</v>
      </c>
      <c r="AE478" s="944" t="s">
        <v>1797</v>
      </c>
      <c r="AF478" s="661" t="s">
        <v>1745</v>
      </c>
      <c r="AG478" s="662" t="s">
        <v>1432</v>
      </c>
      <c r="AH478" s="662" t="s">
        <v>1730</v>
      </c>
      <c r="AI478" s="662">
        <v>0</v>
      </c>
      <c r="AJ478" s="662">
        <v>0</v>
      </c>
      <c r="AK478" s="662">
        <v>0</v>
      </c>
      <c r="AL478" s="658">
        <v>1.5E-3</v>
      </c>
      <c r="AM478" s="658">
        <v>0</v>
      </c>
      <c r="AN478" s="659" t="s">
        <v>34</v>
      </c>
      <c r="AO478" s="253" t="s">
        <v>34</v>
      </c>
      <c r="AP478" s="944" t="s">
        <v>1746</v>
      </c>
      <c r="AQ478" s="663" t="s">
        <v>668</v>
      </c>
      <c r="AR478" s="658">
        <v>1.6000000000000001E-3</v>
      </c>
      <c r="AS478" s="658">
        <v>1.6000000000000001E-3</v>
      </c>
      <c r="AT478" s="658" t="s">
        <v>1417</v>
      </c>
      <c r="AU478" s="658" t="s">
        <v>2751</v>
      </c>
      <c r="AX478"/>
      <c r="AY478"/>
      <c r="BA478"/>
      <c r="BB478"/>
      <c r="BC478"/>
      <c r="BD478"/>
      <c r="BE478"/>
      <c r="BF478"/>
      <c r="BG478"/>
      <c r="BH478"/>
      <c r="BI478"/>
      <c r="BJ478"/>
      <c r="BR478"/>
      <c r="BS478"/>
      <c r="BT478"/>
      <c r="BU478"/>
      <c r="BX478"/>
      <c r="BY478"/>
      <c r="CA478"/>
    </row>
    <row r="479" spans="2:79" ht="18.75">
      <c r="B479" s="252" t="s">
        <v>2670</v>
      </c>
      <c r="C479" s="251">
        <v>43915616000103</v>
      </c>
      <c r="D479" s="252" t="s">
        <v>13</v>
      </c>
      <c r="E479" s="252" t="s">
        <v>615</v>
      </c>
      <c r="F479" s="252" t="s">
        <v>619</v>
      </c>
      <c r="G479" s="253" t="s">
        <v>34</v>
      </c>
      <c r="H479" s="253" t="s">
        <v>1337</v>
      </c>
      <c r="I479" s="253" t="s">
        <v>34</v>
      </c>
      <c r="J479" s="253" t="s">
        <v>608</v>
      </c>
      <c r="K479" s="253" t="s">
        <v>48</v>
      </c>
      <c r="L479" s="655"/>
      <c r="M479" s="655" t="s">
        <v>34</v>
      </c>
      <c r="N479" s="253" t="s">
        <v>3055</v>
      </c>
      <c r="O479" s="253" t="s">
        <v>1321</v>
      </c>
      <c r="P479" s="656">
        <v>44599</v>
      </c>
      <c r="Q479" s="657"/>
      <c r="R479" s="657"/>
      <c r="S479" s="253">
        <v>9</v>
      </c>
      <c r="T479" s="658"/>
      <c r="U479" s="659"/>
      <c r="V479" s="658"/>
      <c r="W479" s="659"/>
      <c r="X479" s="658"/>
      <c r="Y479" s="659"/>
      <c r="Z479" s="658"/>
      <c r="AA479" s="659"/>
      <c r="AB479" s="658"/>
      <c r="AC479" s="660"/>
      <c r="AD479" s="682">
        <v>44026158000106</v>
      </c>
      <c r="AE479" s="944" t="s">
        <v>1747</v>
      </c>
      <c r="AF479" s="661" t="s">
        <v>1745</v>
      </c>
      <c r="AG479" s="662" t="s">
        <v>1432</v>
      </c>
      <c r="AH479" s="662" t="s">
        <v>2119</v>
      </c>
      <c r="AI479" s="662">
        <v>0</v>
      </c>
      <c r="AJ479" s="662">
        <v>0</v>
      </c>
      <c r="AK479" s="662">
        <v>0</v>
      </c>
      <c r="AL479" s="658">
        <v>0</v>
      </c>
      <c r="AM479" s="658">
        <v>0</v>
      </c>
      <c r="AN479" s="659" t="s">
        <v>2127</v>
      </c>
      <c r="AO479" s="253" t="s">
        <v>4400</v>
      </c>
      <c r="AP479" s="944" t="s">
        <v>1746</v>
      </c>
      <c r="AQ479" s="663" t="s">
        <v>2177</v>
      </c>
      <c r="AR479" s="658">
        <v>0</v>
      </c>
      <c r="AS479" s="658">
        <v>0</v>
      </c>
      <c r="AT479" s="658" t="s">
        <v>1417</v>
      </c>
      <c r="AU479" s="658" t="s">
        <v>2751</v>
      </c>
      <c r="AX479"/>
      <c r="AY479"/>
      <c r="BA479"/>
      <c r="BB479"/>
      <c r="BC479"/>
      <c r="BD479"/>
      <c r="BE479"/>
      <c r="BF479"/>
      <c r="BG479"/>
      <c r="BH479"/>
      <c r="BI479"/>
      <c r="BJ479"/>
      <c r="BR479"/>
      <c r="BS479"/>
      <c r="BT479"/>
      <c r="BU479"/>
      <c r="BX479"/>
      <c r="BY479"/>
      <c r="CA479"/>
    </row>
    <row r="480" spans="2:79" ht="18.75">
      <c r="B480" s="252" t="s">
        <v>857</v>
      </c>
      <c r="C480" s="251">
        <v>42730656000100</v>
      </c>
      <c r="D480" s="252" t="s">
        <v>13</v>
      </c>
      <c r="E480" s="252" t="s">
        <v>615</v>
      </c>
      <c r="F480" s="252" t="s">
        <v>619</v>
      </c>
      <c r="G480" s="253" t="s">
        <v>34</v>
      </c>
      <c r="H480" s="253" t="s">
        <v>1337</v>
      </c>
      <c r="I480" s="253" t="s">
        <v>34</v>
      </c>
      <c r="J480" s="253" t="s">
        <v>611</v>
      </c>
      <c r="K480" s="253" t="s">
        <v>48</v>
      </c>
      <c r="L480" s="655"/>
      <c r="M480" s="655" t="s">
        <v>34</v>
      </c>
      <c r="N480" s="253" t="s">
        <v>3056</v>
      </c>
      <c r="O480" s="253" t="s">
        <v>1321</v>
      </c>
      <c r="P480" s="656">
        <v>44402</v>
      </c>
      <c r="Q480" s="657">
        <v>812.37430089999998</v>
      </c>
      <c r="R480" s="657">
        <v>639.04792686521932</v>
      </c>
      <c r="S480" s="253">
        <v>31</v>
      </c>
      <c r="T480" s="658">
        <v>1.3457441049140595E-2</v>
      </c>
      <c r="U480" s="659">
        <v>0.67292656039567289</v>
      </c>
      <c r="V480" s="658">
        <v>0.15591054465084531</v>
      </c>
      <c r="W480" s="659">
        <v>1.2091346176779707</v>
      </c>
      <c r="X480" s="658"/>
      <c r="Y480" s="659"/>
      <c r="Z480" s="658"/>
      <c r="AA480" s="659"/>
      <c r="AB480" s="658">
        <v>1.6973804061385718E-2</v>
      </c>
      <c r="AC480" s="660">
        <v>1.5887207785910682</v>
      </c>
      <c r="AD480" s="682">
        <v>0</v>
      </c>
      <c r="AE480" s="944" t="s">
        <v>1747</v>
      </c>
      <c r="AF480" s="661" t="s">
        <v>1745</v>
      </c>
      <c r="AG480" s="662" t="s">
        <v>1432</v>
      </c>
      <c r="AH480" s="662" t="s">
        <v>1801</v>
      </c>
      <c r="AI480" s="662">
        <v>1000</v>
      </c>
      <c r="AJ480" s="662">
        <v>100</v>
      </c>
      <c r="AK480" s="662">
        <v>100</v>
      </c>
      <c r="AL480" s="658">
        <v>0</v>
      </c>
      <c r="AM480" s="658">
        <v>0</v>
      </c>
      <c r="AN480" s="659" t="s">
        <v>2127</v>
      </c>
      <c r="AO480" s="253" t="s">
        <v>34</v>
      </c>
      <c r="AP480" s="944" t="s">
        <v>1746</v>
      </c>
      <c r="AQ480" s="663" t="s">
        <v>668</v>
      </c>
      <c r="AR480" s="658">
        <v>7.0000000000000001E-3</v>
      </c>
      <c r="AS480" s="658">
        <v>7.0000000000000001E-3</v>
      </c>
      <c r="AT480" s="658" t="s">
        <v>1417</v>
      </c>
      <c r="AU480" s="658" t="s">
        <v>2751</v>
      </c>
      <c r="AX480"/>
      <c r="AY480"/>
      <c r="BA480"/>
      <c r="BB480"/>
      <c r="BC480"/>
      <c r="BD480"/>
      <c r="BE480"/>
      <c r="BF480"/>
      <c r="BG480"/>
      <c r="BH480"/>
      <c r="BI480"/>
      <c r="BJ480"/>
      <c r="BR480"/>
      <c r="BS480"/>
      <c r="BT480"/>
      <c r="BU480"/>
      <c r="BX480"/>
      <c r="BY480"/>
      <c r="CA480"/>
    </row>
    <row r="481" spans="2:79" ht="18.75">
      <c r="B481" s="252" t="s">
        <v>1523</v>
      </c>
      <c r="C481" s="251">
        <v>11110904000196</v>
      </c>
      <c r="D481" s="252" t="s">
        <v>11</v>
      </c>
      <c r="E481" s="252" t="s">
        <v>620</v>
      </c>
      <c r="F481" s="252" t="s">
        <v>672</v>
      </c>
      <c r="G481" s="253" t="s">
        <v>738</v>
      </c>
      <c r="H481" s="253" t="s">
        <v>34</v>
      </c>
      <c r="I481" s="253" t="s">
        <v>1304</v>
      </c>
      <c r="J481" s="253" t="s">
        <v>608</v>
      </c>
      <c r="K481" s="253" t="s">
        <v>48</v>
      </c>
      <c r="L481" s="655"/>
      <c r="M481" s="655" t="s">
        <v>34</v>
      </c>
      <c r="N481" s="253" t="s">
        <v>3057</v>
      </c>
      <c r="O481" s="253" t="s">
        <v>1321</v>
      </c>
      <c r="P481" s="656">
        <v>40123</v>
      </c>
      <c r="Q481" s="657">
        <v>1006.055867</v>
      </c>
      <c r="R481" s="657">
        <v>672.05066102409637</v>
      </c>
      <c r="S481" s="253">
        <v>0</v>
      </c>
      <c r="T481" s="658">
        <v>1.9144305976893872E-2</v>
      </c>
      <c r="U481" s="659">
        <v>0.95729284082698751</v>
      </c>
      <c r="V481" s="658">
        <v>0.12427487813109517</v>
      </c>
      <c r="W481" s="659">
        <v>0.96379021439845547</v>
      </c>
      <c r="X481" s="658">
        <v>0.18278670645029638</v>
      </c>
      <c r="Y481" s="659">
        <v>0.94665099576392087</v>
      </c>
      <c r="Z481" s="658">
        <v>0.20362960718613943</v>
      </c>
      <c r="AA481" s="659">
        <v>0.91944408493571372</v>
      </c>
      <c r="AB481" s="658">
        <v>7.6201087576250454E-4</v>
      </c>
      <c r="AC481" s="660">
        <v>-6.1272502325129254</v>
      </c>
      <c r="AD481" s="682">
        <v>0</v>
      </c>
      <c r="AE481" s="944" t="s">
        <v>1747</v>
      </c>
      <c r="AF481" s="661" t="s">
        <v>1745</v>
      </c>
      <c r="AG481" s="662" t="s">
        <v>1432</v>
      </c>
      <c r="AH481" s="662" t="s">
        <v>1801</v>
      </c>
      <c r="AI481" s="662">
        <v>3000</v>
      </c>
      <c r="AJ481" s="662">
        <v>1000</v>
      </c>
      <c r="AK481" s="662">
        <v>1000</v>
      </c>
      <c r="AL481" s="658">
        <v>5.0000000000000001E-3</v>
      </c>
      <c r="AM481" s="658">
        <v>0</v>
      </c>
      <c r="AN481" s="659" t="s">
        <v>64</v>
      </c>
      <c r="AO481" s="253" t="s">
        <v>34</v>
      </c>
      <c r="AP481" s="944" t="s">
        <v>1735</v>
      </c>
      <c r="AQ481" s="663" t="s">
        <v>669</v>
      </c>
      <c r="AR481" s="658">
        <v>1.75E-3</v>
      </c>
      <c r="AS481" s="658">
        <v>1.75E-3</v>
      </c>
      <c r="AT481" s="658" t="s">
        <v>1417</v>
      </c>
      <c r="AU481" s="658" t="s">
        <v>2751</v>
      </c>
      <c r="AX481"/>
      <c r="AY481"/>
      <c r="BA481"/>
      <c r="BB481"/>
      <c r="BC481"/>
      <c r="BD481"/>
      <c r="BE481"/>
      <c r="BF481"/>
      <c r="BG481"/>
      <c r="BH481"/>
      <c r="BI481"/>
      <c r="BJ481"/>
      <c r="BR481"/>
      <c r="BS481"/>
      <c r="BT481"/>
      <c r="BU481"/>
      <c r="BX481"/>
      <c r="BY481"/>
      <c r="CA481"/>
    </row>
    <row r="482" spans="2:79" ht="18.75">
      <c r="B482" s="252" t="s">
        <v>153</v>
      </c>
      <c r="C482" s="251">
        <v>41287933000199</v>
      </c>
      <c r="D482" s="252" t="s">
        <v>14</v>
      </c>
      <c r="E482" s="252" t="s">
        <v>607</v>
      </c>
      <c r="F482" s="252" t="s">
        <v>1417</v>
      </c>
      <c r="G482" s="253" t="s">
        <v>1417</v>
      </c>
      <c r="H482" s="253" t="s">
        <v>34</v>
      </c>
      <c r="I482" s="253" t="s">
        <v>34</v>
      </c>
      <c r="J482" s="253" t="s">
        <v>611</v>
      </c>
      <c r="K482" s="253" t="s">
        <v>48</v>
      </c>
      <c r="L482" s="655"/>
      <c r="M482" s="655" t="s">
        <v>1414</v>
      </c>
      <c r="N482" s="253" t="s">
        <v>3058</v>
      </c>
      <c r="O482" s="253" t="s">
        <v>1321</v>
      </c>
      <c r="P482" s="656">
        <v>44302</v>
      </c>
      <c r="Q482" s="657">
        <v>52.90638534</v>
      </c>
      <c r="R482" s="657">
        <v>93.795777257379086</v>
      </c>
      <c r="S482" s="253">
        <v>6</v>
      </c>
      <c r="T482" s="658">
        <v>3.8126895170826902E-2</v>
      </c>
      <c r="U482" s="659">
        <v>1.9064991874892436</v>
      </c>
      <c r="V482" s="658">
        <v>-3.6379243290966645E-2</v>
      </c>
      <c r="W482" s="659">
        <v>-0.28213231200330069</v>
      </c>
      <c r="X482" s="658"/>
      <c r="Y482" s="659"/>
      <c r="Z482" s="658"/>
      <c r="AA482" s="659"/>
      <c r="AB482" s="658">
        <v>0.186779137390053</v>
      </c>
      <c r="AC482" s="660">
        <v>-0.88512643889402254</v>
      </c>
      <c r="AD482" s="682">
        <v>0</v>
      </c>
      <c r="AE482" s="944" t="s">
        <v>1797</v>
      </c>
      <c r="AF482" s="661" t="s">
        <v>1745</v>
      </c>
      <c r="AG482" s="662" t="s">
        <v>1432</v>
      </c>
      <c r="AH482" s="662" t="s">
        <v>1730</v>
      </c>
      <c r="AI482" s="662">
        <v>5000</v>
      </c>
      <c r="AJ482" s="662">
        <v>1000</v>
      </c>
      <c r="AK482" s="662">
        <v>5000</v>
      </c>
      <c r="AL482" s="658">
        <v>5.0000000000000001E-3</v>
      </c>
      <c r="AM482" s="658">
        <v>0.2</v>
      </c>
      <c r="AN482" s="659" t="s">
        <v>34</v>
      </c>
      <c r="AO482" s="253" t="s">
        <v>34</v>
      </c>
      <c r="AP482" s="944" t="s">
        <v>1731</v>
      </c>
      <c r="AQ482" s="663" t="s">
        <v>687</v>
      </c>
      <c r="AR482" s="658">
        <v>3.3333333333333301E-3</v>
      </c>
      <c r="AS482" s="658">
        <v>3.3333333333333301E-3</v>
      </c>
      <c r="AT482" s="658" t="s">
        <v>1417</v>
      </c>
      <c r="AU482" s="658" t="s">
        <v>2751</v>
      </c>
      <c r="AX482"/>
      <c r="AY482"/>
      <c r="BA482"/>
      <c r="BB482"/>
      <c r="BC482"/>
      <c r="BD482"/>
      <c r="BE482"/>
      <c r="BF482"/>
      <c r="BG482"/>
      <c r="BH482"/>
      <c r="BI482"/>
      <c r="BJ482"/>
      <c r="BR482"/>
      <c r="BS482"/>
      <c r="BT482"/>
      <c r="BU482"/>
      <c r="BX482"/>
      <c r="BY482"/>
      <c r="CA482"/>
    </row>
    <row r="483" spans="2:79" ht="18.75">
      <c r="B483" s="252" t="s">
        <v>1524</v>
      </c>
      <c r="C483" s="251">
        <v>20997959000150</v>
      </c>
      <c r="D483" s="252" t="s">
        <v>11</v>
      </c>
      <c r="E483" s="252" t="s">
        <v>620</v>
      </c>
      <c r="F483" s="252" t="s">
        <v>672</v>
      </c>
      <c r="G483" s="253" t="s">
        <v>738</v>
      </c>
      <c r="H483" s="253" t="s">
        <v>34</v>
      </c>
      <c r="I483" s="253" t="s">
        <v>1304</v>
      </c>
      <c r="J483" s="253" t="s">
        <v>608</v>
      </c>
      <c r="K483" s="253" t="s">
        <v>48</v>
      </c>
      <c r="L483" s="655"/>
      <c r="M483" s="655" t="s">
        <v>1417</v>
      </c>
      <c r="N483" s="253" t="s">
        <v>3062</v>
      </c>
      <c r="O483" s="253" t="s">
        <v>1321</v>
      </c>
      <c r="P483" s="656">
        <v>42013</v>
      </c>
      <c r="Q483" s="657">
        <v>823.78506200000004</v>
      </c>
      <c r="R483" s="657">
        <v>539.46342752822602</v>
      </c>
      <c r="S483" s="253">
        <v>1</v>
      </c>
      <c r="T483" s="658">
        <v>1.8869927532103592E-2</v>
      </c>
      <c r="U483" s="659">
        <v>0.9435728072466637</v>
      </c>
      <c r="V483" s="658">
        <v>0.13193167566074848</v>
      </c>
      <c r="W483" s="659">
        <v>1.0231710534198832</v>
      </c>
      <c r="X483" s="658">
        <v>0.2154686610021026</v>
      </c>
      <c r="Y483" s="659">
        <v>1.115910595768757</v>
      </c>
      <c r="Z483" s="658">
        <v>0.21310124010637277</v>
      </c>
      <c r="AA483" s="659">
        <v>0.96221113135657288</v>
      </c>
      <c r="AB483" s="658">
        <v>1.2481229599762055E-3</v>
      </c>
      <c r="AC483" s="660">
        <v>2.3938075892915949</v>
      </c>
      <c r="AD483" s="682">
        <v>0</v>
      </c>
      <c r="AE483" s="944" t="s">
        <v>1747</v>
      </c>
      <c r="AF483" s="661" t="s">
        <v>1745</v>
      </c>
      <c r="AG483" s="662" t="s">
        <v>1432</v>
      </c>
      <c r="AH483" s="662" t="s">
        <v>1801</v>
      </c>
      <c r="AI483" s="662">
        <v>1000</v>
      </c>
      <c r="AJ483" s="662">
        <v>0</v>
      </c>
      <c r="AK483" s="662">
        <v>0</v>
      </c>
      <c r="AL483" s="658">
        <v>7.4999999999999997E-3</v>
      </c>
      <c r="AM483" s="658">
        <v>0</v>
      </c>
      <c r="AN483" s="659" t="s">
        <v>34</v>
      </c>
      <c r="AO483" s="253" t="s">
        <v>4400</v>
      </c>
      <c r="AP483" s="944" t="s">
        <v>1746</v>
      </c>
      <c r="AQ483" s="663" t="s">
        <v>2177</v>
      </c>
      <c r="AR483" s="658">
        <v>0</v>
      </c>
      <c r="AS483" s="658">
        <v>0</v>
      </c>
      <c r="AT483" s="658" t="s">
        <v>1417</v>
      </c>
      <c r="AU483" s="658" t="s">
        <v>2751</v>
      </c>
      <c r="AX483"/>
      <c r="AY483"/>
      <c r="BA483"/>
      <c r="BB483"/>
      <c r="BC483"/>
      <c r="BD483"/>
      <c r="BE483"/>
      <c r="BF483"/>
      <c r="BG483"/>
      <c r="BH483"/>
      <c r="BI483"/>
      <c r="BJ483"/>
      <c r="BR483"/>
      <c r="BS483"/>
      <c r="BT483"/>
      <c r="BU483"/>
      <c r="BX483"/>
      <c r="BY483"/>
      <c r="CA483"/>
    </row>
    <row r="484" spans="2:79" ht="18.75">
      <c r="B484" s="252" t="s">
        <v>602</v>
      </c>
      <c r="C484" s="251">
        <v>43508596000148</v>
      </c>
      <c r="D484" s="252" t="s">
        <v>14</v>
      </c>
      <c r="E484" s="252" t="s">
        <v>607</v>
      </c>
      <c r="F484" s="252" t="s">
        <v>1417</v>
      </c>
      <c r="G484" s="253" t="s">
        <v>866</v>
      </c>
      <c r="H484" s="253" t="s">
        <v>34</v>
      </c>
      <c r="I484" s="253" t="s">
        <v>34</v>
      </c>
      <c r="J484" s="253" t="s">
        <v>611</v>
      </c>
      <c r="K484" s="253" t="s">
        <v>1417</v>
      </c>
      <c r="L484" s="655"/>
      <c r="M484" s="655" t="s">
        <v>1414</v>
      </c>
      <c r="N484" s="253" t="s">
        <v>3063</v>
      </c>
      <c r="O484" s="253" t="s">
        <v>1321</v>
      </c>
      <c r="P484" s="656">
        <v>44486</v>
      </c>
      <c r="Q484" s="657">
        <v>0.28000000000000003</v>
      </c>
      <c r="R484" s="657">
        <v>3.5924888888888873</v>
      </c>
      <c r="S484" s="253">
        <v>4</v>
      </c>
      <c r="T484" s="658">
        <v>-1.2820512820512775E-2</v>
      </c>
      <c r="U484" s="659">
        <v>-0.64107756915399861</v>
      </c>
      <c r="V484" s="658">
        <v>2.6666666666666394E-2</v>
      </c>
      <c r="W484" s="659">
        <v>0.20680826865786167</v>
      </c>
      <c r="X484" s="658"/>
      <c r="Y484" s="659"/>
      <c r="Z484" s="658"/>
      <c r="AA484" s="659"/>
      <c r="AB484" s="658">
        <v>0.33422308436945147</v>
      </c>
      <c r="AC484" s="660">
        <v>-0.30601489712501218</v>
      </c>
      <c r="AD484" s="682">
        <v>0</v>
      </c>
      <c r="AE484" s="944" t="s">
        <v>1747</v>
      </c>
      <c r="AF484" s="661" t="s">
        <v>1745</v>
      </c>
      <c r="AG484" s="662" t="s">
        <v>1432</v>
      </c>
      <c r="AH484" s="662" t="s">
        <v>1734</v>
      </c>
      <c r="AI484" s="662">
        <v>0</v>
      </c>
      <c r="AJ484" s="662">
        <v>0</v>
      </c>
      <c r="AK484" s="662">
        <v>0</v>
      </c>
      <c r="AL484" s="658">
        <v>0</v>
      </c>
      <c r="AM484" s="658">
        <v>0</v>
      </c>
      <c r="AN484" s="659" t="s">
        <v>2127</v>
      </c>
      <c r="AO484" s="253" t="s">
        <v>34</v>
      </c>
      <c r="AP484" s="944" t="s">
        <v>1746</v>
      </c>
      <c r="AQ484" s="663" t="s">
        <v>671</v>
      </c>
      <c r="AR484" s="658">
        <v>8.3325000000000001E-4</v>
      </c>
      <c r="AS484" s="658">
        <v>8.3325000000000001E-4</v>
      </c>
      <c r="AT484" s="658" t="s">
        <v>1417</v>
      </c>
      <c r="AU484" s="658" t="s">
        <v>2751</v>
      </c>
      <c r="AX484"/>
      <c r="AY484"/>
      <c r="BA484"/>
      <c r="BB484"/>
      <c r="BC484"/>
      <c r="BD484"/>
      <c r="BE484"/>
      <c r="BF484"/>
      <c r="BG484"/>
      <c r="BH484"/>
      <c r="BI484"/>
      <c r="BJ484"/>
      <c r="BR484"/>
      <c r="BS484"/>
      <c r="BT484"/>
      <c r="BU484"/>
      <c r="BX484"/>
      <c r="BY484"/>
      <c r="CA484"/>
    </row>
    <row r="485" spans="2:79" ht="18.75">
      <c r="B485" s="252" t="s">
        <v>859</v>
      </c>
      <c r="C485" s="251">
        <v>41771697000181</v>
      </c>
      <c r="D485" s="252" t="s">
        <v>13</v>
      </c>
      <c r="E485" s="252" t="s">
        <v>616</v>
      </c>
      <c r="F485" s="252" t="s">
        <v>701</v>
      </c>
      <c r="G485" s="253" t="s">
        <v>1417</v>
      </c>
      <c r="H485" s="253" t="s">
        <v>34</v>
      </c>
      <c r="I485" s="253" t="s">
        <v>34</v>
      </c>
      <c r="J485" s="253" t="s">
        <v>611</v>
      </c>
      <c r="K485" s="253" t="s">
        <v>49</v>
      </c>
      <c r="L485" s="655"/>
      <c r="M485" s="655" t="s">
        <v>34</v>
      </c>
      <c r="N485" s="253" t="s">
        <v>3064</v>
      </c>
      <c r="O485" s="253" t="s">
        <v>1321</v>
      </c>
      <c r="P485" s="656">
        <v>44331</v>
      </c>
      <c r="Q485" s="657">
        <v>5.8815017999999997</v>
      </c>
      <c r="R485" s="657">
        <v>6.2866778508835361</v>
      </c>
      <c r="S485" s="253">
        <v>4</v>
      </c>
      <c r="T485" s="658">
        <v>0.36593123585724352</v>
      </c>
      <c r="U485" s="659">
        <v>18.298043958548721</v>
      </c>
      <c r="V485" s="658">
        <v>-0.40190321118059857</v>
      </c>
      <c r="W485" s="659">
        <v>-3.1168840227110772</v>
      </c>
      <c r="X485" s="658"/>
      <c r="Y485" s="659"/>
      <c r="Z485" s="658"/>
      <c r="AA485" s="659"/>
      <c r="AB485" s="658">
        <v>0.55324614259014837</v>
      </c>
      <c r="AC485" s="660">
        <v>-0.95951346021520312</v>
      </c>
      <c r="AD485" s="682">
        <v>41673090000169</v>
      </c>
      <c r="AE485" s="944" t="s">
        <v>1747</v>
      </c>
      <c r="AF485" s="661" t="s">
        <v>1745</v>
      </c>
      <c r="AG485" s="662" t="s">
        <v>1432</v>
      </c>
      <c r="AH485" s="662" t="s">
        <v>1730</v>
      </c>
      <c r="AI485" s="662">
        <v>1000</v>
      </c>
      <c r="AJ485" s="662">
        <v>100</v>
      </c>
      <c r="AK485" s="662">
        <v>100</v>
      </c>
      <c r="AL485" s="658">
        <v>5.0000000000000001E-3</v>
      </c>
      <c r="AM485" s="658">
        <v>0</v>
      </c>
      <c r="AN485" s="659" t="s">
        <v>34</v>
      </c>
      <c r="AO485" s="253" t="s">
        <v>34</v>
      </c>
      <c r="AP485" s="944" t="s">
        <v>1746</v>
      </c>
      <c r="AQ485" s="663" t="s">
        <v>679</v>
      </c>
      <c r="AR485" s="658">
        <v>5.2500000000000003E-3</v>
      </c>
      <c r="AS485" s="658">
        <v>5.2500000000000003E-3</v>
      </c>
      <c r="AT485" s="658" t="s">
        <v>1417</v>
      </c>
      <c r="AU485" s="658" t="s">
        <v>2751</v>
      </c>
      <c r="AX485"/>
      <c r="AY485"/>
      <c r="BA485"/>
      <c r="BB485"/>
      <c r="BC485"/>
      <c r="BD485"/>
      <c r="BE485"/>
      <c r="BF485"/>
      <c r="BG485"/>
      <c r="BH485"/>
      <c r="BI485"/>
      <c r="BJ485"/>
      <c r="BR485"/>
      <c r="BS485"/>
      <c r="BT485"/>
      <c r="BU485"/>
      <c r="BX485"/>
      <c r="BY485"/>
      <c r="CA485"/>
    </row>
    <row r="486" spans="2:79" ht="18.75">
      <c r="B486" s="252" t="s">
        <v>1525</v>
      </c>
      <c r="C486" s="251">
        <v>41673090000169</v>
      </c>
      <c r="D486" s="252" t="s">
        <v>13</v>
      </c>
      <c r="E486" s="252" t="s">
        <v>616</v>
      </c>
      <c r="F486" s="252" t="s">
        <v>701</v>
      </c>
      <c r="G486" s="253" t="s">
        <v>1417</v>
      </c>
      <c r="H486" s="253" t="s">
        <v>34</v>
      </c>
      <c r="I486" s="253" t="s">
        <v>34</v>
      </c>
      <c r="J486" s="253" t="s">
        <v>611</v>
      </c>
      <c r="K486" s="253" t="s">
        <v>49</v>
      </c>
      <c r="L486" s="655"/>
      <c r="M486" s="655" t="s">
        <v>34</v>
      </c>
      <c r="N486" s="253" t="s">
        <v>3065</v>
      </c>
      <c r="O486" s="253" t="s">
        <v>1321</v>
      </c>
      <c r="P486" s="656">
        <v>44331</v>
      </c>
      <c r="Q486" s="657">
        <v>6.9127751999999996</v>
      </c>
      <c r="R486" s="657">
        <v>7.2508453173895635</v>
      </c>
      <c r="S486" s="253">
        <v>4</v>
      </c>
      <c r="T486" s="658">
        <v>0.36999490342939212</v>
      </c>
      <c r="U486" s="659">
        <v>18.50124379661095</v>
      </c>
      <c r="V486" s="658">
        <v>-0.3994871636482703</v>
      </c>
      <c r="W486" s="659">
        <v>-3.0981468249427309</v>
      </c>
      <c r="X486" s="658"/>
      <c r="Y486" s="659"/>
      <c r="Z486" s="658"/>
      <c r="AA486" s="659"/>
      <c r="AB486" s="658">
        <v>0.5572136645873591</v>
      </c>
      <c r="AC486" s="660">
        <v>-0.94834550313188171</v>
      </c>
      <c r="AD486" s="682">
        <v>0</v>
      </c>
      <c r="AE486" s="944" t="s">
        <v>1747</v>
      </c>
      <c r="AF486" s="661" t="s">
        <v>1745</v>
      </c>
      <c r="AG486" s="662" t="s">
        <v>1432</v>
      </c>
      <c r="AH486" s="662" t="s">
        <v>1730</v>
      </c>
      <c r="AI486" s="662">
        <v>1000</v>
      </c>
      <c r="AJ486" s="662">
        <v>100</v>
      </c>
      <c r="AK486" s="662">
        <v>100</v>
      </c>
      <c r="AL486" s="658">
        <v>0.01</v>
      </c>
      <c r="AM486" s="658">
        <v>0</v>
      </c>
      <c r="AN486" s="659" t="s">
        <v>34</v>
      </c>
      <c r="AO486" s="253" t="s">
        <v>34</v>
      </c>
      <c r="AP486" s="944" t="s">
        <v>1746</v>
      </c>
      <c r="AQ486" s="663" t="s">
        <v>679</v>
      </c>
      <c r="AR486" s="658">
        <v>0</v>
      </c>
      <c r="AS486" s="658">
        <v>0</v>
      </c>
      <c r="AT486" s="658" t="s">
        <v>1417</v>
      </c>
      <c r="AU486" s="658" t="s">
        <v>2751</v>
      </c>
      <c r="AX486"/>
      <c r="AY486"/>
      <c r="BA486"/>
      <c r="BB486"/>
      <c r="BC486"/>
      <c r="BD486"/>
      <c r="BE486"/>
      <c r="BF486"/>
      <c r="BG486"/>
      <c r="BH486"/>
      <c r="BI486"/>
      <c r="BJ486"/>
      <c r="BR486"/>
      <c r="BS486"/>
      <c r="BT486"/>
      <c r="BU486"/>
      <c r="BX486"/>
      <c r="BY486"/>
      <c r="CA486"/>
    </row>
    <row r="487" spans="2:79" ht="18.75">
      <c r="B487" s="252" t="s">
        <v>861</v>
      </c>
      <c r="C487" s="251">
        <v>40916758000199</v>
      </c>
      <c r="D487" s="252" t="s">
        <v>13</v>
      </c>
      <c r="E487" s="252" t="s">
        <v>616</v>
      </c>
      <c r="F487" s="252" t="s">
        <v>701</v>
      </c>
      <c r="G487" s="253" t="s">
        <v>1417</v>
      </c>
      <c r="H487" s="253" t="s">
        <v>34</v>
      </c>
      <c r="I487" s="253" t="s">
        <v>34</v>
      </c>
      <c r="J487" s="253" t="s">
        <v>611</v>
      </c>
      <c r="K487" s="253" t="s">
        <v>49</v>
      </c>
      <c r="L487" s="655"/>
      <c r="M487" s="655" t="s">
        <v>1414</v>
      </c>
      <c r="N487" s="253" t="s">
        <v>3066</v>
      </c>
      <c r="O487" s="253" t="s">
        <v>1321</v>
      </c>
      <c r="P487" s="656">
        <v>44289</v>
      </c>
      <c r="Q487" s="657">
        <v>10.26516556</v>
      </c>
      <c r="R487" s="657">
        <v>10.927418774838699</v>
      </c>
      <c r="S487" s="253">
        <v>3</v>
      </c>
      <c r="T487" s="658">
        <v>8.2113138189229273E-2</v>
      </c>
      <c r="U487" s="659">
        <v>4.1059895000246973</v>
      </c>
      <c r="V487" s="658">
        <v>1.4609872453045902E-2</v>
      </c>
      <c r="W487" s="659">
        <v>0.11330409102474902</v>
      </c>
      <c r="X487" s="658"/>
      <c r="Y487" s="659"/>
      <c r="Z487" s="658"/>
      <c r="AA487" s="659"/>
      <c r="AB487" s="658">
        <v>0.10510038934310642</v>
      </c>
      <c r="AC487" s="660">
        <v>-1.0878555037554831</v>
      </c>
      <c r="AD487" s="682">
        <v>0</v>
      </c>
      <c r="AE487" s="944" t="s">
        <v>1747</v>
      </c>
      <c r="AF487" s="661" t="s">
        <v>1745</v>
      </c>
      <c r="AG487" s="662" t="s">
        <v>1432</v>
      </c>
      <c r="AH487" s="662" t="s">
        <v>1734</v>
      </c>
      <c r="AI487" s="662">
        <v>1</v>
      </c>
      <c r="AJ487" s="662">
        <v>1</v>
      </c>
      <c r="AK487" s="662">
        <v>1</v>
      </c>
      <c r="AL487" s="658">
        <v>5.0000000000000001E-3</v>
      </c>
      <c r="AM487" s="658">
        <v>0</v>
      </c>
      <c r="AN487" s="659" t="s">
        <v>34</v>
      </c>
      <c r="AO487" s="253" t="s">
        <v>34</v>
      </c>
      <c r="AP487" s="944" t="s">
        <v>1746</v>
      </c>
      <c r="AQ487" s="663" t="s">
        <v>668</v>
      </c>
      <c r="AR487" s="658">
        <v>1.75E-3</v>
      </c>
      <c r="AS487" s="658">
        <v>1.75E-3</v>
      </c>
      <c r="AT487" s="658" t="s">
        <v>1417</v>
      </c>
      <c r="AU487" s="658" t="s">
        <v>2751</v>
      </c>
      <c r="AX487"/>
      <c r="AY487"/>
      <c r="BA487"/>
      <c r="BB487"/>
      <c r="BC487"/>
      <c r="BD487"/>
      <c r="BE487"/>
      <c r="BF487"/>
      <c r="BG487"/>
      <c r="BH487"/>
      <c r="BI487"/>
      <c r="BJ487"/>
      <c r="BR487"/>
      <c r="BS487"/>
      <c r="BT487"/>
      <c r="BU487"/>
      <c r="BX487"/>
      <c r="BY487"/>
      <c r="CA487"/>
    </row>
    <row r="488" spans="2:79" ht="18.75">
      <c r="B488" s="252" t="s">
        <v>862</v>
      </c>
      <c r="C488" s="251">
        <v>44347311000105</v>
      </c>
      <c r="D488" s="252" t="s">
        <v>13</v>
      </c>
      <c r="E488" s="252" t="s">
        <v>616</v>
      </c>
      <c r="F488" s="252" t="s">
        <v>701</v>
      </c>
      <c r="G488" s="253" t="s">
        <v>1417</v>
      </c>
      <c r="H488" s="253" t="s">
        <v>34</v>
      </c>
      <c r="I488" s="253" t="s">
        <v>34</v>
      </c>
      <c r="J488" s="253" t="s">
        <v>611</v>
      </c>
      <c r="K488" s="253" t="s">
        <v>49</v>
      </c>
      <c r="L488" s="655"/>
      <c r="M488" s="655" t="s">
        <v>1414</v>
      </c>
      <c r="N488" s="253" t="s">
        <v>3067</v>
      </c>
      <c r="O488" s="253" t="s">
        <v>1321</v>
      </c>
      <c r="P488" s="656">
        <v>44532</v>
      </c>
      <c r="Q488" s="657"/>
      <c r="R488" s="657"/>
      <c r="S488" s="253">
        <v>3</v>
      </c>
      <c r="T488" s="658"/>
      <c r="U488" s="659"/>
      <c r="V488" s="658"/>
      <c r="W488" s="659"/>
      <c r="X488" s="658"/>
      <c r="Y488" s="659"/>
      <c r="Z488" s="658"/>
      <c r="AA488" s="659"/>
      <c r="AB488" s="658"/>
      <c r="AC488" s="660"/>
      <c r="AD488" s="682">
        <v>0</v>
      </c>
      <c r="AE488" s="944" t="s">
        <v>1747</v>
      </c>
      <c r="AF488" s="661" t="s">
        <v>1745</v>
      </c>
      <c r="AG488" s="662" t="s">
        <v>1432</v>
      </c>
      <c r="AH488" s="662" t="s">
        <v>1734</v>
      </c>
      <c r="AI488" s="662">
        <v>1</v>
      </c>
      <c r="AJ488" s="662">
        <v>1</v>
      </c>
      <c r="AK488" s="662">
        <v>1</v>
      </c>
      <c r="AL488" s="658">
        <v>5.0000000000000001E-3</v>
      </c>
      <c r="AM488" s="658">
        <v>0</v>
      </c>
      <c r="AN488" s="659" t="s">
        <v>2127</v>
      </c>
      <c r="AO488" s="253" t="s">
        <v>34</v>
      </c>
      <c r="AP488" s="944" t="s">
        <v>1746</v>
      </c>
      <c r="AQ488" s="663" t="s">
        <v>668</v>
      </c>
      <c r="AR488" s="658">
        <v>1.75E-3</v>
      </c>
      <c r="AS488" s="658">
        <v>1.75E-3</v>
      </c>
      <c r="AT488" s="658" t="s">
        <v>1417</v>
      </c>
      <c r="AU488" s="658" t="s">
        <v>2751</v>
      </c>
      <c r="AX488"/>
      <c r="AY488"/>
      <c r="BA488"/>
      <c r="BB488"/>
      <c r="BC488"/>
      <c r="BD488"/>
      <c r="BE488"/>
      <c r="BF488"/>
      <c r="BG488"/>
      <c r="BH488"/>
      <c r="BI488"/>
      <c r="BJ488"/>
      <c r="BR488"/>
      <c r="BS488"/>
      <c r="BT488"/>
      <c r="BU488"/>
      <c r="BX488"/>
      <c r="BY488"/>
      <c r="CA488"/>
    </row>
    <row r="489" spans="2:79" ht="18.75">
      <c r="B489" s="252" t="s">
        <v>575</v>
      </c>
      <c r="C489" s="251">
        <v>42730726000120</v>
      </c>
      <c r="D489" s="252" t="s">
        <v>14</v>
      </c>
      <c r="E489" s="252" t="s">
        <v>614</v>
      </c>
      <c r="F489" s="252" t="s">
        <v>1417</v>
      </c>
      <c r="G489" s="253" t="s">
        <v>866</v>
      </c>
      <c r="H489" s="253" t="s">
        <v>1338</v>
      </c>
      <c r="I489" s="253" t="s">
        <v>34</v>
      </c>
      <c r="J489" s="253" t="s">
        <v>611</v>
      </c>
      <c r="K489" s="253" t="s">
        <v>48</v>
      </c>
      <c r="L489" s="655"/>
      <c r="M489" s="655" t="s">
        <v>1414</v>
      </c>
      <c r="N489" s="253" t="s">
        <v>3068</v>
      </c>
      <c r="O489" s="253" t="s">
        <v>1321</v>
      </c>
      <c r="P489" s="656">
        <v>44416</v>
      </c>
      <c r="Q489" s="657">
        <v>0</v>
      </c>
      <c r="R489" s="657">
        <v>0.9358974358974359</v>
      </c>
      <c r="S489" s="253">
        <v>3</v>
      </c>
      <c r="T489" s="658"/>
      <c r="U489" s="659"/>
      <c r="V489" s="658">
        <v>-0.20380073193259207</v>
      </c>
      <c r="W489" s="659">
        <v>-1.5805378695819292</v>
      </c>
      <c r="X489" s="658"/>
      <c r="Y489" s="659"/>
      <c r="Z489" s="658"/>
      <c r="AA489" s="659"/>
      <c r="AB489" s="658">
        <v>0.37855715734638962</v>
      </c>
      <c r="AC489" s="660">
        <v>-0.87898124476592698</v>
      </c>
      <c r="AD489" s="682">
        <v>42134357000102</v>
      </c>
      <c r="AE489" s="944" t="s">
        <v>1747</v>
      </c>
      <c r="AF489" s="661" t="s">
        <v>1745</v>
      </c>
      <c r="AG489" s="662" t="s">
        <v>1432</v>
      </c>
      <c r="AH489" s="662" t="s">
        <v>1734</v>
      </c>
      <c r="AI489" s="662">
        <v>0</v>
      </c>
      <c r="AJ489" s="662">
        <v>0</v>
      </c>
      <c r="AK489" s="662">
        <v>0</v>
      </c>
      <c r="AL489" s="658">
        <v>0</v>
      </c>
      <c r="AM489" s="658">
        <v>0</v>
      </c>
      <c r="AN489" s="659" t="s">
        <v>34</v>
      </c>
      <c r="AO489" s="253" t="s">
        <v>34</v>
      </c>
      <c r="AP489" s="944" t="s">
        <v>1731</v>
      </c>
      <c r="AQ489" s="663" t="s">
        <v>659</v>
      </c>
      <c r="AR489" s="658">
        <v>0</v>
      </c>
      <c r="AS489" s="658">
        <v>0</v>
      </c>
      <c r="AT489" s="658" t="s">
        <v>1417</v>
      </c>
      <c r="AU489" s="658" t="s">
        <v>2751</v>
      </c>
      <c r="AX489"/>
      <c r="AY489"/>
      <c r="BA489"/>
      <c r="BB489"/>
      <c r="BC489"/>
      <c r="BD489"/>
      <c r="BE489"/>
      <c r="BF489"/>
      <c r="BG489"/>
      <c r="BH489"/>
      <c r="BI489"/>
      <c r="BJ489"/>
      <c r="BR489"/>
      <c r="BS489"/>
      <c r="BT489"/>
      <c r="BU489"/>
      <c r="BX489"/>
      <c r="BY489"/>
      <c r="CA489"/>
    </row>
    <row r="490" spans="2:79" ht="18.75">
      <c r="B490" s="252" t="s">
        <v>863</v>
      </c>
      <c r="C490" s="251">
        <v>32743215000199</v>
      </c>
      <c r="D490" s="252" t="s">
        <v>14</v>
      </c>
      <c r="E490" s="252" t="s">
        <v>607</v>
      </c>
      <c r="F490" s="252" t="s">
        <v>672</v>
      </c>
      <c r="G490" s="253" t="s">
        <v>1417</v>
      </c>
      <c r="H490" s="253" t="s">
        <v>34</v>
      </c>
      <c r="I490" s="253" t="s">
        <v>34</v>
      </c>
      <c r="J490" s="253" t="s">
        <v>608</v>
      </c>
      <c r="K490" s="253" t="s">
        <v>48</v>
      </c>
      <c r="L490" s="655"/>
      <c r="M490" s="655" t="s">
        <v>1414</v>
      </c>
      <c r="N490" s="253" t="s">
        <v>3069</v>
      </c>
      <c r="O490" s="253" t="s">
        <v>1321</v>
      </c>
      <c r="P490" s="656">
        <v>43541</v>
      </c>
      <c r="Q490" s="657">
        <v>47.966159390000001</v>
      </c>
      <c r="R490" s="657">
        <v>78.034794205685472</v>
      </c>
      <c r="S490" s="253">
        <v>2</v>
      </c>
      <c r="T490" s="658">
        <v>-3.2218462216799137E-2</v>
      </c>
      <c r="U490" s="659">
        <v>-1.6110536083063978</v>
      </c>
      <c r="V490" s="658">
        <v>-4.7207524465130435E-2</v>
      </c>
      <c r="W490" s="659">
        <v>-0.36610899008465148</v>
      </c>
      <c r="X490" s="658">
        <v>-2.8341611652823562E-2</v>
      </c>
      <c r="Y490" s="659">
        <v>-0.14678099635213523</v>
      </c>
      <c r="Z490" s="658">
        <v>2.2707079932031249E-2</v>
      </c>
      <c r="AA490" s="659">
        <v>0.10252875609873341</v>
      </c>
      <c r="AB490" s="658">
        <v>0.21467935343683955</v>
      </c>
      <c r="AC490" s="660">
        <v>-0.82053272050562609</v>
      </c>
      <c r="AD490" s="682">
        <v>42427783000134</v>
      </c>
      <c r="AE490" s="944" t="s">
        <v>1747</v>
      </c>
      <c r="AF490" s="661" t="s">
        <v>1745</v>
      </c>
      <c r="AG490" s="662" t="s">
        <v>1432</v>
      </c>
      <c r="AH490" s="662" t="s">
        <v>1734</v>
      </c>
      <c r="AI490" s="662">
        <v>500</v>
      </c>
      <c r="AJ490" s="662">
        <v>500</v>
      </c>
      <c r="AK490" s="662">
        <v>500</v>
      </c>
      <c r="AL490" s="658">
        <v>1E-3</v>
      </c>
      <c r="AM490" s="658">
        <v>0</v>
      </c>
      <c r="AN490" s="659" t="s">
        <v>666</v>
      </c>
      <c r="AO490" s="253" t="s">
        <v>34</v>
      </c>
      <c r="AP490" s="944" t="s">
        <v>1731</v>
      </c>
      <c r="AQ490" s="663" t="s">
        <v>697</v>
      </c>
      <c r="AR490" s="658">
        <v>3.5E-4</v>
      </c>
      <c r="AS490" s="658">
        <v>3.5E-4</v>
      </c>
      <c r="AT490" s="658" t="s">
        <v>1417</v>
      </c>
      <c r="AU490" s="658" t="s">
        <v>2751</v>
      </c>
      <c r="AX490"/>
      <c r="AY490"/>
      <c r="BA490"/>
      <c r="BB490"/>
      <c r="BC490"/>
      <c r="BD490"/>
      <c r="BE490"/>
      <c r="BF490"/>
      <c r="BG490"/>
      <c r="BH490"/>
      <c r="BI490"/>
      <c r="BJ490"/>
      <c r="BR490"/>
      <c r="BS490"/>
      <c r="BT490"/>
      <c r="BU490"/>
      <c r="BX490"/>
      <c r="BY490"/>
      <c r="CA490"/>
    </row>
    <row r="491" spans="2:79" ht="18.75">
      <c r="B491" s="252" t="s">
        <v>1526</v>
      </c>
      <c r="C491" s="251">
        <v>36498594000150</v>
      </c>
      <c r="D491" s="252" t="s">
        <v>13</v>
      </c>
      <c r="E491" s="252" t="s">
        <v>616</v>
      </c>
      <c r="F491" s="252" t="s">
        <v>699</v>
      </c>
      <c r="G491" s="253" t="s">
        <v>1417</v>
      </c>
      <c r="H491" s="253" t="s">
        <v>34</v>
      </c>
      <c r="I491" s="253" t="s">
        <v>34</v>
      </c>
      <c r="J491" s="253" t="s">
        <v>611</v>
      </c>
      <c r="K491" s="253" t="s">
        <v>48</v>
      </c>
      <c r="L491" s="655"/>
      <c r="M491" s="655" t="s">
        <v>34</v>
      </c>
      <c r="N491" s="253" t="s">
        <v>3070</v>
      </c>
      <c r="O491" s="253" t="s">
        <v>1321</v>
      </c>
      <c r="P491" s="656">
        <v>43952</v>
      </c>
      <c r="Q491" s="657">
        <v>9.14688342</v>
      </c>
      <c r="R491" s="657">
        <v>11.163245933734942</v>
      </c>
      <c r="S491" s="253">
        <v>8</v>
      </c>
      <c r="T491" s="658">
        <v>4.2251907704413671E-3</v>
      </c>
      <c r="U491" s="659">
        <v>0.21127665220946479</v>
      </c>
      <c r="V491" s="658">
        <v>2.4266631875798028E-2</v>
      </c>
      <c r="W491" s="659">
        <v>0.18819525466468198</v>
      </c>
      <c r="X491" s="658">
        <v>0.14467584946888601</v>
      </c>
      <c r="Y491" s="659">
        <v>0.74927515037836601</v>
      </c>
      <c r="Z491" s="658"/>
      <c r="AA491" s="659"/>
      <c r="AB491" s="658">
        <v>0.15215233064501357</v>
      </c>
      <c r="AC491" s="660">
        <v>-0.68797682642938118</v>
      </c>
      <c r="AD491" s="682">
        <v>33600729000158</v>
      </c>
      <c r="AE491" s="944" t="s">
        <v>1747</v>
      </c>
      <c r="AF491" s="661" t="s">
        <v>1745</v>
      </c>
      <c r="AG491" s="662" t="s">
        <v>1432</v>
      </c>
      <c r="AH491" s="662" t="s">
        <v>1734</v>
      </c>
      <c r="AI491" s="662">
        <v>500</v>
      </c>
      <c r="AJ491" s="662">
        <v>500</v>
      </c>
      <c r="AK491" s="662">
        <v>500</v>
      </c>
      <c r="AL491" s="658">
        <v>2E-3</v>
      </c>
      <c r="AM491" s="658">
        <v>0</v>
      </c>
      <c r="AN491" s="659" t="s">
        <v>64</v>
      </c>
      <c r="AO491" s="253" t="s">
        <v>34</v>
      </c>
      <c r="AP491" s="944" t="s">
        <v>1746</v>
      </c>
      <c r="AQ491" s="663" t="s">
        <v>671</v>
      </c>
      <c r="AR491" s="658">
        <v>0</v>
      </c>
      <c r="AS491" s="658">
        <v>0</v>
      </c>
      <c r="AT491" s="658" t="s">
        <v>1417</v>
      </c>
      <c r="AU491" s="658" t="s">
        <v>2751</v>
      </c>
      <c r="AX491"/>
      <c r="AY491"/>
      <c r="BA491"/>
      <c r="BB491"/>
      <c r="BC491"/>
      <c r="BD491"/>
      <c r="BE491"/>
      <c r="BF491"/>
      <c r="BG491"/>
      <c r="BH491"/>
      <c r="BI491"/>
      <c r="BJ491"/>
      <c r="BR491"/>
      <c r="BS491"/>
      <c r="BT491"/>
      <c r="BU491"/>
      <c r="BX491"/>
      <c r="BY491"/>
      <c r="CA491"/>
    </row>
    <row r="492" spans="2:79" ht="18.75">
      <c r="B492" s="252" t="s">
        <v>1527</v>
      </c>
      <c r="C492" s="251">
        <v>36727910000118</v>
      </c>
      <c r="D492" s="252" t="s">
        <v>13</v>
      </c>
      <c r="E492" s="252" t="s">
        <v>616</v>
      </c>
      <c r="F492" s="252" t="s">
        <v>699</v>
      </c>
      <c r="G492" s="253" t="s">
        <v>1417</v>
      </c>
      <c r="H492" s="253" t="s">
        <v>34</v>
      </c>
      <c r="I492" s="253" t="s">
        <v>34</v>
      </c>
      <c r="J492" s="253" t="s">
        <v>611</v>
      </c>
      <c r="K492" s="253" t="s">
        <v>49</v>
      </c>
      <c r="L492" s="655"/>
      <c r="M492" s="655" t="s">
        <v>34</v>
      </c>
      <c r="N492" s="253" t="s">
        <v>3071</v>
      </c>
      <c r="O492" s="253" t="s">
        <v>1321</v>
      </c>
      <c r="P492" s="656">
        <v>43943</v>
      </c>
      <c r="Q492" s="657">
        <v>9.3049381100000002</v>
      </c>
      <c r="R492" s="657">
        <v>10.932124748072285</v>
      </c>
      <c r="S492" s="253">
        <v>5</v>
      </c>
      <c r="T492" s="658">
        <v>-2.5836982715581769E-2</v>
      </c>
      <c r="U492" s="659">
        <v>-1.2919537857391694</v>
      </c>
      <c r="V492" s="658">
        <v>-5.1156962081240098E-2</v>
      </c>
      <c r="W492" s="659">
        <v>-0.39673810341814697</v>
      </c>
      <c r="X492" s="658">
        <v>-6.100034415848743E-2</v>
      </c>
      <c r="Y492" s="659">
        <v>-0.31592032955239219</v>
      </c>
      <c r="Z492" s="658"/>
      <c r="AA492" s="659"/>
      <c r="AB492" s="658">
        <v>0.20714720678145437</v>
      </c>
      <c r="AC492" s="660">
        <v>-0.86943422663690317</v>
      </c>
      <c r="AD492" s="682">
        <v>34979818000110</v>
      </c>
      <c r="AE492" s="944" t="s">
        <v>1747</v>
      </c>
      <c r="AF492" s="661" t="s">
        <v>1745</v>
      </c>
      <c r="AG492" s="662" t="s">
        <v>1432</v>
      </c>
      <c r="AH492" s="662" t="s">
        <v>1734</v>
      </c>
      <c r="AI492" s="662">
        <v>500</v>
      </c>
      <c r="AJ492" s="662">
        <v>500</v>
      </c>
      <c r="AK492" s="662">
        <v>500</v>
      </c>
      <c r="AL492" s="658">
        <v>2E-3</v>
      </c>
      <c r="AM492" s="658">
        <v>0</v>
      </c>
      <c r="AN492" s="659" t="s">
        <v>34</v>
      </c>
      <c r="AO492" s="253" t="s">
        <v>34</v>
      </c>
      <c r="AP492" s="944" t="s">
        <v>1746</v>
      </c>
      <c r="AQ492" s="663" t="s">
        <v>671</v>
      </c>
      <c r="AR492" s="658">
        <v>0</v>
      </c>
      <c r="AS492" s="658">
        <v>0</v>
      </c>
      <c r="AT492" s="658" t="s">
        <v>1417</v>
      </c>
      <c r="AU492" s="658" t="s">
        <v>2751</v>
      </c>
      <c r="AX492"/>
      <c r="AY492"/>
      <c r="BA492"/>
      <c r="BB492"/>
      <c r="BC492"/>
      <c r="BD492"/>
      <c r="BE492"/>
      <c r="BF492"/>
      <c r="BG492"/>
      <c r="BH492"/>
      <c r="BI492"/>
      <c r="BJ492"/>
      <c r="BR492"/>
      <c r="BS492"/>
      <c r="BT492"/>
      <c r="BU492"/>
      <c r="BX492"/>
      <c r="BY492"/>
      <c r="CA492"/>
    </row>
    <row r="493" spans="2:79" ht="18.75">
      <c r="B493" s="252" t="s">
        <v>497</v>
      </c>
      <c r="C493" s="251">
        <v>43274439000115</v>
      </c>
      <c r="D493" s="252" t="s">
        <v>14</v>
      </c>
      <c r="E493" s="252" t="s">
        <v>607</v>
      </c>
      <c r="F493" s="252" t="s">
        <v>1417</v>
      </c>
      <c r="G493" s="253" t="s">
        <v>1417</v>
      </c>
      <c r="H493" s="253" t="s">
        <v>34</v>
      </c>
      <c r="I493" s="253" t="s">
        <v>34</v>
      </c>
      <c r="J493" s="253" t="s">
        <v>611</v>
      </c>
      <c r="K493" s="253" t="s">
        <v>1417</v>
      </c>
      <c r="L493" s="655"/>
      <c r="M493" s="655" t="s">
        <v>1414</v>
      </c>
      <c r="N493" s="253" t="s">
        <v>3072</v>
      </c>
      <c r="O493" s="253" t="s">
        <v>1321</v>
      </c>
      <c r="P493" s="656">
        <v>44444</v>
      </c>
      <c r="Q493" s="657">
        <v>1.52</v>
      </c>
      <c r="R493" s="657">
        <v>5.2779385964912269</v>
      </c>
      <c r="S493" s="253">
        <v>4</v>
      </c>
      <c r="T493" s="658">
        <v>0.15277777777777768</v>
      </c>
      <c r="U493" s="659">
        <v>7.639507699085172</v>
      </c>
      <c r="V493" s="658">
        <v>-0.15306122448979675</v>
      </c>
      <c r="W493" s="659">
        <v>-1.1870372563270308</v>
      </c>
      <c r="X493" s="658"/>
      <c r="Y493" s="659"/>
      <c r="Z493" s="658"/>
      <c r="AA493" s="659"/>
      <c r="AB493" s="658">
        <v>0.41948691103009439</v>
      </c>
      <c r="AC493" s="660">
        <v>-0.67226205757908331</v>
      </c>
      <c r="AD493" s="682">
        <v>0</v>
      </c>
      <c r="AE493" s="944" t="s">
        <v>1747</v>
      </c>
      <c r="AF493" s="661" t="s">
        <v>1745</v>
      </c>
      <c r="AG493" s="662" t="s">
        <v>1432</v>
      </c>
      <c r="AH493" s="662" t="s">
        <v>1801</v>
      </c>
      <c r="AI493" s="662">
        <v>0</v>
      </c>
      <c r="AJ493" s="662">
        <v>0</v>
      </c>
      <c r="AK493" s="662">
        <v>0</v>
      </c>
      <c r="AL493" s="658">
        <v>0</v>
      </c>
      <c r="AM493" s="658">
        <v>0</v>
      </c>
      <c r="AN493" s="659" t="s">
        <v>34</v>
      </c>
      <c r="AO493" s="253" t="s">
        <v>34</v>
      </c>
      <c r="AP493" s="944" t="s">
        <v>1746</v>
      </c>
      <c r="AQ493" s="663" t="s">
        <v>671</v>
      </c>
      <c r="AR493" s="658">
        <v>8.3325000000000001E-4</v>
      </c>
      <c r="AS493" s="658">
        <v>8.3325000000000001E-4</v>
      </c>
      <c r="AT493" s="658" t="s">
        <v>1417</v>
      </c>
      <c r="AU493" s="658" t="s">
        <v>2751</v>
      </c>
      <c r="AX493"/>
      <c r="AY493"/>
      <c r="BA493"/>
      <c r="BB493"/>
      <c r="BC493"/>
      <c r="BD493"/>
      <c r="BE493"/>
      <c r="BF493"/>
      <c r="BG493"/>
      <c r="BH493"/>
      <c r="BI493"/>
      <c r="BJ493"/>
      <c r="BR493"/>
      <c r="BS493"/>
      <c r="BT493"/>
      <c r="BU493"/>
      <c r="BX493"/>
      <c r="BY493"/>
      <c r="CA493"/>
    </row>
    <row r="494" spans="2:79" ht="18.75">
      <c r="B494" s="252" t="s">
        <v>154</v>
      </c>
      <c r="C494" s="251">
        <v>36499594000174</v>
      </c>
      <c r="D494" s="252" t="s">
        <v>14</v>
      </c>
      <c r="E494" s="252" t="s">
        <v>607</v>
      </c>
      <c r="F494" s="252" t="s">
        <v>672</v>
      </c>
      <c r="G494" s="253" t="s">
        <v>1417</v>
      </c>
      <c r="H494" s="253" t="s">
        <v>34</v>
      </c>
      <c r="I494" s="253" t="s">
        <v>34</v>
      </c>
      <c r="J494" s="253" t="s">
        <v>611</v>
      </c>
      <c r="K494" s="253" t="s">
        <v>48</v>
      </c>
      <c r="L494" s="655"/>
      <c r="M494" s="655" t="s">
        <v>1414</v>
      </c>
      <c r="N494" s="253" t="s">
        <v>3073</v>
      </c>
      <c r="O494" s="253" t="s">
        <v>1321</v>
      </c>
      <c r="P494" s="656">
        <v>43925</v>
      </c>
      <c r="Q494" s="657">
        <v>485.53314791000003</v>
      </c>
      <c r="R494" s="657">
        <v>429.98203356096366</v>
      </c>
      <c r="S494" s="253">
        <v>2</v>
      </c>
      <c r="T494" s="658">
        <v>4.643473854165725E-2</v>
      </c>
      <c r="U494" s="659">
        <v>2.3219250060698036</v>
      </c>
      <c r="V494" s="658">
        <v>3.768252894860824E-2</v>
      </c>
      <c r="W494" s="659">
        <v>0.29223969639418135</v>
      </c>
      <c r="X494" s="658">
        <v>0.25394461400681956</v>
      </c>
      <c r="Y494" s="659">
        <v>1.3151772707486764</v>
      </c>
      <c r="Z494" s="658"/>
      <c r="AA494" s="659"/>
      <c r="AB494" s="658">
        <v>0.23866231799889839</v>
      </c>
      <c r="AC494" s="660">
        <v>-0.38238705323645333</v>
      </c>
      <c r="AD494" s="682">
        <v>0</v>
      </c>
      <c r="AE494" s="944" t="s">
        <v>1747</v>
      </c>
      <c r="AF494" s="661" t="s">
        <v>1745</v>
      </c>
      <c r="AG494" s="662" t="s">
        <v>1432</v>
      </c>
      <c r="AH494" s="662" t="s">
        <v>1734</v>
      </c>
      <c r="AI494" s="662">
        <v>500</v>
      </c>
      <c r="AJ494" s="662">
        <v>100</v>
      </c>
      <c r="AK494" s="662">
        <v>100</v>
      </c>
      <c r="AL494" s="658">
        <v>2E-3</v>
      </c>
      <c r="AM494" s="658">
        <v>0</v>
      </c>
      <c r="AN494" s="659" t="s">
        <v>2122</v>
      </c>
      <c r="AO494" s="253" t="s">
        <v>34</v>
      </c>
      <c r="AP494" s="944" t="s">
        <v>1746</v>
      </c>
      <c r="AQ494" s="663" t="s">
        <v>668</v>
      </c>
      <c r="AR494" s="658">
        <v>6.9999999999999999E-4</v>
      </c>
      <c r="AS494" s="658">
        <v>6.9999999999999999E-4</v>
      </c>
      <c r="AT494" s="658" t="s">
        <v>1417</v>
      </c>
      <c r="AU494" s="658" t="s">
        <v>2751</v>
      </c>
      <c r="AX494"/>
      <c r="AY494"/>
      <c r="BA494"/>
      <c r="BB494"/>
      <c r="BC494"/>
      <c r="BD494"/>
      <c r="BE494"/>
      <c r="BF494"/>
      <c r="BG494"/>
      <c r="BH494"/>
      <c r="BI494"/>
      <c r="BJ494"/>
      <c r="BR494"/>
      <c r="BS494"/>
      <c r="BT494"/>
      <c r="BU494"/>
      <c r="BX494"/>
      <c r="BY494"/>
      <c r="CA494"/>
    </row>
    <row r="495" spans="2:79" ht="18.75">
      <c r="B495" s="252" t="s">
        <v>867</v>
      </c>
      <c r="C495" s="251">
        <v>43140671000160</v>
      </c>
      <c r="D495" s="252" t="s">
        <v>11</v>
      </c>
      <c r="E495" s="252" t="s">
        <v>661</v>
      </c>
      <c r="F495" s="252" t="s">
        <v>672</v>
      </c>
      <c r="G495" s="253" t="s">
        <v>865</v>
      </c>
      <c r="H495" s="253" t="s">
        <v>34</v>
      </c>
      <c r="I495" s="253" t="s">
        <v>1417</v>
      </c>
      <c r="J495" s="253" t="s">
        <v>608</v>
      </c>
      <c r="K495" s="253" t="s">
        <v>48</v>
      </c>
      <c r="L495" s="655"/>
      <c r="M495" s="655" t="s">
        <v>1414</v>
      </c>
      <c r="N495" s="253" t="s">
        <v>3077</v>
      </c>
      <c r="O495" s="253" t="s">
        <v>1321</v>
      </c>
      <c r="P495" s="656">
        <v>44532</v>
      </c>
      <c r="Q495" s="657">
        <v>138.78483291000001</v>
      </c>
      <c r="R495" s="657">
        <v>127.93587377742222</v>
      </c>
      <c r="S495" s="253">
        <v>2</v>
      </c>
      <c r="T495" s="658">
        <v>1.6367954782235961E-2</v>
      </c>
      <c r="U495" s="659">
        <v>0.81846403577783777</v>
      </c>
      <c r="V495" s="658">
        <v>8.9218953628061648E-2</v>
      </c>
      <c r="W495" s="659">
        <v>0.69192064992321245</v>
      </c>
      <c r="X495" s="658"/>
      <c r="Y495" s="659"/>
      <c r="Z495" s="658"/>
      <c r="AA495" s="659"/>
      <c r="AB495" s="658">
        <v>5.2965226744290279E-2</v>
      </c>
      <c r="AC495" s="660">
        <v>-0.75001955548144816</v>
      </c>
      <c r="AD495" s="682">
        <v>0</v>
      </c>
      <c r="AE495" s="944" t="s">
        <v>1747</v>
      </c>
      <c r="AF495" s="661" t="s">
        <v>1745</v>
      </c>
      <c r="AG495" s="662" t="s">
        <v>1432</v>
      </c>
      <c r="AH495" s="662" t="s">
        <v>1734</v>
      </c>
      <c r="AI495" s="662">
        <v>3000</v>
      </c>
      <c r="AJ495" s="662">
        <v>1000</v>
      </c>
      <c r="AK495" s="662">
        <v>1000</v>
      </c>
      <c r="AL495" s="658">
        <v>0</v>
      </c>
      <c r="AM495" s="658">
        <v>0</v>
      </c>
      <c r="AN495" s="659" t="s">
        <v>633</v>
      </c>
      <c r="AO495" s="253" t="s">
        <v>34</v>
      </c>
      <c r="AP495" s="944" t="s">
        <v>1735</v>
      </c>
      <c r="AQ495" s="663" t="s">
        <v>680</v>
      </c>
      <c r="AR495" s="658">
        <v>6.9999999999999999E-4</v>
      </c>
      <c r="AS495" s="658">
        <v>6.9999999999999999E-4</v>
      </c>
      <c r="AT495" s="658" t="s">
        <v>1417</v>
      </c>
      <c r="AU495" s="658" t="s">
        <v>2751</v>
      </c>
      <c r="AX495"/>
      <c r="AY495"/>
      <c r="BA495"/>
      <c r="BB495"/>
      <c r="BC495"/>
      <c r="BD495"/>
      <c r="BE495"/>
      <c r="BF495"/>
      <c r="BG495"/>
      <c r="BH495"/>
      <c r="BI495"/>
      <c r="BJ495"/>
      <c r="BR495"/>
      <c r="BS495"/>
      <c r="BT495"/>
      <c r="BU495"/>
      <c r="BX495"/>
      <c r="BY495"/>
      <c r="CA495"/>
    </row>
    <row r="496" spans="2:79" ht="18.75">
      <c r="B496" s="252" t="s">
        <v>1528</v>
      </c>
      <c r="C496" s="251">
        <v>9215250000113</v>
      </c>
      <c r="D496" s="252" t="s">
        <v>11</v>
      </c>
      <c r="E496" s="252" t="s">
        <v>620</v>
      </c>
      <c r="F496" s="252" t="s">
        <v>672</v>
      </c>
      <c r="G496" s="253" t="s">
        <v>738</v>
      </c>
      <c r="H496" s="253" t="s">
        <v>34</v>
      </c>
      <c r="I496" s="253" t="s">
        <v>1304</v>
      </c>
      <c r="J496" s="253" t="s">
        <v>608</v>
      </c>
      <c r="K496" s="253" t="s">
        <v>48</v>
      </c>
      <c r="L496" s="655"/>
      <c r="M496" s="655" t="s">
        <v>34</v>
      </c>
      <c r="N496" s="253" t="s">
        <v>3078</v>
      </c>
      <c r="O496" s="253" t="s">
        <v>1321</v>
      </c>
      <c r="P496" s="656">
        <v>39494</v>
      </c>
      <c r="Q496" s="657">
        <v>11798.2374144</v>
      </c>
      <c r="R496" s="657">
        <v>14000.47702007808</v>
      </c>
      <c r="S496" s="253">
        <v>0</v>
      </c>
      <c r="T496" s="658">
        <v>1.9795458362760421E-2</v>
      </c>
      <c r="U496" s="659">
        <v>0.98985309754403961</v>
      </c>
      <c r="V496" s="658">
        <v>0.12750772046765779</v>
      </c>
      <c r="W496" s="659">
        <v>0.9888619091410189</v>
      </c>
      <c r="X496" s="658">
        <v>0.19104414694501259</v>
      </c>
      <c r="Y496" s="659">
        <v>0.98941621878581509</v>
      </c>
      <c r="Z496" s="658">
        <v>0.20973980829947592</v>
      </c>
      <c r="AA496" s="659">
        <v>0.94703333558082947</v>
      </c>
      <c r="AB496" s="658">
        <v>6.0839362844572616E-4</v>
      </c>
      <c r="AC496" s="660">
        <v>-2.3606246219238298</v>
      </c>
      <c r="AD496" s="682">
        <v>0</v>
      </c>
      <c r="AE496" s="944" t="s">
        <v>1747</v>
      </c>
      <c r="AF496" s="661" t="s">
        <v>1745</v>
      </c>
      <c r="AG496" s="662" t="s">
        <v>1432</v>
      </c>
      <c r="AH496" s="662" t="s">
        <v>1734</v>
      </c>
      <c r="AI496" s="662">
        <v>1000</v>
      </c>
      <c r="AJ496" s="662">
        <v>100</v>
      </c>
      <c r="AK496" s="662">
        <v>1000</v>
      </c>
      <c r="AL496" s="658">
        <v>2E-3</v>
      </c>
      <c r="AM496" s="658">
        <v>0</v>
      </c>
      <c r="AN496" s="659" t="s">
        <v>64</v>
      </c>
      <c r="AO496" s="253" t="s">
        <v>34</v>
      </c>
      <c r="AP496" s="944" t="s">
        <v>1735</v>
      </c>
      <c r="AQ496" s="663" t="s">
        <v>669</v>
      </c>
      <c r="AR496" s="658">
        <v>6.9999999999999999E-4</v>
      </c>
      <c r="AS496" s="658">
        <v>6.9999999999999999E-4</v>
      </c>
      <c r="AT496" s="658" t="s">
        <v>1417</v>
      </c>
      <c r="AU496" s="658" t="s">
        <v>2751</v>
      </c>
      <c r="AX496"/>
      <c r="AY496"/>
      <c r="BA496"/>
      <c r="BB496"/>
      <c r="BC496"/>
      <c r="BD496"/>
      <c r="BE496"/>
      <c r="BF496"/>
      <c r="BG496"/>
      <c r="BH496"/>
      <c r="BI496"/>
      <c r="BJ496"/>
      <c r="BR496"/>
      <c r="BS496"/>
      <c r="BT496"/>
      <c r="BU496"/>
      <c r="BX496"/>
      <c r="BY496"/>
      <c r="CA496"/>
    </row>
    <row r="497" spans="2:79" ht="18.75">
      <c r="B497" s="252" t="s">
        <v>1529</v>
      </c>
      <c r="C497" s="251">
        <v>37927707000158</v>
      </c>
      <c r="D497" s="252" t="s">
        <v>11</v>
      </c>
      <c r="E497" s="252" t="s">
        <v>620</v>
      </c>
      <c r="F497" s="252" t="s">
        <v>672</v>
      </c>
      <c r="G497" s="253" t="s">
        <v>738</v>
      </c>
      <c r="H497" s="253" t="s">
        <v>34</v>
      </c>
      <c r="I497" s="253" t="s">
        <v>1304</v>
      </c>
      <c r="J497" s="253" t="s">
        <v>608</v>
      </c>
      <c r="K497" s="253" t="s">
        <v>48</v>
      </c>
      <c r="L497" s="655"/>
      <c r="M497" s="655" t="s">
        <v>34</v>
      </c>
      <c r="N497" s="253" t="s">
        <v>3079</v>
      </c>
      <c r="O497" s="253" t="s">
        <v>1321</v>
      </c>
      <c r="P497" s="656">
        <v>44056</v>
      </c>
      <c r="Q497" s="657">
        <v>655.22624185999996</v>
      </c>
      <c r="R497" s="657">
        <v>440.79492915674695</v>
      </c>
      <c r="S497" s="253">
        <v>0</v>
      </c>
      <c r="T497" s="658">
        <v>1.9999265198885174E-2</v>
      </c>
      <c r="U497" s="659">
        <v>1.0000442648482659</v>
      </c>
      <c r="V497" s="658">
        <v>0.12864117139129383</v>
      </c>
      <c r="W497" s="659">
        <v>0.99765217250823734</v>
      </c>
      <c r="X497" s="658">
        <v>0.1936630834517119</v>
      </c>
      <c r="Y497" s="659">
        <v>1.0029796715119768</v>
      </c>
      <c r="Z497" s="658"/>
      <c r="AA497" s="659"/>
      <c r="AB497" s="658">
        <v>7.984931371875603E-4</v>
      </c>
      <c r="AC497" s="660">
        <v>-0.37913670311659986</v>
      </c>
      <c r="AD497" s="682">
        <v>0</v>
      </c>
      <c r="AE497" s="944" t="s">
        <v>1747</v>
      </c>
      <c r="AF497" s="661" t="s">
        <v>1745</v>
      </c>
      <c r="AG497" s="662" t="s">
        <v>1432</v>
      </c>
      <c r="AH497" s="662" t="s">
        <v>1734</v>
      </c>
      <c r="AI497" s="662">
        <v>1000</v>
      </c>
      <c r="AJ497" s="662">
        <v>1000</v>
      </c>
      <c r="AK497" s="662">
        <v>1000</v>
      </c>
      <c r="AL497" s="658">
        <v>8.0000000000000004E-4</v>
      </c>
      <c r="AM497" s="658">
        <v>0</v>
      </c>
      <c r="AN497" s="659" t="s">
        <v>64</v>
      </c>
      <c r="AO497" s="253" t="s">
        <v>34</v>
      </c>
      <c r="AP497" s="944" t="s">
        <v>1735</v>
      </c>
      <c r="AQ497" s="663" t="s">
        <v>684</v>
      </c>
      <c r="AR497" s="658">
        <v>0</v>
      </c>
      <c r="AS497" s="658">
        <v>0</v>
      </c>
      <c r="AT497" s="658" t="s">
        <v>1417</v>
      </c>
      <c r="AU497" s="658" t="s">
        <v>2751</v>
      </c>
      <c r="AX497"/>
      <c r="AY497"/>
      <c r="BA497"/>
      <c r="BB497"/>
      <c r="BC497"/>
      <c r="BD497"/>
      <c r="BE497"/>
      <c r="BF497"/>
      <c r="BG497"/>
      <c r="BH497"/>
      <c r="BI497"/>
      <c r="BJ497"/>
      <c r="BR497"/>
      <c r="BS497"/>
      <c r="BT497"/>
      <c r="BU497"/>
      <c r="BX497"/>
      <c r="BY497"/>
      <c r="CA497"/>
    </row>
    <row r="498" spans="2:79" ht="18.75">
      <c r="B498" s="252" t="s">
        <v>868</v>
      </c>
      <c r="C498" s="251">
        <v>840011000180</v>
      </c>
      <c r="D498" s="252" t="s">
        <v>11</v>
      </c>
      <c r="E498" s="252" t="s">
        <v>620</v>
      </c>
      <c r="F498" s="252" t="s">
        <v>672</v>
      </c>
      <c r="G498" s="253" t="s">
        <v>738</v>
      </c>
      <c r="H498" s="253" t="s">
        <v>34</v>
      </c>
      <c r="I498" s="253" t="s">
        <v>1417</v>
      </c>
      <c r="J498" s="253" t="s">
        <v>608</v>
      </c>
      <c r="K498" s="253" t="s">
        <v>48</v>
      </c>
      <c r="L498" s="655"/>
      <c r="M498" s="655" t="s">
        <v>34</v>
      </c>
      <c r="N498" s="253" t="s">
        <v>3081</v>
      </c>
      <c r="O498" s="253" t="s">
        <v>1321</v>
      </c>
      <c r="P498" s="656">
        <v>34974</v>
      </c>
      <c r="Q498" s="657">
        <v>4263.7818645999996</v>
      </c>
      <c r="R498" s="657">
        <v>3542.6641644955639</v>
      </c>
      <c r="S498" s="253">
        <v>0</v>
      </c>
      <c r="T498" s="658">
        <v>1.9765155866411366E-2</v>
      </c>
      <c r="U498" s="659">
        <v>0.98833784998953711</v>
      </c>
      <c r="V498" s="658">
        <v>0.13359428591492351</v>
      </c>
      <c r="W498" s="659">
        <v>1.0360651114743364</v>
      </c>
      <c r="X498" s="658">
        <v>0.20392749475321481</v>
      </c>
      <c r="Y498" s="659">
        <v>1.0561389814431963</v>
      </c>
      <c r="Z498" s="658">
        <v>0.17616605140396113</v>
      </c>
      <c r="AA498" s="659">
        <v>0.79543852275759919</v>
      </c>
      <c r="AB498" s="658">
        <v>1.0646896083271117E-3</v>
      </c>
      <c r="AC498" s="660">
        <v>4.3678236659433862</v>
      </c>
      <c r="AD498" s="682">
        <v>0</v>
      </c>
      <c r="AE498" s="944" t="s">
        <v>1747</v>
      </c>
      <c r="AF498" s="661" t="s">
        <v>1745</v>
      </c>
      <c r="AG498" s="662" t="s">
        <v>1432</v>
      </c>
      <c r="AH498" s="662" t="s">
        <v>1734</v>
      </c>
      <c r="AI498" s="662">
        <v>500</v>
      </c>
      <c r="AJ498" s="662">
        <v>100</v>
      </c>
      <c r="AK498" s="662">
        <v>100</v>
      </c>
      <c r="AL498" s="658">
        <v>3.0000000000000001E-3</v>
      </c>
      <c r="AM498" s="658">
        <v>0</v>
      </c>
      <c r="AN498" s="659" t="s">
        <v>64</v>
      </c>
      <c r="AO498" s="253" t="s">
        <v>34</v>
      </c>
      <c r="AP498" s="944" t="s">
        <v>1735</v>
      </c>
      <c r="AQ498" s="663" t="s">
        <v>669</v>
      </c>
      <c r="AR498" s="658">
        <v>1.0499999999999999E-3</v>
      </c>
      <c r="AS498" s="658">
        <v>1.0499999999999999E-3</v>
      </c>
      <c r="AT498" s="658" t="s">
        <v>1417</v>
      </c>
      <c r="AU498" s="658" t="s">
        <v>2751</v>
      </c>
      <c r="AX498"/>
      <c r="AY498"/>
      <c r="BA498"/>
      <c r="BB498"/>
      <c r="BC498"/>
      <c r="BD498"/>
      <c r="BE498"/>
      <c r="BF498"/>
      <c r="BG498"/>
      <c r="BH498"/>
      <c r="BI498"/>
      <c r="BJ498"/>
      <c r="BR498"/>
      <c r="BS498"/>
      <c r="BT498"/>
      <c r="BU498"/>
      <c r="BX498"/>
      <c r="BY498"/>
      <c r="CA498"/>
    </row>
    <row r="499" spans="2:79" ht="18.75">
      <c r="B499" s="252" t="s">
        <v>869</v>
      </c>
      <c r="C499" s="251">
        <v>32295478000182</v>
      </c>
      <c r="D499" s="252" t="s">
        <v>11</v>
      </c>
      <c r="E499" s="252" t="s">
        <v>620</v>
      </c>
      <c r="F499" s="252" t="s">
        <v>663</v>
      </c>
      <c r="G499" s="253" t="s">
        <v>738</v>
      </c>
      <c r="H499" s="253" t="s">
        <v>34</v>
      </c>
      <c r="I499" s="253" t="s">
        <v>1417</v>
      </c>
      <c r="J499" s="253" t="s">
        <v>608</v>
      </c>
      <c r="K499" s="253" t="s">
        <v>48</v>
      </c>
      <c r="L499" s="655"/>
      <c r="M499" s="655" t="s">
        <v>34</v>
      </c>
      <c r="N499" s="253" t="s">
        <v>3082</v>
      </c>
      <c r="O499" s="253" t="s">
        <v>1321</v>
      </c>
      <c r="P499" s="656">
        <v>43555</v>
      </c>
      <c r="Q499" s="657">
        <v>86.251796170000006</v>
      </c>
      <c r="R499" s="657">
        <v>68.103978261767068</v>
      </c>
      <c r="S499" s="253">
        <v>5</v>
      </c>
      <c r="T499" s="658">
        <v>1.6637102151915606E-2</v>
      </c>
      <c r="U499" s="659">
        <v>0.83192249441471455</v>
      </c>
      <c r="V499" s="658">
        <v>0.13453544635104842</v>
      </c>
      <c r="W499" s="659">
        <v>1.0433641024864966</v>
      </c>
      <c r="X499" s="658">
        <v>0.20803990365467318</v>
      </c>
      <c r="Y499" s="659">
        <v>1.0774371166148182</v>
      </c>
      <c r="Z499" s="658">
        <v>0.215889675593536</v>
      </c>
      <c r="AA499" s="659">
        <v>0.97480169002004591</v>
      </c>
      <c r="AB499" s="658">
        <v>1.6533624435996516E-3</v>
      </c>
      <c r="AC499" s="660">
        <v>3.3819184207948596</v>
      </c>
      <c r="AD499" s="682">
        <v>0</v>
      </c>
      <c r="AE499" s="944" t="s">
        <v>1747</v>
      </c>
      <c r="AF499" s="661" t="s">
        <v>1745</v>
      </c>
      <c r="AG499" s="662" t="s">
        <v>1432</v>
      </c>
      <c r="AH499" s="662" t="s">
        <v>1734</v>
      </c>
      <c r="AI499" s="662">
        <v>1000</v>
      </c>
      <c r="AJ499" s="662">
        <v>1000</v>
      </c>
      <c r="AK499" s="662">
        <v>1000</v>
      </c>
      <c r="AL499" s="658">
        <v>4.0000000000000001E-3</v>
      </c>
      <c r="AM499" s="658">
        <v>0</v>
      </c>
      <c r="AN499" s="659" t="s">
        <v>34</v>
      </c>
      <c r="AO499" s="253" t="s">
        <v>34</v>
      </c>
      <c r="AP499" s="944" t="s">
        <v>1735</v>
      </c>
      <c r="AQ499" s="663" t="s">
        <v>669</v>
      </c>
      <c r="AR499" s="658">
        <v>1.75E-3</v>
      </c>
      <c r="AS499" s="658">
        <v>1.75E-3</v>
      </c>
      <c r="AT499" s="658" t="s">
        <v>1417</v>
      </c>
      <c r="AU499" s="658" t="s">
        <v>2751</v>
      </c>
      <c r="AX499"/>
      <c r="AY499"/>
      <c r="BA499"/>
      <c r="BB499"/>
      <c r="BC499"/>
      <c r="BD499"/>
      <c r="BE499"/>
      <c r="BF499"/>
      <c r="BG499"/>
      <c r="BH499"/>
      <c r="BI499"/>
      <c r="BJ499"/>
      <c r="BR499"/>
      <c r="BS499"/>
      <c r="BT499"/>
      <c r="BU499"/>
      <c r="BX499"/>
      <c r="BY499"/>
      <c r="CA499"/>
    </row>
    <row r="500" spans="2:79" ht="18.75">
      <c r="B500" s="252" t="s">
        <v>155</v>
      </c>
      <c r="C500" s="251">
        <v>23695876000103</v>
      </c>
      <c r="D500" s="252" t="s">
        <v>13</v>
      </c>
      <c r="E500" s="252" t="s">
        <v>615</v>
      </c>
      <c r="F500" s="252" t="s">
        <v>619</v>
      </c>
      <c r="G500" s="253" t="s">
        <v>34</v>
      </c>
      <c r="H500" s="253" t="s">
        <v>1338</v>
      </c>
      <c r="I500" s="253" t="s">
        <v>34</v>
      </c>
      <c r="J500" s="253" t="s">
        <v>611</v>
      </c>
      <c r="K500" s="253" t="s">
        <v>48</v>
      </c>
      <c r="L500" s="655"/>
      <c r="M500" s="655" t="s">
        <v>34</v>
      </c>
      <c r="N500" s="253" t="s">
        <v>3083</v>
      </c>
      <c r="O500" s="253" t="s">
        <v>1321</v>
      </c>
      <c r="P500" s="656">
        <v>42491</v>
      </c>
      <c r="Q500" s="657">
        <v>3.486945</v>
      </c>
      <c r="R500" s="657">
        <v>26.398055060728737</v>
      </c>
      <c r="S500" s="253">
        <v>31</v>
      </c>
      <c r="T500" s="658">
        <v>1.0362944774225502E-2</v>
      </c>
      <c r="U500" s="659">
        <v>0.51818921272073604</v>
      </c>
      <c r="V500" s="658">
        <v>-4.1007954825440285E-2</v>
      </c>
      <c r="W500" s="659">
        <v>-0.31802940519934486</v>
      </c>
      <c r="X500" s="658">
        <v>8.5211761060133284E-5</v>
      </c>
      <c r="Y500" s="659">
        <v>4.4131107794924477E-4</v>
      </c>
      <c r="Z500" s="658">
        <v>1.0576424402876095E-2</v>
      </c>
      <c r="AA500" s="659">
        <v>4.7755486008991731E-2</v>
      </c>
      <c r="AB500" s="658">
        <v>8.718176938305279E-2</v>
      </c>
      <c r="AC500" s="660">
        <v>-1.949396823153551</v>
      </c>
      <c r="AD500" s="682">
        <v>38281343000144</v>
      </c>
      <c r="AE500" s="944" t="s">
        <v>1797</v>
      </c>
      <c r="AF500" s="661" t="s">
        <v>1745</v>
      </c>
      <c r="AG500" s="662" t="s">
        <v>1432</v>
      </c>
      <c r="AH500" s="662" t="s">
        <v>1734</v>
      </c>
      <c r="AI500" s="662">
        <v>10000</v>
      </c>
      <c r="AJ500" s="662">
        <v>10000</v>
      </c>
      <c r="AK500" s="662">
        <v>10000</v>
      </c>
      <c r="AL500" s="658">
        <v>0</v>
      </c>
      <c r="AM500" s="658">
        <v>0</v>
      </c>
      <c r="AN500" s="659" t="s">
        <v>64</v>
      </c>
      <c r="AO500" s="253" t="s">
        <v>34</v>
      </c>
      <c r="AP500" s="944" t="s">
        <v>1746</v>
      </c>
      <c r="AQ500" s="663" t="s">
        <v>664</v>
      </c>
      <c r="AR500" s="658">
        <v>3.8E-3</v>
      </c>
      <c r="AS500" s="658">
        <v>3.8E-3</v>
      </c>
      <c r="AT500" s="658" t="s">
        <v>1417</v>
      </c>
      <c r="AU500" s="658" t="s">
        <v>2751</v>
      </c>
      <c r="AX500"/>
      <c r="AY500"/>
      <c r="BA500"/>
      <c r="BB500"/>
      <c r="BC500"/>
      <c r="BD500"/>
      <c r="BE500"/>
      <c r="BF500"/>
      <c r="BG500"/>
      <c r="BH500"/>
      <c r="BI500"/>
      <c r="BJ500"/>
      <c r="BR500"/>
      <c r="BS500"/>
      <c r="BT500"/>
      <c r="BU500"/>
      <c r="BX500"/>
      <c r="BY500"/>
      <c r="CA500"/>
    </row>
    <row r="501" spans="2:79" ht="18.75">
      <c r="B501" s="252" t="s">
        <v>870</v>
      </c>
      <c r="C501" s="251">
        <v>17816013000136</v>
      </c>
      <c r="D501" s="252" t="s">
        <v>13</v>
      </c>
      <c r="E501" s="252" t="s">
        <v>615</v>
      </c>
      <c r="F501" s="252" t="s">
        <v>619</v>
      </c>
      <c r="G501" s="253" t="s">
        <v>34</v>
      </c>
      <c r="H501" s="253" t="s">
        <v>1337</v>
      </c>
      <c r="I501" s="253" t="s">
        <v>34</v>
      </c>
      <c r="J501" s="253" t="s">
        <v>611</v>
      </c>
      <c r="K501" s="253" t="s">
        <v>48</v>
      </c>
      <c r="L501" s="655"/>
      <c r="M501" s="655" t="s">
        <v>34</v>
      </c>
      <c r="N501" s="253" t="s">
        <v>3084</v>
      </c>
      <c r="O501" s="253" t="s">
        <v>1321</v>
      </c>
      <c r="P501" s="656">
        <v>41399</v>
      </c>
      <c r="Q501" s="657">
        <v>77.408286000000004</v>
      </c>
      <c r="R501" s="657">
        <v>82.65876929149799</v>
      </c>
      <c r="S501" s="253">
        <v>30</v>
      </c>
      <c r="T501" s="658">
        <v>2.9837708422147724E-2</v>
      </c>
      <c r="U501" s="659">
        <v>1.4920062755829131</v>
      </c>
      <c r="V501" s="658">
        <v>0.18316701207231478</v>
      </c>
      <c r="W501" s="659">
        <v>1.4205169740716046</v>
      </c>
      <c r="X501" s="658">
        <v>0.25866090566775557</v>
      </c>
      <c r="Y501" s="659">
        <v>1.3396029102486264</v>
      </c>
      <c r="Z501" s="658">
        <v>0.41876461183853975</v>
      </c>
      <c r="AA501" s="659">
        <v>1.8908382266012329</v>
      </c>
      <c r="AB501" s="658">
        <v>3.4651626277211869E-2</v>
      </c>
      <c r="AC501" s="660">
        <v>1.5648068633703769</v>
      </c>
      <c r="AD501" s="682">
        <v>8893082000152</v>
      </c>
      <c r="AE501" s="944" t="s">
        <v>1797</v>
      </c>
      <c r="AF501" s="661" t="s">
        <v>1745</v>
      </c>
      <c r="AG501" s="662" t="s">
        <v>1432</v>
      </c>
      <c r="AH501" s="662" t="s">
        <v>1734</v>
      </c>
      <c r="AI501" s="662">
        <v>1000</v>
      </c>
      <c r="AJ501" s="662">
        <v>1000</v>
      </c>
      <c r="AK501" s="662">
        <v>1000</v>
      </c>
      <c r="AL501" s="658">
        <v>0</v>
      </c>
      <c r="AM501" s="658">
        <v>0</v>
      </c>
      <c r="AN501" s="659" t="s">
        <v>2127</v>
      </c>
      <c r="AO501" s="253" t="s">
        <v>34</v>
      </c>
      <c r="AP501" s="944" t="s">
        <v>1746</v>
      </c>
      <c r="AQ501" s="663" t="s">
        <v>668</v>
      </c>
      <c r="AR501" s="658">
        <v>3.96E-3</v>
      </c>
      <c r="AS501" s="658">
        <v>3.96E-3</v>
      </c>
      <c r="AT501" s="658" t="s">
        <v>1417</v>
      </c>
      <c r="AU501" s="658" t="s">
        <v>2751</v>
      </c>
      <c r="AX501"/>
      <c r="AY501"/>
      <c r="BA501"/>
      <c r="BB501"/>
      <c r="BC501"/>
      <c r="BD501"/>
      <c r="BE501"/>
      <c r="BF501"/>
      <c r="BG501"/>
      <c r="BH501"/>
      <c r="BI501"/>
      <c r="BJ501"/>
      <c r="BR501"/>
      <c r="BS501"/>
      <c r="BT501"/>
      <c r="BU501"/>
      <c r="BX501"/>
      <c r="BY501"/>
      <c r="CA501"/>
    </row>
    <row r="502" spans="2:79" ht="18.75">
      <c r="B502" s="252" t="s">
        <v>1530</v>
      </c>
      <c r="C502" s="251">
        <v>23695873000161</v>
      </c>
      <c r="D502" s="252" t="s">
        <v>1417</v>
      </c>
      <c r="E502" s="252" t="s">
        <v>1417</v>
      </c>
      <c r="F502" s="252" t="s">
        <v>1417</v>
      </c>
      <c r="G502" s="253" t="s">
        <v>1417</v>
      </c>
      <c r="H502" s="253" t="s">
        <v>34</v>
      </c>
      <c r="I502" s="253" t="s">
        <v>1417</v>
      </c>
      <c r="J502" s="253" t="s">
        <v>1417</v>
      </c>
      <c r="K502" s="253" t="s">
        <v>1417</v>
      </c>
      <c r="L502" s="655"/>
      <c r="M502" s="655" t="s">
        <v>34</v>
      </c>
      <c r="N502" s="253" t="s">
        <v>3085</v>
      </c>
      <c r="O502" s="253" t="s">
        <v>1321</v>
      </c>
      <c r="P502" s="656">
        <v>42501</v>
      </c>
      <c r="Q502" s="657">
        <v>0</v>
      </c>
      <c r="R502" s="657">
        <v>15.246813596899223</v>
      </c>
      <c r="S502" s="253">
        <v>31</v>
      </c>
      <c r="T502" s="658"/>
      <c r="U502" s="659"/>
      <c r="V502" s="658">
        <v>-1.5056105693194044E-2</v>
      </c>
      <c r="W502" s="659">
        <v>-0.11676476816772249</v>
      </c>
      <c r="X502" s="658">
        <v>-1.2637523530641182E-2</v>
      </c>
      <c r="Y502" s="659">
        <v>-6.5449640548802923E-2</v>
      </c>
      <c r="Z502" s="658">
        <v>7.0591976257494693E-4</v>
      </c>
      <c r="AA502" s="659">
        <v>3.1874232785090691E-3</v>
      </c>
      <c r="AB502" s="658">
        <v>0.15093939132271555</v>
      </c>
      <c r="AC502" s="660">
        <v>-0.95402541296925969</v>
      </c>
      <c r="AD502" s="682">
        <v>0</v>
      </c>
      <c r="AE502" s="944" t="s">
        <v>1797</v>
      </c>
      <c r="AF502" s="661" t="s">
        <v>1745</v>
      </c>
      <c r="AG502" s="662" t="s">
        <v>1432</v>
      </c>
      <c r="AH502" s="662" t="s">
        <v>1730</v>
      </c>
      <c r="AI502" s="662">
        <v>10000</v>
      </c>
      <c r="AJ502" s="662">
        <v>5000</v>
      </c>
      <c r="AK502" s="662">
        <v>5000</v>
      </c>
      <c r="AL502" s="658">
        <v>0</v>
      </c>
      <c r="AM502" s="658">
        <v>0</v>
      </c>
      <c r="AN502" s="659" t="s">
        <v>34</v>
      </c>
      <c r="AO502" s="253" t="s">
        <v>34</v>
      </c>
      <c r="AP502" s="944" t="s">
        <v>1746</v>
      </c>
      <c r="AQ502" s="663" t="s">
        <v>664</v>
      </c>
      <c r="AR502" s="658">
        <v>0</v>
      </c>
      <c r="AS502" s="658">
        <v>0</v>
      </c>
      <c r="AT502" s="658" t="s">
        <v>1417</v>
      </c>
      <c r="AU502" s="658" t="s">
        <v>2751</v>
      </c>
      <c r="AX502"/>
      <c r="AY502"/>
      <c r="BA502"/>
      <c r="BB502"/>
      <c r="BC502"/>
      <c r="BD502"/>
      <c r="BE502"/>
      <c r="BF502"/>
      <c r="BG502"/>
      <c r="BH502"/>
      <c r="BI502"/>
      <c r="BJ502"/>
      <c r="BR502"/>
      <c r="BS502"/>
      <c r="BT502"/>
      <c r="BU502"/>
      <c r="BX502"/>
      <c r="BY502"/>
      <c r="CA502"/>
    </row>
    <row r="503" spans="2:79" ht="18.75">
      <c r="B503" s="252" t="s">
        <v>1531</v>
      </c>
      <c r="C503" s="251">
        <v>26822061000128</v>
      </c>
      <c r="D503" s="252" t="s">
        <v>14</v>
      </c>
      <c r="E503" s="252" t="s">
        <v>614</v>
      </c>
      <c r="F503" s="252" t="s">
        <v>1417</v>
      </c>
      <c r="G503" s="253" t="s">
        <v>1417</v>
      </c>
      <c r="H503" s="253" t="s">
        <v>865</v>
      </c>
      <c r="I503" s="253" t="s">
        <v>34</v>
      </c>
      <c r="J503" s="253" t="s">
        <v>608</v>
      </c>
      <c r="K503" s="253" t="s">
        <v>48</v>
      </c>
      <c r="L503" s="655"/>
      <c r="M503" s="655" t="s">
        <v>34</v>
      </c>
      <c r="N503" s="253" t="s">
        <v>3086</v>
      </c>
      <c r="O503" s="253" t="s">
        <v>1321</v>
      </c>
      <c r="P503" s="656">
        <v>42823</v>
      </c>
      <c r="Q503" s="657">
        <v>35.285342999999997</v>
      </c>
      <c r="R503" s="657">
        <v>41.770078963709665</v>
      </c>
      <c r="S503" s="253">
        <v>53</v>
      </c>
      <c r="T503" s="658">
        <v>-4.9905404714418733E-3</v>
      </c>
      <c r="U503" s="659">
        <v>-0.24954723722733615</v>
      </c>
      <c r="V503" s="658">
        <v>8.1220974006988023E-3</v>
      </c>
      <c r="W503" s="659">
        <v>6.2989383799089568E-2</v>
      </c>
      <c r="X503" s="658">
        <v>6.7333552324054136E-2</v>
      </c>
      <c r="Y503" s="659">
        <v>0.34871996762642343</v>
      </c>
      <c r="Z503" s="658">
        <v>6.9517090266873582E-2</v>
      </c>
      <c r="AA503" s="659">
        <v>0.3138889198435269</v>
      </c>
      <c r="AB503" s="658">
        <v>0.16119136896455566</v>
      </c>
      <c r="AC503" s="660">
        <v>-0.7495550960464703</v>
      </c>
      <c r="AD503" s="682">
        <v>19496576000110</v>
      </c>
      <c r="AE503" s="944" t="s">
        <v>1797</v>
      </c>
      <c r="AF503" s="661" t="s">
        <v>1745</v>
      </c>
      <c r="AG503" s="662" t="s">
        <v>1432</v>
      </c>
      <c r="AH503" s="662" t="s">
        <v>1734</v>
      </c>
      <c r="AI503" s="662">
        <v>5000</v>
      </c>
      <c r="AJ503" s="662">
        <v>5000</v>
      </c>
      <c r="AK503" s="662">
        <v>5000</v>
      </c>
      <c r="AL503" s="658">
        <v>0</v>
      </c>
      <c r="AM503" s="658">
        <v>0</v>
      </c>
      <c r="AN503" s="659" t="s">
        <v>34</v>
      </c>
      <c r="AO503" s="253" t="s">
        <v>34</v>
      </c>
      <c r="AP503" s="944" t="s">
        <v>1746</v>
      </c>
      <c r="AQ503" s="663" t="s">
        <v>674</v>
      </c>
      <c r="AR503" s="658">
        <v>3.3333333333333301E-3</v>
      </c>
      <c r="AS503" s="658">
        <v>3.3333333333333301E-3</v>
      </c>
      <c r="AT503" s="658" t="s">
        <v>1417</v>
      </c>
      <c r="AU503" s="658" t="s">
        <v>2751</v>
      </c>
      <c r="AX503"/>
      <c r="AY503"/>
      <c r="BA503"/>
      <c r="BB503"/>
      <c r="BC503"/>
      <c r="BD503"/>
      <c r="BE503"/>
      <c r="BF503"/>
      <c r="BG503"/>
      <c r="BH503"/>
      <c r="BI503"/>
      <c r="BJ503"/>
      <c r="BR503"/>
      <c r="BS503"/>
      <c r="BT503"/>
      <c r="BU503"/>
      <c r="BX503"/>
      <c r="BY503"/>
      <c r="CA503"/>
    </row>
    <row r="504" spans="2:79" ht="18.75">
      <c r="B504" s="252" t="s">
        <v>1532</v>
      </c>
      <c r="C504" s="251">
        <v>17408524000119</v>
      </c>
      <c r="D504" s="252" t="s">
        <v>13</v>
      </c>
      <c r="E504" s="252" t="s">
        <v>615</v>
      </c>
      <c r="F504" s="252" t="s">
        <v>619</v>
      </c>
      <c r="G504" s="253" t="s">
        <v>34</v>
      </c>
      <c r="H504" s="253" t="s">
        <v>1338</v>
      </c>
      <c r="I504" s="253" t="s">
        <v>34</v>
      </c>
      <c r="J504" s="253" t="s">
        <v>611</v>
      </c>
      <c r="K504" s="253" t="s">
        <v>48</v>
      </c>
      <c r="L504" s="655"/>
      <c r="M504" s="655" t="s">
        <v>34</v>
      </c>
      <c r="N504" s="253" t="s">
        <v>3087</v>
      </c>
      <c r="O504" s="253" t="s">
        <v>1321</v>
      </c>
      <c r="P504" s="656">
        <v>41315</v>
      </c>
      <c r="Q504" s="657">
        <v>1247.9244980000001</v>
      </c>
      <c r="R504" s="657">
        <v>1524.1042580199994</v>
      </c>
      <c r="S504" s="253">
        <v>61</v>
      </c>
      <c r="T504" s="658">
        <v>2.2500093187837411E-2</v>
      </c>
      <c r="U504" s="659">
        <v>1.1250957936345896</v>
      </c>
      <c r="V504" s="658">
        <v>0.17724083350680075</v>
      </c>
      <c r="W504" s="659">
        <v>1.374557621738181</v>
      </c>
      <c r="X504" s="658">
        <v>0.32276955018141917</v>
      </c>
      <c r="Y504" s="659">
        <v>1.6716211042655824</v>
      </c>
      <c r="Z504" s="658">
        <v>0.4721298438098207</v>
      </c>
      <c r="AA504" s="659">
        <v>2.1317970319303843</v>
      </c>
      <c r="AB504" s="658">
        <v>7.7719887398552387E-2</v>
      </c>
      <c r="AC504" s="660">
        <v>0.6214229803543434</v>
      </c>
      <c r="AD504" s="682">
        <v>17417026000132</v>
      </c>
      <c r="AE504" s="944" t="s">
        <v>1797</v>
      </c>
      <c r="AF504" s="661" t="s">
        <v>1745</v>
      </c>
      <c r="AG504" s="662" t="s">
        <v>1432</v>
      </c>
      <c r="AH504" s="662" t="s">
        <v>1730</v>
      </c>
      <c r="AI504" s="662">
        <v>5000</v>
      </c>
      <c r="AJ504" s="662">
        <v>5000</v>
      </c>
      <c r="AK504" s="662">
        <v>5000</v>
      </c>
      <c r="AL504" s="658">
        <v>0</v>
      </c>
      <c r="AM504" s="658">
        <v>0</v>
      </c>
      <c r="AN504" s="659" t="s">
        <v>2127</v>
      </c>
      <c r="AO504" s="253" t="s">
        <v>34</v>
      </c>
      <c r="AP504" s="944" t="s">
        <v>1746</v>
      </c>
      <c r="AQ504" s="663" t="s">
        <v>664</v>
      </c>
      <c r="AR504" s="658">
        <v>3.3333333333333301E-3</v>
      </c>
      <c r="AS504" s="658">
        <v>3.3333333333333301E-3</v>
      </c>
      <c r="AT504" s="658" t="s">
        <v>1417</v>
      </c>
      <c r="AU504" s="658" t="s">
        <v>2751</v>
      </c>
      <c r="AX504"/>
      <c r="AY504"/>
      <c r="BA504"/>
      <c r="BB504"/>
      <c r="BC504"/>
      <c r="BD504"/>
      <c r="BE504"/>
      <c r="BF504"/>
      <c r="BG504"/>
      <c r="BH504"/>
      <c r="BI504"/>
      <c r="BJ504"/>
      <c r="BR504"/>
      <c r="BS504"/>
      <c r="BT504"/>
      <c r="BU504"/>
      <c r="BX504"/>
      <c r="BY504"/>
      <c r="CA504"/>
    </row>
    <row r="505" spans="2:79" ht="18.75">
      <c r="B505" s="252" t="s">
        <v>871</v>
      </c>
      <c r="C505" s="251">
        <v>45294958000170</v>
      </c>
      <c r="D505" s="252" t="s">
        <v>11</v>
      </c>
      <c r="E505" s="252" t="s">
        <v>4235</v>
      </c>
      <c r="F505" s="252" t="s">
        <v>663</v>
      </c>
      <c r="G505" s="253" t="s">
        <v>1417</v>
      </c>
      <c r="H505" s="253" t="s">
        <v>34</v>
      </c>
      <c r="I505" s="253" t="s">
        <v>1417</v>
      </c>
      <c r="J505" s="253" t="s">
        <v>611</v>
      </c>
      <c r="K505" s="253" t="s">
        <v>49</v>
      </c>
      <c r="L505" s="655"/>
      <c r="M505" s="655" t="s">
        <v>1414</v>
      </c>
      <c r="N505" s="253" t="s">
        <v>3088</v>
      </c>
      <c r="O505" s="253" t="s">
        <v>1321</v>
      </c>
      <c r="P505" s="656">
        <v>44678</v>
      </c>
      <c r="Q505" s="657"/>
      <c r="R505" s="657"/>
      <c r="S505" s="253">
        <v>7</v>
      </c>
      <c r="T505" s="658"/>
      <c r="U505" s="659"/>
      <c r="V505" s="658"/>
      <c r="W505" s="659"/>
      <c r="X505" s="658"/>
      <c r="Y505" s="659"/>
      <c r="Z505" s="658"/>
      <c r="AA505" s="659"/>
      <c r="AB505" s="658"/>
      <c r="AC505" s="660"/>
      <c r="AD505" s="682">
        <v>0</v>
      </c>
      <c r="AE505" s="944" t="s">
        <v>1747</v>
      </c>
      <c r="AF505" s="661" t="s">
        <v>1745</v>
      </c>
      <c r="AG505" s="662" t="s">
        <v>1432</v>
      </c>
      <c r="AH505" s="662" t="s">
        <v>1730</v>
      </c>
      <c r="AI505" s="662">
        <v>0</v>
      </c>
      <c r="AJ505" s="662">
        <v>0</v>
      </c>
      <c r="AK505" s="662">
        <v>0</v>
      </c>
      <c r="AL505" s="658">
        <v>8.0000000000000002E-3</v>
      </c>
      <c r="AM505" s="658">
        <v>0.2</v>
      </c>
      <c r="AN505" s="659" t="s">
        <v>2127</v>
      </c>
      <c r="AO505" s="253" t="s">
        <v>34</v>
      </c>
      <c r="AP505" s="944" t="s">
        <v>1746</v>
      </c>
      <c r="AQ505" s="663" t="s">
        <v>679</v>
      </c>
      <c r="AR505" s="658">
        <v>2.66666666666667E-3</v>
      </c>
      <c r="AS505" s="658">
        <v>2.66666666666667E-3</v>
      </c>
      <c r="AT505" s="658" t="s">
        <v>1417</v>
      </c>
      <c r="AU505" s="658" t="s">
        <v>2751</v>
      </c>
      <c r="AX505"/>
      <c r="AY505"/>
      <c r="BA505"/>
      <c r="BB505"/>
      <c r="BC505"/>
      <c r="BD505"/>
      <c r="BE505"/>
      <c r="BF505"/>
      <c r="BG505"/>
      <c r="BH505"/>
      <c r="BI505"/>
      <c r="BJ505"/>
      <c r="BR505"/>
      <c r="BS505"/>
      <c r="BT505"/>
      <c r="BU505"/>
      <c r="BX505"/>
      <c r="BY505"/>
      <c r="CA505"/>
    </row>
    <row r="506" spans="2:79" ht="18.75">
      <c r="B506" s="252" t="s">
        <v>2661</v>
      </c>
      <c r="C506" s="251">
        <v>37320765000119</v>
      </c>
      <c r="D506" s="252" t="s">
        <v>14</v>
      </c>
      <c r="E506" s="252" t="s">
        <v>607</v>
      </c>
      <c r="F506" s="252" t="s">
        <v>1417</v>
      </c>
      <c r="G506" s="253" t="s">
        <v>1417</v>
      </c>
      <c r="H506" s="253" t="s">
        <v>1417</v>
      </c>
      <c r="I506" s="253" t="s">
        <v>1417</v>
      </c>
      <c r="J506" s="253" t="s">
        <v>608</v>
      </c>
      <c r="K506" s="253" t="s">
        <v>48</v>
      </c>
      <c r="L506" s="655"/>
      <c r="M506" s="655" t="s">
        <v>34</v>
      </c>
      <c r="N506" s="253" t="s">
        <v>3090</v>
      </c>
      <c r="O506" s="253" t="s">
        <v>1321</v>
      </c>
      <c r="P506" s="656">
        <v>44089</v>
      </c>
      <c r="Q506" s="657"/>
      <c r="R506" s="657"/>
      <c r="S506" s="253">
        <v>62</v>
      </c>
      <c r="T506" s="658"/>
      <c r="U506" s="659"/>
      <c r="V506" s="658"/>
      <c r="W506" s="659"/>
      <c r="X506" s="658"/>
      <c r="Y506" s="659"/>
      <c r="Z506" s="658"/>
      <c r="AA506" s="659"/>
      <c r="AB506" s="658"/>
      <c r="AC506" s="660"/>
      <c r="AD506" s="682">
        <v>37805659000125</v>
      </c>
      <c r="AE506" s="944" t="s">
        <v>1797</v>
      </c>
      <c r="AF506" s="661" t="s">
        <v>1745</v>
      </c>
      <c r="AG506" s="662" t="s">
        <v>1432</v>
      </c>
      <c r="AH506" s="662" t="s">
        <v>2119</v>
      </c>
      <c r="AI506" s="662">
        <v>1000</v>
      </c>
      <c r="AJ506" s="662">
        <v>0</v>
      </c>
      <c r="AK506" s="662">
        <v>1000</v>
      </c>
      <c r="AL506" s="658">
        <v>5.0000000000000001E-3</v>
      </c>
      <c r="AM506" s="658">
        <v>0.1</v>
      </c>
      <c r="AN506" s="659" t="s">
        <v>34</v>
      </c>
      <c r="AO506" s="253" t="s">
        <v>4400</v>
      </c>
      <c r="AP506" s="944" t="s">
        <v>1731</v>
      </c>
      <c r="AQ506" s="663" t="s">
        <v>2120</v>
      </c>
      <c r="AR506" s="658">
        <v>0</v>
      </c>
      <c r="AS506" s="658">
        <v>0</v>
      </c>
      <c r="AT506" s="658" t="s">
        <v>1417</v>
      </c>
      <c r="AU506" s="658" t="s">
        <v>2751</v>
      </c>
      <c r="AX506"/>
      <c r="AY506"/>
      <c r="BA506"/>
      <c r="BB506"/>
      <c r="BC506"/>
      <c r="BD506"/>
      <c r="BE506"/>
      <c r="BF506"/>
      <c r="BG506"/>
      <c r="BH506"/>
      <c r="BI506"/>
      <c r="BJ506"/>
      <c r="BR506"/>
      <c r="BS506"/>
      <c r="BT506"/>
      <c r="BU506"/>
      <c r="BX506"/>
      <c r="BY506"/>
      <c r="CA506"/>
    </row>
    <row r="507" spans="2:79" ht="18.75">
      <c r="B507" s="252" t="s">
        <v>872</v>
      </c>
      <c r="C507" s="251">
        <v>37098846000116</v>
      </c>
      <c r="D507" s="252" t="s">
        <v>11</v>
      </c>
      <c r="E507" s="252" t="s">
        <v>4235</v>
      </c>
      <c r="F507" s="252" t="s">
        <v>1417</v>
      </c>
      <c r="G507" s="253" t="s">
        <v>1417</v>
      </c>
      <c r="H507" s="253" t="s">
        <v>34</v>
      </c>
      <c r="I507" s="253" t="s">
        <v>34</v>
      </c>
      <c r="J507" s="253" t="s">
        <v>700</v>
      </c>
      <c r="K507" s="253" t="s">
        <v>48</v>
      </c>
      <c r="L507" s="655"/>
      <c r="M507" s="655" t="s">
        <v>1414</v>
      </c>
      <c r="N507" s="253" t="s">
        <v>3091</v>
      </c>
      <c r="O507" s="253" t="s">
        <v>1321</v>
      </c>
      <c r="P507" s="656">
        <v>43979</v>
      </c>
      <c r="Q507" s="657">
        <v>7.6907384800000003</v>
      </c>
      <c r="R507" s="657">
        <v>9.1803574664919321</v>
      </c>
      <c r="S507" s="253">
        <v>7</v>
      </c>
      <c r="T507" s="658">
        <v>1.7002362762105427E-2</v>
      </c>
      <c r="U507" s="659">
        <v>0.85018700437359396</v>
      </c>
      <c r="V507" s="658">
        <v>-6.8891189664702424E-2</v>
      </c>
      <c r="W507" s="659">
        <v>-0.53427253726266111</v>
      </c>
      <c r="X507" s="658">
        <v>-7.5229817202869143E-2</v>
      </c>
      <c r="Y507" s="659">
        <v>-0.38961466481480195</v>
      </c>
      <c r="Z507" s="658"/>
      <c r="AA507" s="659"/>
      <c r="AB507" s="658">
        <v>8.0621519890393664E-2</v>
      </c>
      <c r="AC507" s="660">
        <v>-2.4538745905615644</v>
      </c>
      <c r="AD507" s="682">
        <v>0</v>
      </c>
      <c r="AE507" s="944" t="s">
        <v>1747</v>
      </c>
      <c r="AF507" s="661" t="s">
        <v>1745</v>
      </c>
      <c r="AG507" s="662" t="s">
        <v>1432</v>
      </c>
      <c r="AH507" s="662" t="s">
        <v>1801</v>
      </c>
      <c r="AI507" s="662">
        <v>20000</v>
      </c>
      <c r="AJ507" s="662">
        <v>10000</v>
      </c>
      <c r="AK507" s="662">
        <v>10000</v>
      </c>
      <c r="AL507" s="658">
        <v>3.0000000000000001E-3</v>
      </c>
      <c r="AM507" s="658">
        <v>0.2</v>
      </c>
      <c r="AN507" s="659" t="s">
        <v>34</v>
      </c>
      <c r="AO507" s="253" t="s">
        <v>34</v>
      </c>
      <c r="AP507" s="944" t="s">
        <v>1746</v>
      </c>
      <c r="AQ507" s="663" t="s">
        <v>679</v>
      </c>
      <c r="AR507" s="658">
        <v>2.6664000000000002E-3</v>
      </c>
      <c r="AS507" s="658">
        <v>2.6664000000000002E-3</v>
      </c>
      <c r="AT507" s="658" t="s">
        <v>1417</v>
      </c>
      <c r="AU507" s="658" t="s">
        <v>2751</v>
      </c>
      <c r="AX507"/>
      <c r="AY507"/>
      <c r="BA507"/>
      <c r="BB507"/>
      <c r="BC507"/>
      <c r="BD507"/>
      <c r="BE507"/>
      <c r="BF507"/>
      <c r="BG507"/>
      <c r="BH507"/>
      <c r="BI507"/>
      <c r="BJ507"/>
      <c r="BR507"/>
      <c r="BS507"/>
      <c r="BT507"/>
      <c r="BU507"/>
      <c r="BX507"/>
      <c r="BY507"/>
      <c r="CA507"/>
    </row>
    <row r="508" spans="2:79" ht="18.75">
      <c r="B508" s="252" t="s">
        <v>873</v>
      </c>
      <c r="C508" s="251">
        <v>29177909000100</v>
      </c>
      <c r="D508" s="252" t="s">
        <v>13</v>
      </c>
      <c r="E508" s="252" t="s">
        <v>615</v>
      </c>
      <c r="F508" s="252" t="s">
        <v>619</v>
      </c>
      <c r="G508" s="253" t="s">
        <v>34</v>
      </c>
      <c r="H508" s="253" t="s">
        <v>1338</v>
      </c>
      <c r="I508" s="253" t="s">
        <v>34</v>
      </c>
      <c r="J508" s="253" t="s">
        <v>611</v>
      </c>
      <c r="K508" s="253" t="s">
        <v>48</v>
      </c>
      <c r="L508" s="655"/>
      <c r="M508" s="655" t="s">
        <v>34</v>
      </c>
      <c r="N508" s="253" t="s">
        <v>3092</v>
      </c>
      <c r="O508" s="253" t="s">
        <v>1321</v>
      </c>
      <c r="P508" s="656">
        <v>43463</v>
      </c>
      <c r="Q508" s="657">
        <v>27.950661820000001</v>
      </c>
      <c r="R508" s="657">
        <v>94.042916483413663</v>
      </c>
      <c r="S508" s="253">
        <v>5</v>
      </c>
      <c r="T508" s="658">
        <v>3.1738170033180246E-2</v>
      </c>
      <c r="U508" s="659">
        <v>1.5870370537528686</v>
      </c>
      <c r="V508" s="658">
        <v>-5.5231052353993393E-3</v>
      </c>
      <c r="W508" s="659">
        <v>-4.2833393675554519E-2</v>
      </c>
      <c r="X508" s="658">
        <v>4.5879135697435292E-2</v>
      </c>
      <c r="Y508" s="659">
        <v>0.23760770318696633</v>
      </c>
      <c r="Z508" s="658">
        <v>0.14832229840635724</v>
      </c>
      <c r="AA508" s="659">
        <v>0.66971626483144175</v>
      </c>
      <c r="AB508" s="658">
        <v>0.11817803468210591</v>
      </c>
      <c r="AC508" s="660">
        <v>-1.137834243426864</v>
      </c>
      <c r="AD508" s="682">
        <v>31964457000140</v>
      </c>
      <c r="AE508" s="944" t="s">
        <v>1747</v>
      </c>
      <c r="AF508" s="661" t="s">
        <v>1745</v>
      </c>
      <c r="AG508" s="662" t="s">
        <v>1432</v>
      </c>
      <c r="AH508" s="662" t="s">
        <v>1730</v>
      </c>
      <c r="AI508" s="662">
        <v>5000</v>
      </c>
      <c r="AJ508" s="662">
        <v>5000</v>
      </c>
      <c r="AK508" s="662">
        <v>5000</v>
      </c>
      <c r="AL508" s="658">
        <v>0.01</v>
      </c>
      <c r="AM508" s="658">
        <v>0</v>
      </c>
      <c r="AN508" s="659" t="s">
        <v>34</v>
      </c>
      <c r="AO508" s="253" t="s">
        <v>34</v>
      </c>
      <c r="AP508" s="944" t="s">
        <v>1746</v>
      </c>
      <c r="AQ508" s="663" t="s">
        <v>679</v>
      </c>
      <c r="AR508" s="658">
        <v>8.0000000000000002E-3</v>
      </c>
      <c r="AS508" s="658">
        <v>8.0000000000000002E-3</v>
      </c>
      <c r="AT508" s="658" t="s">
        <v>1417</v>
      </c>
      <c r="AU508" s="658" t="s">
        <v>2751</v>
      </c>
      <c r="AX508"/>
      <c r="AY508"/>
      <c r="BA508"/>
      <c r="BB508"/>
      <c r="BC508"/>
      <c r="BD508"/>
      <c r="BE508"/>
      <c r="BF508"/>
      <c r="BG508"/>
      <c r="BH508"/>
      <c r="BI508"/>
      <c r="BJ508"/>
      <c r="BR508"/>
      <c r="BS508"/>
      <c r="BT508"/>
      <c r="BU508"/>
      <c r="BX508"/>
      <c r="BY508"/>
      <c r="CA508"/>
    </row>
    <row r="509" spans="2:79" ht="18.75">
      <c r="B509" s="252" t="s">
        <v>875</v>
      </c>
      <c r="C509" s="251">
        <v>39281097000193</v>
      </c>
      <c r="D509" s="252" t="s">
        <v>13</v>
      </c>
      <c r="E509" s="252" t="s">
        <v>615</v>
      </c>
      <c r="F509" s="252" t="s">
        <v>619</v>
      </c>
      <c r="G509" s="253" t="s">
        <v>34</v>
      </c>
      <c r="H509" s="253" t="s">
        <v>1337</v>
      </c>
      <c r="I509" s="253" t="s">
        <v>34</v>
      </c>
      <c r="J509" s="253" t="s">
        <v>611</v>
      </c>
      <c r="K509" s="253" t="s">
        <v>48</v>
      </c>
      <c r="L509" s="655"/>
      <c r="M509" s="655" t="s">
        <v>1414</v>
      </c>
      <c r="N509" s="253" t="s">
        <v>3094</v>
      </c>
      <c r="O509" s="253" t="s">
        <v>1321</v>
      </c>
      <c r="P509" s="656">
        <v>44136</v>
      </c>
      <c r="Q509" s="657">
        <v>6.0186176400000004</v>
      </c>
      <c r="R509" s="657">
        <v>8.1155003335483915</v>
      </c>
      <c r="S509" s="253">
        <v>121</v>
      </c>
      <c r="T509" s="658">
        <v>6.8349154992457528E-3</v>
      </c>
      <c r="U509" s="659">
        <v>0.34177345906309875</v>
      </c>
      <c r="V509" s="658">
        <v>7.4953497210658027E-2</v>
      </c>
      <c r="W509" s="659">
        <v>0.58128761204955781</v>
      </c>
      <c r="X509" s="658">
        <v>0.11915425042796657</v>
      </c>
      <c r="Y509" s="659">
        <v>0.61709897840853212</v>
      </c>
      <c r="Z509" s="658"/>
      <c r="AA509" s="659"/>
      <c r="AB509" s="658">
        <v>3.4784731424575249E-2</v>
      </c>
      <c r="AC509" s="660">
        <v>-1.5521296277132199</v>
      </c>
      <c r="AD509" s="682">
        <v>0</v>
      </c>
      <c r="AE509" s="944" t="s">
        <v>1797</v>
      </c>
      <c r="AF509" s="661" t="s">
        <v>1745</v>
      </c>
      <c r="AG509" s="662" t="s">
        <v>1432</v>
      </c>
      <c r="AH509" s="662" t="s">
        <v>1801</v>
      </c>
      <c r="AI509" s="662">
        <v>50000</v>
      </c>
      <c r="AJ509" s="662">
        <v>50000</v>
      </c>
      <c r="AK509" s="662">
        <v>50000</v>
      </c>
      <c r="AL509" s="658">
        <v>5.0000000000000001E-3</v>
      </c>
      <c r="AM509" s="658">
        <v>0</v>
      </c>
      <c r="AN509" s="659" t="s">
        <v>34</v>
      </c>
      <c r="AO509" s="253" t="s">
        <v>34</v>
      </c>
      <c r="AP509" s="944" t="s">
        <v>1746</v>
      </c>
      <c r="AQ509" s="663" t="s">
        <v>679</v>
      </c>
      <c r="AR509" s="658">
        <v>3.3333333333333301E-3</v>
      </c>
      <c r="AS509" s="658">
        <v>3.3333333333333301E-3</v>
      </c>
      <c r="AT509" s="658" t="s">
        <v>1417</v>
      </c>
      <c r="AU509" s="658" t="s">
        <v>2751</v>
      </c>
      <c r="AX509"/>
      <c r="AY509"/>
      <c r="BA509"/>
      <c r="BB509"/>
      <c r="BC509"/>
      <c r="BD509"/>
      <c r="BE509"/>
      <c r="BF509"/>
      <c r="BG509"/>
      <c r="BH509"/>
      <c r="BI509"/>
      <c r="BJ509"/>
      <c r="BR509"/>
      <c r="BS509"/>
      <c r="BT509"/>
      <c r="BU509"/>
      <c r="BX509"/>
      <c r="BY509"/>
      <c r="CA509"/>
    </row>
    <row r="510" spans="2:79" ht="18.75">
      <c r="B510" s="252" t="s">
        <v>1533</v>
      </c>
      <c r="C510" s="251">
        <v>39363097000132</v>
      </c>
      <c r="D510" s="252" t="s">
        <v>13</v>
      </c>
      <c r="E510" s="252" t="s">
        <v>615</v>
      </c>
      <c r="F510" s="252" t="s">
        <v>619</v>
      </c>
      <c r="G510" s="253" t="s">
        <v>34</v>
      </c>
      <c r="H510" s="253" t="s">
        <v>1337</v>
      </c>
      <c r="I510" s="253" t="s">
        <v>34</v>
      </c>
      <c r="J510" s="253" t="s">
        <v>611</v>
      </c>
      <c r="K510" s="253" t="s">
        <v>48</v>
      </c>
      <c r="L510" s="655"/>
      <c r="M510" s="655" t="s">
        <v>34</v>
      </c>
      <c r="N510" s="253" t="s">
        <v>3095</v>
      </c>
      <c r="O510" s="253" t="s">
        <v>1321</v>
      </c>
      <c r="P510" s="656">
        <v>44136</v>
      </c>
      <c r="Q510" s="657">
        <v>226.67946957999999</v>
      </c>
      <c r="R510" s="657">
        <v>227.19015644915658</v>
      </c>
      <c r="S510" s="253">
        <v>121</v>
      </c>
      <c r="T510" s="658">
        <v>7.2928853707259211E-3</v>
      </c>
      <c r="U510" s="659">
        <v>0.36467380759553231</v>
      </c>
      <c r="V510" s="658">
        <v>8.0569824753187858E-2</v>
      </c>
      <c r="W510" s="659">
        <v>0.62484397362278543</v>
      </c>
      <c r="X510" s="658">
        <v>0.13267749011293017</v>
      </c>
      <c r="Y510" s="659">
        <v>0.68713573634533565</v>
      </c>
      <c r="Z510" s="658"/>
      <c r="AA510" s="659"/>
      <c r="AB510" s="658">
        <v>3.48568304396202E-2</v>
      </c>
      <c r="AC510" s="660">
        <v>-1.3877935567720419</v>
      </c>
      <c r="AD510" s="682">
        <v>0</v>
      </c>
      <c r="AE510" s="944" t="s">
        <v>1797</v>
      </c>
      <c r="AF510" s="661" t="s">
        <v>1745</v>
      </c>
      <c r="AG510" s="662" t="s">
        <v>1432</v>
      </c>
      <c r="AH510" s="662" t="s">
        <v>1801</v>
      </c>
      <c r="AI510" s="662">
        <v>100000</v>
      </c>
      <c r="AJ510" s="662">
        <v>100000</v>
      </c>
      <c r="AK510" s="662">
        <v>100000</v>
      </c>
      <c r="AL510" s="658">
        <v>5.0000000000000001E-3</v>
      </c>
      <c r="AM510" s="658">
        <v>0.1</v>
      </c>
      <c r="AN510" s="659" t="s">
        <v>34</v>
      </c>
      <c r="AO510" s="253" t="s">
        <v>34</v>
      </c>
      <c r="AP510" s="944" t="s">
        <v>1746</v>
      </c>
      <c r="AQ510" s="663" t="s">
        <v>679</v>
      </c>
      <c r="AR510" s="658">
        <v>0</v>
      </c>
      <c r="AS510" s="658">
        <v>0</v>
      </c>
      <c r="AT510" s="658" t="s">
        <v>1417</v>
      </c>
      <c r="AU510" s="658" t="s">
        <v>2751</v>
      </c>
      <c r="AX510"/>
      <c r="AY510"/>
      <c r="BA510"/>
      <c r="BB510"/>
      <c r="BC510"/>
      <c r="BD510"/>
      <c r="BE510"/>
      <c r="BF510"/>
      <c r="BG510"/>
      <c r="BH510"/>
      <c r="BI510"/>
      <c r="BJ510"/>
      <c r="BR510"/>
      <c r="BS510"/>
      <c r="BT510"/>
      <c r="BU510"/>
      <c r="BX510"/>
      <c r="BY510"/>
      <c r="CA510"/>
    </row>
    <row r="511" spans="2:79" ht="18.75">
      <c r="B511" s="252" t="s">
        <v>1534</v>
      </c>
      <c r="C511" s="251">
        <v>30877879000115</v>
      </c>
      <c r="D511" s="252" t="s">
        <v>11</v>
      </c>
      <c r="E511" s="252" t="s">
        <v>4235</v>
      </c>
      <c r="F511" s="252" t="s">
        <v>1417</v>
      </c>
      <c r="G511" s="253" t="s">
        <v>738</v>
      </c>
      <c r="H511" s="253" t="s">
        <v>34</v>
      </c>
      <c r="I511" s="253" t="s">
        <v>34</v>
      </c>
      <c r="J511" s="253" t="s">
        <v>611</v>
      </c>
      <c r="K511" s="253" t="s">
        <v>48</v>
      </c>
      <c r="L511" s="655"/>
      <c r="M511" s="655" t="s">
        <v>34</v>
      </c>
      <c r="N511" s="253" t="s">
        <v>3096</v>
      </c>
      <c r="O511" s="253" t="s">
        <v>1321</v>
      </c>
      <c r="P511" s="656">
        <v>43316</v>
      </c>
      <c r="Q511" s="657">
        <v>0.93399730999999997</v>
      </c>
      <c r="R511" s="657">
        <v>1.1167264720481929</v>
      </c>
      <c r="S511" s="253">
        <v>5</v>
      </c>
      <c r="T511" s="658">
        <v>1.1295398187933792E-2</v>
      </c>
      <c r="U511" s="659">
        <v>0.56481566020987384</v>
      </c>
      <c r="V511" s="658">
        <v>-9.0553462822001718E-3</v>
      </c>
      <c r="W511" s="659">
        <v>-7.0227018251971543E-2</v>
      </c>
      <c r="X511" s="658">
        <v>-4.9034097172421243E-3</v>
      </c>
      <c r="Y511" s="659">
        <v>-2.5394722524462971E-2</v>
      </c>
      <c r="Z511" s="658">
        <v>4.6678702625206014E-2</v>
      </c>
      <c r="AA511" s="659">
        <v>0.21076727306155801</v>
      </c>
      <c r="AB511" s="658">
        <v>9.7879792265123874E-2</v>
      </c>
      <c r="AC511" s="660">
        <v>-1.4098850491549302</v>
      </c>
      <c r="AD511" s="682">
        <v>29599922000149</v>
      </c>
      <c r="AE511" s="944" t="s">
        <v>1747</v>
      </c>
      <c r="AF511" s="661" t="s">
        <v>1745</v>
      </c>
      <c r="AG511" s="662" t="s">
        <v>1432</v>
      </c>
      <c r="AH511" s="662" t="s">
        <v>1730</v>
      </c>
      <c r="AI511" s="662">
        <v>20000</v>
      </c>
      <c r="AJ511" s="662">
        <v>10000</v>
      </c>
      <c r="AK511" s="662">
        <v>10000</v>
      </c>
      <c r="AL511" s="658">
        <v>2E-3</v>
      </c>
      <c r="AM511" s="658">
        <v>0</v>
      </c>
      <c r="AN511" s="659" t="s">
        <v>34</v>
      </c>
      <c r="AO511" s="253" t="s">
        <v>34</v>
      </c>
      <c r="AP511" s="944" t="s">
        <v>1746</v>
      </c>
      <c r="AQ511" s="663" t="s">
        <v>679</v>
      </c>
      <c r="AR511" s="658">
        <v>0</v>
      </c>
      <c r="AS511" s="658">
        <v>0</v>
      </c>
      <c r="AT511" s="658" t="s">
        <v>1417</v>
      </c>
      <c r="AU511" s="658" t="s">
        <v>2751</v>
      </c>
      <c r="AX511"/>
      <c r="AY511"/>
      <c r="BA511"/>
      <c r="BB511"/>
      <c r="BC511"/>
      <c r="BD511"/>
      <c r="BE511"/>
      <c r="BF511"/>
      <c r="BG511"/>
      <c r="BH511"/>
      <c r="BI511"/>
      <c r="BJ511"/>
      <c r="BR511"/>
      <c r="BS511"/>
      <c r="BT511"/>
      <c r="BU511"/>
      <c r="BX511"/>
      <c r="BY511"/>
      <c r="CA511"/>
    </row>
    <row r="512" spans="2:79" ht="18.75">
      <c r="B512" s="252" t="s">
        <v>876</v>
      </c>
      <c r="C512" s="251">
        <v>39958394000120</v>
      </c>
      <c r="D512" s="252" t="s">
        <v>14</v>
      </c>
      <c r="E512" s="252" t="s">
        <v>607</v>
      </c>
      <c r="F512" s="252" t="s">
        <v>1417</v>
      </c>
      <c r="G512" s="253" t="s">
        <v>1417</v>
      </c>
      <c r="H512" s="253" t="s">
        <v>34</v>
      </c>
      <c r="I512" s="253" t="s">
        <v>34</v>
      </c>
      <c r="J512" s="253" t="s">
        <v>608</v>
      </c>
      <c r="K512" s="253" t="s">
        <v>48</v>
      </c>
      <c r="L512" s="655"/>
      <c r="M512" s="655" t="s">
        <v>1414</v>
      </c>
      <c r="N512" s="253" t="s">
        <v>3097</v>
      </c>
      <c r="O512" s="253" t="s">
        <v>1321</v>
      </c>
      <c r="P512" s="656">
        <v>44176</v>
      </c>
      <c r="Q512" s="657">
        <v>2.6725643699999999</v>
      </c>
      <c r="R512" s="657">
        <v>3.0241771186747002</v>
      </c>
      <c r="S512" s="253">
        <v>3</v>
      </c>
      <c r="T512" s="658">
        <v>-1.2207348832187326E-2</v>
      </c>
      <c r="U512" s="659">
        <v>-0.61041688618197942</v>
      </c>
      <c r="V512" s="658">
        <v>-0.12618251890345034</v>
      </c>
      <c r="W512" s="659">
        <v>-0.97858456009915251</v>
      </c>
      <c r="X512" s="658">
        <v>-0.15772792350646103</v>
      </c>
      <c r="Y512" s="659">
        <v>-0.81687174492510684</v>
      </c>
      <c r="Z512" s="658"/>
      <c r="AA512" s="659"/>
      <c r="AB512" s="658">
        <v>0.22088274827419976</v>
      </c>
      <c r="AC512" s="660">
        <v>-1.1550310304611451</v>
      </c>
      <c r="AD512" s="682">
        <v>37843293000189</v>
      </c>
      <c r="AE512" s="944" t="s">
        <v>1747</v>
      </c>
      <c r="AF512" s="661" t="s">
        <v>1745</v>
      </c>
      <c r="AG512" s="662" t="s">
        <v>1432</v>
      </c>
      <c r="AH512" s="662" t="s">
        <v>1734</v>
      </c>
      <c r="AI512" s="662">
        <v>1</v>
      </c>
      <c r="AJ512" s="662">
        <v>1</v>
      </c>
      <c r="AK512" s="662">
        <v>1</v>
      </c>
      <c r="AL512" s="658">
        <v>0</v>
      </c>
      <c r="AM512" s="658">
        <v>0</v>
      </c>
      <c r="AN512" s="659" t="s">
        <v>34</v>
      </c>
      <c r="AO512" s="253" t="s">
        <v>34</v>
      </c>
      <c r="AP512" s="944" t="s">
        <v>1731</v>
      </c>
      <c r="AQ512" s="663" t="s">
        <v>694</v>
      </c>
      <c r="AR512" s="658">
        <v>0</v>
      </c>
      <c r="AS512" s="658">
        <v>0</v>
      </c>
      <c r="AT512" s="658" t="s">
        <v>1417</v>
      </c>
      <c r="AU512" s="658" t="s">
        <v>2751</v>
      </c>
      <c r="AX512"/>
      <c r="AY512"/>
      <c r="BA512"/>
      <c r="BB512"/>
      <c r="BC512"/>
      <c r="BD512"/>
      <c r="BE512"/>
      <c r="BF512"/>
      <c r="BG512"/>
      <c r="BH512"/>
      <c r="BI512"/>
      <c r="BJ512"/>
      <c r="BR512"/>
      <c r="BS512"/>
      <c r="BT512"/>
      <c r="BU512"/>
      <c r="BX512"/>
      <c r="BY512"/>
      <c r="CA512"/>
    </row>
    <row r="513" spans="2:79" ht="18.75">
      <c r="B513" s="252" t="s">
        <v>877</v>
      </c>
      <c r="C513" s="251">
        <v>39835826000106</v>
      </c>
      <c r="D513" s="252" t="s">
        <v>13</v>
      </c>
      <c r="E513" s="252" t="s">
        <v>615</v>
      </c>
      <c r="F513" s="252" t="s">
        <v>619</v>
      </c>
      <c r="G513" s="253" t="s">
        <v>34</v>
      </c>
      <c r="H513" s="253" t="s">
        <v>1338</v>
      </c>
      <c r="I513" s="253" t="s">
        <v>34</v>
      </c>
      <c r="J513" s="253" t="s">
        <v>1417</v>
      </c>
      <c r="K513" s="253" t="s">
        <v>48</v>
      </c>
      <c r="L513" s="655"/>
      <c r="M513" s="655" t="s">
        <v>1414</v>
      </c>
      <c r="N513" s="253" t="s">
        <v>3098</v>
      </c>
      <c r="O513" s="253" t="s">
        <v>1321</v>
      </c>
      <c r="P513" s="656">
        <v>44162</v>
      </c>
      <c r="Q513" s="657">
        <v>259.5657228</v>
      </c>
      <c r="R513" s="657">
        <v>256.99211099461837</v>
      </c>
      <c r="S513" s="253">
        <v>271</v>
      </c>
      <c r="T513" s="658">
        <v>2.6080779020931644E-2</v>
      </c>
      <c r="U513" s="659">
        <v>1.3041445884777585</v>
      </c>
      <c r="V513" s="658">
        <v>0.23134873173609383</v>
      </c>
      <c r="W513" s="659">
        <v>1.7941811499950306</v>
      </c>
      <c r="X513" s="658">
        <v>0.48775351084894791</v>
      </c>
      <c r="Y513" s="659">
        <v>2.5260718117816725</v>
      </c>
      <c r="Z513" s="658"/>
      <c r="AA513" s="659"/>
      <c r="AB513" s="658">
        <v>0.22320809136000053</v>
      </c>
      <c r="AC513" s="660">
        <v>0.45878633550135128</v>
      </c>
      <c r="AD513" s="682">
        <v>32990098000168</v>
      </c>
      <c r="AE513" s="944" t="s">
        <v>1797</v>
      </c>
      <c r="AF513" s="661" t="s">
        <v>1745</v>
      </c>
      <c r="AG513" s="662" t="s">
        <v>1432</v>
      </c>
      <c r="AH513" s="662" t="s">
        <v>1801</v>
      </c>
      <c r="AI513" s="662">
        <v>500000</v>
      </c>
      <c r="AJ513" s="662">
        <v>100000</v>
      </c>
      <c r="AK513" s="662">
        <v>500000</v>
      </c>
      <c r="AL513" s="658">
        <v>0</v>
      </c>
      <c r="AM513" s="658">
        <v>0</v>
      </c>
      <c r="AN513" s="659" t="s">
        <v>34</v>
      </c>
      <c r="AO513" s="253" t="s">
        <v>34</v>
      </c>
      <c r="AP513" s="944" t="s">
        <v>1746</v>
      </c>
      <c r="AQ513" s="663" t="s">
        <v>679</v>
      </c>
      <c r="AR513" s="658">
        <v>0</v>
      </c>
      <c r="AS513" s="658">
        <v>0</v>
      </c>
      <c r="AT513" s="658" t="s">
        <v>1417</v>
      </c>
      <c r="AU513" s="658" t="s">
        <v>2751</v>
      </c>
      <c r="AX513"/>
      <c r="AY513"/>
      <c r="BA513"/>
      <c r="BB513"/>
      <c r="BC513"/>
      <c r="BD513"/>
      <c r="BE513"/>
      <c r="BF513"/>
      <c r="BG513"/>
      <c r="BH513"/>
      <c r="BI513"/>
      <c r="BJ513"/>
      <c r="BR513"/>
      <c r="BS513"/>
      <c r="BT513"/>
      <c r="BU513"/>
      <c r="BX513"/>
      <c r="BY513"/>
      <c r="CA513"/>
    </row>
    <row r="514" spans="2:79" ht="18.75">
      <c r="B514" s="252" t="s">
        <v>878</v>
      </c>
      <c r="C514" s="251">
        <v>37953241000165</v>
      </c>
      <c r="D514" s="252" t="s">
        <v>13</v>
      </c>
      <c r="E514" s="252" t="s">
        <v>615</v>
      </c>
      <c r="F514" s="252" t="s">
        <v>619</v>
      </c>
      <c r="G514" s="253" t="s">
        <v>34</v>
      </c>
      <c r="H514" s="253" t="s">
        <v>1337</v>
      </c>
      <c r="I514" s="253" t="s">
        <v>34</v>
      </c>
      <c r="J514" s="253" t="s">
        <v>690</v>
      </c>
      <c r="K514" s="253" t="s">
        <v>48</v>
      </c>
      <c r="L514" s="655"/>
      <c r="M514" s="655" t="s">
        <v>1414</v>
      </c>
      <c r="N514" s="253" t="s">
        <v>3099</v>
      </c>
      <c r="O514" s="253" t="s">
        <v>1324</v>
      </c>
      <c r="P514" s="656">
        <v>44091</v>
      </c>
      <c r="Q514" s="657">
        <v>18.556329819999998</v>
      </c>
      <c r="R514" s="657">
        <v>24.785072230722879</v>
      </c>
      <c r="S514" s="253">
        <v>63</v>
      </c>
      <c r="T514" s="658">
        <v>2.4399839020610381E-2</v>
      </c>
      <c r="U514" s="659">
        <v>1.2200907799923835</v>
      </c>
      <c r="V514" s="658">
        <v>0.12626122946997898</v>
      </c>
      <c r="W514" s="659">
        <v>0.97919498494873503</v>
      </c>
      <c r="X514" s="658">
        <v>0.18150520863565678</v>
      </c>
      <c r="Y514" s="659">
        <v>0.94001412809527707</v>
      </c>
      <c r="Z514" s="658"/>
      <c r="AA514" s="659"/>
      <c r="AB514" s="658">
        <v>2.6395153633030348E-2</v>
      </c>
      <c r="AC514" s="660">
        <v>-0.10163532344257041</v>
      </c>
      <c r="AD514" s="682">
        <v>0</v>
      </c>
      <c r="AE514" s="944" t="s">
        <v>1747</v>
      </c>
      <c r="AF514" s="661" t="s">
        <v>1745</v>
      </c>
      <c r="AG514" s="662" t="s">
        <v>1432</v>
      </c>
      <c r="AH514" s="662" t="s">
        <v>1801</v>
      </c>
      <c r="AI514" s="662">
        <v>50000</v>
      </c>
      <c r="AJ514" s="662">
        <v>5000</v>
      </c>
      <c r="AK514" s="662">
        <v>5000</v>
      </c>
      <c r="AL514" s="658">
        <v>0</v>
      </c>
      <c r="AM514" s="658">
        <v>0</v>
      </c>
      <c r="AN514" s="659" t="s">
        <v>34</v>
      </c>
      <c r="AO514" s="253" t="s">
        <v>34</v>
      </c>
      <c r="AP514" s="944" t="s">
        <v>1746</v>
      </c>
      <c r="AQ514" s="663" t="s">
        <v>679</v>
      </c>
      <c r="AR514" s="658">
        <v>0</v>
      </c>
      <c r="AS514" s="658">
        <v>0</v>
      </c>
      <c r="AT514" s="658" t="s">
        <v>1417</v>
      </c>
      <c r="AU514" s="658" t="s">
        <v>2751</v>
      </c>
      <c r="AX514"/>
      <c r="AY514"/>
      <c r="BA514"/>
      <c r="BB514"/>
      <c r="BC514"/>
      <c r="BD514"/>
      <c r="BE514"/>
      <c r="BF514"/>
      <c r="BG514"/>
      <c r="BH514"/>
      <c r="BI514"/>
      <c r="BJ514"/>
      <c r="BR514"/>
      <c r="BS514"/>
      <c r="BT514"/>
      <c r="BU514"/>
      <c r="BX514"/>
      <c r="BY514"/>
      <c r="CA514"/>
    </row>
    <row r="515" spans="2:79" ht="18.75">
      <c r="B515" s="252" t="s">
        <v>879</v>
      </c>
      <c r="C515" s="251">
        <v>23186354000178</v>
      </c>
      <c r="D515" s="252" t="s">
        <v>11</v>
      </c>
      <c r="E515" s="252" t="s">
        <v>621</v>
      </c>
      <c r="F515" s="252" t="s">
        <v>692</v>
      </c>
      <c r="G515" s="253" t="s">
        <v>738</v>
      </c>
      <c r="H515" s="253" t="s">
        <v>34</v>
      </c>
      <c r="I515" s="253" t="s">
        <v>1417</v>
      </c>
      <c r="J515" s="253" t="s">
        <v>608</v>
      </c>
      <c r="K515" s="253" t="s">
        <v>48</v>
      </c>
      <c r="L515" s="655"/>
      <c r="M515" s="655" t="s">
        <v>34</v>
      </c>
      <c r="N515" s="253" t="s">
        <v>3100</v>
      </c>
      <c r="O515" s="253" t="s">
        <v>1321</v>
      </c>
      <c r="P515" s="656">
        <v>42303</v>
      </c>
      <c r="Q515" s="657">
        <v>49.375132000000001</v>
      </c>
      <c r="R515" s="657">
        <v>54.900837878048819</v>
      </c>
      <c r="S515" s="253">
        <v>31</v>
      </c>
      <c r="T515" s="658">
        <v>-3.3309766606655189E-2</v>
      </c>
      <c r="U515" s="659">
        <v>-1.6656232480119664</v>
      </c>
      <c r="V515" s="658">
        <v>0.34817754484819896</v>
      </c>
      <c r="W515" s="659">
        <v>2.7002248213350657</v>
      </c>
      <c r="X515" s="658">
        <v>0.34817754484819896</v>
      </c>
      <c r="Y515" s="659">
        <v>1.8032089200251047</v>
      </c>
      <c r="Z515" s="658">
        <v>0.34817754484819896</v>
      </c>
      <c r="AA515" s="659">
        <v>1.5721180654514673</v>
      </c>
      <c r="AB515" s="658">
        <v>0.51483656403636524</v>
      </c>
      <c r="AC515" s="660">
        <v>0.42583151764241273</v>
      </c>
      <c r="AD515" s="682">
        <v>0</v>
      </c>
      <c r="AE515" s="944" t="s">
        <v>1921</v>
      </c>
      <c r="AF515" s="661" t="s">
        <v>1745</v>
      </c>
      <c r="AG515" s="662" t="s">
        <v>1432</v>
      </c>
      <c r="AH515" s="662" t="s">
        <v>1734</v>
      </c>
      <c r="AI515" s="662">
        <v>100</v>
      </c>
      <c r="AJ515" s="662">
        <v>0</v>
      </c>
      <c r="AK515" s="662">
        <v>0</v>
      </c>
      <c r="AL515" s="658">
        <v>0.01</v>
      </c>
      <c r="AM515" s="658">
        <v>0.2</v>
      </c>
      <c r="AN515" s="659" t="s">
        <v>34</v>
      </c>
      <c r="AO515" s="253" t="s">
        <v>34</v>
      </c>
      <c r="AP515" s="944" t="s">
        <v>1735</v>
      </c>
      <c r="AQ515" s="663" t="s">
        <v>675</v>
      </c>
      <c r="AR515" s="658">
        <v>2.3333333333333301E-3</v>
      </c>
      <c r="AS515" s="658">
        <v>2.3333333333333301E-3</v>
      </c>
      <c r="AT515" s="658" t="s">
        <v>1417</v>
      </c>
      <c r="AU515" s="658" t="s">
        <v>2751</v>
      </c>
      <c r="AX515"/>
      <c r="AY515"/>
      <c r="BA515"/>
      <c r="BB515"/>
      <c r="BC515"/>
      <c r="BD515"/>
      <c r="BE515"/>
      <c r="BF515"/>
      <c r="BG515"/>
      <c r="BH515"/>
      <c r="BI515"/>
      <c r="BJ515"/>
      <c r="BR515"/>
      <c r="BS515"/>
      <c r="BT515"/>
      <c r="BU515"/>
      <c r="BX515"/>
      <c r="BY515"/>
      <c r="CA515"/>
    </row>
    <row r="516" spans="2:79" ht="18.75">
      <c r="B516" s="252" t="s">
        <v>156</v>
      </c>
      <c r="C516" s="251">
        <v>22632296000104</v>
      </c>
      <c r="D516" s="252" t="s">
        <v>13</v>
      </c>
      <c r="E516" s="252" t="s">
        <v>615</v>
      </c>
      <c r="F516" s="252" t="s">
        <v>619</v>
      </c>
      <c r="G516" s="253" t="s">
        <v>34</v>
      </c>
      <c r="H516" s="253" t="s">
        <v>865</v>
      </c>
      <c r="I516" s="253" t="s">
        <v>34</v>
      </c>
      <c r="J516" s="253" t="s">
        <v>1417</v>
      </c>
      <c r="K516" s="253" t="s">
        <v>48</v>
      </c>
      <c r="L516" s="655"/>
      <c r="M516" s="655" t="s">
        <v>1414</v>
      </c>
      <c r="N516" s="253" t="s">
        <v>3101</v>
      </c>
      <c r="O516" s="253" t="s">
        <v>1321</v>
      </c>
      <c r="P516" s="656">
        <v>42328</v>
      </c>
      <c r="Q516" s="657">
        <v>35.473528000000002</v>
      </c>
      <c r="R516" s="657">
        <v>41.252703306451608</v>
      </c>
      <c r="S516" s="253">
        <v>31</v>
      </c>
      <c r="T516" s="658">
        <v>1.1912829311707895E-2</v>
      </c>
      <c r="U516" s="659">
        <v>0.59568971723790565</v>
      </c>
      <c r="V516" s="658">
        <v>0.11703135117146379</v>
      </c>
      <c r="W516" s="659">
        <v>0.90761441679228327</v>
      </c>
      <c r="X516" s="658">
        <v>8.8811553731480863E-2</v>
      </c>
      <c r="Y516" s="659">
        <v>0.4599543774705997</v>
      </c>
      <c r="Z516" s="658">
        <v>0.10815644703459215</v>
      </c>
      <c r="AA516" s="659">
        <v>0.48835631933776802</v>
      </c>
      <c r="AB516" s="658">
        <v>3.4618737339490634E-2</v>
      </c>
      <c r="AC516" s="660">
        <v>-0.34410724338393317</v>
      </c>
      <c r="AD516" s="682">
        <v>19805188000173</v>
      </c>
      <c r="AE516" s="944" t="s">
        <v>1921</v>
      </c>
      <c r="AF516" s="661" t="s">
        <v>1745</v>
      </c>
      <c r="AG516" s="662" t="s">
        <v>1432</v>
      </c>
      <c r="AH516" s="662" t="s">
        <v>1734</v>
      </c>
      <c r="AI516" s="662">
        <v>100</v>
      </c>
      <c r="AJ516" s="662">
        <v>0</v>
      </c>
      <c r="AK516" s="662">
        <v>0</v>
      </c>
      <c r="AL516" s="658">
        <v>1.4999999999999999E-2</v>
      </c>
      <c r="AM516" s="658">
        <v>0.2</v>
      </c>
      <c r="AN516" s="659" t="s">
        <v>34</v>
      </c>
      <c r="AO516" s="253" t="s">
        <v>34</v>
      </c>
      <c r="AP516" s="944" t="s">
        <v>1746</v>
      </c>
      <c r="AQ516" s="663" t="s">
        <v>668</v>
      </c>
      <c r="AR516" s="658">
        <v>3.5000000000000001E-3</v>
      </c>
      <c r="AS516" s="658">
        <v>3.5000000000000001E-3</v>
      </c>
      <c r="AT516" s="658" t="s">
        <v>1417</v>
      </c>
      <c r="AU516" s="658" t="s">
        <v>2751</v>
      </c>
      <c r="AX516"/>
      <c r="AY516"/>
      <c r="BA516"/>
      <c r="BB516"/>
      <c r="BC516"/>
      <c r="BD516"/>
      <c r="BE516"/>
      <c r="BF516"/>
      <c r="BG516"/>
      <c r="BH516"/>
      <c r="BI516"/>
      <c r="BJ516"/>
      <c r="BR516"/>
      <c r="BS516"/>
      <c r="BT516"/>
      <c r="BU516"/>
      <c r="BX516"/>
      <c r="BY516"/>
      <c r="CA516"/>
    </row>
    <row r="517" spans="2:79" ht="18.75">
      <c r="B517" s="252" t="s">
        <v>157</v>
      </c>
      <c r="C517" s="251">
        <v>22344837000190</v>
      </c>
      <c r="D517" s="252" t="s">
        <v>14</v>
      </c>
      <c r="E517" s="252" t="s">
        <v>607</v>
      </c>
      <c r="F517" s="252" t="s">
        <v>1417</v>
      </c>
      <c r="G517" s="253" t="s">
        <v>1417</v>
      </c>
      <c r="H517" s="253" t="s">
        <v>34</v>
      </c>
      <c r="I517" s="253" t="s">
        <v>34</v>
      </c>
      <c r="J517" s="253" t="s">
        <v>608</v>
      </c>
      <c r="K517" s="253" t="s">
        <v>48</v>
      </c>
      <c r="L517" s="655"/>
      <c r="M517" s="655" t="s">
        <v>34</v>
      </c>
      <c r="N517" s="253" t="s">
        <v>3102</v>
      </c>
      <c r="O517" s="253" t="s">
        <v>1321</v>
      </c>
      <c r="P517" s="656">
        <v>42307</v>
      </c>
      <c r="Q517" s="657">
        <v>63.231653000000001</v>
      </c>
      <c r="R517" s="657">
        <v>71.972656628048753</v>
      </c>
      <c r="S517" s="253">
        <v>3</v>
      </c>
      <c r="T517" s="658">
        <v>-1.1442355853133912E-2</v>
      </c>
      <c r="U517" s="659">
        <v>-0.5721641387063271</v>
      </c>
      <c r="V517" s="658">
        <v>0.33798593458066084</v>
      </c>
      <c r="W517" s="659">
        <v>2.6211857235501181</v>
      </c>
      <c r="X517" s="658">
        <v>0.33798593458066084</v>
      </c>
      <c r="Y517" s="659">
        <v>1.7504266461083402</v>
      </c>
      <c r="Z517" s="658">
        <v>0.33798593458066084</v>
      </c>
      <c r="AA517" s="659">
        <v>1.5261001218628798</v>
      </c>
      <c r="AB517" s="658">
        <v>0.28577289522866506</v>
      </c>
      <c r="AC517" s="660">
        <v>0.73149703356787799</v>
      </c>
      <c r="AD517" s="682">
        <v>22662147000180</v>
      </c>
      <c r="AE517" s="944" t="s">
        <v>1921</v>
      </c>
      <c r="AF517" s="661" t="s">
        <v>1745</v>
      </c>
      <c r="AG517" s="662" t="s">
        <v>1432</v>
      </c>
      <c r="AH517" s="662" t="s">
        <v>1734</v>
      </c>
      <c r="AI517" s="662">
        <v>100</v>
      </c>
      <c r="AJ517" s="662">
        <v>0</v>
      </c>
      <c r="AK517" s="662">
        <v>0</v>
      </c>
      <c r="AL517" s="658">
        <v>0.02</v>
      </c>
      <c r="AM517" s="658">
        <v>0.2</v>
      </c>
      <c r="AN517" s="659" t="s">
        <v>34</v>
      </c>
      <c r="AO517" s="253" t="s">
        <v>34</v>
      </c>
      <c r="AP517" s="944" t="s">
        <v>1731</v>
      </c>
      <c r="AQ517" s="663" t="s">
        <v>659</v>
      </c>
      <c r="AR517" s="658">
        <v>4.6666666666666697E-3</v>
      </c>
      <c r="AS517" s="658">
        <v>4.6666666666666697E-3</v>
      </c>
      <c r="AT517" s="658" t="s">
        <v>1417</v>
      </c>
      <c r="AU517" s="658" t="s">
        <v>2751</v>
      </c>
      <c r="AX517"/>
      <c r="AY517"/>
      <c r="BA517"/>
      <c r="BB517"/>
      <c r="BC517"/>
      <c r="BD517"/>
      <c r="BE517"/>
      <c r="BF517"/>
      <c r="BG517"/>
      <c r="BH517"/>
      <c r="BI517"/>
      <c r="BJ517"/>
      <c r="BR517"/>
      <c r="BS517"/>
      <c r="BT517"/>
      <c r="BU517"/>
      <c r="BX517"/>
      <c r="BY517"/>
      <c r="CA517"/>
    </row>
    <row r="518" spans="2:79" ht="18.75">
      <c r="B518" s="252" t="s">
        <v>880</v>
      </c>
      <c r="C518" s="251">
        <v>36436823000101</v>
      </c>
      <c r="D518" s="252" t="s">
        <v>14</v>
      </c>
      <c r="E518" s="252" t="s">
        <v>614</v>
      </c>
      <c r="F518" s="252" t="s">
        <v>1417</v>
      </c>
      <c r="G518" s="253" t="s">
        <v>1417</v>
      </c>
      <c r="H518" s="253" t="s">
        <v>1338</v>
      </c>
      <c r="I518" s="253" t="s">
        <v>34</v>
      </c>
      <c r="J518" s="253" t="s">
        <v>608</v>
      </c>
      <c r="K518" s="253" t="s">
        <v>48</v>
      </c>
      <c r="L518" s="655"/>
      <c r="M518" s="655" t="s">
        <v>34</v>
      </c>
      <c r="N518" s="253" t="s">
        <v>3103</v>
      </c>
      <c r="O518" s="253" t="s">
        <v>1321</v>
      </c>
      <c r="P518" s="656">
        <v>43910</v>
      </c>
      <c r="Q518" s="657">
        <v>14.46237504</v>
      </c>
      <c r="R518" s="657">
        <v>14.062240783253014</v>
      </c>
      <c r="S518" s="253">
        <v>31</v>
      </c>
      <c r="T518" s="658">
        <v>3.2467038075205679E-3</v>
      </c>
      <c r="U518" s="659">
        <v>0.16234834080568933</v>
      </c>
      <c r="V518" s="658">
        <v>5.8643101871042935E-2</v>
      </c>
      <c r="W518" s="659">
        <v>0.45479543875039208</v>
      </c>
      <c r="X518" s="658">
        <v>-0.11942930863617307</v>
      </c>
      <c r="Y518" s="659">
        <v>-0.61852350282690127</v>
      </c>
      <c r="Z518" s="658"/>
      <c r="AA518" s="659"/>
      <c r="AB518" s="658">
        <v>0.13271790643372855</v>
      </c>
      <c r="AC518" s="660">
        <v>-0.52970099864293341</v>
      </c>
      <c r="AD518" s="682">
        <v>36499040000177</v>
      </c>
      <c r="AE518" s="944" t="s">
        <v>1921</v>
      </c>
      <c r="AF518" s="661" t="s">
        <v>1745</v>
      </c>
      <c r="AG518" s="662" t="s">
        <v>1432</v>
      </c>
      <c r="AH518" s="662" t="s">
        <v>1734</v>
      </c>
      <c r="AI518" s="662">
        <v>100</v>
      </c>
      <c r="AJ518" s="662">
        <v>0</v>
      </c>
      <c r="AK518" s="662">
        <v>0</v>
      </c>
      <c r="AL518" s="658">
        <v>0.02</v>
      </c>
      <c r="AM518" s="658">
        <v>0.2</v>
      </c>
      <c r="AN518" s="659" t="s">
        <v>34</v>
      </c>
      <c r="AO518" s="253" t="s">
        <v>34</v>
      </c>
      <c r="AP518" s="944" t="s">
        <v>1746</v>
      </c>
      <c r="AQ518" s="663" t="s">
        <v>668</v>
      </c>
      <c r="AR518" s="658">
        <v>4.6666666666666697E-3</v>
      </c>
      <c r="AS518" s="658">
        <v>4.6666666666666697E-3</v>
      </c>
      <c r="AT518" s="658" t="s">
        <v>1417</v>
      </c>
      <c r="AU518" s="658" t="s">
        <v>2751</v>
      </c>
      <c r="AX518"/>
      <c r="AY518"/>
      <c r="BA518"/>
      <c r="BB518"/>
      <c r="BC518"/>
      <c r="BD518"/>
      <c r="BE518"/>
      <c r="BF518"/>
      <c r="BG518"/>
      <c r="BH518"/>
      <c r="BI518"/>
      <c r="BJ518"/>
      <c r="BR518"/>
      <c r="BS518"/>
      <c r="BT518"/>
      <c r="BU518"/>
      <c r="BX518"/>
      <c r="BY518"/>
      <c r="CA518"/>
    </row>
    <row r="519" spans="2:79" ht="18.75">
      <c r="B519" s="252" t="s">
        <v>881</v>
      </c>
      <c r="C519" s="251">
        <v>22344843000148</v>
      </c>
      <c r="D519" s="252" t="s">
        <v>11</v>
      </c>
      <c r="E519" s="252" t="s">
        <v>620</v>
      </c>
      <c r="F519" s="252" t="s">
        <v>663</v>
      </c>
      <c r="G519" s="253" t="s">
        <v>738</v>
      </c>
      <c r="H519" s="253" t="s">
        <v>34</v>
      </c>
      <c r="I519" s="253" t="s">
        <v>1417</v>
      </c>
      <c r="J519" s="253" t="s">
        <v>608</v>
      </c>
      <c r="K519" s="253" t="s">
        <v>48</v>
      </c>
      <c r="L519" s="655"/>
      <c r="M519" s="655" t="s">
        <v>34</v>
      </c>
      <c r="N519" s="253" t="s">
        <v>3104</v>
      </c>
      <c r="O519" s="253" t="s">
        <v>1321</v>
      </c>
      <c r="P519" s="656">
        <v>42331</v>
      </c>
      <c r="Q519" s="657">
        <v>275.47644000000003</v>
      </c>
      <c r="R519" s="657">
        <v>154.0610575140561</v>
      </c>
      <c r="S519" s="253">
        <v>1</v>
      </c>
      <c r="T519" s="658">
        <v>1.2391423089312736E-2</v>
      </c>
      <c r="U519" s="659">
        <v>0.61962134461151874</v>
      </c>
      <c r="V519" s="658">
        <v>0.13681164525747747</v>
      </c>
      <c r="W519" s="659">
        <v>1.0610167307974783</v>
      </c>
      <c r="X519" s="658">
        <v>0.21256837347619295</v>
      </c>
      <c r="Y519" s="659">
        <v>1.1008900282027529</v>
      </c>
      <c r="Z519" s="658">
        <v>0.21379491925918281</v>
      </c>
      <c r="AA519" s="659">
        <v>0.96534328489115873</v>
      </c>
      <c r="AB519" s="658">
        <v>3.7984960545826545E-3</v>
      </c>
      <c r="AC519" s="660">
        <v>2.0712765519914571</v>
      </c>
      <c r="AD519" s="682">
        <v>23225888000166</v>
      </c>
      <c r="AE519" s="944" t="s">
        <v>1921</v>
      </c>
      <c r="AF519" s="661" t="s">
        <v>1745</v>
      </c>
      <c r="AG519" s="662" t="s">
        <v>1432</v>
      </c>
      <c r="AH519" s="662" t="s">
        <v>1734</v>
      </c>
      <c r="AI519" s="662">
        <v>100</v>
      </c>
      <c r="AJ519" s="662">
        <v>0</v>
      </c>
      <c r="AK519" s="662">
        <v>0</v>
      </c>
      <c r="AL519" s="658">
        <v>5.0000000000000001E-3</v>
      </c>
      <c r="AM519" s="658">
        <v>0</v>
      </c>
      <c r="AN519" s="659" t="s">
        <v>34</v>
      </c>
      <c r="AO519" s="253" t="s">
        <v>34</v>
      </c>
      <c r="AP519" s="944" t="s">
        <v>1735</v>
      </c>
      <c r="AQ519" s="663" t="s">
        <v>669</v>
      </c>
      <c r="AR519" s="658">
        <v>1.16666666666667E-3</v>
      </c>
      <c r="AS519" s="658">
        <v>1.16666666666667E-3</v>
      </c>
      <c r="AT519" s="658" t="s">
        <v>1417</v>
      </c>
      <c r="AU519" s="658" t="s">
        <v>2751</v>
      </c>
      <c r="AX519"/>
      <c r="AY519"/>
      <c r="BA519"/>
      <c r="BB519"/>
      <c r="BC519"/>
      <c r="BD519"/>
      <c r="BE519"/>
      <c r="BF519"/>
      <c r="BG519"/>
      <c r="BH519"/>
      <c r="BI519"/>
      <c r="BJ519"/>
      <c r="BR519"/>
      <c r="BS519"/>
      <c r="BT519"/>
      <c r="BU519"/>
      <c r="BX519"/>
      <c r="BY519"/>
      <c r="CA519"/>
    </row>
    <row r="520" spans="2:79" ht="18.75">
      <c r="B520" s="252" t="s">
        <v>882</v>
      </c>
      <c r="C520" s="251">
        <v>4240128000183</v>
      </c>
      <c r="D520" s="252" t="s">
        <v>11</v>
      </c>
      <c r="E520" s="252" t="s">
        <v>620</v>
      </c>
      <c r="F520" s="252" t="s">
        <v>663</v>
      </c>
      <c r="G520" s="253" t="s">
        <v>738</v>
      </c>
      <c r="H520" s="253" t="s">
        <v>34</v>
      </c>
      <c r="I520" s="253" t="s">
        <v>1417</v>
      </c>
      <c r="J520" s="253" t="s">
        <v>608</v>
      </c>
      <c r="K520" s="253" t="s">
        <v>48</v>
      </c>
      <c r="L520" s="655"/>
      <c r="M520" s="655" t="s">
        <v>34</v>
      </c>
      <c r="N520" s="253" t="s">
        <v>3105</v>
      </c>
      <c r="O520" s="253" t="s">
        <v>1321</v>
      </c>
      <c r="P520" s="656">
        <v>36957</v>
      </c>
      <c r="Q520" s="657">
        <v>79.577706000000006</v>
      </c>
      <c r="R520" s="657">
        <v>86.932041846774197</v>
      </c>
      <c r="S520" s="253">
        <v>16</v>
      </c>
      <c r="T520" s="658">
        <v>-2.0315944051272128E-2</v>
      </c>
      <c r="U520" s="659">
        <v>-1.0158794901417412</v>
      </c>
      <c r="V520" s="658">
        <v>0.10033856347784353</v>
      </c>
      <c r="W520" s="659">
        <v>0.77815667221762441</v>
      </c>
      <c r="X520" s="658">
        <v>0.18047714505986567</v>
      </c>
      <c r="Y520" s="659">
        <v>0.93468979446822575</v>
      </c>
      <c r="Z520" s="658">
        <v>0.2444649644892003</v>
      </c>
      <c r="AA520" s="659">
        <v>1.1038270351724875</v>
      </c>
      <c r="AB520" s="658">
        <v>2.0698286908363131E-2</v>
      </c>
      <c r="AC520" s="660">
        <v>-1.3820151443251492</v>
      </c>
      <c r="AD520" s="682">
        <v>0</v>
      </c>
      <c r="AE520" s="944" t="s">
        <v>1755</v>
      </c>
      <c r="AF520" s="661" t="s">
        <v>1755</v>
      </c>
      <c r="AG520" s="662" t="s">
        <v>469</v>
      </c>
      <c r="AH520" s="662" t="s">
        <v>1734</v>
      </c>
      <c r="AI520" s="662">
        <v>1000</v>
      </c>
      <c r="AJ520" s="662">
        <v>1000</v>
      </c>
      <c r="AK520" s="662">
        <v>1000</v>
      </c>
      <c r="AL520" s="658">
        <v>3.4999999999999996E-3</v>
      </c>
      <c r="AM520" s="658">
        <v>0</v>
      </c>
      <c r="AN520" s="659" t="s">
        <v>64</v>
      </c>
      <c r="AO520" s="253" t="s">
        <v>34</v>
      </c>
      <c r="AP520" s="944" t="s">
        <v>1735</v>
      </c>
      <c r="AQ520" s="663" t="s">
        <v>675</v>
      </c>
      <c r="AR520" s="658">
        <v>1.4E-3</v>
      </c>
      <c r="AS520" s="658">
        <v>1.4E-3</v>
      </c>
      <c r="AT520" s="658" t="s">
        <v>1417</v>
      </c>
      <c r="AU520" s="658" t="s">
        <v>2751</v>
      </c>
      <c r="AX520"/>
      <c r="AY520"/>
      <c r="BA520"/>
      <c r="BB520"/>
      <c r="BC520"/>
      <c r="BD520"/>
      <c r="BE520"/>
      <c r="BF520"/>
      <c r="BG520"/>
      <c r="BH520"/>
      <c r="BI520"/>
      <c r="BJ520"/>
      <c r="BR520"/>
      <c r="BS520"/>
      <c r="BT520"/>
      <c r="BU520"/>
      <c r="BX520"/>
      <c r="BY520"/>
      <c r="CA520"/>
    </row>
    <row r="521" spans="2:79" ht="18.75">
      <c r="B521" s="252" t="s">
        <v>883</v>
      </c>
      <c r="C521" s="251">
        <v>3319016000150</v>
      </c>
      <c r="D521" s="252" t="s">
        <v>13</v>
      </c>
      <c r="E521" s="252" t="s">
        <v>616</v>
      </c>
      <c r="F521" s="252" t="s">
        <v>17</v>
      </c>
      <c r="G521" s="253" t="s">
        <v>1417</v>
      </c>
      <c r="H521" s="253" t="s">
        <v>34</v>
      </c>
      <c r="I521" s="253" t="s">
        <v>34</v>
      </c>
      <c r="J521" s="253" t="s">
        <v>611</v>
      </c>
      <c r="K521" s="253" t="s">
        <v>49</v>
      </c>
      <c r="L521" s="655"/>
      <c r="M521" s="655" t="s">
        <v>1414</v>
      </c>
      <c r="N521" s="253" t="s">
        <v>3106</v>
      </c>
      <c r="O521" s="253" t="s">
        <v>1321</v>
      </c>
      <c r="P521" s="656">
        <v>36411</v>
      </c>
      <c r="Q521" s="657">
        <v>237.403896</v>
      </c>
      <c r="R521" s="657">
        <v>236.27656498790341</v>
      </c>
      <c r="S521" s="253">
        <v>1</v>
      </c>
      <c r="T521" s="658">
        <v>-1.1845250107723082E-2</v>
      </c>
      <c r="U521" s="659">
        <v>-0.59231048331626179</v>
      </c>
      <c r="V521" s="658">
        <v>2.5587191617834737E-2</v>
      </c>
      <c r="W521" s="659">
        <v>0.19843660493630275</v>
      </c>
      <c r="X521" s="658">
        <v>-5.382141308262578E-2</v>
      </c>
      <c r="Y521" s="659">
        <v>-0.27874069880428332</v>
      </c>
      <c r="Z521" s="658">
        <v>0.16870528073422597</v>
      </c>
      <c r="AA521" s="659">
        <v>0.76175107643708795</v>
      </c>
      <c r="AB521" s="658">
        <v>0.18385128168435275</v>
      </c>
      <c r="AC521" s="660">
        <v>-0.56217567199995278</v>
      </c>
      <c r="AD521" s="682">
        <v>9352825000140</v>
      </c>
      <c r="AE521" s="944" t="s">
        <v>1755</v>
      </c>
      <c r="AF521" s="661" t="s">
        <v>1755</v>
      </c>
      <c r="AG521" s="662" t="s">
        <v>469</v>
      </c>
      <c r="AH521" s="662" t="s">
        <v>1734</v>
      </c>
      <c r="AI521" s="662">
        <v>100</v>
      </c>
      <c r="AJ521" s="662">
        <v>100</v>
      </c>
      <c r="AK521" s="662">
        <v>100</v>
      </c>
      <c r="AL521" s="658">
        <v>8.5000000000000006E-3</v>
      </c>
      <c r="AM521" s="658">
        <v>0</v>
      </c>
      <c r="AN521" s="659" t="s">
        <v>2194</v>
      </c>
      <c r="AO521" s="253" t="s">
        <v>34</v>
      </c>
      <c r="AP521" s="944" t="s">
        <v>1740</v>
      </c>
      <c r="AQ521" s="663" t="s">
        <v>17</v>
      </c>
      <c r="AR521" s="658">
        <v>3.1166666666666699E-3</v>
      </c>
      <c r="AS521" s="658">
        <v>3.1166666666666699E-3</v>
      </c>
      <c r="AT521" s="658" t="s">
        <v>1417</v>
      </c>
      <c r="AU521" s="658" t="s">
        <v>2751</v>
      </c>
      <c r="AX521"/>
      <c r="AY521"/>
      <c r="BA521"/>
      <c r="BB521"/>
      <c r="BC521"/>
      <c r="BD521"/>
      <c r="BE521"/>
      <c r="BF521"/>
      <c r="BG521"/>
      <c r="BH521"/>
      <c r="BI521"/>
      <c r="BJ521"/>
      <c r="BR521"/>
      <c r="BS521"/>
      <c r="BT521"/>
      <c r="BU521"/>
      <c r="BX521"/>
      <c r="BY521"/>
      <c r="CA521"/>
    </row>
    <row r="522" spans="2:79" ht="18.75">
      <c r="B522" s="252" t="s">
        <v>1389</v>
      </c>
      <c r="C522" s="251">
        <v>836263000135</v>
      </c>
      <c r="D522" s="252" t="s">
        <v>11</v>
      </c>
      <c r="E522" s="252" t="s">
        <v>620</v>
      </c>
      <c r="F522" s="252" t="s">
        <v>663</v>
      </c>
      <c r="G522" s="253" t="s">
        <v>738</v>
      </c>
      <c r="H522" s="253" t="s">
        <v>34</v>
      </c>
      <c r="I522" s="253" t="s">
        <v>1304</v>
      </c>
      <c r="J522" s="253" t="s">
        <v>608</v>
      </c>
      <c r="K522" s="253" t="s">
        <v>48</v>
      </c>
      <c r="L522" s="655"/>
      <c r="M522" s="655" t="s">
        <v>34</v>
      </c>
      <c r="N522" s="253" t="s">
        <v>3107</v>
      </c>
      <c r="O522" s="253" t="s">
        <v>1321</v>
      </c>
      <c r="P522" s="656">
        <v>34990</v>
      </c>
      <c r="Q522" s="657">
        <v>123.006334</v>
      </c>
      <c r="R522" s="657">
        <v>141.99145890322575</v>
      </c>
      <c r="S522" s="253">
        <v>1</v>
      </c>
      <c r="T522" s="658">
        <v>3.7758235028735321E-3</v>
      </c>
      <c r="U522" s="659">
        <v>0.18880646871658327</v>
      </c>
      <c r="V522" s="658">
        <v>0.1035883296787572</v>
      </c>
      <c r="W522" s="659">
        <v>0.80335961677589185</v>
      </c>
      <c r="X522" s="658">
        <v>0.17356905474529505</v>
      </c>
      <c r="Y522" s="659">
        <v>0.89891284601221955</v>
      </c>
      <c r="Z522" s="658">
        <v>0.1908727188256758</v>
      </c>
      <c r="AA522" s="659">
        <v>0.86184320013661997</v>
      </c>
      <c r="AB522" s="658">
        <v>1.64302775055859E-2</v>
      </c>
      <c r="AC522" s="660">
        <v>-1.5432228554515204</v>
      </c>
      <c r="AD522" s="682">
        <v>0</v>
      </c>
      <c r="AE522" s="944" t="s">
        <v>1755</v>
      </c>
      <c r="AF522" s="661" t="s">
        <v>1755</v>
      </c>
      <c r="AG522" s="662" t="s">
        <v>469</v>
      </c>
      <c r="AH522" s="662" t="s">
        <v>1734</v>
      </c>
      <c r="AI522" s="662">
        <v>1000</v>
      </c>
      <c r="AJ522" s="662">
        <v>1000</v>
      </c>
      <c r="AK522" s="662">
        <v>1000</v>
      </c>
      <c r="AL522" s="658">
        <v>5.0000000000000001E-3</v>
      </c>
      <c r="AM522" s="658">
        <v>0.2</v>
      </c>
      <c r="AN522" s="659" t="s">
        <v>64</v>
      </c>
      <c r="AO522" s="253" t="s">
        <v>34</v>
      </c>
      <c r="AP522" s="944" t="s">
        <v>1735</v>
      </c>
      <c r="AQ522" s="663" t="s">
        <v>669</v>
      </c>
      <c r="AR522" s="658">
        <v>1.5E-3</v>
      </c>
      <c r="AS522" s="658">
        <v>1.5E-3</v>
      </c>
      <c r="AT522" s="658" t="s">
        <v>1417</v>
      </c>
      <c r="AU522" s="658" t="s">
        <v>2751</v>
      </c>
      <c r="AX522"/>
      <c r="AY522"/>
      <c r="BA522"/>
      <c r="BB522"/>
      <c r="BC522"/>
      <c r="BD522"/>
      <c r="BE522"/>
      <c r="BF522"/>
      <c r="BG522"/>
      <c r="BH522"/>
      <c r="BI522"/>
      <c r="BJ522"/>
      <c r="BR522"/>
      <c r="BS522"/>
      <c r="BT522"/>
      <c r="BU522"/>
      <c r="BX522"/>
      <c r="BY522"/>
      <c r="CA522"/>
    </row>
    <row r="523" spans="2:79" ht="18.75">
      <c r="B523" s="252" t="s">
        <v>884</v>
      </c>
      <c r="C523" s="251">
        <v>9083868000177</v>
      </c>
      <c r="D523" s="252" t="s">
        <v>13</v>
      </c>
      <c r="E523" s="252" t="s">
        <v>616</v>
      </c>
      <c r="F523" s="252" t="s">
        <v>617</v>
      </c>
      <c r="G523" s="253" t="s">
        <v>34</v>
      </c>
      <c r="H523" s="253" t="s">
        <v>1337</v>
      </c>
      <c r="I523" s="253" t="s">
        <v>34</v>
      </c>
      <c r="J523" s="253" t="s">
        <v>608</v>
      </c>
      <c r="K523" s="253" t="s">
        <v>48</v>
      </c>
      <c r="L523" s="655"/>
      <c r="M523" s="655" t="s">
        <v>34</v>
      </c>
      <c r="N523" s="253" t="s">
        <v>3108</v>
      </c>
      <c r="O523" s="253" t="s">
        <v>1324</v>
      </c>
      <c r="P523" s="656">
        <v>39417</v>
      </c>
      <c r="Q523" s="657">
        <v>4.2359419999999997</v>
      </c>
      <c r="R523" s="657">
        <v>6.3163562489959819</v>
      </c>
      <c r="S523" s="253">
        <v>11</v>
      </c>
      <c r="T523" s="658">
        <v>-8.7072406509302036E-3</v>
      </c>
      <c r="U523" s="659">
        <v>-0.43539730030190432</v>
      </c>
      <c r="V523" s="658">
        <v>-9.4257209999428659E-2</v>
      </c>
      <c r="W523" s="659">
        <v>-0.73099389031884476</v>
      </c>
      <c r="X523" s="658">
        <v>-5.8427663121868867E-2</v>
      </c>
      <c r="Y523" s="659">
        <v>-0.30259643356239485</v>
      </c>
      <c r="Z523" s="658">
        <v>-7.3272844699760253E-2</v>
      </c>
      <c r="AA523" s="659">
        <v>-0.33084719150896374</v>
      </c>
      <c r="AB523" s="658">
        <v>8.0895558790378644E-2</v>
      </c>
      <c r="AC523" s="660">
        <v>-2.7591269877322802</v>
      </c>
      <c r="AD523" s="682">
        <v>0</v>
      </c>
      <c r="AE523" s="944" t="s">
        <v>1755</v>
      </c>
      <c r="AF523" s="661" t="s">
        <v>1755</v>
      </c>
      <c r="AG523" s="662" t="s">
        <v>469</v>
      </c>
      <c r="AH523" s="662" t="s">
        <v>1734</v>
      </c>
      <c r="AI523" s="662">
        <v>100</v>
      </c>
      <c r="AJ523" s="662">
        <v>100</v>
      </c>
      <c r="AK523" s="662">
        <v>100</v>
      </c>
      <c r="AL523" s="658">
        <v>1.4999999999999999E-2</v>
      </c>
      <c r="AM523" s="658">
        <v>0.2</v>
      </c>
      <c r="AN523" s="659" t="s">
        <v>2122</v>
      </c>
      <c r="AO523" s="253" t="s">
        <v>34</v>
      </c>
      <c r="AP523" s="944" t="s">
        <v>1746</v>
      </c>
      <c r="AQ523" s="663" t="s">
        <v>674</v>
      </c>
      <c r="AR523" s="658">
        <v>4.4999999999999997E-3</v>
      </c>
      <c r="AS523" s="658">
        <v>4.4999999999999997E-3</v>
      </c>
      <c r="AT523" s="658" t="s">
        <v>1417</v>
      </c>
      <c r="AU523" s="658" t="s">
        <v>2751</v>
      </c>
      <c r="AX523"/>
      <c r="AY523"/>
      <c r="BA523"/>
      <c r="BB523"/>
      <c r="BC523"/>
      <c r="BD523"/>
      <c r="BE523"/>
      <c r="BF523"/>
      <c r="BG523"/>
      <c r="BH523"/>
      <c r="BI523"/>
      <c r="BJ523"/>
      <c r="BR523"/>
      <c r="BS523"/>
      <c r="BT523"/>
      <c r="BU523"/>
      <c r="BX523"/>
      <c r="BY523"/>
      <c r="CA523"/>
    </row>
    <row r="524" spans="2:79" ht="18.75">
      <c r="B524" s="252" t="s">
        <v>885</v>
      </c>
      <c r="C524" s="251">
        <v>8669394000187</v>
      </c>
      <c r="D524" s="252" t="s">
        <v>11</v>
      </c>
      <c r="E524" s="252" t="s">
        <v>620</v>
      </c>
      <c r="F524" s="252" t="s">
        <v>672</v>
      </c>
      <c r="G524" s="253" t="s">
        <v>738</v>
      </c>
      <c r="H524" s="253" t="s">
        <v>34</v>
      </c>
      <c r="I524" s="253" t="s">
        <v>1304</v>
      </c>
      <c r="J524" s="253" t="s">
        <v>608</v>
      </c>
      <c r="K524" s="253" t="s">
        <v>48</v>
      </c>
      <c r="L524" s="655"/>
      <c r="M524" s="655" t="s">
        <v>1414</v>
      </c>
      <c r="N524" s="253" t="s">
        <v>3109</v>
      </c>
      <c r="O524" s="253" t="s">
        <v>1321</v>
      </c>
      <c r="P524" s="656">
        <v>39340</v>
      </c>
      <c r="Q524" s="657">
        <v>506.51928299999997</v>
      </c>
      <c r="R524" s="657">
        <v>612.16873396787139</v>
      </c>
      <c r="S524" s="253">
        <v>0</v>
      </c>
      <c r="T524" s="658">
        <v>1.9688866824106421E-2</v>
      </c>
      <c r="U524" s="659">
        <v>0.98452308887360973</v>
      </c>
      <c r="V524" s="658">
        <v>0.12769419504676138</v>
      </c>
      <c r="W524" s="659">
        <v>0.99030807732301085</v>
      </c>
      <c r="X524" s="658">
        <v>0.19205008548176439</v>
      </c>
      <c r="Y524" s="659">
        <v>0.99462596699993</v>
      </c>
      <c r="Z524" s="658">
        <v>0.21215707672720008</v>
      </c>
      <c r="AA524" s="659">
        <v>0.95794797215202898</v>
      </c>
      <c r="AB524" s="658">
        <v>9.8443451233367675E-4</v>
      </c>
      <c r="AC524" s="660">
        <v>-1.269474387955402</v>
      </c>
      <c r="AD524" s="682">
        <v>10347582000130</v>
      </c>
      <c r="AE524" s="944" t="s">
        <v>1755</v>
      </c>
      <c r="AF524" s="661" t="s">
        <v>1755</v>
      </c>
      <c r="AG524" s="662" t="s">
        <v>469</v>
      </c>
      <c r="AH524" s="662" t="s">
        <v>1734</v>
      </c>
      <c r="AI524" s="662">
        <v>100</v>
      </c>
      <c r="AJ524" s="662">
        <v>100</v>
      </c>
      <c r="AK524" s="662">
        <v>100</v>
      </c>
      <c r="AL524" s="658">
        <v>5.0000000000000001E-4</v>
      </c>
      <c r="AM524" s="658">
        <v>0</v>
      </c>
      <c r="AN524" s="659" t="s">
        <v>64</v>
      </c>
      <c r="AO524" s="253" t="s">
        <v>34</v>
      </c>
      <c r="AP524" s="944" t="s">
        <v>1735</v>
      </c>
      <c r="AQ524" s="663" t="s">
        <v>662</v>
      </c>
      <c r="AR524" s="658">
        <v>1.4999999999999999E-4</v>
      </c>
      <c r="AS524" s="658">
        <v>1.4999999999999999E-4</v>
      </c>
      <c r="AT524" s="658" t="s">
        <v>1417</v>
      </c>
      <c r="AU524" s="658" t="s">
        <v>2751</v>
      </c>
      <c r="AX524"/>
      <c r="AY524"/>
      <c r="BA524"/>
      <c r="BB524"/>
      <c r="BC524"/>
      <c r="BD524"/>
      <c r="BE524"/>
      <c r="BF524"/>
      <c r="BG524"/>
      <c r="BH524"/>
      <c r="BI524"/>
      <c r="BJ524"/>
      <c r="BR524"/>
      <c r="BS524"/>
      <c r="BT524"/>
      <c r="BU524"/>
      <c r="BX524"/>
      <c r="BY524"/>
      <c r="CA524"/>
    </row>
    <row r="525" spans="2:79" ht="18.75">
      <c r="B525" s="252" t="s">
        <v>886</v>
      </c>
      <c r="C525" s="251">
        <v>9344799000108</v>
      </c>
      <c r="D525" s="252" t="s">
        <v>11</v>
      </c>
      <c r="E525" s="252" t="s">
        <v>621</v>
      </c>
      <c r="F525" s="252" t="s">
        <v>672</v>
      </c>
      <c r="G525" s="253" t="s">
        <v>738</v>
      </c>
      <c r="H525" s="253" t="s">
        <v>34</v>
      </c>
      <c r="I525" s="253" t="s">
        <v>1417</v>
      </c>
      <c r="J525" s="253" t="s">
        <v>608</v>
      </c>
      <c r="K525" s="253" t="s">
        <v>48</v>
      </c>
      <c r="L525" s="655"/>
      <c r="M525" s="655" t="s">
        <v>34</v>
      </c>
      <c r="N525" s="253" t="s">
        <v>3110</v>
      </c>
      <c r="O525" s="253" t="s">
        <v>1321</v>
      </c>
      <c r="P525" s="656">
        <v>39648</v>
      </c>
      <c r="Q525" s="657">
        <v>103.15470999999999</v>
      </c>
      <c r="R525" s="657">
        <v>141.22466722983873</v>
      </c>
      <c r="S525" s="253">
        <v>1</v>
      </c>
      <c r="T525" s="658">
        <v>2.6937978853608602E-2</v>
      </c>
      <c r="U525" s="659">
        <v>1.3470080521086758</v>
      </c>
      <c r="V525" s="658">
        <v>0.10821457655433941</v>
      </c>
      <c r="W525" s="659">
        <v>0.83923759577800483</v>
      </c>
      <c r="X525" s="658">
        <v>0.16966154795470301</v>
      </c>
      <c r="Y525" s="659">
        <v>0.87867589735165552</v>
      </c>
      <c r="Z525" s="658">
        <v>0.23316285596043129</v>
      </c>
      <c r="AA525" s="659">
        <v>1.0527948843095776</v>
      </c>
      <c r="AB525" s="658">
        <v>2.7414124256553842E-2</v>
      </c>
      <c r="AC525" s="660">
        <v>-0.75615521030160993</v>
      </c>
      <c r="AD525" s="682">
        <v>10347453000142</v>
      </c>
      <c r="AE525" s="944" t="s">
        <v>1755</v>
      </c>
      <c r="AF525" s="661" t="s">
        <v>1755</v>
      </c>
      <c r="AG525" s="662" t="s">
        <v>469</v>
      </c>
      <c r="AH525" s="662" t="s">
        <v>1734</v>
      </c>
      <c r="AI525" s="662">
        <v>100</v>
      </c>
      <c r="AJ525" s="662">
        <v>100</v>
      </c>
      <c r="AK525" s="662">
        <v>100</v>
      </c>
      <c r="AL525" s="658">
        <v>3.4999999999999996E-3</v>
      </c>
      <c r="AM525" s="658">
        <v>0</v>
      </c>
      <c r="AN525" s="659" t="s">
        <v>2122</v>
      </c>
      <c r="AO525" s="253" t="s">
        <v>34</v>
      </c>
      <c r="AP525" s="944" t="s">
        <v>1735</v>
      </c>
      <c r="AQ525" s="663" t="s">
        <v>676</v>
      </c>
      <c r="AR525" s="658">
        <v>1.5166666666666701E-3</v>
      </c>
      <c r="AS525" s="658">
        <v>1.5166666666666701E-3</v>
      </c>
      <c r="AT525" s="658" t="s">
        <v>1417</v>
      </c>
      <c r="AU525" s="658" t="s">
        <v>2751</v>
      </c>
      <c r="AX525"/>
      <c r="AY525"/>
      <c r="BA525"/>
      <c r="BB525"/>
      <c r="BC525"/>
      <c r="BD525"/>
      <c r="BE525"/>
      <c r="BF525"/>
      <c r="BG525"/>
      <c r="BH525"/>
      <c r="BI525"/>
      <c r="BJ525"/>
      <c r="BR525"/>
      <c r="BS525"/>
      <c r="BT525"/>
      <c r="BU525"/>
      <c r="BX525"/>
      <c r="BY525"/>
      <c r="CA525"/>
    </row>
    <row r="526" spans="2:79" ht="18.75">
      <c r="B526" s="252" t="s">
        <v>479</v>
      </c>
      <c r="C526" s="251">
        <v>6866051000187</v>
      </c>
      <c r="D526" s="252" t="s">
        <v>11</v>
      </c>
      <c r="E526" s="252" t="s">
        <v>620</v>
      </c>
      <c r="F526" s="252" t="s">
        <v>663</v>
      </c>
      <c r="G526" s="253" t="s">
        <v>738</v>
      </c>
      <c r="H526" s="253" t="s">
        <v>34</v>
      </c>
      <c r="I526" s="253" t="s">
        <v>1417</v>
      </c>
      <c r="J526" s="253" t="s">
        <v>608</v>
      </c>
      <c r="K526" s="253" t="s">
        <v>48</v>
      </c>
      <c r="L526" s="655"/>
      <c r="M526" s="655" t="s">
        <v>1414</v>
      </c>
      <c r="N526" s="253" t="s">
        <v>3111</v>
      </c>
      <c r="O526" s="253" t="s">
        <v>1321</v>
      </c>
      <c r="P526" s="656">
        <v>38408</v>
      </c>
      <c r="Q526" s="657">
        <v>1100.5060539999999</v>
      </c>
      <c r="R526" s="657">
        <v>1176.2665427349391</v>
      </c>
      <c r="S526" s="253">
        <v>0</v>
      </c>
      <c r="T526" s="658">
        <v>3.7203693170879681E-3</v>
      </c>
      <c r="U526" s="659">
        <v>0.18603353481600302</v>
      </c>
      <c r="V526" s="658">
        <v>0.12220170305673594</v>
      </c>
      <c r="W526" s="659">
        <v>0.94771209885772278</v>
      </c>
      <c r="X526" s="658">
        <v>0.2042232246571638</v>
      </c>
      <c r="Y526" s="659">
        <v>1.0576705644203568</v>
      </c>
      <c r="Z526" s="658">
        <v>0.23337857514158555</v>
      </c>
      <c r="AA526" s="659">
        <v>1.0537689161699748</v>
      </c>
      <c r="AB526" s="658">
        <v>7.0675768295803852E-3</v>
      </c>
      <c r="AC526" s="660">
        <v>-0.9539629426925812</v>
      </c>
      <c r="AD526" s="682">
        <v>0</v>
      </c>
      <c r="AE526" s="944" t="s">
        <v>1755</v>
      </c>
      <c r="AF526" s="661" t="s">
        <v>1755</v>
      </c>
      <c r="AG526" s="662" t="s">
        <v>469</v>
      </c>
      <c r="AH526" s="662" t="s">
        <v>1734</v>
      </c>
      <c r="AI526" s="662">
        <v>1000</v>
      </c>
      <c r="AJ526" s="662">
        <v>1000</v>
      </c>
      <c r="AK526" s="662">
        <v>1000</v>
      </c>
      <c r="AL526" s="658">
        <v>2E-3</v>
      </c>
      <c r="AM526" s="658">
        <v>0</v>
      </c>
      <c r="AN526" s="659" t="s">
        <v>64</v>
      </c>
      <c r="AO526" s="253" t="s">
        <v>34</v>
      </c>
      <c r="AP526" s="944" t="s">
        <v>1735</v>
      </c>
      <c r="AQ526" s="663" t="s">
        <v>669</v>
      </c>
      <c r="AR526" s="658">
        <v>2.6659999999999998E-4</v>
      </c>
      <c r="AS526" s="658">
        <v>2.6659999999999998E-4</v>
      </c>
      <c r="AT526" s="658" t="s">
        <v>1417</v>
      </c>
      <c r="AU526" s="658" t="s">
        <v>2751</v>
      </c>
      <c r="AX526"/>
      <c r="AY526"/>
      <c r="BA526"/>
      <c r="BB526"/>
      <c r="BC526"/>
      <c r="BD526"/>
      <c r="BE526"/>
      <c r="BF526"/>
      <c r="BG526"/>
      <c r="BH526"/>
      <c r="BI526"/>
      <c r="BJ526"/>
      <c r="BR526"/>
      <c r="BS526"/>
      <c r="BT526"/>
      <c r="BU526"/>
      <c r="BX526"/>
      <c r="BY526"/>
      <c r="CA526"/>
    </row>
    <row r="527" spans="2:79" ht="18.75">
      <c r="B527" s="252" t="s">
        <v>887</v>
      </c>
      <c r="C527" s="251">
        <v>32485590000186</v>
      </c>
      <c r="D527" s="252" t="s">
        <v>11</v>
      </c>
      <c r="E527" s="252" t="s">
        <v>621</v>
      </c>
      <c r="F527" s="252" t="s">
        <v>692</v>
      </c>
      <c r="G527" s="253" t="s">
        <v>738</v>
      </c>
      <c r="H527" s="253" t="s">
        <v>34</v>
      </c>
      <c r="I527" s="253" t="s">
        <v>1417</v>
      </c>
      <c r="J527" s="253" t="s">
        <v>608</v>
      </c>
      <c r="K527" s="253" t="s">
        <v>48</v>
      </c>
      <c r="L527" s="655"/>
      <c r="M527" s="655" t="s">
        <v>34</v>
      </c>
      <c r="N527" s="253" t="s">
        <v>3112</v>
      </c>
      <c r="O527" s="253" t="s">
        <v>1321</v>
      </c>
      <c r="P527" s="656">
        <v>43663</v>
      </c>
      <c r="Q527" s="657">
        <v>51.959200580000001</v>
      </c>
      <c r="R527" s="657">
        <v>67.159464490443554</v>
      </c>
      <c r="S527" s="253">
        <v>31</v>
      </c>
      <c r="T527" s="658">
        <v>3.5572793724036877E-3</v>
      </c>
      <c r="U527" s="659">
        <v>0.17787837700325362</v>
      </c>
      <c r="V527" s="658">
        <v>5.8178361089314734E-2</v>
      </c>
      <c r="W527" s="659">
        <v>0.45119122988374538</v>
      </c>
      <c r="X527" s="658">
        <v>0.1300323547101534</v>
      </c>
      <c r="Y527" s="659">
        <v>0.67343659973087988</v>
      </c>
      <c r="Z527" s="658">
        <v>0.1778223912602277</v>
      </c>
      <c r="AA527" s="659">
        <v>0.80291735603990999</v>
      </c>
      <c r="AB527" s="658">
        <v>4.734534415666642E-2</v>
      </c>
      <c r="AC527" s="660">
        <v>-1.4946675247160397</v>
      </c>
      <c r="AD527" s="682">
        <v>0</v>
      </c>
      <c r="AE527" s="944" t="s">
        <v>1755</v>
      </c>
      <c r="AF527" s="661" t="s">
        <v>1755</v>
      </c>
      <c r="AG527" s="662" t="s">
        <v>469</v>
      </c>
      <c r="AH527" s="662" t="s">
        <v>1734</v>
      </c>
      <c r="AI527" s="662">
        <v>1000</v>
      </c>
      <c r="AJ527" s="662">
        <v>1000</v>
      </c>
      <c r="AK527" s="662">
        <v>1000</v>
      </c>
      <c r="AL527" s="658">
        <v>6.0000000000000001E-3</v>
      </c>
      <c r="AM527" s="658">
        <v>0</v>
      </c>
      <c r="AN527" s="659" t="s">
        <v>636</v>
      </c>
      <c r="AO527" s="253" t="s">
        <v>34</v>
      </c>
      <c r="AP527" s="944" t="s">
        <v>1735</v>
      </c>
      <c r="AQ527" s="663" t="s">
        <v>675</v>
      </c>
      <c r="AR527" s="658">
        <v>2.2001999999999998E-3</v>
      </c>
      <c r="AS527" s="658">
        <v>2.2001999999999998E-3</v>
      </c>
      <c r="AT527" s="658" t="s">
        <v>1417</v>
      </c>
      <c r="AU527" s="658" t="s">
        <v>2751</v>
      </c>
      <c r="AX527"/>
      <c r="AY527"/>
      <c r="BA527"/>
      <c r="BB527"/>
      <c r="BC527"/>
      <c r="BD527"/>
      <c r="BE527"/>
      <c r="BF527"/>
      <c r="BG527"/>
      <c r="BH527"/>
      <c r="BI527"/>
      <c r="BJ527"/>
      <c r="BR527"/>
      <c r="BS527"/>
      <c r="BT527"/>
      <c r="BU527"/>
      <c r="BX527"/>
      <c r="BY527"/>
      <c r="CA527"/>
    </row>
    <row r="528" spans="2:79" ht="18.75">
      <c r="B528" s="252" t="s">
        <v>475</v>
      </c>
      <c r="C528" s="251">
        <v>9238487000110</v>
      </c>
      <c r="D528" s="252" t="s">
        <v>11</v>
      </c>
      <c r="E528" s="252" t="s">
        <v>620</v>
      </c>
      <c r="F528" s="252" t="s">
        <v>663</v>
      </c>
      <c r="G528" s="253" t="s">
        <v>738</v>
      </c>
      <c r="H528" s="253" t="s">
        <v>34</v>
      </c>
      <c r="I528" s="253" t="s">
        <v>1304</v>
      </c>
      <c r="J528" s="253" t="s">
        <v>608</v>
      </c>
      <c r="K528" s="253" t="s">
        <v>48</v>
      </c>
      <c r="L528" s="655"/>
      <c r="M528" s="655" t="s">
        <v>1414</v>
      </c>
      <c r="N528" s="253" t="s">
        <v>3113</v>
      </c>
      <c r="O528" s="253" t="s">
        <v>1321</v>
      </c>
      <c r="P528" s="656">
        <v>39570</v>
      </c>
      <c r="Q528" s="657">
        <v>3087.8146059999999</v>
      </c>
      <c r="R528" s="657">
        <v>2100.8055750923704</v>
      </c>
      <c r="S528" s="253">
        <v>0</v>
      </c>
      <c r="T528" s="658">
        <v>1.9900802121171735E-2</v>
      </c>
      <c r="U528" s="659">
        <v>0.99512071214833364</v>
      </c>
      <c r="V528" s="658">
        <v>0.12836883797997545</v>
      </c>
      <c r="W528" s="659">
        <v>0.99554014245977074</v>
      </c>
      <c r="X528" s="658">
        <v>0.19274116635818817</v>
      </c>
      <c r="Y528" s="659">
        <v>0.99820506972859513</v>
      </c>
      <c r="Z528" s="658">
        <v>0.21399001939416396</v>
      </c>
      <c r="AA528" s="659">
        <v>0.96622421604629571</v>
      </c>
      <c r="AB528" s="658">
        <v>9.2106908331213643E-4</v>
      </c>
      <c r="AC528" s="660">
        <v>-0.62435215472108208</v>
      </c>
      <c r="AD528" s="682">
        <v>0</v>
      </c>
      <c r="AE528" s="944" t="s">
        <v>1755</v>
      </c>
      <c r="AF528" s="661" t="s">
        <v>1755</v>
      </c>
      <c r="AG528" s="662" t="s">
        <v>469</v>
      </c>
      <c r="AH528" s="662" t="s">
        <v>1734</v>
      </c>
      <c r="AI528" s="662">
        <v>10000</v>
      </c>
      <c r="AJ528" s="662">
        <v>10000</v>
      </c>
      <c r="AK528" s="662">
        <v>10000</v>
      </c>
      <c r="AL528" s="658">
        <v>1.5E-3</v>
      </c>
      <c r="AM528" s="658">
        <v>0</v>
      </c>
      <c r="AN528" s="659" t="s">
        <v>64</v>
      </c>
      <c r="AO528" s="253" t="s">
        <v>34</v>
      </c>
      <c r="AP528" s="944" t="s">
        <v>1735</v>
      </c>
      <c r="AQ528" s="663" t="s">
        <v>680</v>
      </c>
      <c r="AR528" s="658">
        <v>1.9995000000000001E-4</v>
      </c>
      <c r="AS528" s="658">
        <v>1.9995000000000001E-4</v>
      </c>
      <c r="AT528" s="658" t="s">
        <v>1417</v>
      </c>
      <c r="AU528" s="658" t="s">
        <v>2751</v>
      </c>
      <c r="AX528"/>
      <c r="AY528"/>
      <c r="BA528"/>
      <c r="BB528"/>
      <c r="BC528"/>
      <c r="BD528"/>
      <c r="BE528"/>
      <c r="BF528"/>
      <c r="BG528"/>
      <c r="BH528"/>
      <c r="BI528"/>
      <c r="BJ528"/>
      <c r="BR528"/>
      <c r="BS528"/>
      <c r="BT528"/>
      <c r="BU528"/>
      <c r="BX528"/>
      <c r="BY528"/>
      <c r="CA528"/>
    </row>
    <row r="529" spans="2:79" ht="18.75">
      <c r="B529" s="252" t="s">
        <v>888</v>
      </c>
      <c r="C529" s="251">
        <v>32471624000183</v>
      </c>
      <c r="D529" s="252" t="s">
        <v>13</v>
      </c>
      <c r="E529" s="252" t="s">
        <v>616</v>
      </c>
      <c r="F529" s="252" t="s">
        <v>17</v>
      </c>
      <c r="G529" s="253" t="s">
        <v>1417</v>
      </c>
      <c r="H529" s="253" t="s">
        <v>34</v>
      </c>
      <c r="I529" s="253" t="s">
        <v>34</v>
      </c>
      <c r="J529" s="253" t="s">
        <v>611</v>
      </c>
      <c r="K529" s="253" t="s">
        <v>49</v>
      </c>
      <c r="L529" s="655"/>
      <c r="M529" s="655" t="s">
        <v>1414</v>
      </c>
      <c r="N529" s="253" t="s">
        <v>3114</v>
      </c>
      <c r="O529" s="253" t="s">
        <v>1321</v>
      </c>
      <c r="P529" s="656">
        <v>44057</v>
      </c>
      <c r="Q529" s="657">
        <v>6.2774747399999997</v>
      </c>
      <c r="R529" s="657">
        <v>5.6682390414457826</v>
      </c>
      <c r="S529" s="253">
        <v>1</v>
      </c>
      <c r="T529" s="658">
        <v>4.5251733609954492E-2</v>
      </c>
      <c r="U529" s="659">
        <v>2.2627699678485738</v>
      </c>
      <c r="V529" s="658">
        <v>0.17028912161252729</v>
      </c>
      <c r="W529" s="659">
        <v>1.3206449404483194</v>
      </c>
      <c r="X529" s="658">
        <v>0.36389765155479137</v>
      </c>
      <c r="Y529" s="659">
        <v>1.8846232359581803</v>
      </c>
      <c r="Z529" s="658"/>
      <c r="AA529" s="659"/>
      <c r="AB529" s="658">
        <v>0.18212245686495948</v>
      </c>
      <c r="AC529" s="660">
        <v>0.22701874814041012</v>
      </c>
      <c r="AD529" s="682">
        <v>32485602000172</v>
      </c>
      <c r="AE529" s="944" t="s">
        <v>1755</v>
      </c>
      <c r="AF529" s="661" t="s">
        <v>1755</v>
      </c>
      <c r="AG529" s="662" t="s">
        <v>469</v>
      </c>
      <c r="AH529" s="662" t="s">
        <v>1734</v>
      </c>
      <c r="AI529" s="662">
        <v>100</v>
      </c>
      <c r="AJ529" s="662">
        <v>100</v>
      </c>
      <c r="AK529" s="662">
        <v>100</v>
      </c>
      <c r="AL529" s="658">
        <v>0.01</v>
      </c>
      <c r="AM529" s="658">
        <v>0</v>
      </c>
      <c r="AN529" s="659" t="s">
        <v>2194</v>
      </c>
      <c r="AO529" s="253" t="s">
        <v>34</v>
      </c>
      <c r="AP529" s="944" t="s">
        <v>1740</v>
      </c>
      <c r="AQ529" s="663" t="s">
        <v>17</v>
      </c>
      <c r="AR529" s="658">
        <v>2.2666666666666699E-3</v>
      </c>
      <c r="AS529" s="658">
        <v>2.2666666666666699E-3</v>
      </c>
      <c r="AT529" s="658" t="s">
        <v>1417</v>
      </c>
      <c r="AU529" s="658" t="s">
        <v>2751</v>
      </c>
      <c r="AX529"/>
      <c r="AY529"/>
      <c r="BA529"/>
      <c r="BB529"/>
      <c r="BC529"/>
      <c r="BD529"/>
      <c r="BE529"/>
      <c r="BF529"/>
      <c r="BG529"/>
      <c r="BH529"/>
      <c r="BI529"/>
      <c r="BJ529"/>
      <c r="BR529"/>
      <c r="BS529"/>
      <c r="BT529"/>
      <c r="BU529"/>
      <c r="BX529"/>
      <c r="BY529"/>
      <c r="CA529"/>
    </row>
    <row r="530" spans="2:79" ht="18.75">
      <c r="B530" s="252" t="s">
        <v>889</v>
      </c>
      <c r="C530" s="251">
        <v>13614709000129</v>
      </c>
      <c r="D530" s="252" t="s">
        <v>14</v>
      </c>
      <c r="E530" s="252" t="s">
        <v>607</v>
      </c>
      <c r="F530" s="252" t="s">
        <v>1417</v>
      </c>
      <c r="G530" s="253" t="s">
        <v>1417</v>
      </c>
      <c r="H530" s="253" t="s">
        <v>34</v>
      </c>
      <c r="I530" s="253" t="s">
        <v>34</v>
      </c>
      <c r="J530" s="253" t="s">
        <v>608</v>
      </c>
      <c r="K530" s="253" t="s">
        <v>48</v>
      </c>
      <c r="L530" s="655"/>
      <c r="M530" s="655" t="s">
        <v>1414</v>
      </c>
      <c r="N530" s="253" t="s">
        <v>3115</v>
      </c>
      <c r="O530" s="253" t="s">
        <v>1321</v>
      </c>
      <c r="P530" s="656">
        <v>41648</v>
      </c>
      <c r="Q530" s="657">
        <v>149.43419399999999</v>
      </c>
      <c r="R530" s="657">
        <v>174.68727621544704</v>
      </c>
      <c r="S530" s="253">
        <v>32</v>
      </c>
      <c r="T530" s="658">
        <v>-3.7730158596562591E-2</v>
      </c>
      <c r="U530" s="659">
        <v>-1.8866607518365834</v>
      </c>
      <c r="V530" s="658">
        <v>-0.12203647105199911</v>
      </c>
      <c r="W530" s="659">
        <v>-0.94643067342672937</v>
      </c>
      <c r="X530" s="658">
        <v>-0.19477544255318824</v>
      </c>
      <c r="Y530" s="659">
        <v>-1.0087405710407724</v>
      </c>
      <c r="Z530" s="658">
        <v>-0.18227993661500619</v>
      </c>
      <c r="AA530" s="659">
        <v>-0.82304440812442003</v>
      </c>
      <c r="AB530" s="658">
        <v>0.19660652437621312</v>
      </c>
      <c r="AC530" s="660">
        <v>-1.2765618094063256</v>
      </c>
      <c r="AD530" s="682">
        <v>0</v>
      </c>
      <c r="AE530" s="944" t="s">
        <v>1755</v>
      </c>
      <c r="AF530" s="661" t="s">
        <v>1755</v>
      </c>
      <c r="AG530" s="662" t="s">
        <v>469</v>
      </c>
      <c r="AH530" s="662" t="s">
        <v>1734</v>
      </c>
      <c r="AI530" s="662">
        <v>1000</v>
      </c>
      <c r="AJ530" s="662">
        <v>1000</v>
      </c>
      <c r="AK530" s="662">
        <v>1000</v>
      </c>
      <c r="AL530" s="658">
        <v>0.01</v>
      </c>
      <c r="AM530" s="658">
        <v>0</v>
      </c>
      <c r="AN530" s="659" t="s">
        <v>666</v>
      </c>
      <c r="AO530" s="253" t="s">
        <v>34</v>
      </c>
      <c r="AP530" s="944" t="s">
        <v>1731</v>
      </c>
      <c r="AQ530" s="663" t="s">
        <v>659</v>
      </c>
      <c r="AR530" s="658">
        <v>2.66666666666667E-3</v>
      </c>
      <c r="AS530" s="658">
        <v>2.66666666666667E-3</v>
      </c>
      <c r="AT530" s="658" t="s">
        <v>1417</v>
      </c>
      <c r="AU530" s="658" t="s">
        <v>2751</v>
      </c>
      <c r="AX530"/>
      <c r="AY530"/>
      <c r="BA530"/>
      <c r="BB530"/>
      <c r="BC530"/>
      <c r="BD530"/>
      <c r="BE530"/>
      <c r="BF530"/>
      <c r="BG530"/>
      <c r="BH530"/>
      <c r="BI530"/>
      <c r="BJ530"/>
      <c r="BR530"/>
      <c r="BS530"/>
      <c r="BT530"/>
      <c r="BU530"/>
      <c r="BX530"/>
      <c r="BY530"/>
      <c r="CA530"/>
    </row>
    <row r="531" spans="2:79" ht="18.75">
      <c r="B531" s="252" t="s">
        <v>890</v>
      </c>
      <c r="C531" s="251">
        <v>2546749000164</v>
      </c>
      <c r="D531" s="252" t="s">
        <v>11</v>
      </c>
      <c r="E531" s="252" t="s">
        <v>620</v>
      </c>
      <c r="F531" s="252" t="s">
        <v>672</v>
      </c>
      <c r="G531" s="253" t="s">
        <v>738</v>
      </c>
      <c r="H531" s="253" t="s">
        <v>34</v>
      </c>
      <c r="I531" s="253" t="s">
        <v>1304</v>
      </c>
      <c r="J531" s="253" t="s">
        <v>608</v>
      </c>
      <c r="K531" s="253" t="s">
        <v>48</v>
      </c>
      <c r="L531" s="655"/>
      <c r="M531" s="655" t="s">
        <v>1414</v>
      </c>
      <c r="N531" s="253" t="s">
        <v>3116</v>
      </c>
      <c r="O531" s="253" t="s">
        <v>1321</v>
      </c>
      <c r="P531" s="656">
        <v>36131</v>
      </c>
      <c r="Q531" s="657">
        <v>0</v>
      </c>
      <c r="R531" s="657">
        <v>0</v>
      </c>
      <c r="S531" s="253">
        <v>0</v>
      </c>
      <c r="T531" s="658"/>
      <c r="U531" s="659"/>
      <c r="V531" s="658"/>
      <c r="W531" s="659"/>
      <c r="X531" s="658"/>
      <c r="Y531" s="659"/>
      <c r="Z531" s="658"/>
      <c r="AA531" s="659"/>
      <c r="AB531" s="658"/>
      <c r="AC531" s="660"/>
      <c r="AD531" s="682">
        <v>2536364000116</v>
      </c>
      <c r="AE531" s="944" t="s">
        <v>1846</v>
      </c>
      <c r="AF531" s="661" t="s">
        <v>1846</v>
      </c>
      <c r="AG531" s="662" t="s">
        <v>1436</v>
      </c>
      <c r="AH531" s="662" t="s">
        <v>1734</v>
      </c>
      <c r="AI531" s="662">
        <v>1000</v>
      </c>
      <c r="AJ531" s="662">
        <v>1000</v>
      </c>
      <c r="AK531" s="662">
        <v>1000</v>
      </c>
      <c r="AL531" s="658">
        <v>3.4999999999999996E-3</v>
      </c>
      <c r="AM531" s="658">
        <v>0</v>
      </c>
      <c r="AN531" s="659" t="s">
        <v>64</v>
      </c>
      <c r="AO531" s="253" t="s">
        <v>34</v>
      </c>
      <c r="AP531" s="944" t="s">
        <v>1735</v>
      </c>
      <c r="AQ531" s="663" t="s">
        <v>662</v>
      </c>
      <c r="AR531" s="658">
        <v>8.1666666666666704E-4</v>
      </c>
      <c r="AS531" s="658">
        <v>8.1666666666666704E-4</v>
      </c>
      <c r="AT531" s="658" t="s">
        <v>1417</v>
      </c>
      <c r="AU531" s="658" t="s">
        <v>2751</v>
      </c>
      <c r="AX531"/>
      <c r="AY531"/>
      <c r="BA531"/>
      <c r="BB531"/>
      <c r="BC531"/>
      <c r="BD531"/>
      <c r="BE531"/>
      <c r="BF531"/>
      <c r="BG531"/>
      <c r="BH531"/>
      <c r="BI531"/>
      <c r="BJ531"/>
      <c r="BR531"/>
      <c r="BS531"/>
      <c r="BT531"/>
      <c r="BU531"/>
      <c r="BX531"/>
      <c r="BY531"/>
      <c r="CA531"/>
    </row>
    <row r="532" spans="2:79" ht="18.75">
      <c r="B532" s="252" t="s">
        <v>158</v>
      </c>
      <c r="C532" s="251">
        <v>12796232000187</v>
      </c>
      <c r="D532" s="252" t="s">
        <v>11</v>
      </c>
      <c r="E532" s="252" t="s">
        <v>620</v>
      </c>
      <c r="F532" s="252" t="s">
        <v>663</v>
      </c>
      <c r="G532" s="253" t="s">
        <v>738</v>
      </c>
      <c r="H532" s="253" t="s">
        <v>34</v>
      </c>
      <c r="I532" s="253" t="s">
        <v>1304</v>
      </c>
      <c r="J532" s="253" t="s">
        <v>608</v>
      </c>
      <c r="K532" s="253" t="s">
        <v>48</v>
      </c>
      <c r="L532" s="655"/>
      <c r="M532" s="655" t="s">
        <v>1414</v>
      </c>
      <c r="N532" s="253" t="s">
        <v>3117</v>
      </c>
      <c r="O532" s="253" t="s">
        <v>1321</v>
      </c>
      <c r="P532" s="656">
        <v>40455</v>
      </c>
      <c r="Q532" s="657">
        <v>0</v>
      </c>
      <c r="R532" s="657">
        <v>1503.7453779271264</v>
      </c>
      <c r="S532" s="253">
        <v>5</v>
      </c>
      <c r="T532" s="658">
        <v>1.7729766106160394E-2</v>
      </c>
      <c r="U532" s="659">
        <v>0.88656011784649136</v>
      </c>
      <c r="V532" s="658">
        <v>0.14244339409615425</v>
      </c>
      <c r="W532" s="659">
        <v>1.1046926893040789</v>
      </c>
      <c r="X532" s="658">
        <v>0.26109495801532923</v>
      </c>
      <c r="Y532" s="659">
        <v>1.3522088492871893</v>
      </c>
      <c r="Z532" s="658">
        <v>0.23846553122646164</v>
      </c>
      <c r="AA532" s="659">
        <v>1.0767379320571959</v>
      </c>
      <c r="AB532" s="658">
        <v>3.9810273217271213E-3</v>
      </c>
      <c r="AC532" s="660">
        <v>3.3909550370805568</v>
      </c>
      <c r="AD532" s="682">
        <v>0</v>
      </c>
      <c r="AE532" s="944" t="s">
        <v>1846</v>
      </c>
      <c r="AF532" s="661" t="s">
        <v>1846</v>
      </c>
      <c r="AG532" s="662" t="s">
        <v>1436</v>
      </c>
      <c r="AH532" s="662" t="s">
        <v>1734</v>
      </c>
      <c r="AI532" s="662">
        <v>1000</v>
      </c>
      <c r="AJ532" s="662">
        <v>1000</v>
      </c>
      <c r="AK532" s="662">
        <v>1000</v>
      </c>
      <c r="AL532" s="658">
        <v>6.0000000000000001E-3</v>
      </c>
      <c r="AM532" s="658">
        <v>0</v>
      </c>
      <c r="AN532" s="659" t="s">
        <v>64</v>
      </c>
      <c r="AO532" s="253" t="s">
        <v>34</v>
      </c>
      <c r="AP532" s="944" t="s">
        <v>1735</v>
      </c>
      <c r="AQ532" s="663" t="s">
        <v>662</v>
      </c>
      <c r="AR532" s="658">
        <v>1.5E-3</v>
      </c>
      <c r="AS532" s="658">
        <v>1.5E-3</v>
      </c>
      <c r="AT532" s="658" t="s">
        <v>1417</v>
      </c>
      <c r="AU532" s="658" t="s">
        <v>2751</v>
      </c>
      <c r="AX532"/>
      <c r="AY532"/>
      <c r="BA532"/>
      <c r="BB532"/>
      <c r="BC532"/>
      <c r="BD532"/>
      <c r="BE532"/>
      <c r="BF532"/>
      <c r="BG532"/>
      <c r="BH532"/>
      <c r="BI532"/>
      <c r="BJ532"/>
      <c r="BR532"/>
      <c r="BS532"/>
      <c r="BT532"/>
      <c r="BU532"/>
      <c r="BX532"/>
      <c r="BY532"/>
      <c r="CA532"/>
    </row>
    <row r="533" spans="2:79" ht="18.75">
      <c r="B533" s="252" t="s">
        <v>159</v>
      </c>
      <c r="C533" s="251">
        <v>11888706000158</v>
      </c>
      <c r="D533" s="252" t="s">
        <v>14</v>
      </c>
      <c r="E533" s="252" t="s">
        <v>607</v>
      </c>
      <c r="F533" s="252" t="s">
        <v>1417</v>
      </c>
      <c r="G533" s="253" t="s">
        <v>1417</v>
      </c>
      <c r="H533" s="253" t="s">
        <v>34</v>
      </c>
      <c r="I533" s="253" t="s">
        <v>34</v>
      </c>
      <c r="J533" s="253" t="s">
        <v>608</v>
      </c>
      <c r="K533" s="253" t="s">
        <v>48</v>
      </c>
      <c r="L533" s="655"/>
      <c r="M533" s="655" t="s">
        <v>1414</v>
      </c>
      <c r="N533" s="253" t="s">
        <v>3118</v>
      </c>
      <c r="O533" s="253" t="s">
        <v>1321</v>
      </c>
      <c r="P533" s="656">
        <v>40292</v>
      </c>
      <c r="Q533" s="657">
        <v>22.426196999999998</v>
      </c>
      <c r="R533" s="657">
        <v>28.752223847457611</v>
      </c>
      <c r="S533" s="253">
        <v>33</v>
      </c>
      <c r="T533" s="658">
        <v>-2.4193801609837529E-2</v>
      </c>
      <c r="U533" s="659">
        <v>-1.2097880749210461</v>
      </c>
      <c r="V533" s="658">
        <v>-0.11303323378905994</v>
      </c>
      <c r="W533" s="659">
        <v>-0.87660777677681379</v>
      </c>
      <c r="X533" s="658">
        <v>-0.2094680832660164</v>
      </c>
      <c r="Y533" s="659">
        <v>-1.0848336482196776</v>
      </c>
      <c r="Z533" s="658">
        <v>-0.13325472364716429</v>
      </c>
      <c r="AA533" s="659">
        <v>-0.601681990846899</v>
      </c>
      <c r="AB533" s="658">
        <v>0.22032892257024672</v>
      </c>
      <c r="AC533" s="660">
        <v>-1.0982541030612971</v>
      </c>
      <c r="AD533" s="682">
        <v>0</v>
      </c>
      <c r="AE533" s="944" t="s">
        <v>1846</v>
      </c>
      <c r="AF533" s="661" t="s">
        <v>1846</v>
      </c>
      <c r="AG533" s="662" t="s">
        <v>1436</v>
      </c>
      <c r="AH533" s="662" t="s">
        <v>1730</v>
      </c>
      <c r="AI533" s="662">
        <v>50000</v>
      </c>
      <c r="AJ533" s="662">
        <v>1000</v>
      </c>
      <c r="AK533" s="662">
        <v>1000</v>
      </c>
      <c r="AL533" s="658">
        <v>0.04</v>
      </c>
      <c r="AM533" s="658">
        <v>0.2</v>
      </c>
      <c r="AN533" s="659" t="s">
        <v>666</v>
      </c>
      <c r="AO533" s="253" t="s">
        <v>34</v>
      </c>
      <c r="AP533" s="944" t="s">
        <v>1731</v>
      </c>
      <c r="AQ533" s="663" t="s">
        <v>670</v>
      </c>
      <c r="AR533" s="658">
        <v>2.3333333333333301E-3</v>
      </c>
      <c r="AS533" s="658">
        <v>2.3333333333333301E-3</v>
      </c>
      <c r="AT533" s="658" t="s">
        <v>1417</v>
      </c>
      <c r="AU533" s="658" t="s">
        <v>2751</v>
      </c>
      <c r="AX533"/>
      <c r="AY533"/>
      <c r="BA533"/>
      <c r="BB533"/>
      <c r="BC533"/>
      <c r="BD533"/>
      <c r="BE533"/>
      <c r="BF533"/>
      <c r="BG533"/>
      <c r="BH533"/>
      <c r="BI533"/>
      <c r="BJ533"/>
      <c r="BR533"/>
      <c r="BS533"/>
      <c r="BT533"/>
      <c r="BU533"/>
      <c r="BX533"/>
      <c r="BY533"/>
      <c r="CA533"/>
    </row>
    <row r="534" spans="2:79" ht="18.75">
      <c r="B534" s="252" t="s">
        <v>891</v>
      </c>
      <c r="C534" s="251">
        <v>18623754000163</v>
      </c>
      <c r="D534" s="252" t="s">
        <v>11</v>
      </c>
      <c r="E534" s="252" t="s">
        <v>620</v>
      </c>
      <c r="F534" s="252" t="s">
        <v>663</v>
      </c>
      <c r="G534" s="253" t="s">
        <v>738</v>
      </c>
      <c r="H534" s="253" t="s">
        <v>34</v>
      </c>
      <c r="I534" s="253" t="s">
        <v>1417</v>
      </c>
      <c r="J534" s="253" t="s">
        <v>608</v>
      </c>
      <c r="K534" s="253" t="s">
        <v>48</v>
      </c>
      <c r="L534" s="655"/>
      <c r="M534" s="655" t="s">
        <v>34</v>
      </c>
      <c r="N534" s="253" t="s">
        <v>3119</v>
      </c>
      <c r="O534" s="253" t="s">
        <v>1321</v>
      </c>
      <c r="P534" s="656">
        <v>43010</v>
      </c>
      <c r="Q534" s="657">
        <v>0</v>
      </c>
      <c r="R534" s="657">
        <v>0</v>
      </c>
      <c r="S534" s="253">
        <v>91</v>
      </c>
      <c r="T534" s="658"/>
      <c r="U534" s="659"/>
      <c r="V534" s="658"/>
      <c r="W534" s="659"/>
      <c r="X534" s="658"/>
      <c r="Y534" s="659"/>
      <c r="Z534" s="658"/>
      <c r="AA534" s="659"/>
      <c r="AB534" s="658"/>
      <c r="AC534" s="660"/>
      <c r="AD534" s="682">
        <v>18652141000154</v>
      </c>
      <c r="AE534" s="944" t="s">
        <v>1846</v>
      </c>
      <c r="AF534" s="661" t="s">
        <v>1846</v>
      </c>
      <c r="AG534" s="662" t="s">
        <v>1436</v>
      </c>
      <c r="AH534" s="662" t="s">
        <v>1730</v>
      </c>
      <c r="AI534" s="662">
        <v>1000</v>
      </c>
      <c r="AJ534" s="662">
        <v>1000</v>
      </c>
      <c r="AK534" s="662">
        <v>1000</v>
      </c>
      <c r="AL534" s="658">
        <v>8.0000000000000002E-3</v>
      </c>
      <c r="AM534" s="658">
        <v>0.2</v>
      </c>
      <c r="AN534" s="659" t="s">
        <v>64</v>
      </c>
      <c r="AO534" s="253" t="s">
        <v>34</v>
      </c>
      <c r="AP534" s="944" t="s">
        <v>1746</v>
      </c>
      <c r="AQ534" s="663" t="s">
        <v>686</v>
      </c>
      <c r="AR534" s="658">
        <v>1.8666666666666699E-3</v>
      </c>
      <c r="AS534" s="658">
        <v>1.8666666666666699E-3</v>
      </c>
      <c r="AT534" s="658" t="s">
        <v>1417</v>
      </c>
      <c r="AU534" s="658" t="s">
        <v>2751</v>
      </c>
      <c r="AX534"/>
      <c r="AY534"/>
      <c r="BA534"/>
      <c r="BB534"/>
      <c r="BC534"/>
      <c r="BD534"/>
      <c r="BE534"/>
      <c r="BF534"/>
      <c r="BG534"/>
      <c r="BH534"/>
      <c r="BI534"/>
      <c r="BJ534"/>
      <c r="BR534"/>
      <c r="BS534"/>
      <c r="BT534"/>
      <c r="BU534"/>
      <c r="BX534"/>
      <c r="BY534"/>
      <c r="CA534"/>
    </row>
    <row r="535" spans="2:79" ht="18.75">
      <c r="B535" s="252" t="s">
        <v>892</v>
      </c>
      <c r="C535" s="251">
        <v>5461732000100</v>
      </c>
      <c r="D535" s="252" t="s">
        <v>13</v>
      </c>
      <c r="E535" s="252" t="s">
        <v>615</v>
      </c>
      <c r="F535" s="252" t="s">
        <v>619</v>
      </c>
      <c r="G535" s="253" t="s">
        <v>34</v>
      </c>
      <c r="H535" s="253" t="s">
        <v>865</v>
      </c>
      <c r="I535" s="253" t="s">
        <v>34</v>
      </c>
      <c r="J535" s="253" t="s">
        <v>1417</v>
      </c>
      <c r="K535" s="253" t="s">
        <v>48</v>
      </c>
      <c r="L535" s="655"/>
      <c r="M535" s="655" t="s">
        <v>1414</v>
      </c>
      <c r="N535" s="253" t="s">
        <v>3120</v>
      </c>
      <c r="O535" s="253" t="s">
        <v>1321</v>
      </c>
      <c r="P535" s="656">
        <v>37903</v>
      </c>
      <c r="Q535" s="657">
        <v>0</v>
      </c>
      <c r="R535" s="657">
        <v>0</v>
      </c>
      <c r="S535" s="253">
        <v>32</v>
      </c>
      <c r="T535" s="658"/>
      <c r="U535" s="659"/>
      <c r="V535" s="658"/>
      <c r="W535" s="659"/>
      <c r="X535" s="658"/>
      <c r="Y535" s="659"/>
      <c r="Z535" s="658"/>
      <c r="AA535" s="659"/>
      <c r="AB535" s="658"/>
      <c r="AC535" s="660"/>
      <c r="AD535" s="682">
        <v>0</v>
      </c>
      <c r="AE535" s="944" t="s">
        <v>1846</v>
      </c>
      <c r="AF535" s="661" t="s">
        <v>1846</v>
      </c>
      <c r="AG535" s="662" t="s">
        <v>1436</v>
      </c>
      <c r="AH535" s="662" t="s">
        <v>1730</v>
      </c>
      <c r="AI535" s="662">
        <v>10000</v>
      </c>
      <c r="AJ535" s="662">
        <v>1000</v>
      </c>
      <c r="AK535" s="662">
        <v>1000</v>
      </c>
      <c r="AL535" s="658">
        <v>1.3000000000000001E-2</v>
      </c>
      <c r="AM535" s="658">
        <v>0.2</v>
      </c>
      <c r="AN535" s="659" t="s">
        <v>64</v>
      </c>
      <c r="AO535" s="253" t="s">
        <v>34</v>
      </c>
      <c r="AP535" s="944" t="s">
        <v>1746</v>
      </c>
      <c r="AQ535" s="663" t="s">
        <v>686</v>
      </c>
      <c r="AR535" s="658">
        <v>3.0333333333333302E-3</v>
      </c>
      <c r="AS535" s="658">
        <v>3.0333333333333302E-3</v>
      </c>
      <c r="AT535" s="658" t="s">
        <v>1417</v>
      </c>
      <c r="AU535" s="658" t="s">
        <v>2751</v>
      </c>
      <c r="AX535"/>
      <c r="AY535"/>
      <c r="BA535"/>
      <c r="BB535"/>
      <c r="BC535"/>
      <c r="BD535"/>
      <c r="BE535"/>
      <c r="BF535"/>
      <c r="BG535"/>
      <c r="BH535"/>
      <c r="BI535"/>
      <c r="BJ535"/>
      <c r="BR535"/>
      <c r="BS535"/>
      <c r="BT535"/>
      <c r="BU535"/>
      <c r="BX535"/>
      <c r="BY535"/>
      <c r="CA535"/>
    </row>
    <row r="536" spans="2:79" ht="18.75">
      <c r="B536" s="252" t="s">
        <v>893</v>
      </c>
      <c r="C536" s="251">
        <v>18623722000168</v>
      </c>
      <c r="D536" s="252" t="s">
        <v>11</v>
      </c>
      <c r="E536" s="252" t="s">
        <v>621</v>
      </c>
      <c r="F536" s="252" t="s">
        <v>692</v>
      </c>
      <c r="G536" s="253" t="s">
        <v>738</v>
      </c>
      <c r="H536" s="253" t="s">
        <v>34</v>
      </c>
      <c r="I536" s="253" t="s">
        <v>1417</v>
      </c>
      <c r="J536" s="253" t="s">
        <v>608</v>
      </c>
      <c r="K536" s="253" t="s">
        <v>48</v>
      </c>
      <c r="L536" s="655"/>
      <c r="M536" s="655" t="s">
        <v>34</v>
      </c>
      <c r="N536" s="253" t="s">
        <v>3121</v>
      </c>
      <c r="O536" s="253" t="s">
        <v>1321</v>
      </c>
      <c r="P536" s="656">
        <v>41463</v>
      </c>
      <c r="Q536" s="657">
        <v>0</v>
      </c>
      <c r="R536" s="657">
        <v>788.23152850920258</v>
      </c>
      <c r="S536" s="253">
        <v>31</v>
      </c>
      <c r="T536" s="658">
        <v>1.0323166092153446E-2</v>
      </c>
      <c r="U536" s="659">
        <v>0.51620011749779748</v>
      </c>
      <c r="V536" s="658">
        <v>0.53814061174744499</v>
      </c>
      <c r="W536" s="659">
        <v>4.1734473078739791</v>
      </c>
      <c r="X536" s="658">
        <v>0.53814061174744499</v>
      </c>
      <c r="Y536" s="659">
        <v>2.7870262332794407</v>
      </c>
      <c r="Z536" s="658">
        <v>0.53814061174744499</v>
      </c>
      <c r="AA536" s="659">
        <v>2.4298539351528738</v>
      </c>
      <c r="AB536" s="658">
        <v>0.62790952919668586</v>
      </c>
      <c r="AC536" s="660">
        <v>0.65168098790308404</v>
      </c>
      <c r="AD536" s="682">
        <v>0</v>
      </c>
      <c r="AE536" s="944" t="s">
        <v>1846</v>
      </c>
      <c r="AF536" s="661" t="s">
        <v>1846</v>
      </c>
      <c r="AG536" s="662" t="s">
        <v>719</v>
      </c>
      <c r="AH536" s="662" t="s">
        <v>1734</v>
      </c>
      <c r="AI536" s="662">
        <v>1000</v>
      </c>
      <c r="AJ536" s="662">
        <v>1000</v>
      </c>
      <c r="AK536" s="662">
        <v>1000</v>
      </c>
      <c r="AL536" s="658">
        <v>1.2E-2</v>
      </c>
      <c r="AM536" s="658">
        <v>0.2</v>
      </c>
      <c r="AN536" s="659" t="s">
        <v>636</v>
      </c>
      <c r="AO536" s="253" t="s">
        <v>34</v>
      </c>
      <c r="AP536" s="944" t="s">
        <v>1746</v>
      </c>
      <c r="AQ536" s="663" t="s">
        <v>671</v>
      </c>
      <c r="AR536" s="658">
        <v>2.8E-3</v>
      </c>
      <c r="AS536" s="658">
        <v>2.8E-3</v>
      </c>
      <c r="AT536" s="658" t="s">
        <v>1417</v>
      </c>
      <c r="AU536" s="658" t="s">
        <v>2751</v>
      </c>
      <c r="AX536"/>
      <c r="AY536"/>
      <c r="BA536"/>
      <c r="BB536"/>
      <c r="BC536"/>
      <c r="BD536"/>
      <c r="BE536"/>
      <c r="BF536"/>
      <c r="BG536"/>
      <c r="BH536"/>
      <c r="BI536"/>
      <c r="BJ536"/>
      <c r="BR536"/>
      <c r="BS536"/>
      <c r="BT536"/>
      <c r="BU536"/>
      <c r="BX536"/>
      <c r="BY536"/>
      <c r="CA536"/>
    </row>
    <row r="537" spans="2:79" ht="18.75">
      <c r="B537" s="252" t="s">
        <v>160</v>
      </c>
      <c r="C537" s="251">
        <v>23714047000112</v>
      </c>
      <c r="D537" s="252" t="s">
        <v>11</v>
      </c>
      <c r="E537" s="252" t="s">
        <v>620</v>
      </c>
      <c r="F537" s="252" t="s">
        <v>663</v>
      </c>
      <c r="G537" s="253" t="s">
        <v>738</v>
      </c>
      <c r="H537" s="253" t="s">
        <v>34</v>
      </c>
      <c r="I537" s="253" t="s">
        <v>1304</v>
      </c>
      <c r="J537" s="253" t="s">
        <v>608</v>
      </c>
      <c r="K537" s="253" t="s">
        <v>48</v>
      </c>
      <c r="L537" s="655"/>
      <c r="M537" s="655" t="s">
        <v>34</v>
      </c>
      <c r="N537" s="253" t="s">
        <v>3122</v>
      </c>
      <c r="O537" s="253" t="s">
        <v>1321</v>
      </c>
      <c r="P537" s="656">
        <v>42303</v>
      </c>
      <c r="Q537" s="657">
        <v>336.96992609</v>
      </c>
      <c r="R537" s="657">
        <v>204.2950703105264</v>
      </c>
      <c r="S537" s="253">
        <v>31</v>
      </c>
      <c r="T537" s="658">
        <v>1.8140924961723703E-2</v>
      </c>
      <c r="U537" s="659">
        <v>0.90711972598002344</v>
      </c>
      <c r="V537" s="658">
        <v>0.14402004429020909</v>
      </c>
      <c r="W537" s="659">
        <v>1.1169201004382627</v>
      </c>
      <c r="X537" s="658">
        <v>0.26773368288366362</v>
      </c>
      <c r="Y537" s="659">
        <v>1.3865907560968094</v>
      </c>
      <c r="Z537" s="658">
        <v>0.25062595421529221</v>
      </c>
      <c r="AA537" s="659">
        <v>1.1316456104734101</v>
      </c>
      <c r="AB537" s="658">
        <v>3.290972191676237E-3</v>
      </c>
      <c r="AC537" s="660">
        <v>4.5810581084678814</v>
      </c>
      <c r="AD537" s="682">
        <v>0</v>
      </c>
      <c r="AE537" s="944" t="s">
        <v>1846</v>
      </c>
      <c r="AF537" s="661" t="s">
        <v>1846</v>
      </c>
      <c r="AG537" s="662" t="s">
        <v>1436</v>
      </c>
      <c r="AH537" s="662" t="s">
        <v>1730</v>
      </c>
      <c r="AI537" s="662">
        <v>1000</v>
      </c>
      <c r="AJ537" s="662">
        <v>1000</v>
      </c>
      <c r="AK537" s="662">
        <v>1000</v>
      </c>
      <c r="AL537" s="658">
        <v>2.5000000000000001E-3</v>
      </c>
      <c r="AM537" s="658">
        <v>0.2</v>
      </c>
      <c r="AN537" s="659" t="s">
        <v>64</v>
      </c>
      <c r="AO537" s="253" t="s">
        <v>34</v>
      </c>
      <c r="AP537" s="944" t="s">
        <v>1735</v>
      </c>
      <c r="AQ537" s="663" t="s">
        <v>662</v>
      </c>
      <c r="AR537" s="658">
        <v>1.5E-3</v>
      </c>
      <c r="AS537" s="658">
        <v>1.5E-3</v>
      </c>
      <c r="AT537" s="658" t="s">
        <v>1417</v>
      </c>
      <c r="AU537" s="658" t="s">
        <v>2751</v>
      </c>
      <c r="AX537"/>
      <c r="AY537"/>
      <c r="BA537"/>
      <c r="BB537"/>
      <c r="BC537"/>
      <c r="BD537"/>
      <c r="BE537"/>
      <c r="BF537"/>
      <c r="BG537"/>
      <c r="BH537"/>
      <c r="BI537"/>
      <c r="BJ537"/>
      <c r="BR537"/>
      <c r="BS537"/>
      <c r="BT537"/>
      <c r="BU537"/>
      <c r="BX537"/>
      <c r="BY537"/>
      <c r="CA537"/>
    </row>
    <row r="538" spans="2:79" ht="18.75">
      <c r="B538" s="252" t="s">
        <v>161</v>
      </c>
      <c r="C538" s="251">
        <v>11447124000136</v>
      </c>
      <c r="D538" s="252" t="s">
        <v>11</v>
      </c>
      <c r="E538" s="252" t="s">
        <v>620</v>
      </c>
      <c r="F538" s="252" t="s">
        <v>663</v>
      </c>
      <c r="G538" s="253" t="s">
        <v>738</v>
      </c>
      <c r="H538" s="253" t="s">
        <v>34</v>
      </c>
      <c r="I538" s="253" t="s">
        <v>1304</v>
      </c>
      <c r="J538" s="253" t="s">
        <v>608</v>
      </c>
      <c r="K538" s="253" t="s">
        <v>48</v>
      </c>
      <c r="L538" s="655"/>
      <c r="M538" s="655" t="s">
        <v>34</v>
      </c>
      <c r="N538" s="253" t="s">
        <v>3123</v>
      </c>
      <c r="O538" s="253" t="s">
        <v>1321</v>
      </c>
      <c r="P538" s="656">
        <v>40169</v>
      </c>
      <c r="Q538" s="657">
        <v>1469.5604499999999</v>
      </c>
      <c r="R538" s="657">
        <v>751.92459273684244</v>
      </c>
      <c r="S538" s="253">
        <v>31</v>
      </c>
      <c r="T538" s="658">
        <v>1.7408853731821994E-2</v>
      </c>
      <c r="U538" s="659">
        <v>0.87051319930801196</v>
      </c>
      <c r="V538" s="658">
        <v>0.1469238462696858</v>
      </c>
      <c r="W538" s="659">
        <v>1.1394399851845447</v>
      </c>
      <c r="X538" s="658">
        <v>0.26202737358403039</v>
      </c>
      <c r="Y538" s="659">
        <v>1.3570378225955779</v>
      </c>
      <c r="Z538" s="658">
        <v>0.24791322418158002</v>
      </c>
      <c r="AA538" s="659">
        <v>1.1193968829038274</v>
      </c>
      <c r="AB538" s="658">
        <v>3.0053756682427752E-3</v>
      </c>
      <c r="AC538" s="660">
        <v>5.9825921307901604</v>
      </c>
      <c r="AD538" s="682">
        <v>0</v>
      </c>
      <c r="AE538" s="944" t="s">
        <v>1846</v>
      </c>
      <c r="AF538" s="661" t="s">
        <v>1846</v>
      </c>
      <c r="AG538" s="662" t="s">
        <v>1436</v>
      </c>
      <c r="AH538" s="662" t="s">
        <v>1734</v>
      </c>
      <c r="AI538" s="662">
        <v>1000</v>
      </c>
      <c r="AJ538" s="662">
        <v>1000</v>
      </c>
      <c r="AK538" s="662">
        <v>1000</v>
      </c>
      <c r="AL538" s="658">
        <v>9.0000000000000011E-3</v>
      </c>
      <c r="AM538" s="658">
        <v>0</v>
      </c>
      <c r="AN538" s="659" t="s">
        <v>64</v>
      </c>
      <c r="AO538" s="253" t="s">
        <v>34</v>
      </c>
      <c r="AP538" s="944" t="s">
        <v>1735</v>
      </c>
      <c r="AQ538" s="663" t="s">
        <v>662</v>
      </c>
      <c r="AR538" s="658">
        <v>1.5E-3</v>
      </c>
      <c r="AS538" s="658">
        <v>1.5E-3</v>
      </c>
      <c r="AT538" s="658" t="s">
        <v>1417</v>
      </c>
      <c r="AU538" s="658" t="s">
        <v>2751</v>
      </c>
      <c r="AX538"/>
      <c r="AY538"/>
      <c r="BA538"/>
      <c r="BB538"/>
      <c r="BC538"/>
      <c r="BD538"/>
      <c r="BE538"/>
      <c r="BF538"/>
      <c r="BG538"/>
      <c r="BH538"/>
      <c r="BI538"/>
      <c r="BJ538"/>
      <c r="BR538"/>
      <c r="BS538"/>
      <c r="BT538"/>
      <c r="BU538"/>
      <c r="BX538"/>
      <c r="BY538"/>
      <c r="CA538"/>
    </row>
    <row r="539" spans="2:79" ht="18.75">
      <c r="B539" s="252" t="s">
        <v>894</v>
      </c>
      <c r="C539" s="251">
        <v>44479860000125</v>
      </c>
      <c r="D539" s="252" t="s">
        <v>14</v>
      </c>
      <c r="E539" s="252" t="s">
        <v>607</v>
      </c>
      <c r="F539" s="252" t="s">
        <v>1417</v>
      </c>
      <c r="G539" s="253" t="s">
        <v>1417</v>
      </c>
      <c r="H539" s="253" t="s">
        <v>34</v>
      </c>
      <c r="I539" s="253" t="s">
        <v>34</v>
      </c>
      <c r="J539" s="253" t="s">
        <v>611</v>
      </c>
      <c r="K539" s="253" t="s">
        <v>49</v>
      </c>
      <c r="L539" s="655"/>
      <c r="M539" s="655" t="s">
        <v>34</v>
      </c>
      <c r="N539" s="253" t="s">
        <v>3124</v>
      </c>
      <c r="O539" s="253" t="s">
        <v>1321</v>
      </c>
      <c r="P539" s="656">
        <v>44547</v>
      </c>
      <c r="Q539" s="657">
        <v>20.36561163</v>
      </c>
      <c r="R539" s="657">
        <v>20.191511464202904</v>
      </c>
      <c r="S539" s="253">
        <v>15</v>
      </c>
      <c r="T539" s="658">
        <v>2.4626839933468592E-2</v>
      </c>
      <c r="U539" s="659">
        <v>1.2314417450784323</v>
      </c>
      <c r="V539" s="658">
        <v>6.6433601538399945E-2</v>
      </c>
      <c r="W539" s="659">
        <v>0.51521317930735833</v>
      </c>
      <c r="X539" s="658"/>
      <c r="Y539" s="659"/>
      <c r="Z539" s="658"/>
      <c r="AA539" s="659"/>
      <c r="AB539" s="658">
        <v>0.20857334319603535</v>
      </c>
      <c r="AC539" s="660">
        <v>-0.29970420452836005</v>
      </c>
      <c r="AD539" s="682">
        <v>44417189000198</v>
      </c>
      <c r="AE539" s="944" t="s">
        <v>2068</v>
      </c>
      <c r="AF539" s="661" t="s">
        <v>1745</v>
      </c>
      <c r="AG539" s="662" t="s">
        <v>1432</v>
      </c>
      <c r="AH539" s="662" t="s">
        <v>1734</v>
      </c>
      <c r="AI539" s="662">
        <v>5000</v>
      </c>
      <c r="AJ539" s="662">
        <v>1000</v>
      </c>
      <c r="AK539" s="662">
        <v>5000</v>
      </c>
      <c r="AL539" s="658">
        <v>0</v>
      </c>
      <c r="AM539" s="658">
        <v>0</v>
      </c>
      <c r="AN539" s="659" t="s">
        <v>2127</v>
      </c>
      <c r="AO539" s="253" t="s">
        <v>34</v>
      </c>
      <c r="AP539" s="944" t="s">
        <v>1731</v>
      </c>
      <c r="AQ539" s="663" t="s">
        <v>659</v>
      </c>
      <c r="AR539" s="658">
        <v>4.4327000000000004E-3</v>
      </c>
      <c r="AS539" s="658">
        <v>4.4327000000000004E-3</v>
      </c>
      <c r="AT539" s="658" t="s">
        <v>1417</v>
      </c>
      <c r="AU539" s="658" t="s">
        <v>2751</v>
      </c>
      <c r="AX539"/>
      <c r="AY539"/>
      <c r="BA539"/>
      <c r="BB539"/>
      <c r="BC539"/>
      <c r="BD539"/>
      <c r="BE539"/>
      <c r="BF539"/>
      <c r="BG539"/>
      <c r="BH539"/>
      <c r="BI539"/>
      <c r="BJ539"/>
      <c r="BR539"/>
      <c r="BS539"/>
      <c r="BT539"/>
      <c r="BU539"/>
      <c r="BX539"/>
      <c r="BY539"/>
      <c r="CA539"/>
    </row>
    <row r="540" spans="2:79" ht="18.75">
      <c r="B540" s="252" t="s">
        <v>895</v>
      </c>
      <c r="C540" s="251">
        <v>44515610000101</v>
      </c>
      <c r="D540" s="252" t="s">
        <v>14</v>
      </c>
      <c r="E540" s="252" t="s">
        <v>607</v>
      </c>
      <c r="F540" s="252" t="s">
        <v>1417</v>
      </c>
      <c r="G540" s="253" t="s">
        <v>1417</v>
      </c>
      <c r="H540" s="253" t="s">
        <v>34</v>
      </c>
      <c r="I540" s="253" t="s">
        <v>34</v>
      </c>
      <c r="J540" s="253" t="s">
        <v>611</v>
      </c>
      <c r="K540" s="253" t="s">
        <v>48</v>
      </c>
      <c r="L540" s="655"/>
      <c r="M540" s="655" t="s">
        <v>34</v>
      </c>
      <c r="N540" s="253" t="s">
        <v>3125</v>
      </c>
      <c r="O540" s="253" t="s">
        <v>1321</v>
      </c>
      <c r="P540" s="656">
        <v>44555</v>
      </c>
      <c r="Q540" s="657">
        <v>23.033111720000001</v>
      </c>
      <c r="R540" s="657">
        <v>23.043899760840723</v>
      </c>
      <c r="S540" s="253">
        <v>15</v>
      </c>
      <c r="T540" s="658">
        <v>4.6217518830139026E-2</v>
      </c>
      <c r="U540" s="659">
        <v>2.3110631406684736</v>
      </c>
      <c r="V540" s="658">
        <v>-4.6818414737393232E-2</v>
      </c>
      <c r="W540" s="659">
        <v>-0.36309132349297907</v>
      </c>
      <c r="X540" s="658"/>
      <c r="Y540" s="659"/>
      <c r="Z540" s="658"/>
      <c r="AA540" s="659"/>
      <c r="AB540" s="658">
        <v>0.18964737845050716</v>
      </c>
      <c r="AC540" s="660">
        <v>-0.92678488687915506</v>
      </c>
      <c r="AD540" s="682">
        <v>44417189000198</v>
      </c>
      <c r="AE540" s="944" t="s">
        <v>2068</v>
      </c>
      <c r="AF540" s="661" t="s">
        <v>1745</v>
      </c>
      <c r="AG540" s="662" t="s">
        <v>1432</v>
      </c>
      <c r="AH540" s="662" t="s">
        <v>1734</v>
      </c>
      <c r="AI540" s="662">
        <v>5000</v>
      </c>
      <c r="AJ540" s="662">
        <v>1000</v>
      </c>
      <c r="AK540" s="662">
        <v>5000</v>
      </c>
      <c r="AL540" s="658">
        <v>0</v>
      </c>
      <c r="AM540" s="658">
        <v>0</v>
      </c>
      <c r="AN540" s="659" t="s">
        <v>2127</v>
      </c>
      <c r="AO540" s="253" t="s">
        <v>34</v>
      </c>
      <c r="AP540" s="944" t="s">
        <v>1731</v>
      </c>
      <c r="AQ540" s="663" t="s">
        <v>659</v>
      </c>
      <c r="AR540" s="658">
        <v>4.4327000000000004E-3</v>
      </c>
      <c r="AS540" s="658">
        <v>4.4327000000000004E-3</v>
      </c>
      <c r="AT540" s="658" t="s">
        <v>1417</v>
      </c>
      <c r="AU540" s="658" t="s">
        <v>2751</v>
      </c>
      <c r="AX540"/>
      <c r="AY540"/>
      <c r="BA540"/>
      <c r="BB540"/>
      <c r="BC540"/>
      <c r="BD540"/>
      <c r="BE540"/>
      <c r="BF540"/>
      <c r="BG540"/>
      <c r="BH540"/>
      <c r="BI540"/>
      <c r="BJ540"/>
      <c r="BR540"/>
      <c r="BS540"/>
      <c r="BT540"/>
      <c r="BU540"/>
      <c r="BX540"/>
      <c r="BY540"/>
      <c r="CA540"/>
    </row>
    <row r="541" spans="2:79" ht="18.75">
      <c r="B541" s="252" t="s">
        <v>1535</v>
      </c>
      <c r="C541" s="251">
        <v>28345337000150</v>
      </c>
      <c r="D541" s="252" t="s">
        <v>14</v>
      </c>
      <c r="E541" s="252" t="s">
        <v>614</v>
      </c>
      <c r="F541" s="252" t="s">
        <v>1417</v>
      </c>
      <c r="G541" s="253" t="s">
        <v>1417</v>
      </c>
      <c r="H541" s="253" t="s">
        <v>1338</v>
      </c>
      <c r="I541" s="253" t="s">
        <v>34</v>
      </c>
      <c r="J541" s="253" t="s">
        <v>608</v>
      </c>
      <c r="K541" s="253" t="s">
        <v>48</v>
      </c>
      <c r="L541" s="655"/>
      <c r="M541" s="655" t="s">
        <v>34</v>
      </c>
      <c r="N541" s="253" t="s">
        <v>3126</v>
      </c>
      <c r="O541" s="253" t="s">
        <v>1321</v>
      </c>
      <c r="P541" s="656">
        <v>43092</v>
      </c>
      <c r="Q541" s="657">
        <v>3.0089586599999998</v>
      </c>
      <c r="R541" s="657">
        <v>3.6872625588754975</v>
      </c>
      <c r="S541" s="253">
        <v>31</v>
      </c>
      <c r="T541" s="658">
        <v>-2.5604998375274191E-2</v>
      </c>
      <c r="U541" s="659">
        <v>-1.2803536290958077</v>
      </c>
      <c r="V541" s="658">
        <v>-7.4900122403756542E-2</v>
      </c>
      <c r="W541" s="659">
        <v>-0.58087367387186117</v>
      </c>
      <c r="X541" s="658">
        <v>-0.28875026994333042</v>
      </c>
      <c r="Y541" s="659">
        <v>-1.4954355044593095</v>
      </c>
      <c r="Z541" s="658">
        <v>-0.30723959764674347</v>
      </c>
      <c r="AA541" s="659">
        <v>-1.3872718934044839</v>
      </c>
      <c r="AB541" s="658">
        <v>0.19145241461246154</v>
      </c>
      <c r="AC541" s="660">
        <v>-1.0647242671927983</v>
      </c>
      <c r="AD541" s="682">
        <v>28345356000186</v>
      </c>
      <c r="AE541" s="944" t="s">
        <v>1841</v>
      </c>
      <c r="AF541" s="661" t="s">
        <v>1733</v>
      </c>
      <c r="AG541" s="662" t="s">
        <v>59</v>
      </c>
      <c r="AH541" s="662" t="s">
        <v>1730</v>
      </c>
      <c r="AI541" s="662">
        <v>100000</v>
      </c>
      <c r="AJ541" s="662">
        <v>50000</v>
      </c>
      <c r="AK541" s="662">
        <v>100000</v>
      </c>
      <c r="AL541" s="658">
        <v>1.9E-2</v>
      </c>
      <c r="AM541" s="658">
        <v>0.2</v>
      </c>
      <c r="AN541" s="659" t="s">
        <v>2141</v>
      </c>
      <c r="AO541" s="253" t="s">
        <v>34</v>
      </c>
      <c r="AP541" s="944" t="s">
        <v>1746</v>
      </c>
      <c r="AQ541" s="663" t="s">
        <v>674</v>
      </c>
      <c r="AR541" s="658">
        <v>0</v>
      </c>
      <c r="AS541" s="658">
        <v>0</v>
      </c>
      <c r="AT541" s="658" t="s">
        <v>1417</v>
      </c>
      <c r="AU541" s="658" t="s">
        <v>2751</v>
      </c>
      <c r="AX541"/>
      <c r="AY541"/>
      <c r="BA541"/>
      <c r="BB541"/>
      <c r="BC541"/>
      <c r="BD541"/>
      <c r="BE541"/>
      <c r="BF541"/>
      <c r="BG541"/>
      <c r="BH541"/>
      <c r="BI541"/>
      <c r="BJ541"/>
      <c r="BR541"/>
      <c r="BS541"/>
      <c r="BT541"/>
      <c r="BU541"/>
      <c r="BX541"/>
      <c r="BY541"/>
      <c r="CA541"/>
    </row>
    <row r="542" spans="2:79" ht="18.75">
      <c r="B542" s="252" t="s">
        <v>162</v>
      </c>
      <c r="C542" s="251">
        <v>28246652000120</v>
      </c>
      <c r="D542" s="252" t="s">
        <v>14</v>
      </c>
      <c r="E542" s="252" t="s">
        <v>614</v>
      </c>
      <c r="F542" s="252" t="s">
        <v>1417</v>
      </c>
      <c r="G542" s="253" t="s">
        <v>1417</v>
      </c>
      <c r="H542" s="253" t="s">
        <v>1338</v>
      </c>
      <c r="I542" s="253" t="s">
        <v>34</v>
      </c>
      <c r="J542" s="253" t="s">
        <v>608</v>
      </c>
      <c r="K542" s="253" t="s">
        <v>48</v>
      </c>
      <c r="L542" s="655"/>
      <c r="M542" s="655" t="s">
        <v>34</v>
      </c>
      <c r="N542" s="253" t="s">
        <v>3127</v>
      </c>
      <c r="O542" s="253" t="s">
        <v>1321</v>
      </c>
      <c r="P542" s="656">
        <v>43092</v>
      </c>
      <c r="Q542" s="657">
        <v>1.5039796999999999</v>
      </c>
      <c r="R542" s="657">
        <v>3.8101387775403261</v>
      </c>
      <c r="S542" s="253">
        <v>32</v>
      </c>
      <c r="T542" s="658">
        <v>-2.5694884537065366E-2</v>
      </c>
      <c r="U542" s="659">
        <v>-1.2848483012597378</v>
      </c>
      <c r="V542" s="658">
        <v>-9.3184810942288809E-2</v>
      </c>
      <c r="W542" s="659">
        <v>-0.72267710310694167</v>
      </c>
      <c r="X542" s="658">
        <v>-0.29687160453190586</v>
      </c>
      <c r="Y542" s="659">
        <v>-1.5374958360037014</v>
      </c>
      <c r="Z542" s="658">
        <v>-0.30533794746858689</v>
      </c>
      <c r="AA542" s="659">
        <v>-1.3786854160641591</v>
      </c>
      <c r="AB542" s="658">
        <v>0.19309619554976698</v>
      </c>
      <c r="AC542" s="660">
        <v>-1.1503526506912851</v>
      </c>
      <c r="AD542" s="682">
        <v>28345356000186</v>
      </c>
      <c r="AE542" s="944" t="s">
        <v>1841</v>
      </c>
      <c r="AF542" s="661" t="s">
        <v>1729</v>
      </c>
      <c r="AG542" s="662" t="s">
        <v>1433</v>
      </c>
      <c r="AH542" s="662" t="s">
        <v>1734</v>
      </c>
      <c r="AI542" s="662">
        <v>5000</v>
      </c>
      <c r="AJ542" s="662">
        <v>1000</v>
      </c>
      <c r="AK542" s="662">
        <v>1000</v>
      </c>
      <c r="AL542" s="658">
        <v>2.4500000000000001E-2</v>
      </c>
      <c r="AM542" s="658">
        <v>0.2</v>
      </c>
      <c r="AN542" s="659" t="s">
        <v>2127</v>
      </c>
      <c r="AO542" s="253" t="s">
        <v>34</v>
      </c>
      <c r="AP542" s="944" t="s">
        <v>1746</v>
      </c>
      <c r="AQ542" s="663" t="s">
        <v>674</v>
      </c>
      <c r="AR542" s="658">
        <v>4.7499999999999999E-3</v>
      </c>
      <c r="AS542" s="658">
        <v>4.7499999999999999E-3</v>
      </c>
      <c r="AT542" s="658" t="s">
        <v>1417</v>
      </c>
      <c r="AU542" s="658" t="s">
        <v>2751</v>
      </c>
      <c r="AX542"/>
      <c r="AY542"/>
      <c r="BA542"/>
      <c r="BB542"/>
      <c r="BC542"/>
      <c r="BD542"/>
      <c r="BE542"/>
      <c r="BF542"/>
      <c r="BG542"/>
      <c r="BH542"/>
      <c r="BI542"/>
      <c r="BJ542"/>
      <c r="BR542"/>
      <c r="BS542"/>
      <c r="BT542"/>
      <c r="BU542"/>
      <c r="BX542"/>
      <c r="BY542"/>
      <c r="CA542"/>
    </row>
    <row r="543" spans="2:79" ht="18.75">
      <c r="B543" s="252" t="s">
        <v>1536</v>
      </c>
      <c r="C543" s="251">
        <v>15212344000131</v>
      </c>
      <c r="D543" s="252" t="s">
        <v>13</v>
      </c>
      <c r="E543" s="252" t="s">
        <v>615</v>
      </c>
      <c r="F543" s="252" t="s">
        <v>619</v>
      </c>
      <c r="G543" s="253" t="s">
        <v>34</v>
      </c>
      <c r="H543" s="253" t="s">
        <v>1338</v>
      </c>
      <c r="I543" s="253" t="s">
        <v>34</v>
      </c>
      <c r="J543" s="253" t="s">
        <v>1417</v>
      </c>
      <c r="K543" s="253" t="s">
        <v>48</v>
      </c>
      <c r="L543" s="655"/>
      <c r="M543" s="655" t="s">
        <v>34</v>
      </c>
      <c r="N543" s="253" t="s">
        <v>3128</v>
      </c>
      <c r="O543" s="253" t="s">
        <v>1321</v>
      </c>
      <c r="P543" s="656">
        <v>41258</v>
      </c>
      <c r="Q543" s="657">
        <v>36.484994700000001</v>
      </c>
      <c r="R543" s="657">
        <v>49.403080754618543</v>
      </c>
      <c r="S543" s="253">
        <v>30</v>
      </c>
      <c r="T543" s="658">
        <v>4.8305971459463581E-3</v>
      </c>
      <c r="U543" s="659">
        <v>0.24154942311907254</v>
      </c>
      <c r="V543" s="658">
        <v>0.11451632964451552</v>
      </c>
      <c r="W543" s="659">
        <v>0.88810964500632972</v>
      </c>
      <c r="X543" s="658">
        <v>0.10292039453456447</v>
      </c>
      <c r="Y543" s="659">
        <v>0.53302395925085655</v>
      </c>
      <c r="Z543" s="658">
        <v>0.16328758149991884</v>
      </c>
      <c r="AA543" s="659">
        <v>0.73728866360931578</v>
      </c>
      <c r="AB543" s="658">
        <v>7.4309523661916052E-2</v>
      </c>
      <c r="AC543" s="660">
        <v>-0.19415519157293459</v>
      </c>
      <c r="AD543" s="682">
        <v>9720565000118</v>
      </c>
      <c r="AE543" s="944" t="s">
        <v>1841</v>
      </c>
      <c r="AF543" s="661" t="s">
        <v>1733</v>
      </c>
      <c r="AG543" s="662" t="s">
        <v>59</v>
      </c>
      <c r="AH543" s="662" t="s">
        <v>1734</v>
      </c>
      <c r="AI543" s="662">
        <v>50000</v>
      </c>
      <c r="AJ543" s="662">
        <v>50000</v>
      </c>
      <c r="AK543" s="662">
        <v>50000</v>
      </c>
      <c r="AL543" s="658">
        <v>2.4500000000000001E-2</v>
      </c>
      <c r="AM543" s="658">
        <v>0.2</v>
      </c>
      <c r="AN543" s="659" t="s">
        <v>64</v>
      </c>
      <c r="AO543" s="253" t="s">
        <v>34</v>
      </c>
      <c r="AP543" s="944" t="s">
        <v>1746</v>
      </c>
      <c r="AQ543" s="663" t="s">
        <v>664</v>
      </c>
      <c r="AR543" s="658">
        <v>0</v>
      </c>
      <c r="AS543" s="658">
        <v>0</v>
      </c>
      <c r="AT543" s="658" t="s">
        <v>1417</v>
      </c>
      <c r="AU543" s="658" t="s">
        <v>2751</v>
      </c>
      <c r="AX543"/>
      <c r="AY543"/>
      <c r="BA543"/>
      <c r="BB543"/>
      <c r="BC543"/>
      <c r="BD543"/>
      <c r="BE543"/>
      <c r="BF543"/>
      <c r="BG543"/>
      <c r="BH543"/>
      <c r="BI543"/>
      <c r="BJ543"/>
      <c r="BR543"/>
      <c r="BS543"/>
      <c r="BT543"/>
      <c r="BU543"/>
      <c r="BX543"/>
      <c r="BY543"/>
      <c r="CA543"/>
    </row>
    <row r="544" spans="2:79" ht="18.75">
      <c r="B544" s="252" t="s">
        <v>896</v>
      </c>
      <c r="C544" s="251">
        <v>13106979000129</v>
      </c>
      <c r="D544" s="252" t="s">
        <v>13</v>
      </c>
      <c r="E544" s="252" t="s">
        <v>615</v>
      </c>
      <c r="F544" s="252" t="s">
        <v>619</v>
      </c>
      <c r="G544" s="253" t="s">
        <v>34</v>
      </c>
      <c r="H544" s="253" t="s">
        <v>1338</v>
      </c>
      <c r="I544" s="253" t="s">
        <v>34</v>
      </c>
      <c r="J544" s="253" t="s">
        <v>1417</v>
      </c>
      <c r="K544" s="253" t="s">
        <v>48</v>
      </c>
      <c r="L544" s="655"/>
      <c r="M544" s="655" t="s">
        <v>34</v>
      </c>
      <c r="N544" s="253" t="s">
        <v>3129</v>
      </c>
      <c r="O544" s="253" t="s">
        <v>1321</v>
      </c>
      <c r="P544" s="656">
        <v>40635</v>
      </c>
      <c r="Q544" s="657">
        <v>92.495232000000001</v>
      </c>
      <c r="R544" s="657">
        <v>125.3638968508064</v>
      </c>
      <c r="S544" s="253">
        <v>30</v>
      </c>
      <c r="T544" s="658">
        <v>5.216884211963535E-3</v>
      </c>
      <c r="U544" s="659">
        <v>0.26086534103475051</v>
      </c>
      <c r="V544" s="658">
        <v>0.11522217455010586</v>
      </c>
      <c r="W544" s="659">
        <v>0.89358369111380886</v>
      </c>
      <c r="X544" s="658">
        <v>0.10369356282344766</v>
      </c>
      <c r="Y544" s="659">
        <v>0.53702819207926189</v>
      </c>
      <c r="Z544" s="658">
        <v>0.16252380957202961</v>
      </c>
      <c r="AA544" s="659">
        <v>0.73384002177848529</v>
      </c>
      <c r="AB544" s="658">
        <v>7.3664589501575117E-2</v>
      </c>
      <c r="AC544" s="660">
        <v>-0.18627314683385413</v>
      </c>
      <c r="AD544" s="682">
        <v>9720565000118</v>
      </c>
      <c r="AE544" s="944" t="s">
        <v>1841</v>
      </c>
      <c r="AF544" s="661" t="s">
        <v>1729</v>
      </c>
      <c r="AG544" s="662" t="s">
        <v>1433</v>
      </c>
      <c r="AH544" s="662" t="s">
        <v>1734</v>
      </c>
      <c r="AI544" s="662">
        <v>20000</v>
      </c>
      <c r="AJ544" s="662">
        <v>5000</v>
      </c>
      <c r="AK544" s="662">
        <v>5000</v>
      </c>
      <c r="AL544" s="658">
        <v>1.8500000000000003E-2</v>
      </c>
      <c r="AM544" s="658">
        <v>0.2</v>
      </c>
      <c r="AN544" s="659" t="s">
        <v>64</v>
      </c>
      <c r="AO544" s="253" t="s">
        <v>34</v>
      </c>
      <c r="AP544" s="944" t="s">
        <v>1746</v>
      </c>
      <c r="AQ544" s="663" t="s">
        <v>664</v>
      </c>
      <c r="AR544" s="658">
        <v>6.8250000000000003E-3</v>
      </c>
      <c r="AS544" s="658">
        <v>6.8250000000000003E-3</v>
      </c>
      <c r="AT544" s="658" t="s">
        <v>1417</v>
      </c>
      <c r="AU544" s="658" t="s">
        <v>2751</v>
      </c>
      <c r="AX544"/>
      <c r="AY544"/>
      <c r="BA544"/>
      <c r="BB544"/>
      <c r="BC544"/>
      <c r="BD544"/>
      <c r="BE544"/>
      <c r="BF544"/>
      <c r="BG544"/>
      <c r="BH544"/>
      <c r="BI544"/>
      <c r="BJ544"/>
      <c r="BR544"/>
      <c r="BS544"/>
      <c r="BT544"/>
      <c r="BU544"/>
      <c r="BX544"/>
      <c r="BY544"/>
      <c r="CA544"/>
    </row>
    <row r="545" spans="2:79" ht="18.75">
      <c r="B545" s="252" t="s">
        <v>163</v>
      </c>
      <c r="C545" s="251">
        <v>34431415000131</v>
      </c>
      <c r="D545" s="252" t="s">
        <v>11</v>
      </c>
      <c r="E545" s="252" t="s">
        <v>620</v>
      </c>
      <c r="F545" s="252" t="s">
        <v>685</v>
      </c>
      <c r="G545" s="253" t="s">
        <v>738</v>
      </c>
      <c r="H545" s="253" t="s">
        <v>34</v>
      </c>
      <c r="I545" s="253" t="s">
        <v>1319</v>
      </c>
      <c r="J545" s="253" t="s">
        <v>608</v>
      </c>
      <c r="K545" s="253" t="s">
        <v>48</v>
      </c>
      <c r="L545" s="655"/>
      <c r="M545" s="655" t="s">
        <v>34</v>
      </c>
      <c r="N545" s="253" t="s">
        <v>3130</v>
      </c>
      <c r="O545" s="253" t="s">
        <v>1321</v>
      </c>
      <c r="P545" s="656">
        <v>43770</v>
      </c>
      <c r="Q545" s="657">
        <v>215.98288983</v>
      </c>
      <c r="R545" s="657">
        <v>186.94251881032261</v>
      </c>
      <c r="S545" s="253">
        <v>361</v>
      </c>
      <c r="T545" s="658">
        <v>2.0641576783432036E-2</v>
      </c>
      <c r="U545" s="659">
        <v>1.0321624456906051</v>
      </c>
      <c r="V545" s="658">
        <v>0.1540233565435063</v>
      </c>
      <c r="W545" s="659">
        <v>1.1944988887363273</v>
      </c>
      <c r="X545" s="658">
        <v>0.26635755235884551</v>
      </c>
      <c r="Y545" s="659">
        <v>1.3794637863246699</v>
      </c>
      <c r="Z545" s="658">
        <v>0.29474892849334755</v>
      </c>
      <c r="AA545" s="659">
        <v>1.3308730620720597</v>
      </c>
      <c r="AB545" s="658">
        <v>4.4758986471310032E-3</v>
      </c>
      <c r="AC545" s="660">
        <v>5.6032205092028988</v>
      </c>
      <c r="AD545" s="682">
        <v>34431868000168</v>
      </c>
      <c r="AE545" s="944" t="s">
        <v>1993</v>
      </c>
      <c r="AF545" s="661" t="s">
        <v>1729</v>
      </c>
      <c r="AG545" s="662" t="s">
        <v>1433</v>
      </c>
      <c r="AH545" s="662" t="s">
        <v>1730</v>
      </c>
      <c r="AI545" s="662">
        <v>50000</v>
      </c>
      <c r="AJ545" s="662">
        <v>5000</v>
      </c>
      <c r="AK545" s="662">
        <v>50000</v>
      </c>
      <c r="AL545" s="658">
        <v>0.03</v>
      </c>
      <c r="AM545" s="658">
        <v>0.2</v>
      </c>
      <c r="AN545" s="659" t="s">
        <v>64</v>
      </c>
      <c r="AO545" s="253" t="s">
        <v>34</v>
      </c>
      <c r="AP545" s="944" t="s">
        <v>1746</v>
      </c>
      <c r="AQ545" s="663" t="s">
        <v>664</v>
      </c>
      <c r="AR545" s="658">
        <v>2.4166666666666698E-3</v>
      </c>
      <c r="AS545" s="658">
        <v>2.4166666666666698E-3</v>
      </c>
      <c r="AT545" s="658" t="s">
        <v>1417</v>
      </c>
      <c r="AU545" s="658" t="s">
        <v>2751</v>
      </c>
      <c r="AX545"/>
      <c r="AY545"/>
      <c r="BA545"/>
      <c r="BB545"/>
      <c r="BC545"/>
      <c r="BD545"/>
      <c r="BE545"/>
      <c r="BF545"/>
      <c r="BG545"/>
      <c r="BH545"/>
      <c r="BI545"/>
      <c r="BJ545"/>
      <c r="BR545"/>
      <c r="BS545"/>
      <c r="BT545"/>
      <c r="BU545"/>
      <c r="BX545"/>
      <c r="BY545"/>
      <c r="CA545"/>
    </row>
    <row r="546" spans="2:79" ht="18.75">
      <c r="B546" s="252" t="s">
        <v>1537</v>
      </c>
      <c r="C546" s="251">
        <v>28345351000153</v>
      </c>
      <c r="D546" s="252" t="s">
        <v>13</v>
      </c>
      <c r="E546" s="252" t="s">
        <v>615</v>
      </c>
      <c r="F546" s="252" t="s">
        <v>619</v>
      </c>
      <c r="G546" s="253" t="s">
        <v>34</v>
      </c>
      <c r="H546" s="253" t="s">
        <v>1338</v>
      </c>
      <c r="I546" s="253" t="s">
        <v>34</v>
      </c>
      <c r="J546" s="253" t="s">
        <v>1417</v>
      </c>
      <c r="K546" s="253" t="s">
        <v>48</v>
      </c>
      <c r="L546" s="655"/>
      <c r="M546" s="655" t="s">
        <v>34</v>
      </c>
      <c r="N546" s="253" t="s">
        <v>3131</v>
      </c>
      <c r="O546" s="253" t="s">
        <v>1321</v>
      </c>
      <c r="P546" s="656">
        <v>43090</v>
      </c>
      <c r="Q546" s="657">
        <v>0</v>
      </c>
      <c r="R546" s="657">
        <v>10.118976445124382</v>
      </c>
      <c r="S546" s="253">
        <v>30</v>
      </c>
      <c r="T546" s="658"/>
      <c r="U546" s="659"/>
      <c r="V546" s="658">
        <v>8.3179157564573503E-2</v>
      </c>
      <c r="W546" s="659">
        <v>0.64508015866309132</v>
      </c>
      <c r="X546" s="658">
        <v>8.01777170264939E-2</v>
      </c>
      <c r="Y546" s="659">
        <v>0.41523980126994214</v>
      </c>
      <c r="Z546" s="658">
        <v>-2.2383445972423921E-2</v>
      </c>
      <c r="AA546" s="659">
        <v>-0.10106745911958992</v>
      </c>
      <c r="AB546" s="658">
        <v>8.3321079545704044E-2</v>
      </c>
      <c r="AC546" s="660">
        <v>-0.54925778844609841</v>
      </c>
      <c r="AD546" s="682">
        <v>28629342000194</v>
      </c>
      <c r="AE546" s="944" t="s">
        <v>1841</v>
      </c>
      <c r="AF546" s="661" t="s">
        <v>1733</v>
      </c>
      <c r="AG546" s="662" t="s">
        <v>59</v>
      </c>
      <c r="AH546" s="662" t="s">
        <v>1734</v>
      </c>
      <c r="AI546" s="662">
        <v>50000</v>
      </c>
      <c r="AJ546" s="662">
        <v>50000</v>
      </c>
      <c r="AK546" s="662">
        <v>50000</v>
      </c>
      <c r="AL546" s="658">
        <v>1.9E-2</v>
      </c>
      <c r="AM546" s="658">
        <v>0.15</v>
      </c>
      <c r="AN546" s="659" t="s">
        <v>64</v>
      </c>
      <c r="AO546" s="253" t="s">
        <v>34</v>
      </c>
      <c r="AP546" s="944" t="s">
        <v>1746</v>
      </c>
      <c r="AQ546" s="663" t="s">
        <v>668</v>
      </c>
      <c r="AR546" s="658">
        <v>0</v>
      </c>
      <c r="AS546" s="658">
        <v>0</v>
      </c>
      <c r="AT546" s="658" t="s">
        <v>1417</v>
      </c>
      <c r="AU546" s="658" t="s">
        <v>2751</v>
      </c>
      <c r="AX546"/>
      <c r="AY546"/>
      <c r="BA546"/>
      <c r="BB546"/>
      <c r="BC546"/>
      <c r="BD546"/>
      <c r="BE546"/>
      <c r="BF546"/>
      <c r="BG546"/>
      <c r="BH546"/>
      <c r="BI546"/>
      <c r="BJ546"/>
      <c r="BR546"/>
      <c r="BS546"/>
      <c r="BT546"/>
      <c r="BU546"/>
      <c r="BX546"/>
      <c r="BY546"/>
      <c r="CA546"/>
    </row>
    <row r="547" spans="2:79" ht="18.75">
      <c r="B547" s="252" t="s">
        <v>164</v>
      </c>
      <c r="C547" s="251">
        <v>28866524000189</v>
      </c>
      <c r="D547" s="252" t="s">
        <v>13</v>
      </c>
      <c r="E547" s="252" t="s">
        <v>615</v>
      </c>
      <c r="F547" s="252" t="s">
        <v>619</v>
      </c>
      <c r="G547" s="253" t="s">
        <v>34</v>
      </c>
      <c r="H547" s="253" t="s">
        <v>1338</v>
      </c>
      <c r="I547" s="253" t="s">
        <v>34</v>
      </c>
      <c r="J547" s="253" t="s">
        <v>1417</v>
      </c>
      <c r="K547" s="253" t="s">
        <v>48</v>
      </c>
      <c r="L547" s="655"/>
      <c r="M547" s="655" t="s">
        <v>34</v>
      </c>
      <c r="N547" s="253" t="s">
        <v>3132</v>
      </c>
      <c r="O547" s="253" t="s">
        <v>1321</v>
      </c>
      <c r="P547" s="656">
        <v>43090</v>
      </c>
      <c r="Q547" s="657">
        <v>160.00673044000001</v>
      </c>
      <c r="R547" s="657">
        <v>243.56997521305237</v>
      </c>
      <c r="S547" s="253">
        <v>30</v>
      </c>
      <c r="T547" s="658">
        <v>5.5610734491561731E-2</v>
      </c>
      <c r="U547" s="659">
        <v>2.7807619699640775</v>
      </c>
      <c r="V547" s="658">
        <v>0.14635613677757053</v>
      </c>
      <c r="W547" s="659">
        <v>1.1350372220408576</v>
      </c>
      <c r="X547" s="658">
        <v>0.14387223178108299</v>
      </c>
      <c r="Y547" s="659">
        <v>0.74511322033900018</v>
      </c>
      <c r="Z547" s="658">
        <v>3.5888086987534429E-2</v>
      </c>
      <c r="AA547" s="659">
        <v>0.16204465429324327</v>
      </c>
      <c r="AB547" s="658">
        <v>8.4884248635969592E-2</v>
      </c>
      <c r="AC547" s="660">
        <v>0.20512907412840989</v>
      </c>
      <c r="AD547" s="682">
        <v>28629342000194</v>
      </c>
      <c r="AE547" s="944" t="s">
        <v>1841</v>
      </c>
      <c r="AF547" s="661" t="s">
        <v>1729</v>
      </c>
      <c r="AG547" s="662" t="s">
        <v>1433</v>
      </c>
      <c r="AH547" s="662" t="s">
        <v>1734</v>
      </c>
      <c r="AI547" s="662">
        <v>20000</v>
      </c>
      <c r="AJ547" s="662">
        <v>5000</v>
      </c>
      <c r="AK547" s="662">
        <v>5000</v>
      </c>
      <c r="AL547" s="658">
        <v>1.3999999999999999E-2</v>
      </c>
      <c r="AM547" s="658">
        <v>0.15</v>
      </c>
      <c r="AN547" s="659" t="s">
        <v>64</v>
      </c>
      <c r="AO547" s="253" t="s">
        <v>34</v>
      </c>
      <c r="AP547" s="944" t="s">
        <v>1746</v>
      </c>
      <c r="AQ547" s="663" t="s">
        <v>668</v>
      </c>
      <c r="AR547" s="658">
        <v>3.7333333333333298E-3</v>
      </c>
      <c r="AS547" s="658">
        <v>3.7333333333333298E-3</v>
      </c>
      <c r="AT547" s="658" t="s">
        <v>1417</v>
      </c>
      <c r="AU547" s="658" t="s">
        <v>2751</v>
      </c>
      <c r="AX547"/>
      <c r="AY547"/>
      <c r="BA547"/>
      <c r="BB547"/>
      <c r="BC547"/>
      <c r="BD547"/>
      <c r="BE547"/>
      <c r="BF547"/>
      <c r="BG547"/>
      <c r="BH547"/>
      <c r="BI547"/>
      <c r="BJ547"/>
      <c r="BR547"/>
      <c r="BS547"/>
      <c r="BT547"/>
      <c r="BU547"/>
      <c r="BX547"/>
      <c r="BY547"/>
      <c r="CA547"/>
    </row>
    <row r="548" spans="2:79" ht="18.75">
      <c r="B548" s="252" t="s">
        <v>897</v>
      </c>
      <c r="C548" s="251">
        <v>23272391000107</v>
      </c>
      <c r="D548" s="252" t="s">
        <v>11</v>
      </c>
      <c r="E548" s="252" t="s">
        <v>620</v>
      </c>
      <c r="F548" s="252" t="s">
        <v>663</v>
      </c>
      <c r="G548" s="253" t="s">
        <v>738</v>
      </c>
      <c r="H548" s="253" t="s">
        <v>34</v>
      </c>
      <c r="I548" s="253" t="s">
        <v>1304</v>
      </c>
      <c r="J548" s="253" t="s">
        <v>608</v>
      </c>
      <c r="K548" s="253" t="s">
        <v>48</v>
      </c>
      <c r="L548" s="655"/>
      <c r="M548" s="655" t="s">
        <v>34</v>
      </c>
      <c r="N548" s="253" t="s">
        <v>3133</v>
      </c>
      <c r="O548" s="253" t="s">
        <v>1321</v>
      </c>
      <c r="P548" s="656">
        <v>42342</v>
      </c>
      <c r="Q548" s="657">
        <v>844.78601700000002</v>
      </c>
      <c r="R548" s="657">
        <v>654.07713016969672</v>
      </c>
      <c r="S548" s="253">
        <v>90</v>
      </c>
      <c r="T548" s="658">
        <v>-3.9201683429243017E-3</v>
      </c>
      <c r="U548" s="659">
        <v>-0.19602429537259755</v>
      </c>
      <c r="V548" s="658">
        <v>0.46621852816601428</v>
      </c>
      <c r="W548" s="659">
        <v>3.6156692484836594</v>
      </c>
      <c r="X548" s="658">
        <v>0.46621852816601428</v>
      </c>
      <c r="Y548" s="659">
        <v>2.4145422963346546</v>
      </c>
      <c r="Z548" s="658">
        <v>0.46621852816601428</v>
      </c>
      <c r="AA548" s="659">
        <v>2.1051058042744888</v>
      </c>
      <c r="AB548" s="658">
        <v>0.46238826540664046</v>
      </c>
      <c r="AC548" s="660">
        <v>0.72941863786836114</v>
      </c>
      <c r="AD548" s="682">
        <v>0</v>
      </c>
      <c r="AE548" s="944" t="s">
        <v>1847</v>
      </c>
      <c r="AF548" s="661" t="s">
        <v>1729</v>
      </c>
      <c r="AG548" s="662" t="s">
        <v>1433</v>
      </c>
      <c r="AH548" s="662" t="s">
        <v>1730</v>
      </c>
      <c r="AI548" s="662">
        <v>1</v>
      </c>
      <c r="AJ548" s="662">
        <v>1000</v>
      </c>
      <c r="AK548" s="662">
        <v>1000</v>
      </c>
      <c r="AL548" s="658">
        <v>7.4999999999999997E-3</v>
      </c>
      <c r="AM548" s="658">
        <v>0.2</v>
      </c>
      <c r="AN548" s="659" t="s">
        <v>64</v>
      </c>
      <c r="AO548" s="253" t="s">
        <v>34</v>
      </c>
      <c r="AP548" s="944" t="s">
        <v>1746</v>
      </c>
      <c r="AQ548" s="663" t="s">
        <v>668</v>
      </c>
      <c r="AR548" s="658">
        <v>1.75E-3</v>
      </c>
      <c r="AS548" s="658">
        <v>1.75E-3</v>
      </c>
      <c r="AT548" s="658" t="s">
        <v>1417</v>
      </c>
      <c r="AU548" s="658" t="s">
        <v>2751</v>
      </c>
      <c r="AX548"/>
      <c r="AY548"/>
      <c r="BA548"/>
      <c r="BB548"/>
      <c r="BC548"/>
      <c r="BD548"/>
      <c r="BE548"/>
      <c r="BF548"/>
      <c r="BG548"/>
      <c r="BH548"/>
      <c r="BI548"/>
      <c r="BJ548"/>
      <c r="BR548"/>
      <c r="BS548"/>
      <c r="BT548"/>
      <c r="BU548"/>
      <c r="BX548"/>
      <c r="BY548"/>
      <c r="CA548"/>
    </row>
    <row r="549" spans="2:79" ht="18.75">
      <c r="B549" s="252" t="s">
        <v>480</v>
      </c>
      <c r="C549" s="251">
        <v>42847342000191</v>
      </c>
      <c r="D549" s="252" t="s">
        <v>11</v>
      </c>
      <c r="E549" s="252" t="s">
        <v>620</v>
      </c>
      <c r="F549" s="252" t="s">
        <v>663</v>
      </c>
      <c r="G549" s="253" t="s">
        <v>738</v>
      </c>
      <c r="H549" s="253" t="s">
        <v>34</v>
      </c>
      <c r="I549" s="253" t="s">
        <v>1417</v>
      </c>
      <c r="J549" s="253" t="s">
        <v>608</v>
      </c>
      <c r="K549" s="253" t="s">
        <v>48</v>
      </c>
      <c r="L549" s="655"/>
      <c r="M549" s="655" t="s">
        <v>1414</v>
      </c>
      <c r="N549" s="253" t="s">
        <v>3134</v>
      </c>
      <c r="O549" s="253" t="s">
        <v>1321</v>
      </c>
      <c r="P549" s="656">
        <v>44459</v>
      </c>
      <c r="Q549" s="657"/>
      <c r="R549" s="657"/>
      <c r="S549" s="253">
        <v>31</v>
      </c>
      <c r="T549" s="658"/>
      <c r="U549" s="659"/>
      <c r="V549" s="658"/>
      <c r="W549" s="659"/>
      <c r="X549" s="658"/>
      <c r="Y549" s="659"/>
      <c r="Z549" s="658"/>
      <c r="AA549" s="659"/>
      <c r="AB549" s="658"/>
      <c r="AC549" s="660"/>
      <c r="AD549" s="682">
        <v>0</v>
      </c>
      <c r="AE549" s="944" t="s">
        <v>1847</v>
      </c>
      <c r="AF549" s="661" t="s">
        <v>1745</v>
      </c>
      <c r="AG549" s="662" t="s">
        <v>1432</v>
      </c>
      <c r="AH549" s="662" t="s">
        <v>2131</v>
      </c>
      <c r="AI549" s="662">
        <v>1000</v>
      </c>
      <c r="AJ549" s="662">
        <v>0</v>
      </c>
      <c r="AK549" s="662">
        <v>0</v>
      </c>
      <c r="AL549" s="658">
        <v>5.5000000000000005E-3</v>
      </c>
      <c r="AM549" s="658">
        <v>0.15</v>
      </c>
      <c r="AN549" s="659" t="s">
        <v>64</v>
      </c>
      <c r="AO549" s="253" t="s">
        <v>34</v>
      </c>
      <c r="AP549" s="944" t="s">
        <v>1746</v>
      </c>
      <c r="AQ549" s="663" t="s">
        <v>668</v>
      </c>
      <c r="AR549" s="658">
        <v>0</v>
      </c>
      <c r="AS549" s="658">
        <v>0</v>
      </c>
      <c r="AT549" s="658" t="s">
        <v>1417</v>
      </c>
      <c r="AU549" s="658" t="s">
        <v>2751</v>
      </c>
      <c r="AX549"/>
      <c r="AY549"/>
      <c r="BA549"/>
      <c r="BB549"/>
      <c r="BC549"/>
      <c r="BD549"/>
      <c r="BE549"/>
      <c r="BF549"/>
      <c r="BG549"/>
      <c r="BH549"/>
      <c r="BI549"/>
      <c r="BJ549"/>
      <c r="BR549"/>
      <c r="BS549"/>
      <c r="BT549"/>
      <c r="BU549"/>
      <c r="BX549"/>
      <c r="BY549"/>
      <c r="CA549"/>
    </row>
    <row r="550" spans="2:79" ht="18.75">
      <c r="B550" s="252" t="s">
        <v>2640</v>
      </c>
      <c r="C550" s="251">
        <v>27239065000140</v>
      </c>
      <c r="D550" s="252" t="s">
        <v>11</v>
      </c>
      <c r="E550" s="252" t="s">
        <v>620</v>
      </c>
      <c r="F550" s="252" t="s">
        <v>672</v>
      </c>
      <c r="G550" s="253" t="s">
        <v>738</v>
      </c>
      <c r="H550" s="253" t="s">
        <v>34</v>
      </c>
      <c r="I550" s="253" t="s">
        <v>34</v>
      </c>
      <c r="J550" s="253" t="s">
        <v>608</v>
      </c>
      <c r="K550" s="253" t="s">
        <v>48</v>
      </c>
      <c r="L550" s="655"/>
      <c r="M550" s="655" t="s">
        <v>34</v>
      </c>
      <c r="N550" s="253" t="s">
        <v>3135</v>
      </c>
      <c r="O550" s="253" t="s">
        <v>1321</v>
      </c>
      <c r="P550" s="656">
        <v>42877</v>
      </c>
      <c r="Q550" s="657"/>
      <c r="R550" s="657"/>
      <c r="S550" s="253">
        <v>4</v>
      </c>
      <c r="T550" s="658"/>
      <c r="U550" s="659"/>
      <c r="V550" s="658"/>
      <c r="W550" s="659"/>
      <c r="X550" s="658"/>
      <c r="Y550" s="659"/>
      <c r="Z550" s="658"/>
      <c r="AA550" s="659"/>
      <c r="AB550" s="658"/>
      <c r="AC550" s="660"/>
      <c r="AD550" s="682">
        <v>30338838000150</v>
      </c>
      <c r="AE550" s="944" t="s">
        <v>2641</v>
      </c>
      <c r="AF550" s="661" t="s">
        <v>1729</v>
      </c>
      <c r="AG550" s="662" t="s">
        <v>1433</v>
      </c>
      <c r="AH550" s="662" t="s">
        <v>2119</v>
      </c>
      <c r="AI550" s="662">
        <v>0</v>
      </c>
      <c r="AJ550" s="662">
        <v>0</v>
      </c>
      <c r="AK550" s="662">
        <v>0</v>
      </c>
      <c r="AL550" s="658">
        <v>5.0000000000000001E-3</v>
      </c>
      <c r="AM550" s="658">
        <v>0</v>
      </c>
      <c r="AN550" s="659" t="s">
        <v>64</v>
      </c>
      <c r="AO550" s="253" t="s">
        <v>4397</v>
      </c>
      <c r="AP550" s="944" t="s">
        <v>1735</v>
      </c>
      <c r="AQ550" s="663" t="s">
        <v>2190</v>
      </c>
      <c r="AR550" s="658">
        <v>0</v>
      </c>
      <c r="AS550" s="658">
        <v>0</v>
      </c>
      <c r="AT550" s="658" t="s">
        <v>1417</v>
      </c>
      <c r="AU550" s="658" t="s">
        <v>2751</v>
      </c>
      <c r="AX550"/>
      <c r="AY550"/>
      <c r="BA550"/>
      <c r="BB550"/>
      <c r="BC550"/>
      <c r="BD550"/>
      <c r="BE550"/>
      <c r="BF550"/>
      <c r="BG550"/>
      <c r="BH550"/>
      <c r="BI550"/>
      <c r="BJ550"/>
      <c r="BR550"/>
      <c r="BS550"/>
      <c r="BT550"/>
      <c r="BU550"/>
      <c r="BX550"/>
      <c r="BY550"/>
      <c r="CA550"/>
    </row>
    <row r="551" spans="2:79" ht="18.75">
      <c r="B551" s="252" t="s">
        <v>898</v>
      </c>
      <c r="C551" s="251">
        <v>38377094000195</v>
      </c>
      <c r="D551" s="252" t="s">
        <v>11</v>
      </c>
      <c r="E551" s="252" t="s">
        <v>620</v>
      </c>
      <c r="F551" s="252" t="s">
        <v>663</v>
      </c>
      <c r="G551" s="253" t="s">
        <v>738</v>
      </c>
      <c r="H551" s="253" t="s">
        <v>34</v>
      </c>
      <c r="I551" s="253" t="s">
        <v>1417</v>
      </c>
      <c r="J551" s="253" t="s">
        <v>608</v>
      </c>
      <c r="K551" s="253" t="s">
        <v>48</v>
      </c>
      <c r="L551" s="655"/>
      <c r="M551" s="655" t="s">
        <v>34</v>
      </c>
      <c r="N551" s="253" t="s">
        <v>3136</v>
      </c>
      <c r="O551" s="253" t="s">
        <v>1321</v>
      </c>
      <c r="P551" s="656">
        <v>44158</v>
      </c>
      <c r="Q551" s="657">
        <v>79.207413880000004</v>
      </c>
      <c r="R551" s="657">
        <v>100.67998078318546</v>
      </c>
      <c r="S551" s="253">
        <v>90</v>
      </c>
      <c r="T551" s="658">
        <v>-9.4642749863718123E-3</v>
      </c>
      <c r="U551" s="659">
        <v>-0.47325208336132396</v>
      </c>
      <c r="V551" s="658">
        <v>0.11054315110584634</v>
      </c>
      <c r="W551" s="659">
        <v>0.85729641345692631</v>
      </c>
      <c r="X551" s="658">
        <v>0.17484548177869108</v>
      </c>
      <c r="Y551" s="659">
        <v>0.90552345214244667</v>
      </c>
      <c r="Z551" s="658"/>
      <c r="AA551" s="659"/>
      <c r="AB551" s="658">
        <v>1.2879478071311352E-2</v>
      </c>
      <c r="AC551" s="660">
        <v>-1.4286881998680634</v>
      </c>
      <c r="AD551" s="682">
        <v>0</v>
      </c>
      <c r="AE551" s="944" t="s">
        <v>1847</v>
      </c>
      <c r="AF551" s="661" t="s">
        <v>1729</v>
      </c>
      <c r="AG551" s="662" t="s">
        <v>1433</v>
      </c>
      <c r="AH551" s="662" t="s">
        <v>1801</v>
      </c>
      <c r="AI551" s="662">
        <v>1000000</v>
      </c>
      <c r="AJ551" s="662">
        <v>0</v>
      </c>
      <c r="AK551" s="662">
        <v>1000000</v>
      </c>
      <c r="AL551" s="658">
        <v>6.5000000000000006E-3</v>
      </c>
      <c r="AM551" s="658">
        <v>0</v>
      </c>
      <c r="AN551" s="659" t="s">
        <v>64</v>
      </c>
      <c r="AO551" s="253" t="s">
        <v>34</v>
      </c>
      <c r="AP551" s="944" t="s">
        <v>1735</v>
      </c>
      <c r="AQ551" s="663" t="s">
        <v>675</v>
      </c>
      <c r="AR551" s="658">
        <v>1.5166666666666701E-3</v>
      </c>
      <c r="AS551" s="658">
        <v>1.5166666666666701E-3</v>
      </c>
      <c r="AT551" s="658" t="s">
        <v>1417</v>
      </c>
      <c r="AU551" s="658" t="s">
        <v>2751</v>
      </c>
      <c r="AX551"/>
      <c r="AY551"/>
      <c r="BA551"/>
      <c r="BB551"/>
      <c r="BC551"/>
      <c r="BD551"/>
      <c r="BE551"/>
      <c r="BF551"/>
      <c r="BG551"/>
      <c r="BH551"/>
      <c r="BI551"/>
      <c r="BJ551"/>
      <c r="BR551"/>
      <c r="BS551"/>
      <c r="BT551"/>
      <c r="BU551"/>
      <c r="BX551"/>
      <c r="BY551"/>
      <c r="CA551"/>
    </row>
    <row r="552" spans="2:79" ht="18.75">
      <c r="B552" s="252" t="s">
        <v>899</v>
      </c>
      <c r="C552" s="251">
        <v>26605199000175</v>
      </c>
      <c r="D552" s="252" t="s">
        <v>11</v>
      </c>
      <c r="E552" s="252" t="s">
        <v>620</v>
      </c>
      <c r="F552" s="252" t="s">
        <v>663</v>
      </c>
      <c r="G552" s="253" t="s">
        <v>738</v>
      </c>
      <c r="H552" s="253" t="s">
        <v>34</v>
      </c>
      <c r="I552" s="253" t="s">
        <v>1417</v>
      </c>
      <c r="J552" s="253" t="s">
        <v>608</v>
      </c>
      <c r="K552" s="253" t="s">
        <v>48</v>
      </c>
      <c r="L552" s="655"/>
      <c r="M552" s="655" t="s">
        <v>34</v>
      </c>
      <c r="N552" s="253" t="s">
        <v>3137</v>
      </c>
      <c r="O552" s="253" t="s">
        <v>1321</v>
      </c>
      <c r="P552" s="656">
        <v>43425</v>
      </c>
      <c r="Q552" s="657">
        <v>60.419612299999997</v>
      </c>
      <c r="R552" s="657">
        <v>67.547361995943831</v>
      </c>
      <c r="S552" s="253">
        <v>90</v>
      </c>
      <c r="T552" s="658">
        <v>1.0841317813869988E-3</v>
      </c>
      <c r="U552" s="659">
        <v>5.421098023022556E-2</v>
      </c>
      <c r="V552" s="658">
        <v>7.0151477227567316E-2</v>
      </c>
      <c r="W552" s="659">
        <v>0.54404645809592833</v>
      </c>
      <c r="X552" s="658">
        <v>0.15245063829880001</v>
      </c>
      <c r="Y552" s="659">
        <v>0.78954072401128028</v>
      </c>
      <c r="Z552" s="658">
        <v>0.24284153200478431</v>
      </c>
      <c r="AA552" s="659">
        <v>1.0964967877899232</v>
      </c>
      <c r="AB552" s="658">
        <v>5.8317513405943683E-2</v>
      </c>
      <c r="AC552" s="660">
        <v>-1.0081436739247005</v>
      </c>
      <c r="AD552" s="682">
        <v>27923072000167</v>
      </c>
      <c r="AE552" s="944" t="s">
        <v>1847</v>
      </c>
      <c r="AF552" s="661" t="s">
        <v>1729</v>
      </c>
      <c r="AG552" s="662" t="s">
        <v>1433</v>
      </c>
      <c r="AH552" s="662" t="s">
        <v>1734</v>
      </c>
      <c r="AI552" s="662">
        <v>1000</v>
      </c>
      <c r="AJ552" s="662">
        <v>1000</v>
      </c>
      <c r="AK552" s="662">
        <v>1000</v>
      </c>
      <c r="AL552" s="658">
        <v>1.2500000000000001E-2</v>
      </c>
      <c r="AM552" s="658">
        <v>0</v>
      </c>
      <c r="AN552" s="659" t="s">
        <v>2127</v>
      </c>
      <c r="AO552" s="253" t="s">
        <v>34</v>
      </c>
      <c r="AP552" s="944" t="s">
        <v>1735</v>
      </c>
      <c r="AQ552" s="663" t="s">
        <v>2200</v>
      </c>
      <c r="AR552" s="658">
        <v>2.0999999999999999E-3</v>
      </c>
      <c r="AS552" s="658">
        <v>2.0999999999999999E-3</v>
      </c>
      <c r="AT552" s="658" t="s">
        <v>1417</v>
      </c>
      <c r="AU552" s="658" t="s">
        <v>2751</v>
      </c>
      <c r="AX552"/>
      <c r="AY552"/>
      <c r="BA552"/>
      <c r="BB552"/>
      <c r="BC552"/>
      <c r="BD552"/>
      <c r="BE552"/>
      <c r="BF552"/>
      <c r="BG552"/>
      <c r="BH552"/>
      <c r="BI552"/>
      <c r="BJ552"/>
      <c r="BR552"/>
      <c r="BS552"/>
      <c r="BT552"/>
      <c r="BU552"/>
      <c r="BX552"/>
      <c r="BY552"/>
      <c r="CA552"/>
    </row>
    <row r="553" spans="2:79" ht="18.75">
      <c r="B553" s="252" t="s">
        <v>2736</v>
      </c>
      <c r="C553" s="251">
        <v>34270943000156</v>
      </c>
      <c r="D553" s="252" t="s">
        <v>11</v>
      </c>
      <c r="E553" s="252" t="s">
        <v>620</v>
      </c>
      <c r="F553" s="252" t="s">
        <v>663</v>
      </c>
      <c r="G553" s="253" t="s">
        <v>738</v>
      </c>
      <c r="H553" s="253" t="s">
        <v>34</v>
      </c>
      <c r="I553" s="253" t="s">
        <v>34</v>
      </c>
      <c r="J553" s="253" t="s">
        <v>608</v>
      </c>
      <c r="K553" s="253" t="s">
        <v>48</v>
      </c>
      <c r="L553" s="655"/>
      <c r="M553" s="655" t="s">
        <v>34</v>
      </c>
      <c r="N553" s="253" t="s">
        <v>3139</v>
      </c>
      <c r="O553" s="253" t="s">
        <v>1321</v>
      </c>
      <c r="P553" s="656">
        <v>44586</v>
      </c>
      <c r="Q553" s="657"/>
      <c r="R553" s="657"/>
      <c r="S553" s="253">
        <v>6</v>
      </c>
      <c r="T553" s="658"/>
      <c r="U553" s="659"/>
      <c r="V553" s="658"/>
      <c r="W553" s="659"/>
      <c r="X553" s="658"/>
      <c r="Y553" s="659"/>
      <c r="Z553" s="658"/>
      <c r="AA553" s="659"/>
      <c r="AB553" s="658"/>
      <c r="AC553" s="660"/>
      <c r="AD553" s="682">
        <v>0</v>
      </c>
      <c r="AE553" s="944" t="s">
        <v>2641</v>
      </c>
      <c r="AF553" s="661" t="s">
        <v>1745</v>
      </c>
      <c r="AG553" s="662" t="s">
        <v>1432</v>
      </c>
      <c r="AH553" s="662" t="s">
        <v>2119</v>
      </c>
      <c r="AI553" s="662">
        <v>0</v>
      </c>
      <c r="AJ553" s="662">
        <v>0</v>
      </c>
      <c r="AK553" s="662">
        <v>0</v>
      </c>
      <c r="AL553" s="658">
        <v>1.2500000000000001E-2</v>
      </c>
      <c r="AM553" s="658">
        <v>0</v>
      </c>
      <c r="AN553" s="659" t="s">
        <v>2127</v>
      </c>
      <c r="AO553" s="253" t="s">
        <v>4400</v>
      </c>
      <c r="AP553" s="944" t="s">
        <v>1735</v>
      </c>
      <c r="AQ553" s="663" t="s">
        <v>2190</v>
      </c>
      <c r="AR553" s="658">
        <v>0</v>
      </c>
      <c r="AS553" s="658">
        <v>0</v>
      </c>
      <c r="AT553" s="658" t="s">
        <v>1417</v>
      </c>
      <c r="AU553" s="658" t="s">
        <v>2751</v>
      </c>
      <c r="AX553"/>
      <c r="AY553"/>
      <c r="BA553"/>
      <c r="BB553"/>
      <c r="BC553"/>
      <c r="BD553"/>
      <c r="BE553"/>
      <c r="BF553"/>
      <c r="BG553"/>
      <c r="BH553"/>
      <c r="BI553"/>
      <c r="BJ553"/>
      <c r="BR553"/>
      <c r="BS553"/>
      <c r="BT553"/>
      <c r="BU553"/>
      <c r="BX553"/>
      <c r="BY553"/>
      <c r="CA553"/>
    </row>
    <row r="554" spans="2:79" ht="18.75">
      <c r="B554" s="252" t="s">
        <v>900</v>
      </c>
      <c r="C554" s="251">
        <v>31120037000187</v>
      </c>
      <c r="D554" s="252" t="s">
        <v>14</v>
      </c>
      <c r="E554" s="252" t="s">
        <v>15</v>
      </c>
      <c r="F554" s="252" t="s">
        <v>16</v>
      </c>
      <c r="G554" s="253" t="s">
        <v>1417</v>
      </c>
      <c r="H554" s="253" t="s">
        <v>34</v>
      </c>
      <c r="I554" s="253" t="s">
        <v>34</v>
      </c>
      <c r="J554" s="253" t="s">
        <v>690</v>
      </c>
      <c r="K554" s="253" t="s">
        <v>48</v>
      </c>
      <c r="L554" s="655"/>
      <c r="M554" s="655" t="s">
        <v>1414</v>
      </c>
      <c r="N554" s="253" t="s">
        <v>3140</v>
      </c>
      <c r="O554" s="253" t="s">
        <v>1321</v>
      </c>
      <c r="P554" s="656">
        <v>43441</v>
      </c>
      <c r="Q554" s="657">
        <v>11.472970480000001</v>
      </c>
      <c r="R554" s="657">
        <v>18.001476434435478</v>
      </c>
      <c r="S554" s="253">
        <v>90</v>
      </c>
      <c r="T554" s="658">
        <v>1.106470303410001E-2</v>
      </c>
      <c r="U554" s="659">
        <v>0.55327996811191504</v>
      </c>
      <c r="V554" s="658">
        <v>9.4170183661907325E-2</v>
      </c>
      <c r="W554" s="659">
        <v>0.73031897408670399</v>
      </c>
      <c r="X554" s="658">
        <v>7.128281532050651E-2</v>
      </c>
      <c r="Y554" s="659">
        <v>0.36917317136715522</v>
      </c>
      <c r="Z554" s="658">
        <v>6.6334939197236542E-2</v>
      </c>
      <c r="AA554" s="659">
        <v>0.29952062625999548</v>
      </c>
      <c r="AB554" s="658">
        <v>4.2522547285887891E-2</v>
      </c>
      <c r="AC554" s="660">
        <v>-0.81777146489108632</v>
      </c>
      <c r="AD554" s="682">
        <v>37121949000150</v>
      </c>
      <c r="AE554" s="944" t="s">
        <v>1847</v>
      </c>
      <c r="AF554" s="661" t="s">
        <v>1729</v>
      </c>
      <c r="AG554" s="662" t="s">
        <v>1433</v>
      </c>
      <c r="AH554" s="662" t="s">
        <v>1730</v>
      </c>
      <c r="AI554" s="662">
        <v>5000</v>
      </c>
      <c r="AJ554" s="662">
        <v>5000</v>
      </c>
      <c r="AK554" s="662">
        <v>5000</v>
      </c>
      <c r="AL554" s="658">
        <v>0.01</v>
      </c>
      <c r="AM554" s="658">
        <v>0.15</v>
      </c>
      <c r="AN554" s="659" t="s">
        <v>2122</v>
      </c>
      <c r="AO554" s="253" t="s">
        <v>34</v>
      </c>
      <c r="AP554" s="944" t="s">
        <v>1746</v>
      </c>
      <c r="AQ554" s="663" t="s">
        <v>671</v>
      </c>
      <c r="AR554" s="658">
        <v>2.5000000000000001E-3</v>
      </c>
      <c r="AS554" s="658">
        <v>2.5000000000000001E-3</v>
      </c>
      <c r="AT554" s="658" t="s">
        <v>1417</v>
      </c>
      <c r="AU554" s="658" t="s">
        <v>2751</v>
      </c>
      <c r="AX554"/>
      <c r="AY554"/>
      <c r="BA554"/>
      <c r="BB554"/>
      <c r="BC554"/>
      <c r="BD554"/>
      <c r="BE554"/>
      <c r="BF554"/>
      <c r="BG554"/>
      <c r="BH554"/>
      <c r="BI554"/>
      <c r="BJ554"/>
      <c r="BR554"/>
      <c r="BS554"/>
      <c r="BT554"/>
      <c r="BU554"/>
      <c r="BX554"/>
      <c r="BY554"/>
      <c r="CA554"/>
    </row>
    <row r="555" spans="2:79" ht="18.75">
      <c r="B555" s="252" t="s">
        <v>549</v>
      </c>
      <c r="C555" s="251">
        <v>21732670000172</v>
      </c>
      <c r="D555" s="252" t="s">
        <v>14</v>
      </c>
      <c r="E555" s="252" t="s">
        <v>15</v>
      </c>
      <c r="F555" s="252" t="s">
        <v>16</v>
      </c>
      <c r="G555" s="253" t="s">
        <v>1417</v>
      </c>
      <c r="H555" s="253" t="s">
        <v>34</v>
      </c>
      <c r="I555" s="253" t="s">
        <v>34</v>
      </c>
      <c r="J555" s="253" t="s">
        <v>608</v>
      </c>
      <c r="K555" s="253" t="s">
        <v>48</v>
      </c>
      <c r="L555" s="655"/>
      <c r="M555" s="655" t="s">
        <v>1414</v>
      </c>
      <c r="N555" s="253" t="s">
        <v>3141</v>
      </c>
      <c r="O555" s="253" t="s">
        <v>1321</v>
      </c>
      <c r="P555" s="656">
        <v>42204</v>
      </c>
      <c r="Q555" s="657">
        <v>327.83234599999997</v>
      </c>
      <c r="R555" s="657">
        <v>319.94069897580647</v>
      </c>
      <c r="S555" s="253">
        <v>180</v>
      </c>
      <c r="T555" s="658">
        <v>4.6767102112188486E-3</v>
      </c>
      <c r="U555" s="659">
        <v>0.23385445307997813</v>
      </c>
      <c r="V555" s="658">
        <v>8.3810746605407882E-2</v>
      </c>
      <c r="W555" s="659">
        <v>0.64997832751452522</v>
      </c>
      <c r="X555" s="658">
        <v>7.1699274379646294E-2</v>
      </c>
      <c r="Y555" s="659">
        <v>0.37133000974279928</v>
      </c>
      <c r="Z555" s="658">
        <v>5.5742453063822639E-2</v>
      </c>
      <c r="AA555" s="659">
        <v>0.25169261708828256</v>
      </c>
      <c r="AB555" s="658">
        <v>6.1346962836036543E-2</v>
      </c>
      <c r="AC555" s="660">
        <v>-0.73570329735815809</v>
      </c>
      <c r="AD555" s="682">
        <v>18447898000106</v>
      </c>
      <c r="AE555" s="944" t="s">
        <v>1847</v>
      </c>
      <c r="AF555" s="661" t="s">
        <v>1729</v>
      </c>
      <c r="AG555" s="662" t="s">
        <v>1433</v>
      </c>
      <c r="AH555" s="662" t="s">
        <v>1730</v>
      </c>
      <c r="AI555" s="662">
        <v>25000</v>
      </c>
      <c r="AJ555" s="662">
        <v>5000</v>
      </c>
      <c r="AK555" s="662">
        <v>5000</v>
      </c>
      <c r="AL555" s="658">
        <v>5.5000000000000005E-3</v>
      </c>
      <c r="AM555" s="658">
        <v>0.2</v>
      </c>
      <c r="AN555" s="659" t="s">
        <v>2122</v>
      </c>
      <c r="AO555" s="253" t="s">
        <v>34</v>
      </c>
      <c r="AP555" s="944" t="s">
        <v>1746</v>
      </c>
      <c r="AQ555" s="663" t="s">
        <v>671</v>
      </c>
      <c r="AR555" s="658">
        <v>1.2833333333333299E-3</v>
      </c>
      <c r="AS555" s="658">
        <v>1.2833333333333299E-3</v>
      </c>
      <c r="AT555" s="658" t="s">
        <v>1417</v>
      </c>
      <c r="AU555" s="658" t="s">
        <v>2751</v>
      </c>
      <c r="AX555"/>
      <c r="AY555"/>
      <c r="BA555"/>
      <c r="BB555"/>
      <c r="BC555"/>
      <c r="BD555"/>
      <c r="BE555"/>
      <c r="BF555"/>
      <c r="BG555"/>
      <c r="BH555"/>
      <c r="BI555"/>
      <c r="BJ555"/>
      <c r="BR555"/>
      <c r="BS555"/>
      <c r="BT555"/>
      <c r="BU555"/>
      <c r="BX555"/>
      <c r="BY555"/>
      <c r="CA555"/>
    </row>
    <row r="556" spans="2:79" ht="18.75">
      <c r="B556" s="252" t="s">
        <v>36</v>
      </c>
      <c r="C556" s="251">
        <v>23957096000186</v>
      </c>
      <c r="D556" s="252" t="s">
        <v>11</v>
      </c>
      <c r="E556" s="252" t="s">
        <v>620</v>
      </c>
      <c r="F556" s="252" t="s">
        <v>685</v>
      </c>
      <c r="G556" s="253" t="s">
        <v>738</v>
      </c>
      <c r="H556" s="253" t="s">
        <v>34</v>
      </c>
      <c r="I556" s="253" t="s">
        <v>1319</v>
      </c>
      <c r="J556" s="253" t="s">
        <v>608</v>
      </c>
      <c r="K556" s="253" t="s">
        <v>48</v>
      </c>
      <c r="L556" s="655"/>
      <c r="M556" s="655" t="s">
        <v>34</v>
      </c>
      <c r="N556" s="253" t="s">
        <v>3144</v>
      </c>
      <c r="O556" s="253" t="s">
        <v>1324</v>
      </c>
      <c r="P556" s="656">
        <v>42641</v>
      </c>
      <c r="Q556" s="657">
        <v>243.91041200000001</v>
      </c>
      <c r="R556" s="657">
        <v>286.06241972244891</v>
      </c>
      <c r="S556" s="253">
        <v>180</v>
      </c>
      <c r="T556" s="658">
        <v>6.6649774062816913E-3</v>
      </c>
      <c r="U556" s="659">
        <v>0.3332758660986615</v>
      </c>
      <c r="V556" s="658">
        <v>8.1143770620325739E-2</v>
      </c>
      <c r="W556" s="659">
        <v>0.629295101788515</v>
      </c>
      <c r="X556" s="658">
        <v>0.16173186804848338</v>
      </c>
      <c r="Y556" s="659">
        <v>0.83760814398440953</v>
      </c>
      <c r="Z556" s="658">
        <v>0.22622612050522317</v>
      </c>
      <c r="AA556" s="659">
        <v>1.0214736021483601</v>
      </c>
      <c r="AB556" s="658">
        <v>1.2241790763835832E-2</v>
      </c>
      <c r="AC556" s="660">
        <v>-3.9046688306151833</v>
      </c>
      <c r="AD556" s="682">
        <v>0</v>
      </c>
      <c r="AE556" s="944" t="s">
        <v>1935</v>
      </c>
      <c r="AF556" s="661" t="s">
        <v>1783</v>
      </c>
      <c r="AG556" s="662" t="s">
        <v>736</v>
      </c>
      <c r="AH556" s="662" t="s">
        <v>1730</v>
      </c>
      <c r="AI556" s="662">
        <v>5000</v>
      </c>
      <c r="AJ556" s="662">
        <v>5000</v>
      </c>
      <c r="AK556" s="662">
        <v>5000</v>
      </c>
      <c r="AL556" s="658">
        <v>0.02</v>
      </c>
      <c r="AM556" s="658">
        <v>0.2</v>
      </c>
      <c r="AN556" s="659" t="s">
        <v>2122</v>
      </c>
      <c r="AO556" s="253" t="s">
        <v>34</v>
      </c>
      <c r="AP556" s="944" t="s">
        <v>1746</v>
      </c>
      <c r="AQ556" s="663" t="s">
        <v>686</v>
      </c>
      <c r="AR556" s="658">
        <v>3.3333333333333301E-3</v>
      </c>
      <c r="AS556" s="658">
        <v>3.3333333333333301E-3</v>
      </c>
      <c r="AT556" s="658" t="s">
        <v>1417</v>
      </c>
      <c r="AU556" s="658" t="s">
        <v>2751</v>
      </c>
      <c r="AX556"/>
      <c r="AY556"/>
      <c r="BA556"/>
      <c r="BB556"/>
      <c r="BC556"/>
      <c r="BD556"/>
      <c r="BE556"/>
      <c r="BF556"/>
      <c r="BG556"/>
      <c r="BH556"/>
      <c r="BI556"/>
      <c r="BJ556"/>
      <c r="BR556"/>
      <c r="BS556"/>
      <c r="BT556"/>
      <c r="BU556"/>
      <c r="BX556"/>
      <c r="BY556"/>
      <c r="CA556"/>
    </row>
    <row r="557" spans="2:79" ht="18.75">
      <c r="B557" s="252" t="s">
        <v>1538</v>
      </c>
      <c r="C557" s="251">
        <v>41681839000110</v>
      </c>
      <c r="D557" s="252" t="s">
        <v>14</v>
      </c>
      <c r="E557" s="252" t="s">
        <v>1417</v>
      </c>
      <c r="F557" s="252" t="s">
        <v>1417</v>
      </c>
      <c r="G557" s="253" t="s">
        <v>1417</v>
      </c>
      <c r="H557" s="253" t="s">
        <v>34</v>
      </c>
      <c r="I557" s="253" t="s">
        <v>1417</v>
      </c>
      <c r="J557" s="253" t="s">
        <v>1417</v>
      </c>
      <c r="K557" s="253" t="s">
        <v>1417</v>
      </c>
      <c r="L557" s="655"/>
      <c r="M557" s="655" t="s">
        <v>34</v>
      </c>
      <c r="N557" s="253" t="s">
        <v>3145</v>
      </c>
      <c r="O557" s="253" t="s">
        <v>1321</v>
      </c>
      <c r="P557" s="656">
        <v>44321</v>
      </c>
      <c r="Q557" s="657">
        <v>91.021198200000001</v>
      </c>
      <c r="R557" s="657">
        <v>43.358285827239591</v>
      </c>
      <c r="S557" s="253">
        <v>32</v>
      </c>
      <c r="T557" s="658"/>
      <c r="U557" s="659"/>
      <c r="V557" s="658">
        <v>-0.10123985107532418</v>
      </c>
      <c r="W557" s="659">
        <v>-0.78514643700254116</v>
      </c>
      <c r="X557" s="658"/>
      <c r="Y557" s="659"/>
      <c r="Z557" s="658"/>
      <c r="AA557" s="659"/>
      <c r="AB557" s="658">
        <v>0.22161394660613715</v>
      </c>
      <c r="AC557" s="660">
        <v>-1.0386700117353447</v>
      </c>
      <c r="AD557" s="682">
        <v>0</v>
      </c>
      <c r="AE557" s="944" t="s">
        <v>1894</v>
      </c>
      <c r="AF557" s="661" t="s">
        <v>1745</v>
      </c>
      <c r="AG557" s="662" t="s">
        <v>1432</v>
      </c>
      <c r="AH557" s="662" t="s">
        <v>1801</v>
      </c>
      <c r="AI557" s="662">
        <v>0</v>
      </c>
      <c r="AJ557" s="662">
        <v>0</v>
      </c>
      <c r="AK557" s="662">
        <v>0</v>
      </c>
      <c r="AL557" s="658">
        <v>0.01</v>
      </c>
      <c r="AM557" s="658">
        <v>0.1</v>
      </c>
      <c r="AN557" s="659" t="s">
        <v>34</v>
      </c>
      <c r="AO557" s="253" t="s">
        <v>34</v>
      </c>
      <c r="AP557" s="944" t="s">
        <v>1731</v>
      </c>
      <c r="AQ557" s="663" t="s">
        <v>659</v>
      </c>
      <c r="AR557" s="658">
        <v>0</v>
      </c>
      <c r="AS557" s="658">
        <v>0</v>
      </c>
      <c r="AT557" s="658" t="s">
        <v>1417</v>
      </c>
      <c r="AU557" s="658" t="s">
        <v>2751</v>
      </c>
      <c r="AX557"/>
      <c r="AY557"/>
      <c r="BA557"/>
      <c r="BB557"/>
      <c r="BC557"/>
      <c r="BD557"/>
      <c r="BE557"/>
      <c r="BF557"/>
      <c r="BG557"/>
      <c r="BH557"/>
      <c r="BI557"/>
      <c r="BJ557"/>
      <c r="BR557"/>
      <c r="BS557"/>
      <c r="BT557"/>
      <c r="BU557"/>
      <c r="BX557"/>
      <c r="BY557"/>
      <c r="CA557"/>
    </row>
    <row r="558" spans="2:79" ht="18.75">
      <c r="B558" s="252" t="s">
        <v>166</v>
      </c>
      <c r="C558" s="251">
        <v>19773986000160</v>
      </c>
      <c r="D558" s="252" t="s">
        <v>14</v>
      </c>
      <c r="E558" s="252" t="s">
        <v>607</v>
      </c>
      <c r="F558" s="252" t="s">
        <v>1417</v>
      </c>
      <c r="G558" s="253" t="s">
        <v>1417</v>
      </c>
      <c r="H558" s="253" t="s">
        <v>34</v>
      </c>
      <c r="I558" s="253" t="s">
        <v>34</v>
      </c>
      <c r="J558" s="253" t="s">
        <v>608</v>
      </c>
      <c r="K558" s="253" t="s">
        <v>48</v>
      </c>
      <c r="L558" s="655"/>
      <c r="M558" s="655" t="s">
        <v>34</v>
      </c>
      <c r="N558" s="253" t="s">
        <v>3146</v>
      </c>
      <c r="O558" s="253" t="s">
        <v>1321</v>
      </c>
      <c r="P558" s="656">
        <v>41760</v>
      </c>
      <c r="Q558" s="657">
        <v>49.647824999999997</v>
      </c>
      <c r="R558" s="657">
        <v>65.997035089430895</v>
      </c>
      <c r="S558" s="253">
        <v>32</v>
      </c>
      <c r="T558" s="658">
        <v>-1.7903543475036199E-2</v>
      </c>
      <c r="U558" s="659">
        <v>-0.89524969015709599</v>
      </c>
      <c r="V558" s="658">
        <v>-0.13401751424073993</v>
      </c>
      <c r="W558" s="659">
        <v>-1.0393473783734262</v>
      </c>
      <c r="X558" s="658">
        <v>-0.26289013029111929</v>
      </c>
      <c r="Y558" s="659">
        <v>-1.3615060331767987</v>
      </c>
      <c r="Z558" s="658">
        <v>-0.23140610026949771</v>
      </c>
      <c r="AA558" s="659">
        <v>-1.0448626457170356</v>
      </c>
      <c r="AB558" s="658">
        <v>0.23903981313380843</v>
      </c>
      <c r="AC558" s="660">
        <v>-1.1000737502264075</v>
      </c>
      <c r="AD558" s="682">
        <v>0</v>
      </c>
      <c r="AE558" s="944" t="s">
        <v>1891</v>
      </c>
      <c r="AF558" s="661" t="s">
        <v>1729</v>
      </c>
      <c r="AG558" s="662" t="s">
        <v>1432</v>
      </c>
      <c r="AH558" s="662" t="s">
        <v>1734</v>
      </c>
      <c r="AI558" s="662">
        <v>100000</v>
      </c>
      <c r="AJ558" s="662">
        <v>10000</v>
      </c>
      <c r="AK558" s="662">
        <v>10000</v>
      </c>
      <c r="AL558" s="658">
        <v>2.5000000000000001E-2</v>
      </c>
      <c r="AM558" s="658">
        <v>0.2</v>
      </c>
      <c r="AN558" s="659" t="s">
        <v>2127</v>
      </c>
      <c r="AO558" s="253" t="s">
        <v>34</v>
      </c>
      <c r="AP558" s="944" t="s">
        <v>1731</v>
      </c>
      <c r="AQ558" s="663" t="s">
        <v>659</v>
      </c>
      <c r="AR558" s="658">
        <v>4.0000000000000001E-3</v>
      </c>
      <c r="AS558" s="658">
        <v>4.0000000000000001E-3</v>
      </c>
      <c r="AT558" s="658" t="s">
        <v>1417</v>
      </c>
      <c r="AU558" s="658" t="s">
        <v>2751</v>
      </c>
      <c r="AX558"/>
      <c r="AY558"/>
      <c r="BA558"/>
      <c r="BB558"/>
      <c r="BC558"/>
      <c r="BD558"/>
      <c r="BE558"/>
      <c r="BF558"/>
      <c r="BG558"/>
      <c r="BH558"/>
      <c r="BI558"/>
      <c r="BJ558"/>
      <c r="BR558"/>
      <c r="BS558"/>
      <c r="BT558"/>
      <c r="BU558"/>
      <c r="BX558"/>
      <c r="BY558"/>
      <c r="CA558"/>
    </row>
    <row r="559" spans="2:79" ht="18.75">
      <c r="B559" s="252" t="s">
        <v>1539</v>
      </c>
      <c r="C559" s="251">
        <v>19729259000104</v>
      </c>
      <c r="D559" s="252" t="s">
        <v>13</v>
      </c>
      <c r="E559" s="252" t="s">
        <v>1417</v>
      </c>
      <c r="F559" s="252" t="s">
        <v>1417</v>
      </c>
      <c r="G559" s="253" t="s">
        <v>1417</v>
      </c>
      <c r="H559" s="253" t="s">
        <v>1338</v>
      </c>
      <c r="I559" s="253" t="s">
        <v>1417</v>
      </c>
      <c r="J559" s="253" t="s">
        <v>1417</v>
      </c>
      <c r="K559" s="253" t="s">
        <v>1417</v>
      </c>
      <c r="L559" s="655"/>
      <c r="M559" s="655" t="s">
        <v>34</v>
      </c>
      <c r="N559" s="253" t="s">
        <v>3147</v>
      </c>
      <c r="O559" s="253" t="s">
        <v>1324</v>
      </c>
      <c r="P559" s="656">
        <v>41781</v>
      </c>
      <c r="Q559" s="657">
        <v>205.25875350000001</v>
      </c>
      <c r="R559" s="657">
        <v>201.48471304270842</v>
      </c>
      <c r="S559" s="253">
        <v>182</v>
      </c>
      <c r="T559" s="658"/>
      <c r="U559" s="659"/>
      <c r="V559" s="658">
        <v>5.7978658909980885E-2</v>
      </c>
      <c r="W559" s="659">
        <v>0.44964247756042408</v>
      </c>
      <c r="X559" s="658">
        <v>0.11548270311123376</v>
      </c>
      <c r="Y559" s="659">
        <v>0.59808406211140763</v>
      </c>
      <c r="Z559" s="658">
        <v>0.15924855811781846</v>
      </c>
      <c r="AA559" s="659">
        <v>0.71905135416838284</v>
      </c>
      <c r="AB559" s="658">
        <v>4.5058489663818306E-2</v>
      </c>
      <c r="AC559" s="660">
        <v>-1.5749584832132564</v>
      </c>
      <c r="AD559" s="682">
        <v>0</v>
      </c>
      <c r="AE559" s="944" t="s">
        <v>1894</v>
      </c>
      <c r="AF559" s="661" t="s">
        <v>1745</v>
      </c>
      <c r="AG559" s="662" t="s">
        <v>1432</v>
      </c>
      <c r="AH559" s="662" t="s">
        <v>1801</v>
      </c>
      <c r="AI559" s="662">
        <v>1000000</v>
      </c>
      <c r="AJ559" s="662">
        <v>0</v>
      </c>
      <c r="AK559" s="662">
        <v>1000000</v>
      </c>
      <c r="AL559" s="658">
        <v>3.0000000000000001E-3</v>
      </c>
      <c r="AM559" s="658">
        <v>0.1</v>
      </c>
      <c r="AN559" s="659" t="s">
        <v>64</v>
      </c>
      <c r="AO559" s="253" t="s">
        <v>34</v>
      </c>
      <c r="AP559" s="944" t="s">
        <v>1746</v>
      </c>
      <c r="AQ559" s="663" t="s">
        <v>679</v>
      </c>
      <c r="AR559" s="658">
        <v>0</v>
      </c>
      <c r="AS559" s="658">
        <v>0</v>
      </c>
      <c r="AT559" s="658" t="s">
        <v>1417</v>
      </c>
      <c r="AU559" s="658" t="s">
        <v>2751</v>
      </c>
      <c r="AX559"/>
      <c r="AY559"/>
      <c r="BA559"/>
      <c r="BB559"/>
      <c r="BC559"/>
      <c r="BD559"/>
      <c r="BE559"/>
      <c r="BF559"/>
      <c r="BG559"/>
      <c r="BH559"/>
      <c r="BI559"/>
      <c r="BJ559"/>
      <c r="BR559"/>
      <c r="BS559"/>
      <c r="BT559"/>
      <c r="BU559"/>
      <c r="BX559"/>
      <c r="BY559"/>
      <c r="CA559"/>
    </row>
    <row r="560" spans="2:79" ht="18.75">
      <c r="B560" s="252" t="s">
        <v>552</v>
      </c>
      <c r="C560" s="251">
        <v>14438229000117</v>
      </c>
      <c r="D560" s="252" t="s">
        <v>14</v>
      </c>
      <c r="E560" s="252" t="s">
        <v>607</v>
      </c>
      <c r="F560" s="252" t="s">
        <v>1417</v>
      </c>
      <c r="G560" s="253" t="s">
        <v>1417</v>
      </c>
      <c r="H560" s="253" t="s">
        <v>34</v>
      </c>
      <c r="I560" s="253" t="s">
        <v>34</v>
      </c>
      <c r="J560" s="253" t="s">
        <v>608</v>
      </c>
      <c r="K560" s="253" t="s">
        <v>48</v>
      </c>
      <c r="L560" s="655"/>
      <c r="M560" s="655" t="s">
        <v>1414</v>
      </c>
      <c r="N560" s="253" t="s">
        <v>3148</v>
      </c>
      <c r="O560" s="253" t="s">
        <v>1321</v>
      </c>
      <c r="P560" s="656">
        <v>41949</v>
      </c>
      <c r="Q560" s="657">
        <v>235.967251</v>
      </c>
      <c r="R560" s="657">
        <v>181.48101472289156</v>
      </c>
      <c r="S560" s="253">
        <v>32</v>
      </c>
      <c r="T560" s="658">
        <v>2.0138720824158796E-4</v>
      </c>
      <c r="U560" s="659">
        <v>1.0070176109621767E-2</v>
      </c>
      <c r="V560" s="658">
        <v>0.20907252670628318</v>
      </c>
      <c r="W560" s="659">
        <v>1.6214222727019281</v>
      </c>
      <c r="X560" s="658">
        <v>0.42460533968299807</v>
      </c>
      <c r="Y560" s="659">
        <v>2.1990279021023209</v>
      </c>
      <c r="Z560" s="658">
        <v>0.81735777647954633</v>
      </c>
      <c r="AA560" s="659">
        <v>3.6905967813087246</v>
      </c>
      <c r="AB560" s="658">
        <v>0.16200585298201658</v>
      </c>
      <c r="AC560" s="660">
        <v>0.49460322441800597</v>
      </c>
      <c r="AD560" s="682">
        <v>0</v>
      </c>
      <c r="AE560" s="944" t="s">
        <v>1902</v>
      </c>
      <c r="AF560" s="661" t="s">
        <v>1745</v>
      </c>
      <c r="AG560" s="662" t="s">
        <v>1432</v>
      </c>
      <c r="AH560" s="662" t="s">
        <v>1734</v>
      </c>
      <c r="AI560" s="662">
        <v>5000</v>
      </c>
      <c r="AJ560" s="662">
        <v>1000</v>
      </c>
      <c r="AK560" s="662">
        <v>1000</v>
      </c>
      <c r="AL560" s="658">
        <v>0.02</v>
      </c>
      <c r="AM560" s="658">
        <v>0.2</v>
      </c>
      <c r="AN560" s="659" t="s">
        <v>34</v>
      </c>
      <c r="AO560" s="253" t="s">
        <v>34</v>
      </c>
      <c r="AP560" s="944" t="s">
        <v>1731</v>
      </c>
      <c r="AQ560" s="663" t="s">
        <v>659</v>
      </c>
      <c r="AR560" s="658">
        <v>2.666E-3</v>
      </c>
      <c r="AS560" s="658">
        <v>2.666E-3</v>
      </c>
      <c r="AT560" s="658" t="s">
        <v>1417</v>
      </c>
      <c r="AU560" s="658" t="s">
        <v>2751</v>
      </c>
      <c r="AX560"/>
      <c r="AY560"/>
      <c r="BA560"/>
      <c r="BB560"/>
      <c r="BC560"/>
      <c r="BD560"/>
      <c r="BE560"/>
      <c r="BF560"/>
      <c r="BG560"/>
      <c r="BH560"/>
      <c r="BI560"/>
      <c r="BJ560"/>
      <c r="BR560"/>
      <c r="BS560"/>
      <c r="BT560"/>
      <c r="BU560"/>
      <c r="BX560"/>
      <c r="BY560"/>
      <c r="CA560"/>
    </row>
    <row r="561" spans="2:79" ht="18.75">
      <c r="B561" s="252" t="s">
        <v>167</v>
      </c>
      <c r="C561" s="251">
        <v>30338659000113</v>
      </c>
      <c r="D561" s="252" t="s">
        <v>13</v>
      </c>
      <c r="E561" s="252" t="s">
        <v>615</v>
      </c>
      <c r="F561" s="252" t="s">
        <v>619</v>
      </c>
      <c r="G561" s="253" t="s">
        <v>34</v>
      </c>
      <c r="H561" s="253" t="s">
        <v>1338</v>
      </c>
      <c r="I561" s="253" t="s">
        <v>34</v>
      </c>
      <c r="J561" s="253" t="s">
        <v>608</v>
      </c>
      <c r="K561" s="253" t="s">
        <v>48</v>
      </c>
      <c r="L561" s="655"/>
      <c r="M561" s="655" t="s">
        <v>1414</v>
      </c>
      <c r="N561" s="253" t="s">
        <v>3149</v>
      </c>
      <c r="O561" s="253" t="s">
        <v>1321</v>
      </c>
      <c r="P561" s="656">
        <v>43296</v>
      </c>
      <c r="Q561" s="657">
        <v>16.984226</v>
      </c>
      <c r="R561" s="657">
        <v>23.065363915461845</v>
      </c>
      <c r="S561" s="253">
        <v>31</v>
      </c>
      <c r="T561" s="658">
        <v>-6.4451594599707063E-3</v>
      </c>
      <c r="U561" s="659">
        <v>-0.32228407843381879</v>
      </c>
      <c r="V561" s="658">
        <v>-0.2839010233496525</v>
      </c>
      <c r="W561" s="659">
        <v>-2.2017404665926525</v>
      </c>
      <c r="X561" s="658">
        <v>-0.3805486125003078</v>
      </c>
      <c r="Y561" s="659">
        <v>-1.9708584390843196</v>
      </c>
      <c r="Z561" s="658">
        <v>-0.29384305674656752</v>
      </c>
      <c r="AA561" s="659">
        <v>-1.3267828001951316</v>
      </c>
      <c r="AB561" s="658">
        <v>0.72672048006179168</v>
      </c>
      <c r="AC561" s="660">
        <v>-0.56809315840574282</v>
      </c>
      <c r="AD561" s="682">
        <v>29661053000135</v>
      </c>
      <c r="AE561" s="944" t="s">
        <v>1966</v>
      </c>
      <c r="AF561" s="661" t="s">
        <v>1745</v>
      </c>
      <c r="AG561" s="662" t="s">
        <v>1432</v>
      </c>
      <c r="AH561" s="662" t="s">
        <v>1734</v>
      </c>
      <c r="AI561" s="662">
        <v>500</v>
      </c>
      <c r="AJ561" s="662">
        <v>500</v>
      </c>
      <c r="AK561" s="662">
        <v>500</v>
      </c>
      <c r="AL561" s="658">
        <v>1.8000000000000002E-2</v>
      </c>
      <c r="AM561" s="658">
        <v>0.2</v>
      </c>
      <c r="AN561" s="659" t="s">
        <v>34</v>
      </c>
      <c r="AO561" s="253" t="s">
        <v>34</v>
      </c>
      <c r="AP561" s="944" t="s">
        <v>1746</v>
      </c>
      <c r="AQ561" s="663" t="s">
        <v>668</v>
      </c>
      <c r="AR561" s="658">
        <v>3.5999999999999999E-3</v>
      </c>
      <c r="AS561" s="658">
        <v>3.5999999999999999E-3</v>
      </c>
      <c r="AT561" s="658" t="s">
        <v>1417</v>
      </c>
      <c r="AU561" s="658" t="s">
        <v>2751</v>
      </c>
      <c r="AX561"/>
      <c r="AY561"/>
      <c r="BA561"/>
      <c r="BB561"/>
      <c r="BC561"/>
      <c r="BD561"/>
      <c r="BE561"/>
      <c r="BF561"/>
      <c r="BG561"/>
      <c r="BH561"/>
      <c r="BI561"/>
      <c r="BJ561"/>
      <c r="BR561"/>
      <c r="BS561"/>
      <c r="BT561"/>
      <c r="BU561"/>
      <c r="BX561"/>
      <c r="BY561"/>
      <c r="CA561"/>
    </row>
    <row r="562" spans="2:79" ht="18.75">
      <c r="B562" s="252" t="s">
        <v>527</v>
      </c>
      <c r="C562" s="251">
        <v>42562316000117</v>
      </c>
      <c r="D562" s="252" t="s">
        <v>13</v>
      </c>
      <c r="E562" s="252" t="s">
        <v>616</v>
      </c>
      <c r="F562" s="252" t="s">
        <v>619</v>
      </c>
      <c r="G562" s="253" t="s">
        <v>34</v>
      </c>
      <c r="H562" s="253" t="s">
        <v>1338</v>
      </c>
      <c r="I562" s="253" t="s">
        <v>34</v>
      </c>
      <c r="J562" s="253" t="s">
        <v>611</v>
      </c>
      <c r="K562" s="253" t="s">
        <v>48</v>
      </c>
      <c r="L562" s="655"/>
      <c r="M562" s="655" t="s">
        <v>1414</v>
      </c>
      <c r="N562" s="253" t="s">
        <v>3150</v>
      </c>
      <c r="O562" s="253" t="s">
        <v>1321</v>
      </c>
      <c r="P562" s="656">
        <v>44385</v>
      </c>
      <c r="Q562" s="657">
        <v>20.979477580000001</v>
      </c>
      <c r="R562" s="657">
        <v>31.714431786363633</v>
      </c>
      <c r="S562" s="253">
        <v>33</v>
      </c>
      <c r="T562" s="658">
        <v>3.9788511420019823E-2</v>
      </c>
      <c r="U562" s="659">
        <v>1.9895867301493957</v>
      </c>
      <c r="V562" s="658">
        <v>4.7928394062332069E-2</v>
      </c>
      <c r="W562" s="659">
        <v>0.37169955733435256</v>
      </c>
      <c r="X562" s="658"/>
      <c r="Y562" s="659"/>
      <c r="Z562" s="658"/>
      <c r="AA562" s="659"/>
      <c r="AB562" s="658">
        <v>8.089560486232332E-2</v>
      </c>
      <c r="AC562" s="660">
        <v>-1.0014822872310187</v>
      </c>
      <c r="AD562" s="682">
        <v>0</v>
      </c>
      <c r="AE562" s="944" t="s">
        <v>2057</v>
      </c>
      <c r="AF562" s="661" t="s">
        <v>1745</v>
      </c>
      <c r="AG562" s="662" t="s">
        <v>1432</v>
      </c>
      <c r="AH562" s="662" t="s">
        <v>1801</v>
      </c>
      <c r="AI562" s="662">
        <v>100000</v>
      </c>
      <c r="AJ562" s="662">
        <v>10000</v>
      </c>
      <c r="AK562" s="662">
        <v>100000</v>
      </c>
      <c r="AL562" s="658">
        <v>0</v>
      </c>
      <c r="AM562" s="658">
        <v>0</v>
      </c>
      <c r="AN562" s="659" t="s">
        <v>64</v>
      </c>
      <c r="AO562" s="253" t="s">
        <v>34</v>
      </c>
      <c r="AP562" s="944" t="s">
        <v>1746</v>
      </c>
      <c r="AQ562" s="663" t="s">
        <v>668</v>
      </c>
      <c r="AR562" s="658">
        <v>0</v>
      </c>
      <c r="AS562" s="658">
        <v>0</v>
      </c>
      <c r="AT562" s="658" t="s">
        <v>1417</v>
      </c>
      <c r="AU562" s="658" t="s">
        <v>2751</v>
      </c>
      <c r="AX562"/>
      <c r="AY562"/>
      <c r="BA562"/>
      <c r="BB562"/>
      <c r="BC562"/>
      <c r="BD562"/>
      <c r="BE562"/>
      <c r="BF562"/>
      <c r="BG562"/>
      <c r="BH562"/>
      <c r="BI562"/>
      <c r="BJ562"/>
      <c r="BR562"/>
      <c r="BS562"/>
      <c r="BT562"/>
      <c r="BU562"/>
      <c r="BX562"/>
      <c r="BY562"/>
      <c r="CA562"/>
    </row>
    <row r="563" spans="2:79" ht="18.75">
      <c r="B563" s="252" t="s">
        <v>168</v>
      </c>
      <c r="C563" s="251">
        <v>23591953000177</v>
      </c>
      <c r="D563" s="252" t="s">
        <v>14</v>
      </c>
      <c r="E563" s="252" t="s">
        <v>607</v>
      </c>
      <c r="F563" s="252" t="s">
        <v>1417</v>
      </c>
      <c r="G563" s="253" t="s">
        <v>1417</v>
      </c>
      <c r="H563" s="253" t="s">
        <v>34</v>
      </c>
      <c r="I563" s="253" t="s">
        <v>34</v>
      </c>
      <c r="J563" s="253" t="s">
        <v>608</v>
      </c>
      <c r="K563" s="253" t="s">
        <v>48</v>
      </c>
      <c r="L563" s="655"/>
      <c r="M563" s="655" t="s">
        <v>34</v>
      </c>
      <c r="N563" s="253" t="s">
        <v>3151</v>
      </c>
      <c r="O563" s="253" t="s">
        <v>1321</v>
      </c>
      <c r="P563" s="656">
        <v>42355</v>
      </c>
      <c r="Q563" s="657">
        <v>108.530304</v>
      </c>
      <c r="R563" s="657">
        <v>107.95693226506023</v>
      </c>
      <c r="S563" s="253">
        <v>24</v>
      </c>
      <c r="T563" s="658">
        <v>-2.2036558120598904E-2</v>
      </c>
      <c r="U563" s="659">
        <v>-1.1019171627730033</v>
      </c>
      <c r="V563" s="658">
        <v>0.11202413581833515</v>
      </c>
      <c r="W563" s="659">
        <v>0.86878190911812292</v>
      </c>
      <c r="X563" s="658">
        <v>0.13095310880554112</v>
      </c>
      <c r="Y563" s="659">
        <v>0.67820517835554872</v>
      </c>
      <c r="Z563" s="658">
        <v>7.8467536802006022E-2</v>
      </c>
      <c r="AA563" s="659">
        <v>0.35430266535912025</v>
      </c>
      <c r="AB563" s="658">
        <v>0.13699879540711768</v>
      </c>
      <c r="AC563" s="660">
        <v>-0.123503083207213</v>
      </c>
      <c r="AD563" s="682">
        <v>0</v>
      </c>
      <c r="AE563" s="944" t="s">
        <v>1920</v>
      </c>
      <c r="AF563" s="661" t="s">
        <v>1745</v>
      </c>
      <c r="AG563" s="662" t="s">
        <v>1432</v>
      </c>
      <c r="AH563" s="662" t="s">
        <v>1734</v>
      </c>
      <c r="AI563" s="662">
        <v>10000</v>
      </c>
      <c r="AJ563" s="662">
        <v>1000</v>
      </c>
      <c r="AK563" s="662">
        <v>10000</v>
      </c>
      <c r="AL563" s="658">
        <v>0.02</v>
      </c>
      <c r="AM563" s="658">
        <v>0.2</v>
      </c>
      <c r="AN563" s="659" t="s">
        <v>34</v>
      </c>
      <c r="AO563" s="253" t="s">
        <v>34</v>
      </c>
      <c r="AP563" s="944" t="s">
        <v>1731</v>
      </c>
      <c r="AQ563" s="663" t="s">
        <v>659</v>
      </c>
      <c r="AR563" s="658">
        <v>4.0000000000000001E-3</v>
      </c>
      <c r="AS563" s="658">
        <v>4.0000000000000001E-3</v>
      </c>
      <c r="AT563" s="658" t="s">
        <v>1417</v>
      </c>
      <c r="AU563" s="658" t="s">
        <v>2751</v>
      </c>
      <c r="AX563"/>
      <c r="AY563"/>
      <c r="BA563"/>
      <c r="BB563"/>
      <c r="BC563"/>
      <c r="BD563"/>
      <c r="BE563"/>
      <c r="BF563"/>
      <c r="BG563"/>
      <c r="BH563"/>
      <c r="BI563"/>
      <c r="BJ563"/>
      <c r="BR563"/>
      <c r="BS563"/>
      <c r="BT563"/>
      <c r="BU563"/>
      <c r="BX563"/>
      <c r="BY563"/>
      <c r="CA563"/>
    </row>
    <row r="564" spans="2:79" ht="18.75">
      <c r="B564" s="252" t="s">
        <v>902</v>
      </c>
      <c r="C564" s="251">
        <v>11701977000152</v>
      </c>
      <c r="D564" s="252" t="s">
        <v>13</v>
      </c>
      <c r="E564" s="252" t="s">
        <v>616</v>
      </c>
      <c r="F564" s="252" t="s">
        <v>619</v>
      </c>
      <c r="G564" s="253" t="s">
        <v>738</v>
      </c>
      <c r="H564" s="253" t="s">
        <v>34</v>
      </c>
      <c r="I564" s="253" t="s">
        <v>34</v>
      </c>
      <c r="J564" s="253" t="s">
        <v>608</v>
      </c>
      <c r="K564" s="253" t="s">
        <v>48</v>
      </c>
      <c r="L564" s="655"/>
      <c r="M564" s="655" t="s">
        <v>1414</v>
      </c>
      <c r="N564" s="253" t="s">
        <v>3152</v>
      </c>
      <c r="O564" s="253" t="s">
        <v>1321</v>
      </c>
      <c r="P564" s="656">
        <v>40472</v>
      </c>
      <c r="Q564" s="657">
        <v>21.857192999999999</v>
      </c>
      <c r="R564" s="657">
        <v>20.741384214876035</v>
      </c>
      <c r="S564" s="253">
        <v>15</v>
      </c>
      <c r="T564" s="658">
        <v>1.6105909951330766E-2</v>
      </c>
      <c r="U564" s="659">
        <v>0.80536073284776399</v>
      </c>
      <c r="V564" s="658">
        <v>6.7881476857719614E-2</v>
      </c>
      <c r="W564" s="659">
        <v>0.52644190135814406</v>
      </c>
      <c r="X564" s="658">
        <v>0.1280274751186592</v>
      </c>
      <c r="Y564" s="659">
        <v>0.66305334321002984</v>
      </c>
      <c r="Z564" s="658">
        <v>0.17559824697137838</v>
      </c>
      <c r="AA564" s="659">
        <v>0.7928747284540465</v>
      </c>
      <c r="AB564" s="658">
        <v>4.7240995712413379E-2</v>
      </c>
      <c r="AC564" s="660">
        <v>-1.2925729373020718</v>
      </c>
      <c r="AD564" s="682">
        <v>0</v>
      </c>
      <c r="AE564" s="944" t="s">
        <v>1762</v>
      </c>
      <c r="AF564" s="661" t="s">
        <v>1729</v>
      </c>
      <c r="AG564" s="662" t="s">
        <v>1433</v>
      </c>
      <c r="AH564" s="662" t="s">
        <v>1734</v>
      </c>
      <c r="AI564" s="662">
        <v>1000</v>
      </c>
      <c r="AJ564" s="662">
        <v>1000</v>
      </c>
      <c r="AK564" s="662">
        <v>1000</v>
      </c>
      <c r="AL564" s="658">
        <v>1.1200000000000002E-2</v>
      </c>
      <c r="AM564" s="658">
        <v>0.1</v>
      </c>
      <c r="AN564" s="659" t="s">
        <v>64</v>
      </c>
      <c r="AO564" s="253" t="s">
        <v>34</v>
      </c>
      <c r="AP564" s="944" t="s">
        <v>1746</v>
      </c>
      <c r="AQ564" s="663" t="s">
        <v>686</v>
      </c>
      <c r="AR564" s="658">
        <v>1.66666666666667E-3</v>
      </c>
      <c r="AS564" s="658">
        <v>1.66666666666667E-3</v>
      </c>
      <c r="AT564" s="658" t="s">
        <v>1417</v>
      </c>
      <c r="AU564" s="658" t="s">
        <v>2751</v>
      </c>
      <c r="AX564"/>
      <c r="AY564"/>
      <c r="BA564"/>
      <c r="BB564"/>
      <c r="BC564"/>
      <c r="BD564"/>
      <c r="BE564"/>
      <c r="BF564"/>
      <c r="BG564"/>
      <c r="BH564"/>
      <c r="BI564"/>
      <c r="BJ564"/>
      <c r="BR564"/>
      <c r="BS564"/>
      <c r="BT564"/>
      <c r="BU564"/>
      <c r="BX564"/>
      <c r="BY564"/>
      <c r="CA564"/>
    </row>
    <row r="565" spans="2:79" ht="18.75">
      <c r="B565" s="252" t="s">
        <v>2650</v>
      </c>
      <c r="C565" s="251">
        <v>32397641000118</v>
      </c>
      <c r="D565" s="252" t="s">
        <v>13</v>
      </c>
      <c r="E565" s="252" t="s">
        <v>615</v>
      </c>
      <c r="F565" s="252" t="s">
        <v>619</v>
      </c>
      <c r="G565" s="253" t="s">
        <v>34</v>
      </c>
      <c r="H565" s="253" t="s">
        <v>1337</v>
      </c>
      <c r="I565" s="253" t="s">
        <v>34</v>
      </c>
      <c r="J565" s="253" t="s">
        <v>608</v>
      </c>
      <c r="K565" s="253" t="s">
        <v>48</v>
      </c>
      <c r="L565" s="655"/>
      <c r="M565" s="655" t="s">
        <v>34</v>
      </c>
      <c r="N565" s="253" t="s">
        <v>3153</v>
      </c>
      <c r="O565" s="253" t="s">
        <v>1321</v>
      </c>
      <c r="P565" s="656">
        <v>43621</v>
      </c>
      <c r="Q565" s="657"/>
      <c r="R565" s="657"/>
      <c r="S565" s="253">
        <v>3</v>
      </c>
      <c r="T565" s="658"/>
      <c r="U565" s="659"/>
      <c r="V565" s="658"/>
      <c r="W565" s="659"/>
      <c r="X565" s="658"/>
      <c r="Y565" s="659"/>
      <c r="Z565" s="658"/>
      <c r="AA565" s="659"/>
      <c r="AB565" s="658"/>
      <c r="AC565" s="660"/>
      <c r="AD565" s="682">
        <v>0</v>
      </c>
      <c r="AE565" s="944" t="s">
        <v>1762</v>
      </c>
      <c r="AF565" s="661" t="s">
        <v>1745</v>
      </c>
      <c r="AG565" s="662" t="s">
        <v>1432</v>
      </c>
      <c r="AH565" s="662" t="s">
        <v>2119</v>
      </c>
      <c r="AI565" s="662">
        <v>5000</v>
      </c>
      <c r="AJ565" s="662">
        <v>0</v>
      </c>
      <c r="AK565" s="662">
        <v>5000</v>
      </c>
      <c r="AL565" s="658">
        <v>1.2E-2</v>
      </c>
      <c r="AM565" s="658">
        <v>0</v>
      </c>
      <c r="AN565" s="659" t="s">
        <v>34</v>
      </c>
      <c r="AO565" s="253" t="s">
        <v>4400</v>
      </c>
      <c r="AP565" s="944" t="s">
        <v>1746</v>
      </c>
      <c r="AQ565" s="663" t="s">
        <v>2177</v>
      </c>
      <c r="AR565" s="658">
        <v>0</v>
      </c>
      <c r="AS565" s="658">
        <v>0</v>
      </c>
      <c r="AT565" s="658" t="s">
        <v>1417</v>
      </c>
      <c r="AU565" s="658" t="s">
        <v>2751</v>
      </c>
      <c r="AX565"/>
      <c r="AY565"/>
      <c r="BA565"/>
      <c r="BB565"/>
      <c r="BC565"/>
      <c r="BD565"/>
      <c r="BE565"/>
      <c r="BF565"/>
      <c r="BG565"/>
      <c r="BH565"/>
      <c r="BI565"/>
      <c r="BJ565"/>
      <c r="BR565"/>
      <c r="BS565"/>
      <c r="BT565"/>
      <c r="BU565"/>
      <c r="BX565"/>
      <c r="BY565"/>
      <c r="CA565"/>
    </row>
    <row r="566" spans="2:79" ht="18.75">
      <c r="B566" s="252" t="s">
        <v>169</v>
      </c>
      <c r="C566" s="251">
        <v>11447136000160</v>
      </c>
      <c r="D566" s="252" t="s">
        <v>11</v>
      </c>
      <c r="E566" s="252" t="s">
        <v>620</v>
      </c>
      <c r="F566" s="252" t="s">
        <v>663</v>
      </c>
      <c r="G566" s="253" t="s">
        <v>738</v>
      </c>
      <c r="H566" s="253" t="s">
        <v>34</v>
      </c>
      <c r="I566" s="253" t="s">
        <v>1417</v>
      </c>
      <c r="J566" s="253" t="s">
        <v>608</v>
      </c>
      <c r="K566" s="253" t="s">
        <v>48</v>
      </c>
      <c r="L566" s="655"/>
      <c r="M566" s="655" t="s">
        <v>34</v>
      </c>
      <c r="N566" s="253" t="s">
        <v>3154</v>
      </c>
      <c r="O566" s="253" t="s">
        <v>1321</v>
      </c>
      <c r="P566" s="656">
        <v>40304</v>
      </c>
      <c r="Q566" s="657">
        <v>122.329426</v>
      </c>
      <c r="R566" s="657">
        <v>94.324440673469354</v>
      </c>
      <c r="S566" s="253">
        <v>31</v>
      </c>
      <c r="T566" s="658">
        <v>1.2366207222749948E-2</v>
      </c>
      <c r="U566" s="659">
        <v>0.61836044914918431</v>
      </c>
      <c r="V566" s="658">
        <v>0.13571061308597043</v>
      </c>
      <c r="W566" s="659">
        <v>1.0524778849052543</v>
      </c>
      <c r="X566" s="658">
        <v>0.22454626586855464</v>
      </c>
      <c r="Y566" s="659">
        <v>1.1629234439832685</v>
      </c>
      <c r="Z566" s="658">
        <v>0.25100372656871683</v>
      </c>
      <c r="AA566" s="659">
        <v>1.1333513572977949</v>
      </c>
      <c r="AB566" s="658">
        <v>4.1203817521950001E-3</v>
      </c>
      <c r="AC566" s="660">
        <v>1.6422516276743868</v>
      </c>
      <c r="AD566" s="682">
        <v>0</v>
      </c>
      <c r="AE566" s="944" t="s">
        <v>1762</v>
      </c>
      <c r="AF566" s="661" t="s">
        <v>1729</v>
      </c>
      <c r="AG566" s="662" t="s">
        <v>1432</v>
      </c>
      <c r="AH566" s="662" t="s">
        <v>1734</v>
      </c>
      <c r="AI566" s="662">
        <v>1000</v>
      </c>
      <c r="AJ566" s="662">
        <v>1</v>
      </c>
      <c r="AK566" s="662">
        <v>1</v>
      </c>
      <c r="AL566" s="658">
        <v>5.9999999999999995E-4</v>
      </c>
      <c r="AM566" s="658">
        <v>0</v>
      </c>
      <c r="AN566" s="659" t="s">
        <v>2127</v>
      </c>
      <c r="AO566" s="253" t="s">
        <v>34</v>
      </c>
      <c r="AP566" s="944" t="s">
        <v>1735</v>
      </c>
      <c r="AQ566" s="663" t="s">
        <v>675</v>
      </c>
      <c r="AR566" s="658">
        <v>1.66666666666667E-3</v>
      </c>
      <c r="AS566" s="658">
        <v>1.66666666666667E-3</v>
      </c>
      <c r="AT566" s="658" t="s">
        <v>1417</v>
      </c>
      <c r="AU566" s="658" t="s">
        <v>2751</v>
      </c>
      <c r="AX566"/>
      <c r="AY566"/>
      <c r="BA566"/>
      <c r="BB566"/>
      <c r="BC566"/>
      <c r="BD566"/>
      <c r="BE566"/>
      <c r="BF566"/>
      <c r="BG566"/>
      <c r="BH566"/>
      <c r="BI566"/>
      <c r="BJ566"/>
      <c r="BR566"/>
      <c r="BS566"/>
      <c r="BT566"/>
      <c r="BU566"/>
      <c r="BX566"/>
      <c r="BY566"/>
      <c r="CA566"/>
    </row>
    <row r="567" spans="2:79" ht="18.75">
      <c r="B567" s="252" t="s">
        <v>1540</v>
      </c>
      <c r="C567" s="251">
        <v>29813630000167</v>
      </c>
      <c r="D567" s="252" t="s">
        <v>11</v>
      </c>
      <c r="E567" s="252" t="s">
        <v>620</v>
      </c>
      <c r="F567" s="252" t="s">
        <v>663</v>
      </c>
      <c r="G567" s="253" t="s">
        <v>738</v>
      </c>
      <c r="H567" s="253" t="s">
        <v>34</v>
      </c>
      <c r="I567" s="253" t="s">
        <v>1417</v>
      </c>
      <c r="J567" s="253" t="s">
        <v>608</v>
      </c>
      <c r="K567" s="253" t="s">
        <v>48</v>
      </c>
      <c r="L567" s="655"/>
      <c r="M567" s="655" t="s">
        <v>34</v>
      </c>
      <c r="N567" s="253" t="s">
        <v>3155</v>
      </c>
      <c r="O567" s="253" t="s">
        <v>1321</v>
      </c>
      <c r="P567" s="656">
        <v>43359</v>
      </c>
      <c r="Q567" s="657">
        <v>55.440793050000003</v>
      </c>
      <c r="R567" s="657">
        <v>55.536620199600002</v>
      </c>
      <c r="S567" s="253">
        <v>31</v>
      </c>
      <c r="T567" s="658">
        <v>1.2325803417376546E-2</v>
      </c>
      <c r="U567" s="659">
        <v>0.61634009522918298</v>
      </c>
      <c r="V567" s="658">
        <v>0.13851620166897516</v>
      </c>
      <c r="W567" s="659">
        <v>1.0742360943084095</v>
      </c>
      <c r="X567" s="658">
        <v>0.23222336011800349</v>
      </c>
      <c r="Y567" s="659">
        <v>1.2026830581092027</v>
      </c>
      <c r="Z567" s="658">
        <v>0.26343061616457453</v>
      </c>
      <c r="AA567" s="659">
        <v>1.1894622062600291</v>
      </c>
      <c r="AB567" s="658">
        <v>3.3273455798101441E-3</v>
      </c>
      <c r="AC567" s="660">
        <v>2.8768554370396942</v>
      </c>
      <c r="AD567" s="682">
        <v>11447136000160</v>
      </c>
      <c r="AE567" s="944" t="s">
        <v>1762</v>
      </c>
      <c r="AF567" s="661" t="s">
        <v>1729</v>
      </c>
      <c r="AG567" s="662" t="s">
        <v>1432</v>
      </c>
      <c r="AH567" s="662" t="s">
        <v>1734</v>
      </c>
      <c r="AI567" s="662">
        <v>5000</v>
      </c>
      <c r="AJ567" s="662">
        <v>1000</v>
      </c>
      <c r="AK567" s="662">
        <v>1000</v>
      </c>
      <c r="AL567" s="658">
        <v>5.9999999999999995E-4</v>
      </c>
      <c r="AM567" s="658">
        <v>0</v>
      </c>
      <c r="AN567" s="659" t="s">
        <v>2127</v>
      </c>
      <c r="AO567" s="253" t="s">
        <v>34</v>
      </c>
      <c r="AP567" s="944" t="s">
        <v>1735</v>
      </c>
      <c r="AQ567" s="663" t="s">
        <v>675</v>
      </c>
      <c r="AR567" s="658">
        <v>0</v>
      </c>
      <c r="AS567" s="658">
        <v>0</v>
      </c>
      <c r="AT567" s="658" t="s">
        <v>1417</v>
      </c>
      <c r="AU567" s="658" t="s">
        <v>2751</v>
      </c>
      <c r="AX567"/>
      <c r="AY567"/>
      <c r="BA567"/>
      <c r="BB567"/>
      <c r="BC567"/>
      <c r="BD567"/>
      <c r="BE567"/>
      <c r="BF567"/>
      <c r="BG567"/>
      <c r="BH567"/>
      <c r="BI567"/>
      <c r="BJ567"/>
      <c r="BR567"/>
      <c r="BS567"/>
      <c r="BT567"/>
      <c r="BU567"/>
      <c r="BX567"/>
      <c r="BY567"/>
      <c r="CA567"/>
    </row>
    <row r="568" spans="2:79" ht="18.75">
      <c r="B568" s="252" t="s">
        <v>1541</v>
      </c>
      <c r="C568" s="251">
        <v>29215706000152</v>
      </c>
      <c r="D568" s="252" t="s">
        <v>13</v>
      </c>
      <c r="E568" s="252" t="s">
        <v>615</v>
      </c>
      <c r="F568" s="252" t="s">
        <v>619</v>
      </c>
      <c r="G568" s="253" t="s">
        <v>1417</v>
      </c>
      <c r="H568" s="253" t="s">
        <v>1337</v>
      </c>
      <c r="I568" s="253" t="s">
        <v>1417</v>
      </c>
      <c r="J568" s="253" t="s">
        <v>608</v>
      </c>
      <c r="K568" s="253" t="s">
        <v>48</v>
      </c>
      <c r="L568" s="655"/>
      <c r="M568" s="655" t="s">
        <v>34</v>
      </c>
      <c r="N568" s="253" t="s">
        <v>3156</v>
      </c>
      <c r="O568" s="253" t="s">
        <v>1321</v>
      </c>
      <c r="P568" s="656">
        <v>43106</v>
      </c>
      <c r="Q568" s="657">
        <v>75.335232140000002</v>
      </c>
      <c r="R568" s="657">
        <v>123.75143687657255</v>
      </c>
      <c r="S568" s="253">
        <v>35</v>
      </c>
      <c r="T568" s="658">
        <v>1.0712666121906134E-2</v>
      </c>
      <c r="U568" s="659">
        <v>0.53567669661402006</v>
      </c>
      <c r="V568" s="658">
        <v>8.0430944809621208E-2</v>
      </c>
      <c r="W568" s="659">
        <v>0.62376691659727346</v>
      </c>
      <c r="X568" s="658">
        <v>0.1505546674976086</v>
      </c>
      <c r="Y568" s="659">
        <v>0.77972150530690909</v>
      </c>
      <c r="Z568" s="658">
        <v>0.19390633864195728</v>
      </c>
      <c r="AA568" s="659">
        <v>0.87554083396584059</v>
      </c>
      <c r="AB568" s="658">
        <v>4.2642131346435637E-2</v>
      </c>
      <c r="AC568" s="660">
        <v>-1.137676825837699</v>
      </c>
      <c r="AD568" s="682">
        <v>0</v>
      </c>
      <c r="AE568" s="944" t="s">
        <v>1762</v>
      </c>
      <c r="AF568" s="661" t="s">
        <v>1729</v>
      </c>
      <c r="AG568" s="662" t="s">
        <v>1433</v>
      </c>
      <c r="AH568" s="662" t="s">
        <v>1730</v>
      </c>
      <c r="AI568" s="662">
        <v>0</v>
      </c>
      <c r="AJ568" s="662">
        <v>0</v>
      </c>
      <c r="AK568" s="662">
        <v>0</v>
      </c>
      <c r="AL568" s="658">
        <v>8.9999999999999998E-4</v>
      </c>
      <c r="AM568" s="658">
        <v>0</v>
      </c>
      <c r="AN568" s="659" t="s">
        <v>64</v>
      </c>
      <c r="AO568" s="253" t="s">
        <v>34</v>
      </c>
      <c r="AP568" s="944" t="s">
        <v>1746</v>
      </c>
      <c r="AQ568" s="663" t="s">
        <v>686</v>
      </c>
      <c r="AR568" s="658">
        <v>0</v>
      </c>
      <c r="AS568" s="658">
        <v>0</v>
      </c>
      <c r="AT568" s="658" t="s">
        <v>1417</v>
      </c>
      <c r="AU568" s="658" t="s">
        <v>2751</v>
      </c>
      <c r="AX568"/>
      <c r="AY568"/>
      <c r="BA568"/>
      <c r="BB568"/>
      <c r="BC568"/>
      <c r="BD568"/>
      <c r="BE568"/>
      <c r="BF568"/>
      <c r="BG568"/>
      <c r="BH568"/>
      <c r="BI568"/>
      <c r="BJ568"/>
      <c r="BR568"/>
      <c r="BS568"/>
      <c r="BT568"/>
      <c r="BU568"/>
      <c r="BX568"/>
      <c r="BY568"/>
      <c r="CA568"/>
    </row>
    <row r="569" spans="2:79" ht="18.75">
      <c r="B569" s="252" t="s">
        <v>903</v>
      </c>
      <c r="C569" s="251">
        <v>5488919000190</v>
      </c>
      <c r="D569" s="252" t="s">
        <v>13</v>
      </c>
      <c r="E569" s="252" t="s">
        <v>616</v>
      </c>
      <c r="F569" s="252" t="s">
        <v>617</v>
      </c>
      <c r="G569" s="253" t="s">
        <v>34</v>
      </c>
      <c r="H569" s="253" t="s">
        <v>1337</v>
      </c>
      <c r="I569" s="253" t="s">
        <v>34</v>
      </c>
      <c r="J569" s="253" t="s">
        <v>608</v>
      </c>
      <c r="K569" s="253" t="s">
        <v>48</v>
      </c>
      <c r="L569" s="655"/>
      <c r="M569" s="655" t="s">
        <v>34</v>
      </c>
      <c r="N569" s="253" t="s">
        <v>3157</v>
      </c>
      <c r="O569" s="253" t="s">
        <v>1321</v>
      </c>
      <c r="P569" s="656">
        <v>37651</v>
      </c>
      <c r="Q569" s="657">
        <v>10.709498999999999</v>
      </c>
      <c r="R569" s="657">
        <v>21.955979329317266</v>
      </c>
      <c r="S569" s="253">
        <v>4</v>
      </c>
      <c r="T569" s="658">
        <v>3.4062625260653512E-3</v>
      </c>
      <c r="U569" s="659">
        <v>0.17032692300860666</v>
      </c>
      <c r="V569" s="658">
        <v>9.170919646058695E-2</v>
      </c>
      <c r="W569" s="659">
        <v>0.71123325525067038</v>
      </c>
      <c r="X569" s="658">
        <v>0.13458160875562197</v>
      </c>
      <c r="Y569" s="659">
        <v>0.69699715266035078</v>
      </c>
      <c r="Z569" s="658">
        <v>0.17306375894507409</v>
      </c>
      <c r="AA569" s="659">
        <v>0.78143081292365069</v>
      </c>
      <c r="AB569" s="658">
        <v>2.0719882699040126E-2</v>
      </c>
      <c r="AC569" s="660">
        <v>-1.7970523060888923</v>
      </c>
      <c r="AD569" s="682">
        <v>12219403000105</v>
      </c>
      <c r="AE569" s="944" t="s">
        <v>1762</v>
      </c>
      <c r="AF569" s="661" t="s">
        <v>1729</v>
      </c>
      <c r="AG569" s="662" t="s">
        <v>1433</v>
      </c>
      <c r="AH569" s="662" t="s">
        <v>1734</v>
      </c>
      <c r="AI569" s="662">
        <v>1000</v>
      </c>
      <c r="AJ569" s="662">
        <v>1</v>
      </c>
      <c r="AK569" s="662">
        <v>1000</v>
      </c>
      <c r="AL569" s="658">
        <v>0.02</v>
      </c>
      <c r="AM569" s="658">
        <v>0.2</v>
      </c>
      <c r="AN569" s="659" t="s">
        <v>64</v>
      </c>
      <c r="AO569" s="253" t="s">
        <v>34</v>
      </c>
      <c r="AP569" s="944" t="s">
        <v>1746</v>
      </c>
      <c r="AQ569" s="663" t="s">
        <v>664</v>
      </c>
      <c r="AR569" s="658">
        <v>5.0000000000000001E-3</v>
      </c>
      <c r="AS569" s="658">
        <v>5.0000000000000001E-3</v>
      </c>
      <c r="AT569" s="658" t="s">
        <v>1417</v>
      </c>
      <c r="AU569" s="658" t="s">
        <v>2751</v>
      </c>
      <c r="AX569"/>
      <c r="AY569"/>
      <c r="BA569"/>
      <c r="BB569"/>
      <c r="BC569"/>
      <c r="BD569"/>
      <c r="BE569"/>
      <c r="BF569"/>
      <c r="BG569"/>
      <c r="BH569"/>
      <c r="BI569"/>
      <c r="BJ569"/>
      <c r="BR569"/>
      <c r="BS569"/>
      <c r="BT569"/>
      <c r="BU569"/>
      <c r="BX569"/>
      <c r="BY569"/>
      <c r="CA569"/>
    </row>
    <row r="570" spans="2:79" ht="18.75">
      <c r="B570" s="252" t="s">
        <v>170</v>
      </c>
      <c r="C570" s="251">
        <v>13176277000111</v>
      </c>
      <c r="D570" s="252" t="s">
        <v>11</v>
      </c>
      <c r="E570" s="252" t="s">
        <v>621</v>
      </c>
      <c r="F570" s="252" t="s">
        <v>672</v>
      </c>
      <c r="G570" s="253" t="s">
        <v>738</v>
      </c>
      <c r="H570" s="253" t="s">
        <v>34</v>
      </c>
      <c r="I570" s="253" t="s">
        <v>1417</v>
      </c>
      <c r="J570" s="253" t="s">
        <v>608</v>
      </c>
      <c r="K570" s="253" t="s">
        <v>48</v>
      </c>
      <c r="L570" s="655"/>
      <c r="M570" s="655" t="s">
        <v>34</v>
      </c>
      <c r="N570" s="253" t="s">
        <v>3158</v>
      </c>
      <c r="O570" s="253" t="s">
        <v>1321</v>
      </c>
      <c r="P570" s="656">
        <v>40823</v>
      </c>
      <c r="Q570" s="657">
        <v>32.362803</v>
      </c>
      <c r="R570" s="657">
        <v>44.757921451612923</v>
      </c>
      <c r="S570" s="253">
        <v>1</v>
      </c>
      <c r="T570" s="658">
        <v>2.2846066785571884E-2</v>
      </c>
      <c r="U570" s="659">
        <v>1.1423958748507017</v>
      </c>
      <c r="V570" s="658">
        <v>0.10273564757867648</v>
      </c>
      <c r="W570" s="659">
        <v>0.79674680269464526</v>
      </c>
      <c r="X570" s="658">
        <v>0.16046543039628691</v>
      </c>
      <c r="Y570" s="659">
        <v>0.83104927278525753</v>
      </c>
      <c r="Z570" s="658">
        <v>0.24158056659304328</v>
      </c>
      <c r="AA570" s="659">
        <v>1.0908031796493642</v>
      </c>
      <c r="AB570" s="658">
        <v>3.1392853971204268E-2</v>
      </c>
      <c r="AC570" s="660">
        <v>-0.83484801643558537</v>
      </c>
      <c r="AD570" s="682">
        <v>0</v>
      </c>
      <c r="AE570" s="944" t="s">
        <v>1762</v>
      </c>
      <c r="AF570" s="661" t="s">
        <v>1745</v>
      </c>
      <c r="AG570" s="662" t="s">
        <v>1432</v>
      </c>
      <c r="AH570" s="662" t="s">
        <v>1734</v>
      </c>
      <c r="AI570" s="662">
        <v>1000</v>
      </c>
      <c r="AJ570" s="662">
        <v>1</v>
      </c>
      <c r="AK570" s="662">
        <v>1000</v>
      </c>
      <c r="AL570" s="658">
        <v>0.01</v>
      </c>
      <c r="AM570" s="658">
        <v>0.2</v>
      </c>
      <c r="AN570" s="659" t="s">
        <v>636</v>
      </c>
      <c r="AO570" s="253" t="s">
        <v>34</v>
      </c>
      <c r="AP570" s="944" t="s">
        <v>1746</v>
      </c>
      <c r="AQ570" s="663" t="s">
        <v>664</v>
      </c>
      <c r="AR570" s="658">
        <v>3.3333333333333301E-3</v>
      </c>
      <c r="AS570" s="658">
        <v>3.3333333333333301E-3</v>
      </c>
      <c r="AT570" s="658" t="s">
        <v>1417</v>
      </c>
      <c r="AU570" s="658" t="s">
        <v>2751</v>
      </c>
      <c r="AX570"/>
      <c r="AY570"/>
      <c r="BA570"/>
      <c r="BB570"/>
      <c r="BC570"/>
      <c r="BD570"/>
      <c r="BE570"/>
      <c r="BF570"/>
      <c r="BG570"/>
      <c r="BH570"/>
      <c r="BI570"/>
      <c r="BJ570"/>
      <c r="BR570"/>
      <c r="BS570"/>
      <c r="BT570"/>
      <c r="BU570"/>
      <c r="BX570"/>
      <c r="BY570"/>
      <c r="CA570"/>
    </row>
    <row r="571" spans="2:79" ht="18.75">
      <c r="B571" s="252" t="s">
        <v>904</v>
      </c>
      <c r="C571" s="251">
        <v>10705335000169</v>
      </c>
      <c r="D571" s="252" t="s">
        <v>11</v>
      </c>
      <c r="E571" s="252" t="s">
        <v>620</v>
      </c>
      <c r="F571" s="252" t="s">
        <v>663</v>
      </c>
      <c r="G571" s="253" t="s">
        <v>738</v>
      </c>
      <c r="H571" s="253" t="s">
        <v>34</v>
      </c>
      <c r="I571" s="253" t="s">
        <v>1417</v>
      </c>
      <c r="J571" s="253" t="s">
        <v>608</v>
      </c>
      <c r="K571" s="253" t="s">
        <v>48</v>
      </c>
      <c r="L571" s="655"/>
      <c r="M571" s="655" t="s">
        <v>34</v>
      </c>
      <c r="N571" s="253" t="s">
        <v>3159</v>
      </c>
      <c r="O571" s="253" t="s">
        <v>1321</v>
      </c>
      <c r="P571" s="656">
        <v>39988</v>
      </c>
      <c r="Q571" s="657">
        <v>47.839998000000001</v>
      </c>
      <c r="R571" s="657">
        <v>195.7117078861788</v>
      </c>
      <c r="S571" s="253">
        <v>1</v>
      </c>
      <c r="T571" s="658">
        <v>1.4572145427763417E-2</v>
      </c>
      <c r="U571" s="659">
        <v>0.7286662943187544</v>
      </c>
      <c r="V571" s="658">
        <v>0.11675149338591506</v>
      </c>
      <c r="W571" s="659">
        <v>0.90544403288854236</v>
      </c>
      <c r="X571" s="658">
        <v>0.17067840215400754</v>
      </c>
      <c r="Y571" s="659">
        <v>0.88394217770109718</v>
      </c>
      <c r="Z571" s="658">
        <v>0.19976652194690447</v>
      </c>
      <c r="AA571" s="659">
        <v>0.90200118494735282</v>
      </c>
      <c r="AB571" s="658">
        <v>6.1769499429873004E-3</v>
      </c>
      <c r="AC571" s="660">
        <v>-1.9738570286967205</v>
      </c>
      <c r="AD571" s="682">
        <v>41888721000167</v>
      </c>
      <c r="AE571" s="944" t="s">
        <v>1762</v>
      </c>
      <c r="AF571" s="661" t="s">
        <v>1729</v>
      </c>
      <c r="AG571" s="662" t="s">
        <v>736</v>
      </c>
      <c r="AH571" s="662" t="s">
        <v>1734</v>
      </c>
      <c r="AI571" s="662">
        <v>1000</v>
      </c>
      <c r="AJ571" s="662">
        <v>1000</v>
      </c>
      <c r="AK571" s="662">
        <v>1000</v>
      </c>
      <c r="AL571" s="658">
        <v>0.02</v>
      </c>
      <c r="AM571" s="658">
        <v>0.2</v>
      </c>
      <c r="AN571" s="659" t="s">
        <v>64</v>
      </c>
      <c r="AO571" s="253" t="s">
        <v>34</v>
      </c>
      <c r="AP571" s="944" t="s">
        <v>1746</v>
      </c>
      <c r="AQ571" s="663" t="s">
        <v>664</v>
      </c>
      <c r="AR571" s="658">
        <v>3.3333333333333301E-3</v>
      </c>
      <c r="AS571" s="658">
        <v>3.3333333333333301E-3</v>
      </c>
      <c r="AT571" s="658" t="s">
        <v>1417</v>
      </c>
      <c r="AU571" s="658" t="s">
        <v>2751</v>
      </c>
      <c r="AX571"/>
      <c r="AY571"/>
      <c r="BA571"/>
      <c r="BB571"/>
      <c r="BC571"/>
      <c r="BD571"/>
      <c r="BE571"/>
      <c r="BF571"/>
      <c r="BG571"/>
      <c r="BH571"/>
      <c r="BI571"/>
      <c r="BJ571"/>
      <c r="BR571"/>
      <c r="BS571"/>
      <c r="BT571"/>
      <c r="BU571"/>
      <c r="BX571"/>
      <c r="BY571"/>
      <c r="CA571"/>
    </row>
    <row r="572" spans="2:79" ht="18.75">
      <c r="B572" s="252" t="s">
        <v>171</v>
      </c>
      <c r="C572" s="251">
        <v>34286544000183</v>
      </c>
      <c r="D572" s="252" t="s">
        <v>14</v>
      </c>
      <c r="E572" s="252" t="s">
        <v>614</v>
      </c>
      <c r="F572" s="252" t="s">
        <v>1417</v>
      </c>
      <c r="G572" s="253" t="s">
        <v>1417</v>
      </c>
      <c r="H572" s="253" t="s">
        <v>1338</v>
      </c>
      <c r="I572" s="253" t="s">
        <v>34</v>
      </c>
      <c r="J572" s="253" t="s">
        <v>608</v>
      </c>
      <c r="K572" s="253" t="s">
        <v>48</v>
      </c>
      <c r="L572" s="655"/>
      <c r="M572" s="655" t="s">
        <v>34</v>
      </c>
      <c r="N572" s="253" t="s">
        <v>3160</v>
      </c>
      <c r="O572" s="253" t="s">
        <v>1321</v>
      </c>
      <c r="P572" s="656">
        <v>43705</v>
      </c>
      <c r="Q572" s="657">
        <v>46.052768790000002</v>
      </c>
      <c r="R572" s="657">
        <v>53.814389784417713</v>
      </c>
      <c r="S572" s="253">
        <v>33</v>
      </c>
      <c r="T572" s="658">
        <v>-4.1057211165541618E-3</v>
      </c>
      <c r="U572" s="659">
        <v>-0.20530268561593379</v>
      </c>
      <c r="V572" s="658">
        <v>2.3741249155333488E-3</v>
      </c>
      <c r="W572" s="659">
        <v>1.8412074875960586E-2</v>
      </c>
      <c r="X572" s="658">
        <v>2.3889933707858857E-2</v>
      </c>
      <c r="Y572" s="659">
        <v>0.12372578932280431</v>
      </c>
      <c r="Z572" s="658">
        <v>0.10370586219964673</v>
      </c>
      <c r="AA572" s="659">
        <v>0.46826069592847386</v>
      </c>
      <c r="AB572" s="658">
        <v>0.20224836484551204</v>
      </c>
      <c r="AC572" s="660">
        <v>-0.62581363576380789</v>
      </c>
      <c r="AD572" s="682">
        <v>34286521000179</v>
      </c>
      <c r="AE572" s="944" t="s">
        <v>1762</v>
      </c>
      <c r="AF572" s="661" t="s">
        <v>1729</v>
      </c>
      <c r="AG572" s="662" t="s">
        <v>1433</v>
      </c>
      <c r="AH572" s="662" t="s">
        <v>1734</v>
      </c>
      <c r="AI572" s="662">
        <v>1000</v>
      </c>
      <c r="AJ572" s="662">
        <v>1</v>
      </c>
      <c r="AK572" s="662">
        <v>1000</v>
      </c>
      <c r="AL572" s="658">
        <v>2.5000000000000001E-2</v>
      </c>
      <c r="AM572" s="658">
        <v>0.2</v>
      </c>
      <c r="AN572" s="659" t="s">
        <v>34</v>
      </c>
      <c r="AO572" s="253" t="s">
        <v>34</v>
      </c>
      <c r="AP572" s="944" t="s">
        <v>1746</v>
      </c>
      <c r="AQ572" s="663" t="s">
        <v>674</v>
      </c>
      <c r="AR572" s="658">
        <v>6.4000000000000003E-3</v>
      </c>
      <c r="AS572" s="658">
        <v>6.4000000000000003E-3</v>
      </c>
      <c r="AT572" s="658" t="s">
        <v>1417</v>
      </c>
      <c r="AU572" s="658" t="s">
        <v>2751</v>
      </c>
      <c r="AX572"/>
      <c r="AY572"/>
      <c r="BA572"/>
      <c r="BB572"/>
      <c r="BC572"/>
      <c r="BD572"/>
      <c r="BE572"/>
      <c r="BF572"/>
      <c r="BG572"/>
      <c r="BH572"/>
      <c r="BI572"/>
      <c r="BJ572"/>
      <c r="BR572"/>
      <c r="BS572"/>
      <c r="BT572"/>
      <c r="BU572"/>
      <c r="BX572"/>
      <c r="BY572"/>
      <c r="CA572"/>
    </row>
    <row r="573" spans="2:79" ht="18.75">
      <c r="B573" s="252" t="s">
        <v>172</v>
      </c>
      <c r="C573" s="251">
        <v>5109839000186</v>
      </c>
      <c r="D573" s="252" t="s">
        <v>13</v>
      </c>
      <c r="E573" s="252" t="s">
        <v>616</v>
      </c>
      <c r="F573" s="252" t="s">
        <v>617</v>
      </c>
      <c r="G573" s="253" t="s">
        <v>34</v>
      </c>
      <c r="H573" s="253" t="s">
        <v>1337</v>
      </c>
      <c r="I573" s="253" t="s">
        <v>34</v>
      </c>
      <c r="J573" s="253" t="s">
        <v>608</v>
      </c>
      <c r="K573" s="253" t="s">
        <v>48</v>
      </c>
      <c r="L573" s="655"/>
      <c r="M573" s="655" t="s">
        <v>34</v>
      </c>
      <c r="N573" s="253" t="s">
        <v>3161</v>
      </c>
      <c r="O573" s="253" t="s">
        <v>1321</v>
      </c>
      <c r="P573" s="656">
        <v>37505</v>
      </c>
      <c r="Q573" s="657">
        <v>207.82828000000001</v>
      </c>
      <c r="R573" s="657">
        <v>212.13625830120486</v>
      </c>
      <c r="S573" s="253">
        <v>33</v>
      </c>
      <c r="T573" s="658">
        <v>1.7324977690841292E-2</v>
      </c>
      <c r="U573" s="659">
        <v>0.86631905752796279</v>
      </c>
      <c r="V573" s="658">
        <v>0.13370279421158826</v>
      </c>
      <c r="W573" s="659">
        <v>1.0369066269606457</v>
      </c>
      <c r="X573" s="658">
        <v>0.1903096806825495</v>
      </c>
      <c r="Y573" s="659">
        <v>0.98561242346492961</v>
      </c>
      <c r="Z573" s="658">
        <v>0.18996597942738869</v>
      </c>
      <c r="AA573" s="659">
        <v>0.8577490205727849</v>
      </c>
      <c r="AB573" s="658">
        <v>3.0853717621733081E-2</v>
      </c>
      <c r="AC573" s="660">
        <v>0.15424023850687585</v>
      </c>
      <c r="AD573" s="682">
        <v>12219414000195</v>
      </c>
      <c r="AE573" s="944" t="s">
        <v>1762</v>
      </c>
      <c r="AF573" s="661" t="s">
        <v>1729</v>
      </c>
      <c r="AG573" s="662" t="s">
        <v>1433</v>
      </c>
      <c r="AH573" s="662" t="s">
        <v>1734</v>
      </c>
      <c r="AI573" s="662">
        <v>500</v>
      </c>
      <c r="AJ573" s="662">
        <v>500</v>
      </c>
      <c r="AK573" s="662">
        <v>500</v>
      </c>
      <c r="AL573" s="658">
        <v>2.5000000000000001E-2</v>
      </c>
      <c r="AM573" s="658">
        <v>0.2</v>
      </c>
      <c r="AN573" s="659" t="s">
        <v>64</v>
      </c>
      <c r="AO573" s="253" t="s">
        <v>34</v>
      </c>
      <c r="AP573" s="944" t="s">
        <v>1746</v>
      </c>
      <c r="AQ573" s="663" t="s">
        <v>674</v>
      </c>
      <c r="AR573" s="658">
        <v>6.4000000000000003E-3</v>
      </c>
      <c r="AS573" s="658">
        <v>6.4000000000000003E-3</v>
      </c>
      <c r="AT573" s="658" t="s">
        <v>1417</v>
      </c>
      <c r="AU573" s="658" t="s">
        <v>2751</v>
      </c>
      <c r="AX573"/>
      <c r="AY573"/>
      <c r="BA573"/>
      <c r="BB573"/>
      <c r="BC573"/>
      <c r="BD573"/>
      <c r="BE573"/>
      <c r="BF573"/>
      <c r="BG573"/>
      <c r="BH573"/>
      <c r="BI573"/>
      <c r="BJ573"/>
      <c r="BR573"/>
      <c r="BS573"/>
      <c r="BT573"/>
      <c r="BU573"/>
      <c r="BX573"/>
      <c r="BY573"/>
      <c r="CA573"/>
    </row>
    <row r="574" spans="2:79" ht="18.75">
      <c r="B574" s="252" t="s">
        <v>174</v>
      </c>
      <c r="C574" s="251">
        <v>29298540000185</v>
      </c>
      <c r="D574" s="252" t="s">
        <v>13</v>
      </c>
      <c r="E574" s="252" t="s">
        <v>615</v>
      </c>
      <c r="F574" s="252" t="s">
        <v>619</v>
      </c>
      <c r="G574" s="253" t="s">
        <v>34</v>
      </c>
      <c r="H574" s="253" t="s">
        <v>865</v>
      </c>
      <c r="I574" s="253" t="s">
        <v>34</v>
      </c>
      <c r="J574" s="253" t="s">
        <v>1417</v>
      </c>
      <c r="K574" s="253" t="s">
        <v>48</v>
      </c>
      <c r="L574" s="655"/>
      <c r="M574" s="655" t="s">
        <v>34</v>
      </c>
      <c r="N574" s="253" t="s">
        <v>3163</v>
      </c>
      <c r="O574" s="253" t="s">
        <v>1321</v>
      </c>
      <c r="P574" s="656">
        <v>43162</v>
      </c>
      <c r="Q574" s="657">
        <v>70.70028542</v>
      </c>
      <c r="R574" s="657">
        <v>101.25964517322578</v>
      </c>
      <c r="S574" s="253">
        <v>33</v>
      </c>
      <c r="T574" s="658">
        <v>-9.6624699111075296E-3</v>
      </c>
      <c r="U574" s="659">
        <v>-0.48316263236564622</v>
      </c>
      <c r="V574" s="658">
        <v>8.3102824912298923E-2</v>
      </c>
      <c r="W574" s="659">
        <v>0.64448817527587998</v>
      </c>
      <c r="X574" s="658">
        <v>0.11123905539882406</v>
      </c>
      <c r="Y574" s="659">
        <v>0.57610624211213812</v>
      </c>
      <c r="Z574" s="658">
        <v>0.18171224874867753</v>
      </c>
      <c r="AA574" s="659">
        <v>0.82048114014979523</v>
      </c>
      <c r="AB574" s="658">
        <v>5.0987761623115593E-2</v>
      </c>
      <c r="AC574" s="660">
        <v>-0.89906054071036356</v>
      </c>
      <c r="AD574" s="682">
        <v>29054797000191</v>
      </c>
      <c r="AE574" s="944" t="s">
        <v>1762</v>
      </c>
      <c r="AF574" s="661" t="s">
        <v>1729</v>
      </c>
      <c r="AG574" s="662" t="s">
        <v>1433</v>
      </c>
      <c r="AH574" s="662" t="s">
        <v>1734</v>
      </c>
      <c r="AI574" s="662">
        <v>1000</v>
      </c>
      <c r="AJ574" s="662">
        <v>1</v>
      </c>
      <c r="AK574" s="662">
        <v>1000</v>
      </c>
      <c r="AL574" s="658">
        <v>0.02</v>
      </c>
      <c r="AM574" s="658">
        <v>0.2</v>
      </c>
      <c r="AN574" s="659" t="s">
        <v>64</v>
      </c>
      <c r="AO574" s="253" t="s">
        <v>34</v>
      </c>
      <c r="AP574" s="944" t="s">
        <v>1746</v>
      </c>
      <c r="AQ574" s="663" t="s">
        <v>664</v>
      </c>
      <c r="AR574" s="658">
        <v>6.6666666666666697E-3</v>
      </c>
      <c r="AS574" s="658">
        <v>6.6666666666666697E-3</v>
      </c>
      <c r="AT574" s="658" t="s">
        <v>1417</v>
      </c>
      <c r="AU574" s="658" t="s">
        <v>2751</v>
      </c>
      <c r="AX574"/>
      <c r="AY574"/>
      <c r="BA574"/>
      <c r="BB574"/>
      <c r="BC574"/>
      <c r="BD574"/>
      <c r="BE574"/>
      <c r="BF574"/>
      <c r="BG574"/>
      <c r="BH574"/>
      <c r="BI574"/>
      <c r="BJ574"/>
      <c r="BR574"/>
      <c r="BS574"/>
      <c r="BT574"/>
      <c r="BU574"/>
      <c r="BX574"/>
      <c r="BY574"/>
      <c r="CA574"/>
    </row>
    <row r="575" spans="2:79" ht="18.75">
      <c r="B575" s="252" t="s">
        <v>1542</v>
      </c>
      <c r="C575" s="251">
        <v>11357735000193</v>
      </c>
      <c r="D575" s="252" t="s">
        <v>14</v>
      </c>
      <c r="E575" s="252" t="s">
        <v>607</v>
      </c>
      <c r="F575" s="252" t="s">
        <v>1417</v>
      </c>
      <c r="G575" s="253" t="s">
        <v>1417</v>
      </c>
      <c r="H575" s="253" t="s">
        <v>34</v>
      </c>
      <c r="I575" s="253" t="s">
        <v>34</v>
      </c>
      <c r="J575" s="253" t="s">
        <v>608</v>
      </c>
      <c r="K575" s="253" t="s">
        <v>48</v>
      </c>
      <c r="L575" s="655"/>
      <c r="M575" s="655" t="s">
        <v>34</v>
      </c>
      <c r="N575" s="253" t="s">
        <v>3164</v>
      </c>
      <c r="O575" s="253" t="s">
        <v>1321</v>
      </c>
      <c r="P575" s="656">
        <v>40145</v>
      </c>
      <c r="Q575" s="657">
        <v>584.12592500000005</v>
      </c>
      <c r="R575" s="657">
        <v>525.91889877079984</v>
      </c>
      <c r="S575" s="253">
        <v>33</v>
      </c>
      <c r="T575" s="658">
        <v>-1.6357053484864048E-2</v>
      </c>
      <c r="U575" s="659">
        <v>-0.81791892675469258</v>
      </c>
      <c r="V575" s="658">
        <v>-1.401478195534489E-2</v>
      </c>
      <c r="W575" s="659">
        <v>-0.10868897969258805</v>
      </c>
      <c r="X575" s="658">
        <v>4.2568387654689843E-2</v>
      </c>
      <c r="Y575" s="659">
        <v>0.22046136365137944</v>
      </c>
      <c r="Z575" s="658">
        <v>0.11725366870125842</v>
      </c>
      <c r="AA575" s="659">
        <v>0.5294327952311747</v>
      </c>
      <c r="AB575" s="658">
        <v>0.22734406817242159</v>
      </c>
      <c r="AC575" s="660">
        <v>-0.62882085532889709</v>
      </c>
      <c r="AD575" s="682">
        <v>0</v>
      </c>
      <c r="AE575" s="944" t="s">
        <v>1762</v>
      </c>
      <c r="AF575" s="661" t="s">
        <v>1783</v>
      </c>
      <c r="AG575" s="662" t="s">
        <v>736</v>
      </c>
      <c r="AH575" s="662" t="s">
        <v>1734</v>
      </c>
      <c r="AI575" s="662">
        <v>5000</v>
      </c>
      <c r="AJ575" s="662">
        <v>1000</v>
      </c>
      <c r="AK575" s="662">
        <v>5000</v>
      </c>
      <c r="AL575" s="658">
        <v>5.0000000000000001E-3</v>
      </c>
      <c r="AM575" s="658">
        <v>0</v>
      </c>
      <c r="AN575" s="659" t="s">
        <v>34</v>
      </c>
      <c r="AO575" s="253" t="s">
        <v>34</v>
      </c>
      <c r="AP575" s="944" t="s">
        <v>1731</v>
      </c>
      <c r="AQ575" s="663" t="s">
        <v>659</v>
      </c>
      <c r="AR575" s="658">
        <v>0</v>
      </c>
      <c r="AS575" s="658">
        <v>0</v>
      </c>
      <c r="AT575" s="658" t="s">
        <v>1417</v>
      </c>
      <c r="AU575" s="658" t="s">
        <v>2751</v>
      </c>
      <c r="AX575"/>
      <c r="AY575"/>
      <c r="BA575"/>
      <c r="BB575"/>
      <c r="BC575"/>
      <c r="BD575"/>
      <c r="BE575"/>
      <c r="BF575"/>
      <c r="BG575"/>
      <c r="BH575"/>
      <c r="BI575"/>
      <c r="BJ575"/>
      <c r="BR575"/>
      <c r="BS575"/>
      <c r="BT575"/>
      <c r="BU575"/>
      <c r="BX575"/>
      <c r="BY575"/>
      <c r="CA575"/>
    </row>
    <row r="576" spans="2:79" ht="18.75">
      <c r="B576" s="252" t="s">
        <v>905</v>
      </c>
      <c r="C576" s="251">
        <v>11403850000157</v>
      </c>
      <c r="D576" s="252" t="s">
        <v>14</v>
      </c>
      <c r="E576" s="252" t="s">
        <v>607</v>
      </c>
      <c r="F576" s="252" t="s">
        <v>1417</v>
      </c>
      <c r="G576" s="253" t="s">
        <v>1417</v>
      </c>
      <c r="H576" s="253" t="s">
        <v>34</v>
      </c>
      <c r="I576" s="253" t="s">
        <v>34</v>
      </c>
      <c r="J576" s="253" t="s">
        <v>608</v>
      </c>
      <c r="K576" s="253" t="s">
        <v>48</v>
      </c>
      <c r="L576" s="655"/>
      <c r="M576" s="655" t="s">
        <v>1414</v>
      </c>
      <c r="N576" s="253" t="s">
        <v>3165</v>
      </c>
      <c r="O576" s="253" t="s">
        <v>1321</v>
      </c>
      <c r="P576" s="656">
        <v>40256</v>
      </c>
      <c r="Q576" s="657">
        <v>545.94695999999999</v>
      </c>
      <c r="R576" s="657">
        <v>451.25162375403255</v>
      </c>
      <c r="S576" s="253">
        <v>33</v>
      </c>
      <c r="T576" s="658">
        <v>-1.3849789147030611E-2</v>
      </c>
      <c r="U576" s="659">
        <v>-0.69254555445456001</v>
      </c>
      <c r="V576" s="658">
        <v>-1.970728558369117E-2</v>
      </c>
      <c r="W576" s="659">
        <v>-0.15283611043159687</v>
      </c>
      <c r="X576" s="658">
        <v>2.3576971414907888E-2</v>
      </c>
      <c r="Y576" s="659">
        <v>0.12210495993092971</v>
      </c>
      <c r="Z576" s="658">
        <v>8.7978412795195693E-2</v>
      </c>
      <c r="AA576" s="659">
        <v>0.3972469051253037</v>
      </c>
      <c r="AB576" s="658">
        <v>0.22933013037229991</v>
      </c>
      <c r="AC576" s="660">
        <v>-0.64819740340772358</v>
      </c>
      <c r="AD576" s="682">
        <v>11357735000193</v>
      </c>
      <c r="AE576" s="944" t="s">
        <v>1762</v>
      </c>
      <c r="AF576" s="661" t="s">
        <v>1783</v>
      </c>
      <c r="AG576" s="662" t="s">
        <v>736</v>
      </c>
      <c r="AH576" s="662" t="s">
        <v>1734</v>
      </c>
      <c r="AI576" s="662">
        <v>1000</v>
      </c>
      <c r="AJ576" s="662">
        <v>1000</v>
      </c>
      <c r="AK576" s="662">
        <v>1000</v>
      </c>
      <c r="AL576" s="658">
        <v>1.4999999999999999E-2</v>
      </c>
      <c r="AM576" s="658">
        <v>0.2</v>
      </c>
      <c r="AN576" s="659" t="s">
        <v>2160</v>
      </c>
      <c r="AO576" s="253" t="s">
        <v>34</v>
      </c>
      <c r="AP576" s="944" t="s">
        <v>1731</v>
      </c>
      <c r="AQ576" s="663" t="s">
        <v>659</v>
      </c>
      <c r="AR576" s="658">
        <v>3.5000000000000001E-3</v>
      </c>
      <c r="AS576" s="658">
        <v>3.5000000000000001E-3</v>
      </c>
      <c r="AT576" s="658" t="s">
        <v>1417</v>
      </c>
      <c r="AU576" s="658" t="s">
        <v>2751</v>
      </c>
      <c r="AX576"/>
      <c r="AY576"/>
      <c r="BA576"/>
      <c r="BB576"/>
      <c r="BC576"/>
      <c r="BD576"/>
      <c r="BE576"/>
      <c r="BF576"/>
      <c r="BG576"/>
      <c r="BH576"/>
      <c r="BI576"/>
      <c r="BJ576"/>
      <c r="BR576"/>
      <c r="BS576"/>
      <c r="BT576"/>
      <c r="BU576"/>
      <c r="BX576"/>
      <c r="BY576"/>
      <c r="CA576"/>
    </row>
    <row r="577" spans="2:79" ht="18.75">
      <c r="B577" s="252" t="s">
        <v>175</v>
      </c>
      <c r="C577" s="251">
        <v>41969763000122</v>
      </c>
      <c r="D577" s="252" t="s">
        <v>14</v>
      </c>
      <c r="E577" s="252" t="s">
        <v>607</v>
      </c>
      <c r="F577" s="252" t="s">
        <v>1417</v>
      </c>
      <c r="G577" s="253" t="s">
        <v>1417</v>
      </c>
      <c r="H577" s="253" t="s">
        <v>34</v>
      </c>
      <c r="I577" s="253" t="s">
        <v>34</v>
      </c>
      <c r="J577" s="253" t="s">
        <v>608</v>
      </c>
      <c r="K577" s="253" t="s">
        <v>48</v>
      </c>
      <c r="L577" s="655"/>
      <c r="M577" s="655" t="s">
        <v>34</v>
      </c>
      <c r="N577" s="253" t="s">
        <v>3166</v>
      </c>
      <c r="O577" s="253" t="s">
        <v>1321</v>
      </c>
      <c r="P577" s="656">
        <v>44343</v>
      </c>
      <c r="Q577" s="657">
        <v>13.74896863</v>
      </c>
      <c r="R577" s="657">
        <v>34.599067464658646</v>
      </c>
      <c r="S577" s="253">
        <v>32</v>
      </c>
      <c r="T577" s="658">
        <v>2.2293873483982596E-2</v>
      </c>
      <c r="U577" s="659">
        <v>1.1147839731707951</v>
      </c>
      <c r="V577" s="658">
        <v>-4.203158415859809E-2</v>
      </c>
      <c r="W577" s="659">
        <v>-0.32596796807951123</v>
      </c>
      <c r="X577" s="658"/>
      <c r="Y577" s="659"/>
      <c r="Z577" s="658"/>
      <c r="AA577" s="659"/>
      <c r="AB577" s="658">
        <v>0.20756962934769788</v>
      </c>
      <c r="AC577" s="660">
        <v>-0.82370187846212828</v>
      </c>
      <c r="AD577" s="682">
        <v>41884201000186</v>
      </c>
      <c r="AE577" s="944" t="s">
        <v>1797</v>
      </c>
      <c r="AF577" s="661" t="s">
        <v>1745</v>
      </c>
      <c r="AG577" s="662" t="s">
        <v>1432</v>
      </c>
      <c r="AH577" s="662" t="s">
        <v>1730</v>
      </c>
      <c r="AI577" s="662">
        <v>5000</v>
      </c>
      <c r="AJ577" s="662">
        <v>1000</v>
      </c>
      <c r="AK577" s="662">
        <v>1000</v>
      </c>
      <c r="AL577" s="658">
        <v>0</v>
      </c>
      <c r="AM577" s="658">
        <v>0</v>
      </c>
      <c r="AN577" s="659" t="s">
        <v>34</v>
      </c>
      <c r="AO577" s="253" t="s">
        <v>34</v>
      </c>
      <c r="AP577" s="944" t="s">
        <v>1731</v>
      </c>
      <c r="AQ577" s="663" t="s">
        <v>659</v>
      </c>
      <c r="AR577" s="658">
        <v>4.0000000000000001E-3</v>
      </c>
      <c r="AS577" s="658">
        <v>4.0000000000000001E-3</v>
      </c>
      <c r="AT577" s="658" t="s">
        <v>1417</v>
      </c>
      <c r="AU577" s="658" t="s">
        <v>2751</v>
      </c>
      <c r="AX577"/>
      <c r="AY577"/>
      <c r="BA577"/>
      <c r="BB577"/>
      <c r="BC577"/>
      <c r="BD577"/>
      <c r="BE577"/>
      <c r="BF577"/>
      <c r="BG577"/>
      <c r="BH577"/>
      <c r="BI577"/>
      <c r="BJ577"/>
      <c r="BR577"/>
      <c r="BS577"/>
      <c r="BT577"/>
      <c r="BU577"/>
      <c r="BX577"/>
      <c r="BY577"/>
      <c r="CA577"/>
    </row>
    <row r="578" spans="2:79" ht="18.75">
      <c r="B578" s="252" t="s">
        <v>548</v>
      </c>
      <c r="C578" s="251">
        <v>43214601000100</v>
      </c>
      <c r="D578" s="252" t="s">
        <v>13</v>
      </c>
      <c r="E578" s="252" t="s">
        <v>615</v>
      </c>
      <c r="F578" s="252" t="s">
        <v>619</v>
      </c>
      <c r="G578" s="253" t="s">
        <v>34</v>
      </c>
      <c r="H578" s="253" t="s">
        <v>1338</v>
      </c>
      <c r="I578" s="253" t="s">
        <v>34</v>
      </c>
      <c r="J578" s="253" t="s">
        <v>1417</v>
      </c>
      <c r="K578" s="253" t="s">
        <v>48</v>
      </c>
      <c r="L578" s="655"/>
      <c r="M578" s="655" t="s">
        <v>34</v>
      </c>
      <c r="N578" s="253" t="s">
        <v>3168</v>
      </c>
      <c r="O578" s="253" t="s">
        <v>1321</v>
      </c>
      <c r="P578" s="656">
        <v>44437</v>
      </c>
      <c r="Q578" s="657">
        <v>269.00593707000002</v>
      </c>
      <c r="R578" s="657">
        <v>226.79599157140359</v>
      </c>
      <c r="S578" s="253">
        <v>31</v>
      </c>
      <c r="T578" s="658">
        <v>2.2900257254028222E-3</v>
      </c>
      <c r="U578" s="659">
        <v>0.11451056177662676</v>
      </c>
      <c r="V578" s="658">
        <v>3.319654006870465E-2</v>
      </c>
      <c r="W578" s="659">
        <v>0.25744946163900795</v>
      </c>
      <c r="X578" s="658"/>
      <c r="Y578" s="659"/>
      <c r="Z578" s="658"/>
      <c r="AA578" s="659"/>
      <c r="AB578" s="658">
        <v>5.2938830906046758E-2</v>
      </c>
      <c r="AC578" s="660">
        <v>-1.8086415536454032</v>
      </c>
      <c r="AD578" s="682">
        <v>43280179000190</v>
      </c>
      <c r="AE578" s="944" t="s">
        <v>2062</v>
      </c>
      <c r="AF578" s="661" t="s">
        <v>1745</v>
      </c>
      <c r="AG578" s="662" t="s">
        <v>1432</v>
      </c>
      <c r="AH578" s="662" t="s">
        <v>1801</v>
      </c>
      <c r="AI578" s="662">
        <v>500</v>
      </c>
      <c r="AJ578" s="662">
        <v>100</v>
      </c>
      <c r="AK578" s="662">
        <v>100</v>
      </c>
      <c r="AL578" s="658">
        <v>0</v>
      </c>
      <c r="AM578" s="658">
        <v>0</v>
      </c>
      <c r="AN578" s="659" t="s">
        <v>2127</v>
      </c>
      <c r="AO578" s="253" t="s">
        <v>34</v>
      </c>
      <c r="AP578" s="944" t="s">
        <v>1746</v>
      </c>
      <c r="AQ578" s="663" t="s">
        <v>668</v>
      </c>
      <c r="AR578" s="658">
        <v>6.4993500000000001E-3</v>
      </c>
      <c r="AS578" s="658">
        <v>6.4993500000000001E-3</v>
      </c>
      <c r="AT578" s="658" t="s">
        <v>1417</v>
      </c>
      <c r="AU578" s="658" t="s">
        <v>2751</v>
      </c>
      <c r="AX578"/>
      <c r="AY578"/>
      <c r="BA578"/>
      <c r="BB578"/>
      <c r="BC578"/>
      <c r="BD578"/>
      <c r="BE578"/>
      <c r="BF578"/>
      <c r="BG578"/>
      <c r="BH578"/>
      <c r="BI578"/>
      <c r="BJ578"/>
      <c r="BR578"/>
      <c r="BS578"/>
      <c r="BT578"/>
      <c r="BU578"/>
      <c r="BX578"/>
      <c r="BY578"/>
      <c r="CA578"/>
    </row>
    <row r="579" spans="2:79" ht="18.75">
      <c r="B579" s="252" t="s">
        <v>906</v>
      </c>
      <c r="C579" s="251">
        <v>35408329000170</v>
      </c>
      <c r="D579" s="252" t="s">
        <v>11</v>
      </c>
      <c r="E579" s="252" t="s">
        <v>620</v>
      </c>
      <c r="F579" s="252" t="s">
        <v>663</v>
      </c>
      <c r="G579" s="253" t="s">
        <v>738</v>
      </c>
      <c r="H579" s="253" t="s">
        <v>34</v>
      </c>
      <c r="I579" s="253" t="s">
        <v>1417</v>
      </c>
      <c r="J579" s="253" t="s">
        <v>608</v>
      </c>
      <c r="K579" s="253" t="s">
        <v>48</v>
      </c>
      <c r="L579" s="655"/>
      <c r="M579" s="655" t="s">
        <v>34</v>
      </c>
      <c r="N579" s="253" t="s">
        <v>3170</v>
      </c>
      <c r="O579" s="253" t="s">
        <v>1321</v>
      </c>
      <c r="P579" s="656">
        <v>43826</v>
      </c>
      <c r="Q579" s="657">
        <v>0</v>
      </c>
      <c r="R579" s="657">
        <v>0</v>
      </c>
      <c r="S579" s="253">
        <v>1</v>
      </c>
      <c r="T579" s="658"/>
      <c r="U579" s="659"/>
      <c r="V579" s="658"/>
      <c r="W579" s="659"/>
      <c r="X579" s="658"/>
      <c r="Y579" s="659"/>
      <c r="Z579" s="658"/>
      <c r="AA579" s="659"/>
      <c r="AB579" s="658"/>
      <c r="AC579" s="660"/>
      <c r="AD579" s="682">
        <v>35399404000184</v>
      </c>
      <c r="AE579" s="944" t="s">
        <v>2036</v>
      </c>
      <c r="AF579" s="661" t="s">
        <v>1729</v>
      </c>
      <c r="AG579" s="662" t="s">
        <v>1433</v>
      </c>
      <c r="AH579" s="662" t="s">
        <v>1734</v>
      </c>
      <c r="AI579" s="662">
        <v>500</v>
      </c>
      <c r="AJ579" s="662">
        <v>500</v>
      </c>
      <c r="AK579" s="662">
        <v>0</v>
      </c>
      <c r="AL579" s="658">
        <v>3.4999999999999996E-3</v>
      </c>
      <c r="AM579" s="658">
        <v>0</v>
      </c>
      <c r="AN579" s="659" t="s">
        <v>64</v>
      </c>
      <c r="AO579" s="253" t="s">
        <v>34</v>
      </c>
      <c r="AP579" s="944" t="s">
        <v>1735</v>
      </c>
      <c r="AQ579" s="663" t="s">
        <v>675</v>
      </c>
      <c r="AR579" s="658">
        <v>1.08E-3</v>
      </c>
      <c r="AS579" s="658">
        <v>1.08E-3</v>
      </c>
      <c r="AT579" s="658" t="s">
        <v>1417</v>
      </c>
      <c r="AU579" s="658" t="s">
        <v>2751</v>
      </c>
      <c r="AX579"/>
      <c r="AY579"/>
      <c r="BA579"/>
      <c r="BB579"/>
      <c r="BC579"/>
      <c r="BD579"/>
      <c r="BE579"/>
      <c r="BF579"/>
      <c r="BG579"/>
      <c r="BH579"/>
      <c r="BI579"/>
      <c r="BJ579"/>
      <c r="BR579"/>
      <c r="BS579"/>
      <c r="BT579"/>
      <c r="BU579"/>
      <c r="BX579"/>
      <c r="BY579"/>
      <c r="CA579"/>
    </row>
    <row r="580" spans="2:79" ht="18.75">
      <c r="B580" s="252" t="s">
        <v>177</v>
      </c>
      <c r="C580" s="251">
        <v>39800304000179</v>
      </c>
      <c r="D580" s="252" t="s">
        <v>14</v>
      </c>
      <c r="E580" s="252" t="s">
        <v>614</v>
      </c>
      <c r="F580" s="252" t="s">
        <v>1417</v>
      </c>
      <c r="G580" s="253" t="s">
        <v>1417</v>
      </c>
      <c r="H580" s="253" t="s">
        <v>865</v>
      </c>
      <c r="I580" s="253" t="s">
        <v>34</v>
      </c>
      <c r="J580" s="253" t="s">
        <v>608</v>
      </c>
      <c r="K580" s="253" t="s">
        <v>48</v>
      </c>
      <c r="L580" s="655"/>
      <c r="M580" s="655" t="s">
        <v>1414</v>
      </c>
      <c r="N580" s="253" t="s">
        <v>3171</v>
      </c>
      <c r="O580" s="253" t="s">
        <v>1321</v>
      </c>
      <c r="P580" s="656">
        <v>44180</v>
      </c>
      <c r="Q580" s="657">
        <v>0</v>
      </c>
      <c r="R580" s="657">
        <v>0</v>
      </c>
      <c r="S580" s="253">
        <v>32</v>
      </c>
      <c r="T580" s="658"/>
      <c r="U580" s="659"/>
      <c r="V580" s="658"/>
      <c r="W580" s="659"/>
      <c r="X580" s="658"/>
      <c r="Y580" s="659"/>
      <c r="Z580" s="658"/>
      <c r="AA580" s="659"/>
      <c r="AB580" s="658"/>
      <c r="AC580" s="660"/>
      <c r="AD580" s="682">
        <v>39800273000156</v>
      </c>
      <c r="AE580" s="944" t="s">
        <v>2036</v>
      </c>
      <c r="AF580" s="661" t="s">
        <v>1745</v>
      </c>
      <c r="AG580" s="662" t="s">
        <v>1432</v>
      </c>
      <c r="AH580" s="662" t="s">
        <v>1730</v>
      </c>
      <c r="AI580" s="662">
        <v>5000</v>
      </c>
      <c r="AJ580" s="662">
        <v>1000</v>
      </c>
      <c r="AK580" s="662">
        <v>1000</v>
      </c>
      <c r="AL580" s="658">
        <v>1.8500000000000003E-2</v>
      </c>
      <c r="AM580" s="658">
        <v>0.2</v>
      </c>
      <c r="AN580" s="659" t="s">
        <v>34</v>
      </c>
      <c r="AO580" s="253" t="s">
        <v>34</v>
      </c>
      <c r="AP580" s="944" t="s">
        <v>1746</v>
      </c>
      <c r="AQ580" s="663" t="s">
        <v>668</v>
      </c>
      <c r="AR580" s="658">
        <v>0</v>
      </c>
      <c r="AS580" s="658">
        <v>0</v>
      </c>
      <c r="AT580" s="658" t="s">
        <v>1417</v>
      </c>
      <c r="AU580" s="658" t="s">
        <v>2751</v>
      </c>
      <c r="AX580"/>
      <c r="AY580"/>
      <c r="BA580"/>
      <c r="BB580"/>
      <c r="BC580"/>
      <c r="BD580"/>
      <c r="BE580"/>
      <c r="BF580"/>
      <c r="BG580"/>
      <c r="BH580"/>
      <c r="BI580"/>
      <c r="BJ580"/>
      <c r="BR580"/>
      <c r="BS580"/>
      <c r="BT580"/>
      <c r="BU580"/>
      <c r="BX580"/>
      <c r="BY580"/>
      <c r="CA580"/>
    </row>
    <row r="581" spans="2:79" ht="18.75">
      <c r="B581" s="252" t="s">
        <v>580</v>
      </c>
      <c r="C581" s="251">
        <v>40938560000106</v>
      </c>
      <c r="D581" s="252" t="s">
        <v>14</v>
      </c>
      <c r="E581" s="252" t="s">
        <v>607</v>
      </c>
      <c r="F581" s="252" t="s">
        <v>1417</v>
      </c>
      <c r="G581" s="253" t="s">
        <v>1417</v>
      </c>
      <c r="H581" s="253" t="s">
        <v>34</v>
      </c>
      <c r="I581" s="253" t="s">
        <v>34</v>
      </c>
      <c r="J581" s="253" t="s">
        <v>611</v>
      </c>
      <c r="K581" s="253" t="s">
        <v>1417</v>
      </c>
      <c r="L581" s="655"/>
      <c r="M581" s="655" t="s">
        <v>1414</v>
      </c>
      <c r="N581" s="253" t="s">
        <v>3172</v>
      </c>
      <c r="O581" s="253" t="s">
        <v>1321</v>
      </c>
      <c r="P581" s="656">
        <v>44289</v>
      </c>
      <c r="Q581" s="657">
        <v>28.740538820000001</v>
      </c>
      <c r="R581" s="657">
        <v>99.768883298024122</v>
      </c>
      <c r="S581" s="253">
        <v>6</v>
      </c>
      <c r="T581" s="658">
        <v>3.9820151930496372E-2</v>
      </c>
      <c r="U581" s="659">
        <v>1.9911688838297574</v>
      </c>
      <c r="V581" s="658">
        <v>-1.3236973435546306E-2</v>
      </c>
      <c r="W581" s="659">
        <v>-0.10265683344283001</v>
      </c>
      <c r="X581" s="658"/>
      <c r="Y581" s="659"/>
      <c r="Z581" s="658"/>
      <c r="AA581" s="659"/>
      <c r="AB581" s="658">
        <v>0.25261134526176077</v>
      </c>
      <c r="AC581" s="660">
        <v>-0.56284440722566942</v>
      </c>
      <c r="AD581" s="682">
        <v>0</v>
      </c>
      <c r="AE581" s="944" t="s">
        <v>2036</v>
      </c>
      <c r="AF581" s="661" t="s">
        <v>1745</v>
      </c>
      <c r="AG581" s="662" t="s">
        <v>1432</v>
      </c>
      <c r="AH581" s="662" t="s">
        <v>1730</v>
      </c>
      <c r="AI581" s="662">
        <v>0</v>
      </c>
      <c r="AJ581" s="662">
        <v>0</v>
      </c>
      <c r="AK581" s="662">
        <v>0</v>
      </c>
      <c r="AL581" s="658">
        <v>2E-3</v>
      </c>
      <c r="AM581" s="658">
        <v>0</v>
      </c>
      <c r="AN581" s="659" t="s">
        <v>34</v>
      </c>
      <c r="AO581" s="253" t="s">
        <v>34</v>
      </c>
      <c r="AP581" s="944" t="s">
        <v>1731</v>
      </c>
      <c r="AQ581" s="663" t="s">
        <v>687</v>
      </c>
      <c r="AR581" s="658">
        <v>0</v>
      </c>
      <c r="AS581" s="658">
        <v>0</v>
      </c>
      <c r="AT581" s="658" t="s">
        <v>1417</v>
      </c>
      <c r="AU581" s="658" t="s">
        <v>2751</v>
      </c>
      <c r="AX581"/>
      <c r="AY581"/>
      <c r="BA581"/>
      <c r="BB581"/>
      <c r="BC581"/>
      <c r="BD581"/>
      <c r="BE581"/>
      <c r="BF581"/>
      <c r="BG581"/>
      <c r="BH581"/>
      <c r="BI581"/>
      <c r="BJ581"/>
      <c r="BR581"/>
      <c r="BS581"/>
      <c r="BT581"/>
      <c r="BU581"/>
      <c r="BX581"/>
      <c r="BY581"/>
      <c r="CA581"/>
    </row>
    <row r="582" spans="2:79" ht="18.75">
      <c r="B582" s="252" t="s">
        <v>178</v>
      </c>
      <c r="C582" s="251">
        <v>41088640000182</v>
      </c>
      <c r="D582" s="252" t="s">
        <v>14</v>
      </c>
      <c r="E582" s="252" t="s">
        <v>607</v>
      </c>
      <c r="F582" s="252" t="s">
        <v>1417</v>
      </c>
      <c r="G582" s="253" t="s">
        <v>1417</v>
      </c>
      <c r="H582" s="253" t="s">
        <v>34</v>
      </c>
      <c r="I582" s="253" t="s">
        <v>34</v>
      </c>
      <c r="J582" s="253" t="s">
        <v>611</v>
      </c>
      <c r="K582" s="253" t="s">
        <v>48</v>
      </c>
      <c r="L582" s="655"/>
      <c r="M582" s="655" t="s">
        <v>34</v>
      </c>
      <c r="N582" s="253" t="s">
        <v>3173</v>
      </c>
      <c r="O582" s="253" t="s">
        <v>1321</v>
      </c>
      <c r="P582" s="656">
        <v>44297</v>
      </c>
      <c r="Q582" s="657">
        <v>3.93350803</v>
      </c>
      <c r="R582" s="657">
        <v>5.7002302061044148</v>
      </c>
      <c r="S582" s="253">
        <v>6</v>
      </c>
      <c r="T582" s="658">
        <v>3.8071139458387915E-2</v>
      </c>
      <c r="U582" s="659">
        <v>1.9037111760346905</v>
      </c>
      <c r="V582" s="658">
        <v>-2.1135750825027166E-2</v>
      </c>
      <c r="W582" s="659">
        <v>-0.16391430130904566</v>
      </c>
      <c r="X582" s="658"/>
      <c r="Y582" s="659"/>
      <c r="Z582" s="658"/>
      <c r="AA582" s="659"/>
      <c r="AB582" s="658">
        <v>0.25101806358548467</v>
      </c>
      <c r="AC582" s="660">
        <v>-0.59788390575607164</v>
      </c>
      <c r="AD582" s="682">
        <v>40938560000106</v>
      </c>
      <c r="AE582" s="944" t="s">
        <v>2036</v>
      </c>
      <c r="AF582" s="661" t="s">
        <v>1745</v>
      </c>
      <c r="AG582" s="662" t="s">
        <v>1432</v>
      </c>
      <c r="AH582" s="662" t="s">
        <v>1730</v>
      </c>
      <c r="AI582" s="662">
        <v>1000</v>
      </c>
      <c r="AJ582" s="662">
        <v>1000</v>
      </c>
      <c r="AK582" s="662">
        <v>1000</v>
      </c>
      <c r="AL582" s="658">
        <v>8.0000000000000002E-3</v>
      </c>
      <c r="AM582" s="658">
        <v>0</v>
      </c>
      <c r="AN582" s="659" t="s">
        <v>34</v>
      </c>
      <c r="AO582" s="253" t="s">
        <v>34</v>
      </c>
      <c r="AP582" s="944" t="s">
        <v>1731</v>
      </c>
      <c r="AQ582" s="663" t="s">
        <v>687</v>
      </c>
      <c r="AR582" s="658">
        <v>5.3333333333333297E-3</v>
      </c>
      <c r="AS582" s="658">
        <v>5.3333333333333297E-3</v>
      </c>
      <c r="AT582" s="658" t="s">
        <v>1417</v>
      </c>
      <c r="AU582" s="658" t="s">
        <v>2751</v>
      </c>
      <c r="AX582"/>
      <c r="AY582"/>
      <c r="BA582"/>
      <c r="BB582"/>
      <c r="BC582"/>
      <c r="BD582"/>
      <c r="BE582"/>
      <c r="BF582"/>
      <c r="BG582"/>
      <c r="BH582"/>
      <c r="BI582"/>
      <c r="BJ582"/>
      <c r="BR582"/>
      <c r="BS582"/>
      <c r="BT582"/>
      <c r="BU582"/>
      <c r="BX582"/>
      <c r="BY582"/>
      <c r="CA582"/>
    </row>
    <row r="583" spans="2:79" ht="18.75">
      <c r="B583" s="252" t="s">
        <v>907</v>
      </c>
      <c r="C583" s="251">
        <v>37712284000159</v>
      </c>
      <c r="D583" s="252" t="s">
        <v>14</v>
      </c>
      <c r="E583" s="252" t="s">
        <v>607</v>
      </c>
      <c r="F583" s="252" t="s">
        <v>1417</v>
      </c>
      <c r="G583" s="253" t="s">
        <v>1417</v>
      </c>
      <c r="H583" s="253" t="s">
        <v>34</v>
      </c>
      <c r="I583" s="253" t="s">
        <v>34</v>
      </c>
      <c r="J583" s="253" t="s">
        <v>611</v>
      </c>
      <c r="K583" s="253" t="s">
        <v>1417</v>
      </c>
      <c r="L583" s="655"/>
      <c r="M583" s="655" t="s">
        <v>34</v>
      </c>
      <c r="N583" s="253" t="s">
        <v>3174</v>
      </c>
      <c r="O583" s="253" t="s">
        <v>1321</v>
      </c>
      <c r="P583" s="656">
        <v>44188</v>
      </c>
      <c r="Q583" s="657">
        <v>6.2474740300000002</v>
      </c>
      <c r="R583" s="657">
        <v>7.5814070106451634</v>
      </c>
      <c r="S583" s="253">
        <v>6</v>
      </c>
      <c r="T583" s="658">
        <v>8.6575773136619016E-3</v>
      </c>
      <c r="U583" s="659">
        <v>0.43291393228240532</v>
      </c>
      <c r="V583" s="658">
        <v>-8.444259406642074E-2</v>
      </c>
      <c r="W583" s="659">
        <v>-0.65487850049457286</v>
      </c>
      <c r="X583" s="658">
        <v>-8.5234675554770267E-2</v>
      </c>
      <c r="Y583" s="659">
        <v>-0.44142975194686085</v>
      </c>
      <c r="Z583" s="658"/>
      <c r="AA583" s="659"/>
      <c r="AB583" s="658">
        <v>0.27299293764574867</v>
      </c>
      <c r="AC583" s="660">
        <v>-0.7816557649931285</v>
      </c>
      <c r="AD583" s="682">
        <v>37927395000182</v>
      </c>
      <c r="AE583" s="944" t="s">
        <v>2036</v>
      </c>
      <c r="AF583" s="661" t="s">
        <v>1745</v>
      </c>
      <c r="AG583" s="662" t="s">
        <v>1432</v>
      </c>
      <c r="AH583" s="662" t="s">
        <v>1730</v>
      </c>
      <c r="AI583" s="662">
        <v>1000</v>
      </c>
      <c r="AJ583" s="662">
        <v>1000</v>
      </c>
      <c r="AK583" s="662">
        <v>1000</v>
      </c>
      <c r="AL583" s="658">
        <v>8.0000000000000002E-3</v>
      </c>
      <c r="AM583" s="658">
        <v>0</v>
      </c>
      <c r="AN583" s="659" t="s">
        <v>34</v>
      </c>
      <c r="AO583" s="253" t="s">
        <v>34</v>
      </c>
      <c r="AP583" s="944" t="s">
        <v>1731</v>
      </c>
      <c r="AQ583" s="663" t="s">
        <v>687</v>
      </c>
      <c r="AR583" s="658">
        <v>5.3333333333333297E-3</v>
      </c>
      <c r="AS583" s="658">
        <v>5.3333333333333297E-3</v>
      </c>
      <c r="AT583" s="658" t="s">
        <v>1417</v>
      </c>
      <c r="AU583" s="658" t="s">
        <v>2751</v>
      </c>
      <c r="AX583"/>
      <c r="AY583"/>
      <c r="BA583"/>
      <c r="BB583"/>
      <c r="BC583"/>
      <c r="BD583"/>
      <c r="BE583"/>
      <c r="BF583"/>
      <c r="BG583"/>
      <c r="BH583"/>
      <c r="BI583"/>
      <c r="BJ583"/>
      <c r="BR583"/>
      <c r="BS583"/>
      <c r="BT583"/>
      <c r="BU583"/>
      <c r="BX583"/>
      <c r="BY583"/>
      <c r="CA583"/>
    </row>
    <row r="584" spans="2:79" ht="18.75">
      <c r="B584" s="252" t="s">
        <v>908</v>
      </c>
      <c r="C584" s="251">
        <v>28856743000187</v>
      </c>
      <c r="D584" s="252" t="s">
        <v>13</v>
      </c>
      <c r="E584" s="252" t="s">
        <v>615</v>
      </c>
      <c r="F584" s="252" t="s">
        <v>619</v>
      </c>
      <c r="G584" s="253" t="s">
        <v>34</v>
      </c>
      <c r="H584" s="253" t="s">
        <v>865</v>
      </c>
      <c r="I584" s="253" t="s">
        <v>34</v>
      </c>
      <c r="J584" s="253" t="s">
        <v>1417</v>
      </c>
      <c r="K584" s="253" t="s">
        <v>48</v>
      </c>
      <c r="L584" s="655"/>
      <c r="M584" s="655" t="s">
        <v>34</v>
      </c>
      <c r="N584" s="253" t="s">
        <v>3175</v>
      </c>
      <c r="O584" s="253" t="s">
        <v>1321</v>
      </c>
      <c r="P584" s="656">
        <v>43205</v>
      </c>
      <c r="Q584" s="657">
        <v>250.79228889999999</v>
      </c>
      <c r="R584" s="657">
        <v>209.65478186657148</v>
      </c>
      <c r="S584" s="253">
        <v>15</v>
      </c>
      <c r="T584" s="658">
        <v>6.0181194405379834E-3</v>
      </c>
      <c r="U584" s="659">
        <v>0.30093034778184502</v>
      </c>
      <c r="V584" s="658">
        <v>0.16686921584137671</v>
      </c>
      <c r="W584" s="659">
        <v>1.2941225107668934</v>
      </c>
      <c r="X584" s="658">
        <v>0.35693678223897174</v>
      </c>
      <c r="Y584" s="659">
        <v>1.8485729454465178</v>
      </c>
      <c r="Z584" s="658">
        <v>0.46889718696457905</v>
      </c>
      <c r="AA584" s="659">
        <v>2.1172006907791316</v>
      </c>
      <c r="AB584" s="658">
        <v>6.038828293608179E-2</v>
      </c>
      <c r="AC584" s="660">
        <v>0.62802425488286429</v>
      </c>
      <c r="AD584" s="682">
        <v>0</v>
      </c>
      <c r="AE584" s="944" t="s">
        <v>1820</v>
      </c>
      <c r="AF584" s="661" t="s">
        <v>1769</v>
      </c>
      <c r="AG584" s="662" t="s">
        <v>719</v>
      </c>
      <c r="AH584" s="662" t="s">
        <v>1734</v>
      </c>
      <c r="AI584" s="662">
        <v>1000</v>
      </c>
      <c r="AJ584" s="662">
        <v>1000</v>
      </c>
      <c r="AK584" s="662">
        <v>1000</v>
      </c>
      <c r="AL584" s="658">
        <v>0.02</v>
      </c>
      <c r="AM584" s="658">
        <v>0.2</v>
      </c>
      <c r="AN584" s="659" t="s">
        <v>64</v>
      </c>
      <c r="AO584" s="253" t="s">
        <v>34</v>
      </c>
      <c r="AP584" s="944" t="s">
        <v>1746</v>
      </c>
      <c r="AQ584" s="663" t="s">
        <v>668</v>
      </c>
      <c r="AR584" s="658">
        <v>4.0000000000000001E-3</v>
      </c>
      <c r="AS584" s="658">
        <v>4.0000000000000001E-3</v>
      </c>
      <c r="AT584" s="658" t="s">
        <v>1417</v>
      </c>
      <c r="AU584" s="658" t="s">
        <v>2751</v>
      </c>
      <c r="AX584"/>
      <c r="AY584"/>
      <c r="BA584"/>
      <c r="BB584"/>
      <c r="BC584"/>
      <c r="BD584"/>
      <c r="BE584"/>
      <c r="BF584"/>
      <c r="BG584"/>
      <c r="BH584"/>
      <c r="BI584"/>
      <c r="BJ584"/>
      <c r="BR584"/>
      <c r="BS584"/>
      <c r="BT584"/>
      <c r="BU584"/>
      <c r="BX584"/>
      <c r="BY584"/>
      <c r="CA584"/>
    </row>
    <row r="585" spans="2:79" ht="18.75">
      <c r="B585" s="252" t="s">
        <v>909</v>
      </c>
      <c r="C585" s="251">
        <v>11182064000177</v>
      </c>
      <c r="D585" s="252" t="s">
        <v>14</v>
      </c>
      <c r="E585" s="252" t="s">
        <v>607</v>
      </c>
      <c r="F585" s="252" t="s">
        <v>1417</v>
      </c>
      <c r="G585" s="253" t="s">
        <v>1417</v>
      </c>
      <c r="H585" s="253" t="s">
        <v>34</v>
      </c>
      <c r="I585" s="253" t="s">
        <v>34</v>
      </c>
      <c r="J585" s="253" t="s">
        <v>608</v>
      </c>
      <c r="K585" s="253" t="s">
        <v>48</v>
      </c>
      <c r="L585" s="655"/>
      <c r="M585" s="655" t="s">
        <v>34</v>
      </c>
      <c r="N585" s="253" t="s">
        <v>3176</v>
      </c>
      <c r="O585" s="253" t="s">
        <v>1321</v>
      </c>
      <c r="P585" s="656">
        <v>40104</v>
      </c>
      <c r="Q585" s="657">
        <v>1126.5231759999999</v>
      </c>
      <c r="R585" s="657">
        <v>1206.9163314308944</v>
      </c>
      <c r="S585" s="253">
        <v>15</v>
      </c>
      <c r="T585" s="658">
        <v>-2.0138125156527464E-2</v>
      </c>
      <c r="U585" s="659">
        <v>-1.0069878251679214</v>
      </c>
      <c r="V585" s="658">
        <v>-2.776623841058834E-2</v>
      </c>
      <c r="W585" s="659">
        <v>-0.2153357884813219</v>
      </c>
      <c r="X585" s="658">
        <v>8.8055662366697263E-3</v>
      </c>
      <c r="Y585" s="659">
        <v>4.5603962170384857E-2</v>
      </c>
      <c r="Z585" s="658">
        <v>-7.9574367107218325E-2</v>
      </c>
      <c r="AA585" s="659">
        <v>-0.35930031079593922</v>
      </c>
      <c r="AB585" s="658">
        <v>0.18865270350597946</v>
      </c>
      <c r="AC585" s="660">
        <v>-0.8306806366674182</v>
      </c>
      <c r="AD585" s="682">
        <v>0</v>
      </c>
      <c r="AE585" s="944" t="s">
        <v>1820</v>
      </c>
      <c r="AF585" s="661" t="s">
        <v>1769</v>
      </c>
      <c r="AG585" s="662" t="s">
        <v>719</v>
      </c>
      <c r="AH585" s="662" t="s">
        <v>1734</v>
      </c>
      <c r="AI585" s="662">
        <v>1000</v>
      </c>
      <c r="AJ585" s="662">
        <v>1000</v>
      </c>
      <c r="AK585" s="662">
        <v>1000</v>
      </c>
      <c r="AL585" s="658">
        <v>0.02</v>
      </c>
      <c r="AM585" s="658">
        <v>0</v>
      </c>
      <c r="AN585" s="659" t="s">
        <v>666</v>
      </c>
      <c r="AO585" s="253" t="s">
        <v>34</v>
      </c>
      <c r="AP585" s="944" t="s">
        <v>1731</v>
      </c>
      <c r="AQ585" s="663" t="s">
        <v>659</v>
      </c>
      <c r="AR585" s="658">
        <v>4.0000000000000001E-3</v>
      </c>
      <c r="AS585" s="658">
        <v>4.0000000000000001E-3</v>
      </c>
      <c r="AT585" s="658" t="s">
        <v>1417</v>
      </c>
      <c r="AU585" s="658" t="s">
        <v>2751</v>
      </c>
      <c r="AX585"/>
      <c r="AY585"/>
      <c r="BA585"/>
      <c r="BB585"/>
      <c r="BC585"/>
      <c r="BD585"/>
      <c r="BE585"/>
      <c r="BF585"/>
      <c r="BG585"/>
      <c r="BH585"/>
      <c r="BI585"/>
      <c r="BJ585"/>
      <c r="BR585"/>
      <c r="BS585"/>
      <c r="BT585"/>
      <c r="BU585"/>
      <c r="BX585"/>
      <c r="BY585"/>
      <c r="CA585"/>
    </row>
    <row r="586" spans="2:79" ht="18.75">
      <c r="B586" s="252" t="s">
        <v>4445</v>
      </c>
      <c r="C586" s="251">
        <v>33768898000100</v>
      </c>
      <c r="D586" s="252" t="s">
        <v>11</v>
      </c>
      <c r="E586" s="252" t="s">
        <v>620</v>
      </c>
      <c r="F586" s="252" t="s">
        <v>663</v>
      </c>
      <c r="G586" s="253" t="s">
        <v>738</v>
      </c>
      <c r="H586" s="253" t="s">
        <v>34</v>
      </c>
      <c r="I586" s="253" t="s">
        <v>1417</v>
      </c>
      <c r="J586" s="253" t="s">
        <v>608</v>
      </c>
      <c r="K586" s="253" t="s">
        <v>48</v>
      </c>
      <c r="L586" s="655"/>
      <c r="M586" s="655" t="s">
        <v>34</v>
      </c>
      <c r="N586" s="253" t="s">
        <v>3177</v>
      </c>
      <c r="O586" s="253" t="s">
        <v>1321</v>
      </c>
      <c r="P586" s="656">
        <v>44000</v>
      </c>
      <c r="Q586" s="657">
        <v>2.08901577</v>
      </c>
      <c r="R586" s="657">
        <v>3.95930182787755</v>
      </c>
      <c r="S586" s="253">
        <v>9</v>
      </c>
      <c r="T586" s="658">
        <v>-6.4639192851057015E-3</v>
      </c>
      <c r="U586" s="659">
        <v>-0.32322214567525193</v>
      </c>
      <c r="V586" s="658">
        <v>2.4178307436677926E-2</v>
      </c>
      <c r="W586" s="659">
        <v>0.18751027125213429</v>
      </c>
      <c r="X586" s="658">
        <v>7.6070789697152197E-2</v>
      </c>
      <c r="Y586" s="659">
        <v>0.3939700551196193</v>
      </c>
      <c r="Z586" s="658"/>
      <c r="AA586" s="659"/>
      <c r="AB586" s="658">
        <v>8.5998887717581116E-2</v>
      </c>
      <c r="AC586" s="660">
        <v>-1.2182204304102036</v>
      </c>
      <c r="AD586" s="682">
        <v>33768907000154</v>
      </c>
      <c r="AE586" s="944" t="s">
        <v>1820</v>
      </c>
      <c r="AF586" s="661" t="s">
        <v>1769</v>
      </c>
      <c r="AG586" s="662" t="s">
        <v>719</v>
      </c>
      <c r="AH586" s="662" t="s">
        <v>1801</v>
      </c>
      <c r="AI586" s="662">
        <v>0</v>
      </c>
      <c r="AJ586" s="662">
        <v>0</v>
      </c>
      <c r="AK586" s="662">
        <v>0</v>
      </c>
      <c r="AL586" s="658">
        <v>8.0000000000000002E-3</v>
      </c>
      <c r="AM586" s="658">
        <v>0</v>
      </c>
      <c r="AN586" s="659" t="s">
        <v>64</v>
      </c>
      <c r="AO586" s="253" t="s">
        <v>4397</v>
      </c>
      <c r="AP586" s="944" t="s">
        <v>1746</v>
      </c>
      <c r="AQ586" s="663" t="s">
        <v>2177</v>
      </c>
      <c r="AR586" s="658">
        <v>0</v>
      </c>
      <c r="AS586" s="658">
        <v>0</v>
      </c>
      <c r="AT586" s="658" t="s">
        <v>1417</v>
      </c>
      <c r="AU586" s="658" t="s">
        <v>2751</v>
      </c>
      <c r="AX586"/>
      <c r="AY586"/>
      <c r="BA586"/>
      <c r="BB586"/>
      <c r="BC586"/>
      <c r="BD586"/>
      <c r="BE586"/>
      <c r="BF586"/>
      <c r="BG586"/>
      <c r="BH586"/>
      <c r="BI586"/>
      <c r="BJ586"/>
      <c r="BR586"/>
      <c r="BS586"/>
      <c r="BT586"/>
      <c r="BU586"/>
      <c r="BX586"/>
      <c r="BY586"/>
      <c r="CA586"/>
    </row>
    <row r="587" spans="2:79" ht="18.75">
      <c r="B587" s="252" t="s">
        <v>910</v>
      </c>
      <c r="C587" s="251">
        <v>41707420000190</v>
      </c>
      <c r="D587" s="252" t="s">
        <v>11</v>
      </c>
      <c r="E587" s="252" t="s">
        <v>620</v>
      </c>
      <c r="F587" s="252" t="s">
        <v>663</v>
      </c>
      <c r="G587" s="253" t="s">
        <v>738</v>
      </c>
      <c r="H587" s="253" t="s">
        <v>34</v>
      </c>
      <c r="I587" s="253" t="s">
        <v>1417</v>
      </c>
      <c r="J587" s="253" t="s">
        <v>608</v>
      </c>
      <c r="K587" s="253" t="s">
        <v>48</v>
      </c>
      <c r="L587" s="655"/>
      <c r="M587" s="655" t="s">
        <v>34</v>
      </c>
      <c r="N587" s="253" t="s">
        <v>3178</v>
      </c>
      <c r="O587" s="253" t="s">
        <v>1321</v>
      </c>
      <c r="P587" s="656">
        <v>44330</v>
      </c>
      <c r="Q587" s="657">
        <v>109.53388081</v>
      </c>
      <c r="R587" s="657">
        <v>96.053637400755562</v>
      </c>
      <c r="S587" s="253">
        <v>30</v>
      </c>
      <c r="T587" s="658">
        <v>-1.2460452606327777E-2</v>
      </c>
      <c r="U587" s="659">
        <v>-0.62307310005901317</v>
      </c>
      <c r="V587" s="658">
        <v>0.10688939532484332</v>
      </c>
      <c r="W587" s="659">
        <v>0.82896040443813024</v>
      </c>
      <c r="X587" s="658"/>
      <c r="Y587" s="659"/>
      <c r="Z587" s="658"/>
      <c r="AA587" s="659"/>
      <c r="AB587" s="658">
        <v>2.3028257405696237E-2</v>
      </c>
      <c r="AC587" s="660">
        <v>-0.95771528576407439</v>
      </c>
      <c r="AD587" s="682">
        <v>0</v>
      </c>
      <c r="AE587" s="944" t="s">
        <v>1962</v>
      </c>
      <c r="AF587" s="661" t="s">
        <v>1745</v>
      </c>
      <c r="AG587" s="662" t="s">
        <v>1432</v>
      </c>
      <c r="AH587" s="662" t="s">
        <v>1734</v>
      </c>
      <c r="AI587" s="662">
        <v>0</v>
      </c>
      <c r="AJ587" s="662">
        <v>0</v>
      </c>
      <c r="AK587" s="662">
        <v>0</v>
      </c>
      <c r="AL587" s="658">
        <v>5.0000000000000001E-3</v>
      </c>
      <c r="AM587" s="658">
        <v>0.2</v>
      </c>
      <c r="AN587" s="659" t="s">
        <v>2127</v>
      </c>
      <c r="AO587" s="253" t="s">
        <v>34</v>
      </c>
      <c r="AP587" s="944" t="s">
        <v>1746</v>
      </c>
      <c r="AQ587" s="663" t="s">
        <v>668</v>
      </c>
      <c r="AR587" s="658">
        <v>6.6666666666666697E-4</v>
      </c>
      <c r="AS587" s="658">
        <v>6.6666666666666697E-4</v>
      </c>
      <c r="AT587" s="658" t="s">
        <v>1417</v>
      </c>
      <c r="AU587" s="658" t="s">
        <v>2751</v>
      </c>
      <c r="AX587"/>
      <c r="AY587"/>
      <c r="BA587"/>
      <c r="BB587"/>
      <c r="BC587"/>
      <c r="BD587"/>
      <c r="BE587"/>
      <c r="BF587"/>
      <c r="BG587"/>
      <c r="BH587"/>
      <c r="BI587"/>
      <c r="BJ587"/>
      <c r="BR587"/>
      <c r="BS587"/>
      <c r="BT587"/>
      <c r="BU587"/>
      <c r="BX587"/>
      <c r="BY587"/>
      <c r="CA587"/>
    </row>
    <row r="588" spans="2:79" ht="18.75">
      <c r="B588" s="252" t="s">
        <v>911</v>
      </c>
      <c r="C588" s="251">
        <v>11977572000141</v>
      </c>
      <c r="D588" s="252" t="s">
        <v>14</v>
      </c>
      <c r="E588" s="252" t="s">
        <v>607</v>
      </c>
      <c r="F588" s="252" t="s">
        <v>1317</v>
      </c>
      <c r="G588" s="253" t="s">
        <v>1417</v>
      </c>
      <c r="H588" s="253" t="s">
        <v>34</v>
      </c>
      <c r="I588" s="253" t="s">
        <v>34</v>
      </c>
      <c r="J588" s="253" t="s">
        <v>608</v>
      </c>
      <c r="K588" s="253" t="s">
        <v>48</v>
      </c>
      <c r="L588" s="655"/>
      <c r="M588" s="655" t="s">
        <v>34</v>
      </c>
      <c r="N588" s="253" t="s">
        <v>3179</v>
      </c>
      <c r="O588" s="253" t="s">
        <v>1324</v>
      </c>
      <c r="P588" s="656">
        <v>40534</v>
      </c>
      <c r="Q588" s="657">
        <v>13.976658</v>
      </c>
      <c r="R588" s="657">
        <v>25.942209342741954</v>
      </c>
      <c r="S588" s="253">
        <v>62</v>
      </c>
      <c r="T588" s="658">
        <v>-2.9355023793061208E-2</v>
      </c>
      <c r="U588" s="659">
        <v>-1.4678700890656557</v>
      </c>
      <c r="V588" s="658">
        <v>-0.16853201521684835</v>
      </c>
      <c r="W588" s="659">
        <v>-1.3070180355156436</v>
      </c>
      <c r="X588" s="658">
        <v>-0.39720582954922767</v>
      </c>
      <c r="Y588" s="659">
        <v>-2.0571260425235423</v>
      </c>
      <c r="Z588" s="658">
        <v>-0.27367854132916025</v>
      </c>
      <c r="AA588" s="659">
        <v>-1.2357344272088673</v>
      </c>
      <c r="AB588" s="658">
        <v>0.26114688368626765</v>
      </c>
      <c r="AC588" s="660">
        <v>-1.1391134386310098</v>
      </c>
      <c r="AD588" s="682">
        <v>38386961000159</v>
      </c>
      <c r="AE588" s="944" t="s">
        <v>1835</v>
      </c>
      <c r="AF588" s="661" t="s">
        <v>1729</v>
      </c>
      <c r="AG588" s="662" t="s">
        <v>1432</v>
      </c>
      <c r="AH588" s="662" t="s">
        <v>1730</v>
      </c>
      <c r="AI588" s="662">
        <v>50000</v>
      </c>
      <c r="AJ588" s="662">
        <v>5000</v>
      </c>
      <c r="AK588" s="662">
        <v>5000</v>
      </c>
      <c r="AL588" s="658">
        <v>2.2000000000000002E-2</v>
      </c>
      <c r="AM588" s="658">
        <v>0.2</v>
      </c>
      <c r="AN588" s="659" t="s">
        <v>2127</v>
      </c>
      <c r="AO588" s="253" t="s">
        <v>34</v>
      </c>
      <c r="AP588" s="944" t="s">
        <v>1731</v>
      </c>
      <c r="AQ588" s="663" t="s">
        <v>665</v>
      </c>
      <c r="AR588" s="658">
        <v>5.3333333333333297E-3</v>
      </c>
      <c r="AS588" s="658">
        <v>5.3333333333333297E-3</v>
      </c>
      <c r="AT588" s="658" t="s">
        <v>1417</v>
      </c>
      <c r="AU588" s="658" t="s">
        <v>2751</v>
      </c>
      <c r="AX588"/>
      <c r="AY588"/>
      <c r="BA588"/>
      <c r="BB588"/>
      <c r="BC588"/>
      <c r="BD588"/>
      <c r="BE588"/>
      <c r="BF588"/>
      <c r="BG588"/>
      <c r="BH588"/>
      <c r="BI588"/>
      <c r="BJ588"/>
      <c r="BR588"/>
      <c r="BS588"/>
      <c r="BT588"/>
      <c r="BU588"/>
      <c r="BX588"/>
      <c r="BY588"/>
      <c r="CA588"/>
    </row>
    <row r="589" spans="2:79" ht="18.75">
      <c r="B589" s="252" t="s">
        <v>4384</v>
      </c>
      <c r="C589" s="251">
        <v>29550612000130</v>
      </c>
      <c r="D589" s="252" t="s">
        <v>13</v>
      </c>
      <c r="E589" s="252" t="s">
        <v>615</v>
      </c>
      <c r="F589" s="252" t="s">
        <v>619</v>
      </c>
      <c r="G589" s="253" t="s">
        <v>34</v>
      </c>
      <c r="H589" s="253" t="s">
        <v>1338</v>
      </c>
      <c r="I589" s="253" t="s">
        <v>34</v>
      </c>
      <c r="J589" s="253" t="s">
        <v>608</v>
      </c>
      <c r="K589" s="253" t="s">
        <v>48</v>
      </c>
      <c r="L589" s="655"/>
      <c r="M589" s="655" t="s">
        <v>34</v>
      </c>
      <c r="N589" s="253" t="s">
        <v>3180</v>
      </c>
      <c r="O589" s="253" t="s">
        <v>1321</v>
      </c>
      <c r="P589" s="656">
        <v>43315</v>
      </c>
      <c r="Q589" s="657">
        <v>35.541971269999998</v>
      </c>
      <c r="R589" s="657">
        <v>52.556585768790328</v>
      </c>
      <c r="S589" s="253">
        <v>9</v>
      </c>
      <c r="T589" s="658">
        <v>-7.1721456914481951E-3</v>
      </c>
      <c r="U589" s="659">
        <v>-0.35863633458837207</v>
      </c>
      <c r="V589" s="658">
        <v>-8.8565469651112561E-2</v>
      </c>
      <c r="W589" s="659">
        <v>-0.68685267905314384</v>
      </c>
      <c r="X589" s="658">
        <v>-0.25820900776186106</v>
      </c>
      <c r="Y589" s="659">
        <v>-1.3372625343487248</v>
      </c>
      <c r="Z589" s="658">
        <v>-0.17366039458997207</v>
      </c>
      <c r="AA589" s="659">
        <v>-0.78412478813748976</v>
      </c>
      <c r="AB589" s="658">
        <v>0.1829182200145148</v>
      </c>
      <c r="AC589" s="660">
        <v>-1.1891072364504818</v>
      </c>
      <c r="AD589" s="682">
        <v>0</v>
      </c>
      <c r="AE589" s="944" t="s">
        <v>1835</v>
      </c>
      <c r="AF589" s="661" t="s">
        <v>1745</v>
      </c>
      <c r="AG589" s="662" t="s">
        <v>1432</v>
      </c>
      <c r="AH589" s="662" t="s">
        <v>1801</v>
      </c>
      <c r="AI589" s="662">
        <v>5000</v>
      </c>
      <c r="AJ589" s="662">
        <v>0</v>
      </c>
      <c r="AK589" s="662">
        <v>1000</v>
      </c>
      <c r="AL589" s="658">
        <v>1.8000000000000002E-2</v>
      </c>
      <c r="AM589" s="658">
        <v>0.2</v>
      </c>
      <c r="AN589" s="659" t="s">
        <v>34</v>
      </c>
      <c r="AO589" s="253" t="s">
        <v>4400</v>
      </c>
      <c r="AP589" s="944" t="s">
        <v>1746</v>
      </c>
      <c r="AQ589" s="663" t="s">
        <v>2177</v>
      </c>
      <c r="AR589" s="658">
        <v>0</v>
      </c>
      <c r="AS589" s="658">
        <v>0</v>
      </c>
      <c r="AT589" s="658" t="s">
        <v>1417</v>
      </c>
      <c r="AU589" s="658" t="s">
        <v>2751</v>
      </c>
      <c r="AX589"/>
      <c r="AY589"/>
      <c r="BA589"/>
      <c r="BB589"/>
      <c r="BC589"/>
      <c r="BD589"/>
      <c r="BE589"/>
      <c r="BF589"/>
      <c r="BG589"/>
      <c r="BH589"/>
      <c r="BI589"/>
      <c r="BJ589"/>
      <c r="BR589"/>
      <c r="BS589"/>
      <c r="BT589"/>
      <c r="BU589"/>
      <c r="BX589"/>
      <c r="BY589"/>
      <c r="CA589"/>
    </row>
    <row r="590" spans="2:79" ht="18.75">
      <c r="B590" s="252" t="s">
        <v>4446</v>
      </c>
      <c r="C590" s="251">
        <v>43619032000182</v>
      </c>
      <c r="D590" s="252" t="s">
        <v>14</v>
      </c>
      <c r="E590" s="252" t="s">
        <v>607</v>
      </c>
      <c r="F590" s="252" t="s">
        <v>1417</v>
      </c>
      <c r="G590" s="253" t="s">
        <v>1417</v>
      </c>
      <c r="H590" s="253" t="s">
        <v>1417</v>
      </c>
      <c r="I590" s="253" t="s">
        <v>1417</v>
      </c>
      <c r="J590" s="253" t="s">
        <v>608</v>
      </c>
      <c r="K590" s="253" t="s">
        <v>48</v>
      </c>
      <c r="L590" s="655"/>
      <c r="M590" s="655" t="s">
        <v>34</v>
      </c>
      <c r="N590" s="253" t="s">
        <v>4447</v>
      </c>
      <c r="O590" s="253" t="s">
        <v>1321</v>
      </c>
      <c r="P590" s="656">
        <v>44607</v>
      </c>
      <c r="Q590" s="657"/>
      <c r="R590" s="657"/>
      <c r="S590" s="253">
        <v>42</v>
      </c>
      <c r="T590" s="658"/>
      <c r="U590" s="659"/>
      <c r="V590" s="658"/>
      <c r="W590" s="659"/>
      <c r="X590" s="658"/>
      <c r="Y590" s="659"/>
      <c r="Z590" s="658"/>
      <c r="AA590" s="659"/>
      <c r="AB590" s="658"/>
      <c r="AC590" s="660"/>
      <c r="AD590" s="682">
        <v>43584103000159</v>
      </c>
      <c r="AE590" s="944" t="s">
        <v>1835</v>
      </c>
      <c r="AF590" s="661" t="s">
        <v>1745</v>
      </c>
      <c r="AG590" s="662" t="s">
        <v>1432</v>
      </c>
      <c r="AH590" s="662" t="s">
        <v>2119</v>
      </c>
      <c r="AI590" s="662">
        <v>0</v>
      </c>
      <c r="AJ590" s="662">
        <v>0</v>
      </c>
      <c r="AK590" s="662">
        <v>0</v>
      </c>
      <c r="AL590" s="658">
        <v>0</v>
      </c>
      <c r="AM590" s="658">
        <v>0</v>
      </c>
      <c r="AN590" s="659" t="s">
        <v>2127</v>
      </c>
      <c r="AO590" s="253" t="s">
        <v>4400</v>
      </c>
      <c r="AP590" s="944" t="s">
        <v>1731</v>
      </c>
      <c r="AQ590" s="663" t="s">
        <v>4448</v>
      </c>
      <c r="AR590" s="658">
        <v>0</v>
      </c>
      <c r="AS590" s="658">
        <v>0</v>
      </c>
      <c r="AT590" s="658" t="s">
        <v>1417</v>
      </c>
      <c r="AU590" s="658" t="s">
        <v>2751</v>
      </c>
      <c r="AX590"/>
      <c r="AY590"/>
      <c r="BA590"/>
      <c r="BB590"/>
      <c r="BC590"/>
      <c r="BD590"/>
      <c r="BE590"/>
      <c r="BF590"/>
      <c r="BG590"/>
      <c r="BH590"/>
      <c r="BI590"/>
      <c r="BJ590"/>
      <c r="BR590"/>
      <c r="BS590"/>
      <c r="BT590"/>
      <c r="BU590"/>
      <c r="BX590"/>
      <c r="BY590"/>
      <c r="CA590"/>
    </row>
    <row r="591" spans="2:79" ht="18.75">
      <c r="B591" s="252" t="s">
        <v>912</v>
      </c>
      <c r="C591" s="251">
        <v>38948507000144</v>
      </c>
      <c r="D591" s="252" t="s">
        <v>14</v>
      </c>
      <c r="E591" s="252" t="s">
        <v>607</v>
      </c>
      <c r="F591" s="252" t="s">
        <v>1317</v>
      </c>
      <c r="G591" s="253" t="s">
        <v>1417</v>
      </c>
      <c r="H591" s="253" t="s">
        <v>34</v>
      </c>
      <c r="I591" s="253" t="s">
        <v>34</v>
      </c>
      <c r="J591" s="253" t="s">
        <v>608</v>
      </c>
      <c r="K591" s="253" t="s">
        <v>48</v>
      </c>
      <c r="L591" s="655"/>
      <c r="M591" s="655" t="s">
        <v>1414</v>
      </c>
      <c r="N591" s="253" t="s">
        <v>3181</v>
      </c>
      <c r="O591" s="253" t="s">
        <v>1321</v>
      </c>
      <c r="P591" s="656">
        <v>44106</v>
      </c>
      <c r="Q591" s="657">
        <v>6.7179368400000001</v>
      </c>
      <c r="R591" s="657">
        <v>9.1063962676305259</v>
      </c>
      <c r="S591" s="253">
        <v>122</v>
      </c>
      <c r="T591" s="658">
        <v>-3.3447963285279769E-2</v>
      </c>
      <c r="U591" s="659">
        <v>-1.6725336416941949</v>
      </c>
      <c r="V591" s="658">
        <v>-0.21009722088407545</v>
      </c>
      <c r="W591" s="659">
        <v>-1.6293690937824161</v>
      </c>
      <c r="X591" s="658">
        <v>-0.39181654787728493</v>
      </c>
      <c r="Y591" s="659">
        <v>-2.0292149927526215</v>
      </c>
      <c r="Z591" s="658"/>
      <c r="AA591" s="659"/>
      <c r="AB591" s="658">
        <v>0.27875489391172087</v>
      </c>
      <c r="AC591" s="660">
        <v>-1.2162696969124245</v>
      </c>
      <c r="AD591" s="682">
        <v>18872811000148</v>
      </c>
      <c r="AE591" s="944" t="s">
        <v>1797</v>
      </c>
      <c r="AF591" s="661" t="s">
        <v>1745</v>
      </c>
      <c r="AG591" s="662" t="s">
        <v>1432</v>
      </c>
      <c r="AH591" s="662" t="s">
        <v>1730</v>
      </c>
      <c r="AI591" s="662">
        <v>0</v>
      </c>
      <c r="AJ591" s="662">
        <v>0</v>
      </c>
      <c r="AK591" s="662">
        <v>0</v>
      </c>
      <c r="AL591" s="658">
        <v>5.0000000000000001E-3</v>
      </c>
      <c r="AM591" s="658">
        <v>0.05</v>
      </c>
      <c r="AN591" s="659" t="s">
        <v>34</v>
      </c>
      <c r="AO591" s="253" t="s">
        <v>34</v>
      </c>
      <c r="AP591" s="944" t="s">
        <v>1731</v>
      </c>
      <c r="AQ591" s="663" t="s">
        <v>659</v>
      </c>
      <c r="AR591" s="658">
        <v>3.3333333333333301E-3</v>
      </c>
      <c r="AS591" s="658">
        <v>3.3333333333333301E-3</v>
      </c>
      <c r="AT591" s="658" t="s">
        <v>1417</v>
      </c>
      <c r="AU591" s="658" t="s">
        <v>2751</v>
      </c>
      <c r="AX591"/>
      <c r="AY591"/>
      <c r="BA591"/>
      <c r="BB591"/>
      <c r="BC591"/>
      <c r="BD591"/>
      <c r="BE591"/>
      <c r="BF591"/>
      <c r="BG591"/>
      <c r="BH591"/>
      <c r="BI591"/>
      <c r="BJ591"/>
      <c r="BR591"/>
      <c r="BS591"/>
      <c r="BT591"/>
      <c r="BU591"/>
      <c r="BX591"/>
      <c r="BY591"/>
      <c r="CA591"/>
    </row>
    <row r="592" spans="2:79" ht="18.75">
      <c r="B592" s="252" t="s">
        <v>914</v>
      </c>
      <c r="C592" s="251">
        <v>36352596000136</v>
      </c>
      <c r="D592" s="252" t="s">
        <v>14</v>
      </c>
      <c r="E592" s="252" t="s">
        <v>607</v>
      </c>
      <c r="F592" s="252" t="s">
        <v>1317</v>
      </c>
      <c r="G592" s="253" t="s">
        <v>1417</v>
      </c>
      <c r="H592" s="253" t="s">
        <v>34</v>
      </c>
      <c r="I592" s="253" t="s">
        <v>34</v>
      </c>
      <c r="J592" s="253" t="s">
        <v>608</v>
      </c>
      <c r="K592" s="253" t="s">
        <v>48</v>
      </c>
      <c r="L592" s="655"/>
      <c r="M592" s="655" t="s">
        <v>1414</v>
      </c>
      <c r="N592" s="253" t="s">
        <v>3183</v>
      </c>
      <c r="O592" s="253" t="s">
        <v>1321</v>
      </c>
      <c r="P592" s="656">
        <v>43950</v>
      </c>
      <c r="Q592" s="657">
        <v>23.794000270000002</v>
      </c>
      <c r="R592" s="657">
        <v>38.539695309268289</v>
      </c>
      <c r="S592" s="253">
        <v>62</v>
      </c>
      <c r="T592" s="658">
        <v>5.6055336248124865E-2</v>
      </c>
      <c r="U592" s="659">
        <v>2.8029938586045269</v>
      </c>
      <c r="V592" s="658">
        <v>-0.22227385173483571</v>
      </c>
      <c r="W592" s="659">
        <v>-1.7238026416948533</v>
      </c>
      <c r="X592" s="658">
        <v>-0.41697250304036992</v>
      </c>
      <c r="Y592" s="659">
        <v>-2.1594974977935584</v>
      </c>
      <c r="Z592" s="658"/>
      <c r="AA592" s="659"/>
      <c r="AB592" s="658">
        <v>0.31723041539907959</v>
      </c>
      <c r="AC592" s="660">
        <v>-1.1071377274457999</v>
      </c>
      <c r="AD592" s="682">
        <v>42870670000109</v>
      </c>
      <c r="AE592" s="944" t="s">
        <v>1835</v>
      </c>
      <c r="AF592" s="661" t="s">
        <v>1729</v>
      </c>
      <c r="AG592" s="662" t="s">
        <v>1432</v>
      </c>
      <c r="AH592" s="662" t="s">
        <v>1730</v>
      </c>
      <c r="AI592" s="662">
        <v>5000</v>
      </c>
      <c r="AJ592" s="662">
        <v>1000</v>
      </c>
      <c r="AK592" s="662">
        <v>5000</v>
      </c>
      <c r="AL592" s="658">
        <v>0.02</v>
      </c>
      <c r="AM592" s="658">
        <v>0.2</v>
      </c>
      <c r="AN592" s="659" t="s">
        <v>34</v>
      </c>
      <c r="AO592" s="253" t="s">
        <v>34</v>
      </c>
      <c r="AP592" s="944" t="s">
        <v>1731</v>
      </c>
      <c r="AQ592" s="663" t="s">
        <v>659</v>
      </c>
      <c r="AR592" s="658">
        <v>2E-3</v>
      </c>
      <c r="AS592" s="658">
        <v>2E-3</v>
      </c>
      <c r="AT592" s="658" t="s">
        <v>1417</v>
      </c>
      <c r="AU592" s="658" t="s">
        <v>2751</v>
      </c>
      <c r="AX592"/>
      <c r="AY592"/>
      <c r="BA592"/>
      <c r="BB592"/>
      <c r="BC592"/>
      <c r="BD592"/>
      <c r="BE592"/>
      <c r="BF592"/>
      <c r="BG592"/>
      <c r="BH592"/>
      <c r="BI592"/>
      <c r="BJ592"/>
      <c r="BR592"/>
      <c r="BS592"/>
      <c r="BT592"/>
      <c r="BU592"/>
      <c r="BX592"/>
      <c r="BY592"/>
      <c r="CA592"/>
    </row>
    <row r="593" spans="2:79" ht="18.75">
      <c r="B593" s="252" t="s">
        <v>179</v>
      </c>
      <c r="C593" s="251">
        <v>16948298000104</v>
      </c>
      <c r="D593" s="252" t="s">
        <v>14</v>
      </c>
      <c r="E593" s="252" t="s">
        <v>607</v>
      </c>
      <c r="F593" s="252" t="s">
        <v>1317</v>
      </c>
      <c r="G593" s="253" t="s">
        <v>1417</v>
      </c>
      <c r="H593" s="253" t="s">
        <v>34</v>
      </c>
      <c r="I593" s="253" t="s">
        <v>34</v>
      </c>
      <c r="J593" s="253" t="s">
        <v>608</v>
      </c>
      <c r="K593" s="253" t="s">
        <v>48</v>
      </c>
      <c r="L593" s="655"/>
      <c r="M593" s="655" t="s">
        <v>34</v>
      </c>
      <c r="N593" s="253" t="s">
        <v>3184</v>
      </c>
      <c r="O593" s="253" t="s">
        <v>1321</v>
      </c>
      <c r="P593" s="656">
        <v>41249</v>
      </c>
      <c r="Q593" s="657">
        <v>327.22882900000002</v>
      </c>
      <c r="R593" s="657">
        <v>461.51578093172702</v>
      </c>
      <c r="S593" s="253">
        <v>62</v>
      </c>
      <c r="T593" s="658">
        <v>-2.9709265200723811E-2</v>
      </c>
      <c r="U593" s="659">
        <v>-1.4855835942660625</v>
      </c>
      <c r="V593" s="658">
        <v>-0.16923474133989302</v>
      </c>
      <c r="W593" s="659">
        <v>-1.3124678944974257</v>
      </c>
      <c r="X593" s="658">
        <v>-0.39451879903804965</v>
      </c>
      <c r="Y593" s="659">
        <v>-2.0432099314536902</v>
      </c>
      <c r="Z593" s="658">
        <v>-0.27691086823462996</v>
      </c>
      <c r="AA593" s="659">
        <v>-1.250329278590651</v>
      </c>
      <c r="AB593" s="658">
        <v>0.26121784932515851</v>
      </c>
      <c r="AC593" s="660">
        <v>-1.1414941649546881</v>
      </c>
      <c r="AD593" s="682">
        <v>11225860000140</v>
      </c>
      <c r="AE593" s="944" t="s">
        <v>1835</v>
      </c>
      <c r="AF593" s="661" t="s">
        <v>1729</v>
      </c>
      <c r="AG593" s="662" t="s">
        <v>1432</v>
      </c>
      <c r="AH593" s="662" t="s">
        <v>1734</v>
      </c>
      <c r="AI593" s="662">
        <v>50000</v>
      </c>
      <c r="AJ593" s="662">
        <v>1000</v>
      </c>
      <c r="AK593" s="662">
        <v>1000</v>
      </c>
      <c r="AL593" s="658">
        <v>0.02</v>
      </c>
      <c r="AM593" s="658">
        <v>0.2</v>
      </c>
      <c r="AN593" s="659" t="s">
        <v>34</v>
      </c>
      <c r="AO593" s="253" t="s">
        <v>34</v>
      </c>
      <c r="AP593" s="944" t="s">
        <v>1731</v>
      </c>
      <c r="AQ593" s="663" t="s">
        <v>665</v>
      </c>
      <c r="AR593" s="658">
        <v>5.3333333333333297E-3</v>
      </c>
      <c r="AS593" s="658">
        <v>5.3333333333333297E-3</v>
      </c>
      <c r="AT593" s="658" t="s">
        <v>1417</v>
      </c>
      <c r="AU593" s="658" t="s">
        <v>2751</v>
      </c>
      <c r="AX593"/>
      <c r="AY593"/>
      <c r="BA593"/>
      <c r="BB593"/>
      <c r="BC593"/>
      <c r="BD593"/>
      <c r="BE593"/>
      <c r="BF593"/>
      <c r="BG593"/>
      <c r="BH593"/>
      <c r="BI593"/>
      <c r="BJ593"/>
      <c r="BR593"/>
      <c r="BS593"/>
      <c r="BT593"/>
      <c r="BU593"/>
      <c r="BX593"/>
      <c r="BY593"/>
      <c r="CA593"/>
    </row>
    <row r="594" spans="2:79" ht="18.75">
      <c r="B594" s="252" t="s">
        <v>553</v>
      </c>
      <c r="C594" s="251">
        <v>35343074000105</v>
      </c>
      <c r="D594" s="252" t="s">
        <v>14</v>
      </c>
      <c r="E594" s="252" t="s">
        <v>607</v>
      </c>
      <c r="F594" s="252" t="s">
        <v>1317</v>
      </c>
      <c r="G594" s="253" t="s">
        <v>1417</v>
      </c>
      <c r="H594" s="253" t="s">
        <v>34</v>
      </c>
      <c r="I594" s="253" t="s">
        <v>34</v>
      </c>
      <c r="J594" s="253" t="s">
        <v>608</v>
      </c>
      <c r="K594" s="253" t="s">
        <v>48</v>
      </c>
      <c r="L594" s="655"/>
      <c r="M594" s="655" t="s">
        <v>1414</v>
      </c>
      <c r="N594" s="253" t="s">
        <v>3185</v>
      </c>
      <c r="O594" s="253" t="s">
        <v>1321</v>
      </c>
      <c r="P594" s="656">
        <v>43805</v>
      </c>
      <c r="Q594" s="657">
        <v>8.1017867599999995</v>
      </c>
      <c r="R594" s="657">
        <v>19.78871334044177</v>
      </c>
      <c r="S594" s="253">
        <v>62</v>
      </c>
      <c r="T594" s="658">
        <v>-2.9549620517148267E-2</v>
      </c>
      <c r="U594" s="659">
        <v>-1.4776007134634148</v>
      </c>
      <c r="V594" s="658">
        <v>-0.1678464790455878</v>
      </c>
      <c r="W594" s="659">
        <v>-1.301701489940116</v>
      </c>
      <c r="X594" s="658">
        <v>-0.39624108185943929</v>
      </c>
      <c r="Y594" s="659">
        <v>-2.0521296214000646</v>
      </c>
      <c r="Z594" s="658">
        <v>-8.7377400000000049E-2</v>
      </c>
      <c r="AA594" s="659">
        <v>-0.39453316586533366</v>
      </c>
      <c r="AB594" s="658">
        <v>0.26050452939884366</v>
      </c>
      <c r="AC594" s="660">
        <v>-1.139290703226036</v>
      </c>
      <c r="AD594" s="682">
        <v>38386961000159</v>
      </c>
      <c r="AE594" s="944" t="s">
        <v>1835</v>
      </c>
      <c r="AF594" s="661" t="s">
        <v>1745</v>
      </c>
      <c r="AG594" s="662" t="s">
        <v>1432</v>
      </c>
      <c r="AH594" s="662" t="s">
        <v>1730</v>
      </c>
      <c r="AI594" s="662">
        <v>0</v>
      </c>
      <c r="AJ594" s="662">
        <v>0</v>
      </c>
      <c r="AK594" s="662">
        <v>0</v>
      </c>
      <c r="AL594" s="658">
        <v>0.02</v>
      </c>
      <c r="AM594" s="658">
        <v>0.2</v>
      </c>
      <c r="AN594" s="659" t="s">
        <v>34</v>
      </c>
      <c r="AO594" s="253" t="s">
        <v>34</v>
      </c>
      <c r="AP594" s="944" t="s">
        <v>1731</v>
      </c>
      <c r="AQ594" s="663" t="s">
        <v>665</v>
      </c>
      <c r="AR594" s="658">
        <v>3.3333333333333301E-3</v>
      </c>
      <c r="AS594" s="658">
        <v>3.3333333333333301E-3</v>
      </c>
      <c r="AT594" s="658" t="s">
        <v>1417</v>
      </c>
      <c r="AU594" s="658" t="s">
        <v>2751</v>
      </c>
      <c r="AX594"/>
      <c r="AY594"/>
      <c r="BA594"/>
      <c r="BB594"/>
      <c r="BC594"/>
      <c r="BD594"/>
      <c r="BE594"/>
      <c r="BF594"/>
      <c r="BG594"/>
      <c r="BH594"/>
      <c r="BI594"/>
      <c r="BJ594"/>
      <c r="BR594"/>
      <c r="BS594"/>
      <c r="BT594"/>
      <c r="BU594"/>
      <c r="BX594"/>
      <c r="BY594"/>
      <c r="CA594"/>
    </row>
    <row r="595" spans="2:79" ht="18.75">
      <c r="B595" s="252" t="s">
        <v>915</v>
      </c>
      <c r="C595" s="251">
        <v>35136553000150</v>
      </c>
      <c r="D595" s="252" t="s">
        <v>14</v>
      </c>
      <c r="E595" s="252" t="s">
        <v>607</v>
      </c>
      <c r="F595" s="252" t="s">
        <v>1417</v>
      </c>
      <c r="G595" s="253" t="s">
        <v>1417</v>
      </c>
      <c r="H595" s="253" t="s">
        <v>34</v>
      </c>
      <c r="I595" s="253" t="s">
        <v>34</v>
      </c>
      <c r="J595" s="253" t="s">
        <v>608</v>
      </c>
      <c r="K595" s="253" t="s">
        <v>48</v>
      </c>
      <c r="L595" s="655"/>
      <c r="M595" s="655" t="s">
        <v>34</v>
      </c>
      <c r="N595" s="253" t="s">
        <v>3186</v>
      </c>
      <c r="O595" s="253" t="s">
        <v>1321</v>
      </c>
      <c r="P595" s="656">
        <v>43721</v>
      </c>
      <c r="Q595" s="657">
        <v>8.0044794699999997</v>
      </c>
      <c r="R595" s="657">
        <v>19.774633189475811</v>
      </c>
      <c r="S595" s="253">
        <v>32</v>
      </c>
      <c r="T595" s="658">
        <v>-4.2582256491993098E-2</v>
      </c>
      <c r="U595" s="659">
        <v>-2.1292852995163702</v>
      </c>
      <c r="V595" s="658">
        <v>-0.15360537993006784</v>
      </c>
      <c r="W595" s="659">
        <v>-1.1912573504951516</v>
      </c>
      <c r="X595" s="658">
        <v>-0.26541544532673689</v>
      </c>
      <c r="Y595" s="659">
        <v>-1.3745846209992398</v>
      </c>
      <c r="Z595" s="658">
        <v>-0.22883323000000011</v>
      </c>
      <c r="AA595" s="659">
        <v>-1.0332454237261584</v>
      </c>
      <c r="AB595" s="658">
        <v>0.25982139092893758</v>
      </c>
      <c r="AC595" s="660">
        <v>-1.0874750857373972</v>
      </c>
      <c r="AD595" s="682">
        <v>0</v>
      </c>
      <c r="AE595" s="944" t="s">
        <v>2022</v>
      </c>
      <c r="AF595" s="661" t="s">
        <v>1783</v>
      </c>
      <c r="AG595" s="662" t="s">
        <v>736</v>
      </c>
      <c r="AH595" s="662" t="s">
        <v>1734</v>
      </c>
      <c r="AI595" s="662">
        <v>1000</v>
      </c>
      <c r="AJ595" s="662">
        <v>1000</v>
      </c>
      <c r="AK595" s="662">
        <v>1000</v>
      </c>
      <c r="AL595" s="658">
        <v>0.01</v>
      </c>
      <c r="AM595" s="658">
        <v>0.2</v>
      </c>
      <c r="AN595" s="659" t="s">
        <v>666</v>
      </c>
      <c r="AO595" s="253" t="s">
        <v>34</v>
      </c>
      <c r="AP595" s="944" t="s">
        <v>1731</v>
      </c>
      <c r="AQ595" s="663" t="s">
        <v>659</v>
      </c>
      <c r="AR595" s="658">
        <v>4.6672500000000004E-3</v>
      </c>
      <c r="AS595" s="658">
        <v>4.6672500000000004E-3</v>
      </c>
      <c r="AT595" s="658" t="s">
        <v>1417</v>
      </c>
      <c r="AU595" s="658" t="s">
        <v>2751</v>
      </c>
      <c r="AX595"/>
      <c r="AY595"/>
      <c r="BA595"/>
      <c r="BB595"/>
      <c r="BC595"/>
      <c r="BD595"/>
      <c r="BE595"/>
      <c r="BF595"/>
      <c r="BG595"/>
      <c r="BH595"/>
      <c r="BI595"/>
      <c r="BJ595"/>
      <c r="BR595"/>
      <c r="BS595"/>
      <c r="BT595"/>
      <c r="BU595"/>
      <c r="BX595"/>
      <c r="BY595"/>
      <c r="CA595"/>
    </row>
    <row r="596" spans="2:79" ht="18.75">
      <c r="B596" s="252" t="s">
        <v>1545</v>
      </c>
      <c r="C596" s="251">
        <v>36348364000104</v>
      </c>
      <c r="D596" s="252" t="s">
        <v>14</v>
      </c>
      <c r="E596" s="252" t="s">
        <v>15</v>
      </c>
      <c r="F596" s="252" t="s">
        <v>1326</v>
      </c>
      <c r="G596" s="253" t="s">
        <v>1417</v>
      </c>
      <c r="H596" s="253" t="s">
        <v>34</v>
      </c>
      <c r="I596" s="253" t="s">
        <v>1417</v>
      </c>
      <c r="J596" s="253" t="s">
        <v>608</v>
      </c>
      <c r="K596" s="253" t="s">
        <v>48</v>
      </c>
      <c r="L596" s="655"/>
      <c r="M596" s="655" t="s">
        <v>34</v>
      </c>
      <c r="N596" s="253" t="s">
        <v>3187</v>
      </c>
      <c r="O596" s="253" t="s">
        <v>1324</v>
      </c>
      <c r="P596" s="656">
        <v>44062</v>
      </c>
      <c r="Q596" s="657">
        <v>426.72620314</v>
      </c>
      <c r="R596" s="657">
        <v>385.82837215842005</v>
      </c>
      <c r="S596" s="253">
        <v>33</v>
      </c>
      <c r="T596" s="658">
        <v>-2.115192023332324E-3</v>
      </c>
      <c r="U596" s="659">
        <v>-0.10576816852772188</v>
      </c>
      <c r="V596" s="658">
        <v>0.20542860556001186</v>
      </c>
      <c r="W596" s="659">
        <v>1.5931625343249474</v>
      </c>
      <c r="X596" s="658">
        <v>0.27913803979407792</v>
      </c>
      <c r="Y596" s="659">
        <v>1.4456538358740385</v>
      </c>
      <c r="Z596" s="658"/>
      <c r="AA596" s="659"/>
      <c r="AB596" s="658">
        <v>0.10117448934965988</v>
      </c>
      <c r="AC596" s="660">
        <v>0.75596819519287872</v>
      </c>
      <c r="AD596" s="682">
        <v>0</v>
      </c>
      <c r="AE596" s="944" t="s">
        <v>2025</v>
      </c>
      <c r="AF596" s="661" t="s">
        <v>1815</v>
      </c>
      <c r="AG596" s="662" t="s">
        <v>59</v>
      </c>
      <c r="AH596" s="662" t="s">
        <v>1801</v>
      </c>
      <c r="AI596" s="662">
        <v>0</v>
      </c>
      <c r="AJ596" s="662">
        <v>0</v>
      </c>
      <c r="AK596" s="662">
        <v>0</v>
      </c>
      <c r="AL596" s="658">
        <v>0</v>
      </c>
      <c r="AM596" s="658">
        <v>0</v>
      </c>
      <c r="AN596" s="659" t="s">
        <v>2122</v>
      </c>
      <c r="AO596" s="253" t="s">
        <v>34</v>
      </c>
      <c r="AP596" s="944" t="s">
        <v>1746</v>
      </c>
      <c r="AQ596" s="663" t="s">
        <v>671</v>
      </c>
      <c r="AR596" s="658">
        <v>0</v>
      </c>
      <c r="AS596" s="658">
        <v>0</v>
      </c>
      <c r="AT596" s="658" t="s">
        <v>1417</v>
      </c>
      <c r="AU596" s="658" t="s">
        <v>2751</v>
      </c>
      <c r="AX596"/>
      <c r="AY596"/>
      <c r="BA596"/>
      <c r="BB596"/>
      <c r="BC596"/>
      <c r="BD596"/>
      <c r="BE596"/>
      <c r="BF596"/>
      <c r="BG596"/>
      <c r="BH596"/>
      <c r="BI596"/>
      <c r="BJ596"/>
      <c r="BR596"/>
      <c r="BS596"/>
      <c r="BT596"/>
      <c r="BU596"/>
      <c r="BX596"/>
      <c r="BY596"/>
      <c r="CA596"/>
    </row>
    <row r="597" spans="2:79" ht="18.75">
      <c r="B597" s="252" t="s">
        <v>1546</v>
      </c>
      <c r="C597" s="251">
        <v>31608381000110</v>
      </c>
      <c r="D597" s="252" t="s">
        <v>14</v>
      </c>
      <c r="E597" s="252" t="s">
        <v>1417</v>
      </c>
      <c r="F597" s="252" t="s">
        <v>1417</v>
      </c>
      <c r="G597" s="253" t="s">
        <v>1417</v>
      </c>
      <c r="H597" s="253" t="s">
        <v>34</v>
      </c>
      <c r="I597" s="253" t="s">
        <v>1417</v>
      </c>
      <c r="J597" s="253" t="s">
        <v>1417</v>
      </c>
      <c r="K597" s="253" t="s">
        <v>1417</v>
      </c>
      <c r="L597" s="655"/>
      <c r="M597" s="655" t="s">
        <v>34</v>
      </c>
      <c r="N597" s="253" t="s">
        <v>3188</v>
      </c>
      <c r="O597" s="253" t="s">
        <v>1321</v>
      </c>
      <c r="P597" s="656">
        <v>43509</v>
      </c>
      <c r="Q597" s="657">
        <v>17.751827219999999</v>
      </c>
      <c r="R597" s="657">
        <v>29.881901289156605</v>
      </c>
      <c r="S597" s="253">
        <v>32</v>
      </c>
      <c r="T597" s="658">
        <v>-2.7862078948870828E-2</v>
      </c>
      <c r="U597" s="659">
        <v>-1.3932167998412797</v>
      </c>
      <c r="V597" s="658">
        <v>-8.3327290389003883E-2</v>
      </c>
      <c r="W597" s="659">
        <v>-0.64622897464878548</v>
      </c>
      <c r="X597" s="658">
        <v>-0.17931835888737924</v>
      </c>
      <c r="Y597" s="659">
        <v>-0.92868844948332641</v>
      </c>
      <c r="Z597" s="658">
        <v>-0.12928198367001198</v>
      </c>
      <c r="AA597" s="659">
        <v>-0.58374396934081541</v>
      </c>
      <c r="AB597" s="658">
        <v>0.19909000130076535</v>
      </c>
      <c r="AC597" s="660">
        <v>-1.0662072351645326</v>
      </c>
      <c r="AD597" s="682">
        <v>26861621000153</v>
      </c>
      <c r="AE597" s="944" t="s">
        <v>1732</v>
      </c>
      <c r="AF597" s="661" t="s">
        <v>1733</v>
      </c>
      <c r="AG597" s="662" t="s">
        <v>59</v>
      </c>
      <c r="AH597" s="662" t="s">
        <v>1730</v>
      </c>
      <c r="AI597" s="662">
        <v>50000</v>
      </c>
      <c r="AJ597" s="662">
        <v>50000</v>
      </c>
      <c r="AK597" s="662">
        <v>50000</v>
      </c>
      <c r="AL597" s="658">
        <v>1.4999999999999999E-2</v>
      </c>
      <c r="AM597" s="658">
        <v>0.15</v>
      </c>
      <c r="AN597" s="659" t="s">
        <v>666</v>
      </c>
      <c r="AO597" s="253" t="s">
        <v>34</v>
      </c>
      <c r="AP597" s="944" t="s">
        <v>1731</v>
      </c>
      <c r="AQ597" s="663" t="s">
        <v>659</v>
      </c>
      <c r="AR597" s="658">
        <v>0</v>
      </c>
      <c r="AS597" s="658">
        <v>0</v>
      </c>
      <c r="AT597" s="658" t="s">
        <v>1417</v>
      </c>
      <c r="AU597" s="658" t="s">
        <v>2751</v>
      </c>
      <c r="AX597"/>
      <c r="AY597"/>
      <c r="BA597"/>
      <c r="BB597"/>
      <c r="BC597"/>
      <c r="BD597"/>
      <c r="BE597"/>
      <c r="BF597"/>
      <c r="BG597"/>
      <c r="BH597"/>
      <c r="BI597"/>
      <c r="BJ597"/>
      <c r="BR597"/>
      <c r="BS597"/>
      <c r="BT597"/>
      <c r="BU597"/>
      <c r="BX597"/>
      <c r="BY597"/>
      <c r="CA597"/>
    </row>
    <row r="598" spans="2:79" ht="18.75">
      <c r="B598" s="252" t="s">
        <v>1548</v>
      </c>
      <c r="C598" s="251">
        <v>23884623000170</v>
      </c>
      <c r="D598" s="252" t="s">
        <v>13</v>
      </c>
      <c r="E598" s="252" t="s">
        <v>615</v>
      </c>
      <c r="F598" s="252" t="s">
        <v>619</v>
      </c>
      <c r="G598" s="253" t="s">
        <v>34</v>
      </c>
      <c r="H598" s="253" t="s">
        <v>1338</v>
      </c>
      <c r="I598" s="253" t="s">
        <v>34</v>
      </c>
      <c r="J598" s="253" t="s">
        <v>611</v>
      </c>
      <c r="K598" s="253" t="s">
        <v>48</v>
      </c>
      <c r="L598" s="655"/>
      <c r="M598" s="655" t="s">
        <v>34</v>
      </c>
      <c r="N598" s="253" t="s">
        <v>3189</v>
      </c>
      <c r="O598" s="253" t="s">
        <v>1321</v>
      </c>
      <c r="P598" s="656">
        <v>42491</v>
      </c>
      <c r="Q598" s="657">
        <v>25.847023</v>
      </c>
      <c r="R598" s="657">
        <v>68.844134348360711</v>
      </c>
      <c r="S598" s="253">
        <v>31</v>
      </c>
      <c r="T598" s="658">
        <v>1.0228406183608652E-2</v>
      </c>
      <c r="U598" s="659">
        <v>0.5114617382555916</v>
      </c>
      <c r="V598" s="658">
        <v>-4.1091022557401713E-2</v>
      </c>
      <c r="W598" s="659">
        <v>-0.31867362121790532</v>
      </c>
      <c r="X598" s="658">
        <v>-4.5829454197288122E-5</v>
      </c>
      <c r="Y598" s="659">
        <v>-2.3735040306652156E-4</v>
      </c>
      <c r="Z598" s="658">
        <v>1.1168768231178072E-2</v>
      </c>
      <c r="AA598" s="659">
        <v>5.0430082482001579E-2</v>
      </c>
      <c r="AB598" s="658">
        <v>9.0041889870749584E-2</v>
      </c>
      <c r="AC598" s="660">
        <v>-1.8883980805852287</v>
      </c>
      <c r="AD598" s="682">
        <v>23884627000158</v>
      </c>
      <c r="AE598" s="944" t="s">
        <v>1732</v>
      </c>
      <c r="AF598" s="661" t="s">
        <v>1733</v>
      </c>
      <c r="AG598" s="662" t="s">
        <v>1547</v>
      </c>
      <c r="AH598" s="662" t="s">
        <v>1734</v>
      </c>
      <c r="AI598" s="662">
        <v>50000</v>
      </c>
      <c r="AJ598" s="662">
        <v>50000</v>
      </c>
      <c r="AK598" s="662">
        <v>50000</v>
      </c>
      <c r="AL598" s="658">
        <v>2.5000000000000001E-2</v>
      </c>
      <c r="AM598" s="658">
        <v>0</v>
      </c>
      <c r="AN598" s="659" t="s">
        <v>64</v>
      </c>
      <c r="AO598" s="253" t="s">
        <v>34</v>
      </c>
      <c r="AP598" s="944" t="s">
        <v>1746</v>
      </c>
      <c r="AQ598" s="663" t="s">
        <v>664</v>
      </c>
      <c r="AR598" s="658">
        <v>0</v>
      </c>
      <c r="AS598" s="658">
        <v>0</v>
      </c>
      <c r="AT598" s="658" t="s">
        <v>1417</v>
      </c>
      <c r="AU598" s="658" t="s">
        <v>2751</v>
      </c>
      <c r="AX598"/>
      <c r="AY598"/>
      <c r="BA598"/>
      <c r="BB598"/>
      <c r="BC598"/>
      <c r="BD598"/>
      <c r="BE598"/>
      <c r="BF598"/>
      <c r="BG598"/>
      <c r="BH598"/>
      <c r="BI598"/>
      <c r="BJ598"/>
      <c r="BR598"/>
      <c r="BS598"/>
      <c r="BT598"/>
      <c r="BU598"/>
      <c r="BX598"/>
      <c r="BY598"/>
      <c r="CA598"/>
    </row>
    <row r="599" spans="2:79" ht="18.75">
      <c r="B599" s="252" t="s">
        <v>1549</v>
      </c>
      <c r="C599" s="251">
        <v>31594501000177</v>
      </c>
      <c r="D599" s="252" t="s">
        <v>14</v>
      </c>
      <c r="E599" s="252" t="s">
        <v>614</v>
      </c>
      <c r="F599" s="252" t="s">
        <v>1417</v>
      </c>
      <c r="G599" s="253" t="s">
        <v>1417</v>
      </c>
      <c r="H599" s="253" t="s">
        <v>865</v>
      </c>
      <c r="I599" s="253" t="s">
        <v>34</v>
      </c>
      <c r="J599" s="253" t="s">
        <v>608</v>
      </c>
      <c r="K599" s="253" t="s">
        <v>48</v>
      </c>
      <c r="L599" s="655"/>
      <c r="M599" s="655" t="s">
        <v>34</v>
      </c>
      <c r="N599" s="253" t="s">
        <v>3190</v>
      </c>
      <c r="O599" s="253" t="s">
        <v>1324</v>
      </c>
      <c r="P599" s="656">
        <v>43443</v>
      </c>
      <c r="Q599" s="657">
        <v>0</v>
      </c>
      <c r="R599" s="657">
        <v>2.1382199421481496</v>
      </c>
      <c r="S599" s="253">
        <v>32</v>
      </c>
      <c r="T599" s="658"/>
      <c r="U599" s="659"/>
      <c r="V599" s="658">
        <v>2.2734262189021193E-2</v>
      </c>
      <c r="W599" s="659">
        <v>0.17631125259470284</v>
      </c>
      <c r="X599" s="658">
        <v>-0.16589936910649095</v>
      </c>
      <c r="Y599" s="659">
        <v>-0.85919160102581549</v>
      </c>
      <c r="Z599" s="658">
        <v>-8.5414842363498722E-2</v>
      </c>
      <c r="AA599" s="659">
        <v>-0.38567167447829243</v>
      </c>
      <c r="AB599" s="658">
        <v>0.12233238660359243</v>
      </c>
      <c r="AC599" s="660">
        <v>-0.86820547041177565</v>
      </c>
      <c r="AD599" s="682">
        <v>23732231000195</v>
      </c>
      <c r="AE599" s="944" t="s">
        <v>1732</v>
      </c>
      <c r="AF599" s="661" t="s">
        <v>1733</v>
      </c>
      <c r="AG599" s="662" t="s">
        <v>1547</v>
      </c>
      <c r="AH599" s="662" t="s">
        <v>1730</v>
      </c>
      <c r="AI599" s="662">
        <v>100000</v>
      </c>
      <c r="AJ599" s="662">
        <v>50000</v>
      </c>
      <c r="AK599" s="662">
        <v>100000</v>
      </c>
      <c r="AL599" s="658">
        <v>2.2000000000000002E-2</v>
      </c>
      <c r="AM599" s="658">
        <v>0</v>
      </c>
      <c r="AN599" s="659" t="s">
        <v>666</v>
      </c>
      <c r="AO599" s="253" t="s">
        <v>34</v>
      </c>
      <c r="AP599" s="944" t="s">
        <v>1746</v>
      </c>
      <c r="AQ599" s="663" t="s">
        <v>668</v>
      </c>
      <c r="AR599" s="658">
        <v>0</v>
      </c>
      <c r="AS599" s="658">
        <v>0</v>
      </c>
      <c r="AT599" s="658" t="s">
        <v>1417</v>
      </c>
      <c r="AU599" s="658" t="s">
        <v>2751</v>
      </c>
      <c r="AX599"/>
      <c r="AY599"/>
      <c r="BA599"/>
      <c r="BB599"/>
      <c r="BC599"/>
      <c r="BD599"/>
      <c r="BE599"/>
      <c r="BF599"/>
      <c r="BG599"/>
      <c r="BH599"/>
      <c r="BI599"/>
      <c r="BJ599"/>
      <c r="BR599"/>
      <c r="BS599"/>
      <c r="BT599"/>
      <c r="BU599"/>
      <c r="BX599"/>
      <c r="BY599"/>
      <c r="CA599"/>
    </row>
    <row r="600" spans="2:79" ht="18.75">
      <c r="B600" s="252" t="s">
        <v>1550</v>
      </c>
      <c r="C600" s="251">
        <v>31556604000142</v>
      </c>
      <c r="D600" s="252" t="s">
        <v>14</v>
      </c>
      <c r="E600" s="252" t="s">
        <v>1417</v>
      </c>
      <c r="F600" s="252" t="s">
        <v>1417</v>
      </c>
      <c r="G600" s="253" t="s">
        <v>1417</v>
      </c>
      <c r="H600" s="253" t="s">
        <v>34</v>
      </c>
      <c r="I600" s="253" t="s">
        <v>1417</v>
      </c>
      <c r="J600" s="253" t="s">
        <v>1417</v>
      </c>
      <c r="K600" s="253" t="s">
        <v>1417</v>
      </c>
      <c r="L600" s="655"/>
      <c r="M600" s="655" t="s">
        <v>34</v>
      </c>
      <c r="N600" s="253" t="s">
        <v>3191</v>
      </c>
      <c r="O600" s="253" t="s">
        <v>1321</v>
      </c>
      <c r="P600" s="656">
        <v>43863</v>
      </c>
      <c r="Q600" s="657">
        <v>14.04191883</v>
      </c>
      <c r="R600" s="657">
        <v>17.715317447926829</v>
      </c>
      <c r="S600" s="253">
        <v>32</v>
      </c>
      <c r="T600" s="658">
        <v>-3.1644822309002674E-2</v>
      </c>
      <c r="U600" s="659">
        <v>-1.582369289448927</v>
      </c>
      <c r="V600" s="658">
        <v>-9.2217260809163815E-2</v>
      </c>
      <c r="W600" s="659">
        <v>-0.71517345181176917</v>
      </c>
      <c r="X600" s="658">
        <v>-0.25544544182593676</v>
      </c>
      <c r="Y600" s="659">
        <v>-1.3229500468822832</v>
      </c>
      <c r="Z600" s="658">
        <v>-0.22621874654611529</v>
      </c>
      <c r="AA600" s="659">
        <v>-1.0214403066802895</v>
      </c>
      <c r="AB600" s="658">
        <v>0.22321634405513952</v>
      </c>
      <c r="AC600" s="660">
        <v>-0.99079290628163108</v>
      </c>
      <c r="AD600" s="682">
        <v>34839814000136</v>
      </c>
      <c r="AE600" s="944" t="s">
        <v>1732</v>
      </c>
      <c r="AF600" s="661" t="s">
        <v>1733</v>
      </c>
      <c r="AG600" s="662" t="s">
        <v>1547</v>
      </c>
      <c r="AH600" s="662" t="s">
        <v>1730</v>
      </c>
      <c r="AI600" s="662">
        <v>100000</v>
      </c>
      <c r="AJ600" s="662">
        <v>50000</v>
      </c>
      <c r="AK600" s="662">
        <v>100000</v>
      </c>
      <c r="AL600" s="658">
        <v>0</v>
      </c>
      <c r="AM600" s="658">
        <v>0</v>
      </c>
      <c r="AN600" s="659" t="s">
        <v>666</v>
      </c>
      <c r="AO600" s="253" t="s">
        <v>34</v>
      </c>
      <c r="AP600" s="944" t="s">
        <v>1731</v>
      </c>
      <c r="AQ600" s="663" t="s">
        <v>659</v>
      </c>
      <c r="AR600" s="658">
        <v>0</v>
      </c>
      <c r="AS600" s="658">
        <v>0</v>
      </c>
      <c r="AT600" s="658" t="s">
        <v>1417</v>
      </c>
      <c r="AU600" s="658" t="s">
        <v>2751</v>
      </c>
      <c r="AX600"/>
      <c r="AY600"/>
      <c r="BA600"/>
      <c r="BB600"/>
      <c r="BC600"/>
      <c r="BD600"/>
      <c r="BE600"/>
      <c r="BF600"/>
      <c r="BG600"/>
      <c r="BH600"/>
      <c r="BI600"/>
      <c r="BJ600"/>
      <c r="BR600"/>
      <c r="BS600"/>
      <c r="BT600"/>
      <c r="BU600"/>
      <c r="BX600"/>
      <c r="BY600"/>
      <c r="CA600"/>
    </row>
    <row r="601" spans="2:79" ht="18.75">
      <c r="B601" s="252" t="s">
        <v>1551</v>
      </c>
      <c r="C601" s="251">
        <v>28076506000101</v>
      </c>
      <c r="D601" s="252" t="s">
        <v>14</v>
      </c>
      <c r="E601" s="252" t="s">
        <v>1417</v>
      </c>
      <c r="F601" s="252" t="s">
        <v>1417</v>
      </c>
      <c r="G601" s="253" t="s">
        <v>1417</v>
      </c>
      <c r="H601" s="253" t="s">
        <v>34</v>
      </c>
      <c r="I601" s="253" t="s">
        <v>1417</v>
      </c>
      <c r="J601" s="253" t="s">
        <v>1417</v>
      </c>
      <c r="K601" s="253" t="s">
        <v>1417</v>
      </c>
      <c r="L601" s="655"/>
      <c r="M601" s="655" t="s">
        <v>34</v>
      </c>
      <c r="N601" s="253" t="s">
        <v>3192</v>
      </c>
      <c r="O601" s="253" t="s">
        <v>1324</v>
      </c>
      <c r="P601" s="656">
        <v>43033</v>
      </c>
      <c r="Q601" s="657">
        <v>6.9512941699999997</v>
      </c>
      <c r="R601" s="657">
        <v>12.362901988306451</v>
      </c>
      <c r="S601" s="253">
        <v>32</v>
      </c>
      <c r="T601" s="658">
        <v>0.11584738707057385</v>
      </c>
      <c r="U601" s="659">
        <v>5.7928385810915968</v>
      </c>
      <c r="V601" s="658">
        <v>-0.20061691427610306</v>
      </c>
      <c r="W601" s="659">
        <v>-1.5558463764346482</v>
      </c>
      <c r="X601" s="658">
        <v>-0.38631003650086704</v>
      </c>
      <c r="Y601" s="659">
        <v>-2.0006968112124954</v>
      </c>
      <c r="Z601" s="658">
        <v>-0.45766457805391036</v>
      </c>
      <c r="AA601" s="659">
        <v>-2.0664823499443936</v>
      </c>
      <c r="AB601" s="658">
        <v>0.31206473993841088</v>
      </c>
      <c r="AC601" s="660">
        <v>-1.056065558024702</v>
      </c>
      <c r="AD601" s="682">
        <v>12004203000135</v>
      </c>
      <c r="AE601" s="944" t="s">
        <v>1732</v>
      </c>
      <c r="AF601" s="661" t="s">
        <v>1733</v>
      </c>
      <c r="AG601" s="662" t="s">
        <v>1547</v>
      </c>
      <c r="AH601" s="662" t="s">
        <v>1730</v>
      </c>
      <c r="AI601" s="662">
        <v>100000</v>
      </c>
      <c r="AJ601" s="662">
        <v>50000</v>
      </c>
      <c r="AK601" s="662">
        <v>100000</v>
      </c>
      <c r="AL601" s="658">
        <v>0</v>
      </c>
      <c r="AM601" s="658">
        <v>0</v>
      </c>
      <c r="AN601" s="659" t="s">
        <v>666</v>
      </c>
      <c r="AO601" s="253" t="s">
        <v>34</v>
      </c>
      <c r="AP601" s="944" t="s">
        <v>1731</v>
      </c>
      <c r="AQ601" s="663" t="s">
        <v>659</v>
      </c>
      <c r="AR601" s="658">
        <v>0</v>
      </c>
      <c r="AS601" s="658">
        <v>0</v>
      </c>
      <c r="AT601" s="658" t="s">
        <v>1417</v>
      </c>
      <c r="AU601" s="658" t="s">
        <v>2751</v>
      </c>
      <c r="AX601"/>
      <c r="AY601"/>
      <c r="BA601"/>
      <c r="BB601"/>
      <c r="BC601"/>
      <c r="BD601"/>
      <c r="BE601"/>
      <c r="BF601"/>
      <c r="BG601"/>
      <c r="BH601"/>
      <c r="BI601"/>
      <c r="BJ601"/>
      <c r="BR601"/>
      <c r="BS601"/>
      <c r="BT601"/>
      <c r="BU601"/>
      <c r="BX601"/>
      <c r="BY601"/>
      <c r="CA601"/>
    </row>
    <row r="602" spans="2:79" ht="18.75">
      <c r="B602" s="252" t="s">
        <v>1552</v>
      </c>
      <c r="C602" s="251">
        <v>13000859000142</v>
      </c>
      <c r="D602" s="252" t="s">
        <v>13</v>
      </c>
      <c r="E602" s="252" t="s">
        <v>615</v>
      </c>
      <c r="F602" s="252" t="s">
        <v>619</v>
      </c>
      <c r="G602" s="253" t="s">
        <v>34</v>
      </c>
      <c r="H602" s="253" t="s">
        <v>865</v>
      </c>
      <c r="I602" s="253" t="s">
        <v>34</v>
      </c>
      <c r="J602" s="253" t="s">
        <v>611</v>
      </c>
      <c r="K602" s="253" t="s">
        <v>48</v>
      </c>
      <c r="L602" s="655"/>
      <c r="M602" s="655" t="s">
        <v>34</v>
      </c>
      <c r="N602" s="253" t="s">
        <v>3193</v>
      </c>
      <c r="O602" s="253" t="s">
        <v>1324</v>
      </c>
      <c r="P602" s="656">
        <v>40643</v>
      </c>
      <c r="Q602" s="657">
        <v>463.59396900000002</v>
      </c>
      <c r="R602" s="657">
        <v>478.91463990612255</v>
      </c>
      <c r="S602" s="253">
        <v>31</v>
      </c>
      <c r="T602" s="658">
        <v>-6.9543648112291301E-5</v>
      </c>
      <c r="U602" s="659">
        <v>-3.4774640847904563E-3</v>
      </c>
      <c r="V602" s="658">
        <v>0.15551017912624121</v>
      </c>
      <c r="W602" s="659">
        <v>1.2060296588914581</v>
      </c>
      <c r="X602" s="658">
        <v>0.28392651810644387</v>
      </c>
      <c r="Y602" s="659">
        <v>1.4704533295058568</v>
      </c>
      <c r="Z602" s="658">
        <v>0.48244630309490444</v>
      </c>
      <c r="AA602" s="659">
        <v>2.1783787034182622</v>
      </c>
      <c r="AB602" s="658">
        <v>5.7265124166251319E-2</v>
      </c>
      <c r="AC602" s="660">
        <v>0.46391708856381819</v>
      </c>
      <c r="AD602" s="682">
        <v>17137326000168</v>
      </c>
      <c r="AE602" s="944" t="s">
        <v>1732</v>
      </c>
      <c r="AF602" s="661" t="s">
        <v>1733</v>
      </c>
      <c r="AG602" s="662" t="s">
        <v>1547</v>
      </c>
      <c r="AH602" s="662" t="s">
        <v>1734</v>
      </c>
      <c r="AI602" s="662">
        <v>50000</v>
      </c>
      <c r="AJ602" s="662">
        <v>50000</v>
      </c>
      <c r="AK602" s="662">
        <v>50000</v>
      </c>
      <c r="AL602" s="658">
        <v>2.5000000000000001E-2</v>
      </c>
      <c r="AM602" s="658">
        <v>0</v>
      </c>
      <c r="AN602" s="659" t="s">
        <v>64</v>
      </c>
      <c r="AO602" s="253" t="s">
        <v>34</v>
      </c>
      <c r="AP602" s="944" t="s">
        <v>1746</v>
      </c>
      <c r="AQ602" s="663" t="s">
        <v>664</v>
      </c>
      <c r="AR602" s="658">
        <v>0</v>
      </c>
      <c r="AS602" s="658">
        <v>0</v>
      </c>
      <c r="AT602" s="658" t="s">
        <v>1417</v>
      </c>
      <c r="AU602" s="658" t="s">
        <v>2751</v>
      </c>
      <c r="AX602"/>
      <c r="AY602"/>
      <c r="BA602"/>
      <c r="BB602"/>
      <c r="BC602"/>
      <c r="BD602"/>
      <c r="BE602"/>
      <c r="BF602"/>
      <c r="BG602"/>
      <c r="BH602"/>
      <c r="BI602"/>
      <c r="BJ602"/>
      <c r="BR602"/>
      <c r="BS602"/>
      <c r="BT602"/>
      <c r="BU602"/>
      <c r="BX602"/>
      <c r="BY602"/>
      <c r="CA602"/>
    </row>
    <row r="603" spans="2:79" ht="18.75">
      <c r="B603" s="252" t="s">
        <v>1553</v>
      </c>
      <c r="C603" s="251">
        <v>34839747000150</v>
      </c>
      <c r="D603" s="252" t="s">
        <v>14</v>
      </c>
      <c r="E603" s="252" t="s">
        <v>1417</v>
      </c>
      <c r="F603" s="252" t="s">
        <v>1417</v>
      </c>
      <c r="G603" s="253" t="s">
        <v>1417</v>
      </c>
      <c r="H603" s="253" t="s">
        <v>34</v>
      </c>
      <c r="I603" s="253" t="s">
        <v>1417</v>
      </c>
      <c r="J603" s="253" t="s">
        <v>1417</v>
      </c>
      <c r="K603" s="253" t="s">
        <v>1417</v>
      </c>
      <c r="L603" s="655"/>
      <c r="M603" s="655" t="s">
        <v>34</v>
      </c>
      <c r="N603" s="253" t="s">
        <v>3194</v>
      </c>
      <c r="O603" s="253" t="s">
        <v>1321</v>
      </c>
      <c r="P603" s="656">
        <v>43863</v>
      </c>
      <c r="Q603" s="657">
        <v>2.6576302699999999</v>
      </c>
      <c r="R603" s="657">
        <v>7.0928171781451619</v>
      </c>
      <c r="S603" s="253">
        <v>32</v>
      </c>
      <c r="T603" s="658">
        <v>-3.0911368377840254E-2</v>
      </c>
      <c r="U603" s="659">
        <v>-1.545693622113395</v>
      </c>
      <c r="V603" s="658">
        <v>-8.9386131820454851E-2</v>
      </c>
      <c r="W603" s="659">
        <v>-0.69321716864294458</v>
      </c>
      <c r="X603" s="658">
        <v>-0.21147585459884</v>
      </c>
      <c r="Y603" s="659">
        <v>-1.0952318810474055</v>
      </c>
      <c r="Z603" s="658">
        <v>-0.16789949417350492</v>
      </c>
      <c r="AA603" s="659">
        <v>-0.75811272690033116</v>
      </c>
      <c r="AB603" s="658">
        <v>0.22136247062911091</v>
      </c>
      <c r="AC603" s="660">
        <v>-0.98630106831908071</v>
      </c>
      <c r="AD603" s="682">
        <v>34839714000100</v>
      </c>
      <c r="AE603" s="944" t="s">
        <v>1732</v>
      </c>
      <c r="AF603" s="661" t="s">
        <v>1733</v>
      </c>
      <c r="AG603" s="662" t="s">
        <v>1547</v>
      </c>
      <c r="AH603" s="662" t="s">
        <v>1730</v>
      </c>
      <c r="AI603" s="662">
        <v>100000</v>
      </c>
      <c r="AJ603" s="662">
        <v>50000</v>
      </c>
      <c r="AK603" s="662">
        <v>100000</v>
      </c>
      <c r="AL603" s="658">
        <v>0</v>
      </c>
      <c r="AM603" s="658">
        <v>0</v>
      </c>
      <c r="AN603" s="659" t="s">
        <v>666</v>
      </c>
      <c r="AO603" s="253" t="s">
        <v>34</v>
      </c>
      <c r="AP603" s="944" t="s">
        <v>1731</v>
      </c>
      <c r="AQ603" s="663" t="s">
        <v>659</v>
      </c>
      <c r="AR603" s="658">
        <v>0</v>
      </c>
      <c r="AS603" s="658">
        <v>0</v>
      </c>
      <c r="AT603" s="658" t="s">
        <v>1417</v>
      </c>
      <c r="AU603" s="658" t="s">
        <v>2751</v>
      </c>
      <c r="AX603"/>
      <c r="AY603"/>
      <c r="BA603"/>
      <c r="BB603"/>
      <c r="BC603"/>
      <c r="BD603"/>
      <c r="BE603"/>
      <c r="BF603"/>
      <c r="BG603"/>
      <c r="BH603"/>
      <c r="BI603"/>
      <c r="BJ603"/>
      <c r="BR603"/>
      <c r="BS603"/>
      <c r="BT603"/>
      <c r="BU603"/>
      <c r="BX603"/>
      <c r="BY603"/>
      <c r="CA603"/>
    </row>
    <row r="604" spans="2:79" ht="18.75">
      <c r="B604" s="252" t="s">
        <v>1554</v>
      </c>
      <c r="C604" s="251">
        <v>29236579000178</v>
      </c>
      <c r="D604" s="252" t="s">
        <v>13</v>
      </c>
      <c r="E604" s="252" t="s">
        <v>615</v>
      </c>
      <c r="F604" s="252" t="s">
        <v>619</v>
      </c>
      <c r="G604" s="253" t="s">
        <v>34</v>
      </c>
      <c r="H604" s="253" t="s">
        <v>865</v>
      </c>
      <c r="I604" s="253" t="s">
        <v>34</v>
      </c>
      <c r="J604" s="253" t="s">
        <v>611</v>
      </c>
      <c r="K604" s="253" t="s">
        <v>48</v>
      </c>
      <c r="L604" s="655"/>
      <c r="M604" s="655" t="s">
        <v>34</v>
      </c>
      <c r="N604" s="253" t="s">
        <v>3195</v>
      </c>
      <c r="O604" s="253" t="s">
        <v>1321</v>
      </c>
      <c r="P604" s="656">
        <v>43282</v>
      </c>
      <c r="Q604" s="657">
        <v>2098.4417080500002</v>
      </c>
      <c r="R604" s="657">
        <v>1879.2747710386236</v>
      </c>
      <c r="S604" s="253">
        <v>31</v>
      </c>
      <c r="T604" s="658">
        <v>7.7810107666032025E-3</v>
      </c>
      <c r="U604" s="659">
        <v>0.389082054489577</v>
      </c>
      <c r="V604" s="658">
        <v>0.17955665949821542</v>
      </c>
      <c r="W604" s="659">
        <v>1.3925175703805814</v>
      </c>
      <c r="X604" s="658">
        <v>0.28559511718056863</v>
      </c>
      <c r="Y604" s="659">
        <v>1.4790949917236751</v>
      </c>
      <c r="Z604" s="658">
        <v>0.44418640872874016</v>
      </c>
      <c r="AA604" s="659">
        <v>2.0056246817838801</v>
      </c>
      <c r="AB604" s="658">
        <v>5.5144942366064147E-2</v>
      </c>
      <c r="AC604" s="660">
        <v>0.91781309182351856</v>
      </c>
      <c r="AD604" s="682">
        <v>29236572000156</v>
      </c>
      <c r="AE604" s="944" t="s">
        <v>1732</v>
      </c>
      <c r="AF604" s="661" t="s">
        <v>1733</v>
      </c>
      <c r="AG604" s="662" t="s">
        <v>1547</v>
      </c>
      <c r="AH604" s="662" t="s">
        <v>1730</v>
      </c>
      <c r="AI604" s="662">
        <v>200000</v>
      </c>
      <c r="AJ604" s="662">
        <v>50000</v>
      </c>
      <c r="AK604" s="662">
        <v>200000</v>
      </c>
      <c r="AL604" s="658">
        <v>0</v>
      </c>
      <c r="AM604" s="658">
        <v>0</v>
      </c>
      <c r="AN604" s="659" t="s">
        <v>64</v>
      </c>
      <c r="AO604" s="253" t="s">
        <v>34</v>
      </c>
      <c r="AP604" s="944" t="s">
        <v>1746</v>
      </c>
      <c r="AQ604" s="663" t="s">
        <v>664</v>
      </c>
      <c r="AR604" s="658">
        <v>0</v>
      </c>
      <c r="AS604" s="658">
        <v>0</v>
      </c>
      <c r="AT604" s="658" t="s">
        <v>1417</v>
      </c>
      <c r="AU604" s="658" t="s">
        <v>2751</v>
      </c>
      <c r="AX604"/>
      <c r="AY604"/>
      <c r="BA604"/>
      <c r="BB604"/>
      <c r="BC604"/>
      <c r="BD604"/>
      <c r="BE604"/>
      <c r="BF604"/>
      <c r="BG604"/>
      <c r="BH604"/>
      <c r="BI604"/>
      <c r="BJ604"/>
      <c r="BR604"/>
      <c r="BS604"/>
      <c r="BT604"/>
      <c r="BU604"/>
      <c r="BX604"/>
      <c r="BY604"/>
      <c r="CA604"/>
    </row>
    <row r="605" spans="2:79" ht="18.75">
      <c r="B605" s="252" t="s">
        <v>1555</v>
      </c>
      <c r="C605" s="251">
        <v>28075830000105</v>
      </c>
      <c r="D605" s="252" t="s">
        <v>14</v>
      </c>
      <c r="E605" s="252" t="s">
        <v>614</v>
      </c>
      <c r="F605" s="252" t="s">
        <v>1417</v>
      </c>
      <c r="G605" s="253" t="s">
        <v>1417</v>
      </c>
      <c r="H605" s="253" t="s">
        <v>865</v>
      </c>
      <c r="I605" s="253" t="s">
        <v>34</v>
      </c>
      <c r="J605" s="253" t="s">
        <v>608</v>
      </c>
      <c r="K605" s="253" t="s">
        <v>48</v>
      </c>
      <c r="L605" s="655"/>
      <c r="M605" s="655" t="s">
        <v>34</v>
      </c>
      <c r="N605" s="253" t="s">
        <v>3196</v>
      </c>
      <c r="O605" s="253" t="s">
        <v>1321</v>
      </c>
      <c r="P605" s="656">
        <v>42971</v>
      </c>
      <c r="Q605" s="657">
        <v>256.59062030000001</v>
      </c>
      <c r="R605" s="657">
        <v>477.97996901935488</v>
      </c>
      <c r="S605" s="253">
        <v>32</v>
      </c>
      <c r="T605" s="658">
        <v>-9.8325750738755824E-3</v>
      </c>
      <c r="U605" s="659">
        <v>-0.49166857949698151</v>
      </c>
      <c r="V605" s="658">
        <v>-3.2113161979129168E-2</v>
      </c>
      <c r="W605" s="659">
        <v>-0.24904752862624657</v>
      </c>
      <c r="X605" s="658">
        <v>-0.14272658769679081</v>
      </c>
      <c r="Y605" s="659">
        <v>-0.7391799381312969</v>
      </c>
      <c r="Z605" s="658">
        <v>-3.2707404074690305E-2</v>
      </c>
      <c r="AA605" s="659">
        <v>-0.14768298984433356</v>
      </c>
      <c r="AB605" s="658">
        <v>0.16379752008502094</v>
      </c>
      <c r="AC605" s="660">
        <v>-0.98326929090452064</v>
      </c>
      <c r="AD605" s="682">
        <v>28069955000114</v>
      </c>
      <c r="AE605" s="944" t="s">
        <v>1732</v>
      </c>
      <c r="AF605" s="661" t="s">
        <v>1733</v>
      </c>
      <c r="AG605" s="662" t="s">
        <v>1547</v>
      </c>
      <c r="AH605" s="662" t="s">
        <v>1730</v>
      </c>
      <c r="AI605" s="662">
        <v>100000</v>
      </c>
      <c r="AJ605" s="662">
        <v>50000</v>
      </c>
      <c r="AK605" s="662">
        <v>100000</v>
      </c>
      <c r="AL605" s="658">
        <v>0</v>
      </c>
      <c r="AM605" s="658">
        <v>0</v>
      </c>
      <c r="AN605" s="659" t="s">
        <v>2141</v>
      </c>
      <c r="AO605" s="253" t="s">
        <v>34</v>
      </c>
      <c r="AP605" s="944" t="s">
        <v>1746</v>
      </c>
      <c r="AQ605" s="663" t="s">
        <v>668</v>
      </c>
      <c r="AR605" s="658">
        <v>0</v>
      </c>
      <c r="AS605" s="658">
        <v>0</v>
      </c>
      <c r="AT605" s="658" t="s">
        <v>1417</v>
      </c>
      <c r="AU605" s="658" t="s">
        <v>2751</v>
      </c>
      <c r="AX605"/>
      <c r="AY605"/>
      <c r="BA605"/>
      <c r="BB605"/>
      <c r="BC605"/>
      <c r="BD605"/>
      <c r="BE605"/>
      <c r="BF605"/>
      <c r="BG605"/>
      <c r="BH605"/>
      <c r="BI605"/>
      <c r="BJ605"/>
      <c r="BR605"/>
      <c r="BS605"/>
      <c r="BT605"/>
      <c r="BU605"/>
      <c r="BX605"/>
      <c r="BY605"/>
      <c r="CA605"/>
    </row>
    <row r="606" spans="2:79" ht="18.75">
      <c r="B606" s="252" t="s">
        <v>1556</v>
      </c>
      <c r="C606" s="251">
        <v>28075715000122</v>
      </c>
      <c r="D606" s="252" t="s">
        <v>14</v>
      </c>
      <c r="E606" s="252" t="s">
        <v>1417</v>
      </c>
      <c r="F606" s="252" t="s">
        <v>1417</v>
      </c>
      <c r="G606" s="253" t="s">
        <v>1417</v>
      </c>
      <c r="H606" s="253" t="s">
        <v>34</v>
      </c>
      <c r="I606" s="253" t="s">
        <v>1417</v>
      </c>
      <c r="J606" s="253" t="s">
        <v>1417</v>
      </c>
      <c r="K606" s="253" t="s">
        <v>1417</v>
      </c>
      <c r="L606" s="655"/>
      <c r="M606" s="655" t="s">
        <v>34</v>
      </c>
      <c r="N606" s="253" t="s">
        <v>3197</v>
      </c>
      <c r="O606" s="253" t="s">
        <v>1321</v>
      </c>
      <c r="P606" s="656">
        <v>43180</v>
      </c>
      <c r="Q606" s="657">
        <v>23.891096090000001</v>
      </c>
      <c r="R606" s="657">
        <v>122.73847884471773</v>
      </c>
      <c r="S606" s="253">
        <v>32</v>
      </c>
      <c r="T606" s="658">
        <v>-2.0298983601603537E-2</v>
      </c>
      <c r="U606" s="659">
        <v>-1.0150313989618078</v>
      </c>
      <c r="V606" s="658">
        <v>-8.4058773211337035E-2</v>
      </c>
      <c r="W606" s="659">
        <v>-0.65190185075027374</v>
      </c>
      <c r="X606" s="658">
        <v>-0.13061980715872501</v>
      </c>
      <c r="Y606" s="659">
        <v>-0.67647901160099855</v>
      </c>
      <c r="Z606" s="658">
        <v>-0.10646384682263932</v>
      </c>
      <c r="AA606" s="659">
        <v>-0.4807137605048652</v>
      </c>
      <c r="AB606" s="658">
        <v>0.19636545939448494</v>
      </c>
      <c r="AC606" s="660">
        <v>-1.0847258133632218</v>
      </c>
      <c r="AD606" s="682">
        <v>28069948000112</v>
      </c>
      <c r="AE606" s="944" t="s">
        <v>1732</v>
      </c>
      <c r="AF606" s="661" t="s">
        <v>1733</v>
      </c>
      <c r="AG606" s="662" t="s">
        <v>1547</v>
      </c>
      <c r="AH606" s="662" t="s">
        <v>1730</v>
      </c>
      <c r="AI606" s="662">
        <v>100000</v>
      </c>
      <c r="AJ606" s="662">
        <v>50000</v>
      </c>
      <c r="AK606" s="662">
        <v>100000</v>
      </c>
      <c r="AL606" s="658">
        <v>2.8999999999999998E-2</v>
      </c>
      <c r="AM606" s="658">
        <v>0</v>
      </c>
      <c r="AN606" s="659" t="s">
        <v>666</v>
      </c>
      <c r="AO606" s="253" t="s">
        <v>34</v>
      </c>
      <c r="AP606" s="944" t="s">
        <v>1731</v>
      </c>
      <c r="AQ606" s="663" t="s">
        <v>659</v>
      </c>
      <c r="AR606" s="658">
        <v>0</v>
      </c>
      <c r="AS606" s="658">
        <v>0</v>
      </c>
      <c r="AT606" s="658" t="s">
        <v>1417</v>
      </c>
      <c r="AU606" s="658" t="s">
        <v>2751</v>
      </c>
      <c r="AX606"/>
      <c r="AY606"/>
      <c r="BA606"/>
      <c r="BB606"/>
      <c r="BC606"/>
      <c r="BD606"/>
      <c r="BE606"/>
      <c r="BF606"/>
      <c r="BG606"/>
      <c r="BH606"/>
      <c r="BI606"/>
      <c r="BJ606"/>
      <c r="BR606"/>
      <c r="BS606"/>
      <c r="BT606"/>
      <c r="BU606"/>
      <c r="BX606"/>
      <c r="BY606"/>
      <c r="CA606"/>
    </row>
    <row r="607" spans="2:79" ht="18.75">
      <c r="B607" s="252" t="s">
        <v>1557</v>
      </c>
      <c r="C607" s="251">
        <v>31525297000132</v>
      </c>
      <c r="D607" s="252" t="s">
        <v>14</v>
      </c>
      <c r="E607" s="252" t="s">
        <v>614</v>
      </c>
      <c r="F607" s="252" t="s">
        <v>1417</v>
      </c>
      <c r="G607" s="253" t="s">
        <v>1417</v>
      </c>
      <c r="H607" s="253" t="s">
        <v>865</v>
      </c>
      <c r="I607" s="253" t="s">
        <v>34</v>
      </c>
      <c r="J607" s="253" t="s">
        <v>608</v>
      </c>
      <c r="K607" s="253" t="s">
        <v>48</v>
      </c>
      <c r="L607" s="655"/>
      <c r="M607" s="655" t="s">
        <v>34</v>
      </c>
      <c r="N607" s="253" t="s">
        <v>3198</v>
      </c>
      <c r="O607" s="253" t="s">
        <v>1321</v>
      </c>
      <c r="P607" s="656">
        <v>43831</v>
      </c>
      <c r="Q607" s="657">
        <v>16.274431629999999</v>
      </c>
      <c r="R607" s="657">
        <v>21.51850902875502</v>
      </c>
      <c r="S607" s="253">
        <v>12</v>
      </c>
      <c r="T607" s="658">
        <v>-5.2043120319781311E-3</v>
      </c>
      <c r="U607" s="659">
        <v>-0.26023668111319781</v>
      </c>
      <c r="V607" s="658">
        <v>7.7075614891213284E-3</v>
      </c>
      <c r="W607" s="659">
        <v>5.9774529267720318E-2</v>
      </c>
      <c r="X607" s="658">
        <v>7.0598388989317806E-2</v>
      </c>
      <c r="Y607" s="659">
        <v>0.36562853247886157</v>
      </c>
      <c r="Z607" s="658">
        <v>6.9227567313685512E-2</v>
      </c>
      <c r="AA607" s="659">
        <v>0.31258164350763262</v>
      </c>
      <c r="AB607" s="658">
        <v>0.16017959143571306</v>
      </c>
      <c r="AC607" s="660">
        <v>-0.7568776201200661</v>
      </c>
      <c r="AD607" s="682">
        <v>35625272000161</v>
      </c>
      <c r="AE607" s="944" t="s">
        <v>1732</v>
      </c>
      <c r="AF607" s="661" t="s">
        <v>1733</v>
      </c>
      <c r="AG607" s="662" t="s">
        <v>59</v>
      </c>
      <c r="AH607" s="662" t="s">
        <v>1730</v>
      </c>
      <c r="AI607" s="662">
        <v>100000</v>
      </c>
      <c r="AJ607" s="662">
        <v>50000</v>
      </c>
      <c r="AK607" s="662">
        <v>100000</v>
      </c>
      <c r="AL607" s="658">
        <v>0</v>
      </c>
      <c r="AM607" s="658">
        <v>0</v>
      </c>
      <c r="AN607" s="659" t="s">
        <v>2141</v>
      </c>
      <c r="AO607" s="253" t="s">
        <v>34</v>
      </c>
      <c r="AP607" s="944" t="s">
        <v>1731</v>
      </c>
      <c r="AQ607" s="663" t="s">
        <v>659</v>
      </c>
      <c r="AR607" s="658">
        <v>0</v>
      </c>
      <c r="AS607" s="658">
        <v>0</v>
      </c>
      <c r="AT607" s="658" t="s">
        <v>1417</v>
      </c>
      <c r="AU607" s="658" t="s">
        <v>2751</v>
      </c>
      <c r="AX607"/>
      <c r="AY607"/>
      <c r="BA607"/>
      <c r="BB607"/>
      <c r="BC607"/>
      <c r="BD607"/>
      <c r="BE607"/>
      <c r="BF607"/>
      <c r="BG607"/>
      <c r="BH607"/>
      <c r="BI607"/>
      <c r="BJ607"/>
      <c r="BR607"/>
      <c r="BS607"/>
      <c r="BT607"/>
      <c r="BU607"/>
      <c r="BX607"/>
      <c r="BY607"/>
      <c r="CA607"/>
    </row>
    <row r="608" spans="2:79" ht="18.75">
      <c r="B608" s="252" t="s">
        <v>1558</v>
      </c>
      <c r="C608" s="251">
        <v>31608459000104</v>
      </c>
      <c r="D608" s="252" t="s">
        <v>14</v>
      </c>
      <c r="E608" s="252" t="s">
        <v>614</v>
      </c>
      <c r="F608" s="252" t="s">
        <v>1417</v>
      </c>
      <c r="G608" s="253" t="s">
        <v>1417</v>
      </c>
      <c r="H608" s="253" t="s">
        <v>1338</v>
      </c>
      <c r="I608" s="253" t="s">
        <v>34</v>
      </c>
      <c r="J608" s="253" t="s">
        <v>608</v>
      </c>
      <c r="K608" s="253" t="s">
        <v>48</v>
      </c>
      <c r="L608" s="655"/>
      <c r="M608" s="655" t="s">
        <v>34</v>
      </c>
      <c r="N608" s="253" t="s">
        <v>3199</v>
      </c>
      <c r="O608" s="253" t="s">
        <v>1321</v>
      </c>
      <c r="P608" s="656">
        <v>43525</v>
      </c>
      <c r="Q608" s="657">
        <v>30.643015030000001</v>
      </c>
      <c r="R608" s="657">
        <v>34.992724792661257</v>
      </c>
      <c r="S608" s="253">
        <v>32</v>
      </c>
      <c r="T608" s="658">
        <v>-5.0508019391990455E-3</v>
      </c>
      <c r="U608" s="659">
        <v>-0.25256055469788291</v>
      </c>
      <c r="V608" s="658">
        <v>0.16082086947434049</v>
      </c>
      <c r="W608" s="659">
        <v>1.2472157092515246</v>
      </c>
      <c r="X608" s="658">
        <v>0.10120955820759248</v>
      </c>
      <c r="Y608" s="659">
        <v>0.52416355061409647</v>
      </c>
      <c r="Z608" s="658">
        <v>0.32345059493401185</v>
      </c>
      <c r="AA608" s="659">
        <v>1.4604690368486732</v>
      </c>
      <c r="AB608" s="658">
        <v>0.19046309466876982</v>
      </c>
      <c r="AC608" s="660">
        <v>0.16736554702625545</v>
      </c>
      <c r="AD608" s="682">
        <v>32041623000107</v>
      </c>
      <c r="AE608" s="944" t="s">
        <v>1732</v>
      </c>
      <c r="AF608" s="661" t="s">
        <v>1733</v>
      </c>
      <c r="AG608" s="662" t="s">
        <v>1547</v>
      </c>
      <c r="AH608" s="662" t="s">
        <v>1730</v>
      </c>
      <c r="AI608" s="662">
        <v>100000</v>
      </c>
      <c r="AJ608" s="662">
        <v>50000</v>
      </c>
      <c r="AK608" s="662">
        <v>100000</v>
      </c>
      <c r="AL608" s="658">
        <v>0</v>
      </c>
      <c r="AM608" s="658">
        <v>0</v>
      </c>
      <c r="AN608" s="659" t="s">
        <v>2218</v>
      </c>
      <c r="AO608" s="253" t="s">
        <v>34</v>
      </c>
      <c r="AP608" s="944" t="s">
        <v>1731</v>
      </c>
      <c r="AQ608" s="663" t="s">
        <v>659</v>
      </c>
      <c r="AR608" s="658">
        <v>0</v>
      </c>
      <c r="AS608" s="658">
        <v>0</v>
      </c>
      <c r="AT608" s="658" t="s">
        <v>1417</v>
      </c>
      <c r="AU608" s="658" t="s">
        <v>2751</v>
      </c>
      <c r="AX608"/>
      <c r="AY608"/>
      <c r="BA608"/>
      <c r="BB608"/>
      <c r="BC608"/>
      <c r="BD608"/>
      <c r="BE608"/>
      <c r="BF608"/>
      <c r="BG608"/>
      <c r="BH608"/>
      <c r="BI608"/>
      <c r="BJ608"/>
      <c r="BR608"/>
      <c r="BS608"/>
      <c r="BT608"/>
      <c r="BU608"/>
      <c r="BX608"/>
      <c r="BY608"/>
      <c r="CA608"/>
    </row>
    <row r="609" spans="2:79" ht="18.75">
      <c r="B609" s="252" t="s">
        <v>1559</v>
      </c>
      <c r="C609" s="251">
        <v>31608483000135</v>
      </c>
      <c r="D609" s="252" t="s">
        <v>14</v>
      </c>
      <c r="E609" s="252" t="s">
        <v>614</v>
      </c>
      <c r="F609" s="252" t="s">
        <v>1417</v>
      </c>
      <c r="G609" s="253" t="s">
        <v>1417</v>
      </c>
      <c r="H609" s="253" t="s">
        <v>865</v>
      </c>
      <c r="I609" s="253" t="s">
        <v>34</v>
      </c>
      <c r="J609" s="253" t="s">
        <v>608</v>
      </c>
      <c r="K609" s="253" t="s">
        <v>48</v>
      </c>
      <c r="L609" s="655"/>
      <c r="M609" s="655" t="s">
        <v>34</v>
      </c>
      <c r="N609" s="253" t="s">
        <v>3200</v>
      </c>
      <c r="O609" s="253" t="s">
        <v>1321</v>
      </c>
      <c r="P609" s="656">
        <v>43525</v>
      </c>
      <c r="Q609" s="657">
        <v>322.88563059000001</v>
      </c>
      <c r="R609" s="657">
        <v>355.79896375088714</v>
      </c>
      <c r="S609" s="253">
        <v>92</v>
      </c>
      <c r="T609" s="658">
        <v>-1.262904548829058E-2</v>
      </c>
      <c r="U609" s="659">
        <v>-0.63150342702475293</v>
      </c>
      <c r="V609" s="658">
        <v>4.9985184390523241E-2</v>
      </c>
      <c r="W609" s="659">
        <v>0.38765060408805713</v>
      </c>
      <c r="X609" s="658">
        <v>6.5143606518929253E-3</v>
      </c>
      <c r="Y609" s="659">
        <v>3.3737825455904445E-2</v>
      </c>
      <c r="Z609" s="658">
        <v>0.3820113129794247</v>
      </c>
      <c r="AA609" s="659">
        <v>1.7248869010309893</v>
      </c>
      <c r="AB609" s="658">
        <v>0.14911433856691947</v>
      </c>
      <c r="AC609" s="660">
        <v>-0.52951799146284007</v>
      </c>
      <c r="AD609" s="682">
        <v>32068007000131</v>
      </c>
      <c r="AE609" s="944" t="s">
        <v>1732</v>
      </c>
      <c r="AF609" s="661" t="s">
        <v>1733</v>
      </c>
      <c r="AG609" s="662" t="s">
        <v>1547</v>
      </c>
      <c r="AH609" s="662" t="s">
        <v>1730</v>
      </c>
      <c r="AI609" s="662">
        <v>100000</v>
      </c>
      <c r="AJ609" s="662">
        <v>50000</v>
      </c>
      <c r="AK609" s="662">
        <v>100000</v>
      </c>
      <c r="AL609" s="658">
        <v>0</v>
      </c>
      <c r="AM609" s="658">
        <v>0</v>
      </c>
      <c r="AN609" s="659" t="s">
        <v>64</v>
      </c>
      <c r="AO609" s="253" t="s">
        <v>34</v>
      </c>
      <c r="AP609" s="944" t="s">
        <v>1731</v>
      </c>
      <c r="AQ609" s="663" t="s">
        <v>659</v>
      </c>
      <c r="AR609" s="658">
        <v>0</v>
      </c>
      <c r="AS609" s="658">
        <v>0</v>
      </c>
      <c r="AT609" s="658" t="s">
        <v>1417</v>
      </c>
      <c r="AU609" s="658" t="s">
        <v>2751</v>
      </c>
      <c r="AX609"/>
      <c r="AY609"/>
      <c r="BA609"/>
      <c r="BB609"/>
      <c r="BC609"/>
      <c r="BD609"/>
      <c r="BE609"/>
      <c r="BF609"/>
      <c r="BG609"/>
      <c r="BH609"/>
      <c r="BI609"/>
      <c r="BJ609"/>
      <c r="BR609"/>
      <c r="BS609"/>
      <c r="BT609"/>
      <c r="BU609"/>
      <c r="BX609"/>
      <c r="BY609"/>
      <c r="CA609"/>
    </row>
    <row r="610" spans="2:79" ht="18.75">
      <c r="B610" s="252" t="s">
        <v>1560</v>
      </c>
      <c r="C610" s="251">
        <v>15626322000118</v>
      </c>
      <c r="D610" s="252" t="s">
        <v>14</v>
      </c>
      <c r="E610" s="252" t="s">
        <v>614</v>
      </c>
      <c r="F610" s="252" t="s">
        <v>1417</v>
      </c>
      <c r="G610" s="253" t="s">
        <v>1417</v>
      </c>
      <c r="H610" s="253" t="s">
        <v>865</v>
      </c>
      <c r="I610" s="253" t="s">
        <v>34</v>
      </c>
      <c r="J610" s="253" t="s">
        <v>608</v>
      </c>
      <c r="K610" s="253" t="s">
        <v>48</v>
      </c>
      <c r="L610" s="655"/>
      <c r="M610" s="655" t="s">
        <v>34</v>
      </c>
      <c r="N610" s="253" t="s">
        <v>3201</v>
      </c>
      <c r="O610" s="253" t="s">
        <v>1324</v>
      </c>
      <c r="P610" s="656">
        <v>41168</v>
      </c>
      <c r="Q610" s="657">
        <v>195.96836099999999</v>
      </c>
      <c r="R610" s="657">
        <v>205.26648804115231</v>
      </c>
      <c r="S610" s="253">
        <v>62</v>
      </c>
      <c r="T610" s="658">
        <v>5.3106791993839941E-3</v>
      </c>
      <c r="U610" s="659">
        <v>0.26555547031242888</v>
      </c>
      <c r="V610" s="658">
        <v>0.17267941710130685</v>
      </c>
      <c r="W610" s="659">
        <v>1.3391824231338896</v>
      </c>
      <c r="X610" s="658">
        <v>0.26538196224623789</v>
      </c>
      <c r="Y610" s="659">
        <v>1.3744112123739018</v>
      </c>
      <c r="Z610" s="658">
        <v>0.34106202402603314</v>
      </c>
      <c r="AA610" s="659">
        <v>1.539989517832177</v>
      </c>
      <c r="AB610" s="658">
        <v>0.17281339583093816</v>
      </c>
      <c r="AC610" s="660">
        <v>0.25307938336738994</v>
      </c>
      <c r="AD610" s="682">
        <v>16617768000149</v>
      </c>
      <c r="AE610" s="944" t="s">
        <v>1732</v>
      </c>
      <c r="AF610" s="661" t="s">
        <v>1733</v>
      </c>
      <c r="AG610" s="662" t="s">
        <v>1547</v>
      </c>
      <c r="AH610" s="662" t="s">
        <v>1730</v>
      </c>
      <c r="AI610" s="662">
        <v>100000</v>
      </c>
      <c r="AJ610" s="662">
        <v>50000</v>
      </c>
      <c r="AK610" s="662">
        <v>100000</v>
      </c>
      <c r="AL610" s="658">
        <v>0</v>
      </c>
      <c r="AM610" s="658">
        <v>0</v>
      </c>
      <c r="AN610" s="659" t="s">
        <v>2141</v>
      </c>
      <c r="AO610" s="253" t="s">
        <v>34</v>
      </c>
      <c r="AP610" s="944" t="s">
        <v>1731</v>
      </c>
      <c r="AQ610" s="663" t="s">
        <v>659</v>
      </c>
      <c r="AR610" s="658">
        <v>0</v>
      </c>
      <c r="AS610" s="658">
        <v>0</v>
      </c>
      <c r="AT610" s="658" t="s">
        <v>1417</v>
      </c>
      <c r="AU610" s="658" t="s">
        <v>2751</v>
      </c>
      <c r="AX610"/>
      <c r="AY610"/>
      <c r="BA610"/>
      <c r="BB610"/>
      <c r="BC610"/>
      <c r="BD610"/>
      <c r="BE610"/>
      <c r="BF610"/>
      <c r="BG610"/>
      <c r="BH610"/>
      <c r="BI610"/>
      <c r="BJ610"/>
      <c r="BR610"/>
      <c r="BS610"/>
      <c r="BT610"/>
      <c r="BU610"/>
      <c r="BX610"/>
      <c r="BY610"/>
      <c r="CA610"/>
    </row>
    <row r="611" spans="2:79" ht="18.75">
      <c r="B611" s="252" t="s">
        <v>1561</v>
      </c>
      <c r="C611" s="251">
        <v>12469170000107</v>
      </c>
      <c r="D611" s="252" t="s">
        <v>13</v>
      </c>
      <c r="E611" s="252" t="s">
        <v>615</v>
      </c>
      <c r="F611" s="252" t="s">
        <v>619</v>
      </c>
      <c r="G611" s="253" t="s">
        <v>34</v>
      </c>
      <c r="H611" s="253" t="s">
        <v>1338</v>
      </c>
      <c r="I611" s="253" t="s">
        <v>34</v>
      </c>
      <c r="J611" s="253" t="s">
        <v>611</v>
      </c>
      <c r="K611" s="253" t="s">
        <v>48</v>
      </c>
      <c r="L611" s="655"/>
      <c r="M611" s="655" t="s">
        <v>34</v>
      </c>
      <c r="N611" s="253" t="s">
        <v>3202</v>
      </c>
      <c r="O611" s="253" t="s">
        <v>1324</v>
      </c>
      <c r="P611" s="656">
        <v>40514</v>
      </c>
      <c r="Q611" s="657">
        <v>42.439875000000001</v>
      </c>
      <c r="R611" s="657">
        <v>54.9386105962963</v>
      </c>
      <c r="S611" s="253">
        <v>61</v>
      </c>
      <c r="T611" s="658">
        <v>1.4621937778882321E-2</v>
      </c>
      <c r="U611" s="659">
        <v>0.73115611355334043</v>
      </c>
      <c r="V611" s="658">
        <v>0.15274266035693973</v>
      </c>
      <c r="W611" s="659">
        <v>1.1845666926980563</v>
      </c>
      <c r="X611" s="658">
        <v>0.24560469866210699</v>
      </c>
      <c r="Y611" s="659">
        <v>1.2719849110909145</v>
      </c>
      <c r="Z611" s="658">
        <v>0.38903971043138852</v>
      </c>
      <c r="AA611" s="659">
        <v>1.7566220624993223</v>
      </c>
      <c r="AB611" s="658">
        <v>3.5663595644005119E-2</v>
      </c>
      <c r="AC611" s="660">
        <v>0.66731215628707463</v>
      </c>
      <c r="AD611" s="682">
        <v>8971898000157</v>
      </c>
      <c r="AE611" s="944" t="s">
        <v>1732</v>
      </c>
      <c r="AF611" s="661" t="s">
        <v>1733</v>
      </c>
      <c r="AG611" s="662" t="s">
        <v>59</v>
      </c>
      <c r="AH611" s="662" t="s">
        <v>1734</v>
      </c>
      <c r="AI611" s="662">
        <v>50000</v>
      </c>
      <c r="AJ611" s="662">
        <v>50000</v>
      </c>
      <c r="AK611" s="662">
        <v>50000</v>
      </c>
      <c r="AL611" s="658">
        <v>2.3E-2</v>
      </c>
      <c r="AM611" s="658">
        <v>0</v>
      </c>
      <c r="AN611" s="659" t="s">
        <v>64</v>
      </c>
      <c r="AO611" s="253" t="s">
        <v>34</v>
      </c>
      <c r="AP611" s="944" t="s">
        <v>1746</v>
      </c>
      <c r="AQ611" s="663" t="s">
        <v>664</v>
      </c>
      <c r="AR611" s="658">
        <v>0</v>
      </c>
      <c r="AS611" s="658">
        <v>0</v>
      </c>
      <c r="AT611" s="658" t="s">
        <v>1417</v>
      </c>
      <c r="AU611" s="658" t="s">
        <v>2751</v>
      </c>
      <c r="AX611"/>
      <c r="AY611"/>
      <c r="BA611"/>
      <c r="BB611"/>
      <c r="BC611"/>
      <c r="BD611"/>
      <c r="BE611"/>
      <c r="BF611"/>
      <c r="BG611"/>
      <c r="BH611"/>
      <c r="BI611"/>
      <c r="BJ611"/>
      <c r="BR611"/>
      <c r="BS611"/>
      <c r="BT611"/>
      <c r="BU611"/>
      <c r="BX611"/>
      <c r="BY611"/>
      <c r="CA611"/>
    </row>
    <row r="612" spans="2:79" ht="18.75">
      <c r="B612" s="252" t="s">
        <v>1562</v>
      </c>
      <c r="C612" s="251">
        <v>19009392000188</v>
      </c>
      <c r="D612" s="252" t="s">
        <v>13</v>
      </c>
      <c r="E612" s="252" t="s">
        <v>615</v>
      </c>
      <c r="F612" s="252" t="s">
        <v>619</v>
      </c>
      <c r="G612" s="253" t="s">
        <v>34</v>
      </c>
      <c r="H612" s="253" t="s">
        <v>1338</v>
      </c>
      <c r="I612" s="253" t="s">
        <v>34</v>
      </c>
      <c r="J612" s="253" t="s">
        <v>611</v>
      </c>
      <c r="K612" s="253" t="s">
        <v>48</v>
      </c>
      <c r="L612" s="655"/>
      <c r="M612" s="655" t="s">
        <v>34</v>
      </c>
      <c r="N612" s="253" t="s">
        <v>3203</v>
      </c>
      <c r="O612" s="253" t="s">
        <v>1321</v>
      </c>
      <c r="P612" s="656">
        <v>41637</v>
      </c>
      <c r="Q612" s="657">
        <v>2324.6256232999999</v>
      </c>
      <c r="R612" s="657">
        <v>2344.3509866790987</v>
      </c>
      <c r="S612" s="253">
        <v>121</v>
      </c>
      <c r="T612" s="658">
        <v>2.6067568927024443E-2</v>
      </c>
      <c r="U612" s="659">
        <v>1.3034840302763133</v>
      </c>
      <c r="V612" s="658">
        <v>0.23284367860013511</v>
      </c>
      <c r="W612" s="659">
        <v>1.8057749264708263</v>
      </c>
      <c r="X612" s="658">
        <v>0.49150906466137334</v>
      </c>
      <c r="Y612" s="659">
        <v>2.5455217970963555</v>
      </c>
      <c r="Z612" s="658">
        <v>0.81855440841601945</v>
      </c>
      <c r="AA612" s="659">
        <v>3.6959999059871005</v>
      </c>
      <c r="AB612" s="658">
        <v>0.22704044631387957</v>
      </c>
      <c r="AC612" s="660">
        <v>0.45762669533210432</v>
      </c>
      <c r="AD612" s="682">
        <v>18764148000168</v>
      </c>
      <c r="AE612" s="944" t="s">
        <v>1732</v>
      </c>
      <c r="AF612" s="661" t="s">
        <v>1733</v>
      </c>
      <c r="AG612" s="662" t="s">
        <v>1547</v>
      </c>
      <c r="AH612" s="662" t="s">
        <v>1801</v>
      </c>
      <c r="AI612" s="662">
        <v>1000000</v>
      </c>
      <c r="AJ612" s="662">
        <v>200000</v>
      </c>
      <c r="AK612" s="662">
        <v>1000000</v>
      </c>
      <c r="AL612" s="658">
        <v>0</v>
      </c>
      <c r="AM612" s="658">
        <v>0</v>
      </c>
      <c r="AN612" s="659" t="s">
        <v>64</v>
      </c>
      <c r="AO612" s="253" t="s">
        <v>34</v>
      </c>
      <c r="AP612" s="944" t="s">
        <v>1746</v>
      </c>
      <c r="AQ612" s="663" t="s">
        <v>679</v>
      </c>
      <c r="AR612" s="658">
        <v>0</v>
      </c>
      <c r="AS612" s="658">
        <v>0</v>
      </c>
      <c r="AT612" s="658" t="s">
        <v>1417</v>
      </c>
      <c r="AU612" s="658" t="s">
        <v>2751</v>
      </c>
      <c r="AX612"/>
      <c r="AY612"/>
      <c r="BA612"/>
      <c r="BB612"/>
      <c r="BC612"/>
      <c r="BD612"/>
      <c r="BE612"/>
      <c r="BF612"/>
      <c r="BG612"/>
      <c r="BH612"/>
      <c r="BI612"/>
      <c r="BJ612"/>
      <c r="BR612"/>
      <c r="BS612"/>
      <c r="BT612"/>
      <c r="BU612"/>
      <c r="BX612"/>
      <c r="BY612"/>
      <c r="CA612"/>
    </row>
    <row r="613" spans="2:79" ht="18.75">
      <c r="B613" s="252" t="s">
        <v>1563</v>
      </c>
      <c r="C613" s="251">
        <v>32672386000174</v>
      </c>
      <c r="D613" s="252" t="s">
        <v>14</v>
      </c>
      <c r="E613" s="252" t="s">
        <v>614</v>
      </c>
      <c r="F613" s="252" t="s">
        <v>1417</v>
      </c>
      <c r="G613" s="253" t="s">
        <v>1417</v>
      </c>
      <c r="H613" s="253" t="s">
        <v>1338</v>
      </c>
      <c r="I613" s="253" t="s">
        <v>34</v>
      </c>
      <c r="J613" s="253" t="s">
        <v>608</v>
      </c>
      <c r="K613" s="253" t="s">
        <v>48</v>
      </c>
      <c r="L613" s="655"/>
      <c r="M613" s="655" t="s">
        <v>34</v>
      </c>
      <c r="N613" s="253" t="s">
        <v>3204</v>
      </c>
      <c r="O613" s="253" t="s">
        <v>1321</v>
      </c>
      <c r="P613" s="656">
        <v>43790</v>
      </c>
      <c r="Q613" s="657">
        <v>15.406628619999999</v>
      </c>
      <c r="R613" s="657">
        <v>29.932804879028343</v>
      </c>
      <c r="S613" s="253">
        <v>62</v>
      </c>
      <c r="T613" s="658">
        <v>-9.0514091218775183E-3</v>
      </c>
      <c r="U613" s="659">
        <v>-0.45260711786718394</v>
      </c>
      <c r="V613" s="658">
        <v>4.0409511258141517E-2</v>
      </c>
      <c r="W613" s="659">
        <v>0.31338828977275135</v>
      </c>
      <c r="X613" s="658">
        <v>-0.17491849750122501</v>
      </c>
      <c r="Y613" s="659">
        <v>-0.90590160002740761</v>
      </c>
      <c r="Z613" s="658">
        <v>-0.13413085368707656</v>
      </c>
      <c r="AA613" s="659">
        <v>-0.60563796067841502</v>
      </c>
      <c r="AB613" s="658">
        <v>0.22210824523098049</v>
      </c>
      <c r="AC613" s="660">
        <v>-0.39860923711578505</v>
      </c>
      <c r="AD613" s="682">
        <v>34429833000194</v>
      </c>
      <c r="AE613" s="944" t="s">
        <v>1732</v>
      </c>
      <c r="AF613" s="661" t="s">
        <v>1733</v>
      </c>
      <c r="AG613" s="662" t="s">
        <v>1547</v>
      </c>
      <c r="AH613" s="662" t="s">
        <v>1730</v>
      </c>
      <c r="AI613" s="662">
        <v>100000</v>
      </c>
      <c r="AJ613" s="662">
        <v>0</v>
      </c>
      <c r="AK613" s="662">
        <v>100000</v>
      </c>
      <c r="AL613" s="658">
        <v>3.5000000000000003E-2</v>
      </c>
      <c r="AM613" s="658">
        <v>0</v>
      </c>
      <c r="AN613" s="659" t="s">
        <v>666</v>
      </c>
      <c r="AO613" s="253" t="s">
        <v>34</v>
      </c>
      <c r="AP613" s="944" t="s">
        <v>1731</v>
      </c>
      <c r="AQ613" s="663" t="s">
        <v>659</v>
      </c>
      <c r="AR613" s="658">
        <v>0</v>
      </c>
      <c r="AS613" s="658">
        <v>0</v>
      </c>
      <c r="AT613" s="658" t="s">
        <v>1417</v>
      </c>
      <c r="AU613" s="658" t="s">
        <v>2751</v>
      </c>
      <c r="AX613"/>
      <c r="AY613"/>
      <c r="BA613"/>
      <c r="BB613"/>
      <c r="BC613"/>
      <c r="BD613"/>
      <c r="BE613"/>
      <c r="BF613"/>
      <c r="BG613"/>
      <c r="BH613"/>
      <c r="BI613"/>
      <c r="BJ613"/>
      <c r="BR613"/>
      <c r="BS613"/>
      <c r="BT613"/>
      <c r="BU613"/>
      <c r="BX613"/>
      <c r="BY613"/>
      <c r="CA613"/>
    </row>
    <row r="614" spans="2:79" ht="18.75">
      <c r="B614" s="252" t="s">
        <v>1564</v>
      </c>
      <c r="C614" s="251">
        <v>31552388000167</v>
      </c>
      <c r="D614" s="252" t="s">
        <v>14</v>
      </c>
      <c r="E614" s="252" t="s">
        <v>614</v>
      </c>
      <c r="F614" s="252" t="s">
        <v>1417</v>
      </c>
      <c r="G614" s="253" t="s">
        <v>1417</v>
      </c>
      <c r="H614" s="253" t="s">
        <v>1338</v>
      </c>
      <c r="I614" s="253" t="s">
        <v>34</v>
      </c>
      <c r="J614" s="253" t="s">
        <v>608</v>
      </c>
      <c r="K614" s="253" t="s">
        <v>48</v>
      </c>
      <c r="L614" s="655"/>
      <c r="M614" s="655" t="s">
        <v>34</v>
      </c>
      <c r="N614" s="253" t="s">
        <v>3205</v>
      </c>
      <c r="O614" s="253" t="s">
        <v>1324</v>
      </c>
      <c r="P614" s="656">
        <v>43406</v>
      </c>
      <c r="Q614" s="657">
        <v>57.557513550000003</v>
      </c>
      <c r="R614" s="657">
        <v>160.84701616189517</v>
      </c>
      <c r="S614" s="253">
        <v>32</v>
      </c>
      <c r="T614" s="658">
        <v>-8.8007791399221658E-3</v>
      </c>
      <c r="U614" s="659">
        <v>-0.44007460361923811</v>
      </c>
      <c r="V614" s="658">
        <v>4.2703128712420213E-2</v>
      </c>
      <c r="W614" s="659">
        <v>0.33117600432335764</v>
      </c>
      <c r="X614" s="658">
        <v>-0.17135772293255813</v>
      </c>
      <c r="Y614" s="659">
        <v>-0.88746037497017982</v>
      </c>
      <c r="Z614" s="658">
        <v>-0.11816396551368846</v>
      </c>
      <c r="AA614" s="659">
        <v>-0.53354303750532273</v>
      </c>
      <c r="AB614" s="658">
        <v>0.2238846353744095</v>
      </c>
      <c r="AC614" s="660">
        <v>-0.38520187233994374</v>
      </c>
      <c r="AD614" s="682">
        <v>31493876000140</v>
      </c>
      <c r="AE614" s="944" t="s">
        <v>1732</v>
      </c>
      <c r="AF614" s="661" t="s">
        <v>1733</v>
      </c>
      <c r="AG614" s="662" t="s">
        <v>1547</v>
      </c>
      <c r="AH614" s="662" t="s">
        <v>1730</v>
      </c>
      <c r="AI614" s="662">
        <v>100000</v>
      </c>
      <c r="AJ614" s="662">
        <v>50000</v>
      </c>
      <c r="AK614" s="662">
        <v>100000</v>
      </c>
      <c r="AL614" s="658">
        <v>0</v>
      </c>
      <c r="AM614" s="658">
        <v>0</v>
      </c>
      <c r="AN614" s="659" t="s">
        <v>666</v>
      </c>
      <c r="AO614" s="253" t="s">
        <v>34</v>
      </c>
      <c r="AP614" s="944" t="s">
        <v>1731</v>
      </c>
      <c r="AQ614" s="663" t="s">
        <v>659</v>
      </c>
      <c r="AR614" s="658">
        <v>0</v>
      </c>
      <c r="AS614" s="658">
        <v>0</v>
      </c>
      <c r="AT614" s="658" t="s">
        <v>1417</v>
      </c>
      <c r="AU614" s="658" t="s">
        <v>2751</v>
      </c>
      <c r="AX614"/>
      <c r="AY614"/>
      <c r="BA614"/>
      <c r="BB614"/>
      <c r="BC614"/>
      <c r="BD614"/>
      <c r="BE614"/>
      <c r="BF614"/>
      <c r="BG614"/>
      <c r="BH614"/>
      <c r="BI614"/>
      <c r="BJ614"/>
      <c r="BR614"/>
      <c r="BS614"/>
      <c r="BT614"/>
      <c r="BU614"/>
      <c r="BX614"/>
      <c r="BY614"/>
      <c r="CA614"/>
    </row>
    <row r="615" spans="2:79" ht="18.75">
      <c r="B615" s="252" t="s">
        <v>1565</v>
      </c>
      <c r="C615" s="251">
        <v>31690473000191</v>
      </c>
      <c r="D615" s="252" t="s">
        <v>14</v>
      </c>
      <c r="E615" s="252" t="s">
        <v>614</v>
      </c>
      <c r="F615" s="252" t="s">
        <v>1417</v>
      </c>
      <c r="G615" s="253" t="s">
        <v>1417</v>
      </c>
      <c r="H615" s="253" t="s">
        <v>1338</v>
      </c>
      <c r="I615" s="253" t="s">
        <v>34</v>
      </c>
      <c r="J615" s="253" t="s">
        <v>608</v>
      </c>
      <c r="K615" s="253" t="s">
        <v>48</v>
      </c>
      <c r="L615" s="655"/>
      <c r="M615" s="655" t="s">
        <v>34</v>
      </c>
      <c r="N615" s="253" t="s">
        <v>3206</v>
      </c>
      <c r="O615" s="253" t="s">
        <v>1321</v>
      </c>
      <c r="P615" s="656">
        <v>43639</v>
      </c>
      <c r="Q615" s="657">
        <v>284.97582222</v>
      </c>
      <c r="R615" s="657">
        <v>416.18757893048598</v>
      </c>
      <c r="S615" s="253">
        <v>31</v>
      </c>
      <c r="T615" s="658">
        <v>-6.6274492999934598E-2</v>
      </c>
      <c r="U615" s="659">
        <v>-3.3139930878063293</v>
      </c>
      <c r="V615" s="658">
        <v>-9.5381483067400574E-2</v>
      </c>
      <c r="W615" s="659">
        <v>-0.73971297656956736</v>
      </c>
      <c r="X615" s="658">
        <v>-0.26039110080878403</v>
      </c>
      <c r="Y615" s="659">
        <v>-1.3485635780396721</v>
      </c>
      <c r="Z615" s="658">
        <v>0.13365642517997767</v>
      </c>
      <c r="AA615" s="659">
        <v>0.60349578454496988</v>
      </c>
      <c r="AB615" s="658">
        <v>0.22463052754811816</v>
      </c>
      <c r="AC615" s="660">
        <v>-0.99864161368777504</v>
      </c>
      <c r="AD615" s="682">
        <v>31844634000154</v>
      </c>
      <c r="AE615" s="944" t="s">
        <v>1732</v>
      </c>
      <c r="AF615" s="661" t="s">
        <v>1733</v>
      </c>
      <c r="AG615" s="662" t="s">
        <v>1547</v>
      </c>
      <c r="AH615" s="662" t="s">
        <v>1730</v>
      </c>
      <c r="AI615" s="662">
        <v>100000</v>
      </c>
      <c r="AJ615" s="662">
        <v>50000</v>
      </c>
      <c r="AK615" s="662">
        <v>100000</v>
      </c>
      <c r="AL615" s="658">
        <v>0</v>
      </c>
      <c r="AM615" s="658">
        <v>0</v>
      </c>
      <c r="AN615" s="659" t="s">
        <v>2122</v>
      </c>
      <c r="AO615" s="253" t="s">
        <v>34</v>
      </c>
      <c r="AP615" s="944" t="s">
        <v>1731</v>
      </c>
      <c r="AQ615" s="663" t="s">
        <v>659</v>
      </c>
      <c r="AR615" s="658">
        <v>0</v>
      </c>
      <c r="AS615" s="658">
        <v>0</v>
      </c>
      <c r="AT615" s="658" t="s">
        <v>1417</v>
      </c>
      <c r="AU615" s="658" t="s">
        <v>2751</v>
      </c>
      <c r="AX615"/>
      <c r="AY615"/>
      <c r="BA615"/>
      <c r="BB615"/>
      <c r="BC615"/>
      <c r="BD615"/>
      <c r="BE615"/>
      <c r="BF615"/>
      <c r="BG615"/>
      <c r="BH615"/>
      <c r="BI615"/>
      <c r="BJ615"/>
      <c r="BR615"/>
      <c r="BS615"/>
      <c r="BT615"/>
      <c r="BU615"/>
      <c r="BX615"/>
      <c r="BY615"/>
      <c r="CA615"/>
    </row>
    <row r="616" spans="2:79" ht="18.75">
      <c r="B616" s="252" t="s">
        <v>1566</v>
      </c>
      <c r="C616" s="251">
        <v>26859392000132</v>
      </c>
      <c r="D616" s="252" t="s">
        <v>14</v>
      </c>
      <c r="E616" s="252" t="s">
        <v>607</v>
      </c>
      <c r="F616" s="252" t="s">
        <v>1417</v>
      </c>
      <c r="G616" s="253" t="s">
        <v>1417</v>
      </c>
      <c r="H616" s="253" t="s">
        <v>34</v>
      </c>
      <c r="I616" s="253" t="s">
        <v>34</v>
      </c>
      <c r="J616" s="253" t="s">
        <v>608</v>
      </c>
      <c r="K616" s="253" t="s">
        <v>48</v>
      </c>
      <c r="L616" s="655"/>
      <c r="M616" s="655" t="s">
        <v>34</v>
      </c>
      <c r="N616" s="253" t="s">
        <v>3207</v>
      </c>
      <c r="O616" s="253" t="s">
        <v>1321</v>
      </c>
      <c r="P616" s="656">
        <v>42890</v>
      </c>
      <c r="Q616" s="657">
        <v>19.146322000000001</v>
      </c>
      <c r="R616" s="657">
        <v>144.09626635483866</v>
      </c>
      <c r="S616" s="253">
        <v>31</v>
      </c>
      <c r="T616" s="658">
        <v>-2.3737907408279635E-2</v>
      </c>
      <c r="U616" s="659">
        <v>-1.1869915182920072</v>
      </c>
      <c r="V616" s="658">
        <v>-0.11974579827979226</v>
      </c>
      <c r="W616" s="659">
        <v>-0.9286657957986616</v>
      </c>
      <c r="X616" s="658">
        <v>-0.27636725636335568</v>
      </c>
      <c r="Y616" s="659">
        <v>-1.4313039690556186</v>
      </c>
      <c r="Z616" s="658">
        <v>3.1645916853795253E-3</v>
      </c>
      <c r="AA616" s="659">
        <v>1.4289008099392923E-2</v>
      </c>
      <c r="AB616" s="658">
        <v>0.23685732020152986</v>
      </c>
      <c r="AC616" s="660">
        <v>-1.0499557603496619</v>
      </c>
      <c r="AD616" s="682">
        <v>26859548000185</v>
      </c>
      <c r="AE616" s="944" t="s">
        <v>1732</v>
      </c>
      <c r="AF616" s="661" t="s">
        <v>1733</v>
      </c>
      <c r="AG616" s="662" t="s">
        <v>1547</v>
      </c>
      <c r="AH616" s="662" t="s">
        <v>1730</v>
      </c>
      <c r="AI616" s="662">
        <v>100000</v>
      </c>
      <c r="AJ616" s="662">
        <v>50000</v>
      </c>
      <c r="AK616" s="662">
        <v>100000</v>
      </c>
      <c r="AL616" s="658">
        <v>0</v>
      </c>
      <c r="AM616" s="658">
        <v>0</v>
      </c>
      <c r="AN616" s="659" t="s">
        <v>2122</v>
      </c>
      <c r="AO616" s="253" t="s">
        <v>34</v>
      </c>
      <c r="AP616" s="944" t="s">
        <v>1731</v>
      </c>
      <c r="AQ616" s="663" t="s">
        <v>659</v>
      </c>
      <c r="AR616" s="658">
        <v>0</v>
      </c>
      <c r="AS616" s="658">
        <v>0</v>
      </c>
      <c r="AT616" s="658" t="s">
        <v>1417</v>
      </c>
      <c r="AU616" s="658" t="s">
        <v>2751</v>
      </c>
      <c r="AX616"/>
      <c r="AY616"/>
      <c r="BA616"/>
      <c r="BB616"/>
      <c r="BC616"/>
      <c r="BD616"/>
      <c r="BE616"/>
      <c r="BF616"/>
      <c r="BG616"/>
      <c r="BH616"/>
      <c r="BI616"/>
      <c r="BJ616"/>
      <c r="BR616"/>
      <c r="BS616"/>
      <c r="BT616"/>
      <c r="BU616"/>
      <c r="BX616"/>
      <c r="BY616"/>
      <c r="CA616"/>
    </row>
    <row r="617" spans="2:79" ht="18.75">
      <c r="B617" s="252" t="s">
        <v>1567</v>
      </c>
      <c r="C617" s="251">
        <v>4147027000162</v>
      </c>
      <c r="D617" s="252" t="s">
        <v>13</v>
      </c>
      <c r="E617" s="252" t="s">
        <v>615</v>
      </c>
      <c r="F617" s="252" t="s">
        <v>619</v>
      </c>
      <c r="G617" s="253" t="s">
        <v>34</v>
      </c>
      <c r="H617" s="253" t="s">
        <v>1338</v>
      </c>
      <c r="I617" s="253" t="s">
        <v>34</v>
      </c>
      <c r="J617" s="253" t="s">
        <v>611</v>
      </c>
      <c r="K617" s="253" t="s">
        <v>48</v>
      </c>
      <c r="L617" s="655"/>
      <c r="M617" s="655" t="s">
        <v>34</v>
      </c>
      <c r="N617" s="253" t="s">
        <v>3208</v>
      </c>
      <c r="O617" s="253" t="s">
        <v>1324</v>
      </c>
      <c r="P617" s="656">
        <v>37198</v>
      </c>
      <c r="Q617" s="657">
        <v>102.739721</v>
      </c>
      <c r="R617" s="657">
        <v>107.56192601632652</v>
      </c>
      <c r="S617" s="253">
        <v>14</v>
      </c>
      <c r="T617" s="658">
        <v>2.3068980171337294E-2</v>
      </c>
      <c r="U617" s="659">
        <v>1.1535424470260152</v>
      </c>
      <c r="V617" s="658">
        <v>0.15174985721261258</v>
      </c>
      <c r="W617" s="659">
        <v>1.176867196470692</v>
      </c>
      <c r="X617" s="658">
        <v>0.16552509311984709</v>
      </c>
      <c r="Y617" s="659">
        <v>0.85725322846947605</v>
      </c>
      <c r="Z617" s="658">
        <v>0.25353934784848753</v>
      </c>
      <c r="AA617" s="659">
        <v>1.14480038978152</v>
      </c>
      <c r="AB617" s="658">
        <v>6.9417109225352588E-2</v>
      </c>
      <c r="AC617" s="660">
        <v>0.32853496811265975</v>
      </c>
      <c r="AD617" s="682">
        <v>22188046000119</v>
      </c>
      <c r="AE617" s="944" t="s">
        <v>1732</v>
      </c>
      <c r="AF617" s="661" t="s">
        <v>1733</v>
      </c>
      <c r="AG617" s="662" t="s">
        <v>1547</v>
      </c>
      <c r="AH617" s="662" t="s">
        <v>1734</v>
      </c>
      <c r="AI617" s="662">
        <v>100000</v>
      </c>
      <c r="AJ617" s="662">
        <v>50000</v>
      </c>
      <c r="AK617" s="662">
        <v>100000</v>
      </c>
      <c r="AL617" s="658">
        <v>0.02</v>
      </c>
      <c r="AM617" s="658">
        <v>0</v>
      </c>
      <c r="AN617" s="659" t="s">
        <v>64</v>
      </c>
      <c r="AO617" s="253" t="s">
        <v>34</v>
      </c>
      <c r="AP617" s="944" t="s">
        <v>1746</v>
      </c>
      <c r="AQ617" s="663" t="s">
        <v>664</v>
      </c>
      <c r="AR617" s="658">
        <v>0</v>
      </c>
      <c r="AS617" s="658">
        <v>0</v>
      </c>
      <c r="AT617" s="658" t="s">
        <v>1417</v>
      </c>
      <c r="AU617" s="658" t="s">
        <v>2751</v>
      </c>
      <c r="AX617"/>
      <c r="AY617"/>
      <c r="BA617"/>
      <c r="BB617"/>
      <c r="BC617"/>
      <c r="BD617"/>
      <c r="BE617"/>
      <c r="BF617"/>
      <c r="BG617"/>
      <c r="BH617"/>
      <c r="BI617"/>
      <c r="BJ617"/>
      <c r="BR617"/>
      <c r="BS617"/>
      <c r="BT617"/>
      <c r="BU617"/>
      <c r="BX617"/>
      <c r="BY617"/>
      <c r="CA617"/>
    </row>
    <row r="618" spans="2:79" ht="18.75">
      <c r="B618" s="252" t="s">
        <v>1568</v>
      </c>
      <c r="C618" s="251">
        <v>25682084000111</v>
      </c>
      <c r="D618" s="252" t="s">
        <v>13</v>
      </c>
      <c r="E618" s="252" t="s">
        <v>615</v>
      </c>
      <c r="F618" s="252" t="s">
        <v>619</v>
      </c>
      <c r="G618" s="253" t="s">
        <v>34</v>
      </c>
      <c r="H618" s="253" t="s">
        <v>1338</v>
      </c>
      <c r="I618" s="253" t="s">
        <v>34</v>
      </c>
      <c r="J618" s="253" t="s">
        <v>611</v>
      </c>
      <c r="K618" s="253" t="s">
        <v>48</v>
      </c>
      <c r="L618" s="655"/>
      <c r="M618" s="655" t="s">
        <v>34</v>
      </c>
      <c r="N618" s="253" t="s">
        <v>3209</v>
      </c>
      <c r="O618" s="253" t="s">
        <v>1321</v>
      </c>
      <c r="P618" s="656">
        <v>42726</v>
      </c>
      <c r="Q618" s="657">
        <v>1004.180206</v>
      </c>
      <c r="R618" s="657">
        <v>1251.3846597213121</v>
      </c>
      <c r="S618" s="253">
        <v>60</v>
      </c>
      <c r="T618" s="658">
        <v>2.2332763149248702E-2</v>
      </c>
      <c r="U618" s="659">
        <v>1.1167286139525676</v>
      </c>
      <c r="V618" s="658">
        <v>0.14703194714723389</v>
      </c>
      <c r="W618" s="659">
        <v>1.1402783410092741</v>
      </c>
      <c r="X618" s="658">
        <v>0.15550493921913433</v>
      </c>
      <c r="Y618" s="659">
        <v>0.8053589258036703</v>
      </c>
      <c r="Z618" s="658">
        <v>0.23693516068280629</v>
      </c>
      <c r="AA618" s="659">
        <v>1.0698278851167353</v>
      </c>
      <c r="AB618" s="658">
        <v>6.9832230515828042E-2</v>
      </c>
      <c r="AC618" s="660">
        <v>0.25902133680730327</v>
      </c>
      <c r="AD618" s="682">
        <v>30756847000161</v>
      </c>
      <c r="AE618" s="944" t="s">
        <v>1732</v>
      </c>
      <c r="AF618" s="661" t="s">
        <v>1733</v>
      </c>
      <c r="AG618" s="662" t="s">
        <v>1547</v>
      </c>
      <c r="AH618" s="662" t="s">
        <v>1734</v>
      </c>
      <c r="AI618" s="662">
        <v>200000</v>
      </c>
      <c r="AJ618" s="662">
        <v>50000</v>
      </c>
      <c r="AK618" s="662">
        <v>200000</v>
      </c>
      <c r="AL618" s="658">
        <v>2.5000000000000001E-2</v>
      </c>
      <c r="AM618" s="658">
        <v>0</v>
      </c>
      <c r="AN618" s="659" t="s">
        <v>64</v>
      </c>
      <c r="AO618" s="253" t="s">
        <v>34</v>
      </c>
      <c r="AP618" s="944" t="s">
        <v>1746</v>
      </c>
      <c r="AQ618" s="663" t="s">
        <v>664</v>
      </c>
      <c r="AR618" s="658">
        <v>0</v>
      </c>
      <c r="AS618" s="658">
        <v>0</v>
      </c>
      <c r="AT618" s="658" t="s">
        <v>1417</v>
      </c>
      <c r="AU618" s="658" t="s">
        <v>2751</v>
      </c>
      <c r="AX618"/>
      <c r="AY618"/>
      <c r="BA618"/>
      <c r="BB618"/>
      <c r="BC618"/>
      <c r="BD618"/>
      <c r="BE618"/>
      <c r="BF618"/>
      <c r="BG618"/>
      <c r="BH618"/>
      <c r="BI618"/>
      <c r="BJ618"/>
      <c r="BR618"/>
      <c r="BS618"/>
      <c r="BT618"/>
      <c r="BU618"/>
      <c r="BX618"/>
      <c r="BY618"/>
      <c r="CA618"/>
    </row>
    <row r="619" spans="2:79" ht="18.75">
      <c r="B619" s="252" t="s">
        <v>1569</v>
      </c>
      <c r="C619" s="251">
        <v>21595870000120</v>
      </c>
      <c r="D619" s="252" t="s">
        <v>13</v>
      </c>
      <c r="E619" s="252" t="s">
        <v>615</v>
      </c>
      <c r="F619" s="252" t="s">
        <v>619</v>
      </c>
      <c r="G619" s="253" t="s">
        <v>1417</v>
      </c>
      <c r="H619" s="253" t="s">
        <v>34</v>
      </c>
      <c r="I619" s="253" t="s">
        <v>1417</v>
      </c>
      <c r="J619" s="253" t="s">
        <v>611</v>
      </c>
      <c r="K619" s="253" t="s">
        <v>48</v>
      </c>
      <c r="L619" s="655"/>
      <c r="M619" s="655" t="s">
        <v>34</v>
      </c>
      <c r="N619" s="253" t="s">
        <v>3210</v>
      </c>
      <c r="O619" s="253" t="s">
        <v>1321</v>
      </c>
      <c r="P619" s="656">
        <v>42097</v>
      </c>
      <c r="Q619" s="657">
        <v>18.853124000000001</v>
      </c>
      <c r="R619" s="657">
        <v>20.941918679012332</v>
      </c>
      <c r="S619" s="253">
        <v>46</v>
      </c>
      <c r="T619" s="658">
        <v>3.2174028259897902E-2</v>
      </c>
      <c r="U619" s="659">
        <v>1.6088317304863031</v>
      </c>
      <c r="V619" s="658">
        <v>0.14724238526387179</v>
      </c>
      <c r="W619" s="659">
        <v>1.1419103538553306</v>
      </c>
      <c r="X619" s="658">
        <v>0.16235505723396026</v>
      </c>
      <c r="Y619" s="659">
        <v>0.84083563614966406</v>
      </c>
      <c r="Z619" s="658">
        <v>0.27999153511138863</v>
      </c>
      <c r="AA619" s="659">
        <v>1.2642393429306755</v>
      </c>
      <c r="AB619" s="658">
        <v>5.8326689809146001E-2</v>
      </c>
      <c r="AC619" s="660">
        <v>0.31372388655963324</v>
      </c>
      <c r="AD619" s="682">
        <v>21862646000158</v>
      </c>
      <c r="AE619" s="944" t="s">
        <v>1732</v>
      </c>
      <c r="AF619" s="661" t="s">
        <v>1733</v>
      </c>
      <c r="AG619" s="662" t="s">
        <v>1547</v>
      </c>
      <c r="AH619" s="662" t="s">
        <v>1801</v>
      </c>
      <c r="AI619" s="662">
        <v>500000</v>
      </c>
      <c r="AJ619" s="662">
        <v>100000</v>
      </c>
      <c r="AK619" s="662">
        <v>500000</v>
      </c>
      <c r="AL619" s="658">
        <v>0</v>
      </c>
      <c r="AM619" s="658">
        <v>0</v>
      </c>
      <c r="AN619" s="659" t="s">
        <v>64</v>
      </c>
      <c r="AO619" s="253" t="s">
        <v>34</v>
      </c>
      <c r="AP619" s="944" t="s">
        <v>1746</v>
      </c>
      <c r="AQ619" s="663" t="s">
        <v>679</v>
      </c>
      <c r="AR619" s="658">
        <v>0</v>
      </c>
      <c r="AS619" s="658">
        <v>0</v>
      </c>
      <c r="AT619" s="658" t="s">
        <v>1417</v>
      </c>
      <c r="AU619" s="658" t="s">
        <v>2751</v>
      </c>
      <c r="AX619"/>
      <c r="AY619"/>
      <c r="BA619"/>
      <c r="BB619"/>
      <c r="BC619"/>
      <c r="BD619"/>
      <c r="BE619"/>
      <c r="BF619"/>
      <c r="BG619"/>
      <c r="BH619"/>
      <c r="BI619"/>
      <c r="BJ619"/>
      <c r="BR619"/>
      <c r="BS619"/>
      <c r="BT619"/>
      <c r="BU619"/>
      <c r="BX619"/>
      <c r="BY619"/>
      <c r="CA619"/>
    </row>
    <row r="620" spans="2:79" ht="18.75">
      <c r="B620" s="252" t="s">
        <v>1570</v>
      </c>
      <c r="C620" s="251">
        <v>28971376000162</v>
      </c>
      <c r="D620" s="252" t="s">
        <v>13</v>
      </c>
      <c r="E620" s="252" t="s">
        <v>615</v>
      </c>
      <c r="F620" s="252" t="s">
        <v>619</v>
      </c>
      <c r="G620" s="253" t="s">
        <v>34</v>
      </c>
      <c r="H620" s="253" t="s">
        <v>1337</v>
      </c>
      <c r="I620" s="253" t="s">
        <v>34</v>
      </c>
      <c r="J620" s="253" t="s">
        <v>611</v>
      </c>
      <c r="K620" s="253" t="s">
        <v>48</v>
      </c>
      <c r="L620" s="655"/>
      <c r="M620" s="655" t="s">
        <v>34</v>
      </c>
      <c r="N620" s="253" t="s">
        <v>3211</v>
      </c>
      <c r="O620" s="253" t="s">
        <v>1321</v>
      </c>
      <c r="P620" s="656">
        <v>43190</v>
      </c>
      <c r="Q620" s="657">
        <v>18.71102672</v>
      </c>
      <c r="R620" s="657">
        <v>18.526715925222675</v>
      </c>
      <c r="S620" s="253">
        <v>31</v>
      </c>
      <c r="T620" s="658">
        <v>-5.0179917966128862E-3</v>
      </c>
      <c r="U620" s="659">
        <v>-0.25091991467456992</v>
      </c>
      <c r="V620" s="658">
        <v>0.13900805052106713</v>
      </c>
      <c r="W620" s="659">
        <v>1.0780505346662532</v>
      </c>
      <c r="X620" s="658">
        <v>0.27652395513693651</v>
      </c>
      <c r="Y620" s="659">
        <v>1.4321155108407189</v>
      </c>
      <c r="Z620" s="658">
        <v>0.3791304585250117</v>
      </c>
      <c r="AA620" s="659">
        <v>1.7118790451289274</v>
      </c>
      <c r="AB620" s="658">
        <v>3.0357197569188542E-2</v>
      </c>
      <c r="AC620" s="660">
        <v>0.33152404965382953</v>
      </c>
      <c r="AD620" s="682">
        <v>28653925000150</v>
      </c>
      <c r="AE620" s="944" t="s">
        <v>1732</v>
      </c>
      <c r="AF620" s="661" t="s">
        <v>1733</v>
      </c>
      <c r="AG620" s="662" t="s">
        <v>1547</v>
      </c>
      <c r="AH620" s="662" t="s">
        <v>1730</v>
      </c>
      <c r="AI620" s="662">
        <v>200000</v>
      </c>
      <c r="AJ620" s="662">
        <v>50000</v>
      </c>
      <c r="AK620" s="662">
        <v>200000</v>
      </c>
      <c r="AL620" s="658">
        <v>1.9E-2</v>
      </c>
      <c r="AM620" s="658">
        <v>0.2</v>
      </c>
      <c r="AN620" s="659" t="s">
        <v>64</v>
      </c>
      <c r="AO620" s="253" t="s">
        <v>34</v>
      </c>
      <c r="AP620" s="944" t="s">
        <v>1746</v>
      </c>
      <c r="AQ620" s="663" t="s">
        <v>664</v>
      </c>
      <c r="AR620" s="658">
        <v>0</v>
      </c>
      <c r="AS620" s="658">
        <v>0</v>
      </c>
      <c r="AT620" s="658" t="s">
        <v>1417</v>
      </c>
      <c r="AU620" s="658" t="s">
        <v>2751</v>
      </c>
      <c r="AX620"/>
      <c r="AY620"/>
      <c r="BA620"/>
      <c r="BB620"/>
      <c r="BC620"/>
      <c r="BD620"/>
      <c r="BE620"/>
      <c r="BF620"/>
      <c r="BG620"/>
      <c r="BH620"/>
      <c r="BI620"/>
      <c r="BJ620"/>
      <c r="BR620"/>
      <c r="BS620"/>
      <c r="BT620"/>
      <c r="BU620"/>
      <c r="BX620"/>
      <c r="BY620"/>
      <c r="CA620"/>
    </row>
    <row r="621" spans="2:79" ht="18.75">
      <c r="B621" s="252" t="s">
        <v>1571</v>
      </c>
      <c r="C621" s="251"/>
      <c r="D621" s="252" t="s">
        <v>13</v>
      </c>
      <c r="E621" s="252" t="s">
        <v>615</v>
      </c>
      <c r="F621" s="252" t="s">
        <v>619</v>
      </c>
      <c r="G621" s="253" t="s">
        <v>34</v>
      </c>
      <c r="H621" s="253" t="s">
        <v>1338</v>
      </c>
      <c r="I621" s="253" t="s">
        <v>34</v>
      </c>
      <c r="J621" s="253" t="s">
        <v>611</v>
      </c>
      <c r="K621" s="253"/>
      <c r="L621" s="655"/>
      <c r="M621" s="655" t="s">
        <v>34</v>
      </c>
      <c r="N621" s="253" t="s">
        <v>3212</v>
      </c>
      <c r="O621" s="253" t="s">
        <v>34</v>
      </c>
      <c r="P621" s="656"/>
      <c r="Q621" s="657">
        <v>0</v>
      </c>
      <c r="R621" s="657">
        <v>293.8084246238235</v>
      </c>
      <c r="S621" s="253"/>
      <c r="T621" s="658"/>
      <c r="U621" s="659"/>
      <c r="V621" s="658"/>
      <c r="W621" s="659"/>
      <c r="X621" s="658"/>
      <c r="Y621" s="659"/>
      <c r="Z621" s="658"/>
      <c r="AA621" s="659"/>
      <c r="AB621" s="658">
        <v>178.72822682433173</v>
      </c>
      <c r="AC621" s="660"/>
      <c r="AD621" s="682">
        <v>0</v>
      </c>
      <c r="AE621" s="944"/>
      <c r="AF621" s="661"/>
      <c r="AG621" s="662" t="s">
        <v>34</v>
      </c>
      <c r="AH621" s="662"/>
      <c r="AI621" s="662">
        <v>0</v>
      </c>
      <c r="AJ621" s="662">
        <v>0</v>
      </c>
      <c r="AK621" s="662">
        <v>0</v>
      </c>
      <c r="AL621" s="658"/>
      <c r="AM621" s="658"/>
      <c r="AN621" s="659"/>
      <c r="AO621" s="253" t="s">
        <v>34</v>
      </c>
      <c r="AP621" s="944"/>
      <c r="AQ621" s="663"/>
      <c r="AR621" s="658">
        <v>0</v>
      </c>
      <c r="AS621" s="658">
        <v>0</v>
      </c>
      <c r="AT621" s="658" t="s">
        <v>1417</v>
      </c>
      <c r="AU621" s="658" t="s">
        <v>2751</v>
      </c>
      <c r="AX621"/>
      <c r="AY621"/>
      <c r="BA621"/>
      <c r="BB621"/>
      <c r="BC621"/>
      <c r="BD621"/>
      <c r="BE621"/>
      <c r="BF621"/>
      <c r="BG621"/>
      <c r="BH621"/>
      <c r="BI621"/>
      <c r="BJ621"/>
      <c r="BR621"/>
      <c r="BS621"/>
      <c r="BT621"/>
      <c r="BU621"/>
      <c r="BX621"/>
      <c r="BY621"/>
      <c r="CA621"/>
    </row>
    <row r="622" spans="2:79" ht="18.75">
      <c r="B622" s="252" t="s">
        <v>1571</v>
      </c>
      <c r="C622" s="251">
        <v>36656777000156</v>
      </c>
      <c r="D622" s="252" t="s">
        <v>13</v>
      </c>
      <c r="E622" s="252" t="s">
        <v>615</v>
      </c>
      <c r="F622" s="252" t="s">
        <v>619</v>
      </c>
      <c r="G622" s="253" t="s">
        <v>34</v>
      </c>
      <c r="H622" s="253" t="s">
        <v>1338</v>
      </c>
      <c r="I622" s="253" t="s">
        <v>34</v>
      </c>
      <c r="J622" s="253" t="s">
        <v>611</v>
      </c>
      <c r="K622" s="253" t="s">
        <v>48</v>
      </c>
      <c r="L622" s="655"/>
      <c r="M622" s="655" t="s">
        <v>1417</v>
      </c>
      <c r="N622" s="253" t="s">
        <v>3213</v>
      </c>
      <c r="O622" s="253" t="s">
        <v>34</v>
      </c>
      <c r="P622" s="656">
        <v>44062</v>
      </c>
      <c r="Q622" s="657">
        <v>314.77904324999997</v>
      </c>
      <c r="R622" s="657">
        <v>369.2397978938867</v>
      </c>
      <c r="S622" s="253">
        <v>16</v>
      </c>
      <c r="T622" s="658">
        <v>-5.3478739628066041E-2</v>
      </c>
      <c r="U622" s="659">
        <v>-2.6741535913700645</v>
      </c>
      <c r="V622" s="658">
        <v>-3.5079047185269996E-2</v>
      </c>
      <c r="W622" s="659">
        <v>-0.27204888804574495</v>
      </c>
      <c r="X622" s="658">
        <v>0.28908826071068949</v>
      </c>
      <c r="Y622" s="659">
        <v>1.4971859561343415</v>
      </c>
      <c r="Z622" s="658"/>
      <c r="AA622" s="659"/>
      <c r="AB622" s="658">
        <v>0.26012033541128804</v>
      </c>
      <c r="AC622" s="660">
        <v>-0.63056568173616345</v>
      </c>
      <c r="AD622" s="682">
        <v>37540038000167</v>
      </c>
      <c r="AE622" s="944" t="s">
        <v>1732</v>
      </c>
      <c r="AF622" s="661" t="s">
        <v>1733</v>
      </c>
      <c r="AG622" s="662" t="s">
        <v>1547</v>
      </c>
      <c r="AH622" s="662" t="s">
        <v>1730</v>
      </c>
      <c r="AI622" s="662">
        <v>200000</v>
      </c>
      <c r="AJ622" s="662">
        <v>50000</v>
      </c>
      <c r="AK622" s="662">
        <v>200000</v>
      </c>
      <c r="AL622" s="658">
        <v>0</v>
      </c>
      <c r="AM622" s="658">
        <v>0</v>
      </c>
      <c r="AN622" s="659" t="s">
        <v>64</v>
      </c>
      <c r="AO622" s="253" t="s">
        <v>1324</v>
      </c>
      <c r="AP622" s="944" t="s">
        <v>1746</v>
      </c>
      <c r="AQ622" s="663" t="s">
        <v>668</v>
      </c>
      <c r="AR622" s="658">
        <v>0</v>
      </c>
      <c r="AS622" s="658">
        <v>0</v>
      </c>
      <c r="AT622" s="658" t="s">
        <v>1417</v>
      </c>
      <c r="AU622" s="658" t="s">
        <v>2751</v>
      </c>
      <c r="AX622"/>
      <c r="AY622"/>
      <c r="BA622"/>
      <c r="BB622"/>
      <c r="BC622"/>
      <c r="BD622"/>
      <c r="BE622"/>
      <c r="BF622"/>
      <c r="BG622"/>
      <c r="BH622"/>
      <c r="BI622"/>
      <c r="BJ622"/>
      <c r="BR622"/>
      <c r="BS622"/>
      <c r="BT622"/>
      <c r="BU622"/>
      <c r="BX622"/>
      <c r="BY622"/>
      <c r="CA622"/>
    </row>
    <row r="623" spans="2:79" ht="18.75">
      <c r="B623" s="252" t="s">
        <v>1572</v>
      </c>
      <c r="C623" s="251">
        <v>832453000184</v>
      </c>
      <c r="D623" s="252" t="s">
        <v>11</v>
      </c>
      <c r="E623" s="252" t="s">
        <v>620</v>
      </c>
      <c r="F623" s="252" t="s">
        <v>663</v>
      </c>
      <c r="G623" s="253" t="s">
        <v>738</v>
      </c>
      <c r="H623" s="253" t="s">
        <v>34</v>
      </c>
      <c r="I623" s="253" t="s">
        <v>1417</v>
      </c>
      <c r="J623" s="253" t="s">
        <v>608</v>
      </c>
      <c r="K623" s="253" t="s">
        <v>48</v>
      </c>
      <c r="L623" s="655"/>
      <c r="M623" s="655" t="s">
        <v>34</v>
      </c>
      <c r="N623" s="253" t="s">
        <v>3214</v>
      </c>
      <c r="O623" s="253" t="s">
        <v>1321</v>
      </c>
      <c r="P623" s="656">
        <v>34976</v>
      </c>
      <c r="Q623" s="657">
        <v>3.415591</v>
      </c>
      <c r="R623" s="657">
        <v>4.3534253279352209</v>
      </c>
      <c r="S623" s="253">
        <v>0</v>
      </c>
      <c r="T623" s="658">
        <v>1.7520327923426615E-2</v>
      </c>
      <c r="U623" s="659">
        <v>0.87608736040264124</v>
      </c>
      <c r="V623" s="658">
        <v>0.11508688764746222</v>
      </c>
      <c r="W623" s="659">
        <v>0.8925344992347658</v>
      </c>
      <c r="X623" s="658">
        <v>0.16423756357714403</v>
      </c>
      <c r="Y623" s="659">
        <v>0.85058512252596896</v>
      </c>
      <c r="Z623" s="658">
        <v>0.17890269890006349</v>
      </c>
      <c r="AA623" s="659">
        <v>0.8077952442953733</v>
      </c>
      <c r="AB623" s="658">
        <v>1.2152734225905619E-3</v>
      </c>
      <c r="AC623" s="660">
        <v>-11.402390229013264</v>
      </c>
      <c r="AD623" s="682">
        <v>0</v>
      </c>
      <c r="AE623" s="944" t="s">
        <v>1732</v>
      </c>
      <c r="AF623" s="661" t="s">
        <v>1733</v>
      </c>
      <c r="AG623" s="662" t="s">
        <v>59</v>
      </c>
      <c r="AH623" s="662" t="s">
        <v>1734</v>
      </c>
      <c r="AI623" s="662">
        <v>1</v>
      </c>
      <c r="AJ623" s="662">
        <v>1</v>
      </c>
      <c r="AK623" s="662">
        <v>1</v>
      </c>
      <c r="AL623" s="658">
        <v>5.0000000000000001E-3</v>
      </c>
      <c r="AM623" s="658">
        <v>0</v>
      </c>
      <c r="AN623" s="659" t="s">
        <v>64</v>
      </c>
      <c r="AO623" s="253" t="s">
        <v>34</v>
      </c>
      <c r="AP623" s="944" t="s">
        <v>1735</v>
      </c>
      <c r="AQ623" s="663" t="s">
        <v>662</v>
      </c>
      <c r="AR623" s="658">
        <v>0</v>
      </c>
      <c r="AS623" s="658">
        <v>0</v>
      </c>
      <c r="AT623" s="658" t="s">
        <v>1417</v>
      </c>
      <c r="AU623" s="658" t="s">
        <v>2751</v>
      </c>
      <c r="AX623"/>
      <c r="AY623"/>
      <c r="BA623"/>
      <c r="BB623"/>
      <c r="BC623"/>
      <c r="BD623"/>
      <c r="BE623"/>
      <c r="BF623"/>
      <c r="BG623"/>
      <c r="BH623"/>
      <c r="BI623"/>
      <c r="BJ623"/>
      <c r="BR623"/>
      <c r="BS623"/>
      <c r="BT623"/>
      <c r="BU623"/>
      <c r="BX623"/>
      <c r="BY623"/>
      <c r="CA623"/>
    </row>
    <row r="624" spans="2:79" ht="18.75">
      <c r="B624" s="252" t="s">
        <v>1573</v>
      </c>
      <c r="C624" s="251">
        <v>826901000137</v>
      </c>
      <c r="D624" s="252" t="s">
        <v>11</v>
      </c>
      <c r="E624" s="252" t="s">
        <v>620</v>
      </c>
      <c r="F624" s="252" t="s">
        <v>672</v>
      </c>
      <c r="G624" s="253" t="s">
        <v>738</v>
      </c>
      <c r="H624" s="253" t="s">
        <v>34</v>
      </c>
      <c r="I624" s="253" t="s">
        <v>1304</v>
      </c>
      <c r="J624" s="253" t="s">
        <v>608</v>
      </c>
      <c r="K624" s="253" t="s">
        <v>48</v>
      </c>
      <c r="L624" s="655"/>
      <c r="M624" s="655" t="s">
        <v>34</v>
      </c>
      <c r="N624" s="253" t="s">
        <v>3215</v>
      </c>
      <c r="O624" s="253" t="s">
        <v>1321</v>
      </c>
      <c r="P624" s="656">
        <v>34976</v>
      </c>
      <c r="Q624" s="657">
        <v>11.27896</v>
      </c>
      <c r="R624" s="657">
        <v>27.505679042372876</v>
      </c>
      <c r="S624" s="253">
        <v>0</v>
      </c>
      <c r="T624" s="658">
        <v>1.3430204742417295E-2</v>
      </c>
      <c r="U624" s="659">
        <v>0.67156463474173422</v>
      </c>
      <c r="V624" s="658">
        <v>0.11668668014849892</v>
      </c>
      <c r="W624" s="659">
        <v>0.90494138613543706</v>
      </c>
      <c r="X624" s="658">
        <v>0.17591494311852585</v>
      </c>
      <c r="Y624" s="659">
        <v>0.91106218448215803</v>
      </c>
      <c r="Z624" s="658">
        <v>0.18571695653426867</v>
      </c>
      <c r="AA624" s="659">
        <v>0.8385635051665481</v>
      </c>
      <c r="AB624" s="658">
        <v>4.913766376674171E-3</v>
      </c>
      <c r="AC624" s="660">
        <v>-2.4944672494962208</v>
      </c>
      <c r="AD624" s="682">
        <v>9329721000114</v>
      </c>
      <c r="AE624" s="944" t="s">
        <v>1732</v>
      </c>
      <c r="AF624" s="661" t="s">
        <v>1733</v>
      </c>
      <c r="AG624" s="662" t="s">
        <v>59</v>
      </c>
      <c r="AH624" s="662" t="s">
        <v>1734</v>
      </c>
      <c r="AI624" s="662">
        <v>1</v>
      </c>
      <c r="AJ624" s="662">
        <v>1</v>
      </c>
      <c r="AK624" s="662">
        <v>1</v>
      </c>
      <c r="AL624" s="658">
        <v>1.4999999999999999E-2</v>
      </c>
      <c r="AM624" s="658">
        <v>0</v>
      </c>
      <c r="AN624" s="659" t="s">
        <v>64</v>
      </c>
      <c r="AO624" s="253" t="s">
        <v>34</v>
      </c>
      <c r="AP624" s="944" t="s">
        <v>1735</v>
      </c>
      <c r="AQ624" s="663" t="s">
        <v>662</v>
      </c>
      <c r="AR624" s="658">
        <v>0</v>
      </c>
      <c r="AS624" s="658">
        <v>0</v>
      </c>
      <c r="AT624" s="658" t="s">
        <v>1417</v>
      </c>
      <c r="AU624" s="658" t="s">
        <v>2751</v>
      </c>
      <c r="AX624"/>
      <c r="AY624"/>
      <c r="BA624"/>
      <c r="BB624"/>
      <c r="BC624"/>
      <c r="BD624"/>
      <c r="BE624"/>
      <c r="BF624"/>
      <c r="BG624"/>
      <c r="BH624"/>
      <c r="BI624"/>
      <c r="BJ624"/>
      <c r="BR624"/>
      <c r="BS624"/>
      <c r="BT624"/>
      <c r="BU624"/>
      <c r="BX624"/>
      <c r="BY624"/>
      <c r="CA624"/>
    </row>
    <row r="625" spans="2:79" ht="18.75">
      <c r="B625" s="252" t="s">
        <v>1574</v>
      </c>
      <c r="C625" s="251">
        <v>13703754000150</v>
      </c>
      <c r="D625" s="252" t="s">
        <v>11</v>
      </c>
      <c r="E625" s="252" t="s">
        <v>621</v>
      </c>
      <c r="F625" s="252" t="s">
        <v>672</v>
      </c>
      <c r="G625" s="253" t="s">
        <v>738</v>
      </c>
      <c r="H625" s="253" t="s">
        <v>34</v>
      </c>
      <c r="I625" s="253" t="s">
        <v>1417</v>
      </c>
      <c r="J625" s="253" t="s">
        <v>608</v>
      </c>
      <c r="K625" s="253" t="s">
        <v>48</v>
      </c>
      <c r="L625" s="655"/>
      <c r="M625" s="655" t="s">
        <v>34</v>
      </c>
      <c r="N625" s="253" t="s">
        <v>3216</v>
      </c>
      <c r="O625" s="253" t="s">
        <v>1321</v>
      </c>
      <c r="P625" s="656">
        <v>40803</v>
      </c>
      <c r="Q625" s="657">
        <v>172.58014399999999</v>
      </c>
      <c r="R625" s="657">
        <v>230.07237118072294</v>
      </c>
      <c r="S625" s="253">
        <v>1</v>
      </c>
      <c r="T625" s="658">
        <v>2.7386888586956148E-2</v>
      </c>
      <c r="U625" s="659">
        <v>1.3694553570373491</v>
      </c>
      <c r="V625" s="658">
        <v>0.11023394871738268</v>
      </c>
      <c r="W625" s="659">
        <v>0.85489845305856216</v>
      </c>
      <c r="X625" s="658">
        <v>0.1766737768572435</v>
      </c>
      <c r="Y625" s="659">
        <v>0.91499217878167061</v>
      </c>
      <c r="Z625" s="658">
        <v>0.24743810603582839</v>
      </c>
      <c r="AA625" s="659">
        <v>1.1172515928608249</v>
      </c>
      <c r="AB625" s="658">
        <v>2.7473295355096034E-2</v>
      </c>
      <c r="AC625" s="660">
        <v>-0.68102353531227022</v>
      </c>
      <c r="AD625" s="682">
        <v>31552311000197</v>
      </c>
      <c r="AE625" s="944" t="s">
        <v>1732</v>
      </c>
      <c r="AF625" s="661" t="s">
        <v>1733</v>
      </c>
      <c r="AG625" s="662" t="s">
        <v>59</v>
      </c>
      <c r="AH625" s="662" t="s">
        <v>1730</v>
      </c>
      <c r="AI625" s="662">
        <v>100000</v>
      </c>
      <c r="AJ625" s="662">
        <v>50000</v>
      </c>
      <c r="AK625" s="662">
        <v>100000</v>
      </c>
      <c r="AL625" s="658">
        <v>4.0000000000000001E-3</v>
      </c>
      <c r="AM625" s="658">
        <v>0</v>
      </c>
      <c r="AN625" s="659" t="s">
        <v>636</v>
      </c>
      <c r="AO625" s="253" t="s">
        <v>34</v>
      </c>
      <c r="AP625" s="944" t="s">
        <v>1735</v>
      </c>
      <c r="AQ625" s="663" t="s">
        <v>662</v>
      </c>
      <c r="AR625" s="658">
        <v>0</v>
      </c>
      <c r="AS625" s="658">
        <v>0</v>
      </c>
      <c r="AT625" s="658" t="s">
        <v>1417</v>
      </c>
      <c r="AU625" s="658" t="s">
        <v>2751</v>
      </c>
      <c r="AX625"/>
      <c r="AY625"/>
      <c r="BA625"/>
      <c r="BB625"/>
      <c r="BC625"/>
      <c r="BD625"/>
      <c r="BE625"/>
      <c r="BF625"/>
      <c r="BG625"/>
      <c r="BH625"/>
      <c r="BI625"/>
      <c r="BJ625"/>
      <c r="BR625"/>
      <c r="BS625"/>
      <c r="BT625"/>
      <c r="BU625"/>
      <c r="BX625"/>
      <c r="BY625"/>
      <c r="CA625"/>
    </row>
    <row r="626" spans="2:79" ht="18.75">
      <c r="B626" s="252" t="s">
        <v>1575</v>
      </c>
      <c r="C626" s="251">
        <v>9463987000155</v>
      </c>
      <c r="D626" s="252" t="s">
        <v>11</v>
      </c>
      <c r="E626" s="252" t="s">
        <v>621</v>
      </c>
      <c r="F626" s="252" t="s">
        <v>672</v>
      </c>
      <c r="G626" s="253" t="s">
        <v>865</v>
      </c>
      <c r="H626" s="253" t="s">
        <v>34</v>
      </c>
      <c r="I626" s="253" t="s">
        <v>1417</v>
      </c>
      <c r="J626" s="253" t="s">
        <v>608</v>
      </c>
      <c r="K626" s="253" t="s">
        <v>48</v>
      </c>
      <c r="L626" s="655"/>
      <c r="M626" s="655" t="s">
        <v>34</v>
      </c>
      <c r="N626" s="253" t="s">
        <v>3217</v>
      </c>
      <c r="O626" s="253" t="s">
        <v>1321</v>
      </c>
      <c r="P626" s="656">
        <v>39597</v>
      </c>
      <c r="Q626" s="657">
        <v>86.649096999999998</v>
      </c>
      <c r="R626" s="657">
        <v>90.918306574297148</v>
      </c>
      <c r="S626" s="253">
        <v>1</v>
      </c>
      <c r="T626" s="658">
        <v>1.4849575040785323E-2</v>
      </c>
      <c r="U626" s="659">
        <v>0.74253889866909306</v>
      </c>
      <c r="V626" s="658">
        <v>7.7006320317920984E-2</v>
      </c>
      <c r="W626" s="659">
        <v>0.59720789177482947</v>
      </c>
      <c r="X626" s="658">
        <v>8.4793320221880242E-2</v>
      </c>
      <c r="Y626" s="659">
        <v>0.43914397595428517</v>
      </c>
      <c r="Z626" s="658">
        <v>0.12235863780137524</v>
      </c>
      <c r="AA626" s="659">
        <v>0.55248314487208627</v>
      </c>
      <c r="AB626" s="658">
        <v>5.6743047395652384E-2</v>
      </c>
      <c r="AC626" s="660">
        <v>-0.91531194591510068</v>
      </c>
      <c r="AD626" s="682">
        <v>31552352000183</v>
      </c>
      <c r="AE626" s="944" t="s">
        <v>1732</v>
      </c>
      <c r="AF626" s="661" t="s">
        <v>1733</v>
      </c>
      <c r="AG626" s="662" t="s">
        <v>59</v>
      </c>
      <c r="AH626" s="662" t="s">
        <v>1730</v>
      </c>
      <c r="AI626" s="662">
        <v>100000</v>
      </c>
      <c r="AJ626" s="662">
        <v>50000</v>
      </c>
      <c r="AK626" s="662">
        <v>100000</v>
      </c>
      <c r="AL626" s="658">
        <v>0</v>
      </c>
      <c r="AM626" s="658">
        <v>0</v>
      </c>
      <c r="AN626" s="659" t="s">
        <v>150</v>
      </c>
      <c r="AO626" s="253" t="s">
        <v>34</v>
      </c>
      <c r="AP626" s="944" t="s">
        <v>1735</v>
      </c>
      <c r="AQ626" s="663" t="s">
        <v>662</v>
      </c>
      <c r="AR626" s="658">
        <v>0</v>
      </c>
      <c r="AS626" s="658">
        <v>0</v>
      </c>
      <c r="AT626" s="658" t="s">
        <v>1417</v>
      </c>
      <c r="AU626" s="658" t="s">
        <v>2751</v>
      </c>
      <c r="AX626"/>
      <c r="AY626"/>
      <c r="BA626"/>
      <c r="BB626"/>
      <c r="BC626"/>
      <c r="BD626"/>
      <c r="BE626"/>
      <c r="BF626"/>
      <c r="BG626"/>
      <c r="BH626"/>
      <c r="BI626"/>
      <c r="BJ626"/>
      <c r="BR626"/>
      <c r="BS626"/>
      <c r="BT626"/>
      <c r="BU626"/>
      <c r="BX626"/>
      <c r="BY626"/>
      <c r="CA626"/>
    </row>
    <row r="627" spans="2:79" ht="18.75">
      <c r="B627" s="252" t="s">
        <v>1576</v>
      </c>
      <c r="C627" s="251">
        <v>34738254000123</v>
      </c>
      <c r="D627" s="252" t="s">
        <v>11</v>
      </c>
      <c r="E627" s="252" t="s">
        <v>616</v>
      </c>
      <c r="F627" s="252" t="s">
        <v>619</v>
      </c>
      <c r="G627" s="253" t="s">
        <v>1417</v>
      </c>
      <c r="H627" s="253" t="s">
        <v>34</v>
      </c>
      <c r="I627" s="253" t="s">
        <v>1417</v>
      </c>
      <c r="J627" s="253" t="s">
        <v>608</v>
      </c>
      <c r="K627" s="253" t="s">
        <v>48</v>
      </c>
      <c r="L627" s="655"/>
      <c r="M627" s="655" t="s">
        <v>34</v>
      </c>
      <c r="N627" s="253" t="s">
        <v>3218</v>
      </c>
      <c r="O627" s="253" t="s">
        <v>1321</v>
      </c>
      <c r="P627" s="656">
        <v>43820</v>
      </c>
      <c r="Q627" s="657">
        <v>679.74745730999996</v>
      </c>
      <c r="R627" s="657">
        <v>637.18806498935749</v>
      </c>
      <c r="S627" s="253">
        <v>31</v>
      </c>
      <c r="T627" s="658">
        <v>1.4833408000605175E-2</v>
      </c>
      <c r="U627" s="659">
        <v>0.74173048117720297</v>
      </c>
      <c r="V627" s="658">
        <v>0.14803455472685245</v>
      </c>
      <c r="W627" s="659">
        <v>1.1480538736724304</v>
      </c>
      <c r="X627" s="658">
        <v>0.18789271941667396</v>
      </c>
      <c r="Y627" s="659">
        <v>0.97309499901160335</v>
      </c>
      <c r="Z627" s="658">
        <v>0.286198547312144</v>
      </c>
      <c r="AA627" s="659">
        <v>1.2922657224536274</v>
      </c>
      <c r="AB627" s="658">
        <v>3.6363350931214636E-2</v>
      </c>
      <c r="AC627" s="660">
        <v>0.52499686610775231</v>
      </c>
      <c r="AD627" s="682">
        <v>34738232000163</v>
      </c>
      <c r="AE627" s="944" t="s">
        <v>1732</v>
      </c>
      <c r="AF627" s="661" t="s">
        <v>1733</v>
      </c>
      <c r="AG627" s="662" t="s">
        <v>59</v>
      </c>
      <c r="AH627" s="662" t="s">
        <v>1730</v>
      </c>
      <c r="AI627" s="662">
        <v>50000</v>
      </c>
      <c r="AJ627" s="662">
        <v>10000</v>
      </c>
      <c r="AK627" s="662">
        <v>50000</v>
      </c>
      <c r="AL627" s="658">
        <v>0.01</v>
      </c>
      <c r="AM627" s="658">
        <v>0.1</v>
      </c>
      <c r="AN627" s="659" t="s">
        <v>64</v>
      </c>
      <c r="AO627" s="253" t="s">
        <v>34</v>
      </c>
      <c r="AP627" s="944" t="s">
        <v>1746</v>
      </c>
      <c r="AQ627" s="663" t="s">
        <v>668</v>
      </c>
      <c r="AR627" s="658">
        <v>0</v>
      </c>
      <c r="AS627" s="658">
        <v>0</v>
      </c>
      <c r="AT627" s="658" t="s">
        <v>1417</v>
      </c>
      <c r="AU627" s="658" t="s">
        <v>2751</v>
      </c>
      <c r="AX627"/>
      <c r="AY627"/>
      <c r="BA627"/>
      <c r="BB627"/>
      <c r="BC627"/>
      <c r="BD627"/>
      <c r="BE627"/>
      <c r="BF627"/>
      <c r="BG627"/>
      <c r="BH627"/>
      <c r="BI627"/>
      <c r="BJ627"/>
      <c r="BR627"/>
      <c r="BS627"/>
      <c r="BT627"/>
      <c r="BU627"/>
      <c r="BX627"/>
      <c r="BY627"/>
      <c r="CA627"/>
    </row>
    <row r="628" spans="2:79" ht="18.75">
      <c r="B628" s="252" t="s">
        <v>1577</v>
      </c>
      <c r="C628" s="251">
        <v>34735784000118</v>
      </c>
      <c r="D628" s="252" t="s">
        <v>14</v>
      </c>
      <c r="E628" s="252" t="s">
        <v>614</v>
      </c>
      <c r="F628" s="252" t="s">
        <v>1417</v>
      </c>
      <c r="G628" s="253" t="s">
        <v>1417</v>
      </c>
      <c r="H628" s="253" t="s">
        <v>1338</v>
      </c>
      <c r="I628" s="253" t="s">
        <v>34</v>
      </c>
      <c r="J628" s="253" t="s">
        <v>608</v>
      </c>
      <c r="K628" s="253" t="s">
        <v>48</v>
      </c>
      <c r="L628" s="655"/>
      <c r="M628" s="655" t="s">
        <v>34</v>
      </c>
      <c r="N628" s="253" t="s">
        <v>3219</v>
      </c>
      <c r="O628" s="253" t="s">
        <v>1321</v>
      </c>
      <c r="P628" s="656">
        <v>43831</v>
      </c>
      <c r="Q628" s="657">
        <v>5.7373160499999996</v>
      </c>
      <c r="R628" s="657">
        <v>18.839132250120485</v>
      </c>
      <c r="S628" s="253">
        <v>32</v>
      </c>
      <c r="T628" s="658">
        <v>-3.0570631080928945E-2</v>
      </c>
      <c r="U628" s="659">
        <v>-1.5286553771475224</v>
      </c>
      <c r="V628" s="658">
        <v>-6.3501360018179187E-2</v>
      </c>
      <c r="W628" s="659">
        <v>-0.49247273710422496</v>
      </c>
      <c r="X628" s="658">
        <v>-0.15224592866065667</v>
      </c>
      <c r="Y628" s="659">
        <v>-0.78848053431502596</v>
      </c>
      <c r="Z628" s="658">
        <v>-0.14502493026010099</v>
      </c>
      <c r="AA628" s="659">
        <v>-0.65482773423009655</v>
      </c>
      <c r="AB628" s="658">
        <v>0.14590173539998719</v>
      </c>
      <c r="AC628" s="660">
        <v>-1.3190060346943924</v>
      </c>
      <c r="AD628" s="682">
        <v>32683857000140</v>
      </c>
      <c r="AE628" s="944" t="s">
        <v>1732</v>
      </c>
      <c r="AF628" s="661" t="s">
        <v>1733</v>
      </c>
      <c r="AG628" s="662" t="s">
        <v>59</v>
      </c>
      <c r="AH628" s="662" t="s">
        <v>1730</v>
      </c>
      <c r="AI628" s="662">
        <v>50000</v>
      </c>
      <c r="AJ628" s="662">
        <v>50000</v>
      </c>
      <c r="AK628" s="662">
        <v>50000</v>
      </c>
      <c r="AL628" s="658">
        <v>0.02</v>
      </c>
      <c r="AM628" s="658">
        <v>0.2</v>
      </c>
      <c r="AN628" s="659" t="s">
        <v>2141</v>
      </c>
      <c r="AO628" s="253" t="s">
        <v>34</v>
      </c>
      <c r="AP628" s="944" t="s">
        <v>1746</v>
      </c>
      <c r="AQ628" s="663" t="s">
        <v>668</v>
      </c>
      <c r="AR628" s="658">
        <v>0</v>
      </c>
      <c r="AS628" s="658">
        <v>0</v>
      </c>
      <c r="AT628" s="658" t="s">
        <v>1417</v>
      </c>
      <c r="AU628" s="658" t="s">
        <v>2751</v>
      </c>
      <c r="AX628"/>
      <c r="AY628"/>
      <c r="BA628"/>
      <c r="BB628"/>
      <c r="BC628"/>
      <c r="BD628"/>
      <c r="BE628"/>
      <c r="BF628"/>
      <c r="BG628"/>
      <c r="BH628"/>
      <c r="BI628"/>
      <c r="BJ628"/>
      <c r="BR628"/>
      <c r="BS628"/>
      <c r="BT628"/>
      <c r="BU628"/>
      <c r="BX628"/>
      <c r="BY628"/>
      <c r="CA628"/>
    </row>
    <row r="629" spans="2:79" ht="18.75">
      <c r="B629" s="252" t="s">
        <v>1578</v>
      </c>
      <c r="C629" s="251">
        <v>28069930000110</v>
      </c>
      <c r="D629" s="252" t="s">
        <v>13</v>
      </c>
      <c r="E629" s="252" t="s">
        <v>615</v>
      </c>
      <c r="F629" s="252" t="s">
        <v>619</v>
      </c>
      <c r="G629" s="253" t="s">
        <v>34</v>
      </c>
      <c r="H629" s="253" t="s">
        <v>1337</v>
      </c>
      <c r="I629" s="253" t="s">
        <v>34</v>
      </c>
      <c r="J629" s="253" t="s">
        <v>1417</v>
      </c>
      <c r="K629" s="253" t="s">
        <v>48</v>
      </c>
      <c r="L629" s="655"/>
      <c r="M629" s="655" t="s">
        <v>34</v>
      </c>
      <c r="N629" s="253" t="s">
        <v>3220</v>
      </c>
      <c r="O629" s="253" t="s">
        <v>1321</v>
      </c>
      <c r="P629" s="656">
        <v>42999</v>
      </c>
      <c r="Q629" s="657">
        <v>364.69972379000001</v>
      </c>
      <c r="R629" s="657">
        <v>791.43947738927432</v>
      </c>
      <c r="S629" s="253">
        <v>32</v>
      </c>
      <c r="T629" s="658">
        <v>-2.6935550099129735E-3</v>
      </c>
      <c r="U629" s="659">
        <v>-0.13468866045473199</v>
      </c>
      <c r="V629" s="658">
        <v>4.9029443552407681E-2</v>
      </c>
      <c r="W629" s="659">
        <v>0.38023853753744608</v>
      </c>
      <c r="X629" s="658">
        <v>5.2961096674700503E-2</v>
      </c>
      <c r="Y629" s="659">
        <v>0.27428512651431508</v>
      </c>
      <c r="Z629" s="658">
        <v>0.13712715155229804</v>
      </c>
      <c r="AA629" s="659">
        <v>0.61916707555985318</v>
      </c>
      <c r="AB629" s="658">
        <v>5.143501601603602E-2</v>
      </c>
      <c r="AC629" s="660">
        <v>-1.5536976963216176</v>
      </c>
      <c r="AD629" s="682">
        <v>26860879000135</v>
      </c>
      <c r="AE629" s="944" t="s">
        <v>1732</v>
      </c>
      <c r="AF629" s="661" t="s">
        <v>1733</v>
      </c>
      <c r="AG629" s="662" t="s">
        <v>59</v>
      </c>
      <c r="AH629" s="662" t="s">
        <v>1801</v>
      </c>
      <c r="AI629" s="662">
        <v>50000</v>
      </c>
      <c r="AJ629" s="662">
        <v>50000</v>
      </c>
      <c r="AK629" s="662">
        <v>50000</v>
      </c>
      <c r="AL629" s="658">
        <v>0.01</v>
      </c>
      <c r="AM629" s="658">
        <v>0.1</v>
      </c>
      <c r="AN629" s="659" t="s">
        <v>64</v>
      </c>
      <c r="AO629" s="253" t="s">
        <v>34</v>
      </c>
      <c r="AP629" s="944" t="s">
        <v>1746</v>
      </c>
      <c r="AQ629" s="663" t="s">
        <v>679</v>
      </c>
      <c r="AR629" s="658">
        <v>0</v>
      </c>
      <c r="AS629" s="658">
        <v>0</v>
      </c>
      <c r="AT629" s="658" t="s">
        <v>1417</v>
      </c>
      <c r="AU629" s="658" t="s">
        <v>2751</v>
      </c>
      <c r="AX629"/>
      <c r="AY629"/>
      <c r="BA629"/>
      <c r="BB629"/>
      <c r="BC629"/>
      <c r="BD629"/>
      <c r="BE629"/>
      <c r="BF629"/>
      <c r="BG629"/>
      <c r="BH629"/>
      <c r="BI629"/>
      <c r="BJ629"/>
      <c r="BR629"/>
      <c r="BS629"/>
      <c r="BT629"/>
      <c r="BU629"/>
      <c r="BX629"/>
      <c r="BY629"/>
      <c r="CA629"/>
    </row>
    <row r="630" spans="2:79" ht="18.75">
      <c r="B630" s="252" t="s">
        <v>1579</v>
      </c>
      <c r="C630" s="251">
        <v>25247292000192</v>
      </c>
      <c r="D630" s="252" t="s">
        <v>11</v>
      </c>
      <c r="E630" s="252" t="s">
        <v>661</v>
      </c>
      <c r="F630" s="252" t="s">
        <v>672</v>
      </c>
      <c r="G630" s="253" t="s">
        <v>1417</v>
      </c>
      <c r="H630" s="253" t="s">
        <v>34</v>
      </c>
      <c r="I630" s="253" t="s">
        <v>1417</v>
      </c>
      <c r="J630" s="253" t="s">
        <v>608</v>
      </c>
      <c r="K630" s="253" t="s">
        <v>48</v>
      </c>
      <c r="L630" s="655"/>
      <c r="M630" s="655" t="s">
        <v>34</v>
      </c>
      <c r="N630" s="253" t="s">
        <v>3221</v>
      </c>
      <c r="O630" s="253" t="s">
        <v>1321</v>
      </c>
      <c r="P630" s="656">
        <v>42624</v>
      </c>
      <c r="Q630" s="657">
        <v>2.471123</v>
      </c>
      <c r="R630" s="657">
        <v>5.514078673387095</v>
      </c>
      <c r="S630" s="253">
        <v>1</v>
      </c>
      <c r="T630" s="658">
        <v>1.3780391573706252E-2</v>
      </c>
      <c r="U630" s="659">
        <v>0.68907539470082668</v>
      </c>
      <c r="V630" s="658">
        <v>5.9747660921165124E-2</v>
      </c>
      <c r="W630" s="659">
        <v>0.46336163667987251</v>
      </c>
      <c r="X630" s="658">
        <v>2.2935541134288862E-2</v>
      </c>
      <c r="Y630" s="659">
        <v>0.11878299726934936</v>
      </c>
      <c r="Z630" s="658">
        <v>5.7283703257622109E-2</v>
      </c>
      <c r="AA630" s="659">
        <v>0.25865178866297195</v>
      </c>
      <c r="AB630" s="658">
        <v>7.7054845079042256E-2</v>
      </c>
      <c r="AC630" s="660">
        <v>-0.89801294720198654</v>
      </c>
      <c r="AD630" s="682">
        <v>31552347000170</v>
      </c>
      <c r="AE630" s="944" t="s">
        <v>1732</v>
      </c>
      <c r="AF630" s="661" t="s">
        <v>1733</v>
      </c>
      <c r="AG630" s="662" t="s">
        <v>59</v>
      </c>
      <c r="AH630" s="662" t="s">
        <v>1730</v>
      </c>
      <c r="AI630" s="662">
        <v>100000</v>
      </c>
      <c r="AJ630" s="662">
        <v>50000</v>
      </c>
      <c r="AK630" s="662">
        <v>100000</v>
      </c>
      <c r="AL630" s="658">
        <v>5.0000000000000001E-3</v>
      </c>
      <c r="AM630" s="658">
        <v>0.2</v>
      </c>
      <c r="AN630" s="659" t="s">
        <v>2122</v>
      </c>
      <c r="AO630" s="253" t="s">
        <v>34</v>
      </c>
      <c r="AP630" s="944" t="s">
        <v>1735</v>
      </c>
      <c r="AQ630" s="663" t="s">
        <v>675</v>
      </c>
      <c r="AR630" s="658">
        <v>0</v>
      </c>
      <c r="AS630" s="658">
        <v>0</v>
      </c>
      <c r="AT630" s="658" t="s">
        <v>1417</v>
      </c>
      <c r="AU630" s="658" t="s">
        <v>2751</v>
      </c>
      <c r="AX630"/>
      <c r="AY630"/>
      <c r="BA630"/>
      <c r="BB630"/>
      <c r="BC630"/>
      <c r="BD630"/>
      <c r="BE630"/>
      <c r="BF630"/>
      <c r="BG630"/>
      <c r="BH630"/>
      <c r="BI630"/>
      <c r="BJ630"/>
      <c r="BR630"/>
      <c r="BS630"/>
      <c r="BT630"/>
      <c r="BU630"/>
      <c r="BX630"/>
      <c r="BY630"/>
      <c r="CA630"/>
    </row>
    <row r="631" spans="2:79" ht="18.75">
      <c r="B631" s="252" t="s">
        <v>1580</v>
      </c>
      <c r="C631" s="251">
        <v>4299610000199</v>
      </c>
      <c r="D631" s="252" t="s">
        <v>11</v>
      </c>
      <c r="E631" s="252" t="s">
        <v>620</v>
      </c>
      <c r="F631" s="252" t="s">
        <v>672</v>
      </c>
      <c r="G631" s="253" t="s">
        <v>738</v>
      </c>
      <c r="H631" s="253" t="s">
        <v>34</v>
      </c>
      <c r="I631" s="253" t="s">
        <v>1304</v>
      </c>
      <c r="J631" s="253" t="s">
        <v>608</v>
      </c>
      <c r="K631" s="253" t="s">
        <v>48</v>
      </c>
      <c r="L631" s="655"/>
      <c r="M631" s="655" t="s">
        <v>34</v>
      </c>
      <c r="N631" s="253" t="s">
        <v>3222</v>
      </c>
      <c r="O631" s="253" t="s">
        <v>1321</v>
      </c>
      <c r="P631" s="656">
        <v>37022</v>
      </c>
      <c r="Q631" s="657">
        <v>2358.7526942999998</v>
      </c>
      <c r="R631" s="657">
        <v>3050.860206695952</v>
      </c>
      <c r="S631" s="253">
        <v>0</v>
      </c>
      <c r="T631" s="658">
        <v>1.4892870066311126E-2</v>
      </c>
      <c r="U631" s="659">
        <v>0.74470382530729529</v>
      </c>
      <c r="V631" s="658">
        <v>0.12519255372223359</v>
      </c>
      <c r="W631" s="659">
        <v>0.97090707315568991</v>
      </c>
      <c r="X631" s="658">
        <v>0.19306969697727183</v>
      </c>
      <c r="Y631" s="659">
        <v>0.99990652736593744</v>
      </c>
      <c r="Z631" s="658">
        <v>0.21181439041428862</v>
      </c>
      <c r="AA631" s="659">
        <v>0.95640064851992646</v>
      </c>
      <c r="AB631" s="658">
        <v>2.3385004095485382E-3</v>
      </c>
      <c r="AC631" s="660">
        <v>-1.6041715063368254</v>
      </c>
      <c r="AD631" s="682">
        <v>9329721000114</v>
      </c>
      <c r="AE631" s="944" t="s">
        <v>1732</v>
      </c>
      <c r="AF631" s="661" t="s">
        <v>1733</v>
      </c>
      <c r="AG631" s="662" t="s">
        <v>59</v>
      </c>
      <c r="AH631" s="662" t="s">
        <v>1734</v>
      </c>
      <c r="AI631" s="662">
        <v>1</v>
      </c>
      <c r="AJ631" s="662">
        <v>1</v>
      </c>
      <c r="AK631" s="662">
        <v>1</v>
      </c>
      <c r="AL631" s="658">
        <v>9.0000000000000011E-3</v>
      </c>
      <c r="AM631" s="658">
        <v>0</v>
      </c>
      <c r="AN631" s="659" t="s">
        <v>64</v>
      </c>
      <c r="AO631" s="253" t="s">
        <v>34</v>
      </c>
      <c r="AP631" s="944" t="s">
        <v>1735</v>
      </c>
      <c r="AQ631" s="663" t="s">
        <v>662</v>
      </c>
      <c r="AR631" s="658">
        <v>0</v>
      </c>
      <c r="AS631" s="658">
        <v>0</v>
      </c>
      <c r="AT631" s="658" t="s">
        <v>1417</v>
      </c>
      <c r="AU631" s="658" t="s">
        <v>2751</v>
      </c>
      <c r="AX631"/>
      <c r="AY631"/>
      <c r="BA631"/>
      <c r="BB631"/>
      <c r="BC631"/>
      <c r="BD631"/>
      <c r="BE631"/>
      <c r="BF631"/>
      <c r="BG631"/>
      <c r="BH631"/>
      <c r="BI631"/>
      <c r="BJ631"/>
      <c r="BR631"/>
      <c r="BS631"/>
      <c r="BT631"/>
      <c r="BU631"/>
      <c r="BX631"/>
      <c r="BY631"/>
      <c r="CA631"/>
    </row>
    <row r="632" spans="2:79" ht="18.75">
      <c r="B632" s="252" t="s">
        <v>1581</v>
      </c>
      <c r="C632" s="251">
        <v>31611455000177</v>
      </c>
      <c r="D632" s="252" t="s">
        <v>11</v>
      </c>
      <c r="E632" s="252" t="s">
        <v>620</v>
      </c>
      <c r="F632" s="252" t="s">
        <v>663</v>
      </c>
      <c r="G632" s="253" t="s">
        <v>1417</v>
      </c>
      <c r="H632" s="253" t="s">
        <v>34</v>
      </c>
      <c r="I632" s="253" t="s">
        <v>1417</v>
      </c>
      <c r="J632" s="253" t="s">
        <v>608</v>
      </c>
      <c r="K632" s="253" t="s">
        <v>48</v>
      </c>
      <c r="L632" s="655"/>
      <c r="M632" s="655" t="s">
        <v>34</v>
      </c>
      <c r="N632" s="253" t="s">
        <v>3223</v>
      </c>
      <c r="O632" s="253" t="s">
        <v>1321</v>
      </c>
      <c r="P632" s="656">
        <v>43581</v>
      </c>
      <c r="Q632" s="657">
        <v>140.80074322999999</v>
      </c>
      <c r="R632" s="657">
        <v>161.20258800717752</v>
      </c>
      <c r="S632" s="253">
        <v>15</v>
      </c>
      <c r="T632" s="658">
        <v>6.6472817570235598E-3</v>
      </c>
      <c r="U632" s="659">
        <v>0.33239101196140314</v>
      </c>
      <c r="V632" s="658">
        <v>0.12387203515076761</v>
      </c>
      <c r="W632" s="659">
        <v>0.96066604217461105</v>
      </c>
      <c r="X632" s="658">
        <v>0.2075289835075298</v>
      </c>
      <c r="Y632" s="659">
        <v>1.0747910649656485</v>
      </c>
      <c r="Z632" s="658">
        <v>0.22489505751589545</v>
      </c>
      <c r="AA632" s="659">
        <v>1.0154634840269048</v>
      </c>
      <c r="AB632" s="658">
        <v>5.6887497326867393E-3</v>
      </c>
      <c r="AC632" s="660">
        <v>-0.89156221214627851</v>
      </c>
      <c r="AD632" s="682">
        <v>31611340000182</v>
      </c>
      <c r="AE632" s="944" t="s">
        <v>1732</v>
      </c>
      <c r="AF632" s="661" t="s">
        <v>1733</v>
      </c>
      <c r="AG632" s="662" t="s">
        <v>59</v>
      </c>
      <c r="AH632" s="662" t="s">
        <v>1730</v>
      </c>
      <c r="AI632" s="662">
        <v>50000</v>
      </c>
      <c r="AJ632" s="662">
        <v>50000</v>
      </c>
      <c r="AK632" s="662">
        <v>50000</v>
      </c>
      <c r="AL632" s="658">
        <v>5.0000000000000001E-3</v>
      </c>
      <c r="AM632" s="658">
        <v>0.1</v>
      </c>
      <c r="AN632" s="659" t="s">
        <v>64</v>
      </c>
      <c r="AO632" s="253" t="s">
        <v>34</v>
      </c>
      <c r="AP632" s="944" t="s">
        <v>1746</v>
      </c>
      <c r="AQ632" s="663" t="s">
        <v>668</v>
      </c>
      <c r="AR632" s="658">
        <v>0</v>
      </c>
      <c r="AS632" s="658">
        <v>0</v>
      </c>
      <c r="AT632" s="658" t="s">
        <v>1417</v>
      </c>
      <c r="AU632" s="658" t="s">
        <v>2751</v>
      </c>
      <c r="AX632"/>
      <c r="AY632"/>
      <c r="BA632"/>
      <c r="BB632"/>
      <c r="BC632"/>
      <c r="BD632"/>
      <c r="BE632"/>
      <c r="BF632"/>
      <c r="BG632"/>
      <c r="BH632"/>
      <c r="BI632"/>
      <c r="BJ632"/>
      <c r="BR632"/>
      <c r="BS632"/>
      <c r="BT632"/>
      <c r="BU632"/>
      <c r="BX632"/>
      <c r="BY632"/>
      <c r="CA632"/>
    </row>
    <row r="633" spans="2:79" ht="18.75">
      <c r="B633" s="252" t="s">
        <v>1582</v>
      </c>
      <c r="C633" s="251">
        <v>9639909000169</v>
      </c>
      <c r="D633" s="252" t="s">
        <v>11</v>
      </c>
      <c r="E633" s="252" t="s">
        <v>620</v>
      </c>
      <c r="F633" s="252" t="s">
        <v>672</v>
      </c>
      <c r="G633" s="253" t="s">
        <v>738</v>
      </c>
      <c r="H633" s="253" t="s">
        <v>34</v>
      </c>
      <c r="I633" s="253" t="s">
        <v>1304</v>
      </c>
      <c r="J633" s="253" t="s">
        <v>608</v>
      </c>
      <c r="K633" s="253" t="s">
        <v>48</v>
      </c>
      <c r="L633" s="655"/>
      <c r="M633" s="655" t="s">
        <v>34</v>
      </c>
      <c r="N633" s="253" t="s">
        <v>3224</v>
      </c>
      <c r="O633" s="253" t="s">
        <v>1321</v>
      </c>
      <c r="P633" s="656">
        <v>39761</v>
      </c>
      <c r="Q633" s="657">
        <v>1152.6502350000001</v>
      </c>
      <c r="R633" s="657">
        <v>515.922045858871</v>
      </c>
      <c r="S633" s="253">
        <v>0</v>
      </c>
      <c r="T633" s="658">
        <v>2.001037754865842E-2</v>
      </c>
      <c r="U633" s="659">
        <v>1.0005999273463233</v>
      </c>
      <c r="V633" s="658">
        <v>0.12444767125702216</v>
      </c>
      <c r="W633" s="659">
        <v>0.96513027866879075</v>
      </c>
      <c r="X633" s="658">
        <v>0.18680205692086393</v>
      </c>
      <c r="Y633" s="659">
        <v>0.96744646604248574</v>
      </c>
      <c r="Z633" s="658">
        <v>0.20392362401590391</v>
      </c>
      <c r="AA633" s="659">
        <v>0.92077165236922254</v>
      </c>
      <c r="AB633" s="658">
        <v>1.2298807083788706E-3</v>
      </c>
      <c r="AC633" s="660">
        <v>-3.6558327642139914</v>
      </c>
      <c r="AD633" s="682">
        <v>9639924000107</v>
      </c>
      <c r="AE633" s="944" t="s">
        <v>1732</v>
      </c>
      <c r="AF633" s="661" t="s">
        <v>1733</v>
      </c>
      <c r="AG633" s="662" t="s">
        <v>59</v>
      </c>
      <c r="AH633" s="662" t="s">
        <v>1734</v>
      </c>
      <c r="AI633" s="662">
        <v>1</v>
      </c>
      <c r="AJ633" s="662">
        <v>1</v>
      </c>
      <c r="AK633" s="662">
        <v>1</v>
      </c>
      <c r="AL633" s="658">
        <v>4.0000000000000001E-3</v>
      </c>
      <c r="AM633" s="658">
        <v>0</v>
      </c>
      <c r="AN633" s="659" t="s">
        <v>64</v>
      </c>
      <c r="AO633" s="253" t="s">
        <v>34</v>
      </c>
      <c r="AP633" s="944" t="s">
        <v>1735</v>
      </c>
      <c r="AQ633" s="663" t="s">
        <v>662</v>
      </c>
      <c r="AR633" s="658">
        <v>0</v>
      </c>
      <c r="AS633" s="658">
        <v>0</v>
      </c>
      <c r="AT633" s="658" t="s">
        <v>1417</v>
      </c>
      <c r="AU633" s="658" t="s">
        <v>2751</v>
      </c>
      <c r="AX633"/>
      <c r="AY633"/>
      <c r="BA633"/>
      <c r="BB633"/>
      <c r="BC633"/>
      <c r="BD633"/>
      <c r="BE633"/>
      <c r="BF633"/>
      <c r="BG633"/>
      <c r="BH633"/>
      <c r="BI633"/>
      <c r="BJ633"/>
      <c r="BR633"/>
      <c r="BS633"/>
      <c r="BT633"/>
      <c r="BU633"/>
      <c r="BX633"/>
      <c r="BY633"/>
      <c r="CA633"/>
    </row>
    <row r="634" spans="2:79" ht="18.75">
      <c r="B634" s="252" t="s">
        <v>1583</v>
      </c>
      <c r="C634" s="251">
        <v>5586710000169</v>
      </c>
      <c r="D634" s="252" t="s">
        <v>14</v>
      </c>
      <c r="E634" s="252" t="s">
        <v>607</v>
      </c>
      <c r="F634" s="252" t="s">
        <v>1417</v>
      </c>
      <c r="G634" s="253" t="s">
        <v>1417</v>
      </c>
      <c r="H634" s="253" t="s">
        <v>34</v>
      </c>
      <c r="I634" s="253" t="s">
        <v>1417</v>
      </c>
      <c r="J634" s="253" t="s">
        <v>608</v>
      </c>
      <c r="K634" s="253" t="s">
        <v>48</v>
      </c>
      <c r="L634" s="655"/>
      <c r="M634" s="655" t="s">
        <v>34</v>
      </c>
      <c r="N634" s="253" t="s">
        <v>3225</v>
      </c>
      <c r="O634" s="253" t="s">
        <v>1321</v>
      </c>
      <c r="P634" s="656">
        <v>38498</v>
      </c>
      <c r="Q634" s="657">
        <v>50.107140999999999</v>
      </c>
      <c r="R634" s="657">
        <v>72.530212293172667</v>
      </c>
      <c r="S634" s="253">
        <v>31</v>
      </c>
      <c r="T634" s="658">
        <v>-4.7815370394299839E-2</v>
      </c>
      <c r="U634" s="659">
        <v>-2.3909621908049217</v>
      </c>
      <c r="V634" s="658">
        <v>-0.19682967771604276</v>
      </c>
      <c r="W634" s="659">
        <v>-1.5264751825852545</v>
      </c>
      <c r="X634" s="658">
        <v>-0.29108956517254392</v>
      </c>
      <c r="Y634" s="659">
        <v>-1.5075506970853276</v>
      </c>
      <c r="Z634" s="658">
        <v>-0.23232807907855046</v>
      </c>
      <c r="AA634" s="659">
        <v>-1.0490256354420255</v>
      </c>
      <c r="AB634" s="658">
        <v>0.23985623142516352</v>
      </c>
      <c r="AC634" s="660">
        <v>-1.3582035589701753</v>
      </c>
      <c r="AD634" s="682">
        <v>14781411000176</v>
      </c>
      <c r="AE634" s="944" t="s">
        <v>1749</v>
      </c>
      <c r="AF634" s="661" t="s">
        <v>1733</v>
      </c>
      <c r="AG634" s="662" t="s">
        <v>59</v>
      </c>
      <c r="AH634" s="662" t="s">
        <v>1730</v>
      </c>
      <c r="AI634" s="662">
        <v>50000</v>
      </c>
      <c r="AJ634" s="662">
        <v>50000</v>
      </c>
      <c r="AK634" s="662">
        <v>50000</v>
      </c>
      <c r="AL634" s="658">
        <v>0.02</v>
      </c>
      <c r="AM634" s="658">
        <v>0.2</v>
      </c>
      <c r="AN634" s="659" t="s">
        <v>2182</v>
      </c>
      <c r="AO634" s="253" t="s">
        <v>34</v>
      </c>
      <c r="AP634" s="944" t="s">
        <v>1731</v>
      </c>
      <c r="AQ634" s="663" t="s">
        <v>659</v>
      </c>
      <c r="AR634" s="658">
        <v>0</v>
      </c>
      <c r="AS634" s="658">
        <v>0</v>
      </c>
      <c r="AT634" s="658" t="s">
        <v>1417</v>
      </c>
      <c r="AU634" s="658" t="s">
        <v>2751</v>
      </c>
      <c r="AX634"/>
      <c r="AY634"/>
      <c r="BA634"/>
      <c r="BB634"/>
      <c r="BC634"/>
      <c r="BD634"/>
      <c r="BE634"/>
      <c r="BF634"/>
      <c r="BG634"/>
      <c r="BH634"/>
      <c r="BI634"/>
      <c r="BJ634"/>
      <c r="BR634"/>
      <c r="BS634"/>
      <c r="BT634"/>
      <c r="BU634"/>
      <c r="BX634"/>
      <c r="BY634"/>
      <c r="CA634"/>
    </row>
    <row r="635" spans="2:79" ht="18.75">
      <c r="B635" s="252" t="s">
        <v>1584</v>
      </c>
      <c r="C635" s="251">
        <v>18197429000186</v>
      </c>
      <c r="D635" s="252" t="s">
        <v>13</v>
      </c>
      <c r="E635" s="252" t="s">
        <v>615</v>
      </c>
      <c r="F635" s="252" t="s">
        <v>619</v>
      </c>
      <c r="G635" s="253" t="s">
        <v>1417</v>
      </c>
      <c r="H635" s="253" t="s">
        <v>34</v>
      </c>
      <c r="I635" s="253" t="s">
        <v>1417</v>
      </c>
      <c r="J635" s="253" t="s">
        <v>611</v>
      </c>
      <c r="K635" s="253" t="s">
        <v>48</v>
      </c>
      <c r="L635" s="655"/>
      <c r="M635" s="655" t="s">
        <v>34</v>
      </c>
      <c r="N635" s="253" t="s">
        <v>3226</v>
      </c>
      <c r="O635" s="253" t="s">
        <v>1321</v>
      </c>
      <c r="P635" s="656">
        <v>41496</v>
      </c>
      <c r="Q635" s="657">
        <v>7.6302880000000002</v>
      </c>
      <c r="R635" s="657">
        <v>12.930057653225804</v>
      </c>
      <c r="S635" s="253">
        <v>48</v>
      </c>
      <c r="T635" s="658">
        <v>7.6181542603337427E-4</v>
      </c>
      <c r="U635" s="659">
        <v>3.8093856954308621E-2</v>
      </c>
      <c r="V635" s="658">
        <v>8.7043995469636704E-2</v>
      </c>
      <c r="W635" s="659">
        <v>0.67505317500519402</v>
      </c>
      <c r="X635" s="658">
        <v>2.3006960663685794E-2</v>
      </c>
      <c r="Y635" s="659">
        <v>0.11915287848190341</v>
      </c>
      <c r="Z635" s="658">
        <v>0.4353142708927662</v>
      </c>
      <c r="AA635" s="659">
        <v>1.9655645217376851</v>
      </c>
      <c r="AB635" s="658">
        <v>0.17105407190771432</v>
      </c>
      <c r="AC635" s="660">
        <v>-0.24495128066730351</v>
      </c>
      <c r="AD635" s="682">
        <v>15212548000172</v>
      </c>
      <c r="AE635" s="944" t="s">
        <v>1749</v>
      </c>
      <c r="AF635" s="661" t="s">
        <v>1733</v>
      </c>
      <c r="AG635" s="662" t="s">
        <v>59</v>
      </c>
      <c r="AH635" s="662" t="s">
        <v>1801</v>
      </c>
      <c r="AI635" s="662">
        <v>500000</v>
      </c>
      <c r="AJ635" s="662">
        <v>100000</v>
      </c>
      <c r="AK635" s="662">
        <v>500000</v>
      </c>
      <c r="AL635" s="658">
        <v>0</v>
      </c>
      <c r="AM635" s="658">
        <v>0</v>
      </c>
      <c r="AN635" s="659" t="s">
        <v>2122</v>
      </c>
      <c r="AO635" s="253" t="s">
        <v>34</v>
      </c>
      <c r="AP635" s="944" t="s">
        <v>1746</v>
      </c>
      <c r="AQ635" s="663" t="s">
        <v>679</v>
      </c>
      <c r="AR635" s="658">
        <v>0</v>
      </c>
      <c r="AS635" s="658">
        <v>0</v>
      </c>
      <c r="AT635" s="658" t="s">
        <v>1417</v>
      </c>
      <c r="AU635" s="658" t="s">
        <v>2751</v>
      </c>
      <c r="AX635"/>
      <c r="AY635"/>
      <c r="BA635"/>
      <c r="BB635"/>
      <c r="BC635"/>
      <c r="BD635"/>
      <c r="BE635"/>
      <c r="BF635"/>
      <c r="BG635"/>
      <c r="BH635"/>
      <c r="BI635"/>
      <c r="BJ635"/>
      <c r="BR635"/>
      <c r="BS635"/>
      <c r="BT635"/>
      <c r="BU635"/>
      <c r="BX635"/>
      <c r="BY635"/>
      <c r="CA635"/>
    </row>
    <row r="636" spans="2:79" ht="18.75">
      <c r="B636" s="252" t="s">
        <v>1585</v>
      </c>
      <c r="C636" s="251">
        <v>16929562000154</v>
      </c>
      <c r="D636" s="252" t="s">
        <v>14</v>
      </c>
      <c r="E636" s="252" t="s">
        <v>614</v>
      </c>
      <c r="F636" s="252" t="s">
        <v>1417</v>
      </c>
      <c r="G636" s="253" t="s">
        <v>1417</v>
      </c>
      <c r="H636" s="253" t="s">
        <v>1338</v>
      </c>
      <c r="I636" s="253" t="s">
        <v>34</v>
      </c>
      <c r="J636" s="253" t="s">
        <v>608</v>
      </c>
      <c r="K636" s="253" t="s">
        <v>48</v>
      </c>
      <c r="L636" s="655"/>
      <c r="M636" s="655" t="s">
        <v>34</v>
      </c>
      <c r="N636" s="253" t="s">
        <v>3227</v>
      </c>
      <c r="O636" s="253" t="s">
        <v>1321</v>
      </c>
      <c r="P636" s="656">
        <v>41263</v>
      </c>
      <c r="Q636" s="657">
        <v>15.852986</v>
      </c>
      <c r="R636" s="657">
        <v>27.5344062874494</v>
      </c>
      <c r="S636" s="253">
        <v>31</v>
      </c>
      <c r="T636" s="658">
        <v>-4.8055646318715173E-2</v>
      </c>
      <c r="U636" s="659">
        <v>-2.4029769602378539</v>
      </c>
      <c r="V636" s="658">
        <v>-0.21343738439285453</v>
      </c>
      <c r="W636" s="659">
        <v>-1.6552730974930951</v>
      </c>
      <c r="X636" s="658">
        <v>-0.31217972041399356</v>
      </c>
      <c r="Y636" s="659">
        <v>-1.6167764545151377</v>
      </c>
      <c r="Z636" s="658">
        <v>-0.26245395509510328</v>
      </c>
      <c r="AA636" s="659">
        <v>-1.1850523109814339</v>
      </c>
      <c r="AB636" s="658">
        <v>0.24113536356487947</v>
      </c>
      <c r="AC636" s="660">
        <v>-1.419871763220339</v>
      </c>
      <c r="AD636" s="682">
        <v>16929553000163</v>
      </c>
      <c r="AE636" s="944" t="s">
        <v>1749</v>
      </c>
      <c r="AF636" s="661" t="s">
        <v>1733</v>
      </c>
      <c r="AG636" s="662" t="s">
        <v>59</v>
      </c>
      <c r="AH636" s="662" t="s">
        <v>1730</v>
      </c>
      <c r="AI636" s="662">
        <v>50000</v>
      </c>
      <c r="AJ636" s="662">
        <v>50000</v>
      </c>
      <c r="AK636" s="662">
        <v>50000</v>
      </c>
      <c r="AL636" s="658">
        <v>0.02</v>
      </c>
      <c r="AM636" s="658">
        <v>0.2</v>
      </c>
      <c r="AN636" s="659" t="s">
        <v>2141</v>
      </c>
      <c r="AO636" s="253" t="s">
        <v>34</v>
      </c>
      <c r="AP636" s="944" t="s">
        <v>1731</v>
      </c>
      <c r="AQ636" s="663" t="s">
        <v>659</v>
      </c>
      <c r="AR636" s="658">
        <v>0</v>
      </c>
      <c r="AS636" s="658">
        <v>0</v>
      </c>
      <c r="AT636" s="658" t="s">
        <v>1417</v>
      </c>
      <c r="AU636" s="658" t="s">
        <v>2751</v>
      </c>
      <c r="AX636"/>
      <c r="AY636"/>
      <c r="BA636"/>
      <c r="BB636"/>
      <c r="BC636"/>
      <c r="BD636"/>
      <c r="BE636"/>
      <c r="BF636"/>
      <c r="BG636"/>
      <c r="BH636"/>
      <c r="BI636"/>
      <c r="BJ636"/>
      <c r="BR636"/>
      <c r="BS636"/>
      <c r="BT636"/>
      <c r="BU636"/>
      <c r="BX636"/>
      <c r="BY636"/>
      <c r="CA636"/>
    </row>
    <row r="637" spans="2:79" ht="18.75">
      <c r="B637" s="252" t="s">
        <v>1586</v>
      </c>
      <c r="C637" s="251">
        <v>14485349000175</v>
      </c>
      <c r="D637" s="252" t="s">
        <v>14</v>
      </c>
      <c r="E637" s="252" t="s">
        <v>607</v>
      </c>
      <c r="F637" s="252" t="s">
        <v>1417</v>
      </c>
      <c r="G637" s="253" t="s">
        <v>1417</v>
      </c>
      <c r="H637" s="253" t="s">
        <v>34</v>
      </c>
      <c r="I637" s="253" t="s">
        <v>34</v>
      </c>
      <c r="J637" s="253" t="s">
        <v>611</v>
      </c>
      <c r="K637" s="253" t="s">
        <v>48</v>
      </c>
      <c r="L637" s="655"/>
      <c r="M637" s="655" t="s">
        <v>34</v>
      </c>
      <c r="N637" s="253" t="s">
        <v>3228</v>
      </c>
      <c r="O637" s="253" t="s">
        <v>1321</v>
      </c>
      <c r="P637" s="656">
        <v>41108</v>
      </c>
      <c r="Q637" s="657">
        <v>29.627573000000002</v>
      </c>
      <c r="R637" s="657">
        <v>83.696901172690787</v>
      </c>
      <c r="S637" s="253">
        <v>5</v>
      </c>
      <c r="T637" s="658">
        <v>3.4480707672575051E-3</v>
      </c>
      <c r="U637" s="659">
        <v>0.17241750440806414</v>
      </c>
      <c r="V637" s="658">
        <v>-0.10171553283644985</v>
      </c>
      <c r="W637" s="659">
        <v>-0.78883549655693574</v>
      </c>
      <c r="X637" s="658">
        <v>-0.1536221586044888</v>
      </c>
      <c r="Y637" s="659">
        <v>-0.795608018977501</v>
      </c>
      <c r="Z637" s="658">
        <v>0.36044235673329772</v>
      </c>
      <c r="AA637" s="659">
        <v>1.6274970886516402</v>
      </c>
      <c r="AB637" s="658">
        <v>0.23361750148407759</v>
      </c>
      <c r="AC637" s="660">
        <v>-0.98733802398344284</v>
      </c>
      <c r="AD637" s="682">
        <v>25682017000105</v>
      </c>
      <c r="AE637" s="944" t="s">
        <v>1749</v>
      </c>
      <c r="AF637" s="661" t="s">
        <v>1733</v>
      </c>
      <c r="AG637" s="662" t="s">
        <v>59</v>
      </c>
      <c r="AH637" s="662" t="s">
        <v>1730</v>
      </c>
      <c r="AI637" s="662">
        <v>25000</v>
      </c>
      <c r="AJ637" s="662">
        <v>5000</v>
      </c>
      <c r="AK637" s="662">
        <v>25000</v>
      </c>
      <c r="AL637" s="658">
        <v>1.4999999999999999E-2</v>
      </c>
      <c r="AM637" s="658">
        <v>0.1</v>
      </c>
      <c r="AN637" s="659" t="s">
        <v>2122</v>
      </c>
      <c r="AO637" s="253" t="s">
        <v>34</v>
      </c>
      <c r="AP637" s="944" t="s">
        <v>1731</v>
      </c>
      <c r="AQ637" s="663" t="s">
        <v>687</v>
      </c>
      <c r="AR637" s="658">
        <v>0</v>
      </c>
      <c r="AS637" s="658">
        <v>0</v>
      </c>
      <c r="AT637" s="658" t="s">
        <v>1417</v>
      </c>
      <c r="AU637" s="658" t="s">
        <v>2751</v>
      </c>
      <c r="AX637"/>
      <c r="AY637"/>
      <c r="BA637"/>
      <c r="BB637"/>
      <c r="BC637"/>
      <c r="BD637"/>
      <c r="BE637"/>
      <c r="BF637"/>
      <c r="BG637"/>
      <c r="BH637"/>
      <c r="BI637"/>
      <c r="BJ637"/>
      <c r="BR637"/>
      <c r="BS637"/>
      <c r="BT637"/>
      <c r="BU637"/>
      <c r="BX637"/>
      <c r="BY637"/>
      <c r="CA637"/>
    </row>
    <row r="638" spans="2:79" ht="18.75">
      <c r="B638" s="252" t="s">
        <v>1587</v>
      </c>
      <c r="C638" s="251">
        <v>1221890000124</v>
      </c>
      <c r="D638" s="252" t="s">
        <v>13</v>
      </c>
      <c r="E638" s="252" t="s">
        <v>615</v>
      </c>
      <c r="F638" s="252" t="s">
        <v>619</v>
      </c>
      <c r="G638" s="253" t="s">
        <v>34</v>
      </c>
      <c r="H638" s="253" t="s">
        <v>1338</v>
      </c>
      <c r="I638" s="253" t="s">
        <v>34</v>
      </c>
      <c r="J638" s="253" t="s">
        <v>611</v>
      </c>
      <c r="K638" s="253" t="s">
        <v>48</v>
      </c>
      <c r="L638" s="655"/>
      <c r="M638" s="655" t="s">
        <v>34</v>
      </c>
      <c r="N638" s="253" t="s">
        <v>3229</v>
      </c>
      <c r="O638" s="253" t="s">
        <v>1324</v>
      </c>
      <c r="P638" s="656">
        <v>35252</v>
      </c>
      <c r="Q638" s="657">
        <v>822.295344</v>
      </c>
      <c r="R638" s="657">
        <v>860.04432757085021</v>
      </c>
      <c r="S638" s="253">
        <v>1</v>
      </c>
      <c r="T638" s="658">
        <v>2.3223727991556142E-2</v>
      </c>
      <c r="U638" s="659">
        <v>1.161280464826602</v>
      </c>
      <c r="V638" s="658">
        <v>0.15358285459414978</v>
      </c>
      <c r="W638" s="659">
        <v>1.1910826595305708</v>
      </c>
      <c r="X638" s="658">
        <v>0.16772469286072345</v>
      </c>
      <c r="Y638" s="659">
        <v>0.86864493919844465</v>
      </c>
      <c r="Z638" s="658">
        <v>0.25704782345836308</v>
      </c>
      <c r="AA638" s="659">
        <v>1.1606421290610764</v>
      </c>
      <c r="AB638" s="658">
        <v>7.064290962959266E-2</v>
      </c>
      <c r="AC638" s="660">
        <v>0.34878157307722291</v>
      </c>
      <c r="AD638" s="682">
        <v>7455507000189</v>
      </c>
      <c r="AE638" s="944" t="s">
        <v>1749</v>
      </c>
      <c r="AF638" s="661" t="s">
        <v>1733</v>
      </c>
      <c r="AG638" s="662" t="s">
        <v>59</v>
      </c>
      <c r="AH638" s="662" t="s">
        <v>1734</v>
      </c>
      <c r="AI638" s="662">
        <v>5000</v>
      </c>
      <c r="AJ638" s="662">
        <v>2000</v>
      </c>
      <c r="AK638" s="662">
        <v>5000</v>
      </c>
      <c r="AL638" s="658">
        <v>0.02</v>
      </c>
      <c r="AM638" s="658">
        <v>0.2</v>
      </c>
      <c r="AN638" s="659" t="s">
        <v>64</v>
      </c>
      <c r="AO638" s="253" t="s">
        <v>34</v>
      </c>
      <c r="AP638" s="944" t="s">
        <v>1746</v>
      </c>
      <c r="AQ638" s="663" t="s">
        <v>664</v>
      </c>
      <c r="AR638" s="658">
        <v>0</v>
      </c>
      <c r="AS638" s="658">
        <v>0</v>
      </c>
      <c r="AT638" s="658" t="s">
        <v>1417</v>
      </c>
      <c r="AU638" s="658" t="s">
        <v>2751</v>
      </c>
      <c r="AX638"/>
      <c r="AY638"/>
      <c r="BA638"/>
      <c r="BB638"/>
      <c r="BC638"/>
      <c r="BD638"/>
      <c r="BE638"/>
      <c r="BF638"/>
      <c r="BG638"/>
      <c r="BH638"/>
      <c r="BI638"/>
      <c r="BJ638"/>
      <c r="BR638"/>
      <c r="BS638"/>
      <c r="BT638"/>
      <c r="BU638"/>
      <c r="BX638"/>
      <c r="BY638"/>
      <c r="CA638"/>
    </row>
    <row r="639" spans="2:79" ht="18.75">
      <c r="B639" s="252" t="s">
        <v>180</v>
      </c>
      <c r="C639" s="251">
        <v>18558694000142</v>
      </c>
      <c r="D639" s="252" t="s">
        <v>14</v>
      </c>
      <c r="E639" s="252" t="s">
        <v>614</v>
      </c>
      <c r="F639" s="252" t="s">
        <v>1417</v>
      </c>
      <c r="G639" s="253" t="s">
        <v>1417</v>
      </c>
      <c r="H639" s="253" t="s">
        <v>1338</v>
      </c>
      <c r="I639" s="253" t="s">
        <v>34</v>
      </c>
      <c r="J639" s="253" t="s">
        <v>608</v>
      </c>
      <c r="K639" s="253" t="s">
        <v>48</v>
      </c>
      <c r="L639" s="655"/>
      <c r="M639" s="655" t="s">
        <v>34</v>
      </c>
      <c r="N639" s="253" t="s">
        <v>3230</v>
      </c>
      <c r="O639" s="253" t="s">
        <v>1321</v>
      </c>
      <c r="P639" s="656">
        <v>41469</v>
      </c>
      <c r="Q639" s="657">
        <v>88.011768000000004</v>
      </c>
      <c r="R639" s="657">
        <v>82.649569786008215</v>
      </c>
      <c r="S639" s="253">
        <v>40</v>
      </c>
      <c r="T639" s="658">
        <v>-1.5009083986892713E-2</v>
      </c>
      <c r="U639" s="659">
        <v>-0.75051499204854277</v>
      </c>
      <c r="V639" s="658">
        <v>3.5093415199054734E-2</v>
      </c>
      <c r="W639" s="659">
        <v>0.2721603164478027</v>
      </c>
      <c r="X639" s="658">
        <v>2.0368345158694456E-2</v>
      </c>
      <c r="Y639" s="659">
        <v>0.10548750836967706</v>
      </c>
      <c r="Z639" s="658">
        <v>7.45677287152815E-2</v>
      </c>
      <c r="AA639" s="659">
        <v>0.33669395154155812</v>
      </c>
      <c r="AB639" s="658">
        <v>0.1842746360178317</v>
      </c>
      <c r="AC639" s="660">
        <v>-0.50929686404943975</v>
      </c>
      <c r="AD639" s="682">
        <v>0</v>
      </c>
      <c r="AE639" s="944" t="s">
        <v>1876</v>
      </c>
      <c r="AF639" s="661" t="s">
        <v>1742</v>
      </c>
      <c r="AG639" s="662" t="s">
        <v>741</v>
      </c>
      <c r="AH639" s="662" t="s">
        <v>1734</v>
      </c>
      <c r="AI639" s="662">
        <v>1000</v>
      </c>
      <c r="AJ639" s="662">
        <v>0</v>
      </c>
      <c r="AK639" s="662">
        <v>1000</v>
      </c>
      <c r="AL639" s="658">
        <v>0.02</v>
      </c>
      <c r="AM639" s="658">
        <v>0.2</v>
      </c>
      <c r="AN639" s="659" t="s">
        <v>666</v>
      </c>
      <c r="AO639" s="253" t="s">
        <v>34</v>
      </c>
      <c r="AP639" s="944" t="s">
        <v>1731</v>
      </c>
      <c r="AQ639" s="663" t="s">
        <v>659</v>
      </c>
      <c r="AR639" s="658">
        <v>4.0000000000000001E-3</v>
      </c>
      <c r="AS639" s="658">
        <v>4.0000000000000001E-3</v>
      </c>
      <c r="AT639" s="658" t="s">
        <v>1417</v>
      </c>
      <c r="AU639" s="658" t="s">
        <v>2751</v>
      </c>
      <c r="AX639"/>
      <c r="AY639"/>
      <c r="BA639"/>
      <c r="BB639"/>
      <c r="BC639"/>
      <c r="BD639"/>
      <c r="BE639"/>
      <c r="BF639"/>
      <c r="BG639"/>
      <c r="BH639"/>
      <c r="BI639"/>
      <c r="BJ639"/>
      <c r="BR639"/>
      <c r="BS639"/>
      <c r="BT639"/>
      <c r="BU639"/>
      <c r="BX639"/>
      <c r="BY639"/>
      <c r="CA639"/>
    </row>
    <row r="640" spans="2:79" ht="18.75">
      <c r="B640" s="252" t="s">
        <v>1390</v>
      </c>
      <c r="C640" s="251">
        <v>18956729000100</v>
      </c>
      <c r="D640" s="252" t="s">
        <v>13</v>
      </c>
      <c r="E640" s="252" t="s">
        <v>616</v>
      </c>
      <c r="F640" s="252" t="s">
        <v>617</v>
      </c>
      <c r="G640" s="253" t="s">
        <v>34</v>
      </c>
      <c r="H640" s="253" t="s">
        <v>1338</v>
      </c>
      <c r="I640" s="253" t="s">
        <v>34</v>
      </c>
      <c r="J640" s="253" t="s">
        <v>608</v>
      </c>
      <c r="K640" s="253" t="s">
        <v>48</v>
      </c>
      <c r="L640" s="655"/>
      <c r="M640" s="655" t="s">
        <v>1414</v>
      </c>
      <c r="N640" s="253" t="s">
        <v>3231</v>
      </c>
      <c r="O640" s="253" t="s">
        <v>1321</v>
      </c>
      <c r="P640" s="656">
        <v>41536</v>
      </c>
      <c r="Q640" s="657">
        <v>142.66362699999999</v>
      </c>
      <c r="R640" s="657">
        <v>172.36378376131677</v>
      </c>
      <c r="S640" s="253">
        <v>3</v>
      </c>
      <c r="T640" s="658">
        <v>1.4598341427558337E-2</v>
      </c>
      <c r="U640" s="659">
        <v>0.72997620041262112</v>
      </c>
      <c r="V640" s="658">
        <v>0.14063429879240963</v>
      </c>
      <c r="W640" s="659">
        <v>1.0906625942689103</v>
      </c>
      <c r="X640" s="658">
        <v>0.22684013996251751</v>
      </c>
      <c r="Y640" s="659">
        <v>1.1748034008870134</v>
      </c>
      <c r="Z640" s="658">
        <v>0.32152707185803342</v>
      </c>
      <c r="AA640" s="659">
        <v>1.4517837973155585</v>
      </c>
      <c r="AB640" s="658">
        <v>0.11910992307859231</v>
      </c>
      <c r="AC640" s="660">
        <v>9.8147904418573143E-2</v>
      </c>
      <c r="AD640" s="682">
        <v>0</v>
      </c>
      <c r="AE640" s="944" t="s">
        <v>1876</v>
      </c>
      <c r="AF640" s="661" t="s">
        <v>1742</v>
      </c>
      <c r="AG640" s="662" t="s">
        <v>741</v>
      </c>
      <c r="AH640" s="662" t="s">
        <v>1734</v>
      </c>
      <c r="AI640" s="662">
        <v>5000</v>
      </c>
      <c r="AJ640" s="662">
        <v>0</v>
      </c>
      <c r="AK640" s="662">
        <v>1000</v>
      </c>
      <c r="AL640" s="658">
        <v>0.02</v>
      </c>
      <c r="AM640" s="658">
        <v>0.2</v>
      </c>
      <c r="AN640" s="659" t="s">
        <v>2122</v>
      </c>
      <c r="AO640" s="253" t="s">
        <v>34</v>
      </c>
      <c r="AP640" s="944" t="s">
        <v>1746</v>
      </c>
      <c r="AQ640" s="663" t="s">
        <v>668</v>
      </c>
      <c r="AR640" s="658">
        <v>2.5999999999999999E-3</v>
      </c>
      <c r="AS640" s="658">
        <v>2.5999999999999999E-3</v>
      </c>
      <c r="AT640" s="658" t="s">
        <v>1417</v>
      </c>
      <c r="AU640" s="658" t="s">
        <v>2751</v>
      </c>
      <c r="AX640"/>
      <c r="AY640"/>
      <c r="BA640"/>
      <c r="BB640"/>
      <c r="BC640"/>
      <c r="BD640"/>
      <c r="BE640"/>
      <c r="BF640"/>
      <c r="BG640"/>
      <c r="BH640"/>
      <c r="BI640"/>
      <c r="BJ640"/>
      <c r="BR640"/>
      <c r="BS640"/>
      <c r="BT640"/>
      <c r="BU640"/>
      <c r="BX640"/>
      <c r="BY640"/>
      <c r="CA640"/>
    </row>
    <row r="641" spans="2:79" ht="18.75">
      <c r="B641" s="252" t="s">
        <v>4449</v>
      </c>
      <c r="C641" s="251">
        <v>37396917000167</v>
      </c>
      <c r="D641" s="252" t="s">
        <v>13</v>
      </c>
      <c r="E641" s="252" t="s">
        <v>615</v>
      </c>
      <c r="F641" s="252" t="s">
        <v>619</v>
      </c>
      <c r="G641" s="253" t="s">
        <v>34</v>
      </c>
      <c r="H641" s="253" t="s">
        <v>34</v>
      </c>
      <c r="I641" s="253" t="s">
        <v>34</v>
      </c>
      <c r="J641" s="253" t="s">
        <v>608</v>
      </c>
      <c r="K641" s="253" t="s">
        <v>48</v>
      </c>
      <c r="L641" s="655"/>
      <c r="M641" s="655" t="s">
        <v>34</v>
      </c>
      <c r="N641" s="253" t="s">
        <v>4450</v>
      </c>
      <c r="O641" s="253" t="s">
        <v>1321</v>
      </c>
      <c r="P641" s="656">
        <v>44558</v>
      </c>
      <c r="Q641" s="657"/>
      <c r="R641" s="657"/>
      <c r="S641" s="253">
        <v>20</v>
      </c>
      <c r="T641" s="658"/>
      <c r="U641" s="659"/>
      <c r="V641" s="658"/>
      <c r="W641" s="659"/>
      <c r="X641" s="658"/>
      <c r="Y641" s="659"/>
      <c r="Z641" s="658"/>
      <c r="AA641" s="659"/>
      <c r="AB641" s="658"/>
      <c r="AC641" s="660"/>
      <c r="AD641" s="682">
        <v>31963459000114</v>
      </c>
      <c r="AE641" s="944" t="s">
        <v>1964</v>
      </c>
      <c r="AF641" s="661" t="s">
        <v>1729</v>
      </c>
      <c r="AG641" s="662" t="s">
        <v>1433</v>
      </c>
      <c r="AH641" s="662" t="s">
        <v>2119</v>
      </c>
      <c r="AI641" s="662">
        <v>1000</v>
      </c>
      <c r="AJ641" s="662">
        <v>0</v>
      </c>
      <c r="AK641" s="662">
        <v>0</v>
      </c>
      <c r="AL641" s="658">
        <v>1.8499999999999999E-2</v>
      </c>
      <c r="AM641" s="658">
        <v>0.2</v>
      </c>
      <c r="AN641" s="659" t="s">
        <v>34</v>
      </c>
      <c r="AO641" s="253" t="s">
        <v>4397</v>
      </c>
      <c r="AP641" s="944" t="s">
        <v>1746</v>
      </c>
      <c r="AQ641" s="663" t="s">
        <v>2177</v>
      </c>
      <c r="AR641" s="658">
        <v>0</v>
      </c>
      <c r="AS641" s="658">
        <v>0</v>
      </c>
      <c r="AT641" s="658" t="s">
        <v>1417</v>
      </c>
      <c r="AU641" s="658" t="s">
        <v>2751</v>
      </c>
      <c r="AX641"/>
      <c r="AY641"/>
      <c r="BA641"/>
      <c r="BB641"/>
      <c r="BC641"/>
      <c r="BD641"/>
      <c r="BE641"/>
      <c r="BF641"/>
      <c r="BG641"/>
      <c r="BH641"/>
      <c r="BI641"/>
      <c r="BJ641"/>
      <c r="BR641"/>
      <c r="BS641"/>
      <c r="BT641"/>
      <c r="BU641"/>
      <c r="BX641"/>
      <c r="BY641"/>
      <c r="CA641"/>
    </row>
    <row r="642" spans="2:79" ht="18.75">
      <c r="B642" s="252" t="s">
        <v>4385</v>
      </c>
      <c r="C642" s="251">
        <v>37128109000119</v>
      </c>
      <c r="D642" s="252" t="s">
        <v>13</v>
      </c>
      <c r="E642" s="252" t="s">
        <v>615</v>
      </c>
      <c r="F642" s="252" t="s">
        <v>619</v>
      </c>
      <c r="G642" s="253" t="s">
        <v>34</v>
      </c>
      <c r="H642" s="253" t="s">
        <v>1338</v>
      </c>
      <c r="I642" s="253" t="s">
        <v>34</v>
      </c>
      <c r="J642" s="253" t="s">
        <v>608</v>
      </c>
      <c r="K642" s="253" t="s">
        <v>48</v>
      </c>
      <c r="L642" s="655"/>
      <c r="M642" s="655" t="s">
        <v>34</v>
      </c>
      <c r="N642" s="253" t="s">
        <v>3233</v>
      </c>
      <c r="O642" s="253" t="s">
        <v>1321</v>
      </c>
      <c r="P642" s="656">
        <v>44111</v>
      </c>
      <c r="Q642" s="657">
        <v>22.228763449999999</v>
      </c>
      <c r="R642" s="657">
        <v>34.048264178750003</v>
      </c>
      <c r="S642" s="253">
        <v>12</v>
      </c>
      <c r="T642" s="658">
        <v>-1.680886875979315E-2</v>
      </c>
      <c r="U642" s="659">
        <v>-0.84051152053103173</v>
      </c>
      <c r="V642" s="658">
        <v>-9.4360629430037091E-2</v>
      </c>
      <c r="W642" s="659">
        <v>-0.73179594007095894</v>
      </c>
      <c r="X642" s="658">
        <v>-0.18582327878388194</v>
      </c>
      <c r="Y642" s="659">
        <v>-0.96237738133714967</v>
      </c>
      <c r="Z642" s="658"/>
      <c r="AA642" s="659"/>
      <c r="AB642" s="658">
        <v>0.22459655838898279</v>
      </c>
      <c r="AC642" s="660">
        <v>-0.99424737617786785</v>
      </c>
      <c r="AD642" s="682">
        <v>31963459000114</v>
      </c>
      <c r="AE642" s="944" t="s">
        <v>1964</v>
      </c>
      <c r="AF642" s="661" t="s">
        <v>1729</v>
      </c>
      <c r="AG642" s="662" t="s">
        <v>1433</v>
      </c>
      <c r="AH642" s="662" t="s">
        <v>1801</v>
      </c>
      <c r="AI642" s="662">
        <v>1</v>
      </c>
      <c r="AJ642" s="662">
        <v>0</v>
      </c>
      <c r="AK642" s="662">
        <v>1000</v>
      </c>
      <c r="AL642" s="658">
        <v>2.5000000000000001E-2</v>
      </c>
      <c r="AM642" s="658">
        <v>0.2</v>
      </c>
      <c r="AN642" s="659" t="s">
        <v>34</v>
      </c>
      <c r="AO642" s="253" t="s">
        <v>4397</v>
      </c>
      <c r="AP642" s="944" t="s">
        <v>1746</v>
      </c>
      <c r="AQ642" s="663" t="s">
        <v>2177</v>
      </c>
      <c r="AR642" s="658">
        <v>0</v>
      </c>
      <c r="AS642" s="658">
        <v>0</v>
      </c>
      <c r="AT642" s="658" t="s">
        <v>1417</v>
      </c>
      <c r="AU642" s="658" t="s">
        <v>2751</v>
      </c>
      <c r="AX642"/>
      <c r="AY642"/>
      <c r="BA642"/>
      <c r="BB642"/>
      <c r="BC642"/>
      <c r="BD642"/>
      <c r="BE642"/>
      <c r="BF642"/>
      <c r="BG642"/>
      <c r="BH642"/>
      <c r="BI642"/>
      <c r="BJ642"/>
      <c r="BR642"/>
      <c r="BS642"/>
      <c r="BT642"/>
      <c r="BU642"/>
      <c r="BX642"/>
      <c r="BY642"/>
      <c r="CA642"/>
    </row>
    <row r="643" spans="2:79" ht="18.75">
      <c r="B643" s="252" t="s">
        <v>182</v>
      </c>
      <c r="C643" s="251">
        <v>30858733000122</v>
      </c>
      <c r="D643" s="252" t="s">
        <v>14</v>
      </c>
      <c r="E643" s="252" t="s">
        <v>607</v>
      </c>
      <c r="F643" s="252" t="s">
        <v>1417</v>
      </c>
      <c r="G643" s="253" t="s">
        <v>1417</v>
      </c>
      <c r="H643" s="253" t="s">
        <v>34</v>
      </c>
      <c r="I643" s="253" t="s">
        <v>34</v>
      </c>
      <c r="J643" s="253" t="s">
        <v>608</v>
      </c>
      <c r="K643" s="253" t="s">
        <v>48</v>
      </c>
      <c r="L643" s="655"/>
      <c r="M643" s="655" t="s">
        <v>34</v>
      </c>
      <c r="N643" s="253" t="s">
        <v>3234</v>
      </c>
      <c r="O643" s="253" t="s">
        <v>1321</v>
      </c>
      <c r="P643" s="656">
        <v>43566</v>
      </c>
      <c r="Q643" s="657">
        <v>173.82100783000001</v>
      </c>
      <c r="R643" s="657">
        <v>185.41305321269093</v>
      </c>
      <c r="S643" s="253">
        <v>17</v>
      </c>
      <c r="T643" s="658">
        <v>-2.0106028800043418E-2</v>
      </c>
      <c r="U643" s="659">
        <v>-1.0053828773408291</v>
      </c>
      <c r="V643" s="658">
        <v>-9.4434140349794693E-2</v>
      </c>
      <c r="W643" s="659">
        <v>-0.73236604004755335</v>
      </c>
      <c r="X643" s="658">
        <v>-0.18371012108812268</v>
      </c>
      <c r="Y643" s="659">
        <v>-0.95143335331812817</v>
      </c>
      <c r="Z643" s="658">
        <v>-0.10940126065198719</v>
      </c>
      <c r="AA643" s="659">
        <v>-0.4939769976525627</v>
      </c>
      <c r="AB643" s="658">
        <v>0.2282178773907248</v>
      </c>
      <c r="AC643" s="660">
        <v>-0.97879295150109724</v>
      </c>
      <c r="AD643" s="682">
        <v>31635364000171</v>
      </c>
      <c r="AE643" s="944" t="s">
        <v>1964</v>
      </c>
      <c r="AF643" s="661" t="s">
        <v>1729</v>
      </c>
      <c r="AG643" s="662" t="s">
        <v>1433</v>
      </c>
      <c r="AH643" s="662" t="s">
        <v>1734</v>
      </c>
      <c r="AI643" s="662">
        <v>500</v>
      </c>
      <c r="AJ643" s="662">
        <v>100</v>
      </c>
      <c r="AK643" s="662">
        <v>100</v>
      </c>
      <c r="AL643" s="658">
        <v>2.5000000000000001E-2</v>
      </c>
      <c r="AM643" s="658">
        <v>0.2</v>
      </c>
      <c r="AN643" s="659" t="s">
        <v>2160</v>
      </c>
      <c r="AO643" s="253" t="s">
        <v>34</v>
      </c>
      <c r="AP643" s="944" t="s">
        <v>1731</v>
      </c>
      <c r="AQ643" s="663" t="s">
        <v>670</v>
      </c>
      <c r="AR643" s="658">
        <v>4.31666666666667E-3</v>
      </c>
      <c r="AS643" s="658">
        <v>4.31666666666667E-3</v>
      </c>
      <c r="AT643" s="658" t="s">
        <v>1417</v>
      </c>
      <c r="AU643" s="658" t="s">
        <v>2751</v>
      </c>
      <c r="AX643"/>
      <c r="AY643"/>
      <c r="BA643"/>
      <c r="BB643"/>
      <c r="BC643"/>
      <c r="BD643"/>
      <c r="BE643"/>
      <c r="BF643"/>
      <c r="BG643"/>
      <c r="BH643"/>
      <c r="BI643"/>
      <c r="BJ643"/>
      <c r="BR643"/>
      <c r="BS643"/>
      <c r="BT643"/>
      <c r="BU643"/>
      <c r="BX643"/>
      <c r="BY643"/>
      <c r="CA643"/>
    </row>
    <row r="644" spans="2:79" ht="18.75">
      <c r="B644" s="252" t="s">
        <v>4451</v>
      </c>
      <c r="C644" s="251">
        <v>47212505000183</v>
      </c>
      <c r="D644" s="252" t="s">
        <v>13</v>
      </c>
      <c r="E644" s="252" t="s">
        <v>614</v>
      </c>
      <c r="F644" s="252" t="s">
        <v>1417</v>
      </c>
      <c r="G644" s="253" t="s">
        <v>34</v>
      </c>
      <c r="H644" s="253" t="s">
        <v>34</v>
      </c>
      <c r="I644" s="253" t="s">
        <v>34</v>
      </c>
      <c r="J644" s="253" t="s">
        <v>608</v>
      </c>
      <c r="K644" s="253" t="s">
        <v>48</v>
      </c>
      <c r="L644" s="655"/>
      <c r="M644" s="655" t="s">
        <v>34</v>
      </c>
      <c r="N644" s="253" t="s">
        <v>4452</v>
      </c>
      <c r="O644" s="253" t="s">
        <v>1321</v>
      </c>
      <c r="P644" s="656">
        <v>44866</v>
      </c>
      <c r="Q644" s="657"/>
      <c r="R644" s="657"/>
      <c r="S644" s="253">
        <v>9</v>
      </c>
      <c r="T644" s="658"/>
      <c r="U644" s="659"/>
      <c r="V644" s="658"/>
      <c r="W644" s="659"/>
      <c r="X644" s="658"/>
      <c r="Y644" s="659"/>
      <c r="Z644" s="658"/>
      <c r="AA644" s="659"/>
      <c r="AB644" s="658"/>
      <c r="AC644" s="660"/>
      <c r="AD644" s="682">
        <v>45682384000108</v>
      </c>
      <c r="AE644" s="944" t="s">
        <v>1964</v>
      </c>
      <c r="AF644" s="661" t="s">
        <v>1767</v>
      </c>
      <c r="AG644" s="662" t="s">
        <v>59</v>
      </c>
      <c r="AH644" s="662" t="s">
        <v>2119</v>
      </c>
      <c r="AI644" s="662">
        <v>0</v>
      </c>
      <c r="AJ644" s="662">
        <v>0</v>
      </c>
      <c r="AK644" s="662">
        <v>0</v>
      </c>
      <c r="AL644" s="658">
        <v>1.4999999999999999E-2</v>
      </c>
      <c r="AM644" s="658">
        <v>0.2</v>
      </c>
      <c r="AN644" s="659" t="s">
        <v>2122</v>
      </c>
      <c r="AO644" s="253" t="s">
        <v>4400</v>
      </c>
      <c r="AP644" s="944" t="s">
        <v>1746</v>
      </c>
      <c r="AQ644" s="663" t="s">
        <v>2177</v>
      </c>
      <c r="AR644" s="658">
        <v>0</v>
      </c>
      <c r="AS644" s="658">
        <v>0</v>
      </c>
      <c r="AT644" s="658" t="s">
        <v>1417</v>
      </c>
      <c r="AU644" s="658" t="s">
        <v>2751</v>
      </c>
      <c r="AX644"/>
      <c r="AY644"/>
      <c r="BA644"/>
      <c r="BB644"/>
      <c r="BC644"/>
      <c r="BD644"/>
      <c r="BE644"/>
      <c r="BF644"/>
      <c r="BG644"/>
      <c r="BH644"/>
      <c r="BI644"/>
      <c r="BJ644"/>
      <c r="BR644"/>
      <c r="BS644"/>
      <c r="BT644"/>
      <c r="BU644"/>
      <c r="BX644"/>
      <c r="BY644"/>
      <c r="CA644"/>
    </row>
    <row r="645" spans="2:79" ht="18.75">
      <c r="B645" s="252" t="s">
        <v>2662</v>
      </c>
      <c r="C645" s="251">
        <v>37626895000184</v>
      </c>
      <c r="D645" s="252" t="s">
        <v>14</v>
      </c>
      <c r="E645" s="252" t="s">
        <v>614</v>
      </c>
      <c r="F645" s="252" t="s">
        <v>1417</v>
      </c>
      <c r="G645" s="253" t="s">
        <v>34</v>
      </c>
      <c r="H645" s="253" t="s">
        <v>1337</v>
      </c>
      <c r="I645" s="253" t="s">
        <v>34</v>
      </c>
      <c r="J645" s="253" t="s">
        <v>608</v>
      </c>
      <c r="K645" s="253" t="s">
        <v>48</v>
      </c>
      <c r="L645" s="655"/>
      <c r="M645" s="655" t="s">
        <v>34</v>
      </c>
      <c r="N645" s="253" t="s">
        <v>3235</v>
      </c>
      <c r="O645" s="253" t="s">
        <v>1321</v>
      </c>
      <c r="P645" s="656">
        <v>44152</v>
      </c>
      <c r="Q645" s="657"/>
      <c r="R645" s="657"/>
      <c r="S645" s="253">
        <v>9</v>
      </c>
      <c r="T645" s="658"/>
      <c r="U645" s="659"/>
      <c r="V645" s="658"/>
      <c r="W645" s="659"/>
      <c r="X645" s="658"/>
      <c r="Y645" s="659"/>
      <c r="Z645" s="658"/>
      <c r="AA645" s="659"/>
      <c r="AB645" s="658"/>
      <c r="AC645" s="660"/>
      <c r="AD645" s="682">
        <v>37623383000164</v>
      </c>
      <c r="AE645" s="944" t="s">
        <v>1964</v>
      </c>
      <c r="AF645" s="661" t="s">
        <v>1729</v>
      </c>
      <c r="AG645" s="662" t="s">
        <v>1433</v>
      </c>
      <c r="AH645" s="662" t="s">
        <v>2119</v>
      </c>
      <c r="AI645" s="662">
        <v>1000</v>
      </c>
      <c r="AJ645" s="662">
        <v>0</v>
      </c>
      <c r="AK645" s="662">
        <v>1000</v>
      </c>
      <c r="AL645" s="658">
        <v>1.0999999999999999E-2</v>
      </c>
      <c r="AM645" s="658">
        <v>0.15</v>
      </c>
      <c r="AN645" s="659" t="s">
        <v>34</v>
      </c>
      <c r="AO645" s="253" t="s">
        <v>4400</v>
      </c>
      <c r="AP645" s="944" t="s">
        <v>1746</v>
      </c>
      <c r="AQ645" s="663" t="s">
        <v>2177</v>
      </c>
      <c r="AR645" s="658">
        <v>0</v>
      </c>
      <c r="AS645" s="658">
        <v>0</v>
      </c>
      <c r="AT645" s="658" t="s">
        <v>1417</v>
      </c>
      <c r="AU645" s="658" t="s">
        <v>2751</v>
      </c>
      <c r="AX645"/>
      <c r="AY645"/>
      <c r="BA645"/>
      <c r="BB645"/>
      <c r="BC645"/>
      <c r="BD645"/>
      <c r="BE645"/>
      <c r="BF645"/>
      <c r="BG645"/>
      <c r="BH645"/>
      <c r="BI645"/>
      <c r="BJ645"/>
      <c r="BR645"/>
      <c r="BS645"/>
      <c r="BT645"/>
      <c r="BU645"/>
      <c r="BX645"/>
      <c r="BY645"/>
      <c r="CA645"/>
    </row>
    <row r="646" spans="2:79" ht="18.75">
      <c r="B646" s="252" t="s">
        <v>481</v>
      </c>
      <c r="C646" s="251">
        <v>29250121000173</v>
      </c>
      <c r="D646" s="252" t="s">
        <v>11</v>
      </c>
      <c r="E646" s="252" t="s">
        <v>620</v>
      </c>
      <c r="F646" s="252" t="s">
        <v>663</v>
      </c>
      <c r="G646" s="253" t="s">
        <v>738</v>
      </c>
      <c r="H646" s="253" t="s">
        <v>34</v>
      </c>
      <c r="I646" s="253" t="s">
        <v>1417</v>
      </c>
      <c r="J646" s="253" t="s">
        <v>608</v>
      </c>
      <c r="K646" s="253" t="s">
        <v>48</v>
      </c>
      <c r="L646" s="655"/>
      <c r="M646" s="655" t="s">
        <v>34</v>
      </c>
      <c r="N646" s="253" t="s">
        <v>3239</v>
      </c>
      <c r="O646" s="253" t="s">
        <v>1321</v>
      </c>
      <c r="P646" s="656">
        <v>43036</v>
      </c>
      <c r="Q646" s="657">
        <v>488.56898471</v>
      </c>
      <c r="R646" s="657">
        <v>357.36345642501999</v>
      </c>
      <c r="S646" s="253">
        <v>30</v>
      </c>
      <c r="T646" s="658">
        <v>-6.7265601756527627E-4</v>
      </c>
      <c r="U646" s="659">
        <v>-3.3635525400169543E-2</v>
      </c>
      <c r="V646" s="658">
        <v>0.1248284426543762</v>
      </c>
      <c r="W646" s="659">
        <v>0.96808327892283663</v>
      </c>
      <c r="X646" s="658">
        <v>0.22023590820681904</v>
      </c>
      <c r="Y646" s="659">
        <v>1.1406001336516705</v>
      </c>
      <c r="Z646" s="658">
        <v>0.24856699278883787</v>
      </c>
      <c r="AA646" s="659">
        <v>1.1223488292694186</v>
      </c>
      <c r="AB646" s="658">
        <v>8.6380084913922055E-3</v>
      </c>
      <c r="AC646" s="660">
        <v>-0.47643699314642024</v>
      </c>
      <c r="AD646" s="682">
        <v>0</v>
      </c>
      <c r="AE646" s="944" t="s">
        <v>1741</v>
      </c>
      <c r="AF646" s="661" t="s">
        <v>1742</v>
      </c>
      <c r="AG646" s="662" t="s">
        <v>741</v>
      </c>
      <c r="AH646" s="662" t="s">
        <v>1734</v>
      </c>
      <c r="AI646" s="662">
        <v>500</v>
      </c>
      <c r="AJ646" s="662">
        <v>500</v>
      </c>
      <c r="AK646" s="662">
        <v>500</v>
      </c>
      <c r="AL646" s="658">
        <v>4.0000000000000001E-3</v>
      </c>
      <c r="AM646" s="658">
        <v>0.1</v>
      </c>
      <c r="AN646" s="659" t="s">
        <v>64</v>
      </c>
      <c r="AO646" s="253" t="s">
        <v>34</v>
      </c>
      <c r="AP646" s="944" t="s">
        <v>1735</v>
      </c>
      <c r="AQ646" s="663" t="s">
        <v>662</v>
      </c>
      <c r="AR646" s="658">
        <v>5.3333333333333303E-4</v>
      </c>
      <c r="AS646" s="658">
        <v>5.3333333333333303E-4</v>
      </c>
      <c r="AT646" s="658" t="s">
        <v>1417</v>
      </c>
      <c r="AU646" s="658" t="s">
        <v>2751</v>
      </c>
      <c r="AX646"/>
      <c r="AY646"/>
      <c r="BA646"/>
      <c r="BB646"/>
      <c r="BC646"/>
      <c r="BD646"/>
      <c r="BE646"/>
      <c r="BF646"/>
      <c r="BG646"/>
      <c r="BH646"/>
      <c r="BI646"/>
      <c r="BJ646"/>
      <c r="BR646"/>
      <c r="BS646"/>
      <c r="BT646"/>
      <c r="BU646"/>
      <c r="BX646"/>
      <c r="BY646"/>
      <c r="CA646"/>
    </row>
    <row r="647" spans="2:79" ht="18.75">
      <c r="B647" s="252" t="s">
        <v>184</v>
      </c>
      <c r="C647" s="251">
        <v>10783480000168</v>
      </c>
      <c r="D647" s="252" t="s">
        <v>11</v>
      </c>
      <c r="E647" s="252" t="s">
        <v>620</v>
      </c>
      <c r="F647" s="252" t="s">
        <v>663</v>
      </c>
      <c r="G647" s="253" t="s">
        <v>738</v>
      </c>
      <c r="H647" s="253" t="s">
        <v>34</v>
      </c>
      <c r="I647" s="253" t="s">
        <v>1417</v>
      </c>
      <c r="J647" s="253" t="s">
        <v>608</v>
      </c>
      <c r="K647" s="253" t="s">
        <v>48</v>
      </c>
      <c r="L647" s="655"/>
      <c r="M647" s="655" t="s">
        <v>1414</v>
      </c>
      <c r="N647" s="253" t="s">
        <v>3240</v>
      </c>
      <c r="O647" s="253" t="s">
        <v>1321</v>
      </c>
      <c r="P647" s="656">
        <v>39918</v>
      </c>
      <c r="Q647" s="657">
        <v>1718.0313920000001</v>
      </c>
      <c r="R647" s="657">
        <v>1481.8492044497982</v>
      </c>
      <c r="S647" s="253">
        <v>5</v>
      </c>
      <c r="T647" s="658">
        <v>6.3968459678902523E-3</v>
      </c>
      <c r="U647" s="659">
        <v>0.31986820814111705</v>
      </c>
      <c r="V647" s="658">
        <v>0.12515373373129002</v>
      </c>
      <c r="W647" s="659">
        <v>0.97060601208882658</v>
      </c>
      <c r="X647" s="658">
        <v>0.21720407044636714</v>
      </c>
      <c r="Y647" s="659">
        <v>1.1248982683975532</v>
      </c>
      <c r="Z647" s="658">
        <v>0.23348610211219833</v>
      </c>
      <c r="AA647" s="659">
        <v>1.0542544302288934</v>
      </c>
      <c r="AB647" s="658">
        <v>5.0600042253804989E-3</v>
      </c>
      <c r="AC647" s="660">
        <v>-0.74904595859568135</v>
      </c>
      <c r="AD647" s="682">
        <v>0</v>
      </c>
      <c r="AE647" s="944" t="s">
        <v>1741</v>
      </c>
      <c r="AF647" s="661" t="s">
        <v>1742</v>
      </c>
      <c r="AG647" s="662" t="s">
        <v>741</v>
      </c>
      <c r="AH647" s="662" t="s">
        <v>1734</v>
      </c>
      <c r="AI647" s="662">
        <v>100</v>
      </c>
      <c r="AJ647" s="662">
        <v>100</v>
      </c>
      <c r="AK647" s="662">
        <v>100</v>
      </c>
      <c r="AL647" s="658">
        <v>4.0000000000000001E-3</v>
      </c>
      <c r="AM647" s="658">
        <v>0</v>
      </c>
      <c r="AN647" s="659" t="s">
        <v>64</v>
      </c>
      <c r="AO647" s="253" t="s">
        <v>34</v>
      </c>
      <c r="AP647" s="944" t="s">
        <v>1735</v>
      </c>
      <c r="AQ647" s="663" t="s">
        <v>662</v>
      </c>
      <c r="AR647" s="658">
        <v>6.9999999999999999E-4</v>
      </c>
      <c r="AS647" s="658">
        <v>6.9999999999999999E-4</v>
      </c>
      <c r="AT647" s="658" t="s">
        <v>1417</v>
      </c>
      <c r="AU647" s="658" t="s">
        <v>2751</v>
      </c>
      <c r="AX647"/>
      <c r="AY647"/>
      <c r="BA647"/>
      <c r="BB647"/>
      <c r="BC647"/>
      <c r="BD647"/>
      <c r="BE647"/>
      <c r="BF647"/>
      <c r="BG647"/>
      <c r="BH647"/>
      <c r="BI647"/>
      <c r="BJ647"/>
      <c r="BR647"/>
      <c r="BS647"/>
      <c r="BT647"/>
      <c r="BU647"/>
      <c r="BX647"/>
      <c r="BY647"/>
      <c r="CA647"/>
    </row>
    <row r="648" spans="2:79" ht="18.75">
      <c r="B648" s="252" t="s">
        <v>916</v>
      </c>
      <c r="C648" s="251">
        <v>26142614000100</v>
      </c>
      <c r="D648" s="252" t="s">
        <v>11</v>
      </c>
      <c r="E648" s="252" t="s">
        <v>621</v>
      </c>
      <c r="F648" s="252" t="s">
        <v>692</v>
      </c>
      <c r="G648" s="253" t="s">
        <v>738</v>
      </c>
      <c r="H648" s="253" t="s">
        <v>34</v>
      </c>
      <c r="I648" s="253" t="s">
        <v>1417</v>
      </c>
      <c r="J648" s="253" t="s">
        <v>608</v>
      </c>
      <c r="K648" s="253" t="s">
        <v>48</v>
      </c>
      <c r="L648" s="655"/>
      <c r="M648" s="655" t="s">
        <v>34</v>
      </c>
      <c r="N648" s="253" t="s">
        <v>3241</v>
      </c>
      <c r="O648" s="253" t="s">
        <v>1321</v>
      </c>
      <c r="P648" s="656">
        <v>42612</v>
      </c>
      <c r="Q648" s="657">
        <v>60.985605</v>
      </c>
      <c r="R648" s="657">
        <v>82.256319053497904</v>
      </c>
      <c r="S648" s="253">
        <v>15</v>
      </c>
      <c r="T648" s="658">
        <v>-3.128381269528413E-3</v>
      </c>
      <c r="U648" s="659">
        <v>-0.15643173465318219</v>
      </c>
      <c r="V648" s="658">
        <v>4.7932314223553041E-2</v>
      </c>
      <c r="W648" s="659">
        <v>0.37172995940016385</v>
      </c>
      <c r="X648" s="658">
        <v>0.12155324499285092</v>
      </c>
      <c r="Y648" s="659">
        <v>0.62952335345080324</v>
      </c>
      <c r="Z648" s="658">
        <v>0.18836389862099723</v>
      </c>
      <c r="AA648" s="659">
        <v>0.85051518193124021</v>
      </c>
      <c r="AB648" s="658">
        <v>3.576014652198227E-2</v>
      </c>
      <c r="AC648" s="660">
        <v>-2.265415640101931</v>
      </c>
      <c r="AD648" s="682">
        <v>0</v>
      </c>
      <c r="AE648" s="944" t="s">
        <v>1741</v>
      </c>
      <c r="AF648" s="661" t="s">
        <v>1742</v>
      </c>
      <c r="AG648" s="662" t="s">
        <v>741</v>
      </c>
      <c r="AH648" s="662" t="s">
        <v>1734</v>
      </c>
      <c r="AI648" s="662">
        <v>100</v>
      </c>
      <c r="AJ648" s="662">
        <v>0</v>
      </c>
      <c r="AK648" s="662">
        <v>100</v>
      </c>
      <c r="AL648" s="658">
        <v>7.4999999999999997E-3</v>
      </c>
      <c r="AM648" s="658">
        <v>0</v>
      </c>
      <c r="AN648" s="659" t="s">
        <v>2122</v>
      </c>
      <c r="AO648" s="253" t="s">
        <v>34</v>
      </c>
      <c r="AP648" s="944" t="s">
        <v>1746</v>
      </c>
      <c r="AQ648" s="663" t="s">
        <v>671</v>
      </c>
      <c r="AR648" s="658">
        <v>1E-3</v>
      </c>
      <c r="AS648" s="658">
        <v>1E-3</v>
      </c>
      <c r="AT648" s="658" t="s">
        <v>1417</v>
      </c>
      <c r="AU648" s="658" t="s">
        <v>2751</v>
      </c>
      <c r="AX648"/>
      <c r="AY648"/>
      <c r="BA648"/>
      <c r="BB648"/>
      <c r="BC648"/>
      <c r="BD648"/>
      <c r="BE648"/>
      <c r="BF648"/>
      <c r="BG648"/>
      <c r="BH648"/>
      <c r="BI648"/>
      <c r="BJ648"/>
      <c r="BR648"/>
      <c r="BS648"/>
      <c r="BT648"/>
      <c r="BU648"/>
      <c r="BX648"/>
      <c r="BY648"/>
      <c r="CA648"/>
    </row>
    <row r="649" spans="2:79" ht="18.75">
      <c r="B649" s="252" t="s">
        <v>476</v>
      </c>
      <c r="C649" s="251">
        <v>807777000162</v>
      </c>
      <c r="D649" s="252" t="s">
        <v>11</v>
      </c>
      <c r="E649" s="252" t="s">
        <v>620</v>
      </c>
      <c r="F649" s="252" t="s">
        <v>663</v>
      </c>
      <c r="G649" s="253" t="s">
        <v>738</v>
      </c>
      <c r="H649" s="253" t="s">
        <v>34</v>
      </c>
      <c r="I649" s="253" t="s">
        <v>1304</v>
      </c>
      <c r="J649" s="253" t="s">
        <v>608</v>
      </c>
      <c r="K649" s="253" t="s">
        <v>48</v>
      </c>
      <c r="L649" s="655"/>
      <c r="M649" s="655" t="s">
        <v>1414</v>
      </c>
      <c r="N649" s="253" t="s">
        <v>3242</v>
      </c>
      <c r="O649" s="253" t="s">
        <v>1321</v>
      </c>
      <c r="P649" s="656">
        <v>34974</v>
      </c>
      <c r="Q649" s="657">
        <v>762.14871600000004</v>
      </c>
      <c r="R649" s="657">
        <v>480.7775251004017</v>
      </c>
      <c r="S649" s="253">
        <v>0</v>
      </c>
      <c r="T649" s="658">
        <v>1.9311872741505809E-2</v>
      </c>
      <c r="U649" s="659">
        <v>0.96567185776900444</v>
      </c>
      <c r="V649" s="658">
        <v>0.1292834384364121</v>
      </c>
      <c r="W649" s="659">
        <v>1.0026331525938716</v>
      </c>
      <c r="X649" s="658">
        <v>0.19743548376592179</v>
      </c>
      <c r="Y649" s="659">
        <v>1.022516904734339</v>
      </c>
      <c r="Z649" s="658">
        <v>0.21984498523405827</v>
      </c>
      <c r="AA649" s="659">
        <v>0.99266100872777729</v>
      </c>
      <c r="AB649" s="658">
        <v>8.4128472107497401E-4</v>
      </c>
      <c r="AC649" s="660">
        <v>0.40358392482144145</v>
      </c>
      <c r="AD649" s="682">
        <v>0</v>
      </c>
      <c r="AE649" s="944" t="s">
        <v>1741</v>
      </c>
      <c r="AF649" s="661" t="s">
        <v>1742</v>
      </c>
      <c r="AG649" s="662" t="s">
        <v>741</v>
      </c>
      <c r="AH649" s="662" t="s">
        <v>1734</v>
      </c>
      <c r="AI649" s="662">
        <v>1</v>
      </c>
      <c r="AJ649" s="662">
        <v>1</v>
      </c>
      <c r="AK649" s="662">
        <v>1</v>
      </c>
      <c r="AL649" s="658">
        <v>2.5000000000000001E-3</v>
      </c>
      <c r="AM649" s="658">
        <v>0</v>
      </c>
      <c r="AN649" s="659" t="s">
        <v>64</v>
      </c>
      <c r="AO649" s="253" t="s">
        <v>34</v>
      </c>
      <c r="AP649" s="944" t="s">
        <v>1735</v>
      </c>
      <c r="AQ649" s="663" t="s">
        <v>662</v>
      </c>
      <c r="AR649" s="658">
        <v>3.33333333333333E-4</v>
      </c>
      <c r="AS649" s="658">
        <v>3.33333333333333E-4</v>
      </c>
      <c r="AT649" s="658" t="s">
        <v>1417</v>
      </c>
      <c r="AU649" s="658" t="s">
        <v>2751</v>
      </c>
      <c r="AX649"/>
      <c r="AY649"/>
      <c r="BA649"/>
      <c r="BB649"/>
      <c r="BC649"/>
      <c r="BD649"/>
      <c r="BE649"/>
      <c r="BF649"/>
      <c r="BG649"/>
      <c r="BH649"/>
      <c r="BI649"/>
      <c r="BJ649"/>
      <c r="BR649"/>
      <c r="BS649"/>
      <c r="BT649"/>
      <c r="BU649"/>
      <c r="BX649"/>
      <c r="BY649"/>
      <c r="CA649"/>
    </row>
    <row r="650" spans="2:79" ht="18.75">
      <c r="B650" s="252" t="s">
        <v>917</v>
      </c>
      <c r="C650" s="251">
        <v>34658753000100</v>
      </c>
      <c r="D650" s="252" t="s">
        <v>14</v>
      </c>
      <c r="E650" s="252" t="s">
        <v>607</v>
      </c>
      <c r="F650" s="252" t="s">
        <v>1417</v>
      </c>
      <c r="G650" s="253" t="s">
        <v>1417</v>
      </c>
      <c r="H650" s="253" t="s">
        <v>34</v>
      </c>
      <c r="I650" s="253" t="s">
        <v>34</v>
      </c>
      <c r="J650" s="253" t="s">
        <v>611</v>
      </c>
      <c r="K650" s="253" t="s">
        <v>1417</v>
      </c>
      <c r="L650" s="655"/>
      <c r="M650" s="655" t="s">
        <v>1414</v>
      </c>
      <c r="N650" s="253" t="s">
        <v>3243</v>
      </c>
      <c r="O650" s="253" t="s">
        <v>1321</v>
      </c>
      <c r="P650" s="656">
        <v>43687</v>
      </c>
      <c r="Q650" s="657">
        <v>23.520078730000002</v>
      </c>
      <c r="R650" s="657">
        <v>26.955349442591082</v>
      </c>
      <c r="S650" s="253">
        <v>3</v>
      </c>
      <c r="T650" s="658">
        <v>4.4951226857359972E-2</v>
      </c>
      <c r="U650" s="659">
        <v>2.2477434130480964</v>
      </c>
      <c r="V650" s="658">
        <v>-9.9035376093157934E-2</v>
      </c>
      <c r="W650" s="659">
        <v>-0.76805004996398951</v>
      </c>
      <c r="X650" s="658">
        <v>-9.1804393623610592E-2</v>
      </c>
      <c r="Y650" s="659">
        <v>-0.47545427305418247</v>
      </c>
      <c r="Z650" s="658">
        <v>0.51355421866358597</v>
      </c>
      <c r="AA650" s="659">
        <v>2.3188395595753852</v>
      </c>
      <c r="AB650" s="658">
        <v>0.26238655952904727</v>
      </c>
      <c r="AC650" s="660">
        <v>-0.86886800127697872</v>
      </c>
      <c r="AD650" s="682">
        <v>0</v>
      </c>
      <c r="AE650" s="944" t="s">
        <v>1741</v>
      </c>
      <c r="AF650" s="661" t="s">
        <v>1742</v>
      </c>
      <c r="AG650" s="662" t="s">
        <v>741</v>
      </c>
      <c r="AH650" s="662" t="s">
        <v>1734</v>
      </c>
      <c r="AI650" s="662">
        <v>500</v>
      </c>
      <c r="AJ650" s="662">
        <v>0</v>
      </c>
      <c r="AK650" s="662">
        <v>500</v>
      </c>
      <c r="AL650" s="658">
        <v>0.01</v>
      </c>
      <c r="AM650" s="658">
        <v>0</v>
      </c>
      <c r="AN650" s="659" t="s">
        <v>2122</v>
      </c>
      <c r="AO650" s="253" t="s">
        <v>34</v>
      </c>
      <c r="AP650" s="944" t="s">
        <v>1731</v>
      </c>
      <c r="AQ650" s="663" t="s">
        <v>659</v>
      </c>
      <c r="AR650" s="658">
        <v>1.333E-3</v>
      </c>
      <c r="AS650" s="658">
        <v>1.333E-3</v>
      </c>
      <c r="AT650" s="658" t="s">
        <v>1417</v>
      </c>
      <c r="AU650" s="658" t="s">
        <v>2751</v>
      </c>
      <c r="AX650"/>
      <c r="AY650"/>
      <c r="BA650"/>
      <c r="BB650"/>
      <c r="BC650"/>
      <c r="BD650"/>
      <c r="BE650"/>
      <c r="BF650"/>
      <c r="BG650"/>
      <c r="BH650"/>
      <c r="BI650"/>
      <c r="BJ650"/>
      <c r="BR650"/>
      <c r="BS650"/>
      <c r="BT650"/>
      <c r="BU650"/>
      <c r="BX650"/>
      <c r="BY650"/>
      <c r="CA650"/>
    </row>
    <row r="651" spans="2:79" ht="18.75">
      <c r="B651" s="252" t="s">
        <v>512</v>
      </c>
      <c r="C651" s="251">
        <v>12672120000114</v>
      </c>
      <c r="D651" s="252" t="s">
        <v>13</v>
      </c>
      <c r="E651" s="252" t="s">
        <v>615</v>
      </c>
      <c r="F651" s="252" t="s">
        <v>619</v>
      </c>
      <c r="G651" s="253" t="s">
        <v>34</v>
      </c>
      <c r="H651" s="253" t="s">
        <v>1337</v>
      </c>
      <c r="I651" s="253" t="s">
        <v>34</v>
      </c>
      <c r="J651" s="253" t="s">
        <v>1417</v>
      </c>
      <c r="K651" s="253" t="s">
        <v>48</v>
      </c>
      <c r="L651" s="655"/>
      <c r="M651" s="655" t="s">
        <v>1414</v>
      </c>
      <c r="N651" s="253" t="s">
        <v>3244</v>
      </c>
      <c r="O651" s="253" t="s">
        <v>1321</v>
      </c>
      <c r="P651" s="656">
        <v>40452</v>
      </c>
      <c r="Q651" s="657">
        <v>149.306387</v>
      </c>
      <c r="R651" s="657">
        <v>161.6658388455285</v>
      </c>
      <c r="S651" s="253">
        <v>3</v>
      </c>
      <c r="T651" s="658">
        <v>2.654109631805146E-2</v>
      </c>
      <c r="U651" s="659">
        <v>1.3271623178001732</v>
      </c>
      <c r="V651" s="658">
        <v>0.10948726212474735</v>
      </c>
      <c r="W651" s="659">
        <v>0.84910766700407647</v>
      </c>
      <c r="X651" s="658">
        <v>0.16762756852817318</v>
      </c>
      <c r="Y651" s="659">
        <v>0.86814193300118259</v>
      </c>
      <c r="Z651" s="658">
        <v>0.23078443267612103</v>
      </c>
      <c r="AA651" s="659">
        <v>1.0420556443215858</v>
      </c>
      <c r="AB651" s="658">
        <v>2.6805347163983514E-2</v>
      </c>
      <c r="AC651" s="660">
        <v>-0.7258494808149154</v>
      </c>
      <c r="AD651" s="682">
        <v>0</v>
      </c>
      <c r="AE651" s="944" t="s">
        <v>1741</v>
      </c>
      <c r="AF651" s="661" t="s">
        <v>1742</v>
      </c>
      <c r="AG651" s="662" t="s">
        <v>741</v>
      </c>
      <c r="AH651" s="662" t="s">
        <v>1734</v>
      </c>
      <c r="AI651" s="662">
        <v>500</v>
      </c>
      <c r="AJ651" s="662">
        <v>500</v>
      </c>
      <c r="AK651" s="662">
        <v>500</v>
      </c>
      <c r="AL651" s="658">
        <v>5.0000000000000001E-3</v>
      </c>
      <c r="AM651" s="658">
        <v>0</v>
      </c>
      <c r="AN651" s="659" t="s">
        <v>636</v>
      </c>
      <c r="AO651" s="253" t="s">
        <v>34</v>
      </c>
      <c r="AP651" s="944" t="s">
        <v>1735</v>
      </c>
      <c r="AQ651" s="663" t="s">
        <v>676</v>
      </c>
      <c r="AR651" s="658">
        <v>6.6666666666666697E-4</v>
      </c>
      <c r="AS651" s="658">
        <v>6.6666666666666697E-4</v>
      </c>
      <c r="AT651" s="658" t="s">
        <v>1417</v>
      </c>
      <c r="AU651" s="658" t="s">
        <v>2751</v>
      </c>
      <c r="AX651"/>
      <c r="AY651"/>
      <c r="BA651"/>
      <c r="BB651"/>
      <c r="BC651"/>
      <c r="BD651"/>
      <c r="BE651"/>
      <c r="BF651"/>
      <c r="BG651"/>
      <c r="BH651"/>
      <c r="BI651"/>
      <c r="BJ651"/>
      <c r="BR651"/>
      <c r="BS651"/>
      <c r="BT651"/>
      <c r="BU651"/>
      <c r="BX651"/>
      <c r="BY651"/>
      <c r="CA651"/>
    </row>
    <row r="652" spans="2:79" ht="18.75">
      <c r="B652" s="252" t="s">
        <v>918</v>
      </c>
      <c r="C652" s="251">
        <v>12265822000183</v>
      </c>
      <c r="D652" s="252" t="s">
        <v>11</v>
      </c>
      <c r="E652" s="252" t="s">
        <v>661</v>
      </c>
      <c r="F652" s="252" t="s">
        <v>672</v>
      </c>
      <c r="G652" s="253" t="s">
        <v>738</v>
      </c>
      <c r="H652" s="253" t="s">
        <v>34</v>
      </c>
      <c r="I652" s="253" t="s">
        <v>1304</v>
      </c>
      <c r="J652" s="253" t="s">
        <v>608</v>
      </c>
      <c r="K652" s="253" t="s">
        <v>48</v>
      </c>
      <c r="L652" s="655"/>
      <c r="M652" s="655" t="s">
        <v>1414</v>
      </c>
      <c r="N652" s="253" t="s">
        <v>3245</v>
      </c>
      <c r="O652" s="253" t="s">
        <v>1321</v>
      </c>
      <c r="P652" s="656">
        <v>40371</v>
      </c>
      <c r="Q652" s="657">
        <v>49.037517000000001</v>
      </c>
      <c r="R652" s="657">
        <v>48.374737282258089</v>
      </c>
      <c r="S652" s="253">
        <v>0</v>
      </c>
      <c r="T652" s="658">
        <v>1.9760012434300034E-2</v>
      </c>
      <c r="U652" s="659">
        <v>0.98808065755104391</v>
      </c>
      <c r="V652" s="658">
        <v>0.12457393957118912</v>
      </c>
      <c r="W652" s="659">
        <v>0.96610952859776134</v>
      </c>
      <c r="X652" s="658">
        <v>0.17074715483422898</v>
      </c>
      <c r="Y652" s="659">
        <v>0.88429824732156914</v>
      </c>
      <c r="Z652" s="658">
        <v>0.19930841201167548</v>
      </c>
      <c r="AA652" s="659">
        <v>0.89993269168639234</v>
      </c>
      <c r="AB652" s="658">
        <v>4.3287903158183202E-3</v>
      </c>
      <c r="AC652" s="660">
        <v>-1.0095129486014682</v>
      </c>
      <c r="AD652" s="682">
        <v>0</v>
      </c>
      <c r="AE652" s="944" t="s">
        <v>1741</v>
      </c>
      <c r="AF652" s="661" t="s">
        <v>1742</v>
      </c>
      <c r="AG652" s="662" t="s">
        <v>741</v>
      </c>
      <c r="AH652" s="662" t="s">
        <v>1734</v>
      </c>
      <c r="AI652" s="662">
        <v>500</v>
      </c>
      <c r="AJ652" s="662">
        <v>500</v>
      </c>
      <c r="AK652" s="662">
        <v>500</v>
      </c>
      <c r="AL652" s="658">
        <v>3.4999999999999996E-3</v>
      </c>
      <c r="AM652" s="658">
        <v>0</v>
      </c>
      <c r="AN652" s="659" t="s">
        <v>64</v>
      </c>
      <c r="AO652" s="253" t="s">
        <v>34</v>
      </c>
      <c r="AP652" s="944" t="s">
        <v>1735</v>
      </c>
      <c r="AQ652" s="663" t="s">
        <v>676</v>
      </c>
      <c r="AR652" s="658">
        <v>4.6666666666666699E-4</v>
      </c>
      <c r="AS652" s="658">
        <v>4.6666666666666699E-4</v>
      </c>
      <c r="AT652" s="658" t="s">
        <v>1417</v>
      </c>
      <c r="AU652" s="658" t="s">
        <v>2751</v>
      </c>
      <c r="AX652"/>
      <c r="AY652"/>
      <c r="BA652"/>
      <c r="BB652"/>
      <c r="BC652"/>
      <c r="BD652"/>
      <c r="BE652"/>
      <c r="BF652"/>
      <c r="BG652"/>
      <c r="BH652"/>
      <c r="BI652"/>
      <c r="BJ652"/>
      <c r="BR652"/>
      <c r="BS652"/>
      <c r="BT652"/>
      <c r="BU652"/>
      <c r="BX652"/>
      <c r="BY652"/>
      <c r="CA652"/>
    </row>
    <row r="653" spans="2:79" ht="18.75">
      <c r="B653" s="252" t="s">
        <v>185</v>
      </c>
      <c r="C653" s="251">
        <v>13155995000101</v>
      </c>
      <c r="D653" s="252" t="s">
        <v>14</v>
      </c>
      <c r="E653" s="252" t="s">
        <v>607</v>
      </c>
      <c r="F653" s="252" t="s">
        <v>1417</v>
      </c>
      <c r="G653" s="253" t="s">
        <v>1417</v>
      </c>
      <c r="H653" s="253" t="s">
        <v>34</v>
      </c>
      <c r="I653" s="253" t="s">
        <v>34</v>
      </c>
      <c r="J653" s="253" t="s">
        <v>608</v>
      </c>
      <c r="K653" s="253" t="s">
        <v>48</v>
      </c>
      <c r="L653" s="655"/>
      <c r="M653" s="655" t="s">
        <v>1414</v>
      </c>
      <c r="N653" s="253" t="s">
        <v>3246</v>
      </c>
      <c r="O653" s="253" t="s">
        <v>1321</v>
      </c>
      <c r="P653" s="656">
        <v>40796</v>
      </c>
      <c r="Q653" s="657">
        <v>143.506776</v>
      </c>
      <c r="R653" s="657">
        <v>143.58997744813277</v>
      </c>
      <c r="S653" s="253">
        <v>14</v>
      </c>
      <c r="T653" s="658">
        <v>-3.3917532905229364E-2</v>
      </c>
      <c r="U653" s="659">
        <v>-1.6960140246336515</v>
      </c>
      <c r="V653" s="658">
        <v>-5.1334292418319882E-2</v>
      </c>
      <c r="W653" s="659">
        <v>-0.39811335516784646</v>
      </c>
      <c r="X653" s="658">
        <v>-0.11100081575994147</v>
      </c>
      <c r="Y653" s="659">
        <v>-0.5748724007909698</v>
      </c>
      <c r="Z653" s="658">
        <v>-5.1014234768437916E-2</v>
      </c>
      <c r="AA653" s="659">
        <v>-0.23034340169642464</v>
      </c>
      <c r="AB653" s="658">
        <v>0.2164717534140054</v>
      </c>
      <c r="AC653" s="660">
        <v>-0.83280242813169036</v>
      </c>
      <c r="AD653" s="682">
        <v>0</v>
      </c>
      <c r="AE653" s="944" t="s">
        <v>1741</v>
      </c>
      <c r="AF653" s="661" t="s">
        <v>1742</v>
      </c>
      <c r="AG653" s="662" t="s">
        <v>741</v>
      </c>
      <c r="AH653" s="662" t="s">
        <v>1734</v>
      </c>
      <c r="AI653" s="662">
        <v>500</v>
      </c>
      <c r="AJ653" s="662">
        <v>500</v>
      </c>
      <c r="AK653" s="662">
        <v>500</v>
      </c>
      <c r="AL653" s="658">
        <v>2.7999999999999997E-2</v>
      </c>
      <c r="AM653" s="658">
        <v>0</v>
      </c>
      <c r="AN653" s="659" t="s">
        <v>666</v>
      </c>
      <c r="AO653" s="253" t="s">
        <v>34</v>
      </c>
      <c r="AP653" s="944" t="s">
        <v>1731</v>
      </c>
      <c r="AQ653" s="663" t="s">
        <v>670</v>
      </c>
      <c r="AR653" s="658">
        <v>3.3333333333333301E-3</v>
      </c>
      <c r="AS653" s="658">
        <v>3.3333333333333301E-3</v>
      </c>
      <c r="AT653" s="658" t="s">
        <v>1417</v>
      </c>
      <c r="AU653" s="658" t="s">
        <v>2751</v>
      </c>
      <c r="AX653"/>
      <c r="AY653"/>
      <c r="BA653"/>
      <c r="BB653"/>
      <c r="BC653"/>
      <c r="BD653"/>
      <c r="BE653"/>
      <c r="BF653"/>
      <c r="BG653"/>
      <c r="BH653"/>
      <c r="BI653"/>
      <c r="BJ653"/>
      <c r="BR653"/>
      <c r="BS653"/>
      <c r="BT653"/>
      <c r="BU653"/>
      <c r="BX653"/>
      <c r="BY653"/>
      <c r="CA653"/>
    </row>
    <row r="654" spans="2:79" ht="18.75">
      <c r="B654" s="252" t="s">
        <v>186</v>
      </c>
      <c r="C654" s="251">
        <v>9274058000106</v>
      </c>
      <c r="D654" s="252" t="s">
        <v>13</v>
      </c>
      <c r="E654" s="252" t="s">
        <v>615</v>
      </c>
      <c r="F654" s="252" t="s">
        <v>619</v>
      </c>
      <c r="G654" s="253" t="s">
        <v>34</v>
      </c>
      <c r="H654" s="253" t="s">
        <v>1337</v>
      </c>
      <c r="I654" s="253" t="s">
        <v>34</v>
      </c>
      <c r="J654" s="253" t="s">
        <v>1417</v>
      </c>
      <c r="K654" s="253" t="s">
        <v>48</v>
      </c>
      <c r="L654" s="655"/>
      <c r="M654" s="655" t="s">
        <v>1414</v>
      </c>
      <c r="N654" s="253" t="s">
        <v>3247</v>
      </c>
      <c r="O654" s="253" t="s">
        <v>1321</v>
      </c>
      <c r="P654" s="656">
        <v>39393</v>
      </c>
      <c r="Q654" s="657">
        <v>96.630937000000003</v>
      </c>
      <c r="R654" s="657">
        <v>98.173898176706786</v>
      </c>
      <c r="S654" s="253">
        <v>1</v>
      </c>
      <c r="T654" s="658">
        <v>1.9077520231150391E-2</v>
      </c>
      <c r="U654" s="659">
        <v>0.95395328303122884</v>
      </c>
      <c r="V654" s="658">
        <v>0.13572848676942217</v>
      </c>
      <c r="W654" s="659">
        <v>1.0526165008625989</v>
      </c>
      <c r="X654" s="658">
        <v>0.16941788570190974</v>
      </c>
      <c r="Y654" s="659">
        <v>0.87741397235329932</v>
      </c>
      <c r="Z654" s="658">
        <v>0.19773252133453445</v>
      </c>
      <c r="AA654" s="659">
        <v>0.89281710873347631</v>
      </c>
      <c r="AB654" s="658">
        <v>1.3342050685980177E-2</v>
      </c>
      <c r="AC654" s="660">
        <v>0.50851083407763209</v>
      </c>
      <c r="AD654" s="682">
        <v>0</v>
      </c>
      <c r="AE654" s="944" t="s">
        <v>1741</v>
      </c>
      <c r="AF654" s="661" t="s">
        <v>1742</v>
      </c>
      <c r="AG654" s="662" t="s">
        <v>741</v>
      </c>
      <c r="AH654" s="662" t="s">
        <v>1734</v>
      </c>
      <c r="AI654" s="662">
        <v>500</v>
      </c>
      <c r="AJ654" s="662">
        <v>0</v>
      </c>
      <c r="AK654" s="662">
        <v>0</v>
      </c>
      <c r="AL654" s="658">
        <v>1.4999999999999999E-2</v>
      </c>
      <c r="AM654" s="658">
        <v>0.2</v>
      </c>
      <c r="AN654" s="659" t="s">
        <v>64</v>
      </c>
      <c r="AO654" s="253" t="s">
        <v>34</v>
      </c>
      <c r="AP654" s="944" t="s">
        <v>1746</v>
      </c>
      <c r="AQ654" s="663" t="s">
        <v>678</v>
      </c>
      <c r="AR654" s="658">
        <v>1.33333333333333E-3</v>
      </c>
      <c r="AS654" s="658">
        <v>1.33333333333333E-3</v>
      </c>
      <c r="AT654" s="658" t="s">
        <v>1417</v>
      </c>
      <c r="AU654" s="658" t="s">
        <v>2751</v>
      </c>
      <c r="AX654"/>
      <c r="AY654"/>
      <c r="BA654"/>
      <c r="BB654"/>
      <c r="BC654"/>
      <c r="BD654"/>
      <c r="BE654"/>
      <c r="BF654"/>
      <c r="BG654"/>
      <c r="BH654"/>
      <c r="BI654"/>
      <c r="BJ654"/>
      <c r="BR654"/>
      <c r="BS654"/>
      <c r="BT654"/>
      <c r="BU654"/>
      <c r="BX654"/>
      <c r="BY654"/>
      <c r="CA654"/>
    </row>
    <row r="655" spans="2:79" ht="18.75">
      <c r="B655" s="252" t="s">
        <v>919</v>
      </c>
      <c r="C655" s="251">
        <v>6092123000186</v>
      </c>
      <c r="D655" s="252" t="s">
        <v>13</v>
      </c>
      <c r="E655" s="252" t="s">
        <v>615</v>
      </c>
      <c r="F655" s="252" t="s">
        <v>619</v>
      </c>
      <c r="G655" s="253" t="s">
        <v>34</v>
      </c>
      <c r="H655" s="253" t="s">
        <v>1337</v>
      </c>
      <c r="I655" s="253" t="s">
        <v>34</v>
      </c>
      <c r="J655" s="253" t="s">
        <v>1417</v>
      </c>
      <c r="K655" s="253" t="s">
        <v>48</v>
      </c>
      <c r="L655" s="655"/>
      <c r="M655" s="655" t="s">
        <v>1414</v>
      </c>
      <c r="N655" s="253" t="s">
        <v>3248</v>
      </c>
      <c r="O655" s="253" t="s">
        <v>1321</v>
      </c>
      <c r="P655" s="656">
        <v>38034</v>
      </c>
      <c r="Q655" s="657">
        <v>0</v>
      </c>
      <c r="R655" s="657">
        <v>0</v>
      </c>
      <c r="S655" s="253">
        <v>15</v>
      </c>
      <c r="T655" s="658"/>
      <c r="U655" s="659"/>
      <c r="V655" s="658"/>
      <c r="W655" s="659"/>
      <c r="X655" s="658"/>
      <c r="Y655" s="659"/>
      <c r="Z655" s="658"/>
      <c r="AA655" s="659"/>
      <c r="AB655" s="658"/>
      <c r="AC655" s="660"/>
      <c r="AD655" s="682">
        <v>0</v>
      </c>
      <c r="AE655" s="944" t="s">
        <v>1741</v>
      </c>
      <c r="AF655" s="661" t="s">
        <v>1742</v>
      </c>
      <c r="AG655" s="662" t="s">
        <v>741</v>
      </c>
      <c r="AH655" s="662" t="s">
        <v>1734</v>
      </c>
      <c r="AI655" s="662">
        <v>500</v>
      </c>
      <c r="AJ655" s="662">
        <v>500</v>
      </c>
      <c r="AK655" s="662">
        <v>500</v>
      </c>
      <c r="AL655" s="658">
        <v>6.0000000000000001E-3</v>
      </c>
      <c r="AM655" s="658">
        <v>0.1</v>
      </c>
      <c r="AN655" s="659" t="s">
        <v>64</v>
      </c>
      <c r="AO655" s="253" t="s">
        <v>34</v>
      </c>
      <c r="AP655" s="944" t="s">
        <v>1746</v>
      </c>
      <c r="AQ655" s="663" t="s">
        <v>686</v>
      </c>
      <c r="AR655" s="658">
        <v>8.0000000000000004E-4</v>
      </c>
      <c r="AS655" s="658">
        <v>8.0000000000000004E-4</v>
      </c>
      <c r="AT655" s="658" t="s">
        <v>1417</v>
      </c>
      <c r="AU655" s="658" t="s">
        <v>2751</v>
      </c>
      <c r="AX655"/>
      <c r="AY655"/>
      <c r="BA655"/>
      <c r="BB655"/>
      <c r="BC655"/>
      <c r="BD655"/>
      <c r="BE655"/>
      <c r="BF655"/>
      <c r="BG655"/>
      <c r="BH655"/>
      <c r="BI655"/>
      <c r="BJ655"/>
      <c r="BR655"/>
      <c r="BS655"/>
      <c r="BT655"/>
      <c r="BU655"/>
      <c r="BX655"/>
      <c r="BY655"/>
      <c r="CA655"/>
    </row>
    <row r="656" spans="2:79" ht="18.75">
      <c r="B656" s="252" t="s">
        <v>187</v>
      </c>
      <c r="C656" s="251">
        <v>37681308000150</v>
      </c>
      <c r="D656" s="252" t="s">
        <v>14</v>
      </c>
      <c r="E656" s="252" t="s">
        <v>607</v>
      </c>
      <c r="F656" s="252" t="s">
        <v>1417</v>
      </c>
      <c r="G656" s="253" t="s">
        <v>1417</v>
      </c>
      <c r="H656" s="253" t="s">
        <v>34</v>
      </c>
      <c r="I656" s="253" t="s">
        <v>34</v>
      </c>
      <c r="J656" s="253" t="s">
        <v>608</v>
      </c>
      <c r="K656" s="253" t="s">
        <v>48</v>
      </c>
      <c r="L656" s="655"/>
      <c r="M656" s="655" t="s">
        <v>1414</v>
      </c>
      <c r="N656" s="253" t="s">
        <v>3249</v>
      </c>
      <c r="O656" s="253" t="s">
        <v>1321</v>
      </c>
      <c r="P656" s="656">
        <v>44103</v>
      </c>
      <c r="Q656" s="657">
        <v>0</v>
      </c>
      <c r="R656" s="657">
        <v>0</v>
      </c>
      <c r="S656" s="253">
        <v>32</v>
      </c>
      <c r="T656" s="658"/>
      <c r="U656" s="659"/>
      <c r="V656" s="658"/>
      <c r="W656" s="659"/>
      <c r="X656" s="658"/>
      <c r="Y656" s="659"/>
      <c r="Z656" s="658"/>
      <c r="AA656" s="659"/>
      <c r="AB656" s="658"/>
      <c r="AC656" s="660"/>
      <c r="AD656" s="682">
        <v>37681117000198</v>
      </c>
      <c r="AE656" s="944" t="s">
        <v>2621</v>
      </c>
      <c r="AF656" s="661" t="s">
        <v>1745</v>
      </c>
      <c r="AG656" s="662" t="s">
        <v>1432</v>
      </c>
      <c r="AH656" s="662" t="s">
        <v>1734</v>
      </c>
      <c r="AI656" s="662">
        <v>5000</v>
      </c>
      <c r="AJ656" s="662">
        <v>1000</v>
      </c>
      <c r="AK656" s="662">
        <v>1000</v>
      </c>
      <c r="AL656" s="658">
        <v>0.02</v>
      </c>
      <c r="AM656" s="658">
        <v>0.2</v>
      </c>
      <c r="AN656" s="659" t="s">
        <v>34</v>
      </c>
      <c r="AO656" s="253" t="s">
        <v>34</v>
      </c>
      <c r="AP656" s="944" t="s">
        <v>1731</v>
      </c>
      <c r="AQ656" s="663" t="s">
        <v>659</v>
      </c>
      <c r="AR656" s="658">
        <v>3.3333333333333301E-3</v>
      </c>
      <c r="AS656" s="658">
        <v>3.3333333333333301E-3</v>
      </c>
      <c r="AT656" s="658" t="s">
        <v>1417</v>
      </c>
      <c r="AU656" s="658" t="s">
        <v>2751</v>
      </c>
      <c r="AX656"/>
      <c r="AY656"/>
      <c r="BA656"/>
      <c r="BB656"/>
      <c r="BC656"/>
      <c r="BD656"/>
      <c r="BE656"/>
      <c r="BF656"/>
      <c r="BG656"/>
      <c r="BH656"/>
      <c r="BI656"/>
      <c r="BJ656"/>
      <c r="BR656"/>
      <c r="BS656"/>
      <c r="BT656"/>
      <c r="BU656"/>
      <c r="BX656"/>
      <c r="BY656"/>
      <c r="CA656"/>
    </row>
    <row r="657" spans="2:79" ht="18.75">
      <c r="B657" s="252" t="s">
        <v>188</v>
      </c>
      <c r="C657" s="251">
        <v>27011904000179</v>
      </c>
      <c r="D657" s="252" t="s">
        <v>13</v>
      </c>
      <c r="E657" s="252" t="s">
        <v>615</v>
      </c>
      <c r="F657" s="252" t="s">
        <v>619</v>
      </c>
      <c r="G657" s="253" t="s">
        <v>34</v>
      </c>
      <c r="H657" s="253" t="s">
        <v>1337</v>
      </c>
      <c r="I657" s="253" t="s">
        <v>34</v>
      </c>
      <c r="J657" s="253" t="s">
        <v>1417</v>
      </c>
      <c r="K657" s="253" t="s">
        <v>48</v>
      </c>
      <c r="L657" s="655"/>
      <c r="M657" s="655" t="s">
        <v>1414</v>
      </c>
      <c r="N657" s="253" t="s">
        <v>3250</v>
      </c>
      <c r="O657" s="253" t="s">
        <v>1321</v>
      </c>
      <c r="P657" s="656">
        <v>42743</v>
      </c>
      <c r="Q657" s="657">
        <v>56.498311000000001</v>
      </c>
      <c r="R657" s="657">
        <v>57.882801221774173</v>
      </c>
      <c r="S657" s="253">
        <v>5</v>
      </c>
      <c r="T657" s="658">
        <v>2.572761620198194E-2</v>
      </c>
      <c r="U657" s="659">
        <v>1.2864850170817062</v>
      </c>
      <c r="V657" s="658">
        <v>0.14673303643449032</v>
      </c>
      <c r="W657" s="659">
        <v>1.1379601957473071</v>
      </c>
      <c r="X657" s="658">
        <v>0.22444733631965375</v>
      </c>
      <c r="Y657" s="659">
        <v>1.1624110885839278</v>
      </c>
      <c r="Z657" s="658">
        <v>0.52966046943974177</v>
      </c>
      <c r="AA657" s="659">
        <v>2.3915637435055288</v>
      </c>
      <c r="AB657" s="658">
        <v>2.0648429637144763E-2</v>
      </c>
      <c r="AC657" s="660">
        <v>0.8615244500579764</v>
      </c>
      <c r="AD657" s="682">
        <v>0</v>
      </c>
      <c r="AE657" s="944" t="s">
        <v>1848</v>
      </c>
      <c r="AF657" s="661" t="s">
        <v>1849</v>
      </c>
      <c r="AG657" s="662" t="s">
        <v>1434</v>
      </c>
      <c r="AH657" s="662" t="s">
        <v>1730</v>
      </c>
      <c r="AI657" s="662">
        <v>50000</v>
      </c>
      <c r="AJ657" s="662">
        <v>1000</v>
      </c>
      <c r="AK657" s="662">
        <v>50000</v>
      </c>
      <c r="AL657" s="658">
        <v>0</v>
      </c>
      <c r="AM657" s="658">
        <v>0</v>
      </c>
      <c r="AN657" s="659" t="s">
        <v>2122</v>
      </c>
      <c r="AO657" s="253" t="s">
        <v>34</v>
      </c>
      <c r="AP657" s="944" t="s">
        <v>1746</v>
      </c>
      <c r="AQ657" s="663" t="s">
        <v>668</v>
      </c>
      <c r="AR657" s="658">
        <v>3.0000000000000001E-3</v>
      </c>
      <c r="AS657" s="658">
        <v>3.0000000000000001E-3</v>
      </c>
      <c r="AT657" s="658" t="s">
        <v>1417</v>
      </c>
      <c r="AU657" s="658" t="s">
        <v>2751</v>
      </c>
      <c r="AX657"/>
      <c r="AY657"/>
      <c r="BA657"/>
      <c r="BB657"/>
      <c r="BC657"/>
      <c r="BD657"/>
      <c r="BE657"/>
      <c r="BF657"/>
      <c r="BG657"/>
      <c r="BH657"/>
      <c r="BI657"/>
      <c r="BJ657"/>
      <c r="BR657"/>
      <c r="BS657"/>
      <c r="BT657"/>
      <c r="BU657"/>
      <c r="BX657"/>
      <c r="BY657"/>
      <c r="CA657"/>
    </row>
    <row r="658" spans="2:79" ht="18.75">
      <c r="B658" s="252" t="s">
        <v>189</v>
      </c>
      <c r="C658" s="251">
        <v>12813445000170</v>
      </c>
      <c r="D658" s="252" t="s">
        <v>13</v>
      </c>
      <c r="E658" s="252" t="s">
        <v>615</v>
      </c>
      <c r="F658" s="252" t="s">
        <v>619</v>
      </c>
      <c r="G658" s="253" t="s">
        <v>34</v>
      </c>
      <c r="H658" s="253" t="s">
        <v>1337</v>
      </c>
      <c r="I658" s="253" t="s">
        <v>34</v>
      </c>
      <c r="J658" s="253" t="s">
        <v>1417</v>
      </c>
      <c r="K658" s="253" t="s">
        <v>48</v>
      </c>
      <c r="L658" s="655"/>
      <c r="M658" s="655" t="s">
        <v>1414</v>
      </c>
      <c r="N658" s="253" t="s">
        <v>3251</v>
      </c>
      <c r="O658" s="253" t="s">
        <v>1321</v>
      </c>
      <c r="P658" s="656">
        <v>40519</v>
      </c>
      <c r="Q658" s="657">
        <v>0</v>
      </c>
      <c r="R658" s="657">
        <v>0</v>
      </c>
      <c r="S658" s="253">
        <v>5</v>
      </c>
      <c r="T658" s="658"/>
      <c r="U658" s="659"/>
      <c r="V658" s="658"/>
      <c r="W658" s="659"/>
      <c r="X658" s="658"/>
      <c r="Y658" s="659"/>
      <c r="Z658" s="658"/>
      <c r="AA658" s="659"/>
      <c r="AB658" s="658"/>
      <c r="AC658" s="660"/>
      <c r="AD658" s="682">
        <v>0</v>
      </c>
      <c r="AE658" s="944" t="s">
        <v>1848</v>
      </c>
      <c r="AF658" s="661" t="s">
        <v>1849</v>
      </c>
      <c r="AG658" s="662" t="s">
        <v>1434</v>
      </c>
      <c r="AH658" s="662" t="s">
        <v>1734</v>
      </c>
      <c r="AI658" s="662">
        <v>20000</v>
      </c>
      <c r="AJ658" s="662">
        <v>5000</v>
      </c>
      <c r="AK658" s="662">
        <v>20000</v>
      </c>
      <c r="AL658" s="658">
        <v>6.0000000000000001E-3</v>
      </c>
      <c r="AM658" s="658">
        <v>0.2</v>
      </c>
      <c r="AN658" s="659" t="s">
        <v>2127</v>
      </c>
      <c r="AO658" s="253" t="s">
        <v>34</v>
      </c>
      <c r="AP658" s="944" t="s">
        <v>1746</v>
      </c>
      <c r="AQ658" s="663" t="s">
        <v>668</v>
      </c>
      <c r="AR658" s="658">
        <v>2.3999999999999998E-3</v>
      </c>
      <c r="AS658" s="658">
        <v>2.3999999999999998E-3</v>
      </c>
      <c r="AT658" s="658" t="s">
        <v>1417</v>
      </c>
      <c r="AU658" s="658" t="s">
        <v>2751</v>
      </c>
      <c r="AX658"/>
      <c r="AY658"/>
      <c r="BA658"/>
      <c r="BB658"/>
      <c r="BC658"/>
      <c r="BD658"/>
      <c r="BE658"/>
      <c r="BF658"/>
      <c r="BG658"/>
      <c r="BH658"/>
      <c r="BI658"/>
      <c r="BJ658"/>
      <c r="BR658"/>
      <c r="BS658"/>
      <c r="BT658"/>
      <c r="BU658"/>
      <c r="BX658"/>
      <c r="BY658"/>
      <c r="CA658"/>
    </row>
    <row r="659" spans="2:79" ht="18.75">
      <c r="B659" s="252" t="s">
        <v>920</v>
      </c>
      <c r="C659" s="251">
        <v>7195440000190</v>
      </c>
      <c r="D659" s="252" t="s">
        <v>14</v>
      </c>
      <c r="E659" s="252" t="s">
        <v>607</v>
      </c>
      <c r="F659" s="252" t="s">
        <v>1417</v>
      </c>
      <c r="G659" s="253" t="s">
        <v>1417</v>
      </c>
      <c r="H659" s="253" t="s">
        <v>34</v>
      </c>
      <c r="I659" s="253" t="s">
        <v>34</v>
      </c>
      <c r="J659" s="253" t="s">
        <v>608</v>
      </c>
      <c r="K659" s="253" t="s">
        <v>48</v>
      </c>
      <c r="L659" s="655"/>
      <c r="M659" s="655" t="s">
        <v>1414</v>
      </c>
      <c r="N659" s="253" t="s">
        <v>3252</v>
      </c>
      <c r="O659" s="253" t="s">
        <v>1321</v>
      </c>
      <c r="P659" s="656">
        <v>40811</v>
      </c>
      <c r="Q659" s="657">
        <v>42.451518999999998</v>
      </c>
      <c r="R659" s="657">
        <v>43.935285927125506</v>
      </c>
      <c r="S659" s="253">
        <v>5</v>
      </c>
      <c r="T659" s="658">
        <v>7.0676584512541218E-4</v>
      </c>
      <c r="U659" s="659">
        <v>3.5341154936417637E-2</v>
      </c>
      <c r="V659" s="658">
        <v>2.2960966054651921E-2</v>
      </c>
      <c r="W659" s="659">
        <v>0.17806941136779544</v>
      </c>
      <c r="X659" s="658">
        <v>5.599180733215392E-2</v>
      </c>
      <c r="Y659" s="659">
        <v>0.28998115451037043</v>
      </c>
      <c r="Z659" s="658">
        <v>8.5602116404328799E-2</v>
      </c>
      <c r="AA659" s="659">
        <v>0.38651726865039049</v>
      </c>
      <c r="AB659" s="658">
        <v>0.1714090821150949</v>
      </c>
      <c r="AC659" s="660">
        <v>-0.61830413000504125</v>
      </c>
      <c r="AD659" s="682">
        <v>0</v>
      </c>
      <c r="AE659" s="944" t="s">
        <v>1848</v>
      </c>
      <c r="AF659" s="661" t="s">
        <v>1849</v>
      </c>
      <c r="AG659" s="662" t="s">
        <v>1434</v>
      </c>
      <c r="AH659" s="662" t="s">
        <v>1734</v>
      </c>
      <c r="AI659" s="662">
        <v>25000</v>
      </c>
      <c r="AJ659" s="662">
        <v>5000</v>
      </c>
      <c r="AK659" s="662">
        <v>5000</v>
      </c>
      <c r="AL659" s="658">
        <v>1.2E-2</v>
      </c>
      <c r="AM659" s="658">
        <v>0.2</v>
      </c>
      <c r="AN659" s="659" t="s">
        <v>666</v>
      </c>
      <c r="AO659" s="253" t="s">
        <v>34</v>
      </c>
      <c r="AP659" s="944" t="s">
        <v>1731</v>
      </c>
      <c r="AQ659" s="663" t="s">
        <v>659</v>
      </c>
      <c r="AR659" s="658">
        <v>2.3999999999999998E-3</v>
      </c>
      <c r="AS659" s="658">
        <v>2.3999999999999998E-3</v>
      </c>
      <c r="AT659" s="658" t="s">
        <v>1417</v>
      </c>
      <c r="AU659" s="658" t="s">
        <v>2751</v>
      </c>
      <c r="AX659"/>
      <c r="AY659"/>
      <c r="BA659"/>
      <c r="BB659"/>
      <c r="BC659"/>
      <c r="BD659"/>
      <c r="BE659"/>
      <c r="BF659"/>
      <c r="BG659"/>
      <c r="BH659"/>
      <c r="BI659"/>
      <c r="BJ659"/>
      <c r="BR659"/>
      <c r="BS659"/>
      <c r="BT659"/>
      <c r="BU659"/>
      <c r="BX659"/>
      <c r="BY659"/>
      <c r="CA659"/>
    </row>
    <row r="660" spans="2:79" ht="18.75">
      <c r="B660" s="252" t="s">
        <v>921</v>
      </c>
      <c r="C660" s="251">
        <v>44614202000107</v>
      </c>
      <c r="D660" s="252" t="s">
        <v>11</v>
      </c>
      <c r="E660" s="252" t="s">
        <v>4235</v>
      </c>
      <c r="F660" s="252" t="s">
        <v>1417</v>
      </c>
      <c r="G660" s="253" t="s">
        <v>1417</v>
      </c>
      <c r="H660" s="253" t="s">
        <v>34</v>
      </c>
      <c r="I660" s="253" t="s">
        <v>34</v>
      </c>
      <c r="J660" s="253" t="s">
        <v>611</v>
      </c>
      <c r="K660" s="253" t="s">
        <v>48</v>
      </c>
      <c r="L660" s="655"/>
      <c r="M660" s="655" t="s">
        <v>1414</v>
      </c>
      <c r="N660" s="253" t="s">
        <v>3253</v>
      </c>
      <c r="O660" s="253" t="s">
        <v>1321</v>
      </c>
      <c r="P660" s="656">
        <v>44650</v>
      </c>
      <c r="Q660" s="657"/>
      <c r="R660" s="657"/>
      <c r="S660" s="253">
        <v>6</v>
      </c>
      <c r="T660" s="658"/>
      <c r="U660" s="659"/>
      <c r="V660" s="658"/>
      <c r="W660" s="659"/>
      <c r="X660" s="658"/>
      <c r="Y660" s="659"/>
      <c r="Z660" s="658"/>
      <c r="AA660" s="659"/>
      <c r="AB660" s="658"/>
      <c r="AC660" s="660"/>
      <c r="AD660" s="682">
        <v>44585973000105</v>
      </c>
      <c r="AE660" s="944" t="s">
        <v>1747</v>
      </c>
      <c r="AF660" s="661" t="s">
        <v>1745</v>
      </c>
      <c r="AG660" s="662" t="s">
        <v>1432</v>
      </c>
      <c r="AH660" s="662" t="s">
        <v>2119</v>
      </c>
      <c r="AI660" s="662">
        <v>5000</v>
      </c>
      <c r="AJ660" s="662">
        <v>5000</v>
      </c>
      <c r="AK660" s="662">
        <v>5000</v>
      </c>
      <c r="AL660" s="658">
        <v>0.01</v>
      </c>
      <c r="AM660" s="658">
        <v>0</v>
      </c>
      <c r="AN660" s="659" t="s">
        <v>2127</v>
      </c>
      <c r="AO660" s="253" t="s">
        <v>34</v>
      </c>
      <c r="AP660" s="944" t="s">
        <v>1746</v>
      </c>
      <c r="AQ660" s="663" t="s">
        <v>679</v>
      </c>
      <c r="AR660" s="658">
        <v>0</v>
      </c>
      <c r="AS660" s="658">
        <v>0</v>
      </c>
      <c r="AT660" s="658" t="s">
        <v>1417</v>
      </c>
      <c r="AU660" s="658" t="s">
        <v>2751</v>
      </c>
      <c r="AX660"/>
      <c r="AY660"/>
      <c r="BA660"/>
      <c r="BB660"/>
      <c r="BC660"/>
      <c r="BD660"/>
      <c r="BE660"/>
      <c r="BF660"/>
      <c r="BG660"/>
      <c r="BH660"/>
      <c r="BI660"/>
      <c r="BJ660"/>
      <c r="BR660"/>
      <c r="BS660"/>
      <c r="BT660"/>
      <c r="BU660"/>
      <c r="BX660"/>
      <c r="BY660"/>
      <c r="CA660"/>
    </row>
    <row r="661" spans="2:79" ht="18.75">
      <c r="B661" s="252" t="s">
        <v>1589</v>
      </c>
      <c r="C661" s="251">
        <v>34429929000152</v>
      </c>
      <c r="D661" s="252" t="s">
        <v>14</v>
      </c>
      <c r="E661" s="252" t="s">
        <v>1417</v>
      </c>
      <c r="F661" s="252" t="s">
        <v>1417</v>
      </c>
      <c r="G661" s="253" t="s">
        <v>1417</v>
      </c>
      <c r="H661" s="253" t="s">
        <v>34</v>
      </c>
      <c r="I661" s="253" t="s">
        <v>1417</v>
      </c>
      <c r="J661" s="253" t="s">
        <v>1417</v>
      </c>
      <c r="K661" s="253" t="s">
        <v>1417</v>
      </c>
      <c r="L661" s="655"/>
      <c r="M661" s="655" t="s">
        <v>34</v>
      </c>
      <c r="N661" s="253" t="s">
        <v>3254</v>
      </c>
      <c r="O661" s="253" t="s">
        <v>1321</v>
      </c>
      <c r="P661" s="656">
        <v>44102</v>
      </c>
      <c r="Q661" s="657">
        <v>792.77469919999999</v>
      </c>
      <c r="R661" s="657">
        <v>264.21833342806298</v>
      </c>
      <c r="S661" s="253">
        <v>32</v>
      </c>
      <c r="T661" s="658"/>
      <c r="U661" s="659"/>
      <c r="V661" s="658">
        <v>-0.10103855045692023</v>
      </c>
      <c r="W661" s="659">
        <v>-0.78358528828859575</v>
      </c>
      <c r="X661" s="658">
        <v>-0.22558110952492816</v>
      </c>
      <c r="Y661" s="659">
        <v>-1.1682828915973231</v>
      </c>
      <c r="Z661" s="658"/>
      <c r="AA661" s="659"/>
      <c r="AB661" s="658">
        <v>0.20228247624332599</v>
      </c>
      <c r="AC661" s="660">
        <v>-1.1369371394636392</v>
      </c>
      <c r="AD661" s="682">
        <v>0</v>
      </c>
      <c r="AE661" s="944" t="s">
        <v>1894</v>
      </c>
      <c r="AF661" s="661" t="s">
        <v>1745</v>
      </c>
      <c r="AG661" s="662" t="s">
        <v>1432</v>
      </c>
      <c r="AH661" s="662" t="s">
        <v>1801</v>
      </c>
      <c r="AI661" s="662">
        <v>0</v>
      </c>
      <c r="AJ661" s="662">
        <v>0</v>
      </c>
      <c r="AK661" s="662">
        <v>0</v>
      </c>
      <c r="AL661" s="658">
        <v>2.3999999999999998E-3</v>
      </c>
      <c r="AM661" s="658">
        <v>0</v>
      </c>
      <c r="AN661" s="659" t="s">
        <v>34</v>
      </c>
      <c r="AO661" s="253" t="s">
        <v>34</v>
      </c>
      <c r="AP661" s="944" t="s">
        <v>1731</v>
      </c>
      <c r="AQ661" s="663" t="s">
        <v>687</v>
      </c>
      <c r="AR661" s="658">
        <v>0</v>
      </c>
      <c r="AS661" s="658">
        <v>0</v>
      </c>
      <c r="AT661" s="658" t="s">
        <v>1417</v>
      </c>
      <c r="AU661" s="658" t="s">
        <v>2751</v>
      </c>
      <c r="AX661"/>
      <c r="AY661"/>
      <c r="BA661"/>
      <c r="BB661"/>
      <c r="BC661"/>
      <c r="BD661"/>
      <c r="BE661"/>
      <c r="BF661"/>
      <c r="BG661"/>
      <c r="BH661"/>
      <c r="BI661"/>
      <c r="BJ661"/>
      <c r="BR661"/>
      <c r="BS661"/>
      <c r="BT661"/>
      <c r="BU661"/>
      <c r="BX661"/>
      <c r="BY661"/>
      <c r="CA661"/>
    </row>
    <row r="662" spans="2:79" ht="18.75">
      <c r="B662" s="252" t="s">
        <v>922</v>
      </c>
      <c r="C662" s="251">
        <v>17251743000137</v>
      </c>
      <c r="D662" s="252" t="s">
        <v>11</v>
      </c>
      <c r="E662" s="252" t="s">
        <v>620</v>
      </c>
      <c r="F662" s="252" t="s">
        <v>663</v>
      </c>
      <c r="G662" s="253" t="s">
        <v>738</v>
      </c>
      <c r="H662" s="253" t="s">
        <v>34</v>
      </c>
      <c r="I662" s="253" t="s">
        <v>1417</v>
      </c>
      <c r="J662" s="253" t="s">
        <v>608</v>
      </c>
      <c r="K662" s="253" t="s">
        <v>48</v>
      </c>
      <c r="L662" s="655"/>
      <c r="M662" s="655" t="s">
        <v>34</v>
      </c>
      <c r="N662" s="253" t="s">
        <v>3255</v>
      </c>
      <c r="O662" s="253" t="s">
        <v>1321</v>
      </c>
      <c r="P662" s="656">
        <v>41580</v>
      </c>
      <c r="Q662" s="657">
        <v>702.65731500000004</v>
      </c>
      <c r="R662" s="657">
        <v>689.94034016599198</v>
      </c>
      <c r="S662" s="253">
        <v>91</v>
      </c>
      <c r="T662" s="658">
        <v>1.9507752995858052E-2</v>
      </c>
      <c r="U662" s="659">
        <v>0.97546666387882586</v>
      </c>
      <c r="V662" s="658">
        <v>0.1450420668577721</v>
      </c>
      <c r="W662" s="659">
        <v>1.1248462023530241</v>
      </c>
      <c r="X662" s="658">
        <v>0.2376050148171609</v>
      </c>
      <c r="Y662" s="659">
        <v>1.2305546078446878</v>
      </c>
      <c r="Z662" s="658">
        <v>0.28802955416110887</v>
      </c>
      <c r="AA662" s="659">
        <v>1.3005332255933777</v>
      </c>
      <c r="AB662" s="658">
        <v>4.0599040451958241E-3</v>
      </c>
      <c r="AC662" s="660">
        <v>3.9651571149897156</v>
      </c>
      <c r="AD662" s="682">
        <v>0</v>
      </c>
      <c r="AE662" s="944" t="s">
        <v>1884</v>
      </c>
      <c r="AF662" s="661" t="s">
        <v>1745</v>
      </c>
      <c r="AG662" s="662" t="s">
        <v>1432</v>
      </c>
      <c r="AH662" s="662" t="s">
        <v>1730</v>
      </c>
      <c r="AI662" s="662">
        <v>1000</v>
      </c>
      <c r="AJ662" s="662">
        <v>100</v>
      </c>
      <c r="AK662" s="662">
        <v>1000</v>
      </c>
      <c r="AL662" s="658">
        <v>8.0000000000000002E-3</v>
      </c>
      <c r="AM662" s="658">
        <v>0.2</v>
      </c>
      <c r="AN662" s="659" t="s">
        <v>64</v>
      </c>
      <c r="AO662" s="253" t="s">
        <v>34</v>
      </c>
      <c r="AP662" s="944" t="s">
        <v>1746</v>
      </c>
      <c r="AQ662" s="663" t="s">
        <v>671</v>
      </c>
      <c r="AR662" s="658">
        <v>2.3466666666666701E-3</v>
      </c>
      <c r="AS662" s="658">
        <v>2.3466666666666701E-3</v>
      </c>
      <c r="AT662" s="658" t="s">
        <v>1417</v>
      </c>
      <c r="AU662" s="658" t="s">
        <v>2751</v>
      </c>
      <c r="AX662"/>
      <c r="AY662"/>
      <c r="BA662"/>
      <c r="BB662"/>
      <c r="BC662"/>
      <c r="BD662"/>
      <c r="BE662"/>
      <c r="BF662"/>
      <c r="BG662"/>
      <c r="BH662"/>
      <c r="BI662"/>
      <c r="BJ662"/>
      <c r="BR662"/>
      <c r="BS662"/>
      <c r="BT662"/>
      <c r="BU662"/>
      <c r="BX662"/>
      <c r="BY662"/>
      <c r="CA662"/>
    </row>
    <row r="663" spans="2:79" ht="18.75">
      <c r="B663" s="252" t="s">
        <v>482</v>
      </c>
      <c r="C663" s="251">
        <v>40905548000103</v>
      </c>
      <c r="D663" s="252" t="s">
        <v>11</v>
      </c>
      <c r="E663" s="252" t="s">
        <v>620</v>
      </c>
      <c r="F663" s="252" t="s">
        <v>685</v>
      </c>
      <c r="G663" s="253" t="s">
        <v>738</v>
      </c>
      <c r="H663" s="253" t="s">
        <v>34</v>
      </c>
      <c r="I663" s="253" t="s">
        <v>1319</v>
      </c>
      <c r="J663" s="253" t="s">
        <v>608</v>
      </c>
      <c r="K663" s="253" t="s">
        <v>48</v>
      </c>
      <c r="L663" s="655"/>
      <c r="M663" s="655" t="s">
        <v>34</v>
      </c>
      <c r="N663" s="253" t="s">
        <v>3256</v>
      </c>
      <c r="O663" s="253" t="s">
        <v>1321</v>
      </c>
      <c r="P663" s="656">
        <v>44282</v>
      </c>
      <c r="Q663" s="657">
        <v>47.879582929999998</v>
      </c>
      <c r="R663" s="657">
        <v>41.018504402429159</v>
      </c>
      <c r="S663" s="253">
        <v>181</v>
      </c>
      <c r="T663" s="658">
        <v>2.3297391534975231E-2</v>
      </c>
      <c r="U663" s="659">
        <v>1.1649639403639316</v>
      </c>
      <c r="V663" s="658">
        <v>0.16101012608761001</v>
      </c>
      <c r="W663" s="659">
        <v>1.2486834529711115</v>
      </c>
      <c r="X663" s="658"/>
      <c r="Y663" s="659"/>
      <c r="Z663" s="658"/>
      <c r="AA663" s="659"/>
      <c r="AB663" s="658">
        <v>5.4950370693839078E-3</v>
      </c>
      <c r="AC663" s="660">
        <v>5.8354868649533698</v>
      </c>
      <c r="AD663" s="682">
        <v>0</v>
      </c>
      <c r="AE663" s="944" t="s">
        <v>1884</v>
      </c>
      <c r="AF663" s="661" t="s">
        <v>1745</v>
      </c>
      <c r="AG663" s="662" t="s">
        <v>1432</v>
      </c>
      <c r="AH663" s="662" t="s">
        <v>1730</v>
      </c>
      <c r="AI663" s="662">
        <v>1000</v>
      </c>
      <c r="AJ663" s="662">
        <v>100</v>
      </c>
      <c r="AK663" s="662">
        <v>1000</v>
      </c>
      <c r="AL663" s="658">
        <v>0.01</v>
      </c>
      <c r="AM663" s="658">
        <v>0.15</v>
      </c>
      <c r="AN663" s="659" t="s">
        <v>34</v>
      </c>
      <c r="AO663" s="253" t="s">
        <v>34</v>
      </c>
      <c r="AP663" s="944" t="s">
        <v>1746</v>
      </c>
      <c r="AQ663" s="663" t="s">
        <v>671</v>
      </c>
      <c r="AR663" s="658">
        <v>2.13333333333333E-3</v>
      </c>
      <c r="AS663" s="658">
        <v>2.13333333333333E-3</v>
      </c>
      <c r="AT663" s="658" t="s">
        <v>1417</v>
      </c>
      <c r="AU663" s="658" t="s">
        <v>2751</v>
      </c>
      <c r="AX663"/>
      <c r="AY663"/>
      <c r="BA663"/>
      <c r="BB663"/>
      <c r="BC663"/>
      <c r="BD663"/>
      <c r="BE663"/>
      <c r="BF663"/>
      <c r="BG663"/>
      <c r="BH663"/>
      <c r="BI663"/>
      <c r="BJ663"/>
      <c r="BR663"/>
      <c r="BS663"/>
      <c r="BT663"/>
      <c r="BU663"/>
      <c r="BX663"/>
      <c r="BY663"/>
      <c r="CA663"/>
    </row>
    <row r="664" spans="2:79" ht="18.75">
      <c r="B664" s="252" t="s">
        <v>923</v>
      </c>
      <c r="C664" s="251">
        <v>22652091000182</v>
      </c>
      <c r="D664" s="252" t="s">
        <v>11</v>
      </c>
      <c r="E664" s="252" t="s">
        <v>620</v>
      </c>
      <c r="F664" s="252" t="s">
        <v>672</v>
      </c>
      <c r="G664" s="253" t="s">
        <v>738</v>
      </c>
      <c r="H664" s="253" t="s">
        <v>34</v>
      </c>
      <c r="I664" s="253" t="s">
        <v>1304</v>
      </c>
      <c r="J664" s="253" t="s">
        <v>608</v>
      </c>
      <c r="K664" s="253" t="s">
        <v>48</v>
      </c>
      <c r="L664" s="655"/>
      <c r="M664" s="655" t="s">
        <v>34</v>
      </c>
      <c r="N664" s="253" t="s">
        <v>3257</v>
      </c>
      <c r="O664" s="253" t="s">
        <v>1321</v>
      </c>
      <c r="P664" s="656">
        <v>42356</v>
      </c>
      <c r="Q664" s="657">
        <v>1319.0682979999999</v>
      </c>
      <c r="R664" s="657">
        <v>1445.4538497999999</v>
      </c>
      <c r="S664" s="253">
        <v>121</v>
      </c>
      <c r="T664" s="658">
        <v>1.1401369028691599E-2</v>
      </c>
      <c r="U664" s="659">
        <v>0.57011463147142316</v>
      </c>
      <c r="V664" s="658">
        <v>0.12611534965668469</v>
      </c>
      <c r="W664" s="659">
        <v>0.97806364176300298</v>
      </c>
      <c r="X664" s="658">
        <v>0.27126668839678469</v>
      </c>
      <c r="Y664" s="659">
        <v>1.4048881654215128</v>
      </c>
      <c r="Z664" s="658">
        <v>0.3948726713590256</v>
      </c>
      <c r="AA664" s="659">
        <v>1.7829594969062679</v>
      </c>
      <c r="AB664" s="658">
        <v>8.1323707383236226E-3</v>
      </c>
      <c r="AC664" s="660">
        <v>-0.34781490922125946</v>
      </c>
      <c r="AD664" s="682">
        <v>0</v>
      </c>
      <c r="AE664" s="944" t="s">
        <v>1884</v>
      </c>
      <c r="AF664" s="661" t="s">
        <v>1745</v>
      </c>
      <c r="AG664" s="662" t="s">
        <v>1432</v>
      </c>
      <c r="AH664" s="662" t="s">
        <v>1730</v>
      </c>
      <c r="AI664" s="662">
        <v>1000</v>
      </c>
      <c r="AJ664" s="662">
        <v>100</v>
      </c>
      <c r="AK664" s="662">
        <v>1000</v>
      </c>
      <c r="AL664" s="658">
        <v>0.01</v>
      </c>
      <c r="AM664" s="658">
        <v>0</v>
      </c>
      <c r="AN664" s="659" t="s">
        <v>2141</v>
      </c>
      <c r="AO664" s="253" t="s">
        <v>34</v>
      </c>
      <c r="AP664" s="944" t="s">
        <v>1746</v>
      </c>
      <c r="AQ664" s="663" t="s">
        <v>671</v>
      </c>
      <c r="AR664" s="658">
        <v>3.0000000000000001E-3</v>
      </c>
      <c r="AS664" s="658">
        <v>3.0000000000000001E-3</v>
      </c>
      <c r="AT664" s="658" t="s">
        <v>1417</v>
      </c>
      <c r="AU664" s="658" t="s">
        <v>2751</v>
      </c>
      <c r="AX664"/>
      <c r="AY664"/>
      <c r="BA664"/>
      <c r="BB664"/>
      <c r="BC664"/>
      <c r="BD664"/>
      <c r="BE664"/>
      <c r="BF664"/>
      <c r="BG664"/>
      <c r="BH664"/>
      <c r="BI664"/>
      <c r="BJ664"/>
      <c r="BR664"/>
      <c r="BS664"/>
      <c r="BT664"/>
      <c r="BU664"/>
      <c r="BX664"/>
      <c r="BY664"/>
      <c r="CA664"/>
    </row>
    <row r="665" spans="2:79" ht="18.75">
      <c r="B665" s="252" t="s">
        <v>483</v>
      </c>
      <c r="C665" s="251">
        <v>31353316000190</v>
      </c>
      <c r="D665" s="252" t="s">
        <v>11</v>
      </c>
      <c r="E665" s="252" t="s">
        <v>620</v>
      </c>
      <c r="F665" s="252" t="s">
        <v>663</v>
      </c>
      <c r="G665" s="253" t="s">
        <v>738</v>
      </c>
      <c r="H665" s="253" t="s">
        <v>34</v>
      </c>
      <c r="I665" s="253" t="s">
        <v>1417</v>
      </c>
      <c r="J665" s="253" t="s">
        <v>608</v>
      </c>
      <c r="K665" s="253" t="s">
        <v>48</v>
      </c>
      <c r="L665" s="655"/>
      <c r="M665" s="655" t="s">
        <v>34</v>
      </c>
      <c r="N665" s="253" t="s">
        <v>3258</v>
      </c>
      <c r="O665" s="253" t="s">
        <v>1321</v>
      </c>
      <c r="P665" s="656">
        <v>43526</v>
      </c>
      <c r="Q665" s="657">
        <v>12.164030690000001</v>
      </c>
      <c r="R665" s="657">
        <v>11.050697836305215</v>
      </c>
      <c r="S665" s="253">
        <v>121</v>
      </c>
      <c r="T665" s="658">
        <v>2.1666642470762332E-2</v>
      </c>
      <c r="U665" s="659">
        <v>1.0834198819770418</v>
      </c>
      <c r="V665" s="658">
        <v>0.14654341585836228</v>
      </c>
      <c r="W665" s="659">
        <v>1.1364896293828965</v>
      </c>
      <c r="X665" s="658">
        <v>0.2364254537744952</v>
      </c>
      <c r="Y665" s="659">
        <v>1.2244456699613553</v>
      </c>
      <c r="Z665" s="658">
        <v>0.28050384467840606</v>
      </c>
      <c r="AA665" s="659">
        <v>1.2665525625432812</v>
      </c>
      <c r="AB665" s="658">
        <v>7.8425456389654054E-4</v>
      </c>
      <c r="AC665" s="660">
        <v>22.44106342732826</v>
      </c>
      <c r="AD665" s="682">
        <v>0</v>
      </c>
      <c r="AE665" s="944" t="s">
        <v>1884</v>
      </c>
      <c r="AF665" s="661" t="s">
        <v>1745</v>
      </c>
      <c r="AG665" s="662" t="s">
        <v>1432</v>
      </c>
      <c r="AH665" s="662" t="s">
        <v>1730</v>
      </c>
      <c r="AI665" s="662">
        <v>5000</v>
      </c>
      <c r="AJ665" s="662">
        <v>1000</v>
      </c>
      <c r="AK665" s="662">
        <v>1000</v>
      </c>
      <c r="AL665" s="658">
        <v>9.1999999999999998E-3</v>
      </c>
      <c r="AM665" s="658">
        <v>0.2</v>
      </c>
      <c r="AN665" s="659" t="s">
        <v>64</v>
      </c>
      <c r="AO665" s="253" t="s">
        <v>34</v>
      </c>
      <c r="AP665" s="944" t="s">
        <v>1746</v>
      </c>
      <c r="AQ665" s="663" t="s">
        <v>671</v>
      </c>
      <c r="AR665" s="658">
        <v>1.34933333333333E-3</v>
      </c>
      <c r="AS665" s="658">
        <v>1.34933333333333E-3</v>
      </c>
      <c r="AT665" s="658" t="s">
        <v>1417</v>
      </c>
      <c r="AU665" s="658" t="s">
        <v>2751</v>
      </c>
      <c r="AX665"/>
      <c r="AY665"/>
      <c r="BA665"/>
      <c r="BB665"/>
      <c r="BC665"/>
      <c r="BD665"/>
      <c r="BE665"/>
      <c r="BF665"/>
      <c r="BG665"/>
      <c r="BH665"/>
      <c r="BI665"/>
      <c r="BJ665"/>
      <c r="BR665"/>
      <c r="BS665"/>
      <c r="BT665"/>
      <c r="BU665"/>
      <c r="BX665"/>
      <c r="BY665"/>
      <c r="CA665"/>
    </row>
    <row r="666" spans="2:79" ht="18.75">
      <c r="B666" s="252" t="s">
        <v>1292</v>
      </c>
      <c r="C666" s="251">
        <v>46420448000165</v>
      </c>
      <c r="D666" s="252" t="s">
        <v>13</v>
      </c>
      <c r="E666" s="252" t="s">
        <v>616</v>
      </c>
      <c r="F666" s="252" t="s">
        <v>619</v>
      </c>
      <c r="G666" s="253" t="s">
        <v>34</v>
      </c>
      <c r="H666" s="253" t="s">
        <v>1338</v>
      </c>
      <c r="I666" s="253" t="s">
        <v>34</v>
      </c>
      <c r="J666" s="253" t="s">
        <v>611</v>
      </c>
      <c r="K666" s="253" t="s">
        <v>48</v>
      </c>
      <c r="L666" s="655"/>
      <c r="M666" s="655" t="s">
        <v>34</v>
      </c>
      <c r="N666" s="253" t="s">
        <v>3259</v>
      </c>
      <c r="O666" s="253" t="s">
        <v>1321</v>
      </c>
      <c r="P666" s="656">
        <v>44722</v>
      </c>
      <c r="Q666" s="657"/>
      <c r="R666" s="657"/>
      <c r="S666" s="253">
        <v>182</v>
      </c>
      <c r="T666" s="658"/>
      <c r="U666" s="659"/>
      <c r="V666" s="658"/>
      <c r="W666" s="659"/>
      <c r="X666" s="658"/>
      <c r="Y666" s="659"/>
      <c r="Z666" s="658"/>
      <c r="AA666" s="659"/>
      <c r="AB666" s="658"/>
      <c r="AC666" s="660"/>
      <c r="AD666" s="682">
        <v>9215250000113</v>
      </c>
      <c r="AE666" s="944" t="s">
        <v>1997</v>
      </c>
      <c r="AF666" s="661" t="s">
        <v>1745</v>
      </c>
      <c r="AG666" s="662" t="s">
        <v>1432</v>
      </c>
      <c r="AH666" s="662" t="s">
        <v>1801</v>
      </c>
      <c r="AI666" s="662">
        <v>100000</v>
      </c>
      <c r="AJ666" s="662">
        <v>100000</v>
      </c>
      <c r="AK666" s="662">
        <v>50000</v>
      </c>
      <c r="AL666" s="658">
        <v>0.02</v>
      </c>
      <c r="AM666" s="658">
        <v>0.2</v>
      </c>
      <c r="AN666" s="659" t="s">
        <v>2127</v>
      </c>
      <c r="AO666" s="253" t="s">
        <v>34</v>
      </c>
      <c r="AP666" s="944" t="s">
        <v>1746</v>
      </c>
      <c r="AQ666" s="663" t="s">
        <v>679</v>
      </c>
      <c r="AR666" s="658">
        <v>6.6660000000000001E-3</v>
      </c>
      <c r="AS666" s="658">
        <v>6.6660000000000001E-3</v>
      </c>
      <c r="AT666" s="658" t="s">
        <v>1417</v>
      </c>
      <c r="AU666" s="658" t="s">
        <v>2751</v>
      </c>
      <c r="AX666"/>
      <c r="AY666"/>
      <c r="BA666"/>
      <c r="BB666"/>
      <c r="BC666"/>
      <c r="BD666"/>
      <c r="BE666"/>
      <c r="BF666"/>
      <c r="BG666"/>
      <c r="BH666"/>
      <c r="BI666"/>
      <c r="BJ666"/>
      <c r="BR666"/>
      <c r="BS666"/>
      <c r="BT666"/>
      <c r="BU666"/>
      <c r="BX666"/>
      <c r="BY666"/>
      <c r="CA666"/>
    </row>
    <row r="667" spans="2:79" ht="18.75">
      <c r="B667" s="252" t="s">
        <v>1293</v>
      </c>
      <c r="C667" s="251">
        <v>37751366000102</v>
      </c>
      <c r="D667" s="252" t="s">
        <v>14</v>
      </c>
      <c r="E667" s="252" t="s">
        <v>607</v>
      </c>
      <c r="F667" s="252" t="s">
        <v>1417</v>
      </c>
      <c r="G667" s="253" t="s">
        <v>1417</v>
      </c>
      <c r="H667" s="253" t="s">
        <v>34</v>
      </c>
      <c r="I667" s="253" t="s">
        <v>34</v>
      </c>
      <c r="J667" s="253" t="s">
        <v>608</v>
      </c>
      <c r="K667" s="253" t="s">
        <v>48</v>
      </c>
      <c r="L667" s="655"/>
      <c r="M667" s="655" t="s">
        <v>34</v>
      </c>
      <c r="N667" s="253" t="s">
        <v>3260</v>
      </c>
      <c r="O667" s="253" t="s">
        <v>1321</v>
      </c>
      <c r="P667" s="656">
        <v>43993</v>
      </c>
      <c r="Q667" s="657">
        <v>9.3062239400000006</v>
      </c>
      <c r="R667" s="657">
        <v>9.5092094329838712</v>
      </c>
      <c r="S667" s="253">
        <v>32</v>
      </c>
      <c r="T667" s="658">
        <v>-6.9730752252630257E-3</v>
      </c>
      <c r="U667" s="659">
        <v>-0.34868200496528939</v>
      </c>
      <c r="V667" s="658">
        <v>-3.4812291395951545E-2</v>
      </c>
      <c r="W667" s="659">
        <v>-0.26998011418536705</v>
      </c>
      <c r="X667" s="658">
        <v>-0.13779234952347286</v>
      </c>
      <c r="Y667" s="659">
        <v>-0.71362555526167648</v>
      </c>
      <c r="Z667" s="658"/>
      <c r="AA667" s="659"/>
      <c r="AB667" s="658">
        <v>0.23529959624824834</v>
      </c>
      <c r="AC667" s="660">
        <v>-0.69594764909826723</v>
      </c>
      <c r="AD667" s="682">
        <v>37487612000160</v>
      </c>
      <c r="AE667" s="944" t="s">
        <v>2043</v>
      </c>
      <c r="AF667" s="661" t="s">
        <v>1783</v>
      </c>
      <c r="AG667" s="662" t="s">
        <v>736</v>
      </c>
      <c r="AH667" s="662" t="s">
        <v>1734</v>
      </c>
      <c r="AI667" s="662">
        <v>500</v>
      </c>
      <c r="AJ667" s="662">
        <v>100</v>
      </c>
      <c r="AK667" s="662">
        <v>500</v>
      </c>
      <c r="AL667" s="658">
        <v>0</v>
      </c>
      <c r="AM667" s="658">
        <v>0</v>
      </c>
      <c r="AN667" s="659" t="s">
        <v>666</v>
      </c>
      <c r="AO667" s="253" t="s">
        <v>34</v>
      </c>
      <c r="AP667" s="944" t="s">
        <v>1731</v>
      </c>
      <c r="AQ667" s="663" t="s">
        <v>659</v>
      </c>
      <c r="AR667" s="658">
        <v>5.0133333333333297E-3</v>
      </c>
      <c r="AS667" s="658">
        <v>5.0133333333333297E-3</v>
      </c>
      <c r="AT667" s="658" t="s">
        <v>1417</v>
      </c>
      <c r="AU667" s="658" t="s">
        <v>2751</v>
      </c>
      <c r="AX667"/>
      <c r="AY667"/>
      <c r="BA667"/>
      <c r="BB667"/>
      <c r="BC667"/>
      <c r="BD667"/>
      <c r="BE667"/>
      <c r="BF667"/>
      <c r="BG667"/>
      <c r="BH667"/>
      <c r="BI667"/>
      <c r="BJ667"/>
      <c r="BR667"/>
      <c r="BS667"/>
      <c r="BT667"/>
      <c r="BU667"/>
      <c r="BX667"/>
      <c r="BY667"/>
      <c r="CA667"/>
    </row>
    <row r="668" spans="2:79" ht="18.75">
      <c r="B668" s="252" t="s">
        <v>1294</v>
      </c>
      <c r="C668" s="251">
        <v>37487351000189</v>
      </c>
      <c r="D668" s="252" t="s">
        <v>14</v>
      </c>
      <c r="E668" s="252" t="s">
        <v>614</v>
      </c>
      <c r="F668" s="252" t="s">
        <v>1417</v>
      </c>
      <c r="G668" s="253" t="s">
        <v>1417</v>
      </c>
      <c r="H668" s="253" t="s">
        <v>1338</v>
      </c>
      <c r="I668" s="253" t="s">
        <v>34</v>
      </c>
      <c r="J668" s="253" t="s">
        <v>608</v>
      </c>
      <c r="K668" s="253" t="s">
        <v>48</v>
      </c>
      <c r="L668" s="655"/>
      <c r="M668" s="655" t="s">
        <v>34</v>
      </c>
      <c r="N668" s="253" t="s">
        <v>3261</v>
      </c>
      <c r="O668" s="253" t="s">
        <v>1321</v>
      </c>
      <c r="P668" s="656">
        <v>43993</v>
      </c>
      <c r="Q668" s="657">
        <v>42.516782970000001</v>
      </c>
      <c r="R668" s="657">
        <v>41.440887583266132</v>
      </c>
      <c r="S668" s="253">
        <v>32</v>
      </c>
      <c r="T668" s="658">
        <v>1.7376723548203188E-2</v>
      </c>
      <c r="U668" s="659">
        <v>0.86890655998716837</v>
      </c>
      <c r="V668" s="658">
        <v>4.6847208381681549E-2</v>
      </c>
      <c r="W668" s="659">
        <v>0.36331462713261475</v>
      </c>
      <c r="X668" s="658">
        <v>-6.0669830240278722E-2</v>
      </c>
      <c r="Y668" s="659">
        <v>-0.31420860042360466</v>
      </c>
      <c r="Z668" s="658"/>
      <c r="AA668" s="659"/>
      <c r="AB668" s="658">
        <v>0.2311887191026184</v>
      </c>
      <c r="AC668" s="660">
        <v>-0.35510686414014131</v>
      </c>
      <c r="AD668" s="682">
        <v>37467645000149</v>
      </c>
      <c r="AE668" s="944" t="s">
        <v>2043</v>
      </c>
      <c r="AF668" s="661" t="s">
        <v>1783</v>
      </c>
      <c r="AG668" s="662" t="s">
        <v>736</v>
      </c>
      <c r="AH668" s="662" t="s">
        <v>1734</v>
      </c>
      <c r="AI668" s="662">
        <v>500</v>
      </c>
      <c r="AJ668" s="662">
        <v>100</v>
      </c>
      <c r="AK668" s="662">
        <v>500</v>
      </c>
      <c r="AL668" s="658">
        <v>0</v>
      </c>
      <c r="AM668" s="658">
        <v>0</v>
      </c>
      <c r="AN668" s="659" t="s">
        <v>64</v>
      </c>
      <c r="AO668" s="253" t="s">
        <v>34</v>
      </c>
      <c r="AP668" s="944" t="s">
        <v>1746</v>
      </c>
      <c r="AQ668" s="663" t="s">
        <v>668</v>
      </c>
      <c r="AR668" s="658">
        <v>5.0133333333333297E-3</v>
      </c>
      <c r="AS668" s="658">
        <v>5.0133333333333297E-3</v>
      </c>
      <c r="AT668" s="658" t="s">
        <v>1417</v>
      </c>
      <c r="AU668" s="658" t="s">
        <v>2751</v>
      </c>
      <c r="AX668"/>
      <c r="AY668"/>
      <c r="BA668"/>
      <c r="BB668"/>
      <c r="BC668"/>
      <c r="BD668"/>
      <c r="BE668"/>
      <c r="BF668"/>
      <c r="BG668"/>
      <c r="BH668"/>
      <c r="BI668"/>
      <c r="BJ668"/>
      <c r="BR668"/>
      <c r="BS668"/>
      <c r="BT668"/>
      <c r="BU668"/>
      <c r="BX668"/>
      <c r="BY668"/>
      <c r="CA668"/>
    </row>
    <row r="669" spans="2:79" ht="18.75">
      <c r="B669" s="252" t="s">
        <v>190</v>
      </c>
      <c r="C669" s="251">
        <v>34626199000180</v>
      </c>
      <c r="D669" s="252" t="s">
        <v>13</v>
      </c>
      <c r="E669" s="252" t="s">
        <v>616</v>
      </c>
      <c r="F669" s="252" t="s">
        <v>610</v>
      </c>
      <c r="G669" s="253" t="s">
        <v>34</v>
      </c>
      <c r="H669" s="253" t="s">
        <v>1337</v>
      </c>
      <c r="I669" s="253" t="s">
        <v>34</v>
      </c>
      <c r="J669" s="253" t="s">
        <v>1417</v>
      </c>
      <c r="K669" s="253" t="s">
        <v>48</v>
      </c>
      <c r="L669" s="655"/>
      <c r="M669" s="655" t="s">
        <v>34</v>
      </c>
      <c r="N669" s="253" t="s">
        <v>3262</v>
      </c>
      <c r="O669" s="253" t="s">
        <v>1321</v>
      </c>
      <c r="P669" s="656">
        <v>43740</v>
      </c>
      <c r="Q669" s="657">
        <v>67.417268559999997</v>
      </c>
      <c r="R669" s="657">
        <v>109.99978038853045</v>
      </c>
      <c r="S669" s="253">
        <v>16</v>
      </c>
      <c r="T669" s="658">
        <v>2.2741519139092503E-2</v>
      </c>
      <c r="U669" s="659">
        <v>1.1371680690675714</v>
      </c>
      <c r="V669" s="658">
        <v>9.271297105458598E-2</v>
      </c>
      <c r="W669" s="659">
        <v>0.71901783847220879</v>
      </c>
      <c r="X669" s="658">
        <v>0.14969819829377395</v>
      </c>
      <c r="Y669" s="659">
        <v>0.77528585765836588</v>
      </c>
      <c r="Z669" s="658">
        <v>0.20951708278611836</v>
      </c>
      <c r="AA669" s="659">
        <v>0.9460276681896741</v>
      </c>
      <c r="AB669" s="658">
        <v>6.0728747070255058E-2</v>
      </c>
      <c r="AC669" s="660">
        <v>-0.59660276459002204</v>
      </c>
      <c r="AD669" s="682">
        <v>34626178000164</v>
      </c>
      <c r="AE669" s="944" t="s">
        <v>1991</v>
      </c>
      <c r="AF669" s="661" t="s">
        <v>1769</v>
      </c>
      <c r="AG669" s="662" t="s">
        <v>719</v>
      </c>
      <c r="AH669" s="662" t="s">
        <v>1734</v>
      </c>
      <c r="AI669" s="662">
        <v>20000</v>
      </c>
      <c r="AJ669" s="662">
        <v>5000</v>
      </c>
      <c r="AK669" s="662">
        <v>5000</v>
      </c>
      <c r="AL669" s="658">
        <v>1.9799999999999998E-2</v>
      </c>
      <c r="AM669" s="658">
        <v>0.2</v>
      </c>
      <c r="AN669" s="659" t="s">
        <v>64</v>
      </c>
      <c r="AO669" s="253" t="s">
        <v>34</v>
      </c>
      <c r="AP669" s="944" t="s">
        <v>1746</v>
      </c>
      <c r="AQ669" s="663" t="s">
        <v>668</v>
      </c>
      <c r="AR669" s="658">
        <v>5.3066666666666696E-3</v>
      </c>
      <c r="AS669" s="658">
        <v>5.3066666666666696E-3</v>
      </c>
      <c r="AT669" s="658" t="s">
        <v>1417</v>
      </c>
      <c r="AU669" s="658" t="s">
        <v>2751</v>
      </c>
      <c r="AX669"/>
      <c r="AY669"/>
      <c r="BA669"/>
      <c r="BB669"/>
      <c r="BC669"/>
      <c r="BD669"/>
      <c r="BE669"/>
      <c r="BF669"/>
      <c r="BG669"/>
      <c r="BH669"/>
      <c r="BI669"/>
      <c r="BJ669"/>
      <c r="BR669"/>
      <c r="BS669"/>
      <c r="BT669"/>
      <c r="BU669"/>
      <c r="BX669"/>
      <c r="BY669"/>
      <c r="CA669"/>
    </row>
    <row r="670" spans="2:79" ht="18.75">
      <c r="B670" s="252" t="s">
        <v>924</v>
      </c>
      <c r="C670" s="251">
        <v>44489239000142</v>
      </c>
      <c r="D670" s="252" t="s">
        <v>13</v>
      </c>
      <c r="E670" s="252" t="s">
        <v>615</v>
      </c>
      <c r="F670" s="252" t="s">
        <v>619</v>
      </c>
      <c r="G670" s="253" t="s">
        <v>34</v>
      </c>
      <c r="H670" s="253" t="s">
        <v>1338</v>
      </c>
      <c r="I670" s="253" t="s">
        <v>34</v>
      </c>
      <c r="J670" s="253" t="s">
        <v>1417</v>
      </c>
      <c r="K670" s="253" t="s">
        <v>48</v>
      </c>
      <c r="L670" s="655"/>
      <c r="M670" s="655" t="s">
        <v>1414</v>
      </c>
      <c r="N670" s="253" t="s">
        <v>3263</v>
      </c>
      <c r="O670" s="253" t="s">
        <v>1321</v>
      </c>
      <c r="P670" s="656">
        <v>44651</v>
      </c>
      <c r="Q670" s="657"/>
      <c r="R670" s="657"/>
      <c r="S670" s="253">
        <v>2</v>
      </c>
      <c r="T670" s="658"/>
      <c r="U670" s="659"/>
      <c r="V670" s="658"/>
      <c r="W670" s="659"/>
      <c r="X670" s="658"/>
      <c r="Y670" s="659"/>
      <c r="Z670" s="658"/>
      <c r="AA670" s="659"/>
      <c r="AB670" s="658"/>
      <c r="AC670" s="660"/>
      <c r="AD670" s="682">
        <v>0</v>
      </c>
      <c r="AE670" s="944" t="s">
        <v>2628</v>
      </c>
      <c r="AF670" s="661" t="s">
        <v>1729</v>
      </c>
      <c r="AG670" s="662" t="s">
        <v>1433</v>
      </c>
      <c r="AH670" s="662" t="s">
        <v>1734</v>
      </c>
      <c r="AI670" s="662">
        <v>5000</v>
      </c>
      <c r="AJ670" s="662">
        <v>0</v>
      </c>
      <c r="AK670" s="662">
        <v>5000</v>
      </c>
      <c r="AL670" s="658">
        <v>0.02</v>
      </c>
      <c r="AM670" s="658">
        <v>0.2</v>
      </c>
      <c r="AN670" s="659" t="s">
        <v>64</v>
      </c>
      <c r="AO670" s="253" t="s">
        <v>34</v>
      </c>
      <c r="AP670" s="944" t="s">
        <v>1746</v>
      </c>
      <c r="AQ670" s="663" t="s">
        <v>668</v>
      </c>
      <c r="AR670" s="658">
        <v>3.3333333333333301E-3</v>
      </c>
      <c r="AS670" s="658">
        <v>3.3333333333333301E-3</v>
      </c>
      <c r="AT670" s="658" t="s">
        <v>1417</v>
      </c>
      <c r="AU670" s="658" t="s">
        <v>2751</v>
      </c>
      <c r="AX670"/>
      <c r="AY670"/>
      <c r="BA670"/>
      <c r="BB670"/>
      <c r="BC670"/>
      <c r="BD670"/>
      <c r="BE670"/>
      <c r="BF670"/>
      <c r="BG670"/>
      <c r="BH670"/>
      <c r="BI670"/>
      <c r="BJ670"/>
      <c r="BR670"/>
      <c r="BS670"/>
      <c r="BT670"/>
      <c r="BU670"/>
      <c r="BX670"/>
      <c r="BY670"/>
      <c r="CA670"/>
    </row>
    <row r="671" spans="2:79" ht="18.75">
      <c r="B671" s="252" t="s">
        <v>191</v>
      </c>
      <c r="C671" s="251">
        <v>37532896000160</v>
      </c>
      <c r="D671" s="252" t="s">
        <v>14</v>
      </c>
      <c r="E671" s="252" t="s">
        <v>607</v>
      </c>
      <c r="F671" s="252" t="s">
        <v>1417</v>
      </c>
      <c r="G671" s="253" t="s">
        <v>1417</v>
      </c>
      <c r="H671" s="253" t="s">
        <v>34</v>
      </c>
      <c r="I671" s="253" t="s">
        <v>34</v>
      </c>
      <c r="J671" s="253" t="s">
        <v>608</v>
      </c>
      <c r="K671" s="253" t="s">
        <v>48</v>
      </c>
      <c r="L671" s="655"/>
      <c r="M671" s="655" t="s">
        <v>1414</v>
      </c>
      <c r="N671" s="253" t="s">
        <v>3264</v>
      </c>
      <c r="O671" s="253" t="s">
        <v>1321</v>
      </c>
      <c r="P671" s="656">
        <v>44045</v>
      </c>
      <c r="Q671" s="657">
        <v>10.43654158</v>
      </c>
      <c r="R671" s="657">
        <v>11.04913692362903</v>
      </c>
      <c r="S671" s="253">
        <v>2</v>
      </c>
      <c r="T671" s="658">
        <v>-5.9622831641050422E-2</v>
      </c>
      <c r="U671" s="659">
        <v>-2.9813830780127826</v>
      </c>
      <c r="V671" s="658">
        <v>-0.31164719701629873</v>
      </c>
      <c r="W671" s="659">
        <v>-2.4169206467631343</v>
      </c>
      <c r="X671" s="658">
        <v>-0.49704229990128879</v>
      </c>
      <c r="Y671" s="659">
        <v>-2.5741783813271475</v>
      </c>
      <c r="Z671" s="658"/>
      <c r="AA671" s="659"/>
      <c r="AB671" s="658">
        <v>0.29378131206290209</v>
      </c>
      <c r="AC671" s="660">
        <v>-1.4997247557011089</v>
      </c>
      <c r="AD671" s="682">
        <v>0</v>
      </c>
      <c r="AE671" s="944" t="s">
        <v>2024</v>
      </c>
      <c r="AF671" s="661" t="s">
        <v>1729</v>
      </c>
      <c r="AG671" s="662" t="s">
        <v>1433</v>
      </c>
      <c r="AH671" s="662" t="s">
        <v>1730</v>
      </c>
      <c r="AI671" s="662">
        <v>5000</v>
      </c>
      <c r="AJ671" s="662">
        <v>1000</v>
      </c>
      <c r="AK671" s="662">
        <v>5000</v>
      </c>
      <c r="AL671" s="658">
        <v>0.02</v>
      </c>
      <c r="AM671" s="658">
        <v>0.2</v>
      </c>
      <c r="AN671" s="659" t="s">
        <v>34</v>
      </c>
      <c r="AO671" s="253" t="s">
        <v>34</v>
      </c>
      <c r="AP671" s="944" t="s">
        <v>1731</v>
      </c>
      <c r="AQ671" s="663" t="s">
        <v>665</v>
      </c>
      <c r="AR671" s="658">
        <v>2.66666666666667E-3</v>
      </c>
      <c r="AS671" s="658">
        <v>2.66666666666667E-3</v>
      </c>
      <c r="AT671" s="658" t="s">
        <v>1417</v>
      </c>
      <c r="AU671" s="658" t="s">
        <v>2751</v>
      </c>
      <c r="AX671"/>
      <c r="AY671"/>
      <c r="BA671"/>
      <c r="BB671"/>
      <c r="BC671"/>
      <c r="BD671"/>
      <c r="BE671"/>
      <c r="BF671"/>
      <c r="BG671"/>
      <c r="BH671"/>
      <c r="BI671"/>
      <c r="BJ671"/>
      <c r="BR671"/>
      <c r="BS671"/>
      <c r="BT671"/>
      <c r="BU671"/>
      <c r="BX671"/>
      <c r="BY671"/>
      <c r="CA671"/>
    </row>
    <row r="672" spans="2:79" ht="18.75">
      <c r="B672" s="252" t="s">
        <v>192</v>
      </c>
      <c r="C672" s="251">
        <v>40141528000103</v>
      </c>
      <c r="D672" s="252" t="s">
        <v>14</v>
      </c>
      <c r="E672" s="252" t="s">
        <v>607</v>
      </c>
      <c r="F672" s="252" t="s">
        <v>1417</v>
      </c>
      <c r="G672" s="253" t="s">
        <v>1417</v>
      </c>
      <c r="H672" s="253" t="s">
        <v>34</v>
      </c>
      <c r="I672" s="253" t="s">
        <v>34</v>
      </c>
      <c r="J672" s="253" t="s">
        <v>608</v>
      </c>
      <c r="K672" s="253" t="s">
        <v>48</v>
      </c>
      <c r="L672" s="655"/>
      <c r="M672" s="655" t="s">
        <v>34</v>
      </c>
      <c r="N672" s="253" t="s">
        <v>3265</v>
      </c>
      <c r="O672" s="253" t="s">
        <v>1321</v>
      </c>
      <c r="P672" s="656">
        <v>44195</v>
      </c>
      <c r="Q672" s="657"/>
      <c r="R672" s="657"/>
      <c r="S672" s="253">
        <v>3</v>
      </c>
      <c r="T672" s="658"/>
      <c r="U672" s="659"/>
      <c r="V672" s="658"/>
      <c r="W672" s="659"/>
      <c r="X672" s="658"/>
      <c r="Y672" s="659"/>
      <c r="Z672" s="658"/>
      <c r="AA672" s="659"/>
      <c r="AB672" s="658"/>
      <c r="AC672" s="660"/>
      <c r="AD672" s="682">
        <v>40102156000106</v>
      </c>
      <c r="AE672" s="944" t="s">
        <v>1962</v>
      </c>
      <c r="AF672" s="661" t="s">
        <v>1745</v>
      </c>
      <c r="AG672" s="662" t="s">
        <v>1432</v>
      </c>
      <c r="AH672" s="662" t="s">
        <v>1734</v>
      </c>
      <c r="AI672" s="662">
        <v>500</v>
      </c>
      <c r="AJ672" s="662">
        <v>100</v>
      </c>
      <c r="AK672" s="662">
        <v>500</v>
      </c>
      <c r="AL672" s="658">
        <v>1.9199999999999998E-2</v>
      </c>
      <c r="AM672" s="658">
        <v>0.2</v>
      </c>
      <c r="AN672" s="659" t="s">
        <v>34</v>
      </c>
      <c r="AO672" s="253" t="s">
        <v>34</v>
      </c>
      <c r="AP672" s="944" t="s">
        <v>1731</v>
      </c>
      <c r="AQ672" s="663" t="s">
        <v>668</v>
      </c>
      <c r="AR672" s="658">
        <v>6.4000000000000003E-3</v>
      </c>
      <c r="AS672" s="658">
        <v>6.4000000000000003E-3</v>
      </c>
      <c r="AT672" s="658" t="s">
        <v>1417</v>
      </c>
      <c r="AU672" s="658" t="s">
        <v>2751</v>
      </c>
      <c r="AX672"/>
      <c r="AY672"/>
      <c r="BA672"/>
      <c r="BB672"/>
      <c r="BC672"/>
      <c r="BD672"/>
      <c r="BE672"/>
      <c r="BF672"/>
      <c r="BG672"/>
      <c r="BH672"/>
      <c r="BI672"/>
      <c r="BJ672"/>
      <c r="BR672"/>
      <c r="BS672"/>
      <c r="BT672"/>
      <c r="BU672"/>
      <c r="BX672"/>
      <c r="BY672"/>
      <c r="CA672"/>
    </row>
    <row r="673" spans="2:79" ht="18.75">
      <c r="B673" s="252" t="s">
        <v>193</v>
      </c>
      <c r="C673" s="251">
        <v>40054275000122</v>
      </c>
      <c r="D673" s="252" t="s">
        <v>11</v>
      </c>
      <c r="E673" s="252" t="s">
        <v>620</v>
      </c>
      <c r="F673" s="252" t="s">
        <v>663</v>
      </c>
      <c r="G673" s="253" t="s">
        <v>738</v>
      </c>
      <c r="H673" s="253" t="s">
        <v>34</v>
      </c>
      <c r="I673" s="253" t="s">
        <v>1304</v>
      </c>
      <c r="J673" s="253" t="s">
        <v>608</v>
      </c>
      <c r="K673" s="253" t="s">
        <v>48</v>
      </c>
      <c r="L673" s="655"/>
      <c r="M673" s="655" t="s">
        <v>1414</v>
      </c>
      <c r="N673" s="253" t="s">
        <v>3266</v>
      </c>
      <c r="O673" s="253" t="s">
        <v>1321</v>
      </c>
      <c r="P673" s="656">
        <v>44193</v>
      </c>
      <c r="Q673" s="657">
        <v>0</v>
      </c>
      <c r="R673" s="657">
        <v>0</v>
      </c>
      <c r="S673" s="253">
        <v>0</v>
      </c>
      <c r="T673" s="658"/>
      <c r="U673" s="659"/>
      <c r="V673" s="658"/>
      <c r="W673" s="659"/>
      <c r="X673" s="658"/>
      <c r="Y673" s="659"/>
      <c r="Z673" s="658"/>
      <c r="AA673" s="659"/>
      <c r="AB673" s="658"/>
      <c r="AC673" s="660"/>
      <c r="AD673" s="682">
        <v>0</v>
      </c>
      <c r="AE673" s="944" t="s">
        <v>1962</v>
      </c>
      <c r="AF673" s="661" t="s">
        <v>1745</v>
      </c>
      <c r="AG673" s="662" t="s">
        <v>1432</v>
      </c>
      <c r="AH673" s="662" t="s">
        <v>1734</v>
      </c>
      <c r="AI673" s="662">
        <v>100</v>
      </c>
      <c r="AJ673" s="662">
        <v>100</v>
      </c>
      <c r="AK673" s="662">
        <v>100</v>
      </c>
      <c r="AL673" s="658">
        <v>2.5000000000000001E-3</v>
      </c>
      <c r="AM673" s="658">
        <v>0</v>
      </c>
      <c r="AN673" s="659" t="s">
        <v>34</v>
      </c>
      <c r="AO673" s="253" t="s">
        <v>34</v>
      </c>
      <c r="AP673" s="944" t="s">
        <v>1735</v>
      </c>
      <c r="AQ673" s="663" t="s">
        <v>669</v>
      </c>
      <c r="AR673" s="658">
        <v>3.33333333333333E-4</v>
      </c>
      <c r="AS673" s="658">
        <v>3.33333333333333E-4</v>
      </c>
      <c r="AT673" s="658" t="s">
        <v>1417</v>
      </c>
      <c r="AU673" s="658" t="s">
        <v>2751</v>
      </c>
      <c r="AX673"/>
      <c r="AY673"/>
      <c r="BA673"/>
      <c r="BB673"/>
      <c r="BC673"/>
      <c r="BD673"/>
      <c r="BE673"/>
      <c r="BF673"/>
      <c r="BG673"/>
      <c r="BH673"/>
      <c r="BI673"/>
      <c r="BJ673"/>
      <c r="BR673"/>
      <c r="BS673"/>
      <c r="BT673"/>
      <c r="BU673"/>
      <c r="BX673"/>
      <c r="BY673"/>
      <c r="CA673"/>
    </row>
    <row r="674" spans="2:79" ht="18.75">
      <c r="B674" s="252" t="s">
        <v>194</v>
      </c>
      <c r="C674" s="251">
        <v>40102191000117</v>
      </c>
      <c r="D674" s="252" t="s">
        <v>14</v>
      </c>
      <c r="E674" s="252" t="s">
        <v>614</v>
      </c>
      <c r="F674" s="252" t="s">
        <v>1417</v>
      </c>
      <c r="G674" s="253" t="s">
        <v>1417</v>
      </c>
      <c r="H674" s="253" t="s">
        <v>1338</v>
      </c>
      <c r="I674" s="253" t="s">
        <v>34</v>
      </c>
      <c r="J674" s="253" t="s">
        <v>608</v>
      </c>
      <c r="K674" s="253" t="s">
        <v>48</v>
      </c>
      <c r="L674" s="655"/>
      <c r="M674" s="655" t="s">
        <v>34</v>
      </c>
      <c r="N674" s="253" t="s">
        <v>3267</v>
      </c>
      <c r="O674" s="253" t="s">
        <v>1321</v>
      </c>
      <c r="P674" s="656">
        <v>44193</v>
      </c>
      <c r="Q674" s="657">
        <v>0</v>
      </c>
      <c r="R674" s="657">
        <v>0</v>
      </c>
      <c r="S674" s="253">
        <v>32</v>
      </c>
      <c r="T674" s="658"/>
      <c r="U674" s="659"/>
      <c r="V674" s="658"/>
      <c r="W674" s="659"/>
      <c r="X674" s="658"/>
      <c r="Y674" s="659"/>
      <c r="Z674" s="658"/>
      <c r="AA674" s="659"/>
      <c r="AB674" s="658"/>
      <c r="AC674" s="660"/>
      <c r="AD674" s="682">
        <v>40102156000106</v>
      </c>
      <c r="AE674" s="944" t="s">
        <v>1962</v>
      </c>
      <c r="AF674" s="661" t="s">
        <v>1745</v>
      </c>
      <c r="AG674" s="662" t="s">
        <v>1432</v>
      </c>
      <c r="AH674" s="662" t="s">
        <v>1734</v>
      </c>
      <c r="AI674" s="662">
        <v>500</v>
      </c>
      <c r="AJ674" s="662">
        <v>100</v>
      </c>
      <c r="AK674" s="662">
        <v>500</v>
      </c>
      <c r="AL674" s="658">
        <v>1.9199999999999998E-2</v>
      </c>
      <c r="AM674" s="658">
        <v>0.2</v>
      </c>
      <c r="AN674" s="659" t="s">
        <v>34</v>
      </c>
      <c r="AO674" s="253" t="s">
        <v>34</v>
      </c>
      <c r="AP674" s="944" t="s">
        <v>1746</v>
      </c>
      <c r="AQ674" s="663" t="s">
        <v>668</v>
      </c>
      <c r="AR674" s="658">
        <v>6.4000000000000003E-3</v>
      </c>
      <c r="AS674" s="658">
        <v>6.4000000000000003E-3</v>
      </c>
      <c r="AT674" s="658" t="s">
        <v>1417</v>
      </c>
      <c r="AU674" s="658" t="s">
        <v>2751</v>
      </c>
      <c r="AX674"/>
      <c r="AY674"/>
      <c r="BA674"/>
      <c r="BB674"/>
      <c r="BC674"/>
      <c r="BD674"/>
      <c r="BE674"/>
      <c r="BF674"/>
      <c r="BG674"/>
      <c r="BH674"/>
      <c r="BI674"/>
      <c r="BJ674"/>
      <c r="BR674"/>
      <c r="BS674"/>
      <c r="BT674"/>
      <c r="BU674"/>
      <c r="BX674"/>
      <c r="BY674"/>
      <c r="CA674"/>
    </row>
    <row r="675" spans="2:79" ht="18.75">
      <c r="B675" s="252" t="s">
        <v>925</v>
      </c>
      <c r="C675" s="251">
        <v>26406529000101</v>
      </c>
      <c r="D675" s="252" t="s">
        <v>14</v>
      </c>
      <c r="E675" s="252" t="s">
        <v>614</v>
      </c>
      <c r="F675" s="252" t="s">
        <v>1417</v>
      </c>
      <c r="G675" s="253" t="s">
        <v>1417</v>
      </c>
      <c r="H675" s="253" t="s">
        <v>1338</v>
      </c>
      <c r="I675" s="253" t="s">
        <v>34</v>
      </c>
      <c r="J675" s="253" t="s">
        <v>608</v>
      </c>
      <c r="K675" s="253" t="s">
        <v>48</v>
      </c>
      <c r="L675" s="655"/>
      <c r="M675" s="655" t="s">
        <v>34</v>
      </c>
      <c r="N675" s="253" t="s">
        <v>3268</v>
      </c>
      <c r="O675" s="253" t="s">
        <v>1321</v>
      </c>
      <c r="P675" s="656">
        <v>42649</v>
      </c>
      <c r="Q675" s="657">
        <v>17.334028570000001</v>
      </c>
      <c r="R675" s="657">
        <v>26.522065241485933</v>
      </c>
      <c r="S675" s="253">
        <v>32</v>
      </c>
      <c r="T675" s="658">
        <v>-1.7623647292219768E-4</v>
      </c>
      <c r="U675" s="659">
        <v>-8.8125374732645166E-3</v>
      </c>
      <c r="V675" s="658">
        <v>-8.2491782363654176E-2</v>
      </c>
      <c r="W675" s="659">
        <v>-0.63974935084232332</v>
      </c>
      <c r="X675" s="658">
        <v>-0.16086494110581329</v>
      </c>
      <c r="Y675" s="659">
        <v>-0.83311833578407213</v>
      </c>
      <c r="Z675" s="658">
        <v>3.4317176000823846E-2</v>
      </c>
      <c r="AA675" s="659">
        <v>0.15495155602207061</v>
      </c>
      <c r="AB675" s="658">
        <v>0.16302773260497644</v>
      </c>
      <c r="AC675" s="660">
        <v>-1.296930825399877</v>
      </c>
      <c r="AD675" s="682">
        <v>26470533000120</v>
      </c>
      <c r="AE675" s="944" t="s">
        <v>1962</v>
      </c>
      <c r="AF675" s="661" t="s">
        <v>1745</v>
      </c>
      <c r="AG675" s="662" t="s">
        <v>1432</v>
      </c>
      <c r="AH675" s="662" t="s">
        <v>1730</v>
      </c>
      <c r="AI675" s="662">
        <v>500</v>
      </c>
      <c r="AJ675" s="662">
        <v>500</v>
      </c>
      <c r="AK675" s="662">
        <v>500</v>
      </c>
      <c r="AL675" s="658">
        <v>1.9199999999999998E-2</v>
      </c>
      <c r="AM675" s="658">
        <v>0.2</v>
      </c>
      <c r="AN675" s="659" t="s">
        <v>34</v>
      </c>
      <c r="AO675" s="253" t="s">
        <v>34</v>
      </c>
      <c r="AP675" s="944" t="s">
        <v>1731</v>
      </c>
      <c r="AQ675" s="663" t="s">
        <v>659</v>
      </c>
      <c r="AR675" s="658">
        <v>6.4000000000000003E-3</v>
      </c>
      <c r="AS675" s="658">
        <v>6.4000000000000003E-3</v>
      </c>
      <c r="AT675" s="658" t="s">
        <v>1417</v>
      </c>
      <c r="AU675" s="658" t="s">
        <v>2751</v>
      </c>
      <c r="AX675"/>
      <c r="AY675"/>
      <c r="BA675"/>
      <c r="BB675"/>
      <c r="BC675"/>
      <c r="BD675"/>
      <c r="BE675"/>
      <c r="BF675"/>
      <c r="BG675"/>
      <c r="BH675"/>
      <c r="BI675"/>
      <c r="BJ675"/>
      <c r="BR675"/>
      <c r="BS675"/>
      <c r="BT675"/>
      <c r="BU675"/>
      <c r="BX675"/>
      <c r="BY675"/>
      <c r="CA675"/>
    </row>
    <row r="676" spans="2:79" ht="18.75">
      <c r="B676" s="252" t="s">
        <v>195</v>
      </c>
      <c r="C676" s="251">
        <v>40102324000155</v>
      </c>
      <c r="D676" s="252" t="s">
        <v>13</v>
      </c>
      <c r="E676" s="252" t="s">
        <v>615</v>
      </c>
      <c r="F676" s="252" t="s">
        <v>619</v>
      </c>
      <c r="G676" s="253" t="s">
        <v>34</v>
      </c>
      <c r="H676" s="253" t="s">
        <v>1338</v>
      </c>
      <c r="I676" s="253" t="s">
        <v>34</v>
      </c>
      <c r="J676" s="253" t="s">
        <v>1417</v>
      </c>
      <c r="K676" s="253" t="s">
        <v>48</v>
      </c>
      <c r="L676" s="655"/>
      <c r="M676" s="655" t="s">
        <v>34</v>
      </c>
      <c r="N676" s="253" t="s">
        <v>3269</v>
      </c>
      <c r="O676" s="253" t="s">
        <v>1321</v>
      </c>
      <c r="P676" s="656">
        <v>44196</v>
      </c>
      <c r="Q676" s="657">
        <v>29.578178040000001</v>
      </c>
      <c r="R676" s="657">
        <v>35.687273931566246</v>
      </c>
      <c r="S676" s="253">
        <v>31</v>
      </c>
      <c r="T676" s="658">
        <v>2.3274960676446188E-2</v>
      </c>
      <c r="U676" s="659">
        <v>1.1638423065836643</v>
      </c>
      <c r="V676" s="658">
        <v>0.12530513853595626</v>
      </c>
      <c r="W676" s="659">
        <v>0.97178020329580816</v>
      </c>
      <c r="X676" s="658">
        <v>0.11528615861996072</v>
      </c>
      <c r="Y676" s="659">
        <v>0.59706615965017951</v>
      </c>
      <c r="Z676" s="658"/>
      <c r="AA676" s="659"/>
      <c r="AB676" s="658">
        <v>7.5127886133230515E-2</v>
      </c>
      <c r="AC676" s="660">
        <v>-4.8434357708123925E-2</v>
      </c>
      <c r="AD676" s="682">
        <v>40102362000108</v>
      </c>
      <c r="AE676" s="944" t="s">
        <v>1962</v>
      </c>
      <c r="AF676" s="661" t="s">
        <v>1745</v>
      </c>
      <c r="AG676" s="662" t="s">
        <v>1432</v>
      </c>
      <c r="AH676" s="662" t="s">
        <v>1734</v>
      </c>
      <c r="AI676" s="662">
        <v>500</v>
      </c>
      <c r="AJ676" s="662">
        <v>100</v>
      </c>
      <c r="AK676" s="662">
        <v>100</v>
      </c>
      <c r="AL676" s="658">
        <v>1.4199999999999999E-2</v>
      </c>
      <c r="AM676" s="658">
        <v>0.25</v>
      </c>
      <c r="AN676" s="659" t="s">
        <v>34</v>
      </c>
      <c r="AO676" s="253" t="s">
        <v>34</v>
      </c>
      <c r="AP676" s="944" t="s">
        <v>1746</v>
      </c>
      <c r="AQ676" s="663" t="s">
        <v>664</v>
      </c>
      <c r="AR676" s="658">
        <v>4.7333333333333298E-3</v>
      </c>
      <c r="AS676" s="658">
        <v>4.7333333333333298E-3</v>
      </c>
      <c r="AT676" s="658" t="s">
        <v>1417</v>
      </c>
      <c r="AU676" s="658" t="s">
        <v>2751</v>
      </c>
      <c r="AX676"/>
      <c r="AY676"/>
      <c r="BA676"/>
      <c r="BB676"/>
      <c r="BC676"/>
      <c r="BD676"/>
      <c r="BE676"/>
      <c r="BF676"/>
      <c r="BG676"/>
      <c r="BH676"/>
      <c r="BI676"/>
      <c r="BJ676"/>
      <c r="BR676"/>
      <c r="BS676"/>
      <c r="BT676"/>
      <c r="BU676"/>
      <c r="BX676"/>
      <c r="BY676"/>
      <c r="CA676"/>
    </row>
    <row r="677" spans="2:79" ht="18.75">
      <c r="B677" s="252" t="s">
        <v>926</v>
      </c>
      <c r="C677" s="251">
        <v>12004203000135</v>
      </c>
      <c r="D677" s="252" t="s">
        <v>14</v>
      </c>
      <c r="E677" s="252" t="s">
        <v>607</v>
      </c>
      <c r="F677" s="252" t="s">
        <v>1317</v>
      </c>
      <c r="G677" s="253" t="s">
        <v>1417</v>
      </c>
      <c r="H677" s="253" t="s">
        <v>34</v>
      </c>
      <c r="I677" s="253" t="s">
        <v>34</v>
      </c>
      <c r="J677" s="253" t="s">
        <v>608</v>
      </c>
      <c r="K677" s="253" t="s">
        <v>48</v>
      </c>
      <c r="L677" s="655"/>
      <c r="M677" s="655" t="s">
        <v>34</v>
      </c>
      <c r="N677" s="253" t="s">
        <v>3270</v>
      </c>
      <c r="O677" s="253" t="s">
        <v>1321</v>
      </c>
      <c r="P677" s="656">
        <v>40367</v>
      </c>
      <c r="Q677" s="657">
        <v>470.00536699999998</v>
      </c>
      <c r="R677" s="657">
        <v>649.28849004417725</v>
      </c>
      <c r="S677" s="253">
        <v>32</v>
      </c>
      <c r="T677" s="658">
        <v>0.11586906202294833</v>
      </c>
      <c r="U677" s="659">
        <v>5.7939224165024177</v>
      </c>
      <c r="V677" s="658">
        <v>-0.20654443905306952</v>
      </c>
      <c r="W677" s="659">
        <v>-1.6018161690553117</v>
      </c>
      <c r="X677" s="658">
        <v>-0.39772955852648184</v>
      </c>
      <c r="Y677" s="659">
        <v>-2.0598384310087678</v>
      </c>
      <c r="Z677" s="658">
        <v>-0.46550281368642399</v>
      </c>
      <c r="AA677" s="659">
        <v>-2.1018741551353703</v>
      </c>
      <c r="AB677" s="658">
        <v>0.31326666326743391</v>
      </c>
      <c r="AC677" s="660">
        <v>-1.0709353654188649</v>
      </c>
      <c r="AD677" s="682">
        <v>11980010000157</v>
      </c>
      <c r="AE677" s="944" t="s">
        <v>1828</v>
      </c>
      <c r="AF677" s="661" t="s">
        <v>1729</v>
      </c>
      <c r="AG677" s="662" t="s">
        <v>1433</v>
      </c>
      <c r="AH677" s="662" t="s">
        <v>1734</v>
      </c>
      <c r="AI677" s="662">
        <v>5000</v>
      </c>
      <c r="AJ677" s="662">
        <v>1000</v>
      </c>
      <c r="AK677" s="662">
        <v>1000</v>
      </c>
      <c r="AL677" s="658">
        <v>0.02</v>
      </c>
      <c r="AM677" s="658">
        <v>0.2</v>
      </c>
      <c r="AN677" s="659" t="s">
        <v>2127</v>
      </c>
      <c r="AO677" s="253" t="s">
        <v>34</v>
      </c>
      <c r="AP677" s="944" t="s">
        <v>1731</v>
      </c>
      <c r="AQ677" s="663" t="s">
        <v>665</v>
      </c>
      <c r="AR677" s="658">
        <v>6.0000000000000001E-3</v>
      </c>
      <c r="AS677" s="658">
        <v>6.0000000000000001E-3</v>
      </c>
      <c r="AT677" s="658" t="s">
        <v>1417</v>
      </c>
      <c r="AU677" s="658" t="s">
        <v>2751</v>
      </c>
      <c r="AX677"/>
      <c r="AY677"/>
      <c r="BA677"/>
      <c r="BB677"/>
      <c r="BC677"/>
      <c r="BD677"/>
      <c r="BE677"/>
      <c r="BF677"/>
      <c r="BG677"/>
      <c r="BH677"/>
      <c r="BI677"/>
      <c r="BJ677"/>
      <c r="BR677"/>
      <c r="BS677"/>
      <c r="BT677"/>
      <c r="BU677"/>
      <c r="BX677"/>
      <c r="BY677"/>
      <c r="CA677"/>
    </row>
    <row r="678" spans="2:79" ht="18.75">
      <c r="B678" s="252" t="s">
        <v>196</v>
      </c>
      <c r="C678" s="251">
        <v>15569128000148</v>
      </c>
      <c r="D678" s="252" t="s">
        <v>14</v>
      </c>
      <c r="E678" s="252" t="s">
        <v>607</v>
      </c>
      <c r="F678" s="252" t="s">
        <v>1317</v>
      </c>
      <c r="G678" s="253" t="s">
        <v>1417</v>
      </c>
      <c r="H678" s="253" t="s">
        <v>34</v>
      </c>
      <c r="I678" s="253" t="s">
        <v>34</v>
      </c>
      <c r="J678" s="253" t="s">
        <v>608</v>
      </c>
      <c r="K678" s="253" t="s">
        <v>48</v>
      </c>
      <c r="L678" s="655"/>
      <c r="M678" s="655" t="s">
        <v>34</v>
      </c>
      <c r="N678" s="253" t="s">
        <v>3271</v>
      </c>
      <c r="O678" s="253" t="s">
        <v>1321</v>
      </c>
      <c r="P678" s="656">
        <v>41105</v>
      </c>
      <c r="Q678" s="657">
        <v>114.679191</v>
      </c>
      <c r="R678" s="657">
        <v>178.19545387951803</v>
      </c>
      <c r="S678" s="253">
        <v>32</v>
      </c>
      <c r="T678" s="658">
        <v>0.10412481631440706</v>
      </c>
      <c r="U678" s="659">
        <v>5.2066625622528608</v>
      </c>
      <c r="V678" s="658">
        <v>-0.15631608437447719</v>
      </c>
      <c r="W678" s="659">
        <v>-1.2122797039823319</v>
      </c>
      <c r="X678" s="658">
        <v>-0.31283634311649722</v>
      </c>
      <c r="Y678" s="659">
        <v>-1.6201770986168755</v>
      </c>
      <c r="Z678" s="658">
        <v>-0.3776857938528454</v>
      </c>
      <c r="AA678" s="659">
        <v>-1.7053559839400665</v>
      </c>
      <c r="AB678" s="658">
        <v>0.28469952390245606</v>
      </c>
      <c r="AC678" s="660">
        <v>-1.001968636656384</v>
      </c>
      <c r="AD678" s="682">
        <v>15611751000111</v>
      </c>
      <c r="AE678" s="944" t="s">
        <v>1828</v>
      </c>
      <c r="AF678" s="661" t="s">
        <v>1767</v>
      </c>
      <c r="AG678" s="662" t="s">
        <v>59</v>
      </c>
      <c r="AH678" s="662" t="s">
        <v>1734</v>
      </c>
      <c r="AI678" s="662">
        <v>5000</v>
      </c>
      <c r="AJ678" s="662">
        <v>0</v>
      </c>
      <c r="AK678" s="662">
        <v>5000</v>
      </c>
      <c r="AL678" s="658">
        <v>0.03</v>
      </c>
      <c r="AM678" s="658">
        <v>0</v>
      </c>
      <c r="AN678" s="659" t="s">
        <v>666</v>
      </c>
      <c r="AO678" s="253" t="s">
        <v>34</v>
      </c>
      <c r="AP678" s="944" t="s">
        <v>1731</v>
      </c>
      <c r="AQ678" s="663" t="s">
        <v>659</v>
      </c>
      <c r="AR678" s="658">
        <v>8.0000000000000002E-3</v>
      </c>
      <c r="AS678" s="658">
        <v>8.0000000000000002E-3</v>
      </c>
      <c r="AT678" s="658" t="s">
        <v>1417</v>
      </c>
      <c r="AU678" s="658" t="s">
        <v>2751</v>
      </c>
      <c r="AX678"/>
      <c r="AY678"/>
      <c r="BA678"/>
      <c r="BB678"/>
      <c r="BC678"/>
      <c r="BD678"/>
      <c r="BE678"/>
      <c r="BF678"/>
      <c r="BG678"/>
      <c r="BH678"/>
      <c r="BI678"/>
      <c r="BJ678"/>
      <c r="BR678"/>
      <c r="BS678"/>
      <c r="BT678"/>
      <c r="BU678"/>
      <c r="BX678"/>
      <c r="BY678"/>
      <c r="CA678"/>
    </row>
    <row r="679" spans="2:79" ht="18.75">
      <c r="B679" s="252" t="s">
        <v>197</v>
      </c>
      <c r="C679" s="251">
        <v>32893639000130</v>
      </c>
      <c r="D679" s="252" t="s">
        <v>14</v>
      </c>
      <c r="E679" s="252" t="s">
        <v>607</v>
      </c>
      <c r="F679" s="252" t="s">
        <v>1317</v>
      </c>
      <c r="G679" s="253" t="s">
        <v>1417</v>
      </c>
      <c r="H679" s="253" t="s">
        <v>34</v>
      </c>
      <c r="I679" s="253" t="s">
        <v>34</v>
      </c>
      <c r="J679" s="253" t="s">
        <v>608</v>
      </c>
      <c r="K679" s="253" t="s">
        <v>48</v>
      </c>
      <c r="L679" s="655"/>
      <c r="M679" s="655" t="s">
        <v>1414</v>
      </c>
      <c r="N679" s="253" t="s">
        <v>3272</v>
      </c>
      <c r="O679" s="253" t="s">
        <v>1324</v>
      </c>
      <c r="P679" s="656">
        <v>43617</v>
      </c>
      <c r="Q679" s="657">
        <v>22.51439981</v>
      </c>
      <c r="R679" s="657">
        <v>27.331913176290335</v>
      </c>
      <c r="S679" s="253">
        <v>32</v>
      </c>
      <c r="T679" s="658">
        <v>0.11709232908555611</v>
      </c>
      <c r="U679" s="659">
        <v>5.8550907243463923</v>
      </c>
      <c r="V679" s="658">
        <v>-0.20126684328581945</v>
      </c>
      <c r="W679" s="659">
        <v>-1.560886777431522</v>
      </c>
      <c r="X679" s="658">
        <v>-0.39403573570793837</v>
      </c>
      <c r="Y679" s="659">
        <v>-2.0407081500531308</v>
      </c>
      <c r="Z679" s="658">
        <v>-0.45990588534447907</v>
      </c>
      <c r="AA679" s="659">
        <v>-2.0766024732374317</v>
      </c>
      <c r="AB679" s="658">
        <v>0.31431330636297306</v>
      </c>
      <c r="AC679" s="660">
        <v>-1.0505783434802349</v>
      </c>
      <c r="AD679" s="682">
        <v>11980010000157</v>
      </c>
      <c r="AE679" s="944" t="s">
        <v>1828</v>
      </c>
      <c r="AF679" s="661" t="s">
        <v>1767</v>
      </c>
      <c r="AG679" s="662" t="s">
        <v>59</v>
      </c>
      <c r="AH679" s="662" t="s">
        <v>1734</v>
      </c>
      <c r="AI679" s="662">
        <v>1</v>
      </c>
      <c r="AJ679" s="662">
        <v>1</v>
      </c>
      <c r="AK679" s="662">
        <v>1</v>
      </c>
      <c r="AL679" s="658">
        <v>1.6E-2</v>
      </c>
      <c r="AM679" s="658">
        <v>0.2</v>
      </c>
      <c r="AN679" s="659" t="s">
        <v>666</v>
      </c>
      <c r="AO679" s="253" t="s">
        <v>34</v>
      </c>
      <c r="AP679" s="944" t="s">
        <v>1731</v>
      </c>
      <c r="AQ679" s="663" t="s">
        <v>665</v>
      </c>
      <c r="AR679" s="658">
        <v>0</v>
      </c>
      <c r="AS679" s="658">
        <v>0</v>
      </c>
      <c r="AT679" s="658" t="s">
        <v>1417</v>
      </c>
      <c r="AU679" s="658" t="s">
        <v>2751</v>
      </c>
      <c r="AX679"/>
      <c r="AY679"/>
      <c r="BA679"/>
      <c r="BB679"/>
      <c r="BC679"/>
      <c r="BD679"/>
      <c r="BE679"/>
      <c r="BF679"/>
      <c r="BG679"/>
      <c r="BH679"/>
      <c r="BI679"/>
      <c r="BJ679"/>
      <c r="BR679"/>
      <c r="BS679"/>
      <c r="BT679"/>
      <c r="BU679"/>
      <c r="BX679"/>
      <c r="BY679"/>
      <c r="CA679"/>
    </row>
    <row r="680" spans="2:79" ht="18.75">
      <c r="B680" s="252" t="s">
        <v>554</v>
      </c>
      <c r="C680" s="251">
        <v>35502496000186</v>
      </c>
      <c r="D680" s="252" t="s">
        <v>14</v>
      </c>
      <c r="E680" s="252" t="s">
        <v>607</v>
      </c>
      <c r="F680" s="252" t="s">
        <v>1417</v>
      </c>
      <c r="G680" s="253" t="s">
        <v>1417</v>
      </c>
      <c r="H680" s="253" t="s">
        <v>34</v>
      </c>
      <c r="I680" s="253" t="s">
        <v>34</v>
      </c>
      <c r="J680" s="253" t="s">
        <v>608</v>
      </c>
      <c r="K680" s="253" t="s">
        <v>48</v>
      </c>
      <c r="L680" s="655"/>
      <c r="M680" s="655" t="s">
        <v>34</v>
      </c>
      <c r="N680" s="253" t="s">
        <v>3273</v>
      </c>
      <c r="O680" s="253" t="s">
        <v>1321</v>
      </c>
      <c r="P680" s="656">
        <v>44412</v>
      </c>
      <c r="Q680" s="657">
        <v>24.752244810000001</v>
      </c>
      <c r="R680" s="657">
        <v>38.025067179393908</v>
      </c>
      <c r="S680" s="253">
        <v>32</v>
      </c>
      <c r="T680" s="658">
        <v>1.552339290620397E-2</v>
      </c>
      <c r="U680" s="659">
        <v>0.77623252116787267</v>
      </c>
      <c r="V680" s="658">
        <v>-0.11155853524562476</v>
      </c>
      <c r="W680" s="659">
        <v>-0.86517103230580994</v>
      </c>
      <c r="X680" s="658"/>
      <c r="Y680" s="659"/>
      <c r="Z680" s="658"/>
      <c r="AA680" s="659"/>
      <c r="AB680" s="658">
        <v>0.24636099079320922</v>
      </c>
      <c r="AC680" s="660">
        <v>-0.9762196682115406</v>
      </c>
      <c r="AD680" s="682">
        <v>0</v>
      </c>
      <c r="AE680" s="944" t="s">
        <v>1941</v>
      </c>
      <c r="AF680" s="661" t="s">
        <v>1767</v>
      </c>
      <c r="AG680" s="662" t="s">
        <v>59</v>
      </c>
      <c r="AH680" s="662" t="s">
        <v>1734</v>
      </c>
      <c r="AI680" s="662">
        <v>1000</v>
      </c>
      <c r="AJ680" s="662">
        <v>1000</v>
      </c>
      <c r="AK680" s="662">
        <v>1000</v>
      </c>
      <c r="AL680" s="658">
        <v>5.5000000000000005E-3</v>
      </c>
      <c r="AM680" s="658">
        <v>0</v>
      </c>
      <c r="AN680" s="659" t="s">
        <v>666</v>
      </c>
      <c r="AO680" s="253" t="s">
        <v>34</v>
      </c>
      <c r="AP680" s="944" t="s">
        <v>1731</v>
      </c>
      <c r="AQ680" s="663" t="s">
        <v>659</v>
      </c>
      <c r="AR680" s="658">
        <v>4.0000000000000001E-3</v>
      </c>
      <c r="AS680" s="658">
        <v>4.0000000000000001E-3</v>
      </c>
      <c r="AT680" s="658" t="s">
        <v>1417</v>
      </c>
      <c r="AU680" s="658" t="s">
        <v>2751</v>
      </c>
      <c r="AX680"/>
      <c r="AY680"/>
      <c r="BA680"/>
      <c r="BB680"/>
      <c r="BC680"/>
      <c r="BD680"/>
      <c r="BE680"/>
      <c r="BF680"/>
      <c r="BG680"/>
      <c r="BH680"/>
      <c r="BI680"/>
      <c r="BJ680"/>
      <c r="BR680"/>
      <c r="BS680"/>
      <c r="BT680"/>
      <c r="BU680"/>
      <c r="BX680"/>
      <c r="BY680"/>
      <c r="CA680"/>
    </row>
    <row r="681" spans="2:79" ht="18.75">
      <c r="B681" s="252" t="s">
        <v>927</v>
      </c>
      <c r="C681" s="251">
        <v>23799268000130</v>
      </c>
      <c r="D681" s="252" t="s">
        <v>13</v>
      </c>
      <c r="E681" s="252" t="s">
        <v>616</v>
      </c>
      <c r="F681" s="252" t="s">
        <v>619</v>
      </c>
      <c r="G681" s="253" t="s">
        <v>34</v>
      </c>
      <c r="H681" s="253" t="s">
        <v>1338</v>
      </c>
      <c r="I681" s="253" t="s">
        <v>34</v>
      </c>
      <c r="J681" s="253" t="s">
        <v>611</v>
      </c>
      <c r="K681" s="253" t="s">
        <v>48</v>
      </c>
      <c r="L681" s="655"/>
      <c r="M681" s="655" t="s">
        <v>34</v>
      </c>
      <c r="N681" s="253" t="s">
        <v>3274</v>
      </c>
      <c r="O681" s="253" t="s">
        <v>1321</v>
      </c>
      <c r="P681" s="656">
        <v>42609</v>
      </c>
      <c r="Q681" s="657">
        <v>136.75680199999999</v>
      </c>
      <c r="R681" s="657">
        <v>132.52113673061228</v>
      </c>
      <c r="S681" s="253">
        <v>18</v>
      </c>
      <c r="T681" s="658">
        <v>-0.13264327379747942</v>
      </c>
      <c r="U681" s="659">
        <v>-6.6327009473959011</v>
      </c>
      <c r="V681" s="658">
        <v>0.11831750377194417</v>
      </c>
      <c r="W681" s="659">
        <v>0.91758892901235156</v>
      </c>
      <c r="X681" s="658">
        <v>1.415607839533124</v>
      </c>
      <c r="Y681" s="659">
        <v>7.3314224919832602</v>
      </c>
      <c r="Z681" s="658">
        <v>1.8525097104015549</v>
      </c>
      <c r="AA681" s="659">
        <v>8.3645945157557602</v>
      </c>
      <c r="AB681" s="658">
        <v>0.46310575581997859</v>
      </c>
      <c r="AC681" s="660">
        <v>-2.294595897653872E-2</v>
      </c>
      <c r="AD681" s="682">
        <v>0</v>
      </c>
      <c r="AE681" s="944" t="s">
        <v>1941</v>
      </c>
      <c r="AF681" s="661" t="s">
        <v>1767</v>
      </c>
      <c r="AG681" s="662" t="s">
        <v>59</v>
      </c>
      <c r="AH681" s="662" t="s">
        <v>1734</v>
      </c>
      <c r="AI681" s="662">
        <v>5000</v>
      </c>
      <c r="AJ681" s="662">
        <v>1000</v>
      </c>
      <c r="AK681" s="662">
        <v>5000</v>
      </c>
      <c r="AL681" s="658">
        <v>0.02</v>
      </c>
      <c r="AM681" s="658">
        <v>0.2</v>
      </c>
      <c r="AN681" s="659" t="s">
        <v>64</v>
      </c>
      <c r="AO681" s="253" t="s">
        <v>34</v>
      </c>
      <c r="AP681" s="944" t="s">
        <v>1746</v>
      </c>
      <c r="AQ681" s="663" t="s">
        <v>668</v>
      </c>
      <c r="AR681" s="658">
        <v>4.0000000000000001E-3</v>
      </c>
      <c r="AS681" s="658">
        <v>4.0000000000000001E-3</v>
      </c>
      <c r="AT681" s="658" t="s">
        <v>1417</v>
      </c>
      <c r="AU681" s="658" t="s">
        <v>2751</v>
      </c>
      <c r="AX681"/>
      <c r="AY681"/>
      <c r="BA681"/>
      <c r="BB681"/>
      <c r="BC681"/>
      <c r="BD681"/>
      <c r="BE681"/>
      <c r="BF681"/>
      <c r="BG681"/>
      <c r="BH681"/>
      <c r="BI681"/>
      <c r="BJ681"/>
      <c r="BR681"/>
      <c r="BS681"/>
      <c r="BT681"/>
      <c r="BU681"/>
      <c r="BX681"/>
      <c r="BY681"/>
      <c r="CA681"/>
    </row>
    <row r="682" spans="2:79" ht="18.75">
      <c r="B682" s="252" t="s">
        <v>929</v>
      </c>
      <c r="C682" s="251">
        <v>37979878000120</v>
      </c>
      <c r="D682" s="252" t="s">
        <v>11</v>
      </c>
      <c r="E682" s="252" t="s">
        <v>620</v>
      </c>
      <c r="F682" s="252" t="s">
        <v>685</v>
      </c>
      <c r="G682" s="253" t="s">
        <v>738</v>
      </c>
      <c r="H682" s="253" t="s">
        <v>34</v>
      </c>
      <c r="I682" s="253" t="s">
        <v>1319</v>
      </c>
      <c r="J682" s="253" t="s">
        <v>608</v>
      </c>
      <c r="K682" s="253" t="s">
        <v>48</v>
      </c>
      <c r="L682" s="655"/>
      <c r="M682" s="655" t="s">
        <v>34</v>
      </c>
      <c r="N682" s="253" t="s">
        <v>3276</v>
      </c>
      <c r="O682" s="253" t="s">
        <v>1321</v>
      </c>
      <c r="P682" s="656">
        <v>44029</v>
      </c>
      <c r="Q682" s="657">
        <v>90.56598631</v>
      </c>
      <c r="R682" s="657">
        <v>87.508417455510241</v>
      </c>
      <c r="S682" s="253">
        <v>367</v>
      </c>
      <c r="T682" s="658">
        <v>2.184040346844407E-2</v>
      </c>
      <c r="U682" s="659">
        <v>1.0921086356616332</v>
      </c>
      <c r="V682" s="658">
        <v>8.0028095968488699E-2</v>
      </c>
      <c r="W682" s="659">
        <v>0.62064269892106938</v>
      </c>
      <c r="X682" s="658">
        <v>0.2117702785244362</v>
      </c>
      <c r="Y682" s="659">
        <v>1.0967567003723719</v>
      </c>
      <c r="Z682" s="658"/>
      <c r="AA682" s="659"/>
      <c r="AB682" s="658">
        <v>5.0655874018160976E-2</v>
      </c>
      <c r="AC682" s="660">
        <v>-0.96564938275001466</v>
      </c>
      <c r="AD682" s="682">
        <v>0</v>
      </c>
      <c r="AE682" s="944" t="s">
        <v>2027</v>
      </c>
      <c r="AF682" s="661" t="s">
        <v>2028</v>
      </c>
      <c r="AG682" s="662" t="s">
        <v>928</v>
      </c>
      <c r="AH682" s="662" t="s">
        <v>1730</v>
      </c>
      <c r="AI682" s="662">
        <v>50000</v>
      </c>
      <c r="AJ682" s="662">
        <v>25000</v>
      </c>
      <c r="AK682" s="662">
        <v>25000</v>
      </c>
      <c r="AL682" s="658">
        <v>0</v>
      </c>
      <c r="AM682" s="658">
        <v>0</v>
      </c>
      <c r="AN682" s="659" t="s">
        <v>34</v>
      </c>
      <c r="AO682" s="253" t="s">
        <v>34</v>
      </c>
      <c r="AP682" s="944" t="s">
        <v>1746</v>
      </c>
      <c r="AQ682" s="663" t="s">
        <v>668</v>
      </c>
      <c r="AR682" s="658">
        <v>6.4999999999999997E-3</v>
      </c>
      <c r="AS682" s="658">
        <v>6.4999999999999997E-3</v>
      </c>
      <c r="AT682" s="658" t="s">
        <v>1417</v>
      </c>
      <c r="AU682" s="658" t="s">
        <v>2751</v>
      </c>
      <c r="AX682"/>
      <c r="AY682"/>
      <c r="BA682"/>
      <c r="BB682"/>
      <c r="BC682"/>
      <c r="BD682"/>
      <c r="BE682"/>
      <c r="BF682"/>
      <c r="BG682"/>
      <c r="BH682"/>
      <c r="BI682"/>
      <c r="BJ682"/>
      <c r="BR682"/>
      <c r="BS682"/>
      <c r="BT682"/>
      <c r="BU682"/>
      <c r="BX682"/>
      <c r="BY682"/>
      <c r="CA682"/>
    </row>
    <row r="683" spans="2:79" ht="18.75">
      <c r="B683" s="252" t="s">
        <v>198</v>
      </c>
      <c r="C683" s="251">
        <v>38065069000176</v>
      </c>
      <c r="D683" s="252" t="s">
        <v>11</v>
      </c>
      <c r="E683" s="252" t="s">
        <v>620</v>
      </c>
      <c r="F683" s="252" t="s">
        <v>685</v>
      </c>
      <c r="G683" s="253" t="s">
        <v>738</v>
      </c>
      <c r="H683" s="253" t="s">
        <v>34</v>
      </c>
      <c r="I683" s="253" t="s">
        <v>1319</v>
      </c>
      <c r="J683" s="253" t="s">
        <v>608</v>
      </c>
      <c r="K683" s="253" t="s">
        <v>48</v>
      </c>
      <c r="L683" s="655"/>
      <c r="M683" s="655" t="s">
        <v>34</v>
      </c>
      <c r="N683" s="253" t="s">
        <v>3277</v>
      </c>
      <c r="O683" s="253" t="s">
        <v>1321</v>
      </c>
      <c r="P683" s="656">
        <v>44067</v>
      </c>
      <c r="Q683" s="657">
        <v>30.430141630000001</v>
      </c>
      <c r="R683" s="657">
        <v>18.812633014291499</v>
      </c>
      <c r="S683" s="253">
        <v>91</v>
      </c>
      <c r="T683" s="658">
        <v>2.5239825298747132E-2</v>
      </c>
      <c r="U683" s="659">
        <v>1.2620934961746122</v>
      </c>
      <c r="V683" s="658">
        <v>0.16236545246840861</v>
      </c>
      <c r="W683" s="659">
        <v>1.2591944293065849</v>
      </c>
      <c r="X683" s="658">
        <v>0.26543440788799111</v>
      </c>
      <c r="Y683" s="659">
        <v>1.3746828279632044</v>
      </c>
      <c r="Z683" s="658"/>
      <c r="AA683" s="659"/>
      <c r="AB683" s="658">
        <v>1.1370454686566903E-2</v>
      </c>
      <c r="AC683" s="660">
        <v>2.9393321501122198</v>
      </c>
      <c r="AD683" s="682">
        <v>0</v>
      </c>
      <c r="AE683" s="944" t="s">
        <v>2032</v>
      </c>
      <c r="AF683" s="661" t="s">
        <v>1745</v>
      </c>
      <c r="AG683" s="662" t="s">
        <v>1432</v>
      </c>
      <c r="AH683" s="662" t="s">
        <v>1730</v>
      </c>
      <c r="AI683" s="662">
        <v>5000</v>
      </c>
      <c r="AJ683" s="662">
        <v>1000</v>
      </c>
      <c r="AK683" s="662">
        <v>1000</v>
      </c>
      <c r="AL683" s="658">
        <v>0.01</v>
      </c>
      <c r="AM683" s="658">
        <v>0</v>
      </c>
      <c r="AN683" s="659" t="s">
        <v>34</v>
      </c>
      <c r="AO683" s="253" t="s">
        <v>34</v>
      </c>
      <c r="AP683" s="944" t="s">
        <v>1746</v>
      </c>
      <c r="AQ683" s="663" t="s">
        <v>668</v>
      </c>
      <c r="AR683" s="658">
        <v>3.3333333333333301E-3</v>
      </c>
      <c r="AS683" s="658">
        <v>3.3333333333333301E-3</v>
      </c>
      <c r="AT683" s="658" t="s">
        <v>1417</v>
      </c>
      <c r="AU683" s="658" t="s">
        <v>2751</v>
      </c>
      <c r="AX683"/>
      <c r="AY683"/>
      <c r="BA683"/>
      <c r="BB683"/>
      <c r="BC683"/>
      <c r="BD683"/>
      <c r="BE683"/>
      <c r="BF683"/>
      <c r="BG683"/>
      <c r="BH683"/>
      <c r="BI683"/>
      <c r="BJ683"/>
      <c r="BR683"/>
      <c r="BS683"/>
      <c r="BT683"/>
      <c r="BU683"/>
      <c r="BX683"/>
      <c r="BY683"/>
      <c r="CA683"/>
    </row>
    <row r="684" spans="2:79" ht="18.75">
      <c r="B684" s="252" t="s">
        <v>4453</v>
      </c>
      <c r="C684" s="251">
        <v>42730600000155</v>
      </c>
      <c r="D684" s="252" t="s">
        <v>11</v>
      </c>
      <c r="E684" s="252" t="s">
        <v>620</v>
      </c>
      <c r="F684" s="252" t="s">
        <v>663</v>
      </c>
      <c r="G684" s="253" t="s">
        <v>1417</v>
      </c>
      <c r="H684" s="253" t="s">
        <v>1417</v>
      </c>
      <c r="I684" s="253" t="s">
        <v>1417</v>
      </c>
      <c r="J684" s="253" t="s">
        <v>1417</v>
      </c>
      <c r="K684" s="253" t="s">
        <v>1417</v>
      </c>
      <c r="L684" s="655"/>
      <c r="M684" s="655" t="s">
        <v>34</v>
      </c>
      <c r="N684" s="253" t="s">
        <v>4454</v>
      </c>
      <c r="O684" s="253" t="s">
        <v>1321</v>
      </c>
      <c r="P684" s="656">
        <v>44483</v>
      </c>
      <c r="Q684" s="657"/>
      <c r="R684" s="657"/>
      <c r="S684" s="253">
        <v>180</v>
      </c>
      <c r="T684" s="658"/>
      <c r="U684" s="659"/>
      <c r="V684" s="658"/>
      <c r="W684" s="659"/>
      <c r="X684" s="658"/>
      <c r="Y684" s="659"/>
      <c r="Z684" s="658"/>
      <c r="AA684" s="659"/>
      <c r="AB684" s="658"/>
      <c r="AC684" s="660"/>
      <c r="AD684" s="682">
        <v>0</v>
      </c>
      <c r="AE684" s="944" t="s">
        <v>2032</v>
      </c>
      <c r="AF684" s="661" t="s">
        <v>1745</v>
      </c>
      <c r="AG684" s="662" t="s">
        <v>1432</v>
      </c>
      <c r="AH684" s="662" t="s">
        <v>2119</v>
      </c>
      <c r="AI684" s="662">
        <v>1000</v>
      </c>
      <c r="AJ684" s="662">
        <v>0</v>
      </c>
      <c r="AK684" s="662">
        <v>0</v>
      </c>
      <c r="AL684" s="658">
        <v>0.01</v>
      </c>
      <c r="AM684" s="658">
        <v>0</v>
      </c>
      <c r="AN684" s="659" t="s">
        <v>2127</v>
      </c>
      <c r="AO684" s="253" t="s">
        <v>4400</v>
      </c>
      <c r="AP684" s="944" t="s">
        <v>1746</v>
      </c>
      <c r="AQ684" s="663" t="s">
        <v>2177</v>
      </c>
      <c r="AR684" s="658">
        <v>0</v>
      </c>
      <c r="AS684" s="658">
        <v>0</v>
      </c>
      <c r="AT684" s="658" t="s">
        <v>1417</v>
      </c>
      <c r="AU684" s="658" t="s">
        <v>2751</v>
      </c>
      <c r="AX684"/>
      <c r="AY684"/>
      <c r="BA684"/>
      <c r="BB684"/>
      <c r="BC684"/>
      <c r="BD684"/>
      <c r="BE684"/>
      <c r="BF684"/>
      <c r="BG684"/>
      <c r="BH684"/>
      <c r="BI684"/>
      <c r="BJ684"/>
      <c r="BR684"/>
      <c r="BS684"/>
      <c r="BT684"/>
      <c r="BU684"/>
      <c r="BX684"/>
      <c r="BY684"/>
      <c r="CA684"/>
    </row>
    <row r="685" spans="2:79" ht="18.75">
      <c r="B685" s="252" t="s">
        <v>930</v>
      </c>
      <c r="C685" s="251">
        <v>27751295000194</v>
      </c>
      <c r="D685" s="252" t="s">
        <v>13</v>
      </c>
      <c r="E685" s="252" t="s">
        <v>615</v>
      </c>
      <c r="F685" s="252" t="s">
        <v>619</v>
      </c>
      <c r="G685" s="253" t="s">
        <v>34</v>
      </c>
      <c r="H685" s="253" t="s">
        <v>1338</v>
      </c>
      <c r="I685" s="253" t="s">
        <v>34</v>
      </c>
      <c r="J685" s="253" t="s">
        <v>700</v>
      </c>
      <c r="K685" s="253" t="s">
        <v>48</v>
      </c>
      <c r="L685" s="655"/>
      <c r="M685" s="655" t="s">
        <v>34</v>
      </c>
      <c r="N685" s="253" t="s">
        <v>3278</v>
      </c>
      <c r="O685" s="253" t="s">
        <v>1321</v>
      </c>
      <c r="P685" s="656">
        <v>42957</v>
      </c>
      <c r="Q685" s="657">
        <v>9.8363761699999994</v>
      </c>
      <c r="R685" s="657">
        <v>5.430318416024094</v>
      </c>
      <c r="S685" s="253">
        <v>33</v>
      </c>
      <c r="T685" s="658">
        <v>4.8445885353113782E-2</v>
      </c>
      <c r="U685" s="659">
        <v>2.4224904925796324</v>
      </c>
      <c r="V685" s="658">
        <v>0.45997859576280553</v>
      </c>
      <c r="W685" s="659">
        <v>3.5672766378517955</v>
      </c>
      <c r="X685" s="658">
        <v>0.6499268842293231</v>
      </c>
      <c r="Y685" s="659">
        <v>3.3659665086023747</v>
      </c>
      <c r="Z685" s="658">
        <v>0.28916134847457231</v>
      </c>
      <c r="AA685" s="659">
        <v>1.3056435904428596</v>
      </c>
      <c r="AB685" s="658">
        <v>0.19365159011888483</v>
      </c>
      <c r="AC685" s="660">
        <v>1.7094343821953197</v>
      </c>
      <c r="AD685" s="682">
        <v>19628666000117</v>
      </c>
      <c r="AE685" s="944" t="s">
        <v>1797</v>
      </c>
      <c r="AF685" s="661" t="s">
        <v>1745</v>
      </c>
      <c r="AG685" s="662" t="s">
        <v>1432</v>
      </c>
      <c r="AH685" s="662" t="s">
        <v>1734</v>
      </c>
      <c r="AI685" s="662">
        <v>5000</v>
      </c>
      <c r="AJ685" s="662">
        <v>5000</v>
      </c>
      <c r="AK685" s="662">
        <v>5000</v>
      </c>
      <c r="AL685" s="658">
        <v>0</v>
      </c>
      <c r="AM685" s="658">
        <v>0</v>
      </c>
      <c r="AN685" s="659" t="s">
        <v>34</v>
      </c>
      <c r="AO685" s="253" t="s">
        <v>34</v>
      </c>
      <c r="AP685" s="944" t="s">
        <v>1746</v>
      </c>
      <c r="AQ685" s="663" t="s">
        <v>668</v>
      </c>
      <c r="AR685" s="658">
        <v>4.1999999999999997E-3</v>
      </c>
      <c r="AS685" s="658">
        <v>4.1999999999999997E-3</v>
      </c>
      <c r="AT685" s="658" t="s">
        <v>1417</v>
      </c>
      <c r="AU685" s="658" t="s">
        <v>2751</v>
      </c>
      <c r="AX685"/>
      <c r="AY685"/>
      <c r="BA685"/>
      <c r="BB685"/>
      <c r="BC685"/>
      <c r="BD685"/>
      <c r="BE685"/>
      <c r="BF685"/>
      <c r="BG685"/>
      <c r="BH685"/>
      <c r="BI685"/>
      <c r="BJ685"/>
      <c r="BR685"/>
      <c r="BS685"/>
      <c r="BT685"/>
      <c r="BU685"/>
      <c r="BX685"/>
      <c r="BY685"/>
      <c r="CA685"/>
    </row>
    <row r="686" spans="2:79" ht="18.75">
      <c r="B686" s="252" t="s">
        <v>931</v>
      </c>
      <c r="C686" s="251">
        <v>19628666000117</v>
      </c>
      <c r="D686" s="252" t="s">
        <v>13</v>
      </c>
      <c r="E686" s="252" t="s">
        <v>615</v>
      </c>
      <c r="F686" s="252" t="s">
        <v>619</v>
      </c>
      <c r="G686" s="253" t="s">
        <v>34</v>
      </c>
      <c r="H686" s="253" t="s">
        <v>1338</v>
      </c>
      <c r="I686" s="253" t="s">
        <v>34</v>
      </c>
      <c r="J686" s="253" t="s">
        <v>700</v>
      </c>
      <c r="K686" s="253" t="s">
        <v>48</v>
      </c>
      <c r="L686" s="655"/>
      <c r="M686" s="655" t="s">
        <v>34</v>
      </c>
      <c r="N686" s="253" t="s">
        <v>3279</v>
      </c>
      <c r="O686" s="253" t="s">
        <v>1321</v>
      </c>
      <c r="P686" s="656">
        <v>41745</v>
      </c>
      <c r="Q686" s="657">
        <v>212.95850899999999</v>
      </c>
      <c r="R686" s="657">
        <v>193.04715513253015</v>
      </c>
      <c r="S686" s="253">
        <v>33</v>
      </c>
      <c r="T686" s="658">
        <v>4.9046733357257066E-2</v>
      </c>
      <c r="U686" s="659">
        <v>2.452535326457955</v>
      </c>
      <c r="V686" s="658">
        <v>0.46685630133040013</v>
      </c>
      <c r="W686" s="659">
        <v>3.620615377130775</v>
      </c>
      <c r="X686" s="658">
        <v>0.66297990132792739</v>
      </c>
      <c r="Y686" s="659">
        <v>3.4335679872551852</v>
      </c>
      <c r="Z686" s="658">
        <v>0.29238893714013603</v>
      </c>
      <c r="AA686" s="659">
        <v>1.3202170473589032</v>
      </c>
      <c r="AB686" s="658">
        <v>0.19727799517708428</v>
      </c>
      <c r="AC686" s="660">
        <v>1.712874218841735</v>
      </c>
      <c r="AD686" s="682">
        <v>19770499000144</v>
      </c>
      <c r="AE686" s="944" t="s">
        <v>1895</v>
      </c>
      <c r="AF686" s="661" t="s">
        <v>1745</v>
      </c>
      <c r="AG686" s="662" t="s">
        <v>1432</v>
      </c>
      <c r="AH686" s="662" t="s">
        <v>1734</v>
      </c>
      <c r="AI686" s="662">
        <v>5000</v>
      </c>
      <c r="AJ686" s="662">
        <v>1000</v>
      </c>
      <c r="AK686" s="662">
        <v>5000</v>
      </c>
      <c r="AL686" s="658">
        <v>0.02</v>
      </c>
      <c r="AM686" s="658">
        <v>0.2</v>
      </c>
      <c r="AN686" s="659" t="s">
        <v>34</v>
      </c>
      <c r="AO686" s="253" t="s">
        <v>34</v>
      </c>
      <c r="AP686" s="944" t="s">
        <v>1746</v>
      </c>
      <c r="AQ686" s="663" t="s">
        <v>674</v>
      </c>
      <c r="AR686" s="658">
        <v>4.1999999999999997E-3</v>
      </c>
      <c r="AS686" s="658">
        <v>4.1999999999999997E-3</v>
      </c>
      <c r="AT686" s="658" t="s">
        <v>1417</v>
      </c>
      <c r="AU686" s="658" t="s">
        <v>2751</v>
      </c>
      <c r="AX686"/>
      <c r="AY686"/>
      <c r="BA686"/>
      <c r="BB686"/>
      <c r="BC686"/>
      <c r="BD686"/>
      <c r="BE686"/>
      <c r="BF686"/>
      <c r="BG686"/>
      <c r="BH686"/>
      <c r="BI686"/>
      <c r="BJ686"/>
      <c r="BR686"/>
      <c r="BS686"/>
      <c r="BT686"/>
      <c r="BU686"/>
      <c r="BX686"/>
      <c r="BY686"/>
      <c r="CA686"/>
    </row>
    <row r="687" spans="2:79" ht="18.75">
      <c r="B687" s="252" t="s">
        <v>51</v>
      </c>
      <c r="C687" s="251">
        <v>35725802000143</v>
      </c>
      <c r="D687" s="252" t="s">
        <v>14</v>
      </c>
      <c r="E687" s="252" t="s">
        <v>607</v>
      </c>
      <c r="F687" s="252" t="s">
        <v>1417</v>
      </c>
      <c r="G687" s="253" t="s">
        <v>1417</v>
      </c>
      <c r="H687" s="253" t="s">
        <v>34</v>
      </c>
      <c r="I687" s="253" t="s">
        <v>34</v>
      </c>
      <c r="J687" s="253" t="s">
        <v>700</v>
      </c>
      <c r="K687" s="253" t="s">
        <v>48</v>
      </c>
      <c r="L687" s="655"/>
      <c r="M687" s="655" t="s">
        <v>34</v>
      </c>
      <c r="N687" s="253" t="s">
        <v>3280</v>
      </c>
      <c r="O687" s="253" t="s">
        <v>1324</v>
      </c>
      <c r="P687" s="656">
        <v>43873</v>
      </c>
      <c r="Q687" s="657">
        <v>12.173993579999999</v>
      </c>
      <c r="R687" s="657">
        <v>12.82147648157895</v>
      </c>
      <c r="S687" s="253">
        <v>32</v>
      </c>
      <c r="T687" s="658">
        <v>-3.1721673270802664E-2</v>
      </c>
      <c r="U687" s="659">
        <v>-1.586212148815602</v>
      </c>
      <c r="V687" s="658">
        <v>2.7406369796924013E-2</v>
      </c>
      <c r="W687" s="659">
        <v>0.21254489579621344</v>
      </c>
      <c r="X687" s="658">
        <v>0.3078660123575967</v>
      </c>
      <c r="Y687" s="659">
        <v>1.5944357925144612</v>
      </c>
      <c r="Z687" s="658">
        <v>0.73000823127876813</v>
      </c>
      <c r="AA687" s="659">
        <v>3.2961893875780794</v>
      </c>
      <c r="AB687" s="658">
        <v>0.2749458768176602</v>
      </c>
      <c r="AC687" s="660">
        <v>-0.36930009944176195</v>
      </c>
      <c r="AD687" s="682">
        <v>36016436000116</v>
      </c>
      <c r="AE687" s="944" t="s">
        <v>1895</v>
      </c>
      <c r="AF687" s="661" t="s">
        <v>1745</v>
      </c>
      <c r="AG687" s="662" t="s">
        <v>1432</v>
      </c>
      <c r="AH687" s="662" t="s">
        <v>1730</v>
      </c>
      <c r="AI687" s="662">
        <v>5000</v>
      </c>
      <c r="AJ687" s="662">
        <v>1000</v>
      </c>
      <c r="AK687" s="662">
        <v>5000</v>
      </c>
      <c r="AL687" s="658">
        <v>0.02</v>
      </c>
      <c r="AM687" s="658">
        <v>0.2</v>
      </c>
      <c r="AN687" s="659" t="s">
        <v>34</v>
      </c>
      <c r="AO687" s="253" t="s">
        <v>34</v>
      </c>
      <c r="AP687" s="944" t="s">
        <v>1731</v>
      </c>
      <c r="AQ687" s="663" t="s">
        <v>659</v>
      </c>
      <c r="AR687" s="658">
        <v>4.0000000000000001E-3</v>
      </c>
      <c r="AS687" s="658">
        <v>4.0000000000000001E-3</v>
      </c>
      <c r="AT687" s="658" t="s">
        <v>1417</v>
      </c>
      <c r="AU687" s="658" t="s">
        <v>2751</v>
      </c>
      <c r="AX687"/>
      <c r="AY687"/>
      <c r="BA687"/>
      <c r="BB687"/>
      <c r="BC687"/>
      <c r="BD687"/>
      <c r="BE687"/>
      <c r="BF687"/>
      <c r="BG687"/>
      <c r="BH687"/>
      <c r="BI687"/>
      <c r="BJ687"/>
      <c r="BR687"/>
      <c r="BS687"/>
      <c r="BT687"/>
      <c r="BU687"/>
      <c r="BX687"/>
      <c r="BY687"/>
      <c r="CA687"/>
    </row>
    <row r="688" spans="2:79" ht="18.75">
      <c r="B688" s="252" t="s">
        <v>932</v>
      </c>
      <c r="C688" s="251">
        <v>42773832000190</v>
      </c>
      <c r="D688" s="252" t="s">
        <v>14</v>
      </c>
      <c r="E688" s="252" t="s">
        <v>607</v>
      </c>
      <c r="F688" s="252" t="s">
        <v>1417</v>
      </c>
      <c r="G688" s="253" t="s">
        <v>1417</v>
      </c>
      <c r="H688" s="253" t="s">
        <v>34</v>
      </c>
      <c r="I688" s="253" t="s">
        <v>34</v>
      </c>
      <c r="J688" s="253" t="s">
        <v>608</v>
      </c>
      <c r="K688" s="253" t="s">
        <v>48</v>
      </c>
      <c r="L688" s="655"/>
      <c r="M688" s="655" t="s">
        <v>34</v>
      </c>
      <c r="N688" s="253" t="s">
        <v>3281</v>
      </c>
      <c r="O688" s="253" t="s">
        <v>1321</v>
      </c>
      <c r="P688" s="656">
        <v>44429</v>
      </c>
      <c r="Q688" s="657">
        <v>3.69</v>
      </c>
      <c r="R688" s="657">
        <v>3.9904464285714281</v>
      </c>
      <c r="S688" s="253">
        <v>32</v>
      </c>
      <c r="T688" s="658">
        <v>1.2658227848100889E-2</v>
      </c>
      <c r="U688" s="659">
        <v>0.6329626632153238</v>
      </c>
      <c r="V688" s="658">
        <v>-0.22330097087378609</v>
      </c>
      <c r="W688" s="659">
        <v>-1.7317682691010414</v>
      </c>
      <c r="X688" s="658"/>
      <c r="Y688" s="659"/>
      <c r="Z688" s="658"/>
      <c r="AA688" s="659"/>
      <c r="AB688" s="658">
        <v>0.34832040409845511</v>
      </c>
      <c r="AC688" s="660">
        <v>-1.0112668571118506</v>
      </c>
      <c r="AD688" s="682">
        <v>29275418000193</v>
      </c>
      <c r="AE688" s="944" t="s">
        <v>2064</v>
      </c>
      <c r="AF688" s="661" t="s">
        <v>1745</v>
      </c>
      <c r="AG688" s="662" t="s">
        <v>1432</v>
      </c>
      <c r="AH688" s="662" t="s">
        <v>1801</v>
      </c>
      <c r="AI688" s="662">
        <v>5000</v>
      </c>
      <c r="AJ688" s="662">
        <v>1000</v>
      </c>
      <c r="AK688" s="662">
        <v>5000</v>
      </c>
      <c r="AL688" s="658">
        <v>0</v>
      </c>
      <c r="AM688" s="658">
        <v>0</v>
      </c>
      <c r="AN688" s="659" t="s">
        <v>2127</v>
      </c>
      <c r="AO688" s="253" t="s">
        <v>34</v>
      </c>
      <c r="AP688" s="944" t="s">
        <v>1731</v>
      </c>
      <c r="AQ688" s="663" t="s">
        <v>659</v>
      </c>
      <c r="AR688" s="658">
        <v>5.0673000000000003E-3</v>
      </c>
      <c r="AS688" s="658">
        <v>5.0673000000000003E-3</v>
      </c>
      <c r="AT688" s="658" t="s">
        <v>1417</v>
      </c>
      <c r="AU688" s="658" t="s">
        <v>2751</v>
      </c>
      <c r="AX688"/>
      <c r="AY688"/>
      <c r="BA688"/>
      <c r="BB688"/>
      <c r="BC688"/>
      <c r="BD688"/>
      <c r="BE688"/>
      <c r="BF688"/>
      <c r="BG688"/>
      <c r="BH688"/>
      <c r="BI688"/>
      <c r="BJ688"/>
      <c r="BR688"/>
      <c r="BS688"/>
      <c r="BT688"/>
      <c r="BU688"/>
      <c r="BX688"/>
      <c r="BY688"/>
      <c r="CA688"/>
    </row>
    <row r="689" spans="2:79" ht="18.75">
      <c r="B689" s="252" t="s">
        <v>199</v>
      </c>
      <c r="C689" s="251">
        <v>32320740000100</v>
      </c>
      <c r="D689" s="252" t="s">
        <v>13</v>
      </c>
      <c r="E689" s="252" t="s">
        <v>615</v>
      </c>
      <c r="F689" s="252" t="s">
        <v>619</v>
      </c>
      <c r="G689" s="253" t="s">
        <v>34</v>
      </c>
      <c r="H689" s="253" t="s">
        <v>1338</v>
      </c>
      <c r="I689" s="253" t="s">
        <v>34</v>
      </c>
      <c r="J689" s="253" t="s">
        <v>1417</v>
      </c>
      <c r="K689" s="253" t="s">
        <v>48</v>
      </c>
      <c r="L689" s="655"/>
      <c r="M689" s="655" t="s">
        <v>34</v>
      </c>
      <c r="N689" s="253" t="s">
        <v>3282</v>
      </c>
      <c r="O689" s="253" t="s">
        <v>1321</v>
      </c>
      <c r="P689" s="656">
        <v>43677</v>
      </c>
      <c r="Q689" s="657">
        <v>0</v>
      </c>
      <c r="R689" s="657">
        <v>0</v>
      </c>
      <c r="S689" s="253">
        <v>31</v>
      </c>
      <c r="T689" s="658"/>
      <c r="U689" s="659"/>
      <c r="V689" s="658"/>
      <c r="W689" s="659"/>
      <c r="X689" s="658"/>
      <c r="Y689" s="659"/>
      <c r="Z689" s="658"/>
      <c r="AA689" s="659"/>
      <c r="AB689" s="658"/>
      <c r="AC689" s="660"/>
      <c r="AD689" s="682">
        <v>21805389000112</v>
      </c>
      <c r="AE689" s="944" t="s">
        <v>2618</v>
      </c>
      <c r="AF689" s="661" t="s">
        <v>1767</v>
      </c>
      <c r="AG689" s="662" t="s">
        <v>59</v>
      </c>
      <c r="AH689" s="662" t="s">
        <v>1734</v>
      </c>
      <c r="AI689" s="662">
        <v>1000</v>
      </c>
      <c r="AJ689" s="662">
        <v>1000</v>
      </c>
      <c r="AK689" s="662">
        <v>1000</v>
      </c>
      <c r="AL689" s="658">
        <v>0.02</v>
      </c>
      <c r="AM689" s="658">
        <v>0.2</v>
      </c>
      <c r="AN689" s="659" t="s">
        <v>64</v>
      </c>
      <c r="AO689" s="253" t="s">
        <v>34</v>
      </c>
      <c r="AP689" s="944" t="s">
        <v>1746</v>
      </c>
      <c r="AQ689" s="663" t="s">
        <v>664</v>
      </c>
      <c r="AR689" s="658">
        <v>4.0000000000000001E-3</v>
      </c>
      <c r="AS689" s="658">
        <v>4.0000000000000001E-3</v>
      </c>
      <c r="AT689" s="658" t="s">
        <v>1417</v>
      </c>
      <c r="AU689" s="658" t="s">
        <v>2751</v>
      </c>
      <c r="AX689"/>
      <c r="AY689"/>
      <c r="BA689"/>
      <c r="BB689"/>
      <c r="BC689"/>
      <c r="BD689"/>
      <c r="BE689"/>
      <c r="BF689"/>
      <c r="BG689"/>
      <c r="BH689"/>
      <c r="BI689"/>
      <c r="BJ689"/>
      <c r="BR689"/>
      <c r="BS689"/>
      <c r="BT689"/>
      <c r="BU689"/>
      <c r="BX689"/>
      <c r="BY689"/>
      <c r="CA689"/>
    </row>
    <row r="690" spans="2:79" ht="18.75">
      <c r="B690" s="252" t="s">
        <v>200</v>
      </c>
      <c r="C690" s="251">
        <v>601692000123</v>
      </c>
      <c r="D690" s="252" t="s">
        <v>14</v>
      </c>
      <c r="E690" s="252" t="s">
        <v>607</v>
      </c>
      <c r="F690" s="252" t="s">
        <v>1417</v>
      </c>
      <c r="G690" s="253" t="s">
        <v>1417</v>
      </c>
      <c r="H690" s="253" t="s">
        <v>34</v>
      </c>
      <c r="I690" s="253" t="s">
        <v>34</v>
      </c>
      <c r="J690" s="253" t="s">
        <v>608</v>
      </c>
      <c r="K690" s="253" t="s">
        <v>48</v>
      </c>
      <c r="L690" s="655"/>
      <c r="M690" s="655" t="s">
        <v>34</v>
      </c>
      <c r="N690" s="253" t="s">
        <v>3283</v>
      </c>
      <c r="O690" s="253" t="s">
        <v>1321</v>
      </c>
      <c r="P690" s="656">
        <v>37768</v>
      </c>
      <c r="Q690" s="657">
        <v>102.49966999999999</v>
      </c>
      <c r="R690" s="657">
        <v>144.76478540562252</v>
      </c>
      <c r="S690" s="253">
        <v>59</v>
      </c>
      <c r="T690" s="658">
        <v>-7.2726678566926717E-2</v>
      </c>
      <c r="U690" s="659">
        <v>-3.6366285000497207</v>
      </c>
      <c r="V690" s="658">
        <v>-0.27704549276114088</v>
      </c>
      <c r="W690" s="659">
        <v>-2.1485737011523605</v>
      </c>
      <c r="X690" s="658">
        <v>-0.39140762805069396</v>
      </c>
      <c r="Y690" s="659">
        <v>-2.0270972000063794</v>
      </c>
      <c r="Z690" s="658">
        <v>-0.38829655522075113</v>
      </c>
      <c r="AA690" s="659">
        <v>-1.7532665108580274</v>
      </c>
      <c r="AB690" s="658">
        <v>0.30699771265928694</v>
      </c>
      <c r="AC690" s="660">
        <v>-1.3224509026179798</v>
      </c>
      <c r="AD690" s="682">
        <v>9441424000166</v>
      </c>
      <c r="AE690" s="944" t="s">
        <v>1748</v>
      </c>
      <c r="AF690" s="661" t="s">
        <v>1729</v>
      </c>
      <c r="AG690" s="662" t="s">
        <v>1433</v>
      </c>
      <c r="AH690" s="662" t="s">
        <v>1734</v>
      </c>
      <c r="AI690" s="662">
        <v>300000</v>
      </c>
      <c r="AJ690" s="662">
        <v>30000</v>
      </c>
      <c r="AK690" s="662">
        <v>300000</v>
      </c>
      <c r="AL690" s="658">
        <v>0.02</v>
      </c>
      <c r="AM690" s="658">
        <v>0.2</v>
      </c>
      <c r="AN690" s="659" t="s">
        <v>34</v>
      </c>
      <c r="AO690" s="253" t="s">
        <v>34</v>
      </c>
      <c r="AP690" s="944" t="s">
        <v>1731</v>
      </c>
      <c r="AQ690" s="663" t="s">
        <v>665</v>
      </c>
      <c r="AR690" s="658">
        <v>5.0000000000000001E-3</v>
      </c>
      <c r="AS690" s="658">
        <v>5.0000000000000001E-3</v>
      </c>
      <c r="AT690" s="658" t="s">
        <v>1417</v>
      </c>
      <c r="AU690" s="658" t="s">
        <v>2751</v>
      </c>
      <c r="AX690"/>
      <c r="AY690"/>
      <c r="BA690"/>
      <c r="BB690"/>
      <c r="BC690"/>
      <c r="BD690"/>
      <c r="BE690"/>
      <c r="BF690"/>
      <c r="BG690"/>
      <c r="BH690"/>
      <c r="BI690"/>
      <c r="BJ690"/>
      <c r="BR690"/>
      <c r="BS690"/>
      <c r="BT690"/>
      <c r="BU690"/>
      <c r="BX690"/>
      <c r="BY690"/>
      <c r="CA690"/>
    </row>
    <row r="691" spans="2:79" ht="18.75">
      <c r="B691" s="252" t="s">
        <v>201</v>
      </c>
      <c r="C691" s="251">
        <v>11186674000149</v>
      </c>
      <c r="D691" s="252" t="s">
        <v>14</v>
      </c>
      <c r="E691" s="252" t="s">
        <v>607</v>
      </c>
      <c r="F691" s="252" t="s">
        <v>1417</v>
      </c>
      <c r="G691" s="253" t="s">
        <v>1417</v>
      </c>
      <c r="H691" s="253" t="s">
        <v>34</v>
      </c>
      <c r="I691" s="253" t="s">
        <v>34</v>
      </c>
      <c r="J691" s="253" t="s">
        <v>608</v>
      </c>
      <c r="K691" s="253" t="s">
        <v>48</v>
      </c>
      <c r="L691" s="655"/>
      <c r="M691" s="655" t="s">
        <v>34</v>
      </c>
      <c r="N691" s="253" t="s">
        <v>3284</v>
      </c>
      <c r="O691" s="253" t="s">
        <v>1321</v>
      </c>
      <c r="P691" s="656">
        <v>40115</v>
      </c>
      <c r="Q691" s="657">
        <v>52.923031000000002</v>
      </c>
      <c r="R691" s="657">
        <v>67.737345212851423</v>
      </c>
      <c r="S691" s="253">
        <v>3</v>
      </c>
      <c r="T691" s="658">
        <v>-4.8705353792009354E-2</v>
      </c>
      <c r="U691" s="659">
        <v>-2.4354649654738223</v>
      </c>
      <c r="V691" s="658">
        <v>-0.19033275689547535</v>
      </c>
      <c r="W691" s="659">
        <v>-1.4760895470911755</v>
      </c>
      <c r="X691" s="658">
        <v>-0.19876132590593465</v>
      </c>
      <c r="Y691" s="659">
        <v>-1.0293834313348948</v>
      </c>
      <c r="Z691" s="658">
        <v>-0.16081104563203341</v>
      </c>
      <c r="AA691" s="659">
        <v>-0.72610641812780807</v>
      </c>
      <c r="AB691" s="658">
        <v>0.25197282898135293</v>
      </c>
      <c r="AC691" s="660">
        <v>-1.2671075196202666</v>
      </c>
      <c r="AD691" s="682">
        <v>12698541000114</v>
      </c>
      <c r="AE691" s="944" t="s">
        <v>1744</v>
      </c>
      <c r="AF691" s="661" t="s">
        <v>1767</v>
      </c>
      <c r="AG691" s="662" t="s">
        <v>1432</v>
      </c>
      <c r="AH691" s="662" t="s">
        <v>1734</v>
      </c>
      <c r="AI691" s="662">
        <v>1000</v>
      </c>
      <c r="AJ691" s="662">
        <v>1000</v>
      </c>
      <c r="AK691" s="662">
        <v>1000</v>
      </c>
      <c r="AL691" s="658">
        <v>1.8700000000000001E-2</v>
      </c>
      <c r="AM691" s="658">
        <v>0.2</v>
      </c>
      <c r="AN691" s="659" t="s">
        <v>2127</v>
      </c>
      <c r="AO691" s="253" t="s">
        <v>34</v>
      </c>
      <c r="AP691" s="944" t="s">
        <v>1731</v>
      </c>
      <c r="AQ691" s="663" t="s">
        <v>659</v>
      </c>
      <c r="AR691" s="658">
        <v>5.0666666666666698E-3</v>
      </c>
      <c r="AS691" s="658">
        <v>5.0666666666666698E-3</v>
      </c>
      <c r="AT691" s="658" t="s">
        <v>1417</v>
      </c>
      <c r="AU691" s="658" t="s">
        <v>2751</v>
      </c>
      <c r="AX691"/>
      <c r="AY691"/>
      <c r="BA691"/>
      <c r="BB691"/>
      <c r="BC691"/>
      <c r="BD691"/>
      <c r="BE691"/>
      <c r="BF691"/>
      <c r="BG691"/>
      <c r="BH691"/>
      <c r="BI691"/>
      <c r="BJ691"/>
      <c r="BR691"/>
      <c r="BS691"/>
      <c r="BT691"/>
      <c r="BU691"/>
      <c r="BX691"/>
      <c r="BY691"/>
      <c r="CA691"/>
    </row>
    <row r="692" spans="2:79" ht="18.75">
      <c r="B692" s="252" t="s">
        <v>933</v>
      </c>
      <c r="C692" s="251">
        <v>20584638000124</v>
      </c>
      <c r="D692" s="252" t="s">
        <v>11</v>
      </c>
      <c r="E692" s="252" t="s">
        <v>620</v>
      </c>
      <c r="F692" s="252" t="s">
        <v>692</v>
      </c>
      <c r="G692" s="253" t="s">
        <v>738</v>
      </c>
      <c r="H692" s="253" t="s">
        <v>34</v>
      </c>
      <c r="I692" s="253" t="s">
        <v>1304</v>
      </c>
      <c r="J692" s="253" t="s">
        <v>608</v>
      </c>
      <c r="K692" s="253" t="s">
        <v>48</v>
      </c>
      <c r="L692" s="655"/>
      <c r="M692" s="655" t="s">
        <v>34</v>
      </c>
      <c r="N692" s="253" t="s">
        <v>3285</v>
      </c>
      <c r="O692" s="253" t="s">
        <v>1321</v>
      </c>
      <c r="P692" s="656">
        <v>42321</v>
      </c>
      <c r="Q692" s="657">
        <v>9.8194979999999994</v>
      </c>
      <c r="R692" s="657">
        <v>17.327828582329328</v>
      </c>
      <c r="S692" s="253">
        <v>31</v>
      </c>
      <c r="T692" s="658">
        <v>8.1857896550432407E-3</v>
      </c>
      <c r="U692" s="659">
        <v>0.40932263842556488</v>
      </c>
      <c r="V692" s="658">
        <v>8.6796517146670915E-2</v>
      </c>
      <c r="W692" s="659">
        <v>0.67313390387383498</v>
      </c>
      <c r="X692" s="658">
        <v>0.1640196193004464</v>
      </c>
      <c r="Y692" s="659">
        <v>0.8494563907348911</v>
      </c>
      <c r="Z692" s="658">
        <v>0.16183855037404982</v>
      </c>
      <c r="AA692" s="659">
        <v>0.73074588667241314</v>
      </c>
      <c r="AB692" s="658">
        <v>8.0333022050169574E-3</v>
      </c>
      <c r="AC692" s="660">
        <v>-5.2465836868175515</v>
      </c>
      <c r="AD692" s="682">
        <v>0</v>
      </c>
      <c r="AE692" s="944" t="s">
        <v>1744</v>
      </c>
      <c r="AF692" s="661" t="s">
        <v>1745</v>
      </c>
      <c r="AG692" s="662" t="s">
        <v>59</v>
      </c>
      <c r="AH692" s="662" t="s">
        <v>1734</v>
      </c>
      <c r="AI692" s="662">
        <v>0</v>
      </c>
      <c r="AJ692" s="662">
        <v>0</v>
      </c>
      <c r="AK692" s="662">
        <v>0</v>
      </c>
      <c r="AL692" s="658">
        <v>0</v>
      </c>
      <c r="AM692" s="658">
        <v>0</v>
      </c>
      <c r="AN692" s="659" t="s">
        <v>64</v>
      </c>
      <c r="AO692" s="253" t="s">
        <v>34</v>
      </c>
      <c r="AP692" s="944" t="s">
        <v>1735</v>
      </c>
      <c r="AQ692" s="663" t="s">
        <v>675</v>
      </c>
      <c r="AR692" s="658">
        <v>2E-3</v>
      </c>
      <c r="AS692" s="658">
        <v>2E-3</v>
      </c>
      <c r="AT692" s="658" t="s">
        <v>1417</v>
      </c>
      <c r="AU692" s="658" t="s">
        <v>2751</v>
      </c>
      <c r="AX692"/>
      <c r="AY692"/>
      <c r="BA692"/>
      <c r="BB692"/>
      <c r="BC692"/>
      <c r="BD692"/>
      <c r="BE692"/>
      <c r="BF692"/>
      <c r="BG692"/>
      <c r="BH692"/>
      <c r="BI692"/>
      <c r="BJ692"/>
      <c r="BR692"/>
      <c r="BS692"/>
      <c r="BT692"/>
      <c r="BU692"/>
      <c r="BX692"/>
      <c r="BY692"/>
      <c r="CA692"/>
    </row>
    <row r="693" spans="2:79" ht="18.75">
      <c r="B693" s="252" t="s">
        <v>1590</v>
      </c>
      <c r="C693" s="251">
        <v>828035000113</v>
      </c>
      <c r="D693" s="252" t="s">
        <v>11</v>
      </c>
      <c r="E693" s="252" t="s">
        <v>620</v>
      </c>
      <c r="F693" s="252" t="s">
        <v>692</v>
      </c>
      <c r="G693" s="253" t="s">
        <v>738</v>
      </c>
      <c r="H693" s="253" t="s">
        <v>34</v>
      </c>
      <c r="I693" s="253" t="s">
        <v>1304</v>
      </c>
      <c r="J693" s="253" t="s">
        <v>608</v>
      </c>
      <c r="K693" s="253" t="s">
        <v>48</v>
      </c>
      <c r="L693" s="655"/>
      <c r="M693" s="655" t="s">
        <v>34</v>
      </c>
      <c r="N693" s="253" t="s">
        <v>3286</v>
      </c>
      <c r="O693" s="253" t="s">
        <v>1324</v>
      </c>
      <c r="P693" s="656">
        <v>34980</v>
      </c>
      <c r="Q693" s="657">
        <v>0</v>
      </c>
      <c r="R693" s="657">
        <v>18.85915905940594</v>
      </c>
      <c r="S693" s="253">
        <v>31</v>
      </c>
      <c r="T693" s="658"/>
      <c r="U693" s="659"/>
      <c r="V693" s="658">
        <v>1.6274450034535315E-2</v>
      </c>
      <c r="W693" s="659">
        <v>0.12621340631254349</v>
      </c>
      <c r="X693" s="658">
        <v>7.3699416096681958E-2</v>
      </c>
      <c r="Y693" s="659">
        <v>0.38168872884700084</v>
      </c>
      <c r="Z693" s="658">
        <v>7.1933413905481913E-2</v>
      </c>
      <c r="AA693" s="659">
        <v>0.32479929043014755</v>
      </c>
      <c r="AB693" s="658">
        <v>2.7891446185571968E-2</v>
      </c>
      <c r="AC693" s="660">
        <v>-4.0395703637101503</v>
      </c>
      <c r="AD693" s="682">
        <v>42046759000155</v>
      </c>
      <c r="AE693" s="944" t="s">
        <v>1744</v>
      </c>
      <c r="AF693" s="661" t="s">
        <v>1745</v>
      </c>
      <c r="AG693" s="662" t="s">
        <v>1432</v>
      </c>
      <c r="AH693" s="662" t="s">
        <v>1734</v>
      </c>
      <c r="AI693" s="662">
        <v>1000</v>
      </c>
      <c r="AJ693" s="662">
        <v>1000</v>
      </c>
      <c r="AK693" s="662">
        <v>1000</v>
      </c>
      <c r="AL693" s="658">
        <v>0.02</v>
      </c>
      <c r="AM693" s="658">
        <v>0.2</v>
      </c>
      <c r="AN693" s="659" t="s">
        <v>2127</v>
      </c>
      <c r="AO693" s="253" t="s">
        <v>34</v>
      </c>
      <c r="AP693" s="944" t="s">
        <v>1746</v>
      </c>
      <c r="AQ693" s="663" t="s">
        <v>664</v>
      </c>
      <c r="AR693" s="658">
        <v>1.06666666666667E-3</v>
      </c>
      <c r="AS693" s="658">
        <v>1.06666666666667E-3</v>
      </c>
      <c r="AT693" s="658" t="s">
        <v>1417</v>
      </c>
      <c r="AU693" s="658" t="s">
        <v>2751</v>
      </c>
      <c r="AX693"/>
      <c r="AY693"/>
      <c r="BA693"/>
      <c r="BB693"/>
      <c r="BC693"/>
      <c r="BD693"/>
      <c r="BE693"/>
      <c r="BF693"/>
      <c r="BG693"/>
      <c r="BH693"/>
      <c r="BI693"/>
      <c r="BJ693"/>
      <c r="BR693"/>
      <c r="BS693"/>
      <c r="BT693"/>
      <c r="BU693"/>
      <c r="BX693"/>
      <c r="BY693"/>
      <c r="CA693"/>
    </row>
    <row r="694" spans="2:79" ht="18.75">
      <c r="B694" s="252" t="s">
        <v>513</v>
      </c>
      <c r="C694" s="251">
        <v>9394243000126</v>
      </c>
      <c r="D694" s="252" t="s">
        <v>13</v>
      </c>
      <c r="E694" s="252" t="s">
        <v>615</v>
      </c>
      <c r="F694" s="252" t="s">
        <v>619</v>
      </c>
      <c r="G694" s="253" t="s">
        <v>34</v>
      </c>
      <c r="H694" s="253" t="s">
        <v>1337</v>
      </c>
      <c r="I694" s="253" t="s">
        <v>34</v>
      </c>
      <c r="J694" s="253" t="s">
        <v>1417</v>
      </c>
      <c r="K694" s="253" t="s">
        <v>48</v>
      </c>
      <c r="L694" s="655"/>
      <c r="M694" s="655" t="s">
        <v>1414</v>
      </c>
      <c r="N694" s="253" t="s">
        <v>3287</v>
      </c>
      <c r="O694" s="253" t="s">
        <v>1321</v>
      </c>
      <c r="P694" s="656">
        <v>40088</v>
      </c>
      <c r="Q694" s="657">
        <v>18.358938999999999</v>
      </c>
      <c r="R694" s="657">
        <v>21.532399777327942</v>
      </c>
      <c r="S694" s="253">
        <v>31</v>
      </c>
      <c r="T694" s="658">
        <v>1.3860659604330916E-2</v>
      </c>
      <c r="U694" s="659">
        <v>0.69308912134921041</v>
      </c>
      <c r="V694" s="658">
        <v>0.12460135481563483</v>
      </c>
      <c r="W694" s="659">
        <v>0.96632214231921076</v>
      </c>
      <c r="X694" s="658">
        <v>0.14687151862678882</v>
      </c>
      <c r="Y694" s="659">
        <v>0.76064650464729378</v>
      </c>
      <c r="Z694" s="658">
        <v>0.21135550452835794</v>
      </c>
      <c r="AA694" s="659">
        <v>0.95432865162659763</v>
      </c>
      <c r="AB694" s="658">
        <v>2.1600996036752865E-2</v>
      </c>
      <c r="AC694" s="660">
        <v>-0.20103492560088004</v>
      </c>
      <c r="AD694" s="682">
        <v>0</v>
      </c>
      <c r="AE694" s="944" t="s">
        <v>1744</v>
      </c>
      <c r="AF694" s="661" t="s">
        <v>1767</v>
      </c>
      <c r="AG694" s="662" t="s">
        <v>1432</v>
      </c>
      <c r="AH694" s="662" t="s">
        <v>1734</v>
      </c>
      <c r="AI694" s="662">
        <v>1000</v>
      </c>
      <c r="AJ694" s="662">
        <v>1000</v>
      </c>
      <c r="AK694" s="662">
        <v>1000</v>
      </c>
      <c r="AL694" s="658">
        <v>3.15E-2</v>
      </c>
      <c r="AM694" s="658">
        <v>0</v>
      </c>
      <c r="AN694" s="659" t="s">
        <v>2127</v>
      </c>
      <c r="AO694" s="253" t="s">
        <v>34</v>
      </c>
      <c r="AP694" s="944" t="s">
        <v>1746</v>
      </c>
      <c r="AQ694" s="663" t="s">
        <v>686</v>
      </c>
      <c r="AR694" s="658">
        <v>3.0666666666666698E-3</v>
      </c>
      <c r="AS694" s="658">
        <v>3.0666666666666698E-3</v>
      </c>
      <c r="AT694" s="658" t="s">
        <v>1417</v>
      </c>
      <c r="AU694" s="658" t="s">
        <v>2751</v>
      </c>
      <c r="AX694"/>
      <c r="AY694"/>
      <c r="BA694"/>
      <c r="BB694"/>
      <c r="BC694"/>
      <c r="BD694"/>
      <c r="BE694"/>
      <c r="BF694"/>
      <c r="BG694"/>
      <c r="BH694"/>
      <c r="BI694"/>
      <c r="BJ694"/>
      <c r="BR694"/>
      <c r="BS694"/>
      <c r="BT694"/>
      <c r="BU694"/>
      <c r="BX694"/>
      <c r="BY694"/>
      <c r="CA694"/>
    </row>
    <row r="695" spans="2:79" ht="18.75">
      <c r="B695" s="252" t="s">
        <v>555</v>
      </c>
      <c r="C695" s="251">
        <v>13476201000101</v>
      </c>
      <c r="D695" s="252" t="s">
        <v>14</v>
      </c>
      <c r="E695" s="252" t="s">
        <v>607</v>
      </c>
      <c r="F695" s="252" t="s">
        <v>1417</v>
      </c>
      <c r="G695" s="253" t="s">
        <v>1417</v>
      </c>
      <c r="H695" s="253" t="s">
        <v>34</v>
      </c>
      <c r="I695" s="253" t="s">
        <v>34</v>
      </c>
      <c r="J695" s="253" t="s">
        <v>608</v>
      </c>
      <c r="K695" s="253" t="s">
        <v>48</v>
      </c>
      <c r="L695" s="655"/>
      <c r="M695" s="655" t="s">
        <v>34</v>
      </c>
      <c r="N695" s="253" t="s">
        <v>3288</v>
      </c>
      <c r="O695" s="253" t="s">
        <v>1321</v>
      </c>
      <c r="P695" s="656">
        <v>40702</v>
      </c>
      <c r="Q695" s="657">
        <v>6.68</v>
      </c>
      <c r="R695" s="657">
        <v>20.094516129032247</v>
      </c>
      <c r="S695" s="253">
        <v>32</v>
      </c>
      <c r="T695" s="658">
        <v>-0.11295072832922104</v>
      </c>
      <c r="U695" s="659">
        <v>-5.6479939114147353</v>
      </c>
      <c r="V695" s="658">
        <v>-0.36804349521169932</v>
      </c>
      <c r="W695" s="659">
        <v>-2.8542914263320118</v>
      </c>
      <c r="X695" s="658">
        <v>-0.63641554140854761</v>
      </c>
      <c r="Y695" s="659">
        <v>-3.2959913644368832</v>
      </c>
      <c r="Z695" s="658">
        <v>-0.60737060916745977</v>
      </c>
      <c r="AA695" s="659">
        <v>-2.7424465512637592</v>
      </c>
      <c r="AB695" s="658">
        <v>0.36867990948292689</v>
      </c>
      <c r="AC695" s="660">
        <v>-1.3480186792806581</v>
      </c>
      <c r="AD695" s="682">
        <v>0</v>
      </c>
      <c r="AE695" s="944" t="s">
        <v>1744</v>
      </c>
      <c r="AF695" s="661" t="s">
        <v>1767</v>
      </c>
      <c r="AG695" s="662" t="s">
        <v>1432</v>
      </c>
      <c r="AH695" s="662" t="s">
        <v>1734</v>
      </c>
      <c r="AI695" s="662">
        <v>1000</v>
      </c>
      <c r="AJ695" s="662">
        <v>1000</v>
      </c>
      <c r="AK695" s="662">
        <v>1000</v>
      </c>
      <c r="AL695" s="658">
        <v>1.4999999999999999E-2</v>
      </c>
      <c r="AM695" s="658">
        <v>0</v>
      </c>
      <c r="AN695" s="659" t="s">
        <v>2127</v>
      </c>
      <c r="AO695" s="253" t="s">
        <v>34</v>
      </c>
      <c r="AP695" s="944" t="s">
        <v>1731</v>
      </c>
      <c r="AQ695" s="663" t="s">
        <v>659</v>
      </c>
      <c r="AR695" s="658">
        <v>4.0000000000000001E-3</v>
      </c>
      <c r="AS695" s="658">
        <v>4.0000000000000001E-3</v>
      </c>
      <c r="AT695" s="658" t="s">
        <v>1417</v>
      </c>
      <c r="AU695" s="658" t="s">
        <v>2751</v>
      </c>
      <c r="AX695"/>
      <c r="AY695"/>
      <c r="BA695"/>
      <c r="BB695"/>
      <c r="BC695"/>
      <c r="BD695"/>
      <c r="BE695"/>
      <c r="BF695"/>
      <c r="BG695"/>
      <c r="BH695"/>
      <c r="BI695"/>
      <c r="BJ695"/>
      <c r="BR695"/>
      <c r="BS695"/>
      <c r="BT695"/>
      <c r="BU695"/>
      <c r="BX695"/>
      <c r="BY695"/>
      <c r="CA695"/>
    </row>
    <row r="696" spans="2:79" ht="18.75">
      <c r="B696" s="252" t="s">
        <v>484</v>
      </c>
      <c r="C696" s="251">
        <v>29613915000154</v>
      </c>
      <c r="D696" s="252" t="s">
        <v>11</v>
      </c>
      <c r="E696" s="252" t="s">
        <v>620</v>
      </c>
      <c r="F696" s="252" t="s">
        <v>663</v>
      </c>
      <c r="G696" s="253" t="s">
        <v>738</v>
      </c>
      <c r="H696" s="253" t="s">
        <v>34</v>
      </c>
      <c r="I696" s="253" t="s">
        <v>1417</v>
      </c>
      <c r="J696" s="253" t="s">
        <v>608</v>
      </c>
      <c r="K696" s="253" t="s">
        <v>48</v>
      </c>
      <c r="L696" s="655"/>
      <c r="M696" s="655" t="s">
        <v>34</v>
      </c>
      <c r="N696" s="253" t="s">
        <v>3289</v>
      </c>
      <c r="O696" s="253" t="s">
        <v>1321</v>
      </c>
      <c r="P696" s="656">
        <v>43450</v>
      </c>
      <c r="Q696" s="657">
        <v>23.461713150000001</v>
      </c>
      <c r="R696" s="657">
        <v>25.064929650682743</v>
      </c>
      <c r="S696" s="253">
        <v>31</v>
      </c>
      <c r="T696" s="658">
        <v>2.3615166047028069E-2</v>
      </c>
      <c r="U696" s="659">
        <v>1.1808539530785542</v>
      </c>
      <c r="V696" s="658">
        <v>0.11735333328462105</v>
      </c>
      <c r="W696" s="659">
        <v>0.9101114879183152</v>
      </c>
      <c r="X696" s="658">
        <v>0.19776161850438201</v>
      </c>
      <c r="Y696" s="659">
        <v>1.0242059541237185</v>
      </c>
      <c r="Z696" s="658">
        <v>0.23422352906188237</v>
      </c>
      <c r="AA696" s="659">
        <v>1.057584117185169</v>
      </c>
      <c r="AB696" s="658">
        <v>5.1697665005671446E-2</v>
      </c>
      <c r="AC696" s="660">
        <v>-0.22419921984669453</v>
      </c>
      <c r="AD696" s="682">
        <v>42046759000155</v>
      </c>
      <c r="AE696" s="944" t="s">
        <v>1744</v>
      </c>
      <c r="AF696" s="661" t="s">
        <v>1745</v>
      </c>
      <c r="AG696" s="662" t="s">
        <v>1432</v>
      </c>
      <c r="AH696" s="662" t="s">
        <v>1734</v>
      </c>
      <c r="AI696" s="662">
        <v>1000</v>
      </c>
      <c r="AJ696" s="662">
        <v>1000</v>
      </c>
      <c r="AK696" s="662">
        <v>1000</v>
      </c>
      <c r="AL696" s="658">
        <v>0</v>
      </c>
      <c r="AM696" s="658">
        <v>0.2</v>
      </c>
      <c r="AN696" s="659" t="s">
        <v>2127</v>
      </c>
      <c r="AO696" s="253" t="s">
        <v>34</v>
      </c>
      <c r="AP696" s="944" t="s">
        <v>1746</v>
      </c>
      <c r="AQ696" s="663" t="s">
        <v>664</v>
      </c>
      <c r="AR696" s="658">
        <v>4.9866666666666696E-3</v>
      </c>
      <c r="AS696" s="658">
        <v>4.9866666666666696E-3</v>
      </c>
      <c r="AT696" s="658" t="s">
        <v>1417</v>
      </c>
      <c r="AU696" s="658" t="s">
        <v>2751</v>
      </c>
      <c r="AX696"/>
      <c r="AY696"/>
      <c r="BA696"/>
      <c r="BB696"/>
      <c r="BC696"/>
      <c r="BD696"/>
      <c r="BE696"/>
      <c r="BF696"/>
      <c r="BG696"/>
      <c r="BH696"/>
      <c r="BI696"/>
      <c r="BJ696"/>
      <c r="BR696"/>
      <c r="BS696"/>
      <c r="BT696"/>
      <c r="BU696"/>
      <c r="BX696"/>
      <c r="BY696"/>
      <c r="CA696"/>
    </row>
    <row r="697" spans="2:79" ht="18.75">
      <c r="B697" s="252" t="s">
        <v>202</v>
      </c>
      <c r="C697" s="251">
        <v>26846429000198</v>
      </c>
      <c r="D697" s="252" t="s">
        <v>14</v>
      </c>
      <c r="E697" s="252" t="s">
        <v>607</v>
      </c>
      <c r="F697" s="252" t="s">
        <v>1417</v>
      </c>
      <c r="G697" s="253" t="s">
        <v>1417</v>
      </c>
      <c r="H697" s="253" t="s">
        <v>34</v>
      </c>
      <c r="I697" s="253" t="s">
        <v>34</v>
      </c>
      <c r="J697" s="253" t="s">
        <v>608</v>
      </c>
      <c r="K697" s="253" t="s">
        <v>48</v>
      </c>
      <c r="L697" s="655"/>
      <c r="M697" s="655" t="s">
        <v>34</v>
      </c>
      <c r="N697" s="253" t="s">
        <v>3290</v>
      </c>
      <c r="O697" s="253" t="s">
        <v>1321</v>
      </c>
      <c r="P697" s="656">
        <v>42706</v>
      </c>
      <c r="Q697" s="657">
        <v>28.818417</v>
      </c>
      <c r="R697" s="657">
        <v>29.344615991967856</v>
      </c>
      <c r="S697" s="253">
        <v>21</v>
      </c>
      <c r="T697" s="658">
        <v>2.6064338932545894E-2</v>
      </c>
      <c r="U697" s="659">
        <v>1.3033225174696355</v>
      </c>
      <c r="V697" s="658">
        <v>-0.19251418922941566</v>
      </c>
      <c r="W697" s="659">
        <v>-1.4930072312477933</v>
      </c>
      <c r="X697" s="658">
        <v>-0.3734841089872909</v>
      </c>
      <c r="Y697" s="659">
        <v>-1.9342714278347151</v>
      </c>
      <c r="Z697" s="658">
        <v>5.1183640868979641E-2</v>
      </c>
      <c r="AA697" s="659">
        <v>0.23110831716843031</v>
      </c>
      <c r="AB697" s="658">
        <v>0.29342866380159555</v>
      </c>
      <c r="AC697" s="660">
        <v>-1.0955238473006197</v>
      </c>
      <c r="AD697" s="682">
        <v>0</v>
      </c>
      <c r="AE697" s="944" t="s">
        <v>1947</v>
      </c>
      <c r="AF697" s="661" t="s">
        <v>1861</v>
      </c>
      <c r="AG697" s="662" t="s">
        <v>1434</v>
      </c>
      <c r="AH697" s="662" t="s">
        <v>1730</v>
      </c>
      <c r="AI697" s="662">
        <v>10000</v>
      </c>
      <c r="AJ697" s="662">
        <v>5000</v>
      </c>
      <c r="AK697" s="662">
        <v>5000</v>
      </c>
      <c r="AL697" s="658">
        <v>0.02</v>
      </c>
      <c r="AM697" s="658">
        <v>0.2</v>
      </c>
      <c r="AN697" s="659" t="s">
        <v>34</v>
      </c>
      <c r="AO697" s="253" t="s">
        <v>34</v>
      </c>
      <c r="AP697" s="944" t="s">
        <v>1731</v>
      </c>
      <c r="AQ697" s="663" t="s">
        <v>687</v>
      </c>
      <c r="AR697" s="658">
        <v>4.0000000000000001E-3</v>
      </c>
      <c r="AS697" s="658">
        <v>4.0000000000000001E-3</v>
      </c>
      <c r="AT697" s="658" t="s">
        <v>1417</v>
      </c>
      <c r="AU697" s="658" t="s">
        <v>2751</v>
      </c>
      <c r="AX697"/>
      <c r="AY697"/>
      <c r="BA697"/>
      <c r="BB697"/>
      <c r="BC697"/>
      <c r="BD697"/>
      <c r="BE697"/>
      <c r="BF697"/>
      <c r="BG697"/>
      <c r="BH697"/>
      <c r="BI697"/>
      <c r="BJ697"/>
      <c r="BR697"/>
      <c r="BS697"/>
      <c r="BT697"/>
      <c r="BU697"/>
      <c r="BX697"/>
      <c r="BY697"/>
      <c r="CA697"/>
    </row>
    <row r="698" spans="2:79" ht="18.75">
      <c r="B698" s="252" t="s">
        <v>934</v>
      </c>
      <c r="C698" s="251">
        <v>43584074000125</v>
      </c>
      <c r="D698" s="252" t="s">
        <v>14</v>
      </c>
      <c r="E698" s="252" t="s">
        <v>607</v>
      </c>
      <c r="F698" s="252" t="s">
        <v>1417</v>
      </c>
      <c r="G698" s="253" t="s">
        <v>1417</v>
      </c>
      <c r="H698" s="253" t="s">
        <v>34</v>
      </c>
      <c r="I698" s="253" t="s">
        <v>34</v>
      </c>
      <c r="J698" s="253" t="s">
        <v>608</v>
      </c>
      <c r="K698" s="253" t="s">
        <v>48</v>
      </c>
      <c r="L698" s="655"/>
      <c r="M698" s="655" t="s">
        <v>34</v>
      </c>
      <c r="N698" s="253" t="s">
        <v>3291</v>
      </c>
      <c r="O698" s="253" t="s">
        <v>1321</v>
      </c>
      <c r="P698" s="656">
        <v>44508</v>
      </c>
      <c r="Q698" s="657"/>
      <c r="R698" s="657"/>
      <c r="S698" s="253">
        <v>5</v>
      </c>
      <c r="T698" s="658"/>
      <c r="U698" s="659"/>
      <c r="V698" s="658"/>
      <c r="W698" s="659"/>
      <c r="X698" s="658"/>
      <c r="Y698" s="659"/>
      <c r="Z698" s="658"/>
      <c r="AA698" s="659"/>
      <c r="AB698" s="658"/>
      <c r="AC698" s="660"/>
      <c r="AD698" s="682">
        <v>0</v>
      </c>
      <c r="AE698" s="944" t="s">
        <v>2054</v>
      </c>
      <c r="AF698" s="661" t="s">
        <v>1745</v>
      </c>
      <c r="AG698" s="662" t="s">
        <v>1432</v>
      </c>
      <c r="AH698" s="662" t="s">
        <v>1734</v>
      </c>
      <c r="AI698" s="662">
        <v>1000</v>
      </c>
      <c r="AJ698" s="662">
        <v>0</v>
      </c>
      <c r="AK698" s="662">
        <v>0</v>
      </c>
      <c r="AL698" s="658">
        <v>2.5000000000000001E-2</v>
      </c>
      <c r="AM698" s="658">
        <v>0.25</v>
      </c>
      <c r="AN698" s="659" t="s">
        <v>2127</v>
      </c>
      <c r="AO698" s="253" t="s">
        <v>34</v>
      </c>
      <c r="AP698" s="944" t="s">
        <v>1731</v>
      </c>
      <c r="AQ698" s="663" t="s">
        <v>659</v>
      </c>
      <c r="AR698" s="658">
        <v>5.3333333333333297E-3</v>
      </c>
      <c r="AS698" s="658">
        <v>5.3333333333333297E-3</v>
      </c>
      <c r="AT698" s="658" t="s">
        <v>1417</v>
      </c>
      <c r="AU698" s="658" t="s">
        <v>2751</v>
      </c>
      <c r="AX698"/>
      <c r="AY698"/>
      <c r="BA698"/>
      <c r="BB698"/>
      <c r="BC698"/>
      <c r="BD698"/>
      <c r="BE698"/>
      <c r="BF698"/>
      <c r="BG698"/>
      <c r="BH698"/>
      <c r="BI698"/>
      <c r="BJ698"/>
      <c r="BR698"/>
      <c r="BS698"/>
      <c r="BT698"/>
      <c r="BU698"/>
      <c r="BX698"/>
      <c r="BY698"/>
      <c r="CA698"/>
    </row>
    <row r="699" spans="2:79" ht="18.75">
      <c r="B699" s="252" t="s">
        <v>514</v>
      </c>
      <c r="C699" s="251">
        <v>37284388000100</v>
      </c>
      <c r="D699" s="252" t="s">
        <v>11</v>
      </c>
      <c r="E699" s="252" t="s">
        <v>620</v>
      </c>
      <c r="F699" s="252" t="s">
        <v>663</v>
      </c>
      <c r="G699" s="253" t="s">
        <v>738</v>
      </c>
      <c r="H699" s="253" t="s">
        <v>34</v>
      </c>
      <c r="I699" s="253" t="s">
        <v>1417</v>
      </c>
      <c r="J699" s="253" t="s">
        <v>608</v>
      </c>
      <c r="K699" s="253" t="s">
        <v>48</v>
      </c>
      <c r="L699" s="655"/>
      <c r="M699" s="655" t="s">
        <v>34</v>
      </c>
      <c r="N699" s="253" t="s">
        <v>3292</v>
      </c>
      <c r="O699" s="253" t="s">
        <v>1321</v>
      </c>
      <c r="P699" s="656">
        <v>44138</v>
      </c>
      <c r="Q699" s="657"/>
      <c r="R699" s="657"/>
      <c r="S699" s="253">
        <v>181</v>
      </c>
      <c r="T699" s="658"/>
      <c r="U699" s="659"/>
      <c r="V699" s="658"/>
      <c r="W699" s="659"/>
      <c r="X699" s="658"/>
      <c r="Y699" s="659"/>
      <c r="Z699" s="658"/>
      <c r="AA699" s="659"/>
      <c r="AB699" s="658"/>
      <c r="AC699" s="660"/>
      <c r="AD699" s="682">
        <v>0</v>
      </c>
      <c r="AE699" s="944" t="s">
        <v>2054</v>
      </c>
      <c r="AF699" s="661" t="s">
        <v>1745</v>
      </c>
      <c r="AG699" s="662" t="s">
        <v>1432</v>
      </c>
      <c r="AH699" s="662" t="s">
        <v>1730</v>
      </c>
      <c r="AI699" s="662">
        <v>1000</v>
      </c>
      <c r="AJ699" s="662">
        <v>1000</v>
      </c>
      <c r="AK699" s="662">
        <v>1000</v>
      </c>
      <c r="AL699" s="658">
        <v>1.2500000000000001E-2</v>
      </c>
      <c r="AM699" s="658">
        <v>0.2</v>
      </c>
      <c r="AN699" s="659" t="s">
        <v>2127</v>
      </c>
      <c r="AO699" s="253" t="s">
        <v>34</v>
      </c>
      <c r="AP699" s="944" t="s">
        <v>1746</v>
      </c>
      <c r="AQ699" s="663" t="s">
        <v>668</v>
      </c>
      <c r="AR699" s="658">
        <v>4.1662499999999998E-3</v>
      </c>
      <c r="AS699" s="658">
        <v>4.1662499999999998E-3</v>
      </c>
      <c r="AT699" s="658" t="s">
        <v>1417</v>
      </c>
      <c r="AU699" s="658" t="s">
        <v>2751</v>
      </c>
      <c r="AX699"/>
      <c r="AY699"/>
      <c r="BA699"/>
      <c r="BB699"/>
      <c r="BC699"/>
      <c r="BD699"/>
      <c r="BE699"/>
      <c r="BF699"/>
      <c r="BG699"/>
      <c r="BH699"/>
      <c r="BI699"/>
      <c r="BJ699"/>
      <c r="BR699"/>
      <c r="BS699"/>
      <c r="BT699"/>
      <c r="BU699"/>
      <c r="BX699"/>
      <c r="BY699"/>
      <c r="CA699"/>
    </row>
    <row r="700" spans="2:79" ht="18.75">
      <c r="B700" s="252" t="s">
        <v>935</v>
      </c>
      <c r="C700" s="251">
        <v>14115121000193</v>
      </c>
      <c r="D700" s="252" t="s">
        <v>11</v>
      </c>
      <c r="E700" s="252" t="s">
        <v>620</v>
      </c>
      <c r="F700" s="252" t="s">
        <v>663</v>
      </c>
      <c r="G700" s="253" t="s">
        <v>738</v>
      </c>
      <c r="H700" s="253" t="s">
        <v>34</v>
      </c>
      <c r="I700" s="253" t="s">
        <v>1304</v>
      </c>
      <c r="J700" s="253" t="s">
        <v>608</v>
      </c>
      <c r="K700" s="253" t="s">
        <v>48</v>
      </c>
      <c r="L700" s="655"/>
      <c r="M700" s="655" t="s">
        <v>34</v>
      </c>
      <c r="N700" s="253" t="s">
        <v>3293</v>
      </c>
      <c r="O700" s="253" t="s">
        <v>1321</v>
      </c>
      <c r="P700" s="656">
        <v>40926</v>
      </c>
      <c r="Q700" s="657">
        <v>301.109081</v>
      </c>
      <c r="R700" s="657">
        <v>280.67409526829272</v>
      </c>
      <c r="S700" s="253">
        <v>92</v>
      </c>
      <c r="T700" s="658">
        <v>2.0824867939861935E-2</v>
      </c>
      <c r="U700" s="659">
        <v>1.0413277459135024</v>
      </c>
      <c r="V700" s="658">
        <v>0.15346944403595386</v>
      </c>
      <c r="W700" s="659">
        <v>1.1902031254860201</v>
      </c>
      <c r="X700" s="658">
        <v>0.26012680845881109</v>
      </c>
      <c r="Y700" s="659">
        <v>1.3471948099211728</v>
      </c>
      <c r="Z700" s="658">
        <v>0.3100789045331791</v>
      </c>
      <c r="AA700" s="659">
        <v>1.400092150527821</v>
      </c>
      <c r="AB700" s="658">
        <v>3.02170338331229E-3</v>
      </c>
      <c r="AC700" s="660">
        <v>8.116459982343283</v>
      </c>
      <c r="AD700" s="682">
        <v>0</v>
      </c>
      <c r="AE700" s="944" t="s">
        <v>1853</v>
      </c>
      <c r="AF700" s="661" t="s">
        <v>1745</v>
      </c>
      <c r="AG700" s="662" t="s">
        <v>1432</v>
      </c>
      <c r="AH700" s="662" t="s">
        <v>1730</v>
      </c>
      <c r="AI700" s="662">
        <v>0</v>
      </c>
      <c r="AJ700" s="662">
        <v>0</v>
      </c>
      <c r="AK700" s="662">
        <v>0</v>
      </c>
      <c r="AL700" s="658">
        <v>1.1000000000000001E-2</v>
      </c>
      <c r="AM700" s="658">
        <v>0.15</v>
      </c>
      <c r="AN700" s="659" t="s">
        <v>64</v>
      </c>
      <c r="AO700" s="253" t="s">
        <v>34</v>
      </c>
      <c r="AP700" s="944" t="s">
        <v>1746</v>
      </c>
      <c r="AQ700" s="663" t="s">
        <v>686</v>
      </c>
      <c r="AR700" s="658">
        <v>3.6666666666666701E-3</v>
      </c>
      <c r="AS700" s="658">
        <v>3.6666666666666701E-3</v>
      </c>
      <c r="AT700" s="658" t="s">
        <v>1417</v>
      </c>
      <c r="AU700" s="658" t="s">
        <v>2751</v>
      </c>
      <c r="AX700"/>
      <c r="AY700"/>
      <c r="BA700"/>
      <c r="BB700"/>
      <c r="BC700"/>
      <c r="BD700"/>
      <c r="BE700"/>
      <c r="BF700"/>
      <c r="BG700"/>
      <c r="BH700"/>
      <c r="BI700"/>
      <c r="BJ700"/>
      <c r="BR700"/>
      <c r="BS700"/>
      <c r="BT700"/>
      <c r="BU700"/>
      <c r="BX700"/>
      <c r="BY700"/>
      <c r="CA700"/>
    </row>
    <row r="701" spans="2:79" ht="18.75">
      <c r="B701" s="252" t="s">
        <v>936</v>
      </c>
      <c r="C701" s="251">
        <v>10459361000154</v>
      </c>
      <c r="D701" s="252" t="s">
        <v>13</v>
      </c>
      <c r="E701" s="252" t="s">
        <v>616</v>
      </c>
      <c r="F701" s="252" t="s">
        <v>617</v>
      </c>
      <c r="G701" s="253" t="s">
        <v>34</v>
      </c>
      <c r="H701" s="253" t="s">
        <v>865</v>
      </c>
      <c r="I701" s="253" t="s">
        <v>34</v>
      </c>
      <c r="J701" s="253" t="s">
        <v>608</v>
      </c>
      <c r="K701" s="253" t="s">
        <v>48</v>
      </c>
      <c r="L701" s="655"/>
      <c r="M701" s="655" t="s">
        <v>1414</v>
      </c>
      <c r="N701" s="253" t="s">
        <v>3294</v>
      </c>
      <c r="O701" s="253" t="s">
        <v>1321</v>
      </c>
      <c r="P701" s="656">
        <v>40629</v>
      </c>
      <c r="Q701" s="657">
        <v>105.845105</v>
      </c>
      <c r="R701" s="657">
        <v>158.56423003658531</v>
      </c>
      <c r="S701" s="253">
        <v>33</v>
      </c>
      <c r="T701" s="658">
        <v>8.3462063488843885E-3</v>
      </c>
      <c r="U701" s="659">
        <v>0.41734412286843842</v>
      </c>
      <c r="V701" s="658">
        <v>8.689933856658949E-2</v>
      </c>
      <c r="W701" s="659">
        <v>0.67393131586762134</v>
      </c>
      <c r="X701" s="658">
        <v>7.1753838097180722E-2</v>
      </c>
      <c r="Y701" s="659">
        <v>0.37161259483084885</v>
      </c>
      <c r="Z701" s="658">
        <v>0.14046853987555052</v>
      </c>
      <c r="AA701" s="659">
        <v>0.63425436945459324</v>
      </c>
      <c r="AB701" s="658">
        <v>4.8537575096976912E-2</v>
      </c>
      <c r="AC701" s="660">
        <v>-0.86622726405665751</v>
      </c>
      <c r="AD701" s="682">
        <v>0</v>
      </c>
      <c r="AE701" s="944" t="s">
        <v>1755</v>
      </c>
      <c r="AF701" s="661" t="s">
        <v>1755</v>
      </c>
      <c r="AG701" s="662" t="s">
        <v>469</v>
      </c>
      <c r="AH701" s="662" t="s">
        <v>1730</v>
      </c>
      <c r="AI701" s="662">
        <v>1000</v>
      </c>
      <c r="AJ701" s="662">
        <v>1000</v>
      </c>
      <c r="AK701" s="662">
        <v>1000</v>
      </c>
      <c r="AL701" s="658">
        <v>0.01</v>
      </c>
      <c r="AM701" s="658">
        <v>0</v>
      </c>
      <c r="AN701" s="659" t="s">
        <v>64</v>
      </c>
      <c r="AO701" s="253" t="s">
        <v>34</v>
      </c>
      <c r="AP701" s="944" t="s">
        <v>1746</v>
      </c>
      <c r="AQ701" s="663" t="s">
        <v>668</v>
      </c>
      <c r="AR701" s="658">
        <v>2.66666666666667E-3</v>
      </c>
      <c r="AS701" s="658">
        <v>2.66666666666667E-3</v>
      </c>
      <c r="AT701" s="658" t="s">
        <v>1417</v>
      </c>
      <c r="AU701" s="658" t="s">
        <v>2751</v>
      </c>
      <c r="AX701"/>
      <c r="AY701"/>
      <c r="BA701"/>
      <c r="BB701"/>
      <c r="BC701"/>
      <c r="BD701"/>
      <c r="BE701"/>
      <c r="BF701"/>
      <c r="BG701"/>
      <c r="BH701"/>
      <c r="BI701"/>
      <c r="BJ701"/>
      <c r="BR701"/>
      <c r="BS701"/>
      <c r="BT701"/>
      <c r="BU701"/>
      <c r="BX701"/>
      <c r="BY701"/>
      <c r="CA701"/>
    </row>
    <row r="702" spans="2:79" ht="18.75">
      <c r="B702" s="252" t="s">
        <v>937</v>
      </c>
      <c r="C702" s="251">
        <v>10941848000179</v>
      </c>
      <c r="D702" s="252" t="s">
        <v>13</v>
      </c>
      <c r="E702" s="252" t="s">
        <v>615</v>
      </c>
      <c r="F702" s="252" t="s">
        <v>619</v>
      </c>
      <c r="G702" s="253" t="s">
        <v>34</v>
      </c>
      <c r="H702" s="253" t="s">
        <v>1337</v>
      </c>
      <c r="I702" s="253" t="s">
        <v>34</v>
      </c>
      <c r="J702" s="253" t="s">
        <v>1417</v>
      </c>
      <c r="K702" s="253" t="s">
        <v>48</v>
      </c>
      <c r="L702" s="655"/>
      <c r="M702" s="655" t="s">
        <v>1414</v>
      </c>
      <c r="N702" s="253" t="s">
        <v>3295</v>
      </c>
      <c r="O702" s="253" t="s">
        <v>1321</v>
      </c>
      <c r="P702" s="656">
        <v>40606</v>
      </c>
      <c r="Q702" s="657">
        <v>253.53397899999999</v>
      </c>
      <c r="R702" s="657">
        <v>322.4258118897958</v>
      </c>
      <c r="S702" s="253">
        <v>31</v>
      </c>
      <c r="T702" s="658">
        <v>1.5488266036215226E-2</v>
      </c>
      <c r="U702" s="659">
        <v>0.7744760353907717</v>
      </c>
      <c r="V702" s="658">
        <v>0.14612122286894902</v>
      </c>
      <c r="W702" s="659">
        <v>1.1332153918386449</v>
      </c>
      <c r="X702" s="658">
        <v>0.22585458246799073</v>
      </c>
      <c r="Y702" s="659">
        <v>1.1696992059392803</v>
      </c>
      <c r="Z702" s="658">
        <v>0.28864725232588717</v>
      </c>
      <c r="AA702" s="659">
        <v>1.303322303919114</v>
      </c>
      <c r="AB702" s="658">
        <v>2.3229955818017144E-2</v>
      </c>
      <c r="AC702" s="660">
        <v>0.73944666777359735</v>
      </c>
      <c r="AD702" s="682">
        <v>0</v>
      </c>
      <c r="AE702" s="944" t="s">
        <v>1755</v>
      </c>
      <c r="AF702" s="661" t="s">
        <v>1755</v>
      </c>
      <c r="AG702" s="662" t="s">
        <v>469</v>
      </c>
      <c r="AH702" s="662" t="s">
        <v>1730</v>
      </c>
      <c r="AI702" s="662">
        <v>1000</v>
      </c>
      <c r="AJ702" s="662">
        <v>1000</v>
      </c>
      <c r="AK702" s="662">
        <v>1000</v>
      </c>
      <c r="AL702" s="658">
        <v>0.01</v>
      </c>
      <c r="AM702" s="658">
        <v>0</v>
      </c>
      <c r="AN702" s="659" t="s">
        <v>64</v>
      </c>
      <c r="AO702" s="253" t="s">
        <v>34</v>
      </c>
      <c r="AP702" s="944" t="s">
        <v>1746</v>
      </c>
      <c r="AQ702" s="663" t="s">
        <v>668</v>
      </c>
      <c r="AR702" s="658">
        <v>2.66666666666667E-3</v>
      </c>
      <c r="AS702" s="658">
        <v>2.66666666666667E-3</v>
      </c>
      <c r="AT702" s="658" t="s">
        <v>1417</v>
      </c>
      <c r="AU702" s="658" t="s">
        <v>2751</v>
      </c>
      <c r="AX702"/>
      <c r="AY702"/>
      <c r="BA702"/>
      <c r="BB702"/>
      <c r="BC702"/>
      <c r="BD702"/>
      <c r="BE702"/>
      <c r="BF702"/>
      <c r="BG702"/>
      <c r="BH702"/>
      <c r="BI702"/>
      <c r="BJ702"/>
      <c r="BR702"/>
      <c r="BS702"/>
      <c r="BT702"/>
      <c r="BU702"/>
      <c r="BX702"/>
      <c r="BY702"/>
      <c r="CA702"/>
    </row>
    <row r="703" spans="2:79" ht="18.75">
      <c r="B703" s="252" t="s">
        <v>938</v>
      </c>
      <c r="C703" s="251">
        <v>19038997000105</v>
      </c>
      <c r="D703" s="252" t="s">
        <v>13</v>
      </c>
      <c r="E703" s="252" t="s">
        <v>615</v>
      </c>
      <c r="F703" s="252" t="s">
        <v>619</v>
      </c>
      <c r="G703" s="253" t="s">
        <v>34</v>
      </c>
      <c r="H703" s="253" t="s">
        <v>1337</v>
      </c>
      <c r="I703" s="253" t="s">
        <v>34</v>
      </c>
      <c r="J703" s="253" t="s">
        <v>1417</v>
      </c>
      <c r="K703" s="253" t="s">
        <v>48</v>
      </c>
      <c r="L703" s="655"/>
      <c r="M703" s="655" t="s">
        <v>1414</v>
      </c>
      <c r="N703" s="253" t="s">
        <v>3296</v>
      </c>
      <c r="O703" s="253" t="s">
        <v>1321</v>
      </c>
      <c r="P703" s="656">
        <v>41529</v>
      </c>
      <c r="Q703" s="657">
        <v>66.014370999999997</v>
      </c>
      <c r="R703" s="657">
        <v>60.823545762295069</v>
      </c>
      <c r="S703" s="253">
        <v>4</v>
      </c>
      <c r="T703" s="658">
        <v>3.5786349127693295E-3</v>
      </c>
      <c r="U703" s="659">
        <v>0.17894624051988853</v>
      </c>
      <c r="V703" s="658">
        <v>7.154208144616514E-2</v>
      </c>
      <c r="W703" s="659">
        <v>0.55483102500229853</v>
      </c>
      <c r="X703" s="658">
        <v>0.1073836071089489</v>
      </c>
      <c r="Y703" s="659">
        <v>0.55613890404032329</v>
      </c>
      <c r="Z703" s="658">
        <v>0.14390117135698577</v>
      </c>
      <c r="AA703" s="659">
        <v>0.64975365148426745</v>
      </c>
      <c r="AB703" s="658">
        <v>5.9537608893696289E-2</v>
      </c>
      <c r="AC703" s="660">
        <v>-0.96412719736718866</v>
      </c>
      <c r="AD703" s="682">
        <v>0</v>
      </c>
      <c r="AE703" s="944" t="s">
        <v>1805</v>
      </c>
      <c r="AF703" s="661" t="s">
        <v>1769</v>
      </c>
      <c r="AG703" s="662" t="s">
        <v>719</v>
      </c>
      <c r="AH703" s="662" t="s">
        <v>1734</v>
      </c>
      <c r="AI703" s="662">
        <v>1000</v>
      </c>
      <c r="AJ703" s="662">
        <v>500</v>
      </c>
      <c r="AK703" s="662">
        <v>500</v>
      </c>
      <c r="AL703" s="658">
        <v>8.5000000000000006E-3</v>
      </c>
      <c r="AM703" s="658">
        <v>0.2</v>
      </c>
      <c r="AN703" s="659" t="s">
        <v>64</v>
      </c>
      <c r="AO703" s="253" t="s">
        <v>34</v>
      </c>
      <c r="AP703" s="944" t="s">
        <v>1746</v>
      </c>
      <c r="AQ703" s="663" t="s">
        <v>686</v>
      </c>
      <c r="AR703" s="658">
        <v>2.6503E-3</v>
      </c>
      <c r="AS703" s="658">
        <v>2.6503E-3</v>
      </c>
      <c r="AT703" s="658" t="s">
        <v>1417</v>
      </c>
      <c r="AU703" s="658" t="s">
        <v>2751</v>
      </c>
      <c r="AX703"/>
      <c r="AY703"/>
      <c r="BA703"/>
      <c r="BB703"/>
      <c r="BC703"/>
      <c r="BD703"/>
      <c r="BE703"/>
      <c r="BF703"/>
      <c r="BG703"/>
      <c r="BH703"/>
      <c r="BI703"/>
      <c r="BJ703"/>
      <c r="BR703"/>
      <c r="BS703"/>
      <c r="BT703"/>
      <c r="BU703"/>
      <c r="BX703"/>
      <c r="BY703"/>
      <c r="CA703"/>
    </row>
    <row r="704" spans="2:79" ht="18.75">
      <c r="B704" s="252" t="s">
        <v>203</v>
      </c>
      <c r="C704" s="251">
        <v>5964067000160</v>
      </c>
      <c r="D704" s="252" t="s">
        <v>14</v>
      </c>
      <c r="E704" s="252" t="s">
        <v>607</v>
      </c>
      <c r="F704" s="252" t="s">
        <v>1417</v>
      </c>
      <c r="G704" s="253" t="s">
        <v>1417</v>
      </c>
      <c r="H704" s="253" t="s">
        <v>34</v>
      </c>
      <c r="I704" s="253" t="s">
        <v>34</v>
      </c>
      <c r="J704" s="253" t="s">
        <v>608</v>
      </c>
      <c r="K704" s="253" t="s">
        <v>48</v>
      </c>
      <c r="L704" s="655"/>
      <c r="M704" s="655" t="s">
        <v>34</v>
      </c>
      <c r="N704" s="253" t="s">
        <v>3297</v>
      </c>
      <c r="O704" s="253" t="s">
        <v>1321</v>
      </c>
      <c r="P704" s="656">
        <v>39633</v>
      </c>
      <c r="Q704" s="657">
        <v>232.758093</v>
      </c>
      <c r="R704" s="657">
        <v>202.9765630121951</v>
      </c>
      <c r="S704" s="253">
        <v>3</v>
      </c>
      <c r="T704" s="658">
        <v>-3.9544372856692989E-2</v>
      </c>
      <c r="U704" s="659">
        <v>-1.9773788131256791</v>
      </c>
      <c r="V704" s="658">
        <v>-6.1156191365304036E-2</v>
      </c>
      <c r="W704" s="659">
        <v>-0.47428522702378229</v>
      </c>
      <c r="X704" s="658">
        <v>5.5254750669347041E-2</v>
      </c>
      <c r="Y704" s="659">
        <v>0.28616394352533475</v>
      </c>
      <c r="Z704" s="658">
        <v>0.18867473153555503</v>
      </c>
      <c r="AA704" s="659">
        <v>0.85191867864590143</v>
      </c>
      <c r="AB704" s="658">
        <v>0.18448707546022791</v>
      </c>
      <c r="AC704" s="660">
        <v>-1.0304250329615883</v>
      </c>
      <c r="AD704" s="682">
        <v>0</v>
      </c>
      <c r="AE704" s="944" t="s">
        <v>1805</v>
      </c>
      <c r="AF704" s="661" t="s">
        <v>1769</v>
      </c>
      <c r="AG704" s="662" t="s">
        <v>719</v>
      </c>
      <c r="AH704" s="662" t="s">
        <v>1734</v>
      </c>
      <c r="AI704" s="662">
        <v>1000</v>
      </c>
      <c r="AJ704" s="662">
        <v>1000</v>
      </c>
      <c r="AK704" s="662">
        <v>1000</v>
      </c>
      <c r="AL704" s="658">
        <v>0.02</v>
      </c>
      <c r="AM704" s="658">
        <v>0</v>
      </c>
      <c r="AN704" s="659" t="s">
        <v>666</v>
      </c>
      <c r="AO704" s="253" t="s">
        <v>34</v>
      </c>
      <c r="AP704" s="944" t="s">
        <v>1731</v>
      </c>
      <c r="AQ704" s="663" t="s">
        <v>665</v>
      </c>
      <c r="AR704" s="658">
        <v>6.4840000000000002E-3</v>
      </c>
      <c r="AS704" s="658">
        <v>6.4840000000000002E-3</v>
      </c>
      <c r="AT704" s="658" t="s">
        <v>1417</v>
      </c>
      <c r="AU704" s="658" t="s">
        <v>2751</v>
      </c>
      <c r="AX704"/>
      <c r="AY704"/>
      <c r="BA704"/>
      <c r="BB704"/>
      <c r="BC704"/>
      <c r="BD704"/>
      <c r="BE704"/>
      <c r="BF704"/>
      <c r="BG704"/>
      <c r="BH704"/>
      <c r="BI704"/>
      <c r="BJ704"/>
      <c r="BR704"/>
      <c r="BS704"/>
      <c r="BT704"/>
      <c r="BU704"/>
      <c r="BX704"/>
      <c r="BY704"/>
      <c r="CA704"/>
    </row>
    <row r="705" spans="2:79" ht="18.75">
      <c r="B705" s="252" t="s">
        <v>2664</v>
      </c>
      <c r="C705" s="251">
        <v>38281397000100</v>
      </c>
      <c r="D705" s="252" t="s">
        <v>14</v>
      </c>
      <c r="E705" s="252" t="s">
        <v>607</v>
      </c>
      <c r="F705" s="252" t="s">
        <v>1417</v>
      </c>
      <c r="G705" s="253" t="s">
        <v>1417</v>
      </c>
      <c r="H705" s="253" t="s">
        <v>1417</v>
      </c>
      <c r="I705" s="253" t="s">
        <v>1417</v>
      </c>
      <c r="J705" s="253" t="s">
        <v>608</v>
      </c>
      <c r="K705" s="253" t="s">
        <v>48</v>
      </c>
      <c r="L705" s="655"/>
      <c r="M705" s="655" t="s">
        <v>34</v>
      </c>
      <c r="N705" s="253" t="s">
        <v>3298</v>
      </c>
      <c r="O705" s="253" t="s">
        <v>1321</v>
      </c>
      <c r="P705" s="656">
        <v>44186</v>
      </c>
      <c r="Q705" s="657"/>
      <c r="R705" s="657"/>
      <c r="S705" s="253">
        <v>10</v>
      </c>
      <c r="T705" s="658"/>
      <c r="U705" s="659"/>
      <c r="V705" s="658"/>
      <c r="W705" s="659"/>
      <c r="X705" s="658"/>
      <c r="Y705" s="659"/>
      <c r="Z705" s="658"/>
      <c r="AA705" s="659"/>
      <c r="AB705" s="658"/>
      <c r="AC705" s="660"/>
      <c r="AD705" s="682">
        <v>38281419000131</v>
      </c>
      <c r="AE705" s="944" t="s">
        <v>1912</v>
      </c>
      <c r="AF705" s="661" t="s">
        <v>1729</v>
      </c>
      <c r="AG705" s="662" t="s">
        <v>1433</v>
      </c>
      <c r="AH705" s="662" t="s">
        <v>2119</v>
      </c>
      <c r="AI705" s="662">
        <v>0</v>
      </c>
      <c r="AJ705" s="662">
        <v>0</v>
      </c>
      <c r="AK705" s="662">
        <v>0</v>
      </c>
      <c r="AL705" s="658">
        <v>0.02</v>
      </c>
      <c r="AM705" s="658">
        <v>0.2</v>
      </c>
      <c r="AN705" s="659" t="s">
        <v>34</v>
      </c>
      <c r="AO705" s="253" t="s">
        <v>4397</v>
      </c>
      <c r="AP705" s="944" t="s">
        <v>1731</v>
      </c>
      <c r="AQ705" s="663" t="s">
        <v>2120</v>
      </c>
      <c r="AR705" s="658">
        <v>0</v>
      </c>
      <c r="AS705" s="658">
        <v>0</v>
      </c>
      <c r="AT705" s="658" t="s">
        <v>1417</v>
      </c>
      <c r="AU705" s="658" t="s">
        <v>2751</v>
      </c>
      <c r="AX705"/>
      <c r="AY705"/>
      <c r="BA705"/>
      <c r="BB705"/>
      <c r="BC705"/>
      <c r="BD705"/>
      <c r="BE705"/>
      <c r="BF705"/>
      <c r="BG705"/>
      <c r="BH705"/>
      <c r="BI705"/>
      <c r="BJ705"/>
      <c r="BR705"/>
      <c r="BS705"/>
      <c r="BT705"/>
      <c r="BU705"/>
      <c r="BX705"/>
      <c r="BY705"/>
      <c r="CA705"/>
    </row>
    <row r="706" spans="2:79" ht="18.75">
      <c r="B706" s="252" t="s">
        <v>2658</v>
      </c>
      <c r="C706" s="251">
        <v>34474917000140</v>
      </c>
      <c r="D706" s="252" t="s">
        <v>14</v>
      </c>
      <c r="E706" s="252" t="s">
        <v>614</v>
      </c>
      <c r="F706" s="252" t="s">
        <v>1417</v>
      </c>
      <c r="G706" s="253" t="s">
        <v>34</v>
      </c>
      <c r="H706" s="253" t="s">
        <v>1338</v>
      </c>
      <c r="I706" s="253" t="s">
        <v>34</v>
      </c>
      <c r="J706" s="253" t="s">
        <v>608</v>
      </c>
      <c r="K706" s="253" t="s">
        <v>48</v>
      </c>
      <c r="L706" s="655"/>
      <c r="M706" s="655" t="s">
        <v>34</v>
      </c>
      <c r="N706" s="253" t="s">
        <v>3299</v>
      </c>
      <c r="O706" s="253" t="s">
        <v>1321</v>
      </c>
      <c r="P706" s="656">
        <v>44021</v>
      </c>
      <c r="Q706" s="657"/>
      <c r="R706" s="657"/>
      <c r="S706" s="253">
        <v>10</v>
      </c>
      <c r="T706" s="658"/>
      <c r="U706" s="659"/>
      <c r="V706" s="658"/>
      <c r="W706" s="659"/>
      <c r="X706" s="658"/>
      <c r="Y706" s="659"/>
      <c r="Z706" s="658"/>
      <c r="AA706" s="659"/>
      <c r="AB706" s="658"/>
      <c r="AC706" s="660"/>
      <c r="AD706" s="682">
        <v>0</v>
      </c>
      <c r="AE706" s="944" t="s">
        <v>1912</v>
      </c>
      <c r="AF706" s="661" t="s">
        <v>1729</v>
      </c>
      <c r="AG706" s="662" t="s">
        <v>1433</v>
      </c>
      <c r="AH706" s="662" t="s">
        <v>2119</v>
      </c>
      <c r="AI706" s="662">
        <v>1</v>
      </c>
      <c r="AJ706" s="662">
        <v>200</v>
      </c>
      <c r="AK706" s="662">
        <v>1000</v>
      </c>
      <c r="AL706" s="658">
        <v>0.02</v>
      </c>
      <c r="AM706" s="658">
        <v>0.2</v>
      </c>
      <c r="AN706" s="659" t="s">
        <v>34</v>
      </c>
      <c r="AO706" s="253" t="s">
        <v>4400</v>
      </c>
      <c r="AP706" s="944" t="s">
        <v>1746</v>
      </c>
      <c r="AQ706" s="663" t="s">
        <v>2177</v>
      </c>
      <c r="AR706" s="658">
        <v>0</v>
      </c>
      <c r="AS706" s="658">
        <v>0</v>
      </c>
      <c r="AT706" s="658" t="s">
        <v>1417</v>
      </c>
      <c r="AU706" s="658" t="s">
        <v>2751</v>
      </c>
      <c r="AX706"/>
      <c r="AY706"/>
      <c r="BA706"/>
      <c r="BB706"/>
      <c r="BC706"/>
      <c r="BD706"/>
      <c r="BE706"/>
      <c r="BF706"/>
      <c r="BG706"/>
      <c r="BH706"/>
      <c r="BI706"/>
      <c r="BJ706"/>
      <c r="BR706"/>
      <c r="BS706"/>
      <c r="BT706"/>
      <c r="BU706"/>
      <c r="BX706"/>
      <c r="BY706"/>
      <c r="CA706"/>
    </row>
    <row r="707" spans="2:79" ht="18.75">
      <c r="B707" s="252" t="s">
        <v>204</v>
      </c>
      <c r="C707" s="251">
        <v>21917184000129</v>
      </c>
      <c r="D707" s="252" t="s">
        <v>14</v>
      </c>
      <c r="E707" s="252" t="s">
        <v>607</v>
      </c>
      <c r="F707" s="252" t="s">
        <v>689</v>
      </c>
      <c r="G707" s="253" t="s">
        <v>1417</v>
      </c>
      <c r="H707" s="253" t="s">
        <v>34</v>
      </c>
      <c r="I707" s="253" t="s">
        <v>34</v>
      </c>
      <c r="J707" s="253" t="s">
        <v>608</v>
      </c>
      <c r="K707" s="253" t="s">
        <v>48</v>
      </c>
      <c r="L707" s="655"/>
      <c r="M707" s="655" t="s">
        <v>34</v>
      </c>
      <c r="N707" s="253" t="s">
        <v>3300</v>
      </c>
      <c r="O707" s="253" t="s">
        <v>1321</v>
      </c>
      <c r="P707" s="656">
        <v>42036</v>
      </c>
      <c r="Q707" s="657">
        <v>638.77291400000001</v>
      </c>
      <c r="R707" s="657">
        <v>700.60787908871009</v>
      </c>
      <c r="S707" s="253">
        <v>32</v>
      </c>
      <c r="T707" s="658">
        <v>-7.2027803556726777E-2</v>
      </c>
      <c r="U707" s="659">
        <v>-3.6016819188205673</v>
      </c>
      <c r="V707" s="658">
        <v>-5.956541852600572E-2</v>
      </c>
      <c r="W707" s="659">
        <v>-0.4619482903966608</v>
      </c>
      <c r="X707" s="658">
        <v>-0.25628952833784124</v>
      </c>
      <c r="Y707" s="659">
        <v>-1.3273215646612448</v>
      </c>
      <c r="Z707" s="658">
        <v>-0.12782260740059814</v>
      </c>
      <c r="AA707" s="659">
        <v>-0.5771544812150462</v>
      </c>
      <c r="AB707" s="658">
        <v>0.2472616475171768</v>
      </c>
      <c r="AC707" s="660">
        <v>-0.76238806084837185</v>
      </c>
      <c r="AD707" s="682">
        <v>21917206000150</v>
      </c>
      <c r="AE707" s="944" t="s">
        <v>1912</v>
      </c>
      <c r="AF707" s="661" t="s">
        <v>1729</v>
      </c>
      <c r="AG707" s="662" t="s">
        <v>1433</v>
      </c>
      <c r="AH707" s="662" t="s">
        <v>1734</v>
      </c>
      <c r="AI707" s="662">
        <v>10000</v>
      </c>
      <c r="AJ707" s="662">
        <v>5000</v>
      </c>
      <c r="AK707" s="662">
        <v>5000</v>
      </c>
      <c r="AL707" s="658">
        <v>0.03</v>
      </c>
      <c r="AM707" s="658">
        <v>0.2</v>
      </c>
      <c r="AN707" s="659" t="s">
        <v>666</v>
      </c>
      <c r="AO707" s="253" t="s">
        <v>34</v>
      </c>
      <c r="AP707" s="944" t="s">
        <v>1731</v>
      </c>
      <c r="AQ707" s="663" t="s">
        <v>670</v>
      </c>
      <c r="AR707" s="658">
        <v>4.4999999999999997E-3</v>
      </c>
      <c r="AS707" s="658">
        <v>4.4999999999999997E-3</v>
      </c>
      <c r="AT707" s="658" t="s">
        <v>1417</v>
      </c>
      <c r="AU707" s="658" t="s">
        <v>2751</v>
      </c>
      <c r="AX707"/>
      <c r="AY707"/>
      <c r="BA707"/>
      <c r="BB707"/>
      <c r="BC707"/>
      <c r="BD707"/>
      <c r="BE707"/>
      <c r="BF707"/>
      <c r="BG707"/>
      <c r="BH707"/>
      <c r="BI707"/>
      <c r="BJ707"/>
      <c r="BR707"/>
      <c r="BS707"/>
      <c r="BT707"/>
      <c r="BU707"/>
      <c r="BX707"/>
      <c r="BY707"/>
      <c r="CA707"/>
    </row>
    <row r="708" spans="2:79" ht="18.75">
      <c r="B708" s="252" t="s">
        <v>939</v>
      </c>
      <c r="C708" s="251">
        <v>37887638000104</v>
      </c>
      <c r="D708" s="252" t="s">
        <v>13</v>
      </c>
      <c r="E708" s="252" t="s">
        <v>615</v>
      </c>
      <c r="F708" s="252" t="s">
        <v>619</v>
      </c>
      <c r="G708" s="253" t="s">
        <v>34</v>
      </c>
      <c r="H708" s="253" t="s">
        <v>1338</v>
      </c>
      <c r="I708" s="253" t="s">
        <v>34</v>
      </c>
      <c r="J708" s="253" t="s">
        <v>1417</v>
      </c>
      <c r="K708" s="253" t="s">
        <v>48</v>
      </c>
      <c r="L708" s="655"/>
      <c r="M708" s="655" t="s">
        <v>1414</v>
      </c>
      <c r="N708" s="253" t="s">
        <v>3301</v>
      </c>
      <c r="O708" s="253" t="s">
        <v>1321</v>
      </c>
      <c r="P708" s="656">
        <v>44075</v>
      </c>
      <c r="Q708" s="657">
        <v>151.70809437</v>
      </c>
      <c r="R708" s="657">
        <v>173.57516759770834</v>
      </c>
      <c r="S708" s="253">
        <v>16</v>
      </c>
      <c r="T708" s="658">
        <v>2.9263309015248318E-3</v>
      </c>
      <c r="U708" s="659">
        <v>0.14632839786940244</v>
      </c>
      <c r="V708" s="658">
        <v>8.2341038939431677E-2</v>
      </c>
      <c r="W708" s="659">
        <v>0.63858028884576035</v>
      </c>
      <c r="X708" s="658">
        <v>0.14928033239604455</v>
      </c>
      <c r="Y708" s="659">
        <v>0.77312173327611011</v>
      </c>
      <c r="Z708" s="658"/>
      <c r="AA708" s="659"/>
      <c r="AB708" s="658">
        <v>0.10791855733863477</v>
      </c>
      <c r="AC708" s="660">
        <v>-0.43183370549629169</v>
      </c>
      <c r="AD708" s="682">
        <v>0</v>
      </c>
      <c r="AE708" s="944" t="s">
        <v>1912</v>
      </c>
      <c r="AF708" s="661" t="s">
        <v>1729</v>
      </c>
      <c r="AG708" s="662" t="s">
        <v>1433</v>
      </c>
      <c r="AH708" s="662" t="s">
        <v>1734</v>
      </c>
      <c r="AI708" s="662">
        <v>1000</v>
      </c>
      <c r="AJ708" s="662">
        <v>100</v>
      </c>
      <c r="AK708" s="662">
        <v>1000</v>
      </c>
      <c r="AL708" s="658">
        <v>0.03</v>
      </c>
      <c r="AM708" s="658">
        <v>0.2</v>
      </c>
      <c r="AN708" s="659" t="s">
        <v>34</v>
      </c>
      <c r="AO708" s="253" t="s">
        <v>34</v>
      </c>
      <c r="AP708" s="944" t="s">
        <v>1746</v>
      </c>
      <c r="AQ708" s="663" t="s">
        <v>664</v>
      </c>
      <c r="AR708" s="658">
        <v>3.5000000000000001E-3</v>
      </c>
      <c r="AS708" s="658">
        <v>3.5000000000000001E-3</v>
      </c>
      <c r="AT708" s="658" t="s">
        <v>1417</v>
      </c>
      <c r="AU708" s="658" t="s">
        <v>2751</v>
      </c>
      <c r="AX708"/>
      <c r="AY708"/>
      <c r="BA708"/>
      <c r="BB708"/>
      <c r="BC708"/>
      <c r="BD708"/>
      <c r="BE708"/>
      <c r="BF708"/>
      <c r="BG708"/>
      <c r="BH708"/>
      <c r="BI708"/>
      <c r="BJ708"/>
      <c r="BR708"/>
      <c r="BS708"/>
      <c r="BT708"/>
      <c r="BU708"/>
      <c r="BX708"/>
      <c r="BY708"/>
      <c r="CA708"/>
    </row>
    <row r="709" spans="2:79" ht="18.75">
      <c r="B709" s="252" t="s">
        <v>940</v>
      </c>
      <c r="C709" s="251">
        <v>40212731000115</v>
      </c>
      <c r="D709" s="252" t="s">
        <v>14</v>
      </c>
      <c r="E709" s="252" t="s">
        <v>607</v>
      </c>
      <c r="F709" s="252" t="s">
        <v>689</v>
      </c>
      <c r="G709" s="253" t="s">
        <v>866</v>
      </c>
      <c r="H709" s="253" t="s">
        <v>34</v>
      </c>
      <c r="I709" s="253" t="s">
        <v>34</v>
      </c>
      <c r="J709" s="253" t="s">
        <v>608</v>
      </c>
      <c r="K709" s="253" t="s">
        <v>48</v>
      </c>
      <c r="L709" s="655"/>
      <c r="M709" s="655" t="s">
        <v>34</v>
      </c>
      <c r="N709" s="253" t="s">
        <v>3302</v>
      </c>
      <c r="O709" s="253" t="s">
        <v>1321</v>
      </c>
      <c r="P709" s="656">
        <v>44258</v>
      </c>
      <c r="Q709" s="657">
        <v>0</v>
      </c>
      <c r="R709" s="657">
        <v>34.641303529600002</v>
      </c>
      <c r="S709" s="253">
        <v>32</v>
      </c>
      <c r="T709" s="658"/>
      <c r="U709" s="659"/>
      <c r="V709" s="658">
        <v>3.801133491023756E-2</v>
      </c>
      <c r="W709" s="659">
        <v>0.29478968858101673</v>
      </c>
      <c r="X709" s="658"/>
      <c r="Y709" s="659"/>
      <c r="Z709" s="658"/>
      <c r="AA709" s="659"/>
      <c r="AB709" s="658">
        <v>0.22333673846291544</v>
      </c>
      <c r="AC709" s="660">
        <v>-0.40715457368269009</v>
      </c>
      <c r="AD709" s="682">
        <v>21917206000150</v>
      </c>
      <c r="AE709" s="944" t="s">
        <v>1912</v>
      </c>
      <c r="AF709" s="661" t="s">
        <v>1729</v>
      </c>
      <c r="AG709" s="662" t="s">
        <v>1433</v>
      </c>
      <c r="AH709" s="662" t="s">
        <v>1734</v>
      </c>
      <c r="AI709" s="662">
        <v>1000</v>
      </c>
      <c r="AJ709" s="662">
        <v>100</v>
      </c>
      <c r="AK709" s="662">
        <v>1000</v>
      </c>
      <c r="AL709" s="658">
        <v>2.2499999999999999E-2</v>
      </c>
      <c r="AM709" s="658">
        <v>0.2</v>
      </c>
      <c r="AN709" s="659" t="s">
        <v>666</v>
      </c>
      <c r="AO709" s="253" t="s">
        <v>34</v>
      </c>
      <c r="AP709" s="944" t="s">
        <v>1731</v>
      </c>
      <c r="AQ709" s="663" t="s">
        <v>670</v>
      </c>
      <c r="AR709" s="658">
        <v>4.0000000000000001E-3</v>
      </c>
      <c r="AS709" s="658">
        <v>4.0000000000000001E-3</v>
      </c>
      <c r="AT709" s="658" t="s">
        <v>1417</v>
      </c>
      <c r="AU709" s="658" t="s">
        <v>2751</v>
      </c>
      <c r="AX709"/>
      <c r="AY709"/>
      <c r="BA709"/>
      <c r="BB709"/>
      <c r="BC709"/>
      <c r="BD709"/>
      <c r="BE709"/>
      <c r="BF709"/>
      <c r="BG709"/>
      <c r="BH709"/>
      <c r="BI709"/>
      <c r="BJ709"/>
      <c r="BR709"/>
      <c r="BS709"/>
      <c r="BT709"/>
      <c r="BU709"/>
      <c r="BX709"/>
      <c r="BY709"/>
      <c r="CA709"/>
    </row>
    <row r="710" spans="2:79" ht="18.75">
      <c r="B710" s="252" t="s">
        <v>205</v>
      </c>
      <c r="C710" s="251">
        <v>38318005000130</v>
      </c>
      <c r="D710" s="252" t="s">
        <v>14</v>
      </c>
      <c r="E710" s="252" t="s">
        <v>607</v>
      </c>
      <c r="F710" s="252" t="s">
        <v>1417</v>
      </c>
      <c r="G710" s="253" t="s">
        <v>866</v>
      </c>
      <c r="H710" s="253" t="s">
        <v>34</v>
      </c>
      <c r="I710" s="253" t="s">
        <v>34</v>
      </c>
      <c r="J710" s="253" t="s">
        <v>690</v>
      </c>
      <c r="K710" s="253" t="s">
        <v>1417</v>
      </c>
      <c r="L710" s="655"/>
      <c r="M710" s="655" t="s">
        <v>34</v>
      </c>
      <c r="N710" s="253" t="s">
        <v>3303</v>
      </c>
      <c r="O710" s="253" t="s">
        <v>1321</v>
      </c>
      <c r="P710" s="656">
        <v>44092</v>
      </c>
      <c r="Q710" s="657">
        <v>2.7067764599999999</v>
      </c>
      <c r="R710" s="657">
        <v>3.1876942875903587</v>
      </c>
      <c r="S710" s="253">
        <v>5</v>
      </c>
      <c r="T710" s="658">
        <v>0.10265248977389274</v>
      </c>
      <c r="U710" s="659">
        <v>5.1330402717245409</v>
      </c>
      <c r="V710" s="658">
        <v>-0.14055401614749996</v>
      </c>
      <c r="W710" s="659">
        <v>-1.0900399774640213</v>
      </c>
      <c r="X710" s="658">
        <v>-0.22376631809772574</v>
      </c>
      <c r="Y710" s="659">
        <v>-1.1588841002681947</v>
      </c>
      <c r="Z710" s="658"/>
      <c r="AA710" s="659"/>
      <c r="AB710" s="658">
        <v>0.38087630210705947</v>
      </c>
      <c r="AC710" s="660">
        <v>-0.70757336201645826</v>
      </c>
      <c r="AD710" s="682">
        <v>38120824000178</v>
      </c>
      <c r="AE710" s="944" t="s">
        <v>1753</v>
      </c>
      <c r="AF710" s="661" t="s">
        <v>1745</v>
      </c>
      <c r="AG710" s="662" t="s">
        <v>1432</v>
      </c>
      <c r="AH710" s="662" t="s">
        <v>1730</v>
      </c>
      <c r="AI710" s="662">
        <v>1000</v>
      </c>
      <c r="AJ710" s="662">
        <v>500</v>
      </c>
      <c r="AK710" s="662">
        <v>1000</v>
      </c>
      <c r="AL710" s="658">
        <v>1.3000000000000001E-2</v>
      </c>
      <c r="AM710" s="658">
        <v>0</v>
      </c>
      <c r="AN710" s="659" t="s">
        <v>34</v>
      </c>
      <c r="AO710" s="253" t="s">
        <v>34</v>
      </c>
      <c r="AP710" s="944" t="s">
        <v>1731</v>
      </c>
      <c r="AQ710" s="663" t="s">
        <v>687</v>
      </c>
      <c r="AR710" s="658">
        <v>7.9993333333333305E-3</v>
      </c>
      <c r="AS710" s="658">
        <v>7.9993333333333305E-3</v>
      </c>
      <c r="AT710" s="658" t="s">
        <v>1417</v>
      </c>
      <c r="AU710" s="658" t="s">
        <v>2751</v>
      </c>
      <c r="AX710"/>
      <c r="AY710"/>
      <c r="BA710"/>
      <c r="BB710"/>
      <c r="BC710"/>
      <c r="BD710"/>
      <c r="BE710"/>
      <c r="BF710"/>
      <c r="BG710"/>
      <c r="BH710"/>
      <c r="BI710"/>
      <c r="BJ710"/>
      <c r="BR710"/>
      <c r="BS710"/>
      <c r="BT710"/>
      <c r="BU710"/>
      <c r="BX710"/>
      <c r="BY710"/>
      <c r="CA710"/>
    </row>
    <row r="711" spans="2:79" ht="18.75">
      <c r="B711" s="252" t="s">
        <v>941</v>
      </c>
      <c r="C711" s="251">
        <v>30294047000176</v>
      </c>
      <c r="D711" s="252" t="s">
        <v>13</v>
      </c>
      <c r="E711" s="252" t="s">
        <v>615</v>
      </c>
      <c r="F711" s="252" t="s">
        <v>619</v>
      </c>
      <c r="G711" s="253" t="s">
        <v>34</v>
      </c>
      <c r="H711" s="253" t="s">
        <v>1337</v>
      </c>
      <c r="I711" s="253" t="s">
        <v>34</v>
      </c>
      <c r="J711" s="253" t="s">
        <v>1417</v>
      </c>
      <c r="K711" s="253" t="s">
        <v>48</v>
      </c>
      <c r="L711" s="655"/>
      <c r="M711" s="655" t="s">
        <v>34</v>
      </c>
      <c r="N711" s="253" t="s">
        <v>3304</v>
      </c>
      <c r="O711" s="253" t="s">
        <v>1321</v>
      </c>
      <c r="P711" s="656">
        <v>43280</v>
      </c>
      <c r="Q711" s="657">
        <v>13.15423011</v>
      </c>
      <c r="R711" s="657">
        <v>13.113138179156635</v>
      </c>
      <c r="S711" s="253">
        <v>5</v>
      </c>
      <c r="T711" s="658">
        <v>2.0094997570167639E-2</v>
      </c>
      <c r="U711" s="659">
        <v>1.0048312711662126</v>
      </c>
      <c r="V711" s="658">
        <v>3.807771593499587E-2</v>
      </c>
      <c r="W711" s="659">
        <v>0.29530449401109177</v>
      </c>
      <c r="X711" s="658">
        <v>5.7715042557914709E-2</v>
      </c>
      <c r="Y711" s="659">
        <v>0.29890577695191267</v>
      </c>
      <c r="Z711" s="658">
        <v>0.1327829944315555</v>
      </c>
      <c r="AA711" s="659">
        <v>0.59955200276227638</v>
      </c>
      <c r="AB711" s="658">
        <v>4.7884889422293506E-2</v>
      </c>
      <c r="AC711" s="660">
        <v>-1.897596394354174</v>
      </c>
      <c r="AD711" s="682">
        <v>30294098000106</v>
      </c>
      <c r="AE711" s="944" t="s">
        <v>1753</v>
      </c>
      <c r="AF711" s="661" t="s">
        <v>1729</v>
      </c>
      <c r="AG711" s="662" t="s">
        <v>1433</v>
      </c>
      <c r="AH711" s="662" t="s">
        <v>1730</v>
      </c>
      <c r="AI711" s="662">
        <v>5000</v>
      </c>
      <c r="AJ711" s="662">
        <v>0</v>
      </c>
      <c r="AK711" s="662">
        <v>100</v>
      </c>
      <c r="AL711" s="658">
        <v>9.300000000000001E-3</v>
      </c>
      <c r="AM711" s="658">
        <v>0</v>
      </c>
      <c r="AN711" s="659" t="s">
        <v>34</v>
      </c>
      <c r="AO711" s="253" t="s">
        <v>34</v>
      </c>
      <c r="AP711" s="944" t="s">
        <v>1746</v>
      </c>
      <c r="AQ711" s="663" t="s">
        <v>679</v>
      </c>
      <c r="AR711" s="658">
        <v>4.6499999999999996E-3</v>
      </c>
      <c r="AS711" s="658">
        <v>4.6499999999999996E-3</v>
      </c>
      <c r="AT711" s="658" t="s">
        <v>1417</v>
      </c>
      <c r="AU711" s="658" t="s">
        <v>2751</v>
      </c>
      <c r="AX711"/>
      <c r="AY711"/>
      <c r="BA711"/>
      <c r="BB711"/>
      <c r="BC711"/>
      <c r="BD711"/>
      <c r="BE711"/>
      <c r="BF711"/>
      <c r="BG711"/>
      <c r="BH711"/>
      <c r="BI711"/>
      <c r="BJ711"/>
      <c r="BR711"/>
      <c r="BS711"/>
      <c r="BT711"/>
      <c r="BU711"/>
      <c r="BX711"/>
      <c r="BY711"/>
      <c r="CA711"/>
    </row>
    <row r="712" spans="2:79" ht="18.75">
      <c r="B712" s="252" t="s">
        <v>942</v>
      </c>
      <c r="C712" s="251">
        <v>2895694000106</v>
      </c>
      <c r="D712" s="252" t="s">
        <v>14</v>
      </c>
      <c r="E712" s="252" t="s">
        <v>607</v>
      </c>
      <c r="F712" s="252" t="s">
        <v>1417</v>
      </c>
      <c r="G712" s="253" t="s">
        <v>1417</v>
      </c>
      <c r="H712" s="253" t="s">
        <v>34</v>
      </c>
      <c r="I712" s="253" t="s">
        <v>34</v>
      </c>
      <c r="J712" s="253" t="s">
        <v>608</v>
      </c>
      <c r="K712" s="253" t="s">
        <v>48</v>
      </c>
      <c r="L712" s="655"/>
      <c r="M712" s="655" t="s">
        <v>34</v>
      </c>
      <c r="N712" s="253" t="s">
        <v>3305</v>
      </c>
      <c r="O712" s="253" t="s">
        <v>1321</v>
      </c>
      <c r="P712" s="656">
        <v>36154</v>
      </c>
      <c r="Q712" s="657">
        <v>91.485577000000006</v>
      </c>
      <c r="R712" s="657">
        <v>114.97761498795188</v>
      </c>
      <c r="S712" s="253">
        <v>3</v>
      </c>
      <c r="T712" s="658">
        <v>-3.5784660264592261E-2</v>
      </c>
      <c r="U712" s="659">
        <v>-1.7893779552032725</v>
      </c>
      <c r="V712" s="658">
        <v>-8.0540792434712016E-2</v>
      </c>
      <c r="W712" s="659">
        <v>-0.62461881899081872</v>
      </c>
      <c r="X712" s="658">
        <v>-0.12329654945001378</v>
      </c>
      <c r="Y712" s="659">
        <v>-0.63855191429279023</v>
      </c>
      <c r="Z712" s="658">
        <v>-0.1266456916988481</v>
      </c>
      <c r="AA712" s="659">
        <v>-0.57184038079814137</v>
      </c>
      <c r="AB712" s="658">
        <v>0.22665404723044547</v>
      </c>
      <c r="AC712" s="660">
        <v>-0.92424867078817896</v>
      </c>
      <c r="AD712" s="682">
        <v>30506097000170</v>
      </c>
      <c r="AE712" s="944" t="s">
        <v>1753</v>
      </c>
      <c r="AF712" s="661" t="s">
        <v>1729</v>
      </c>
      <c r="AG712" s="662" t="s">
        <v>1433</v>
      </c>
      <c r="AH712" s="662" t="s">
        <v>1734</v>
      </c>
      <c r="AI712" s="662">
        <v>5000</v>
      </c>
      <c r="AJ712" s="662">
        <v>1000</v>
      </c>
      <c r="AK712" s="662">
        <v>1000</v>
      </c>
      <c r="AL712" s="658">
        <v>0.02</v>
      </c>
      <c r="AM712" s="658">
        <v>0.2</v>
      </c>
      <c r="AN712" s="659" t="s">
        <v>2127</v>
      </c>
      <c r="AO712" s="253" t="s">
        <v>34</v>
      </c>
      <c r="AP712" s="944" t="s">
        <v>1731</v>
      </c>
      <c r="AQ712" s="663" t="s">
        <v>659</v>
      </c>
      <c r="AR712" s="658">
        <v>7.0000000000000001E-3</v>
      </c>
      <c r="AS712" s="658">
        <v>7.0000000000000001E-3</v>
      </c>
      <c r="AT712" s="658" t="s">
        <v>1417</v>
      </c>
      <c r="AU712" s="658" t="s">
        <v>2751</v>
      </c>
      <c r="AX712"/>
      <c r="AY712"/>
      <c r="BA712"/>
      <c r="BB712"/>
      <c r="BC712"/>
      <c r="BD712"/>
      <c r="BE712"/>
      <c r="BF712"/>
      <c r="BG712"/>
      <c r="BH712"/>
      <c r="BI712"/>
      <c r="BJ712"/>
      <c r="BR712"/>
      <c r="BS712"/>
      <c r="BT712"/>
      <c r="BU712"/>
      <c r="BX712"/>
      <c r="BY712"/>
      <c r="CA712"/>
    </row>
    <row r="713" spans="2:79" ht="18.75">
      <c r="B713" s="252" t="s">
        <v>943</v>
      </c>
      <c r="C713" s="251">
        <v>33160049000160</v>
      </c>
      <c r="D713" s="252" t="s">
        <v>13</v>
      </c>
      <c r="E713" s="252" t="s">
        <v>615</v>
      </c>
      <c r="F713" s="252" t="s">
        <v>619</v>
      </c>
      <c r="G713" s="253" t="s">
        <v>34</v>
      </c>
      <c r="H713" s="253" t="s">
        <v>1337</v>
      </c>
      <c r="I713" s="253" t="s">
        <v>34</v>
      </c>
      <c r="J713" s="253" t="s">
        <v>1417</v>
      </c>
      <c r="K713" s="253" t="s">
        <v>48</v>
      </c>
      <c r="L713" s="655"/>
      <c r="M713" s="655" t="s">
        <v>34</v>
      </c>
      <c r="N713" s="253" t="s">
        <v>3306</v>
      </c>
      <c r="O713" s="253" t="s">
        <v>1321</v>
      </c>
      <c r="P713" s="656">
        <v>43622</v>
      </c>
      <c r="Q713" s="657">
        <v>47.795621330000003</v>
      </c>
      <c r="R713" s="657">
        <v>49.207154703669374</v>
      </c>
      <c r="S713" s="253">
        <v>32</v>
      </c>
      <c r="T713" s="658">
        <v>1.8275568913696416E-2</v>
      </c>
      <c r="U713" s="659">
        <v>0.91385246893971595</v>
      </c>
      <c r="V713" s="658">
        <v>9.6086915528473149E-2</v>
      </c>
      <c r="W713" s="659">
        <v>0.74518382404192274</v>
      </c>
      <c r="X713" s="658">
        <v>0.17050932838509558</v>
      </c>
      <c r="Y713" s="659">
        <v>0.88306654590704448</v>
      </c>
      <c r="Z713" s="658">
        <v>0.15793382314024029</v>
      </c>
      <c r="AA713" s="659">
        <v>0.71311496154308385</v>
      </c>
      <c r="AB713" s="658">
        <v>2.505578985176184E-2</v>
      </c>
      <c r="AC713" s="660">
        <v>-1.3113533483760764</v>
      </c>
      <c r="AD713" s="682">
        <v>0</v>
      </c>
      <c r="AE713" s="944" t="s">
        <v>1980</v>
      </c>
      <c r="AF713" s="661" t="s">
        <v>1745</v>
      </c>
      <c r="AG713" s="662" t="s">
        <v>1432</v>
      </c>
      <c r="AH713" s="662" t="s">
        <v>1734</v>
      </c>
      <c r="AI713" s="662">
        <v>1000</v>
      </c>
      <c r="AJ713" s="662">
        <v>500</v>
      </c>
      <c r="AK713" s="662">
        <v>1000</v>
      </c>
      <c r="AL713" s="658">
        <v>1.47E-2</v>
      </c>
      <c r="AM713" s="658">
        <v>0</v>
      </c>
      <c r="AN713" s="659" t="s">
        <v>34</v>
      </c>
      <c r="AO713" s="253" t="s">
        <v>34</v>
      </c>
      <c r="AP713" s="944" t="s">
        <v>1746</v>
      </c>
      <c r="AQ713" s="663" t="s">
        <v>686</v>
      </c>
      <c r="AR713" s="658">
        <v>4.8999999999999998E-3</v>
      </c>
      <c r="AS713" s="658">
        <v>4.8999999999999998E-3</v>
      </c>
      <c r="AT713" s="658" t="s">
        <v>1417</v>
      </c>
      <c r="AU713" s="658" t="s">
        <v>2751</v>
      </c>
      <c r="AX713"/>
      <c r="AY713"/>
      <c r="BA713"/>
      <c r="BB713"/>
      <c r="BC713"/>
      <c r="BD713"/>
      <c r="BE713"/>
      <c r="BF713"/>
      <c r="BG713"/>
      <c r="BH713"/>
      <c r="BI713"/>
      <c r="BJ713"/>
      <c r="BR713"/>
      <c r="BS713"/>
      <c r="BT713"/>
      <c r="BU713"/>
      <c r="BX713"/>
      <c r="BY713"/>
      <c r="CA713"/>
    </row>
    <row r="714" spans="2:79" ht="18.75">
      <c r="B714" s="252" t="s">
        <v>206</v>
      </c>
      <c r="C714" s="251">
        <v>41065292000128</v>
      </c>
      <c r="D714" s="252" t="s">
        <v>14</v>
      </c>
      <c r="E714" s="252" t="s">
        <v>614</v>
      </c>
      <c r="F714" s="252" t="s">
        <v>1417</v>
      </c>
      <c r="G714" s="253" t="s">
        <v>1417</v>
      </c>
      <c r="H714" s="253" t="s">
        <v>865</v>
      </c>
      <c r="I714" s="253" t="s">
        <v>34</v>
      </c>
      <c r="J714" s="253" t="s">
        <v>608</v>
      </c>
      <c r="K714" s="253" t="s">
        <v>48</v>
      </c>
      <c r="L714" s="655"/>
      <c r="M714" s="655" t="s">
        <v>34</v>
      </c>
      <c r="N714" s="253" t="s">
        <v>3307</v>
      </c>
      <c r="O714" s="253" t="s">
        <v>1321</v>
      </c>
      <c r="P714" s="656">
        <v>44265</v>
      </c>
      <c r="Q714" s="657">
        <v>11.691277039999999</v>
      </c>
      <c r="R714" s="657">
        <v>14.688714103911282</v>
      </c>
      <c r="S714" s="253">
        <v>32</v>
      </c>
      <c r="T714" s="658">
        <v>-3.278280849705828E-2</v>
      </c>
      <c r="U714" s="659">
        <v>-1.6392732081441492</v>
      </c>
      <c r="V714" s="658">
        <v>-3.3066500121023301E-2</v>
      </c>
      <c r="W714" s="659">
        <v>-0.25644096152264523</v>
      </c>
      <c r="X714" s="658"/>
      <c r="Y714" s="659"/>
      <c r="Z714" s="658"/>
      <c r="AA714" s="659"/>
      <c r="AB714" s="658">
        <v>0.15512830962358817</v>
      </c>
      <c r="AC714" s="660">
        <v>-1.0443639201698425</v>
      </c>
      <c r="AD714" s="682">
        <v>40933928000143</v>
      </c>
      <c r="AE714" s="944" t="s">
        <v>1880</v>
      </c>
      <c r="AF714" s="661" t="s">
        <v>1767</v>
      </c>
      <c r="AG714" s="662" t="s">
        <v>59</v>
      </c>
      <c r="AH714" s="662" t="s">
        <v>1730</v>
      </c>
      <c r="AI714" s="662">
        <v>5000</v>
      </c>
      <c r="AJ714" s="662">
        <v>1000</v>
      </c>
      <c r="AK714" s="662">
        <v>1000</v>
      </c>
      <c r="AL714" s="658">
        <v>0</v>
      </c>
      <c r="AM714" s="658">
        <v>0</v>
      </c>
      <c r="AN714" s="659" t="s">
        <v>2122</v>
      </c>
      <c r="AO714" s="253" t="s">
        <v>34</v>
      </c>
      <c r="AP714" s="944" t="s">
        <v>1731</v>
      </c>
      <c r="AQ714" s="663" t="s">
        <v>659</v>
      </c>
      <c r="AR714" s="658">
        <v>5.3340000000000002E-3</v>
      </c>
      <c r="AS714" s="658">
        <v>5.3340000000000002E-3</v>
      </c>
      <c r="AT714" s="658" t="s">
        <v>1417</v>
      </c>
      <c r="AU714" s="658" t="s">
        <v>2751</v>
      </c>
      <c r="AX714"/>
      <c r="AY714"/>
      <c r="BA714"/>
      <c r="BB714"/>
      <c r="BC714"/>
      <c r="BD714"/>
      <c r="BE714"/>
      <c r="BF714"/>
      <c r="BG714"/>
      <c r="BH714"/>
      <c r="BI714"/>
      <c r="BJ714"/>
      <c r="BR714"/>
      <c r="BS714"/>
      <c r="BT714"/>
      <c r="BU714"/>
      <c r="BX714"/>
      <c r="BY714"/>
      <c r="CA714"/>
    </row>
    <row r="715" spans="2:79" ht="18.75">
      <c r="B715" s="252" t="s">
        <v>556</v>
      </c>
      <c r="C715" s="251">
        <v>18832871000137</v>
      </c>
      <c r="D715" s="252" t="s">
        <v>14</v>
      </c>
      <c r="E715" s="252" t="s">
        <v>607</v>
      </c>
      <c r="F715" s="252" t="s">
        <v>1417</v>
      </c>
      <c r="G715" s="253" t="s">
        <v>1417</v>
      </c>
      <c r="H715" s="253" t="s">
        <v>34</v>
      </c>
      <c r="I715" s="253" t="s">
        <v>34</v>
      </c>
      <c r="J715" s="253" t="s">
        <v>608</v>
      </c>
      <c r="K715" s="253" t="s">
        <v>48</v>
      </c>
      <c r="L715" s="655"/>
      <c r="M715" s="655" t="s">
        <v>34</v>
      </c>
      <c r="N715" s="253" t="s">
        <v>3308</v>
      </c>
      <c r="O715" s="253" t="s">
        <v>1321</v>
      </c>
      <c r="P715" s="656">
        <v>41551</v>
      </c>
      <c r="Q715" s="657">
        <v>32.772160999999997</v>
      </c>
      <c r="R715" s="657">
        <v>20.726291859437758</v>
      </c>
      <c r="S715" s="253">
        <v>32</v>
      </c>
      <c r="T715" s="658">
        <v>-3.3673089376904497E-2</v>
      </c>
      <c r="U715" s="659">
        <v>-1.6837908581248049</v>
      </c>
      <c r="V715" s="658">
        <v>-1.9080288845139126E-2</v>
      </c>
      <c r="W715" s="659">
        <v>-0.14797355630831902</v>
      </c>
      <c r="X715" s="658">
        <v>-8.0682924458646998E-2</v>
      </c>
      <c r="Y715" s="659">
        <v>-0.41785626681058646</v>
      </c>
      <c r="Z715" s="658">
        <v>1.3405424554791212E-2</v>
      </c>
      <c r="AA715" s="659">
        <v>6.0529205370847092E-2</v>
      </c>
      <c r="AB715" s="658">
        <v>0.19975479962217765</v>
      </c>
      <c r="AC715" s="660">
        <v>-0.74102949502041993</v>
      </c>
      <c r="AD715" s="682">
        <v>41569841000100</v>
      </c>
      <c r="AE715" s="944" t="s">
        <v>1880</v>
      </c>
      <c r="AF715" s="661" t="s">
        <v>1767</v>
      </c>
      <c r="AG715" s="662" t="s">
        <v>59</v>
      </c>
      <c r="AH715" s="662" t="s">
        <v>1730</v>
      </c>
      <c r="AI715" s="662">
        <v>500</v>
      </c>
      <c r="AJ715" s="662">
        <v>100</v>
      </c>
      <c r="AK715" s="662">
        <v>100</v>
      </c>
      <c r="AL715" s="658">
        <v>3.5000000000000003E-2</v>
      </c>
      <c r="AM715" s="658">
        <v>0</v>
      </c>
      <c r="AN715" s="659" t="s">
        <v>666</v>
      </c>
      <c r="AO715" s="253" t="s">
        <v>34</v>
      </c>
      <c r="AP715" s="944" t="s">
        <v>1731</v>
      </c>
      <c r="AQ715" s="663" t="s">
        <v>659</v>
      </c>
      <c r="AR715" s="658">
        <v>8.0009999999999994E-3</v>
      </c>
      <c r="AS715" s="658">
        <v>8.0009999999999994E-3</v>
      </c>
      <c r="AT715" s="658" t="s">
        <v>1417</v>
      </c>
      <c r="AU715" s="658" t="s">
        <v>2751</v>
      </c>
      <c r="AX715"/>
      <c r="AY715"/>
      <c r="BA715"/>
      <c r="BB715"/>
      <c r="BC715"/>
      <c r="BD715"/>
      <c r="BE715"/>
      <c r="BF715"/>
      <c r="BG715"/>
      <c r="BH715"/>
      <c r="BI715"/>
      <c r="BJ715"/>
      <c r="BR715"/>
      <c r="BS715"/>
      <c r="BT715"/>
      <c r="BU715"/>
      <c r="BX715"/>
      <c r="BY715"/>
      <c r="CA715"/>
    </row>
    <row r="716" spans="2:79" ht="18.75">
      <c r="B716" s="252" t="s">
        <v>47</v>
      </c>
      <c r="C716" s="251">
        <v>41686811000175</v>
      </c>
      <c r="D716" s="252" t="s">
        <v>14</v>
      </c>
      <c r="E716" s="252" t="s">
        <v>607</v>
      </c>
      <c r="F716" s="252" t="s">
        <v>1417</v>
      </c>
      <c r="G716" s="253" t="s">
        <v>1417</v>
      </c>
      <c r="H716" s="253" t="s">
        <v>34</v>
      </c>
      <c r="I716" s="253" t="s">
        <v>34</v>
      </c>
      <c r="J716" s="253" t="s">
        <v>611</v>
      </c>
      <c r="K716" s="253" t="s">
        <v>49</v>
      </c>
      <c r="L716" s="655"/>
      <c r="M716" s="655" t="s">
        <v>34</v>
      </c>
      <c r="N716" s="253" t="s">
        <v>3309</v>
      </c>
      <c r="O716" s="253" t="s">
        <v>34</v>
      </c>
      <c r="P716" s="656">
        <v>44327</v>
      </c>
      <c r="Q716" s="657">
        <v>23.73072354</v>
      </c>
      <c r="R716" s="657">
        <v>23.921528301041665</v>
      </c>
      <c r="S716" s="253">
        <v>5</v>
      </c>
      <c r="T716" s="658">
        <v>1.0210295540793446E-2</v>
      </c>
      <c r="U716" s="659">
        <v>0.51055613275959211</v>
      </c>
      <c r="V716" s="658">
        <v>4.3306742827980305E-2</v>
      </c>
      <c r="W716" s="659">
        <v>0.33585721895497378</v>
      </c>
      <c r="X716" s="658"/>
      <c r="Y716" s="659"/>
      <c r="Z716" s="658"/>
      <c r="AA716" s="659"/>
      <c r="AB716" s="658">
        <v>0.3058956814723261</v>
      </c>
      <c r="AC716" s="660">
        <v>-0.27995546130832027</v>
      </c>
      <c r="AD716" s="682">
        <v>0</v>
      </c>
      <c r="AE716" s="944" t="s">
        <v>1797</v>
      </c>
      <c r="AF716" s="661" t="s">
        <v>1745</v>
      </c>
      <c r="AG716" s="662" t="s">
        <v>34</v>
      </c>
      <c r="AH716" s="662" t="s">
        <v>1730</v>
      </c>
      <c r="AI716" s="662">
        <v>0</v>
      </c>
      <c r="AJ716" s="662">
        <v>0</v>
      </c>
      <c r="AK716" s="662">
        <v>0</v>
      </c>
      <c r="AL716" s="658">
        <v>0.01</v>
      </c>
      <c r="AM716" s="658">
        <v>0</v>
      </c>
      <c r="AN716" s="659" t="s">
        <v>34</v>
      </c>
      <c r="AO716" s="253" t="s">
        <v>34</v>
      </c>
      <c r="AP716" s="944" t="s">
        <v>1731</v>
      </c>
      <c r="AQ716" s="663" t="s">
        <v>702</v>
      </c>
      <c r="AR716" s="658">
        <v>6.7000000000000002E-3</v>
      </c>
      <c r="AS716" s="658">
        <v>6.7000000000000002E-3</v>
      </c>
      <c r="AT716" s="658" t="s">
        <v>1417</v>
      </c>
      <c r="AU716" s="658" t="s">
        <v>2751</v>
      </c>
      <c r="AX716"/>
      <c r="AY716"/>
      <c r="BA716"/>
      <c r="BB716"/>
      <c r="BC716"/>
      <c r="BD716"/>
      <c r="BE716"/>
      <c r="BF716"/>
      <c r="BG716"/>
      <c r="BH716"/>
      <c r="BI716"/>
      <c r="BJ716"/>
      <c r="BR716"/>
      <c r="BS716"/>
      <c r="BT716"/>
      <c r="BU716"/>
      <c r="BX716"/>
      <c r="BY716"/>
      <c r="CA716"/>
    </row>
    <row r="717" spans="2:79" ht="18.75">
      <c r="B717" s="252" t="s">
        <v>944</v>
      </c>
      <c r="C717" s="251">
        <v>41373588000106</v>
      </c>
      <c r="D717" s="252" t="s">
        <v>14</v>
      </c>
      <c r="E717" s="252" t="s">
        <v>607</v>
      </c>
      <c r="F717" s="252" t="s">
        <v>1417</v>
      </c>
      <c r="G717" s="253" t="s">
        <v>1417</v>
      </c>
      <c r="H717" s="253" t="s">
        <v>34</v>
      </c>
      <c r="I717" s="253" t="s">
        <v>34</v>
      </c>
      <c r="J717" s="253" t="s">
        <v>611</v>
      </c>
      <c r="K717" s="253" t="s">
        <v>48</v>
      </c>
      <c r="L717" s="655"/>
      <c r="M717" s="655" t="s">
        <v>34</v>
      </c>
      <c r="N717" s="253" t="s">
        <v>3310</v>
      </c>
      <c r="O717" s="253" t="s">
        <v>1321</v>
      </c>
      <c r="P717" s="656">
        <v>44316</v>
      </c>
      <c r="Q717" s="657">
        <v>15.832529539999999</v>
      </c>
      <c r="R717" s="657">
        <v>20.944680499516142</v>
      </c>
      <c r="S717" s="253">
        <v>5</v>
      </c>
      <c r="T717" s="658">
        <v>3.8201972039959342E-2</v>
      </c>
      <c r="U717" s="659">
        <v>1.9102533350367668</v>
      </c>
      <c r="V717" s="658">
        <v>-3.0982490222172254E-3</v>
      </c>
      <c r="W717" s="659">
        <v>-2.4027881855837391E-2</v>
      </c>
      <c r="X717" s="658"/>
      <c r="Y717" s="659"/>
      <c r="Z717" s="658"/>
      <c r="AA717" s="659"/>
      <c r="AB717" s="658">
        <v>0.23095355275188439</v>
      </c>
      <c r="AC717" s="660">
        <v>-0.57172603277014633</v>
      </c>
      <c r="AD717" s="682">
        <v>41544075000110</v>
      </c>
      <c r="AE717" s="944" t="s">
        <v>1797</v>
      </c>
      <c r="AF717" s="661" t="s">
        <v>1745</v>
      </c>
      <c r="AG717" s="662" t="s">
        <v>1432</v>
      </c>
      <c r="AH717" s="662" t="s">
        <v>1730</v>
      </c>
      <c r="AI717" s="662">
        <v>1000</v>
      </c>
      <c r="AJ717" s="662">
        <v>1000</v>
      </c>
      <c r="AK717" s="662">
        <v>1000</v>
      </c>
      <c r="AL717" s="658">
        <v>0.01</v>
      </c>
      <c r="AM717" s="658">
        <v>0</v>
      </c>
      <c r="AN717" s="659" t="s">
        <v>34</v>
      </c>
      <c r="AO717" s="253" t="s">
        <v>34</v>
      </c>
      <c r="AP717" s="944" t="s">
        <v>1731</v>
      </c>
      <c r="AQ717" s="663" t="s">
        <v>687</v>
      </c>
      <c r="AR717" s="658">
        <v>6.7000000000000002E-3</v>
      </c>
      <c r="AS717" s="658">
        <v>6.7000000000000002E-3</v>
      </c>
      <c r="AT717" s="658" t="s">
        <v>1417</v>
      </c>
      <c r="AU717" s="658" t="s">
        <v>2751</v>
      </c>
      <c r="AX717"/>
      <c r="AY717"/>
      <c r="BA717"/>
      <c r="BB717"/>
      <c r="BC717"/>
      <c r="BD717"/>
      <c r="BE717"/>
      <c r="BF717"/>
      <c r="BG717"/>
      <c r="BH717"/>
      <c r="BI717"/>
      <c r="BJ717"/>
      <c r="BR717"/>
      <c r="BS717"/>
      <c r="BT717"/>
      <c r="BU717"/>
      <c r="BX717"/>
      <c r="BY717"/>
      <c r="CA717"/>
    </row>
    <row r="718" spans="2:79" ht="18.75">
      <c r="B718" s="252" t="s">
        <v>1591</v>
      </c>
      <c r="C718" s="251">
        <v>34714223000132</v>
      </c>
      <c r="D718" s="252" t="s">
        <v>13</v>
      </c>
      <c r="E718" s="252" t="s">
        <v>1417</v>
      </c>
      <c r="F718" s="252" t="s">
        <v>1417</v>
      </c>
      <c r="G718" s="253" t="s">
        <v>1417</v>
      </c>
      <c r="H718" s="253" t="s">
        <v>34</v>
      </c>
      <c r="I718" s="253" t="s">
        <v>1417</v>
      </c>
      <c r="J718" s="253" t="s">
        <v>1417</v>
      </c>
      <c r="K718" s="253" t="s">
        <v>1417</v>
      </c>
      <c r="L718" s="655"/>
      <c r="M718" s="655" t="s">
        <v>34</v>
      </c>
      <c r="N718" s="253" t="s">
        <v>3311</v>
      </c>
      <c r="O718" s="253" t="s">
        <v>1321</v>
      </c>
      <c r="P718" s="656">
        <v>43739</v>
      </c>
      <c r="Q718" s="657">
        <v>163.37436891999999</v>
      </c>
      <c r="R718" s="657">
        <v>194.1260979545782</v>
      </c>
      <c r="S718" s="253">
        <v>1</v>
      </c>
      <c r="T718" s="658">
        <v>-1.5760881799013582E-2</v>
      </c>
      <c r="U718" s="659">
        <v>-0.78810792773194271</v>
      </c>
      <c r="V718" s="658">
        <v>0.21988154436065677</v>
      </c>
      <c r="W718" s="659">
        <v>1.7052495562141763</v>
      </c>
      <c r="X718" s="658">
        <v>0.60571646097908149</v>
      </c>
      <c r="Y718" s="659">
        <v>3.1370010547915088</v>
      </c>
      <c r="Z718" s="658">
        <v>0.91401345551724722</v>
      </c>
      <c r="AA718" s="659">
        <v>4.1270239472533241</v>
      </c>
      <c r="AB718" s="658">
        <v>0.21555028395731138</v>
      </c>
      <c r="AC718" s="660">
        <v>0.42188594347608532</v>
      </c>
      <c r="AD718" s="682">
        <v>0</v>
      </c>
      <c r="AE718" s="944" t="s">
        <v>2001</v>
      </c>
      <c r="AF718" s="661" t="s">
        <v>1745</v>
      </c>
      <c r="AG718" s="662" t="s">
        <v>1432</v>
      </c>
      <c r="AH718" s="662" t="s">
        <v>1801</v>
      </c>
      <c r="AI718" s="662">
        <v>10000</v>
      </c>
      <c r="AJ718" s="662">
        <v>0</v>
      </c>
      <c r="AK718" s="662">
        <v>0</v>
      </c>
      <c r="AL718" s="658">
        <v>5.7999999999999996E-3</v>
      </c>
      <c r="AM718" s="658">
        <v>0</v>
      </c>
      <c r="AN718" s="659" t="s">
        <v>34</v>
      </c>
      <c r="AO718" s="253" t="s">
        <v>34</v>
      </c>
      <c r="AP718" s="944" t="s">
        <v>1746</v>
      </c>
      <c r="AQ718" s="663" t="s">
        <v>679</v>
      </c>
      <c r="AR718" s="658">
        <v>0</v>
      </c>
      <c r="AS718" s="658">
        <v>0</v>
      </c>
      <c r="AT718" s="658" t="s">
        <v>1417</v>
      </c>
      <c r="AU718" s="658" t="s">
        <v>2751</v>
      </c>
      <c r="AX718"/>
      <c r="AY718"/>
      <c r="BA718"/>
      <c r="BB718"/>
      <c r="BC718"/>
      <c r="BD718"/>
      <c r="BE718"/>
      <c r="BF718"/>
      <c r="BG718"/>
      <c r="BH718"/>
      <c r="BI718"/>
      <c r="BJ718"/>
      <c r="BR718"/>
      <c r="BS718"/>
      <c r="BT718"/>
      <c r="BU718"/>
      <c r="BX718"/>
      <c r="BY718"/>
      <c r="CA718"/>
    </row>
    <row r="719" spans="2:79" ht="18.75">
      <c r="B719" s="252" t="s">
        <v>945</v>
      </c>
      <c r="C719" s="251">
        <v>38074871000122</v>
      </c>
      <c r="D719" s="252" t="s">
        <v>13</v>
      </c>
      <c r="E719" s="252" t="s">
        <v>616</v>
      </c>
      <c r="F719" s="252" t="s">
        <v>619</v>
      </c>
      <c r="G719" s="253" t="s">
        <v>34</v>
      </c>
      <c r="H719" s="253" t="s">
        <v>1337</v>
      </c>
      <c r="I719" s="253" t="s">
        <v>34</v>
      </c>
      <c r="J719" s="253" t="s">
        <v>611</v>
      </c>
      <c r="K719" s="253" t="s">
        <v>48</v>
      </c>
      <c r="L719" s="655"/>
      <c r="M719" s="655" t="s">
        <v>1414</v>
      </c>
      <c r="N719" s="253" t="s">
        <v>3312</v>
      </c>
      <c r="O719" s="253" t="s">
        <v>1321</v>
      </c>
      <c r="P719" s="656">
        <v>44034</v>
      </c>
      <c r="Q719" s="657">
        <v>0</v>
      </c>
      <c r="R719" s="657">
        <v>10.921512092164948</v>
      </c>
      <c r="S719" s="253">
        <v>32</v>
      </c>
      <c r="T719" s="658"/>
      <c r="U719" s="659"/>
      <c r="V719" s="658">
        <v>3.099253584981998E-2</v>
      </c>
      <c r="W719" s="659">
        <v>0.24035672551567669</v>
      </c>
      <c r="X719" s="658">
        <v>1.9490791544751751E-3</v>
      </c>
      <c r="Y719" s="659">
        <v>1.0094266471770731E-2</v>
      </c>
      <c r="Z719" s="658"/>
      <c r="AA719" s="659"/>
      <c r="AB719" s="658">
        <v>6.6553573402679728E-2</v>
      </c>
      <c r="AC719" s="660">
        <v>-1.4717673084857144</v>
      </c>
      <c r="AD719" s="682">
        <v>38051359000160</v>
      </c>
      <c r="AE719" s="944" t="s">
        <v>1987</v>
      </c>
      <c r="AF719" s="661" t="s">
        <v>1742</v>
      </c>
      <c r="AG719" s="662" t="s">
        <v>741</v>
      </c>
      <c r="AH719" s="662" t="s">
        <v>1730</v>
      </c>
      <c r="AI719" s="662">
        <v>10000</v>
      </c>
      <c r="AJ719" s="662">
        <v>10000</v>
      </c>
      <c r="AK719" s="662">
        <v>10000</v>
      </c>
      <c r="AL719" s="658">
        <v>0</v>
      </c>
      <c r="AM719" s="658">
        <v>0</v>
      </c>
      <c r="AN719" s="659" t="s">
        <v>2122</v>
      </c>
      <c r="AO719" s="253" t="s">
        <v>34</v>
      </c>
      <c r="AP719" s="944" t="s">
        <v>1746</v>
      </c>
      <c r="AQ719" s="663" t="s">
        <v>679</v>
      </c>
      <c r="AR719" s="658">
        <v>2.5666666666666698E-3</v>
      </c>
      <c r="AS719" s="658">
        <v>2.5666666666666698E-3</v>
      </c>
      <c r="AT719" s="658" t="s">
        <v>1417</v>
      </c>
      <c r="AU719" s="658" t="s">
        <v>2751</v>
      </c>
      <c r="AX719"/>
      <c r="AY719"/>
      <c r="BA719"/>
      <c r="BB719"/>
      <c r="BC719"/>
      <c r="BD719"/>
      <c r="BE719"/>
      <c r="BF719"/>
      <c r="BG719"/>
      <c r="BH719"/>
      <c r="BI719"/>
      <c r="BJ719"/>
      <c r="BR719"/>
      <c r="BS719"/>
      <c r="BT719"/>
      <c r="BU719"/>
      <c r="BX719"/>
      <c r="BY719"/>
      <c r="CA719"/>
    </row>
    <row r="720" spans="2:79" ht="18.75">
      <c r="B720" s="252" t="s">
        <v>946</v>
      </c>
      <c r="C720" s="251">
        <v>38074843000105</v>
      </c>
      <c r="D720" s="252" t="s">
        <v>13</v>
      </c>
      <c r="E720" s="252" t="s">
        <v>616</v>
      </c>
      <c r="F720" s="252" t="s">
        <v>619</v>
      </c>
      <c r="G720" s="253" t="s">
        <v>34</v>
      </c>
      <c r="H720" s="253" t="s">
        <v>1338</v>
      </c>
      <c r="I720" s="253" t="s">
        <v>34</v>
      </c>
      <c r="J720" s="253" t="s">
        <v>611</v>
      </c>
      <c r="K720" s="253" t="s">
        <v>49</v>
      </c>
      <c r="L720" s="655"/>
      <c r="M720" s="655" t="s">
        <v>1414</v>
      </c>
      <c r="N720" s="253" t="s">
        <v>3313</v>
      </c>
      <c r="O720" s="253" t="s">
        <v>1321</v>
      </c>
      <c r="P720" s="656">
        <v>44034</v>
      </c>
      <c r="Q720" s="657">
        <v>0</v>
      </c>
      <c r="R720" s="657">
        <v>18.648899681783778</v>
      </c>
      <c r="S720" s="253">
        <v>32</v>
      </c>
      <c r="T720" s="658"/>
      <c r="U720" s="659"/>
      <c r="V720" s="658">
        <v>-2.7480584456674118E-2</v>
      </c>
      <c r="W720" s="659">
        <v>-0.21312045349466163</v>
      </c>
      <c r="X720" s="658">
        <v>-0.15393912724892966</v>
      </c>
      <c r="Y720" s="659">
        <v>-0.79724959723400013</v>
      </c>
      <c r="Z720" s="658"/>
      <c r="AA720" s="659"/>
      <c r="AB720" s="658">
        <v>0.20585847210346647</v>
      </c>
      <c r="AC720" s="660">
        <v>-0.75986425190624163</v>
      </c>
      <c r="AD720" s="682">
        <v>38051359000160</v>
      </c>
      <c r="AE720" s="944" t="s">
        <v>1987</v>
      </c>
      <c r="AF720" s="661" t="s">
        <v>1742</v>
      </c>
      <c r="AG720" s="662" t="s">
        <v>741</v>
      </c>
      <c r="AH720" s="662" t="s">
        <v>1730</v>
      </c>
      <c r="AI720" s="662">
        <v>10000</v>
      </c>
      <c r="AJ720" s="662">
        <v>10000</v>
      </c>
      <c r="AK720" s="662">
        <v>10000</v>
      </c>
      <c r="AL720" s="658">
        <v>0</v>
      </c>
      <c r="AM720" s="658">
        <v>0</v>
      </c>
      <c r="AN720" s="659" t="s">
        <v>2122</v>
      </c>
      <c r="AO720" s="253" t="s">
        <v>34</v>
      </c>
      <c r="AP720" s="944" t="s">
        <v>1746</v>
      </c>
      <c r="AQ720" s="663" t="s">
        <v>679</v>
      </c>
      <c r="AR720" s="658">
        <v>2.5666666300000001E-3</v>
      </c>
      <c r="AS720" s="658">
        <v>2.5666666300000001E-3</v>
      </c>
      <c r="AT720" s="658" t="s">
        <v>1417</v>
      </c>
      <c r="AU720" s="658" t="s">
        <v>2751</v>
      </c>
      <c r="AX720"/>
      <c r="AY720"/>
      <c r="BA720"/>
      <c r="BB720"/>
      <c r="BC720"/>
      <c r="BD720"/>
      <c r="BE720"/>
      <c r="BF720"/>
      <c r="BG720"/>
      <c r="BH720"/>
      <c r="BI720"/>
      <c r="BJ720"/>
      <c r="BR720"/>
      <c r="BS720"/>
      <c r="BT720"/>
      <c r="BU720"/>
      <c r="BX720"/>
      <c r="BY720"/>
      <c r="CA720"/>
    </row>
    <row r="721" spans="2:79" ht="18.75">
      <c r="B721" s="252" t="s">
        <v>947</v>
      </c>
      <c r="C721" s="251">
        <v>36728106000153</v>
      </c>
      <c r="D721" s="252" t="s">
        <v>13</v>
      </c>
      <c r="E721" s="252" t="s">
        <v>616</v>
      </c>
      <c r="F721" s="252" t="s">
        <v>619</v>
      </c>
      <c r="G721" s="253" t="s">
        <v>34</v>
      </c>
      <c r="H721" s="253" t="s">
        <v>1337</v>
      </c>
      <c r="I721" s="253" t="s">
        <v>34</v>
      </c>
      <c r="J721" s="253" t="s">
        <v>611</v>
      </c>
      <c r="K721" s="253" t="s">
        <v>48</v>
      </c>
      <c r="L721" s="655"/>
      <c r="M721" s="655" t="s">
        <v>34</v>
      </c>
      <c r="N721" s="253" t="s">
        <v>3314</v>
      </c>
      <c r="O721" s="253" t="s">
        <v>1321</v>
      </c>
      <c r="P721" s="656">
        <v>44069</v>
      </c>
      <c r="Q721" s="657">
        <v>38.686498729999997</v>
      </c>
      <c r="R721" s="657">
        <v>41.480301763092385</v>
      </c>
      <c r="S721" s="253">
        <v>31</v>
      </c>
      <c r="T721" s="658">
        <v>1.2408308063156293E-2</v>
      </c>
      <c r="U721" s="659">
        <v>0.62046566169449346</v>
      </c>
      <c r="V721" s="658">
        <v>7.545129081927282E-3</v>
      </c>
      <c r="W721" s="659">
        <v>5.8514815583755445E-2</v>
      </c>
      <c r="X721" s="658">
        <v>-1.7335990231255205E-2</v>
      </c>
      <c r="Y721" s="659">
        <v>-8.9782964711571531E-2</v>
      </c>
      <c r="Z721" s="658"/>
      <c r="AA721" s="659"/>
      <c r="AB721" s="658">
        <v>4.8342787835967044E-2</v>
      </c>
      <c r="AC721" s="660">
        <v>-2.5112076857623911</v>
      </c>
      <c r="AD721" s="682">
        <v>36775973000140</v>
      </c>
      <c r="AE721" s="944" t="s">
        <v>1987</v>
      </c>
      <c r="AF721" s="661" t="s">
        <v>1745</v>
      </c>
      <c r="AG721" s="662" t="s">
        <v>1432</v>
      </c>
      <c r="AH721" s="662" t="s">
        <v>1730</v>
      </c>
      <c r="AI721" s="662">
        <v>1000</v>
      </c>
      <c r="AJ721" s="662">
        <v>1000</v>
      </c>
      <c r="AK721" s="662">
        <v>1000</v>
      </c>
      <c r="AL721" s="658">
        <v>0.02</v>
      </c>
      <c r="AM721" s="658">
        <v>0.2</v>
      </c>
      <c r="AN721" s="659" t="s">
        <v>34</v>
      </c>
      <c r="AO721" s="253" t="s">
        <v>34</v>
      </c>
      <c r="AP721" s="944" t="s">
        <v>1746</v>
      </c>
      <c r="AQ721" s="663" t="s">
        <v>668</v>
      </c>
      <c r="AR721" s="658">
        <v>6.6666666666666697E-3</v>
      </c>
      <c r="AS721" s="658">
        <v>6.6666666666666697E-3</v>
      </c>
      <c r="AT721" s="658" t="s">
        <v>1417</v>
      </c>
      <c r="AU721" s="658" t="s">
        <v>2751</v>
      </c>
      <c r="AX721"/>
      <c r="AY721"/>
      <c r="BA721"/>
      <c r="BB721"/>
      <c r="BC721"/>
      <c r="BD721"/>
      <c r="BE721"/>
      <c r="BF721"/>
      <c r="BG721"/>
      <c r="BH721"/>
      <c r="BI721"/>
      <c r="BJ721"/>
      <c r="BR721"/>
      <c r="BS721"/>
      <c r="BT721"/>
      <c r="BU721"/>
      <c r="BX721"/>
      <c r="BY721"/>
      <c r="CA721"/>
    </row>
    <row r="722" spans="2:79" ht="18.75">
      <c r="B722" s="252" t="s">
        <v>948</v>
      </c>
      <c r="C722" s="251">
        <v>36729755000179</v>
      </c>
      <c r="D722" s="252" t="s">
        <v>11</v>
      </c>
      <c r="E722" s="252" t="s">
        <v>620</v>
      </c>
      <c r="F722" s="252" t="s">
        <v>685</v>
      </c>
      <c r="G722" s="253" t="s">
        <v>738</v>
      </c>
      <c r="H722" s="253" t="s">
        <v>34</v>
      </c>
      <c r="I722" s="253" t="s">
        <v>1319</v>
      </c>
      <c r="J722" s="253" t="s">
        <v>608</v>
      </c>
      <c r="K722" s="253" t="s">
        <v>48</v>
      </c>
      <c r="L722" s="655"/>
      <c r="M722" s="655" t="s">
        <v>34</v>
      </c>
      <c r="N722" s="253" t="s">
        <v>3315</v>
      </c>
      <c r="O722" s="253" t="s">
        <v>1321</v>
      </c>
      <c r="P722" s="656">
        <v>44107</v>
      </c>
      <c r="Q722" s="657">
        <v>182.26331350000001</v>
      </c>
      <c r="R722" s="657">
        <v>117.33794289554166</v>
      </c>
      <c r="S722" s="253">
        <v>91</v>
      </c>
      <c r="T722" s="658">
        <v>2.2865572892731167E-2</v>
      </c>
      <c r="U722" s="659">
        <v>1.1433712592160856</v>
      </c>
      <c r="V722" s="658">
        <v>0.1725795597955273</v>
      </c>
      <c r="W722" s="659">
        <v>1.338407998764348</v>
      </c>
      <c r="X722" s="658">
        <v>0.28060102109877816</v>
      </c>
      <c r="Y722" s="659">
        <v>1.4532306051904389</v>
      </c>
      <c r="Z722" s="658"/>
      <c r="AA722" s="659"/>
      <c r="AB722" s="658">
        <v>6.1778489945242326E-3</v>
      </c>
      <c r="AC722" s="660">
        <v>7.0632432724425005</v>
      </c>
      <c r="AD722" s="682">
        <v>0</v>
      </c>
      <c r="AE722" s="944" t="s">
        <v>1987</v>
      </c>
      <c r="AF722" s="661" t="s">
        <v>1745</v>
      </c>
      <c r="AG722" s="662" t="s">
        <v>1432</v>
      </c>
      <c r="AH722" s="662" t="s">
        <v>1730</v>
      </c>
      <c r="AI722" s="662">
        <v>1000</v>
      </c>
      <c r="AJ722" s="662">
        <v>1000</v>
      </c>
      <c r="AK722" s="662">
        <v>1000</v>
      </c>
      <c r="AL722" s="658">
        <v>9.0000000000000011E-3</v>
      </c>
      <c r="AM722" s="658">
        <v>0.2</v>
      </c>
      <c r="AN722" s="659" t="s">
        <v>34</v>
      </c>
      <c r="AO722" s="253" t="s">
        <v>34</v>
      </c>
      <c r="AP722" s="944" t="s">
        <v>1746</v>
      </c>
      <c r="AQ722" s="663" t="s">
        <v>668</v>
      </c>
      <c r="AR722" s="658">
        <v>4.0000000000000001E-3</v>
      </c>
      <c r="AS722" s="658">
        <v>4.0000000000000001E-3</v>
      </c>
      <c r="AT722" s="658" t="s">
        <v>1417</v>
      </c>
      <c r="AU722" s="658" t="s">
        <v>2751</v>
      </c>
      <c r="AX722"/>
      <c r="AY722"/>
      <c r="BA722"/>
      <c r="BB722"/>
      <c r="BC722"/>
      <c r="BD722"/>
      <c r="BE722"/>
      <c r="BF722"/>
      <c r="BG722"/>
      <c r="BH722"/>
      <c r="BI722"/>
      <c r="BJ722"/>
      <c r="BR722"/>
      <c r="BS722"/>
      <c r="BT722"/>
      <c r="BU722"/>
      <c r="BX722"/>
      <c r="BY722"/>
      <c r="CA722"/>
    </row>
    <row r="723" spans="2:79" ht="18.75">
      <c r="B723" s="252" t="s">
        <v>1592</v>
      </c>
      <c r="C723" s="251">
        <v>36440431000116</v>
      </c>
      <c r="D723" s="252" t="s">
        <v>11</v>
      </c>
      <c r="E723" s="252" t="s">
        <v>620</v>
      </c>
      <c r="F723" s="252" t="s">
        <v>685</v>
      </c>
      <c r="G723" s="253" t="s">
        <v>738</v>
      </c>
      <c r="H723" s="253" t="s">
        <v>34</v>
      </c>
      <c r="I723" s="253" t="s">
        <v>1319</v>
      </c>
      <c r="J723" s="253" t="s">
        <v>608</v>
      </c>
      <c r="K723" s="253" t="s">
        <v>48</v>
      </c>
      <c r="L723" s="655"/>
      <c r="M723" s="655" t="s">
        <v>34</v>
      </c>
      <c r="N723" s="253" t="s">
        <v>3316</v>
      </c>
      <c r="O723" s="253" t="s">
        <v>1321</v>
      </c>
      <c r="P723" s="656">
        <v>43960</v>
      </c>
      <c r="Q723" s="657">
        <v>53.770969530000002</v>
      </c>
      <c r="R723" s="657">
        <v>67.099327833941885</v>
      </c>
      <c r="S723" s="253">
        <v>181</v>
      </c>
      <c r="T723" s="658">
        <v>2.1361274162444932E-2</v>
      </c>
      <c r="U723" s="659">
        <v>1.0681502296992043</v>
      </c>
      <c r="V723" s="658">
        <v>0.15897835400997606</v>
      </c>
      <c r="W723" s="659">
        <v>1.2329264305080041</v>
      </c>
      <c r="X723" s="658">
        <v>0.20883736867574076</v>
      </c>
      <c r="Y723" s="659">
        <v>1.0815671820388364</v>
      </c>
      <c r="Z723" s="658"/>
      <c r="AA723" s="659"/>
      <c r="AB723" s="658">
        <v>1.8080935121234508E-2</v>
      </c>
      <c r="AC723" s="660">
        <v>1.66111124019879</v>
      </c>
      <c r="AD723" s="682">
        <v>0</v>
      </c>
      <c r="AE723" s="944" t="s">
        <v>1987</v>
      </c>
      <c r="AF723" s="661" t="s">
        <v>1745</v>
      </c>
      <c r="AG723" s="662" t="s">
        <v>1432</v>
      </c>
      <c r="AH723" s="662" t="s">
        <v>1730</v>
      </c>
      <c r="AI723" s="662">
        <v>100000</v>
      </c>
      <c r="AJ723" s="662">
        <v>50000</v>
      </c>
      <c r="AK723" s="662">
        <v>50000</v>
      </c>
      <c r="AL723" s="658">
        <v>0.02</v>
      </c>
      <c r="AM723" s="658">
        <v>0.2</v>
      </c>
      <c r="AN723" s="659" t="s">
        <v>34</v>
      </c>
      <c r="AO723" s="253" t="s">
        <v>34</v>
      </c>
      <c r="AP723" s="944" t="s">
        <v>1746</v>
      </c>
      <c r="AQ723" s="663" t="s">
        <v>668</v>
      </c>
      <c r="AR723" s="658">
        <v>4.0000000000000001E-3</v>
      </c>
      <c r="AS723" s="658">
        <v>4.0000000000000001E-3</v>
      </c>
      <c r="AT723" s="658" t="s">
        <v>1417</v>
      </c>
      <c r="AU723" s="658" t="s">
        <v>2751</v>
      </c>
      <c r="AX723"/>
      <c r="AY723"/>
      <c r="BA723"/>
      <c r="BB723"/>
      <c r="BC723"/>
      <c r="BD723"/>
      <c r="BE723"/>
      <c r="BF723"/>
      <c r="BG723"/>
      <c r="BH723"/>
      <c r="BI723"/>
      <c r="BJ723"/>
      <c r="BR723"/>
      <c r="BS723"/>
      <c r="BT723"/>
      <c r="BU723"/>
      <c r="BX723"/>
      <c r="BY723"/>
      <c r="CA723"/>
    </row>
    <row r="724" spans="2:79" ht="18.75">
      <c r="B724" s="252" t="s">
        <v>485</v>
      </c>
      <c r="C724" s="251">
        <v>42887856000170</v>
      </c>
      <c r="D724" s="252" t="s">
        <v>11</v>
      </c>
      <c r="E724" s="252" t="s">
        <v>4235</v>
      </c>
      <c r="F724" s="252" t="s">
        <v>663</v>
      </c>
      <c r="G724" s="253" t="s">
        <v>738</v>
      </c>
      <c r="H724" s="253" t="s">
        <v>34</v>
      </c>
      <c r="I724" s="253" t="s">
        <v>1417</v>
      </c>
      <c r="J724" s="253" t="s">
        <v>611</v>
      </c>
      <c r="K724" s="253" t="s">
        <v>48</v>
      </c>
      <c r="L724" s="655"/>
      <c r="M724" s="655" t="s">
        <v>1414</v>
      </c>
      <c r="N724" s="253" t="s">
        <v>3317</v>
      </c>
      <c r="O724" s="253" t="s">
        <v>1321</v>
      </c>
      <c r="P724" s="656">
        <v>44434</v>
      </c>
      <c r="Q724" s="657">
        <v>490.76272512000003</v>
      </c>
      <c r="R724" s="657">
        <v>296.32151641759992</v>
      </c>
      <c r="S724" s="253">
        <v>1</v>
      </c>
      <c r="T724" s="658">
        <v>-6.821641401244527E-5</v>
      </c>
      <c r="U724" s="659">
        <v>-3.4110970039771039E-3</v>
      </c>
      <c r="V724" s="658">
        <v>0.12460010724212522</v>
      </c>
      <c r="W724" s="659">
        <v>0.96631246699980278</v>
      </c>
      <c r="X724" s="658"/>
      <c r="Y724" s="659"/>
      <c r="Z724" s="658"/>
      <c r="AA724" s="659"/>
      <c r="AB724" s="658">
        <v>1.1916223824183392E-2</v>
      </c>
      <c r="AC724" s="660">
        <v>-0.3645284167831418</v>
      </c>
      <c r="AD724" s="682">
        <v>0</v>
      </c>
      <c r="AE724" s="944" t="s">
        <v>1987</v>
      </c>
      <c r="AF724" s="661" t="s">
        <v>1745</v>
      </c>
      <c r="AG724" s="662" t="s">
        <v>1432</v>
      </c>
      <c r="AH724" s="662" t="s">
        <v>1801</v>
      </c>
      <c r="AI724" s="662">
        <v>100</v>
      </c>
      <c r="AJ724" s="662">
        <v>100</v>
      </c>
      <c r="AK724" s="662">
        <v>100</v>
      </c>
      <c r="AL724" s="658">
        <v>0</v>
      </c>
      <c r="AM724" s="658">
        <v>0</v>
      </c>
      <c r="AN724" s="659" t="s">
        <v>34</v>
      </c>
      <c r="AO724" s="253" t="s">
        <v>34</v>
      </c>
      <c r="AP724" s="944" t="s">
        <v>1735</v>
      </c>
      <c r="AQ724" s="663" t="s">
        <v>675</v>
      </c>
      <c r="AR724" s="658">
        <v>9.9989999999999996E-4</v>
      </c>
      <c r="AS724" s="658">
        <v>9.9989999999999996E-4</v>
      </c>
      <c r="AT724" s="658" t="s">
        <v>1417</v>
      </c>
      <c r="AU724" s="658" t="s">
        <v>2751</v>
      </c>
      <c r="AX724"/>
      <c r="AY724"/>
      <c r="BA724"/>
      <c r="BB724"/>
      <c r="BC724"/>
      <c r="BD724"/>
      <c r="BE724"/>
      <c r="BF724"/>
      <c r="BG724"/>
      <c r="BH724"/>
      <c r="BI724"/>
      <c r="BJ724"/>
      <c r="BR724"/>
      <c r="BS724"/>
      <c r="BT724"/>
      <c r="BU724"/>
      <c r="BX724"/>
      <c r="BY724"/>
      <c r="CA724"/>
    </row>
    <row r="725" spans="2:79" ht="18.75">
      <c r="B725" s="252" t="s">
        <v>949</v>
      </c>
      <c r="C725" s="251">
        <v>36327569000103</v>
      </c>
      <c r="D725" s="252" t="s">
        <v>13</v>
      </c>
      <c r="E725" s="252" t="s">
        <v>616</v>
      </c>
      <c r="F725" s="252" t="s">
        <v>619</v>
      </c>
      <c r="G725" s="253" t="s">
        <v>34</v>
      </c>
      <c r="H725" s="253" t="s">
        <v>1338</v>
      </c>
      <c r="I725" s="253" t="s">
        <v>34</v>
      </c>
      <c r="J725" s="253" t="s">
        <v>611</v>
      </c>
      <c r="K725" s="253" t="s">
        <v>49</v>
      </c>
      <c r="L725" s="655"/>
      <c r="M725" s="655" t="s">
        <v>1414</v>
      </c>
      <c r="N725" s="253" t="s">
        <v>3318</v>
      </c>
      <c r="O725" s="253" t="s">
        <v>1321</v>
      </c>
      <c r="P725" s="656">
        <v>43985</v>
      </c>
      <c r="Q725" s="657">
        <v>103.74881671999999</v>
      </c>
      <c r="R725" s="657">
        <v>149.96921029264229</v>
      </c>
      <c r="S725" s="253">
        <v>41</v>
      </c>
      <c r="T725" s="658">
        <v>-1.9550889453210041E-2</v>
      </c>
      <c r="U725" s="659">
        <v>-0.97762366146607382</v>
      </c>
      <c r="V725" s="658">
        <v>-0.23184538233264584</v>
      </c>
      <c r="W725" s="659">
        <v>-1.7980328293700614</v>
      </c>
      <c r="X725" s="658">
        <v>-0.19995018100619533</v>
      </c>
      <c r="Y725" s="659">
        <v>-1.0355405030735161</v>
      </c>
      <c r="Z725" s="658"/>
      <c r="AA725" s="659"/>
      <c r="AB725" s="658">
        <v>0.25498404866539875</v>
      </c>
      <c r="AC725" s="660">
        <v>-1.4149484788080908</v>
      </c>
      <c r="AD725" s="682">
        <v>34447464000162</v>
      </c>
      <c r="AE725" s="944" t="s">
        <v>1940</v>
      </c>
      <c r="AF725" s="661" t="s">
        <v>1729</v>
      </c>
      <c r="AG725" s="662" t="s">
        <v>1433</v>
      </c>
      <c r="AH725" s="662" t="s">
        <v>1801</v>
      </c>
      <c r="AI725" s="662">
        <v>50000</v>
      </c>
      <c r="AJ725" s="662">
        <v>0</v>
      </c>
      <c r="AK725" s="662">
        <v>5000</v>
      </c>
      <c r="AL725" s="658">
        <v>1.4999999999999999E-2</v>
      </c>
      <c r="AM725" s="658">
        <v>0</v>
      </c>
      <c r="AN725" s="659" t="s">
        <v>34</v>
      </c>
      <c r="AO725" s="253" t="s">
        <v>34</v>
      </c>
      <c r="AP725" s="944" t="s">
        <v>1746</v>
      </c>
      <c r="AQ725" s="663" t="s">
        <v>679</v>
      </c>
      <c r="AR725" s="658">
        <v>2.66666666666667E-3</v>
      </c>
      <c r="AS725" s="658">
        <v>2.66666666666667E-3</v>
      </c>
      <c r="AT725" s="658" t="s">
        <v>1417</v>
      </c>
      <c r="AU725" s="658" t="s">
        <v>2751</v>
      </c>
      <c r="AX725"/>
      <c r="AY725"/>
      <c r="BA725"/>
      <c r="BB725"/>
      <c r="BC725"/>
      <c r="BD725"/>
      <c r="BE725"/>
      <c r="BF725"/>
      <c r="BG725"/>
      <c r="BH725"/>
      <c r="BI725"/>
      <c r="BJ725"/>
      <c r="BR725"/>
      <c r="BS725"/>
      <c r="BT725"/>
      <c r="BU725"/>
      <c r="BX725"/>
      <c r="BY725"/>
      <c r="CA725"/>
    </row>
    <row r="726" spans="2:79" ht="18.75">
      <c r="B726" s="252" t="s">
        <v>207</v>
      </c>
      <c r="C726" s="251">
        <v>1823373000125</v>
      </c>
      <c r="D726" s="252" t="s">
        <v>13</v>
      </c>
      <c r="E726" s="252" t="s">
        <v>615</v>
      </c>
      <c r="F726" s="252" t="s">
        <v>619</v>
      </c>
      <c r="G726" s="253" t="s">
        <v>34</v>
      </c>
      <c r="H726" s="253" t="s">
        <v>1338</v>
      </c>
      <c r="I726" s="253" t="s">
        <v>34</v>
      </c>
      <c r="J726" s="253" t="s">
        <v>1417</v>
      </c>
      <c r="K726" s="253" t="s">
        <v>48</v>
      </c>
      <c r="L726" s="655"/>
      <c r="M726" s="655" t="s">
        <v>34</v>
      </c>
      <c r="N726" s="253" t="s">
        <v>3319</v>
      </c>
      <c r="O726" s="253" t="s">
        <v>1321</v>
      </c>
      <c r="P726" s="656">
        <v>35568</v>
      </c>
      <c r="Q726" s="657">
        <v>698.483384</v>
      </c>
      <c r="R726" s="657">
        <v>623.93848895161261</v>
      </c>
      <c r="S726" s="253">
        <v>31</v>
      </c>
      <c r="T726" s="658">
        <v>2.042125369225789E-2</v>
      </c>
      <c r="U726" s="659">
        <v>1.0211453987365684</v>
      </c>
      <c r="V726" s="658">
        <v>0.15397259700003008</v>
      </c>
      <c r="W726" s="659">
        <v>1.1941052327374204</v>
      </c>
      <c r="X726" s="658">
        <v>0.31592184289163971</v>
      </c>
      <c r="Y726" s="659">
        <v>1.636156879046708</v>
      </c>
      <c r="Z726" s="658">
        <v>0.49123763464629056</v>
      </c>
      <c r="AA726" s="659">
        <v>2.2180740007049766</v>
      </c>
      <c r="AB726" s="658">
        <v>7.8279694146049933E-2</v>
      </c>
      <c r="AC726" s="660">
        <v>0.31973409996396485</v>
      </c>
      <c r="AD726" s="682">
        <v>17891926000117</v>
      </c>
      <c r="AE726" s="944" t="s">
        <v>1758</v>
      </c>
      <c r="AF726" s="661" t="s">
        <v>1745</v>
      </c>
      <c r="AG726" s="662" t="s">
        <v>1432</v>
      </c>
      <c r="AH726" s="662" t="s">
        <v>1734</v>
      </c>
      <c r="AI726" s="662">
        <v>500</v>
      </c>
      <c r="AJ726" s="662">
        <v>100</v>
      </c>
      <c r="AK726" s="662">
        <v>100</v>
      </c>
      <c r="AL726" s="658">
        <v>1.95E-2</v>
      </c>
      <c r="AM726" s="658">
        <v>0.2</v>
      </c>
      <c r="AN726" s="659" t="s">
        <v>64</v>
      </c>
      <c r="AO726" s="253" t="s">
        <v>34</v>
      </c>
      <c r="AP726" s="944" t="s">
        <v>1746</v>
      </c>
      <c r="AQ726" s="663" t="s">
        <v>664</v>
      </c>
      <c r="AR726" s="658">
        <v>3.8999999999999998E-3</v>
      </c>
      <c r="AS726" s="658">
        <v>3.8999999999999998E-3</v>
      </c>
      <c r="AT726" s="658" t="s">
        <v>1417</v>
      </c>
      <c r="AU726" s="658" t="s">
        <v>2751</v>
      </c>
      <c r="AX726"/>
      <c r="AY726"/>
      <c r="BA726"/>
      <c r="BB726"/>
      <c r="BC726"/>
      <c r="BD726"/>
      <c r="BE726"/>
      <c r="BF726"/>
      <c r="BG726"/>
      <c r="BH726"/>
      <c r="BI726"/>
      <c r="BJ726"/>
      <c r="BR726"/>
      <c r="BS726"/>
      <c r="BT726"/>
      <c r="BU726"/>
      <c r="BX726"/>
      <c r="BY726"/>
      <c r="CA726"/>
    </row>
    <row r="727" spans="2:79" ht="18.75">
      <c r="B727" s="252" t="s">
        <v>950</v>
      </c>
      <c r="C727" s="251">
        <v>3804917000137</v>
      </c>
      <c r="D727" s="252" t="s">
        <v>13</v>
      </c>
      <c r="E727" s="252" t="s">
        <v>615</v>
      </c>
      <c r="F727" s="252" t="s">
        <v>619</v>
      </c>
      <c r="G727" s="253" t="s">
        <v>34</v>
      </c>
      <c r="H727" s="253" t="s">
        <v>1338</v>
      </c>
      <c r="I727" s="253" t="s">
        <v>34</v>
      </c>
      <c r="J727" s="253" t="s">
        <v>1417</v>
      </c>
      <c r="K727" s="253" t="s">
        <v>48</v>
      </c>
      <c r="L727" s="655"/>
      <c r="M727" s="655" t="s">
        <v>34</v>
      </c>
      <c r="N727" s="253" t="s">
        <v>3320</v>
      </c>
      <c r="O727" s="253" t="s">
        <v>1324</v>
      </c>
      <c r="P727" s="656">
        <v>36667</v>
      </c>
      <c r="Q727" s="657">
        <v>130.53446199999999</v>
      </c>
      <c r="R727" s="657">
        <v>132.92951665863453</v>
      </c>
      <c r="S727" s="253">
        <v>1</v>
      </c>
      <c r="T727" s="658">
        <v>2.0413105982128643E-2</v>
      </c>
      <c r="U727" s="659">
        <v>1.0207379802286698</v>
      </c>
      <c r="V727" s="658">
        <v>0.15474488674743747</v>
      </c>
      <c r="W727" s="659">
        <v>1.2000945791960533</v>
      </c>
      <c r="X727" s="658">
        <v>0.31652178832135491</v>
      </c>
      <c r="Y727" s="659">
        <v>1.639263991973426</v>
      </c>
      <c r="Z727" s="658">
        <v>0.49422042921154774</v>
      </c>
      <c r="AA727" s="659">
        <v>2.2315421444464567</v>
      </c>
      <c r="AB727" s="658">
        <v>7.7572694662746411E-2</v>
      </c>
      <c r="AC727" s="660">
        <v>0.33260385516863844</v>
      </c>
      <c r="AD727" s="682">
        <v>17891926000117</v>
      </c>
      <c r="AE727" s="944" t="s">
        <v>1758</v>
      </c>
      <c r="AF727" s="661" t="s">
        <v>1745</v>
      </c>
      <c r="AG727" s="662" t="s">
        <v>1432</v>
      </c>
      <c r="AH727" s="662" t="s">
        <v>1734</v>
      </c>
      <c r="AI727" s="662">
        <v>5000</v>
      </c>
      <c r="AJ727" s="662">
        <v>1000</v>
      </c>
      <c r="AK727" s="662">
        <v>1000</v>
      </c>
      <c r="AL727" s="658">
        <v>1.95E-2</v>
      </c>
      <c r="AM727" s="658">
        <v>0.2</v>
      </c>
      <c r="AN727" s="659" t="s">
        <v>64</v>
      </c>
      <c r="AO727" s="253" t="s">
        <v>34</v>
      </c>
      <c r="AP727" s="944" t="s">
        <v>1746</v>
      </c>
      <c r="AQ727" s="663" t="s">
        <v>668</v>
      </c>
      <c r="AR727" s="658">
        <v>3.8999999999999998E-3</v>
      </c>
      <c r="AS727" s="658">
        <v>3.8999999999999998E-3</v>
      </c>
      <c r="AT727" s="658" t="s">
        <v>1417</v>
      </c>
      <c r="AU727" s="658" t="s">
        <v>2751</v>
      </c>
      <c r="AX727"/>
      <c r="AY727"/>
      <c r="BA727"/>
      <c r="BB727"/>
      <c r="BC727"/>
      <c r="BD727"/>
      <c r="BE727"/>
      <c r="BF727"/>
      <c r="BG727"/>
      <c r="BH727"/>
      <c r="BI727"/>
      <c r="BJ727"/>
      <c r="BR727"/>
      <c r="BS727"/>
      <c r="BT727"/>
      <c r="BU727"/>
      <c r="BX727"/>
      <c r="BY727"/>
      <c r="CA727"/>
    </row>
    <row r="728" spans="2:79" ht="18.75">
      <c r="B728" s="252" t="s">
        <v>951</v>
      </c>
      <c r="C728" s="251">
        <v>30995018000131</v>
      </c>
      <c r="D728" s="252" t="s">
        <v>14</v>
      </c>
      <c r="E728" s="252" t="s">
        <v>614</v>
      </c>
      <c r="F728" s="252" t="s">
        <v>1417</v>
      </c>
      <c r="G728" s="253" t="s">
        <v>1417</v>
      </c>
      <c r="H728" s="253" t="s">
        <v>865</v>
      </c>
      <c r="I728" s="253" t="s">
        <v>34</v>
      </c>
      <c r="J728" s="253" t="s">
        <v>608</v>
      </c>
      <c r="K728" s="253" t="s">
        <v>48</v>
      </c>
      <c r="L728" s="655"/>
      <c r="M728" s="655" t="s">
        <v>34</v>
      </c>
      <c r="N728" s="253" t="s">
        <v>3321</v>
      </c>
      <c r="O728" s="253" t="s">
        <v>1321</v>
      </c>
      <c r="P728" s="656">
        <v>43456</v>
      </c>
      <c r="Q728" s="657">
        <v>20.574461929999998</v>
      </c>
      <c r="R728" s="657">
        <v>30.225193863064511</v>
      </c>
      <c r="S728" s="253">
        <v>32</v>
      </c>
      <c r="T728" s="658">
        <v>-8.2903525801048983E-2</v>
      </c>
      <c r="U728" s="659">
        <v>-4.1455120819969329</v>
      </c>
      <c r="V728" s="658">
        <v>-0.10628910294868632</v>
      </c>
      <c r="W728" s="659">
        <v>-0.82430495092557232</v>
      </c>
      <c r="X728" s="658">
        <v>-0.13234281725177721</v>
      </c>
      <c r="Y728" s="659">
        <v>-0.6854024680819143</v>
      </c>
      <c r="Z728" s="658">
        <v>-4.2073295373492137E-2</v>
      </c>
      <c r="AA728" s="659">
        <v>-0.18997258355239613</v>
      </c>
      <c r="AB728" s="658">
        <v>0.16979701009394357</v>
      </c>
      <c r="AC728" s="660">
        <v>-1.3853778241756278</v>
      </c>
      <c r="AD728" s="682">
        <v>30994978000187</v>
      </c>
      <c r="AE728" s="944" t="s">
        <v>1971</v>
      </c>
      <c r="AF728" s="661" t="s">
        <v>1767</v>
      </c>
      <c r="AG728" s="662" t="s">
        <v>59</v>
      </c>
      <c r="AH728" s="662" t="s">
        <v>1730</v>
      </c>
      <c r="AI728" s="662">
        <v>500</v>
      </c>
      <c r="AJ728" s="662">
        <v>100</v>
      </c>
      <c r="AK728" s="662">
        <v>500</v>
      </c>
      <c r="AL728" s="658">
        <v>0</v>
      </c>
      <c r="AM728" s="658">
        <v>0</v>
      </c>
      <c r="AN728" s="659" t="s">
        <v>64</v>
      </c>
      <c r="AO728" s="253" t="s">
        <v>34</v>
      </c>
      <c r="AP728" s="944" t="s">
        <v>1731</v>
      </c>
      <c r="AQ728" s="663" t="s">
        <v>659</v>
      </c>
      <c r="AR728" s="658">
        <v>4.725E-3</v>
      </c>
      <c r="AS728" s="658">
        <v>4.725E-3</v>
      </c>
      <c r="AT728" s="658" t="s">
        <v>1417</v>
      </c>
      <c r="AU728" s="658" t="s">
        <v>2751</v>
      </c>
      <c r="AX728"/>
      <c r="AY728"/>
      <c r="BA728"/>
      <c r="BB728"/>
      <c r="BC728"/>
      <c r="BD728"/>
      <c r="BE728"/>
      <c r="BF728"/>
      <c r="BG728"/>
      <c r="BH728"/>
      <c r="BI728"/>
      <c r="BJ728"/>
      <c r="BR728"/>
      <c r="BS728"/>
      <c r="BT728"/>
      <c r="BU728"/>
      <c r="BX728"/>
      <c r="BY728"/>
      <c r="CA728"/>
    </row>
    <row r="729" spans="2:79" ht="18.75">
      <c r="B729" s="252" t="s">
        <v>953</v>
      </c>
      <c r="C729" s="251">
        <v>19212817000151</v>
      </c>
      <c r="D729" s="252" t="s">
        <v>13</v>
      </c>
      <c r="E729" s="252" t="s">
        <v>615</v>
      </c>
      <c r="F729" s="252" t="s">
        <v>619</v>
      </c>
      <c r="G729" s="253" t="s">
        <v>34</v>
      </c>
      <c r="H729" s="253" t="s">
        <v>1337</v>
      </c>
      <c r="I729" s="253" t="s">
        <v>34</v>
      </c>
      <c r="J729" s="253" t="s">
        <v>1417</v>
      </c>
      <c r="K729" s="253" t="s">
        <v>48</v>
      </c>
      <c r="L729" s="655"/>
      <c r="M729" s="655" t="s">
        <v>34</v>
      </c>
      <c r="N729" s="253" t="s">
        <v>3322</v>
      </c>
      <c r="O729" s="253" t="s">
        <v>1321</v>
      </c>
      <c r="P729" s="656">
        <v>41616</v>
      </c>
      <c r="Q729" s="657">
        <v>176.973884</v>
      </c>
      <c r="R729" s="657">
        <v>237.55836502419351</v>
      </c>
      <c r="S729" s="253">
        <v>31</v>
      </c>
      <c r="T729" s="658">
        <v>3.13143128754656E-3</v>
      </c>
      <c r="U729" s="659">
        <v>0.15658424790786427</v>
      </c>
      <c r="V729" s="658">
        <v>6.0724426777944318E-2</v>
      </c>
      <c r="W729" s="659">
        <v>0.47093675876954577</v>
      </c>
      <c r="X729" s="658">
        <v>0.1418044216089871</v>
      </c>
      <c r="Y729" s="659">
        <v>0.73440404680838778</v>
      </c>
      <c r="Z729" s="658">
        <v>0.20843540520810455</v>
      </c>
      <c r="AA729" s="659">
        <v>0.94114359428384331</v>
      </c>
      <c r="AB729" s="658">
        <v>4.2794033779236546E-2</v>
      </c>
      <c r="AC729" s="660">
        <v>-1.5941353652420538</v>
      </c>
      <c r="AD729" s="682">
        <v>18981231000199</v>
      </c>
      <c r="AE729" s="944" t="s">
        <v>1887</v>
      </c>
      <c r="AF729" s="661" t="s">
        <v>1767</v>
      </c>
      <c r="AG729" s="662" t="s">
        <v>59</v>
      </c>
      <c r="AH729" s="662" t="s">
        <v>1734</v>
      </c>
      <c r="AI729" s="662">
        <v>500</v>
      </c>
      <c r="AJ729" s="662">
        <v>100</v>
      </c>
      <c r="AK729" s="662">
        <v>500</v>
      </c>
      <c r="AL729" s="658">
        <v>2.5000000000000001E-2</v>
      </c>
      <c r="AM729" s="658">
        <v>0.2</v>
      </c>
      <c r="AN729" s="659" t="s">
        <v>64</v>
      </c>
      <c r="AO729" s="253" t="s">
        <v>1743</v>
      </c>
      <c r="AP729" s="944" t="s">
        <v>1746</v>
      </c>
      <c r="AQ729" s="663" t="s">
        <v>664</v>
      </c>
      <c r="AR729" s="658">
        <v>3.7799999999999999E-3</v>
      </c>
      <c r="AS729" s="658">
        <v>3.7799999999999999E-3</v>
      </c>
      <c r="AT729" s="658" t="s">
        <v>1417</v>
      </c>
      <c r="AU729" s="658" t="s">
        <v>2751</v>
      </c>
      <c r="AX729"/>
      <c r="AY729"/>
      <c r="BA729"/>
      <c r="BB729"/>
      <c r="BC729"/>
      <c r="BD729"/>
      <c r="BE729"/>
      <c r="BF729"/>
      <c r="BG729"/>
      <c r="BH729"/>
      <c r="BI729"/>
      <c r="BJ729"/>
      <c r="BR729"/>
      <c r="BS729"/>
      <c r="BT729"/>
      <c r="BU729"/>
      <c r="BX729"/>
      <c r="BY729"/>
      <c r="CA729"/>
    </row>
    <row r="730" spans="2:79" ht="18.75">
      <c r="B730" s="252" t="s">
        <v>952</v>
      </c>
      <c r="C730" s="251">
        <v>19211736000137</v>
      </c>
      <c r="D730" s="252" t="s">
        <v>13</v>
      </c>
      <c r="E730" s="252" t="s">
        <v>615</v>
      </c>
      <c r="F730" s="252" t="s">
        <v>619</v>
      </c>
      <c r="G730" s="253" t="s">
        <v>34</v>
      </c>
      <c r="H730" s="253" t="s">
        <v>1337</v>
      </c>
      <c r="I730" s="253" t="s">
        <v>34</v>
      </c>
      <c r="J730" s="253" t="s">
        <v>1417</v>
      </c>
      <c r="K730" s="253" t="s">
        <v>48</v>
      </c>
      <c r="L730" s="655"/>
      <c r="M730" s="655" t="s">
        <v>34</v>
      </c>
      <c r="N730" s="253" t="s">
        <v>3323</v>
      </c>
      <c r="O730" s="253" t="s">
        <v>1321</v>
      </c>
      <c r="P730" s="656">
        <v>41616</v>
      </c>
      <c r="Q730" s="657">
        <v>14.827757999999999</v>
      </c>
      <c r="R730" s="657">
        <v>30.600629195121961</v>
      </c>
      <c r="S730" s="253">
        <v>32</v>
      </c>
      <c r="T730" s="658">
        <v>3.1463841210281895E-3</v>
      </c>
      <c r="U730" s="659">
        <v>0.15733195014681295</v>
      </c>
      <c r="V730" s="658">
        <v>6.1315933687241309E-2</v>
      </c>
      <c r="W730" s="659">
        <v>0.47552407826245358</v>
      </c>
      <c r="X730" s="658">
        <v>0.14116339820254287</v>
      </c>
      <c r="Y730" s="659">
        <v>0.73108419134513825</v>
      </c>
      <c r="Z730" s="658">
        <v>0.20683938764733489</v>
      </c>
      <c r="AA730" s="659">
        <v>0.93393713287589208</v>
      </c>
      <c r="AB730" s="658">
        <v>4.1329395888772505E-2</v>
      </c>
      <c r="AC730" s="660">
        <v>-1.6363165806137219</v>
      </c>
      <c r="AD730" s="682">
        <v>19203036000109</v>
      </c>
      <c r="AE730" s="944" t="s">
        <v>1797</v>
      </c>
      <c r="AF730" s="661" t="s">
        <v>1745</v>
      </c>
      <c r="AG730" s="662" t="s">
        <v>1432</v>
      </c>
      <c r="AH730" s="662" t="s">
        <v>1734</v>
      </c>
      <c r="AI730" s="662">
        <v>5000</v>
      </c>
      <c r="AJ730" s="662">
        <v>1000</v>
      </c>
      <c r="AK730" s="662">
        <v>5000</v>
      </c>
      <c r="AL730" s="658">
        <v>0</v>
      </c>
      <c r="AM730" s="658">
        <v>0</v>
      </c>
      <c r="AN730" s="659" t="s">
        <v>34</v>
      </c>
      <c r="AO730" s="253" t="s">
        <v>34</v>
      </c>
      <c r="AP730" s="944" t="s">
        <v>1746</v>
      </c>
      <c r="AQ730" s="663" t="s">
        <v>664</v>
      </c>
      <c r="AR730" s="658">
        <v>3.7799999999999999E-3</v>
      </c>
      <c r="AS730" s="658">
        <v>3.7799999999999999E-3</v>
      </c>
      <c r="AT730" s="658" t="s">
        <v>1417</v>
      </c>
      <c r="AU730" s="658" t="s">
        <v>2751</v>
      </c>
      <c r="AX730"/>
      <c r="AY730"/>
      <c r="BA730"/>
      <c r="BB730"/>
      <c r="BC730"/>
      <c r="BD730"/>
      <c r="BE730"/>
      <c r="BF730"/>
      <c r="BG730"/>
      <c r="BH730"/>
      <c r="BI730"/>
      <c r="BJ730"/>
      <c r="BR730"/>
      <c r="BS730"/>
      <c r="BT730"/>
      <c r="BU730"/>
      <c r="BX730"/>
      <c r="BY730"/>
      <c r="CA730"/>
    </row>
    <row r="731" spans="2:79" ht="18.75">
      <c r="B731" s="252" t="s">
        <v>1593</v>
      </c>
      <c r="C731" s="251">
        <v>23686459000196</v>
      </c>
      <c r="D731" s="252" t="s">
        <v>13</v>
      </c>
      <c r="E731" s="252" t="s">
        <v>615</v>
      </c>
      <c r="F731" s="252" t="s">
        <v>619</v>
      </c>
      <c r="G731" s="253" t="s">
        <v>34</v>
      </c>
      <c r="H731" s="253" t="s">
        <v>1337</v>
      </c>
      <c r="I731" s="253" t="s">
        <v>34</v>
      </c>
      <c r="J731" s="253" t="s">
        <v>1417</v>
      </c>
      <c r="K731" s="253" t="s">
        <v>48</v>
      </c>
      <c r="L731" s="655"/>
      <c r="M731" s="655" t="s">
        <v>34</v>
      </c>
      <c r="N731" s="253" t="s">
        <v>3324</v>
      </c>
      <c r="O731" s="253" t="s">
        <v>1321</v>
      </c>
      <c r="P731" s="656">
        <v>42446</v>
      </c>
      <c r="Q731" s="657">
        <v>33.060417999999999</v>
      </c>
      <c r="R731" s="657">
        <v>39.039828491869926</v>
      </c>
      <c r="S731" s="253">
        <v>1</v>
      </c>
      <c r="T731" s="658">
        <v>3.0112540257292153E-3</v>
      </c>
      <c r="U731" s="659">
        <v>0.15057489805173538</v>
      </c>
      <c r="V731" s="658">
        <v>6.0064472880105635E-2</v>
      </c>
      <c r="W731" s="659">
        <v>0.46581861165681976</v>
      </c>
      <c r="X731" s="658">
        <v>0.13961077782052356</v>
      </c>
      <c r="Y731" s="659">
        <v>0.72304318191275041</v>
      </c>
      <c r="Z731" s="658">
        <v>0.2034657939505069</v>
      </c>
      <c r="AA731" s="659">
        <v>0.91870442279808151</v>
      </c>
      <c r="AB731" s="658">
        <v>4.322545491901212E-2</v>
      </c>
      <c r="AC731" s="660">
        <v>-1.5934924616926831</v>
      </c>
      <c r="AD731" s="682">
        <v>18981231000199</v>
      </c>
      <c r="AE731" s="944" t="s">
        <v>1887</v>
      </c>
      <c r="AF731" s="661" t="s">
        <v>1729</v>
      </c>
      <c r="AG731" s="662" t="s">
        <v>1433</v>
      </c>
      <c r="AH731" s="662" t="s">
        <v>1734</v>
      </c>
      <c r="AI731" s="662">
        <v>500</v>
      </c>
      <c r="AJ731" s="662">
        <v>100</v>
      </c>
      <c r="AK731" s="662">
        <v>500</v>
      </c>
      <c r="AL731" s="658">
        <v>1.89E-2</v>
      </c>
      <c r="AM731" s="658">
        <v>0.2</v>
      </c>
      <c r="AN731" s="659" t="s">
        <v>64</v>
      </c>
      <c r="AO731" s="253" t="s">
        <v>34</v>
      </c>
      <c r="AP731" s="944" t="s">
        <v>1746</v>
      </c>
      <c r="AQ731" s="663" t="s">
        <v>664</v>
      </c>
      <c r="AR731" s="658">
        <v>3.15E-3</v>
      </c>
      <c r="AS731" s="658">
        <v>3.15E-3</v>
      </c>
      <c r="AT731" s="658" t="s">
        <v>1417</v>
      </c>
      <c r="AU731" s="658" t="s">
        <v>2751</v>
      </c>
      <c r="AX731"/>
      <c r="AY731"/>
      <c r="BA731"/>
      <c r="BB731"/>
      <c r="BC731"/>
      <c r="BD731"/>
      <c r="BE731"/>
      <c r="BF731"/>
      <c r="BG731"/>
      <c r="BH731"/>
      <c r="BI731"/>
      <c r="BJ731"/>
      <c r="BR731"/>
      <c r="BS731"/>
      <c r="BT731"/>
      <c r="BU731"/>
      <c r="BX731"/>
      <c r="BY731"/>
      <c r="CA731"/>
    </row>
    <row r="732" spans="2:79" ht="18.75">
      <c r="B732" s="252" t="s">
        <v>954</v>
      </c>
      <c r="C732" s="251">
        <v>41969176000133</v>
      </c>
      <c r="D732" s="252" t="s">
        <v>13</v>
      </c>
      <c r="E732" s="252" t="s">
        <v>615</v>
      </c>
      <c r="F732" s="252" t="s">
        <v>619</v>
      </c>
      <c r="G732" s="253" t="s">
        <v>34</v>
      </c>
      <c r="H732" s="253" t="s">
        <v>1338</v>
      </c>
      <c r="I732" s="253" t="s">
        <v>34</v>
      </c>
      <c r="J732" s="253" t="s">
        <v>1417</v>
      </c>
      <c r="K732" s="253" t="s">
        <v>48</v>
      </c>
      <c r="L732" s="655"/>
      <c r="M732" s="655" t="s">
        <v>34</v>
      </c>
      <c r="N732" s="253" t="s">
        <v>3325</v>
      </c>
      <c r="O732" s="253" t="s">
        <v>1321</v>
      </c>
      <c r="P732" s="656">
        <v>44422</v>
      </c>
      <c r="Q732" s="657">
        <v>22.20295707</v>
      </c>
      <c r="R732" s="657">
        <v>17.589773292164505</v>
      </c>
      <c r="S732" s="253">
        <v>7</v>
      </c>
      <c r="T732" s="658">
        <v>-2.620762458042325E-3</v>
      </c>
      <c r="U732" s="659">
        <v>-0.13104873802268335</v>
      </c>
      <c r="V732" s="658">
        <v>0.1017045286583329</v>
      </c>
      <c r="W732" s="659">
        <v>0.78875015574352192</v>
      </c>
      <c r="X732" s="658"/>
      <c r="Y732" s="659"/>
      <c r="Z732" s="658"/>
      <c r="AA732" s="659"/>
      <c r="AB732" s="658">
        <v>5.1059930253244026E-2</v>
      </c>
      <c r="AC732" s="660">
        <v>-0.53347861333447133</v>
      </c>
      <c r="AD732" s="682">
        <v>41969199000148</v>
      </c>
      <c r="AE732" s="944" t="s">
        <v>2060</v>
      </c>
      <c r="AF732" s="661" t="s">
        <v>1767</v>
      </c>
      <c r="AG732" s="662" t="s">
        <v>59</v>
      </c>
      <c r="AH732" s="662" t="s">
        <v>1734</v>
      </c>
      <c r="AI732" s="662">
        <v>500</v>
      </c>
      <c r="AJ732" s="662">
        <v>100</v>
      </c>
      <c r="AK732" s="662">
        <v>500</v>
      </c>
      <c r="AL732" s="658">
        <v>0</v>
      </c>
      <c r="AM732" s="658">
        <v>0</v>
      </c>
      <c r="AN732" s="659" t="s">
        <v>64</v>
      </c>
      <c r="AO732" s="253" t="s">
        <v>34</v>
      </c>
      <c r="AP732" s="944" t="s">
        <v>1746</v>
      </c>
      <c r="AQ732" s="663" t="s">
        <v>664</v>
      </c>
      <c r="AR732" s="658">
        <v>3.7799999999999999E-3</v>
      </c>
      <c r="AS732" s="658">
        <v>3.7799999999999999E-3</v>
      </c>
      <c r="AT732" s="658" t="s">
        <v>1417</v>
      </c>
      <c r="AU732" s="658" t="s">
        <v>2751</v>
      </c>
      <c r="AX732"/>
      <c r="AY732"/>
      <c r="BA732"/>
      <c r="BB732"/>
      <c r="BC732"/>
      <c r="BD732"/>
      <c r="BE732"/>
      <c r="BF732"/>
      <c r="BG732"/>
      <c r="BH732"/>
      <c r="BI732"/>
      <c r="BJ732"/>
      <c r="BR732"/>
      <c r="BS732"/>
      <c r="BT732"/>
      <c r="BU732"/>
      <c r="BX732"/>
      <c r="BY732"/>
      <c r="CA732"/>
    </row>
    <row r="733" spans="2:79" ht="18.75">
      <c r="B733" s="252" t="s">
        <v>955</v>
      </c>
      <c r="C733" s="251">
        <v>37828294000154</v>
      </c>
      <c r="D733" s="252" t="s">
        <v>13</v>
      </c>
      <c r="E733" s="252" t="s">
        <v>615</v>
      </c>
      <c r="F733" s="252" t="s">
        <v>619</v>
      </c>
      <c r="G733" s="253" t="s">
        <v>34</v>
      </c>
      <c r="H733" s="253" t="s">
        <v>865</v>
      </c>
      <c r="I733" s="253" t="s">
        <v>34</v>
      </c>
      <c r="J733" s="253" t="s">
        <v>1417</v>
      </c>
      <c r="K733" s="253" t="s">
        <v>48</v>
      </c>
      <c r="L733" s="655"/>
      <c r="M733" s="655" t="s">
        <v>1414</v>
      </c>
      <c r="N733" s="253" t="s">
        <v>3326</v>
      </c>
      <c r="O733" s="253" t="s">
        <v>1321</v>
      </c>
      <c r="P733" s="656">
        <v>44043</v>
      </c>
      <c r="Q733" s="657">
        <v>264.84302149000001</v>
      </c>
      <c r="R733" s="657">
        <v>287.90401500842108</v>
      </c>
      <c r="S733" s="253">
        <v>31</v>
      </c>
      <c r="T733" s="658">
        <v>-1.0263691381079409E-3</v>
      </c>
      <c r="U733" s="659">
        <v>-5.1322614104808206E-2</v>
      </c>
      <c r="V733" s="658">
        <v>5.4825353620262307E-2</v>
      </c>
      <c r="W733" s="659">
        <v>0.42518761727855975</v>
      </c>
      <c r="X733" s="658">
        <v>0.14933515359233307</v>
      </c>
      <c r="Y733" s="659">
        <v>0.77340565184471566</v>
      </c>
      <c r="Z733" s="658"/>
      <c r="AA733" s="659"/>
      <c r="AB733" s="658">
        <v>5.6931249909393897E-2</v>
      </c>
      <c r="AC733" s="660">
        <v>-1.3018958119571544</v>
      </c>
      <c r="AD733" s="682">
        <v>0</v>
      </c>
      <c r="AE733" s="944" t="s">
        <v>1887</v>
      </c>
      <c r="AF733" s="661" t="s">
        <v>1767</v>
      </c>
      <c r="AG733" s="662" t="s">
        <v>59</v>
      </c>
      <c r="AH733" s="662" t="s">
        <v>1730</v>
      </c>
      <c r="AI733" s="662">
        <v>500</v>
      </c>
      <c r="AJ733" s="662">
        <v>100</v>
      </c>
      <c r="AK733" s="662">
        <v>500</v>
      </c>
      <c r="AL733" s="658">
        <v>1.89E-2</v>
      </c>
      <c r="AM733" s="658">
        <v>0.2</v>
      </c>
      <c r="AN733" s="659" t="s">
        <v>64</v>
      </c>
      <c r="AO733" s="253" t="s">
        <v>34</v>
      </c>
      <c r="AP733" s="944" t="s">
        <v>1746</v>
      </c>
      <c r="AQ733" s="663" t="s">
        <v>664</v>
      </c>
      <c r="AR733" s="658">
        <v>3.2130000000000001E-3</v>
      </c>
      <c r="AS733" s="658">
        <v>3.2130000000000001E-3</v>
      </c>
      <c r="AT733" s="658" t="s">
        <v>1417</v>
      </c>
      <c r="AU733" s="658" t="s">
        <v>2751</v>
      </c>
      <c r="AX733"/>
      <c r="AY733"/>
      <c r="BA733"/>
      <c r="BB733"/>
      <c r="BC733"/>
      <c r="BD733"/>
      <c r="BE733"/>
      <c r="BF733"/>
      <c r="BG733"/>
      <c r="BH733"/>
      <c r="BI733"/>
      <c r="BJ733"/>
      <c r="BR733"/>
      <c r="BS733"/>
      <c r="BT733"/>
      <c r="BU733"/>
      <c r="BX733"/>
      <c r="BY733"/>
      <c r="CA733"/>
    </row>
    <row r="734" spans="2:79" ht="18.75">
      <c r="B734" s="252" t="s">
        <v>1594</v>
      </c>
      <c r="C734" s="251">
        <v>38134833000118</v>
      </c>
      <c r="D734" s="252" t="s">
        <v>14</v>
      </c>
      <c r="E734" s="252" t="s">
        <v>614</v>
      </c>
      <c r="F734" s="252" t="s">
        <v>689</v>
      </c>
      <c r="G734" s="253" t="s">
        <v>1417</v>
      </c>
      <c r="H734" s="253" t="s">
        <v>865</v>
      </c>
      <c r="I734" s="253" t="s">
        <v>34</v>
      </c>
      <c r="J734" s="253" t="s">
        <v>608</v>
      </c>
      <c r="K734" s="253" t="s">
        <v>48</v>
      </c>
      <c r="L734" s="655"/>
      <c r="M734" s="655" t="s">
        <v>34</v>
      </c>
      <c r="N734" s="253" t="s">
        <v>3328</v>
      </c>
      <c r="O734" s="253" t="s">
        <v>1321</v>
      </c>
      <c r="P734" s="656">
        <v>44105</v>
      </c>
      <c r="Q734" s="657">
        <v>12.270002460000001</v>
      </c>
      <c r="R734" s="657">
        <v>22.65330003215448</v>
      </c>
      <c r="S734" s="253">
        <v>10</v>
      </c>
      <c r="T734" s="658">
        <v>-3.0783530146246241E-2</v>
      </c>
      <c r="U734" s="659">
        <v>-1.5393011927384865</v>
      </c>
      <c r="V734" s="658">
        <v>-1.5216184464388993E-2</v>
      </c>
      <c r="W734" s="659">
        <v>-0.11800622867471146</v>
      </c>
      <c r="X734" s="658">
        <v>3.8306411753299408E-2</v>
      </c>
      <c r="Y734" s="659">
        <v>0.19838862209744054</v>
      </c>
      <c r="Z734" s="658"/>
      <c r="AA734" s="659"/>
      <c r="AB734" s="658">
        <v>0.12428758966672489</v>
      </c>
      <c r="AC734" s="660">
        <v>-1.1598912996682955</v>
      </c>
      <c r="AD734" s="682">
        <v>28470590000135</v>
      </c>
      <c r="AE734" s="944" t="s">
        <v>1736</v>
      </c>
      <c r="AF734" s="661" t="s">
        <v>1737</v>
      </c>
      <c r="AG734" s="662" t="s">
        <v>719</v>
      </c>
      <c r="AH734" s="662" t="s">
        <v>1734</v>
      </c>
      <c r="AI734" s="662">
        <v>1000</v>
      </c>
      <c r="AJ734" s="662">
        <v>300</v>
      </c>
      <c r="AK734" s="662">
        <v>1000</v>
      </c>
      <c r="AL734" s="658">
        <v>0</v>
      </c>
      <c r="AM734" s="658">
        <v>0</v>
      </c>
      <c r="AN734" s="659" t="s">
        <v>2122</v>
      </c>
      <c r="AO734" s="253" t="s">
        <v>34</v>
      </c>
      <c r="AP734" s="944" t="s">
        <v>1746</v>
      </c>
      <c r="AQ734" s="663" t="s">
        <v>668</v>
      </c>
      <c r="AR734" s="658">
        <v>0</v>
      </c>
      <c r="AS734" s="658">
        <v>0</v>
      </c>
      <c r="AT734" s="658" t="s">
        <v>1417</v>
      </c>
      <c r="AU734" s="658" t="s">
        <v>2751</v>
      </c>
      <c r="AX734"/>
      <c r="AY734"/>
      <c r="BA734"/>
      <c r="BB734"/>
      <c r="BC734"/>
      <c r="BD734"/>
      <c r="BE734"/>
      <c r="BF734"/>
      <c r="BG734"/>
      <c r="BH734"/>
      <c r="BI734"/>
      <c r="BJ734"/>
      <c r="BR734"/>
      <c r="BS734"/>
      <c r="BT734"/>
      <c r="BU734"/>
      <c r="BX734"/>
      <c r="BY734"/>
      <c r="CA734"/>
    </row>
    <row r="735" spans="2:79" ht="18.75">
      <c r="B735" s="252" t="s">
        <v>956</v>
      </c>
      <c r="C735" s="251">
        <v>28568701000140</v>
      </c>
      <c r="D735" s="252" t="s">
        <v>14</v>
      </c>
      <c r="E735" s="252" t="s">
        <v>614</v>
      </c>
      <c r="F735" s="252" t="s">
        <v>1417</v>
      </c>
      <c r="G735" s="253" t="s">
        <v>1417</v>
      </c>
      <c r="H735" s="253" t="s">
        <v>865</v>
      </c>
      <c r="I735" s="253" t="s">
        <v>34</v>
      </c>
      <c r="J735" s="253" t="s">
        <v>608</v>
      </c>
      <c r="K735" s="253" t="s">
        <v>48</v>
      </c>
      <c r="L735" s="655"/>
      <c r="M735" s="655" t="s">
        <v>1414</v>
      </c>
      <c r="N735" s="253" t="s">
        <v>3329</v>
      </c>
      <c r="O735" s="253" t="s">
        <v>1321</v>
      </c>
      <c r="P735" s="656">
        <v>43029</v>
      </c>
      <c r="Q735" s="657">
        <v>14.97598642</v>
      </c>
      <c r="R735" s="657">
        <v>20.093977139230759</v>
      </c>
      <c r="S735" s="253">
        <v>3</v>
      </c>
      <c r="T735" s="658">
        <v>-3.6513600849906735E-2</v>
      </c>
      <c r="U735" s="659">
        <v>-1.8258279369655781</v>
      </c>
      <c r="V735" s="658">
        <v>-7.4328932518432755E-2</v>
      </c>
      <c r="W735" s="659">
        <v>-0.57644391919966009</v>
      </c>
      <c r="X735" s="658">
        <v>-3.64043619560942E-2</v>
      </c>
      <c r="Y735" s="659">
        <v>-0.18853792031784211</v>
      </c>
      <c r="Z735" s="658">
        <v>-3.54539117040642E-3</v>
      </c>
      <c r="AA735" s="659">
        <v>-1.6008423261523512E-2</v>
      </c>
      <c r="AB735" s="658">
        <v>0.13753528368350967</v>
      </c>
      <c r="AC735" s="660">
        <v>-1.4779686820800391</v>
      </c>
      <c r="AD735" s="682">
        <v>0</v>
      </c>
      <c r="AE735" s="944" t="s">
        <v>1818</v>
      </c>
      <c r="AF735" s="661" t="s">
        <v>1742</v>
      </c>
      <c r="AG735" s="662" t="s">
        <v>1432</v>
      </c>
      <c r="AH735" s="662" t="s">
        <v>1734</v>
      </c>
      <c r="AI735" s="662">
        <v>1000</v>
      </c>
      <c r="AJ735" s="662">
        <v>300</v>
      </c>
      <c r="AK735" s="662">
        <v>300</v>
      </c>
      <c r="AL735" s="658">
        <v>1.3000000000000001E-2</v>
      </c>
      <c r="AM735" s="658">
        <v>0.2</v>
      </c>
      <c r="AN735" s="659" t="s">
        <v>2127</v>
      </c>
      <c r="AO735" s="253" t="s">
        <v>34</v>
      </c>
      <c r="AP735" s="944" t="s">
        <v>1746</v>
      </c>
      <c r="AQ735" s="663" t="s">
        <v>668</v>
      </c>
      <c r="AR735" s="658">
        <v>3.46666666666667E-3</v>
      </c>
      <c r="AS735" s="658">
        <v>3.46666666666667E-3</v>
      </c>
      <c r="AT735" s="658" t="s">
        <v>1417</v>
      </c>
      <c r="AU735" s="658" t="s">
        <v>2751</v>
      </c>
      <c r="AX735"/>
      <c r="AY735"/>
      <c r="BA735"/>
      <c r="BB735"/>
      <c r="BC735"/>
      <c r="BD735"/>
      <c r="BE735"/>
      <c r="BF735"/>
      <c r="BG735"/>
      <c r="BH735"/>
      <c r="BI735"/>
      <c r="BJ735"/>
      <c r="BR735"/>
      <c r="BS735"/>
      <c r="BT735"/>
      <c r="BU735"/>
      <c r="BX735"/>
      <c r="BY735"/>
      <c r="CA735"/>
    </row>
    <row r="736" spans="2:79" ht="18.75">
      <c r="B736" s="252" t="s">
        <v>957</v>
      </c>
      <c r="C736" s="251">
        <v>10447046000107</v>
      </c>
      <c r="D736" s="252" t="s">
        <v>13</v>
      </c>
      <c r="E736" s="252" t="s">
        <v>615</v>
      </c>
      <c r="F736" s="252" t="s">
        <v>619</v>
      </c>
      <c r="G736" s="253" t="s">
        <v>34</v>
      </c>
      <c r="H736" s="253" t="s">
        <v>1337</v>
      </c>
      <c r="I736" s="253" t="s">
        <v>34</v>
      </c>
      <c r="J736" s="253" t="s">
        <v>608</v>
      </c>
      <c r="K736" s="253" t="s">
        <v>48</v>
      </c>
      <c r="L736" s="655"/>
      <c r="M736" s="655" t="s">
        <v>34</v>
      </c>
      <c r="N736" s="253" t="s">
        <v>3330</v>
      </c>
      <c r="O736" s="253" t="s">
        <v>1321</v>
      </c>
      <c r="P736" s="656">
        <v>39740</v>
      </c>
      <c r="Q736" s="657">
        <v>55.824238999999999</v>
      </c>
      <c r="R736" s="657">
        <v>68.724904120481924</v>
      </c>
      <c r="S736" s="253">
        <v>5</v>
      </c>
      <c r="T736" s="658">
        <v>1.7635120640405066E-2</v>
      </c>
      <c r="U736" s="659">
        <v>0.88182746120729727</v>
      </c>
      <c r="V736" s="658">
        <v>6.5934585780807131E-2</v>
      </c>
      <c r="W736" s="659">
        <v>0.51134315737507974</v>
      </c>
      <c r="X736" s="658">
        <v>6.6536245204970701E-2</v>
      </c>
      <c r="Y736" s="659">
        <v>0.34459071997560897</v>
      </c>
      <c r="Z736" s="658">
        <v>0.13926279848382039</v>
      </c>
      <c r="AA736" s="659">
        <v>0.62881011306227486</v>
      </c>
      <c r="AB736" s="658">
        <v>5.6729089723327235E-2</v>
      </c>
      <c r="AC736" s="660">
        <v>-1.110705706248474</v>
      </c>
      <c r="AD736" s="682">
        <v>0</v>
      </c>
      <c r="AE736" s="944" t="s">
        <v>1818</v>
      </c>
      <c r="AF736" s="661" t="s">
        <v>1745</v>
      </c>
      <c r="AG736" s="662" t="s">
        <v>1432</v>
      </c>
      <c r="AH736" s="662" t="s">
        <v>1734</v>
      </c>
      <c r="AI736" s="662">
        <v>1000</v>
      </c>
      <c r="AJ736" s="662">
        <v>300</v>
      </c>
      <c r="AK736" s="662">
        <v>0</v>
      </c>
      <c r="AL736" s="658">
        <v>1.4999999999999999E-2</v>
      </c>
      <c r="AM736" s="658">
        <v>0.2</v>
      </c>
      <c r="AN736" s="659" t="s">
        <v>34</v>
      </c>
      <c r="AO736" s="253" t="s">
        <v>34</v>
      </c>
      <c r="AP736" s="944" t="s">
        <v>1746</v>
      </c>
      <c r="AQ736" s="663" t="s">
        <v>668</v>
      </c>
      <c r="AR736" s="658">
        <v>4.0000000000000001E-3</v>
      </c>
      <c r="AS736" s="658">
        <v>4.0000000000000001E-3</v>
      </c>
      <c r="AT736" s="658" t="s">
        <v>1417</v>
      </c>
      <c r="AU736" s="658" t="s">
        <v>2751</v>
      </c>
      <c r="AX736"/>
      <c r="AY736"/>
      <c r="BA736"/>
      <c r="BB736"/>
      <c r="BC736"/>
      <c r="BD736"/>
      <c r="BE736"/>
      <c r="BF736"/>
      <c r="BG736"/>
      <c r="BH736"/>
      <c r="BI736"/>
      <c r="BJ736"/>
      <c r="BR736"/>
      <c r="BS736"/>
      <c r="BT736"/>
      <c r="BU736"/>
      <c r="BX736"/>
      <c r="BY736"/>
      <c r="CA736"/>
    </row>
    <row r="737" spans="2:79" ht="18.75">
      <c r="B737" s="252" t="s">
        <v>1595</v>
      </c>
      <c r="C737" s="251">
        <v>20216106000134</v>
      </c>
      <c r="D737" s="252" t="s">
        <v>13</v>
      </c>
      <c r="E737" s="252" t="s">
        <v>615</v>
      </c>
      <c r="F737" s="252" t="s">
        <v>619</v>
      </c>
      <c r="G737" s="253" t="s">
        <v>34</v>
      </c>
      <c r="H737" s="253" t="s">
        <v>1338</v>
      </c>
      <c r="I737" s="253" t="s">
        <v>34</v>
      </c>
      <c r="J737" s="253" t="s">
        <v>611</v>
      </c>
      <c r="K737" s="253" t="s">
        <v>48</v>
      </c>
      <c r="L737" s="655"/>
      <c r="M737" s="655" t="s">
        <v>34</v>
      </c>
      <c r="N737" s="253" t="s">
        <v>3331</v>
      </c>
      <c r="O737" s="253" t="s">
        <v>1321</v>
      </c>
      <c r="P737" s="656">
        <v>41936</v>
      </c>
      <c r="Q737" s="657">
        <v>125.574483</v>
      </c>
      <c r="R737" s="657">
        <v>135.12572544979918</v>
      </c>
      <c r="S737" s="253">
        <v>30</v>
      </c>
      <c r="T737" s="658">
        <v>-1.2001958641236987E-2</v>
      </c>
      <c r="U737" s="659">
        <v>-0.6001465447232629</v>
      </c>
      <c r="V737" s="658">
        <v>0.13150605129118165</v>
      </c>
      <c r="W737" s="659">
        <v>1.0198702044585566</v>
      </c>
      <c r="X737" s="658">
        <v>2.255441507889433E-2</v>
      </c>
      <c r="Y737" s="659">
        <v>0.11680914825780259</v>
      </c>
      <c r="Z737" s="658">
        <v>0.2956275170406637</v>
      </c>
      <c r="AA737" s="659">
        <v>1.3348401327455481</v>
      </c>
      <c r="AB737" s="658">
        <v>6.3530356237678845E-2</v>
      </c>
      <c r="AC737" s="660">
        <v>4.0329410948174875E-2</v>
      </c>
      <c r="AD737" s="682">
        <v>20216114000180</v>
      </c>
      <c r="AE737" s="944" t="s">
        <v>1901</v>
      </c>
      <c r="AF737" s="661" t="s">
        <v>1733</v>
      </c>
      <c r="AG737" s="662" t="s">
        <v>59</v>
      </c>
      <c r="AH737" s="662" t="s">
        <v>1730</v>
      </c>
      <c r="AI737" s="662">
        <v>200000</v>
      </c>
      <c r="AJ737" s="662">
        <v>50000</v>
      </c>
      <c r="AK737" s="662">
        <v>200000</v>
      </c>
      <c r="AL737" s="658">
        <v>0</v>
      </c>
      <c r="AM737" s="658">
        <v>0.2</v>
      </c>
      <c r="AN737" s="659" t="s">
        <v>64</v>
      </c>
      <c r="AO737" s="253" t="s">
        <v>34</v>
      </c>
      <c r="AP737" s="944" t="s">
        <v>1746</v>
      </c>
      <c r="AQ737" s="663" t="s">
        <v>664</v>
      </c>
      <c r="AR737" s="658">
        <v>0</v>
      </c>
      <c r="AS737" s="658">
        <v>0</v>
      </c>
      <c r="AT737" s="658" t="s">
        <v>1417</v>
      </c>
      <c r="AU737" s="658" t="s">
        <v>2751</v>
      </c>
      <c r="AX737"/>
      <c r="AY737"/>
      <c r="BA737"/>
      <c r="BB737"/>
      <c r="BC737"/>
      <c r="BD737"/>
      <c r="BE737"/>
      <c r="BF737"/>
      <c r="BG737"/>
      <c r="BH737"/>
      <c r="BI737"/>
      <c r="BJ737"/>
      <c r="BR737"/>
      <c r="BS737"/>
      <c r="BT737"/>
      <c r="BU737"/>
      <c r="BX737"/>
      <c r="BY737"/>
      <c r="CA737"/>
    </row>
    <row r="738" spans="2:79" ht="18.75">
      <c r="B738" s="252" t="s">
        <v>4455</v>
      </c>
      <c r="C738" s="251">
        <v>26343792000190</v>
      </c>
      <c r="D738" s="252" t="s">
        <v>13</v>
      </c>
      <c r="E738" s="252" t="s">
        <v>615</v>
      </c>
      <c r="F738" s="252" t="s">
        <v>619</v>
      </c>
      <c r="G738" s="253" t="s">
        <v>34</v>
      </c>
      <c r="H738" s="253" t="s">
        <v>1337</v>
      </c>
      <c r="I738" s="253" t="s">
        <v>34</v>
      </c>
      <c r="J738" s="253" t="s">
        <v>608</v>
      </c>
      <c r="K738" s="253" t="s">
        <v>48</v>
      </c>
      <c r="L738" s="655"/>
      <c r="M738" s="655" t="s">
        <v>34</v>
      </c>
      <c r="N738" s="253" t="s">
        <v>4456</v>
      </c>
      <c r="O738" s="253" t="s">
        <v>1321</v>
      </c>
      <c r="P738" s="656">
        <v>42941</v>
      </c>
      <c r="Q738" s="657">
        <v>12.979075</v>
      </c>
      <c r="R738" s="657">
        <v>13.017926749999999</v>
      </c>
      <c r="S738" s="253">
        <v>3</v>
      </c>
      <c r="T738" s="658">
        <v>3.4645606244199101E-4</v>
      </c>
      <c r="U738" s="659">
        <v>1.7324206405660309E-2</v>
      </c>
      <c r="V738" s="658">
        <v>3.4645606244199101E-4</v>
      </c>
      <c r="W738" s="659">
        <v>2.6868741914868343E-3</v>
      </c>
      <c r="X738" s="658">
        <v>3.4645606244199101E-4</v>
      </c>
      <c r="Y738" s="659">
        <v>1.7942933754230143E-3</v>
      </c>
      <c r="Z738" s="658">
        <v>3.4645606244199101E-4</v>
      </c>
      <c r="AA738" s="659">
        <v>1.5643450955106968E-3</v>
      </c>
      <c r="AB738" s="658">
        <v>3.7463993718679749E-2</v>
      </c>
      <c r="AC738" s="660">
        <v>-3.4325612573500668</v>
      </c>
      <c r="AD738" s="682">
        <v>26850881000123</v>
      </c>
      <c r="AE738" s="944" t="s">
        <v>1901</v>
      </c>
      <c r="AF738" s="661" t="s">
        <v>1783</v>
      </c>
      <c r="AG738" s="662" t="s">
        <v>736</v>
      </c>
      <c r="AH738" s="662" t="s">
        <v>2119</v>
      </c>
      <c r="AI738" s="662">
        <v>1</v>
      </c>
      <c r="AJ738" s="662">
        <v>1</v>
      </c>
      <c r="AK738" s="662">
        <v>1</v>
      </c>
      <c r="AL738" s="658">
        <v>9.4999999999999998E-3</v>
      </c>
      <c r="AM738" s="658">
        <v>0</v>
      </c>
      <c r="AN738" s="659" t="s">
        <v>64</v>
      </c>
      <c r="AO738" s="253" t="s">
        <v>4397</v>
      </c>
      <c r="AP738" s="944" t="s">
        <v>1746</v>
      </c>
      <c r="AQ738" s="663" t="s">
        <v>2177</v>
      </c>
      <c r="AR738" s="658">
        <v>0</v>
      </c>
      <c r="AS738" s="658">
        <v>0</v>
      </c>
      <c r="AT738" s="658" t="s">
        <v>1417</v>
      </c>
      <c r="AU738" s="658" t="s">
        <v>2751</v>
      </c>
      <c r="AX738"/>
      <c r="AY738"/>
      <c r="BA738"/>
      <c r="BB738"/>
      <c r="BC738"/>
      <c r="BD738"/>
      <c r="BE738"/>
      <c r="BF738"/>
      <c r="BG738"/>
      <c r="BH738"/>
      <c r="BI738"/>
      <c r="BJ738"/>
      <c r="BR738"/>
      <c r="BS738"/>
      <c r="BT738"/>
      <c r="BU738"/>
      <c r="BX738"/>
      <c r="BY738"/>
      <c r="CA738"/>
    </row>
    <row r="739" spans="2:79" ht="18.75">
      <c r="B739" s="252" t="s">
        <v>958</v>
      </c>
      <c r="C739" s="251">
        <v>26434293000109</v>
      </c>
      <c r="D739" s="252" t="s">
        <v>11</v>
      </c>
      <c r="E739" s="252" t="s">
        <v>620</v>
      </c>
      <c r="F739" s="252" t="s">
        <v>663</v>
      </c>
      <c r="G739" s="253" t="s">
        <v>738</v>
      </c>
      <c r="H739" s="253" t="s">
        <v>34</v>
      </c>
      <c r="I739" s="253" t="s">
        <v>1304</v>
      </c>
      <c r="J739" s="253" t="s">
        <v>608</v>
      </c>
      <c r="K739" s="253" t="s">
        <v>48</v>
      </c>
      <c r="L739" s="655"/>
      <c r="M739" s="655" t="s">
        <v>34</v>
      </c>
      <c r="N739" s="253" t="s">
        <v>3333</v>
      </c>
      <c r="O739" s="253" t="s">
        <v>1321</v>
      </c>
      <c r="P739" s="656">
        <v>42761</v>
      </c>
      <c r="Q739" s="657">
        <v>40.858283</v>
      </c>
      <c r="R739" s="657">
        <v>46.486534441767105</v>
      </c>
      <c r="S739" s="253">
        <v>1</v>
      </c>
      <c r="T739" s="658">
        <v>1.5448821509866484E-2</v>
      </c>
      <c r="U739" s="659">
        <v>0.77250364930746118</v>
      </c>
      <c r="V739" s="658">
        <v>0.12850088880110655</v>
      </c>
      <c r="W739" s="659">
        <v>0.99656423752325718</v>
      </c>
      <c r="X739" s="658">
        <v>0.20012355695769823</v>
      </c>
      <c r="Y739" s="659">
        <v>1.0364384158392694</v>
      </c>
      <c r="Z739" s="658">
        <v>0.17087236326932187</v>
      </c>
      <c r="AA739" s="659">
        <v>0.77153605439778328</v>
      </c>
      <c r="AB739" s="658">
        <v>2.9254235167411975E-3</v>
      </c>
      <c r="AC739" s="660">
        <v>-0.15143812276976187</v>
      </c>
      <c r="AD739" s="682">
        <v>25682025000143</v>
      </c>
      <c r="AE739" s="944" t="s">
        <v>1901</v>
      </c>
      <c r="AF739" s="661" t="s">
        <v>1729</v>
      </c>
      <c r="AG739" s="662" t="s">
        <v>1433</v>
      </c>
      <c r="AH739" s="662" t="s">
        <v>1734</v>
      </c>
      <c r="AI739" s="662">
        <v>1000</v>
      </c>
      <c r="AJ739" s="662">
        <v>500</v>
      </c>
      <c r="AK739" s="662">
        <v>1000</v>
      </c>
      <c r="AL739" s="658">
        <v>4.5000000000000005E-3</v>
      </c>
      <c r="AM739" s="658">
        <v>0</v>
      </c>
      <c r="AN739" s="659" t="s">
        <v>64</v>
      </c>
      <c r="AO739" s="253" t="s">
        <v>34</v>
      </c>
      <c r="AP739" s="944" t="s">
        <v>1735</v>
      </c>
      <c r="AQ739" s="663" t="s">
        <v>669</v>
      </c>
      <c r="AR739" s="658">
        <v>1.3500000000000001E-3</v>
      </c>
      <c r="AS739" s="658">
        <v>1.3500000000000001E-3</v>
      </c>
      <c r="AT739" s="658" t="s">
        <v>1417</v>
      </c>
      <c r="AU739" s="658" t="s">
        <v>2751</v>
      </c>
      <c r="AX739"/>
      <c r="AY739"/>
      <c r="BA739"/>
      <c r="BB739"/>
      <c r="BC739"/>
      <c r="BD739"/>
      <c r="BE739"/>
      <c r="BF739"/>
      <c r="BG739"/>
      <c r="BH739"/>
      <c r="BI739"/>
      <c r="BJ739"/>
      <c r="BR739"/>
      <c r="BS739"/>
      <c r="BT739"/>
      <c r="BU739"/>
      <c r="BX739"/>
      <c r="BY739"/>
      <c r="CA739"/>
    </row>
    <row r="740" spans="2:79" ht="18.75">
      <c r="B740" s="252" t="s">
        <v>515</v>
      </c>
      <c r="C740" s="251">
        <v>9289134000149</v>
      </c>
      <c r="D740" s="252" t="s">
        <v>13</v>
      </c>
      <c r="E740" s="252" t="s">
        <v>615</v>
      </c>
      <c r="F740" s="252" t="s">
        <v>619</v>
      </c>
      <c r="G740" s="253" t="s">
        <v>34</v>
      </c>
      <c r="H740" s="253" t="s">
        <v>1337</v>
      </c>
      <c r="I740" s="253" t="s">
        <v>34</v>
      </c>
      <c r="J740" s="253" t="s">
        <v>611</v>
      </c>
      <c r="K740" s="253" t="s">
        <v>48</v>
      </c>
      <c r="L740" s="655"/>
      <c r="M740" s="655" t="s">
        <v>34</v>
      </c>
      <c r="N740" s="253" t="s">
        <v>3336</v>
      </c>
      <c r="O740" s="253" t="s">
        <v>1321</v>
      </c>
      <c r="P740" s="656">
        <v>39544</v>
      </c>
      <c r="Q740" s="657">
        <v>266.48320100000001</v>
      </c>
      <c r="R740" s="657">
        <v>248.74372805761328</v>
      </c>
      <c r="S740" s="253">
        <v>30</v>
      </c>
      <c r="T740" s="658">
        <v>3.0384257507029666E-2</v>
      </c>
      <c r="U740" s="659">
        <v>1.5193359435661509</v>
      </c>
      <c r="V740" s="658">
        <v>0.18413286807683105</v>
      </c>
      <c r="W740" s="659">
        <v>1.4280074868741099</v>
      </c>
      <c r="X740" s="658">
        <v>0.2604114621919289</v>
      </c>
      <c r="Y740" s="659">
        <v>1.348669029491824</v>
      </c>
      <c r="Z740" s="658">
        <v>0.42756773716124563</v>
      </c>
      <c r="AA740" s="659">
        <v>1.9305867760325095</v>
      </c>
      <c r="AB740" s="658">
        <v>3.5315061642657915E-2</v>
      </c>
      <c r="AC740" s="660">
        <v>1.5627597988779558</v>
      </c>
      <c r="AD740" s="682">
        <v>9289155000164</v>
      </c>
      <c r="AE740" s="944" t="s">
        <v>1800</v>
      </c>
      <c r="AF740" s="661" t="s">
        <v>1769</v>
      </c>
      <c r="AG740" s="662" t="s">
        <v>719</v>
      </c>
      <c r="AH740" s="662" t="s">
        <v>1801</v>
      </c>
      <c r="AI740" s="662">
        <v>100000</v>
      </c>
      <c r="AJ740" s="662">
        <v>50000</v>
      </c>
      <c r="AK740" s="662">
        <v>100000</v>
      </c>
      <c r="AL740" s="658">
        <v>8.0000000000000004E-4</v>
      </c>
      <c r="AM740" s="658">
        <v>0.2</v>
      </c>
      <c r="AN740" s="659" t="s">
        <v>64</v>
      </c>
      <c r="AO740" s="253" t="s">
        <v>34</v>
      </c>
      <c r="AP740" s="944" t="s">
        <v>1746</v>
      </c>
      <c r="AQ740" s="663" t="s">
        <v>668</v>
      </c>
      <c r="AR740" s="658">
        <v>3.9500000000000004E-3</v>
      </c>
      <c r="AS740" s="658">
        <v>3.9500000000000004E-3</v>
      </c>
      <c r="AT740" s="658" t="s">
        <v>1417</v>
      </c>
      <c r="AU740" s="658" t="s">
        <v>2751</v>
      </c>
      <c r="AX740"/>
      <c r="AY740"/>
      <c r="BA740"/>
      <c r="BB740"/>
      <c r="BC740"/>
      <c r="BD740"/>
      <c r="BE740"/>
      <c r="BF740"/>
      <c r="BG740"/>
      <c r="BH740"/>
      <c r="BI740"/>
      <c r="BJ740"/>
      <c r="BR740"/>
      <c r="BS740"/>
      <c r="BT740"/>
      <c r="BU740"/>
      <c r="BX740"/>
      <c r="BY740"/>
      <c r="CA740"/>
    </row>
    <row r="741" spans="2:79" ht="18.75">
      <c r="B741" s="252" t="s">
        <v>208</v>
      </c>
      <c r="C741" s="251">
        <v>36668282000147</v>
      </c>
      <c r="D741" s="252" t="s">
        <v>14</v>
      </c>
      <c r="E741" s="252" t="s">
        <v>614</v>
      </c>
      <c r="F741" s="252" t="s">
        <v>1417</v>
      </c>
      <c r="G741" s="253" t="s">
        <v>1417</v>
      </c>
      <c r="H741" s="253" t="s">
        <v>1338</v>
      </c>
      <c r="I741" s="253" t="s">
        <v>34</v>
      </c>
      <c r="J741" s="253" t="s">
        <v>608</v>
      </c>
      <c r="K741" s="253" t="s">
        <v>48</v>
      </c>
      <c r="L741" s="655"/>
      <c r="M741" s="655" t="s">
        <v>34</v>
      </c>
      <c r="N741" s="253" t="s">
        <v>3338</v>
      </c>
      <c r="O741" s="253" t="s">
        <v>1321</v>
      </c>
      <c r="P741" s="656">
        <v>43901</v>
      </c>
      <c r="Q741" s="657">
        <v>16.694942309999998</v>
      </c>
      <c r="R741" s="657">
        <v>22.175980401411284</v>
      </c>
      <c r="S741" s="253">
        <v>6</v>
      </c>
      <c r="T741" s="658">
        <v>-1.5943447280947542E-2</v>
      </c>
      <c r="U741" s="659">
        <v>-0.7972369412907756</v>
      </c>
      <c r="V741" s="658">
        <v>-0.25743988370603266</v>
      </c>
      <c r="W741" s="659">
        <v>-1.9965261237272405</v>
      </c>
      <c r="X741" s="658">
        <v>-0.41434440062647182</v>
      </c>
      <c r="Y741" s="659">
        <v>-2.1458865749020584</v>
      </c>
      <c r="Z741" s="658"/>
      <c r="AA741" s="659"/>
      <c r="AB741" s="658">
        <v>0.33837130398311982</v>
      </c>
      <c r="AC741" s="660">
        <v>-1.1418929105527706</v>
      </c>
      <c r="AD741" s="682">
        <v>0</v>
      </c>
      <c r="AE741" s="944" t="s">
        <v>2017</v>
      </c>
      <c r="AF741" s="661" t="s">
        <v>1742</v>
      </c>
      <c r="AG741" s="662" t="s">
        <v>741</v>
      </c>
      <c r="AH741" s="662" t="s">
        <v>1734</v>
      </c>
      <c r="AI741" s="662">
        <v>1000</v>
      </c>
      <c r="AJ741" s="662">
        <v>100</v>
      </c>
      <c r="AK741" s="662">
        <v>1000</v>
      </c>
      <c r="AL741" s="658">
        <v>2.5000000000000001E-2</v>
      </c>
      <c r="AM741" s="658">
        <v>0.2</v>
      </c>
      <c r="AN741" s="659" t="s">
        <v>64</v>
      </c>
      <c r="AO741" s="253" t="s">
        <v>34</v>
      </c>
      <c r="AP741" s="944" t="s">
        <v>1746</v>
      </c>
      <c r="AQ741" s="663" t="s">
        <v>668</v>
      </c>
      <c r="AR741" s="658">
        <v>8.3333333333333297E-3</v>
      </c>
      <c r="AS741" s="658">
        <v>8.3333333333333297E-3</v>
      </c>
      <c r="AT741" s="658" t="s">
        <v>1417</v>
      </c>
      <c r="AU741" s="658" t="s">
        <v>2751</v>
      </c>
      <c r="AX741"/>
      <c r="AY741"/>
      <c r="BA741"/>
      <c r="BB741"/>
      <c r="BC741"/>
      <c r="BD741"/>
      <c r="BE741"/>
      <c r="BF741"/>
      <c r="BG741"/>
      <c r="BH741"/>
      <c r="BI741"/>
      <c r="BJ741"/>
      <c r="BR741"/>
      <c r="BS741"/>
      <c r="BT741"/>
      <c r="BU741"/>
      <c r="BX741"/>
      <c r="BY741"/>
      <c r="CA741"/>
    </row>
    <row r="742" spans="2:79" ht="18.75">
      <c r="B742" s="252" t="s">
        <v>960</v>
      </c>
      <c r="C742" s="251">
        <v>23686321000197</v>
      </c>
      <c r="D742" s="252" t="s">
        <v>13</v>
      </c>
      <c r="E742" s="252" t="s">
        <v>615</v>
      </c>
      <c r="F742" s="252" t="s">
        <v>619</v>
      </c>
      <c r="G742" s="253" t="s">
        <v>34</v>
      </c>
      <c r="H742" s="253" t="s">
        <v>1337</v>
      </c>
      <c r="I742" s="253" t="s">
        <v>34</v>
      </c>
      <c r="J742" s="253" t="s">
        <v>1417</v>
      </c>
      <c r="K742" s="253" t="s">
        <v>48</v>
      </c>
      <c r="L742" s="655"/>
      <c r="M742" s="655" t="s">
        <v>34</v>
      </c>
      <c r="N742" s="253" t="s">
        <v>3339</v>
      </c>
      <c r="O742" s="253" t="s">
        <v>1321</v>
      </c>
      <c r="P742" s="656">
        <v>42428</v>
      </c>
      <c r="Q742" s="657">
        <v>0</v>
      </c>
      <c r="R742" s="657">
        <v>0.62097161349693231</v>
      </c>
      <c r="S742" s="253">
        <v>91</v>
      </c>
      <c r="T742" s="658"/>
      <c r="U742" s="659"/>
      <c r="V742" s="658">
        <v>3.4272351294997172E-2</v>
      </c>
      <c r="W742" s="659">
        <v>0.2657927112807173</v>
      </c>
      <c r="X742" s="658">
        <v>-4.080738145485463E-2</v>
      </c>
      <c r="Y742" s="659">
        <v>-0.21134112561550372</v>
      </c>
      <c r="Z742" s="658">
        <v>-3.7696550203238033E-2</v>
      </c>
      <c r="AA742" s="659">
        <v>-0.17021036668389056</v>
      </c>
      <c r="AB742" s="658">
        <v>1.0742070929793683E-3</v>
      </c>
      <c r="AC742" s="660">
        <v>-88.131570504915189</v>
      </c>
      <c r="AD742" s="682">
        <v>0</v>
      </c>
      <c r="AE742" s="944" t="s">
        <v>1747</v>
      </c>
      <c r="AF742" s="661" t="s">
        <v>1745</v>
      </c>
      <c r="AG742" s="662" t="s">
        <v>1432</v>
      </c>
      <c r="AH742" s="662" t="s">
        <v>1801</v>
      </c>
      <c r="AI742" s="662">
        <v>100000</v>
      </c>
      <c r="AJ742" s="662">
        <v>1000</v>
      </c>
      <c r="AK742" s="662">
        <v>100000</v>
      </c>
      <c r="AL742" s="658">
        <v>0.02</v>
      </c>
      <c r="AM742" s="658">
        <v>0.2</v>
      </c>
      <c r="AN742" s="659" t="s">
        <v>34</v>
      </c>
      <c r="AO742" s="253" t="s">
        <v>34</v>
      </c>
      <c r="AP742" s="944" t="s">
        <v>1746</v>
      </c>
      <c r="AQ742" s="663" t="s">
        <v>679</v>
      </c>
      <c r="AR742" s="658">
        <v>7.0000000000000001E-3</v>
      </c>
      <c r="AS742" s="658">
        <v>7.0000000000000001E-3</v>
      </c>
      <c r="AT742" s="658" t="s">
        <v>1417</v>
      </c>
      <c r="AU742" s="658" t="s">
        <v>2751</v>
      </c>
      <c r="AX742"/>
      <c r="AY742"/>
      <c r="BA742"/>
      <c r="BB742"/>
      <c r="BC742"/>
      <c r="BD742"/>
      <c r="BE742"/>
      <c r="BF742"/>
      <c r="BG742"/>
      <c r="BH742"/>
      <c r="BI742"/>
      <c r="BJ742"/>
      <c r="BR742"/>
      <c r="BS742"/>
      <c r="BT742"/>
      <c r="BU742"/>
      <c r="BX742"/>
      <c r="BY742"/>
      <c r="CA742"/>
    </row>
    <row r="743" spans="2:79" ht="18.75">
      <c r="B743" s="252" t="s">
        <v>961</v>
      </c>
      <c r="C743" s="251">
        <v>37287419000186</v>
      </c>
      <c r="D743" s="252" t="s">
        <v>13</v>
      </c>
      <c r="E743" s="252" t="s">
        <v>615</v>
      </c>
      <c r="F743" s="252" t="s">
        <v>619</v>
      </c>
      <c r="G743" s="253" t="s">
        <v>34</v>
      </c>
      <c r="H743" s="253" t="s">
        <v>1337</v>
      </c>
      <c r="I743" s="253" t="s">
        <v>34</v>
      </c>
      <c r="J743" s="253" t="s">
        <v>611</v>
      </c>
      <c r="K743" s="253" t="s">
        <v>48</v>
      </c>
      <c r="L743" s="655"/>
      <c r="M743" s="655" t="s">
        <v>34</v>
      </c>
      <c r="N743" s="253" t="s">
        <v>3342</v>
      </c>
      <c r="O743" s="253" t="s">
        <v>1321</v>
      </c>
      <c r="P743" s="656">
        <v>44014</v>
      </c>
      <c r="Q743" s="657">
        <v>604.51429857999995</v>
      </c>
      <c r="R743" s="657">
        <v>566.67988521244013</v>
      </c>
      <c r="S743" s="253">
        <v>31</v>
      </c>
      <c r="T743" s="658">
        <v>2.2390169755814204E-2</v>
      </c>
      <c r="U743" s="659">
        <v>1.1195991768002183</v>
      </c>
      <c r="V743" s="658">
        <v>0.21093981738903422</v>
      </c>
      <c r="W743" s="659">
        <v>1.6359036909462044</v>
      </c>
      <c r="X743" s="658">
        <v>0.35502985244080554</v>
      </c>
      <c r="Y743" s="659">
        <v>1.8386969701781697</v>
      </c>
      <c r="Z743" s="658"/>
      <c r="AA743" s="659"/>
      <c r="AB743" s="658">
        <v>3.8102047190622289E-2</v>
      </c>
      <c r="AC743" s="660">
        <v>2.1520079362671827</v>
      </c>
      <c r="AD743" s="682">
        <v>36986798000130</v>
      </c>
      <c r="AE743" s="944" t="s">
        <v>1797</v>
      </c>
      <c r="AF743" s="661" t="s">
        <v>1745</v>
      </c>
      <c r="AG743" s="662" t="s">
        <v>1432</v>
      </c>
      <c r="AH743" s="662" t="s">
        <v>1734</v>
      </c>
      <c r="AI743" s="662">
        <v>500</v>
      </c>
      <c r="AJ743" s="662">
        <v>500</v>
      </c>
      <c r="AK743" s="662">
        <v>500</v>
      </c>
      <c r="AL743" s="658">
        <v>0</v>
      </c>
      <c r="AM743" s="658">
        <v>0</v>
      </c>
      <c r="AN743" s="659" t="s">
        <v>34</v>
      </c>
      <c r="AO743" s="253" t="s">
        <v>34</v>
      </c>
      <c r="AP743" s="944" t="s">
        <v>1746</v>
      </c>
      <c r="AQ743" s="663" t="s">
        <v>668</v>
      </c>
      <c r="AR743" s="658">
        <v>5.0666666666666698E-3</v>
      </c>
      <c r="AS743" s="658">
        <v>5.0666666666666698E-3</v>
      </c>
      <c r="AT743" s="658" t="s">
        <v>1417</v>
      </c>
      <c r="AU743" s="658" t="s">
        <v>2751</v>
      </c>
      <c r="AX743"/>
      <c r="AY743"/>
      <c r="BA743"/>
      <c r="BB743"/>
      <c r="BC743"/>
      <c r="BD743"/>
      <c r="BE743"/>
      <c r="BF743"/>
      <c r="BG743"/>
      <c r="BH743"/>
      <c r="BI743"/>
      <c r="BJ743"/>
      <c r="BR743"/>
      <c r="BS743"/>
      <c r="BT743"/>
      <c r="BU743"/>
      <c r="BX743"/>
      <c r="BY743"/>
      <c r="CA743"/>
    </row>
    <row r="744" spans="2:79" ht="18.75">
      <c r="B744" s="252" t="s">
        <v>962</v>
      </c>
      <c r="C744" s="251">
        <v>32102192000133</v>
      </c>
      <c r="D744" s="252" t="s">
        <v>14</v>
      </c>
      <c r="E744" s="252" t="s">
        <v>607</v>
      </c>
      <c r="F744" s="252" t="s">
        <v>1417</v>
      </c>
      <c r="G744" s="253" t="s">
        <v>1417</v>
      </c>
      <c r="H744" s="253" t="s">
        <v>34</v>
      </c>
      <c r="I744" s="253" t="s">
        <v>34</v>
      </c>
      <c r="J744" s="253" t="s">
        <v>611</v>
      </c>
      <c r="K744" s="253" t="s">
        <v>48</v>
      </c>
      <c r="L744" s="655"/>
      <c r="M744" s="655" t="s">
        <v>34</v>
      </c>
      <c r="N744" s="253" t="s">
        <v>3344</v>
      </c>
      <c r="O744" s="253" t="s">
        <v>1321</v>
      </c>
      <c r="P744" s="656">
        <v>43447</v>
      </c>
      <c r="Q744" s="657">
        <v>22.38765721</v>
      </c>
      <c r="R744" s="657">
        <v>50.809716426393429</v>
      </c>
      <c r="S744" s="253">
        <v>34</v>
      </c>
      <c r="T744" s="658">
        <v>5.3392470609459286E-2</v>
      </c>
      <c r="U744" s="659">
        <v>2.6698397910162104</v>
      </c>
      <c r="V744" s="658">
        <v>-4.9008980091236332E-4</v>
      </c>
      <c r="W744" s="659">
        <v>-3.8007983705086131E-3</v>
      </c>
      <c r="X744" s="658">
        <v>8.1672522454957486E-2</v>
      </c>
      <c r="Y744" s="659">
        <v>0.42298138748706215</v>
      </c>
      <c r="Z744" s="658">
        <v>0.17260560352716126</v>
      </c>
      <c r="AA744" s="659">
        <v>0.77936211429577318</v>
      </c>
      <c r="AB744" s="658">
        <v>0.19934683009233387</v>
      </c>
      <c r="AC744" s="660">
        <v>-0.6492904812569591</v>
      </c>
      <c r="AD744" s="682">
        <v>0</v>
      </c>
      <c r="AE744" s="944" t="s">
        <v>1958</v>
      </c>
      <c r="AF744" s="661" t="s">
        <v>1729</v>
      </c>
      <c r="AG744" s="662" t="s">
        <v>1433</v>
      </c>
      <c r="AH744" s="662" t="s">
        <v>1730</v>
      </c>
      <c r="AI744" s="662">
        <v>5</v>
      </c>
      <c r="AJ744" s="662">
        <v>1000</v>
      </c>
      <c r="AK744" s="662">
        <v>5000</v>
      </c>
      <c r="AL744" s="658">
        <v>0.02</v>
      </c>
      <c r="AM744" s="658">
        <v>0.2</v>
      </c>
      <c r="AN744" s="659" t="s">
        <v>2122</v>
      </c>
      <c r="AO744" s="253" t="s">
        <v>34</v>
      </c>
      <c r="AP744" s="944" t="s">
        <v>1731</v>
      </c>
      <c r="AQ744" s="663" t="s">
        <v>687</v>
      </c>
      <c r="AR744" s="658">
        <v>6.0000000000000001E-3</v>
      </c>
      <c r="AS744" s="658">
        <v>6.0000000000000001E-3</v>
      </c>
      <c r="AT744" s="658" t="s">
        <v>1417</v>
      </c>
      <c r="AU744" s="658" t="s">
        <v>2751</v>
      </c>
      <c r="AX744"/>
      <c r="AY744"/>
      <c r="BA744"/>
      <c r="BB744"/>
      <c r="BC744"/>
      <c r="BD744"/>
      <c r="BE744"/>
      <c r="BF744"/>
      <c r="BG744"/>
      <c r="BH744"/>
      <c r="BI744"/>
      <c r="BJ744"/>
      <c r="BR744"/>
      <c r="BS744"/>
      <c r="BT744"/>
      <c r="BU744"/>
      <c r="BX744"/>
      <c r="BY744"/>
      <c r="CA744"/>
    </row>
    <row r="745" spans="2:79" ht="18.75">
      <c r="B745" s="252" t="s">
        <v>963</v>
      </c>
      <c r="C745" s="251">
        <v>28075532000107</v>
      </c>
      <c r="D745" s="252" t="s">
        <v>14</v>
      </c>
      <c r="E745" s="252" t="s">
        <v>607</v>
      </c>
      <c r="F745" s="252" t="s">
        <v>1417</v>
      </c>
      <c r="G745" s="253" t="s">
        <v>1417</v>
      </c>
      <c r="H745" s="253" t="s">
        <v>34</v>
      </c>
      <c r="I745" s="253" t="s">
        <v>34</v>
      </c>
      <c r="J745" s="253" t="s">
        <v>611</v>
      </c>
      <c r="K745" s="253" t="s">
        <v>49</v>
      </c>
      <c r="L745" s="655"/>
      <c r="M745" s="655" t="s">
        <v>34</v>
      </c>
      <c r="N745" s="253" t="s">
        <v>3345</v>
      </c>
      <c r="O745" s="253" t="s">
        <v>1321</v>
      </c>
      <c r="P745" s="656">
        <v>43013</v>
      </c>
      <c r="Q745" s="657">
        <v>111.2466263</v>
      </c>
      <c r="R745" s="657">
        <v>127.65409207053068</v>
      </c>
      <c r="S745" s="253">
        <v>34</v>
      </c>
      <c r="T745" s="658">
        <v>4.4611726600927604E-2</v>
      </c>
      <c r="U745" s="659">
        <v>2.2307670251166725</v>
      </c>
      <c r="V745" s="658">
        <v>-6.1079646288367928E-2</v>
      </c>
      <c r="W745" s="659">
        <v>-0.47369159621745327</v>
      </c>
      <c r="X745" s="658">
        <v>-8.1964554394394096E-2</v>
      </c>
      <c r="Y745" s="659">
        <v>-0.4244938187334652</v>
      </c>
      <c r="Z745" s="658">
        <v>0.26935115246344776</v>
      </c>
      <c r="AA745" s="659">
        <v>1.2161950677278122</v>
      </c>
      <c r="AB745" s="658">
        <v>0.2658461865946084</v>
      </c>
      <c r="AC745" s="660">
        <v>-0.71478759266509684</v>
      </c>
      <c r="AD745" s="682">
        <v>28075437000103</v>
      </c>
      <c r="AE745" s="944" t="s">
        <v>1958</v>
      </c>
      <c r="AF745" s="661" t="s">
        <v>1729</v>
      </c>
      <c r="AG745" s="662" t="s">
        <v>1433</v>
      </c>
      <c r="AH745" s="662" t="s">
        <v>1730</v>
      </c>
      <c r="AI745" s="662">
        <v>1000</v>
      </c>
      <c r="AJ745" s="662">
        <v>1000</v>
      </c>
      <c r="AK745" s="662">
        <v>1000</v>
      </c>
      <c r="AL745" s="658">
        <v>0.02</v>
      </c>
      <c r="AM745" s="658">
        <v>0.2</v>
      </c>
      <c r="AN745" s="659" t="s">
        <v>2122</v>
      </c>
      <c r="AO745" s="253" t="s">
        <v>34</v>
      </c>
      <c r="AP745" s="944" t="s">
        <v>1731</v>
      </c>
      <c r="AQ745" s="663" t="s">
        <v>687</v>
      </c>
      <c r="AR745" s="658">
        <v>6.0000000000000001E-3</v>
      </c>
      <c r="AS745" s="658">
        <v>6.0000000000000001E-3</v>
      </c>
      <c r="AT745" s="658" t="s">
        <v>1417</v>
      </c>
      <c r="AU745" s="658" t="s">
        <v>2751</v>
      </c>
      <c r="AX745"/>
      <c r="AY745"/>
      <c r="BA745"/>
      <c r="BB745"/>
      <c r="BC745"/>
      <c r="BD745"/>
      <c r="BE745"/>
      <c r="BF745"/>
      <c r="BG745"/>
      <c r="BH745"/>
      <c r="BI745"/>
      <c r="BJ745"/>
      <c r="BR745"/>
      <c r="BS745"/>
      <c r="BT745"/>
      <c r="BU745"/>
      <c r="BX745"/>
      <c r="BY745"/>
      <c r="CA745"/>
    </row>
    <row r="746" spans="2:79" ht="18.75">
      <c r="B746" s="252" t="s">
        <v>964</v>
      </c>
      <c r="C746" s="251">
        <v>36352424000162</v>
      </c>
      <c r="D746" s="252" t="s">
        <v>14</v>
      </c>
      <c r="E746" s="252" t="s">
        <v>607</v>
      </c>
      <c r="F746" s="252" t="s">
        <v>1417</v>
      </c>
      <c r="G746" s="253" t="s">
        <v>1417</v>
      </c>
      <c r="H746" s="253" t="s">
        <v>34</v>
      </c>
      <c r="I746" s="253" t="s">
        <v>34</v>
      </c>
      <c r="J746" s="253" t="s">
        <v>611</v>
      </c>
      <c r="K746" s="253" t="s">
        <v>49</v>
      </c>
      <c r="L746" s="655"/>
      <c r="M746" s="655" t="s">
        <v>1414</v>
      </c>
      <c r="N746" s="253" t="s">
        <v>3346</v>
      </c>
      <c r="O746" s="253" t="s">
        <v>1321</v>
      </c>
      <c r="P746" s="656">
        <v>44064</v>
      </c>
      <c r="Q746" s="657">
        <v>17.151365699999999</v>
      </c>
      <c r="R746" s="657">
        <v>20.371722162782266</v>
      </c>
      <c r="S746" s="253">
        <v>19</v>
      </c>
      <c r="T746" s="658">
        <v>2.9318094189471289E-2</v>
      </c>
      <c r="U746" s="659">
        <v>1.4660234593067147</v>
      </c>
      <c r="V746" s="658">
        <v>-8.1646795057267685E-2</v>
      </c>
      <c r="W746" s="659">
        <v>-0.63319621227213607</v>
      </c>
      <c r="X746" s="658">
        <v>-6.8914582585490436E-2</v>
      </c>
      <c r="Y746" s="659">
        <v>-0.35690811161340724</v>
      </c>
      <c r="Z746" s="658"/>
      <c r="AA746" s="659"/>
      <c r="AB746" s="658">
        <v>0.27541367480984191</v>
      </c>
      <c r="AC746" s="660">
        <v>-0.7646341622269025</v>
      </c>
      <c r="AD746" s="682">
        <v>36327593000142</v>
      </c>
      <c r="AE746" s="944" t="s">
        <v>1958</v>
      </c>
      <c r="AF746" s="661" t="s">
        <v>1729</v>
      </c>
      <c r="AG746" s="662" t="s">
        <v>1433</v>
      </c>
      <c r="AH746" s="662" t="s">
        <v>1730</v>
      </c>
      <c r="AI746" s="662">
        <v>5</v>
      </c>
      <c r="AJ746" s="662">
        <v>1000</v>
      </c>
      <c r="AK746" s="662">
        <v>5000</v>
      </c>
      <c r="AL746" s="658">
        <v>1.2E-2</v>
      </c>
      <c r="AM746" s="658">
        <v>0</v>
      </c>
      <c r="AN746" s="659" t="s">
        <v>34</v>
      </c>
      <c r="AO746" s="253" t="s">
        <v>34</v>
      </c>
      <c r="AP746" s="944" t="s">
        <v>1731</v>
      </c>
      <c r="AQ746" s="663" t="s">
        <v>687</v>
      </c>
      <c r="AR746" s="658">
        <v>3.2000000000000002E-3</v>
      </c>
      <c r="AS746" s="658">
        <v>3.2000000000000002E-3</v>
      </c>
      <c r="AT746" s="658" t="s">
        <v>1417</v>
      </c>
      <c r="AU746" s="658" t="s">
        <v>2751</v>
      </c>
      <c r="AX746"/>
      <c r="AY746"/>
      <c r="BA746"/>
      <c r="BB746"/>
      <c r="BC746"/>
      <c r="BD746"/>
      <c r="BE746"/>
      <c r="BF746"/>
      <c r="BG746"/>
      <c r="BH746"/>
      <c r="BI746"/>
      <c r="BJ746"/>
      <c r="BR746"/>
      <c r="BS746"/>
      <c r="BT746"/>
      <c r="BU746"/>
      <c r="BX746"/>
      <c r="BY746"/>
      <c r="CA746"/>
    </row>
    <row r="747" spans="2:79" ht="18.75">
      <c r="B747" s="252" t="s">
        <v>209</v>
      </c>
      <c r="C747" s="251">
        <v>27324405000131</v>
      </c>
      <c r="D747" s="252" t="s">
        <v>13</v>
      </c>
      <c r="E747" s="252" t="s">
        <v>615</v>
      </c>
      <c r="F747" s="252" t="s">
        <v>619</v>
      </c>
      <c r="G747" s="253" t="s">
        <v>34</v>
      </c>
      <c r="H747" s="253" t="s">
        <v>1337</v>
      </c>
      <c r="I747" s="253" t="s">
        <v>34</v>
      </c>
      <c r="J747" s="253" t="s">
        <v>611</v>
      </c>
      <c r="K747" s="253" t="s">
        <v>48</v>
      </c>
      <c r="L747" s="655"/>
      <c r="M747" s="655" t="s">
        <v>1414</v>
      </c>
      <c r="N747" s="253" t="s">
        <v>3347</v>
      </c>
      <c r="O747" s="253" t="s">
        <v>1321</v>
      </c>
      <c r="P747" s="656">
        <v>42868</v>
      </c>
      <c r="Q747" s="657">
        <v>35.103566999999998</v>
      </c>
      <c r="R747" s="657">
        <v>57.868693799196805</v>
      </c>
      <c r="S747" s="253">
        <v>13</v>
      </c>
      <c r="T747" s="658">
        <v>1.9928758039434724E-2</v>
      </c>
      <c r="U747" s="659">
        <v>0.99651862129396707</v>
      </c>
      <c r="V747" s="658">
        <v>8.1229837500335966E-2</v>
      </c>
      <c r="W747" s="659">
        <v>0.62996257713015369</v>
      </c>
      <c r="X747" s="658">
        <v>0.13828276860230071</v>
      </c>
      <c r="Y747" s="659">
        <v>0.71616543203023264</v>
      </c>
      <c r="Z747" s="658">
        <v>0.16650240222794666</v>
      </c>
      <c r="AA747" s="659">
        <v>0.75180446975047255</v>
      </c>
      <c r="AB747" s="658">
        <v>4.0836736112881258E-2</v>
      </c>
      <c r="AC747" s="660">
        <v>-1.1684105168091969</v>
      </c>
      <c r="AD747" s="682">
        <v>0</v>
      </c>
      <c r="AE747" s="944" t="s">
        <v>1950</v>
      </c>
      <c r="AF747" s="661" t="s">
        <v>1729</v>
      </c>
      <c r="AG747" s="662" t="s">
        <v>1433</v>
      </c>
      <c r="AH747" s="662" t="s">
        <v>1734</v>
      </c>
      <c r="AI747" s="662">
        <v>25000</v>
      </c>
      <c r="AJ747" s="662">
        <v>10000</v>
      </c>
      <c r="AK747" s="662">
        <v>20000</v>
      </c>
      <c r="AL747" s="658">
        <v>5.5000000000000005E-3</v>
      </c>
      <c r="AM747" s="658">
        <v>0.1</v>
      </c>
      <c r="AN747" s="659" t="s">
        <v>64</v>
      </c>
      <c r="AO747" s="253" t="s">
        <v>34</v>
      </c>
      <c r="AP747" s="944" t="s">
        <v>1746</v>
      </c>
      <c r="AQ747" s="663" t="s">
        <v>668</v>
      </c>
      <c r="AR747" s="658">
        <v>1.2833333333333299E-3</v>
      </c>
      <c r="AS747" s="658">
        <v>1.2833333333333299E-3</v>
      </c>
      <c r="AT747" s="658" t="s">
        <v>1417</v>
      </c>
      <c r="AU747" s="658" t="s">
        <v>2751</v>
      </c>
      <c r="AX747"/>
      <c r="AY747"/>
      <c r="BA747"/>
      <c r="BB747"/>
      <c r="BC747"/>
      <c r="BD747"/>
      <c r="BE747"/>
      <c r="BF747"/>
      <c r="BG747"/>
      <c r="BH747"/>
      <c r="BI747"/>
      <c r="BJ747"/>
      <c r="BR747"/>
      <c r="BS747"/>
      <c r="BT747"/>
      <c r="BU747"/>
      <c r="BX747"/>
      <c r="BY747"/>
      <c r="CA747"/>
    </row>
    <row r="748" spans="2:79" ht="18.75">
      <c r="B748" s="252" t="s">
        <v>210</v>
      </c>
      <c r="C748" s="251">
        <v>31440882000130</v>
      </c>
      <c r="D748" s="252" t="s">
        <v>13</v>
      </c>
      <c r="E748" s="252" t="s">
        <v>616</v>
      </c>
      <c r="F748" s="252" t="s">
        <v>610</v>
      </c>
      <c r="G748" s="253" t="s">
        <v>34</v>
      </c>
      <c r="H748" s="253" t="s">
        <v>1337</v>
      </c>
      <c r="I748" s="253" t="s">
        <v>34</v>
      </c>
      <c r="J748" s="253" t="s">
        <v>611</v>
      </c>
      <c r="K748" s="253" t="s">
        <v>48</v>
      </c>
      <c r="L748" s="655"/>
      <c r="M748" s="655" t="s">
        <v>34</v>
      </c>
      <c r="N748" s="253" t="s">
        <v>3348</v>
      </c>
      <c r="O748" s="253" t="s">
        <v>1321</v>
      </c>
      <c r="P748" s="656">
        <v>43407</v>
      </c>
      <c r="Q748" s="657">
        <v>86.494669610000003</v>
      </c>
      <c r="R748" s="657">
        <v>126.48284795032259</v>
      </c>
      <c r="S748" s="253">
        <v>33</v>
      </c>
      <c r="T748" s="658">
        <v>9.308754902807026E-3</v>
      </c>
      <c r="U748" s="659">
        <v>0.46547544926546941</v>
      </c>
      <c r="V748" s="658">
        <v>8.6597883387611763E-2</v>
      </c>
      <c r="W748" s="659">
        <v>0.67159343748103395</v>
      </c>
      <c r="X748" s="658">
        <v>0.20161237392402187</v>
      </c>
      <c r="Y748" s="659">
        <v>1.0441489878554229</v>
      </c>
      <c r="Z748" s="658">
        <v>0.20710171538741284</v>
      </c>
      <c r="AA748" s="659">
        <v>0.9351216152911076</v>
      </c>
      <c r="AB748" s="658">
        <v>3.553154488899956E-2</v>
      </c>
      <c r="AC748" s="660">
        <v>-1.1917867965343316</v>
      </c>
      <c r="AD748" s="682">
        <v>0</v>
      </c>
      <c r="AE748" s="944" t="s">
        <v>1874</v>
      </c>
      <c r="AF748" s="661" t="s">
        <v>1729</v>
      </c>
      <c r="AG748" s="662" t="s">
        <v>1433</v>
      </c>
      <c r="AH748" s="662" t="s">
        <v>1734</v>
      </c>
      <c r="AI748" s="662">
        <v>50000</v>
      </c>
      <c r="AJ748" s="662">
        <v>20000</v>
      </c>
      <c r="AK748" s="662">
        <v>20000</v>
      </c>
      <c r="AL748" s="658">
        <v>0.02</v>
      </c>
      <c r="AM748" s="658">
        <v>0.2</v>
      </c>
      <c r="AN748" s="659" t="s">
        <v>64</v>
      </c>
      <c r="AO748" s="253" t="s">
        <v>34</v>
      </c>
      <c r="AP748" s="944" t="s">
        <v>1746</v>
      </c>
      <c r="AQ748" s="663" t="s">
        <v>668</v>
      </c>
      <c r="AR748" s="658">
        <v>5.4000000000000003E-3</v>
      </c>
      <c r="AS748" s="658">
        <v>5.4000000000000003E-3</v>
      </c>
      <c r="AT748" s="658" t="s">
        <v>1417</v>
      </c>
      <c r="AU748" s="658" t="s">
        <v>2751</v>
      </c>
      <c r="AX748"/>
      <c r="AY748"/>
      <c r="BA748"/>
      <c r="BB748"/>
      <c r="BC748"/>
      <c r="BD748"/>
      <c r="BE748"/>
      <c r="BF748"/>
      <c r="BG748"/>
      <c r="BH748"/>
      <c r="BI748"/>
      <c r="BJ748"/>
      <c r="BR748"/>
      <c r="BS748"/>
      <c r="BT748"/>
      <c r="BU748"/>
      <c r="BX748"/>
      <c r="BY748"/>
      <c r="CA748"/>
    </row>
    <row r="749" spans="2:79" ht="18.75">
      <c r="B749" s="252" t="s">
        <v>1596</v>
      </c>
      <c r="C749" s="251">
        <v>36352601000100</v>
      </c>
      <c r="D749" s="252" t="s">
        <v>14</v>
      </c>
      <c r="E749" s="252" t="s">
        <v>1417</v>
      </c>
      <c r="F749" s="252" t="s">
        <v>1417</v>
      </c>
      <c r="G749" s="253" t="s">
        <v>1417</v>
      </c>
      <c r="H749" s="253" t="s">
        <v>34</v>
      </c>
      <c r="I749" s="253" t="s">
        <v>1417</v>
      </c>
      <c r="J749" s="253" t="s">
        <v>1417</v>
      </c>
      <c r="K749" s="253" t="s">
        <v>1417</v>
      </c>
      <c r="L749" s="655"/>
      <c r="M749" s="655" t="s">
        <v>34</v>
      </c>
      <c r="N749" s="253" t="s">
        <v>3349</v>
      </c>
      <c r="O749" s="253" t="s">
        <v>1321</v>
      </c>
      <c r="P749" s="656">
        <v>43978</v>
      </c>
      <c r="Q749" s="657">
        <v>0</v>
      </c>
      <c r="R749" s="657">
        <v>11.75715855830769</v>
      </c>
      <c r="S749" s="253">
        <v>33</v>
      </c>
      <c r="T749" s="658"/>
      <c r="U749" s="659"/>
      <c r="V749" s="658">
        <v>-7.4417504035767856E-2</v>
      </c>
      <c r="W749" s="659">
        <v>-0.57713081878037786</v>
      </c>
      <c r="X749" s="658">
        <v>-0.22984730509703999</v>
      </c>
      <c r="Y749" s="659">
        <v>-1.1903774867946029</v>
      </c>
      <c r="Z749" s="658"/>
      <c r="AA749" s="659"/>
      <c r="AB749" s="658">
        <v>0.20671571405353181</v>
      </c>
      <c r="AC749" s="660">
        <v>-0.98377336436983709</v>
      </c>
      <c r="AD749" s="682">
        <v>40777563000105</v>
      </c>
      <c r="AE749" s="944" t="s">
        <v>1950</v>
      </c>
      <c r="AF749" s="661" t="s">
        <v>1729</v>
      </c>
      <c r="AG749" s="662" t="s">
        <v>1433</v>
      </c>
      <c r="AH749" s="662" t="s">
        <v>1734</v>
      </c>
      <c r="AI749" s="662">
        <v>1000</v>
      </c>
      <c r="AJ749" s="662">
        <v>1000</v>
      </c>
      <c r="AK749" s="662">
        <v>1000</v>
      </c>
      <c r="AL749" s="658">
        <v>1.7000000000000001E-2</v>
      </c>
      <c r="AM749" s="658">
        <v>0.25</v>
      </c>
      <c r="AN749" s="659" t="s">
        <v>34</v>
      </c>
      <c r="AO749" s="253" t="s">
        <v>34</v>
      </c>
      <c r="AP749" s="944" t="s">
        <v>1731</v>
      </c>
      <c r="AQ749" s="663" t="s">
        <v>659</v>
      </c>
      <c r="AR749" s="658">
        <v>1.9995E-3</v>
      </c>
      <c r="AS749" s="658">
        <v>1.9995E-3</v>
      </c>
      <c r="AT749" s="658" t="s">
        <v>1417</v>
      </c>
      <c r="AU749" s="658" t="s">
        <v>2751</v>
      </c>
      <c r="AX749"/>
      <c r="AY749"/>
      <c r="BA749"/>
      <c r="BB749"/>
      <c r="BC749"/>
      <c r="BD749"/>
      <c r="BE749"/>
      <c r="BF749"/>
      <c r="BG749"/>
      <c r="BH749"/>
      <c r="BI749"/>
      <c r="BJ749"/>
      <c r="BR749"/>
      <c r="BS749"/>
      <c r="BT749"/>
      <c r="BU749"/>
      <c r="BX749"/>
      <c r="BY749"/>
      <c r="CA749"/>
    </row>
    <row r="750" spans="2:79" ht="18.75">
      <c r="B750" s="252" t="s">
        <v>213</v>
      </c>
      <c r="C750" s="251">
        <v>41673124000115</v>
      </c>
      <c r="D750" s="252" t="s">
        <v>14</v>
      </c>
      <c r="E750" s="252" t="s">
        <v>607</v>
      </c>
      <c r="F750" s="252" t="s">
        <v>1417</v>
      </c>
      <c r="G750" s="253" t="s">
        <v>1417</v>
      </c>
      <c r="H750" s="253" t="s">
        <v>34</v>
      </c>
      <c r="I750" s="253" t="s">
        <v>34</v>
      </c>
      <c r="J750" s="253" t="s">
        <v>608</v>
      </c>
      <c r="K750" s="253" t="s">
        <v>48</v>
      </c>
      <c r="L750" s="655"/>
      <c r="M750" s="655" t="s">
        <v>34</v>
      </c>
      <c r="N750" s="253" t="s">
        <v>3353</v>
      </c>
      <c r="O750" s="253" t="s">
        <v>1321</v>
      </c>
      <c r="P750" s="656">
        <v>44323</v>
      </c>
      <c r="Q750" s="657">
        <v>6.1379989100000003</v>
      </c>
      <c r="R750" s="657">
        <v>8.5892482499009883</v>
      </c>
      <c r="S750" s="253">
        <v>32</v>
      </c>
      <c r="T750" s="658"/>
      <c r="U750" s="659"/>
      <c r="V750" s="658">
        <v>3.0953649060698751E-3</v>
      </c>
      <c r="W750" s="659">
        <v>2.4005514640823327E-2</v>
      </c>
      <c r="X750" s="658"/>
      <c r="Y750" s="659"/>
      <c r="Z750" s="658"/>
      <c r="AA750" s="659"/>
      <c r="AB750" s="658">
        <v>0.23230456641160788</v>
      </c>
      <c r="AC750" s="660">
        <v>-0.54173943493531784</v>
      </c>
      <c r="AD750" s="682">
        <v>0</v>
      </c>
      <c r="AE750" s="944" t="s">
        <v>1959</v>
      </c>
      <c r="AF750" s="661" t="s">
        <v>1745</v>
      </c>
      <c r="AG750" s="662" t="s">
        <v>1432</v>
      </c>
      <c r="AH750" s="662" t="s">
        <v>1730</v>
      </c>
      <c r="AI750" s="662">
        <v>100000</v>
      </c>
      <c r="AJ750" s="662">
        <v>250</v>
      </c>
      <c r="AK750" s="662">
        <v>100000</v>
      </c>
      <c r="AL750" s="658">
        <v>0.02</v>
      </c>
      <c r="AM750" s="658">
        <v>0.2</v>
      </c>
      <c r="AN750" s="659" t="s">
        <v>34</v>
      </c>
      <c r="AO750" s="253" t="s">
        <v>34</v>
      </c>
      <c r="AP750" s="944" t="s">
        <v>1731</v>
      </c>
      <c r="AQ750" s="663" t="s">
        <v>659</v>
      </c>
      <c r="AR750" s="658">
        <v>5.3333333333333297E-3</v>
      </c>
      <c r="AS750" s="658">
        <v>5.3333333333333297E-3</v>
      </c>
      <c r="AT750" s="658" t="s">
        <v>1417</v>
      </c>
      <c r="AU750" s="658" t="s">
        <v>2751</v>
      </c>
      <c r="AX750"/>
      <c r="AY750"/>
      <c r="BA750"/>
      <c r="BB750"/>
      <c r="BC750"/>
      <c r="BD750"/>
      <c r="BE750"/>
      <c r="BF750"/>
      <c r="BG750"/>
      <c r="BH750"/>
      <c r="BI750"/>
      <c r="BJ750"/>
      <c r="BR750"/>
      <c r="BS750"/>
      <c r="BT750"/>
      <c r="BU750"/>
      <c r="BX750"/>
      <c r="BY750"/>
      <c r="CA750"/>
    </row>
    <row r="751" spans="2:79" ht="18.75">
      <c r="B751" s="252" t="s">
        <v>965</v>
      </c>
      <c r="C751" s="251">
        <v>38318112000168</v>
      </c>
      <c r="D751" s="252" t="s">
        <v>14</v>
      </c>
      <c r="E751" s="252" t="s">
        <v>607</v>
      </c>
      <c r="F751" s="252" t="s">
        <v>1417</v>
      </c>
      <c r="G751" s="253" t="s">
        <v>1417</v>
      </c>
      <c r="H751" s="253" t="s">
        <v>34</v>
      </c>
      <c r="I751" s="253" t="s">
        <v>34</v>
      </c>
      <c r="J751" s="253" t="s">
        <v>611</v>
      </c>
      <c r="K751" s="253" t="s">
        <v>49</v>
      </c>
      <c r="L751" s="655"/>
      <c r="M751" s="655" t="s">
        <v>1414</v>
      </c>
      <c r="N751" s="253" t="s">
        <v>3354</v>
      </c>
      <c r="O751" s="253" t="s">
        <v>1321</v>
      </c>
      <c r="P751" s="656">
        <v>44095</v>
      </c>
      <c r="Q751" s="657">
        <v>5.9992123499999996</v>
      </c>
      <c r="R751" s="657">
        <v>9.2244274820080321</v>
      </c>
      <c r="S751" s="253">
        <v>4</v>
      </c>
      <c r="T751" s="658">
        <v>-1.3529270140769101E-2</v>
      </c>
      <c r="U751" s="659">
        <v>-0.67651830591322082</v>
      </c>
      <c r="V751" s="658">
        <v>-0.18197587983773678</v>
      </c>
      <c r="W751" s="659">
        <v>-1.4112793742525178</v>
      </c>
      <c r="X751" s="658">
        <v>-0.33353252687638968</v>
      </c>
      <c r="Y751" s="659">
        <v>-1.7273624806684023</v>
      </c>
      <c r="Z751" s="658"/>
      <c r="AA751" s="659"/>
      <c r="AB751" s="658">
        <v>0.17473383652608632</v>
      </c>
      <c r="AC751" s="660">
        <v>-1.7793908464781369</v>
      </c>
      <c r="AD751" s="682">
        <v>38418180000107</v>
      </c>
      <c r="AE751" s="944" t="s">
        <v>1797</v>
      </c>
      <c r="AF751" s="661" t="s">
        <v>1745</v>
      </c>
      <c r="AG751" s="662" t="s">
        <v>1432</v>
      </c>
      <c r="AH751" s="662" t="s">
        <v>1730</v>
      </c>
      <c r="AI751" s="662">
        <v>10000</v>
      </c>
      <c r="AJ751" s="662">
        <v>10000</v>
      </c>
      <c r="AK751" s="662">
        <v>10000</v>
      </c>
      <c r="AL751" s="658">
        <v>5.0000000000000001E-3</v>
      </c>
      <c r="AM751" s="658">
        <v>0</v>
      </c>
      <c r="AN751" s="659" t="s">
        <v>34</v>
      </c>
      <c r="AO751" s="253" t="s">
        <v>34</v>
      </c>
      <c r="AP751" s="944" t="s">
        <v>1731</v>
      </c>
      <c r="AQ751" s="663" t="s">
        <v>687</v>
      </c>
      <c r="AR751" s="658">
        <v>3.3E-3</v>
      </c>
      <c r="AS751" s="658">
        <v>3.3E-3</v>
      </c>
      <c r="AT751" s="658" t="s">
        <v>1417</v>
      </c>
      <c r="AU751" s="658" t="s">
        <v>2751</v>
      </c>
      <c r="AX751"/>
      <c r="AY751"/>
      <c r="BA751"/>
      <c r="BB751"/>
      <c r="BC751"/>
      <c r="BD751"/>
      <c r="BE751"/>
      <c r="BF751"/>
      <c r="BG751"/>
      <c r="BH751"/>
      <c r="BI751"/>
      <c r="BJ751"/>
      <c r="BR751"/>
      <c r="BS751"/>
      <c r="BT751"/>
      <c r="BU751"/>
      <c r="BX751"/>
      <c r="BY751"/>
      <c r="CA751"/>
    </row>
    <row r="752" spans="2:79" ht="18.75">
      <c r="B752" s="252" t="s">
        <v>486</v>
      </c>
      <c r="C752" s="251">
        <v>41574684000112</v>
      </c>
      <c r="D752" s="252" t="s">
        <v>11</v>
      </c>
      <c r="E752" s="252" t="s">
        <v>4235</v>
      </c>
      <c r="F752" s="252" t="s">
        <v>663</v>
      </c>
      <c r="G752" s="253" t="s">
        <v>738</v>
      </c>
      <c r="H752" s="253" t="s">
        <v>34</v>
      </c>
      <c r="I752" s="253" t="s">
        <v>1304</v>
      </c>
      <c r="J752" s="253" t="s">
        <v>690</v>
      </c>
      <c r="K752" s="253" t="s">
        <v>48</v>
      </c>
      <c r="L752" s="655"/>
      <c r="M752" s="655" t="s">
        <v>1414</v>
      </c>
      <c r="N752" s="253" t="s">
        <v>3355</v>
      </c>
      <c r="O752" s="253" t="s">
        <v>1321</v>
      </c>
      <c r="P752" s="656">
        <v>44343</v>
      </c>
      <c r="Q752" s="657">
        <v>173.48882186</v>
      </c>
      <c r="R752" s="657">
        <v>138.67177647670729</v>
      </c>
      <c r="S752" s="253">
        <v>121</v>
      </c>
      <c r="T752" s="658">
        <v>2.5741925056768977E-2</v>
      </c>
      <c r="U752" s="659">
        <v>1.2872005177775578</v>
      </c>
      <c r="V752" s="658">
        <v>0.17198527166618405</v>
      </c>
      <c r="W752" s="659">
        <v>1.3337991100475954</v>
      </c>
      <c r="X752" s="658"/>
      <c r="Y752" s="659"/>
      <c r="Z752" s="658"/>
      <c r="AA752" s="659"/>
      <c r="AB752" s="658">
        <v>1.943868097844321E-3</v>
      </c>
      <c r="AC752" s="660">
        <v>22.142120788507718</v>
      </c>
      <c r="AD752" s="682">
        <v>0</v>
      </c>
      <c r="AE752" s="944" t="s">
        <v>1884</v>
      </c>
      <c r="AF752" s="661" t="s">
        <v>1745</v>
      </c>
      <c r="AG752" s="662" t="s">
        <v>1432</v>
      </c>
      <c r="AH752" s="662" t="s">
        <v>1730</v>
      </c>
      <c r="AI752" s="662">
        <v>1000</v>
      </c>
      <c r="AJ752" s="662">
        <v>100</v>
      </c>
      <c r="AK752" s="662">
        <v>1000</v>
      </c>
      <c r="AL752" s="658">
        <v>0.01</v>
      </c>
      <c r="AM752" s="658">
        <v>0.15</v>
      </c>
      <c r="AN752" s="659" t="s">
        <v>34</v>
      </c>
      <c r="AO752" s="253" t="s">
        <v>34</v>
      </c>
      <c r="AP752" s="944" t="s">
        <v>1746</v>
      </c>
      <c r="AQ752" s="663" t="s">
        <v>671</v>
      </c>
      <c r="AR752" s="658">
        <v>2.13333333333333E-3</v>
      </c>
      <c r="AS752" s="658">
        <v>2.13333333333333E-3</v>
      </c>
      <c r="AT752" s="658" t="s">
        <v>1417</v>
      </c>
      <c r="AU752" s="658" t="s">
        <v>2751</v>
      </c>
      <c r="AX752"/>
      <c r="AY752"/>
      <c r="BA752"/>
      <c r="BB752"/>
      <c r="BC752"/>
      <c r="BD752"/>
      <c r="BE752"/>
      <c r="BF752"/>
      <c r="BG752"/>
      <c r="BH752"/>
      <c r="BI752"/>
      <c r="BJ752"/>
      <c r="BR752"/>
      <c r="BS752"/>
      <c r="BT752"/>
      <c r="BU752"/>
      <c r="BX752"/>
      <c r="BY752"/>
      <c r="CA752"/>
    </row>
    <row r="753" spans="2:79" ht="18.75">
      <c r="B753" s="252" t="s">
        <v>214</v>
      </c>
      <c r="C753" s="251">
        <v>41163392000197</v>
      </c>
      <c r="D753" s="252" t="s">
        <v>13</v>
      </c>
      <c r="E753" s="252" t="s">
        <v>615</v>
      </c>
      <c r="F753" s="252" t="s">
        <v>619</v>
      </c>
      <c r="G753" s="253" t="s">
        <v>34</v>
      </c>
      <c r="H753" s="253" t="s">
        <v>1337</v>
      </c>
      <c r="I753" s="253" t="s">
        <v>34</v>
      </c>
      <c r="J753" s="253" t="s">
        <v>1417</v>
      </c>
      <c r="K753" s="253" t="s">
        <v>48</v>
      </c>
      <c r="L753" s="655"/>
      <c r="M753" s="655" t="s">
        <v>34</v>
      </c>
      <c r="N753" s="253" t="s">
        <v>3356</v>
      </c>
      <c r="O753" s="253" t="s">
        <v>1321</v>
      </c>
      <c r="P753" s="656">
        <v>44297</v>
      </c>
      <c r="Q753" s="657">
        <v>77.886517130000001</v>
      </c>
      <c r="R753" s="657">
        <v>74.26513087304761</v>
      </c>
      <c r="S753" s="253">
        <v>31</v>
      </c>
      <c r="T753" s="658">
        <v>3.13091613048333E-3</v>
      </c>
      <c r="U753" s="659">
        <v>0.1565584879681137</v>
      </c>
      <c r="V753" s="658">
        <v>0.12635291829201045</v>
      </c>
      <c r="W753" s="659">
        <v>0.97990606019397042</v>
      </c>
      <c r="X753" s="658"/>
      <c r="Y753" s="659"/>
      <c r="Z753" s="658"/>
      <c r="AA753" s="659"/>
      <c r="AB753" s="658">
        <v>4.5035771297021188E-2</v>
      </c>
      <c r="AC753" s="660">
        <v>-5.753184813222631E-2</v>
      </c>
      <c r="AD753" s="682">
        <v>41272577000130</v>
      </c>
      <c r="AE753" s="944" t="s">
        <v>2050</v>
      </c>
      <c r="AF753" s="661" t="s">
        <v>1745</v>
      </c>
      <c r="AG753" s="662" t="s">
        <v>736</v>
      </c>
      <c r="AH753" s="662" t="s">
        <v>1734</v>
      </c>
      <c r="AI753" s="662">
        <v>5000</v>
      </c>
      <c r="AJ753" s="662">
        <v>1000</v>
      </c>
      <c r="AK753" s="662">
        <v>3000</v>
      </c>
      <c r="AL753" s="658">
        <v>1.8700000000000001E-2</v>
      </c>
      <c r="AM753" s="658">
        <v>0.2</v>
      </c>
      <c r="AN753" s="659" t="s">
        <v>64</v>
      </c>
      <c r="AO753" s="253" t="s">
        <v>34</v>
      </c>
      <c r="AP753" s="944" t="s">
        <v>1746</v>
      </c>
      <c r="AQ753" s="663" t="s">
        <v>668</v>
      </c>
      <c r="AR753" s="658">
        <v>4.9866666666666696E-3</v>
      </c>
      <c r="AS753" s="658">
        <v>4.9866666666666696E-3</v>
      </c>
      <c r="AT753" s="658" t="s">
        <v>1417</v>
      </c>
      <c r="AU753" s="658" t="s">
        <v>2751</v>
      </c>
      <c r="AX753"/>
      <c r="AY753"/>
      <c r="BA753"/>
      <c r="BB753"/>
      <c r="BC753"/>
      <c r="BD753"/>
      <c r="BE753"/>
      <c r="BF753"/>
      <c r="BG753"/>
      <c r="BH753"/>
      <c r="BI753"/>
      <c r="BJ753"/>
      <c r="BR753"/>
      <c r="BS753"/>
      <c r="BT753"/>
      <c r="BU753"/>
      <c r="BX753"/>
      <c r="BY753"/>
      <c r="CA753"/>
    </row>
    <row r="754" spans="2:79" ht="18.75">
      <c r="B754" s="252" t="s">
        <v>517</v>
      </c>
      <c r="C754" s="251">
        <v>37498652000108</v>
      </c>
      <c r="D754" s="252" t="s">
        <v>13</v>
      </c>
      <c r="E754" s="252" t="s">
        <v>615</v>
      </c>
      <c r="F754" s="252" t="s">
        <v>619</v>
      </c>
      <c r="G754" s="253" t="s">
        <v>34</v>
      </c>
      <c r="H754" s="253" t="s">
        <v>1337</v>
      </c>
      <c r="I754" s="253" t="s">
        <v>34</v>
      </c>
      <c r="J754" s="253" t="s">
        <v>1417</v>
      </c>
      <c r="K754" s="253" t="s">
        <v>48</v>
      </c>
      <c r="L754" s="655"/>
      <c r="M754" s="655" t="s">
        <v>34</v>
      </c>
      <c r="N754" s="253" t="s">
        <v>3357</v>
      </c>
      <c r="O754" s="253" t="s">
        <v>1321</v>
      </c>
      <c r="P754" s="656">
        <v>43995</v>
      </c>
      <c r="Q754" s="657">
        <v>248.49877076000001</v>
      </c>
      <c r="R754" s="657">
        <v>177.13595025395162</v>
      </c>
      <c r="S754" s="253">
        <v>31</v>
      </c>
      <c r="T754" s="658">
        <v>-4.9481315481921806E-3</v>
      </c>
      <c r="U754" s="659">
        <v>-0.24742661929200274</v>
      </c>
      <c r="V754" s="658">
        <v>7.5467400890679492E-2</v>
      </c>
      <c r="W754" s="659">
        <v>0.58527309443663822</v>
      </c>
      <c r="X754" s="658">
        <v>8.9950999999998338E-2</v>
      </c>
      <c r="Y754" s="659">
        <v>0.46585556123641619</v>
      </c>
      <c r="Z754" s="658"/>
      <c r="AA754" s="659"/>
      <c r="AB754" s="658">
        <v>4.2789850072341741E-2</v>
      </c>
      <c r="AC754" s="660">
        <v>-1.2497475094140305</v>
      </c>
      <c r="AD754" s="682">
        <v>37498601000186</v>
      </c>
      <c r="AE754" s="944" t="s">
        <v>2045</v>
      </c>
      <c r="AF754" s="661" t="s">
        <v>1783</v>
      </c>
      <c r="AG754" s="662" t="s">
        <v>736</v>
      </c>
      <c r="AH754" s="662" t="s">
        <v>1734</v>
      </c>
      <c r="AI754" s="662">
        <v>1000</v>
      </c>
      <c r="AJ754" s="662">
        <v>1000</v>
      </c>
      <c r="AK754" s="662">
        <v>1000</v>
      </c>
      <c r="AL754" s="658">
        <v>0</v>
      </c>
      <c r="AM754" s="658">
        <v>0</v>
      </c>
      <c r="AN754" s="659" t="s">
        <v>64</v>
      </c>
      <c r="AO754" s="253" t="s">
        <v>34</v>
      </c>
      <c r="AP754" s="944" t="s">
        <v>1746</v>
      </c>
      <c r="AQ754" s="663" t="s">
        <v>664</v>
      </c>
      <c r="AR754" s="658">
        <v>5.0673000000000003E-3</v>
      </c>
      <c r="AS754" s="658">
        <v>5.0673000000000003E-3</v>
      </c>
      <c r="AT754" s="658" t="s">
        <v>1417</v>
      </c>
      <c r="AU754" s="658" t="s">
        <v>2751</v>
      </c>
      <c r="AX754"/>
      <c r="AY754"/>
      <c r="BA754"/>
      <c r="BB754"/>
      <c r="BC754"/>
      <c r="BD754"/>
      <c r="BE754"/>
      <c r="BF754"/>
      <c r="BG754"/>
      <c r="BH754"/>
      <c r="BI754"/>
      <c r="BJ754"/>
      <c r="BR754"/>
      <c r="BS754"/>
      <c r="BT754"/>
      <c r="BU754"/>
      <c r="BX754"/>
      <c r="BY754"/>
      <c r="CA754"/>
    </row>
    <row r="755" spans="2:79" ht="18.75">
      <c r="B755" s="252" t="s">
        <v>566</v>
      </c>
      <c r="C755" s="251">
        <v>37495438000106</v>
      </c>
      <c r="D755" s="252" t="s">
        <v>14</v>
      </c>
      <c r="E755" s="252" t="s">
        <v>614</v>
      </c>
      <c r="F755" s="252" t="s">
        <v>1417</v>
      </c>
      <c r="G755" s="253" t="s">
        <v>1417</v>
      </c>
      <c r="H755" s="253" t="s">
        <v>1338</v>
      </c>
      <c r="I755" s="253" t="s">
        <v>34</v>
      </c>
      <c r="J755" s="253" t="s">
        <v>608</v>
      </c>
      <c r="K755" s="253" t="s">
        <v>48</v>
      </c>
      <c r="L755" s="655"/>
      <c r="M755" s="655" t="s">
        <v>34</v>
      </c>
      <c r="N755" s="253" t="s">
        <v>3358</v>
      </c>
      <c r="O755" s="253" t="s">
        <v>1321</v>
      </c>
      <c r="P755" s="656">
        <v>43995</v>
      </c>
      <c r="Q755" s="657">
        <v>33.212338029999998</v>
      </c>
      <c r="R755" s="657">
        <v>77.692041071008049</v>
      </c>
      <c r="S755" s="253">
        <v>32</v>
      </c>
      <c r="T755" s="658">
        <v>-8.8453025377853711E-3</v>
      </c>
      <c r="U755" s="659">
        <v>-0.44230095384970253</v>
      </c>
      <c r="V755" s="658">
        <v>0.17697882408709109</v>
      </c>
      <c r="W755" s="659">
        <v>1.3725256574458482</v>
      </c>
      <c r="X755" s="658">
        <v>0.11116351000000058</v>
      </c>
      <c r="Y755" s="659">
        <v>0.57571499305245288</v>
      </c>
      <c r="Z755" s="658"/>
      <c r="AA755" s="659"/>
      <c r="AB755" s="658">
        <v>0.14923820829794343</v>
      </c>
      <c r="AC755" s="660">
        <v>0.32186740371744788</v>
      </c>
      <c r="AD755" s="682">
        <v>37495407000147</v>
      </c>
      <c r="AE755" s="944" t="s">
        <v>2045</v>
      </c>
      <c r="AF755" s="661" t="s">
        <v>1783</v>
      </c>
      <c r="AG755" s="662" t="s">
        <v>736</v>
      </c>
      <c r="AH755" s="662" t="s">
        <v>1730</v>
      </c>
      <c r="AI755" s="662">
        <v>1000</v>
      </c>
      <c r="AJ755" s="662">
        <v>1000</v>
      </c>
      <c r="AK755" s="662">
        <v>1000</v>
      </c>
      <c r="AL755" s="658">
        <v>0</v>
      </c>
      <c r="AM755" s="658">
        <v>0</v>
      </c>
      <c r="AN755" s="659" t="s">
        <v>2141</v>
      </c>
      <c r="AO755" s="253" t="s">
        <v>34</v>
      </c>
      <c r="AP755" s="944" t="s">
        <v>1746</v>
      </c>
      <c r="AQ755" s="663" t="s">
        <v>668</v>
      </c>
      <c r="AR755" s="658">
        <v>5.0673000000000003E-3</v>
      </c>
      <c r="AS755" s="658">
        <v>5.0673000000000003E-3</v>
      </c>
      <c r="AT755" s="658" t="s">
        <v>1417</v>
      </c>
      <c r="AU755" s="658" t="s">
        <v>2751</v>
      </c>
      <c r="AX755"/>
      <c r="AY755"/>
      <c r="BA755"/>
      <c r="BB755"/>
      <c r="BC755"/>
      <c r="BD755"/>
      <c r="BE755"/>
      <c r="BF755"/>
      <c r="BG755"/>
      <c r="BH755"/>
      <c r="BI755"/>
      <c r="BJ755"/>
      <c r="BR755"/>
      <c r="BS755"/>
      <c r="BT755"/>
      <c r="BU755"/>
      <c r="BX755"/>
      <c r="BY755"/>
      <c r="CA755"/>
    </row>
    <row r="756" spans="2:79" ht="18.75">
      <c r="B756" s="252" t="s">
        <v>215</v>
      </c>
      <c r="C756" s="251">
        <v>18889810000106</v>
      </c>
      <c r="D756" s="252" t="s">
        <v>14</v>
      </c>
      <c r="E756" s="252" t="s">
        <v>614</v>
      </c>
      <c r="F756" s="252" t="s">
        <v>1417</v>
      </c>
      <c r="G756" s="253" t="s">
        <v>1417</v>
      </c>
      <c r="H756" s="253" t="s">
        <v>1338</v>
      </c>
      <c r="I756" s="253" t="s">
        <v>34</v>
      </c>
      <c r="J756" s="253" t="s">
        <v>608</v>
      </c>
      <c r="K756" s="253" t="s">
        <v>48</v>
      </c>
      <c r="L756" s="655"/>
      <c r="M756" s="655" t="s">
        <v>34</v>
      </c>
      <c r="N756" s="253" t="s">
        <v>3359</v>
      </c>
      <c r="O756" s="253" t="s">
        <v>1321</v>
      </c>
      <c r="P756" s="656">
        <v>41697</v>
      </c>
      <c r="Q756" s="657">
        <v>44.100017999999999</v>
      </c>
      <c r="R756" s="657">
        <v>46.371784532258083</v>
      </c>
      <c r="S756" s="253">
        <v>3</v>
      </c>
      <c r="T756" s="658">
        <v>2.827309683078294E-2</v>
      </c>
      <c r="U756" s="659">
        <v>1.413769358721253</v>
      </c>
      <c r="V756" s="658">
        <v>6.7272764447927402E-2</v>
      </c>
      <c r="W756" s="659">
        <v>0.52172114787390589</v>
      </c>
      <c r="X756" s="658">
        <v>-2.7531011623715074E-2</v>
      </c>
      <c r="Y756" s="659">
        <v>-0.14258290481898278</v>
      </c>
      <c r="Z756" s="658">
        <v>8.9062953697609304E-2</v>
      </c>
      <c r="AA756" s="659">
        <v>0.40214390773398384</v>
      </c>
      <c r="AB756" s="658">
        <v>0.24247702153215947</v>
      </c>
      <c r="AC756" s="660">
        <v>-0.25433810020089498</v>
      </c>
      <c r="AD756" s="682">
        <v>26946245000108</v>
      </c>
      <c r="AE756" s="944" t="s">
        <v>1770</v>
      </c>
      <c r="AF756" s="661" t="s">
        <v>1729</v>
      </c>
      <c r="AG756" s="662" t="s">
        <v>1433</v>
      </c>
      <c r="AH756" s="662" t="s">
        <v>1734</v>
      </c>
      <c r="AI756" s="662">
        <v>5000</v>
      </c>
      <c r="AJ756" s="662">
        <v>1000</v>
      </c>
      <c r="AK756" s="662">
        <v>5000</v>
      </c>
      <c r="AL756" s="658">
        <v>0.02</v>
      </c>
      <c r="AM756" s="658">
        <v>0.2</v>
      </c>
      <c r="AN756" s="659" t="s">
        <v>2127</v>
      </c>
      <c r="AO756" s="253" t="s">
        <v>34</v>
      </c>
      <c r="AP756" s="944" t="s">
        <v>1746</v>
      </c>
      <c r="AQ756" s="663" t="s">
        <v>668</v>
      </c>
      <c r="AR756" s="658">
        <v>4.0000000000000001E-3</v>
      </c>
      <c r="AS756" s="658">
        <v>4.0000000000000001E-3</v>
      </c>
      <c r="AT756" s="658" t="s">
        <v>1417</v>
      </c>
      <c r="AU756" s="658" t="s">
        <v>2751</v>
      </c>
      <c r="AX756"/>
      <c r="AY756"/>
      <c r="BA756"/>
      <c r="BB756"/>
      <c r="BC756"/>
      <c r="BD756"/>
      <c r="BE756"/>
      <c r="BF756"/>
      <c r="BG756"/>
      <c r="BH756"/>
      <c r="BI756"/>
      <c r="BJ756"/>
      <c r="BR756"/>
      <c r="BS756"/>
      <c r="BT756"/>
      <c r="BU756"/>
      <c r="BX756"/>
      <c r="BY756"/>
      <c r="CA756"/>
    </row>
    <row r="757" spans="2:79" ht="18.75">
      <c r="B757" s="252" t="s">
        <v>966</v>
      </c>
      <c r="C757" s="251">
        <v>7124064000143</v>
      </c>
      <c r="D757" s="252" t="s">
        <v>14</v>
      </c>
      <c r="E757" s="252" t="s">
        <v>607</v>
      </c>
      <c r="F757" s="252" t="s">
        <v>1417</v>
      </c>
      <c r="G757" s="253" t="s">
        <v>1417</v>
      </c>
      <c r="H757" s="253" t="s">
        <v>34</v>
      </c>
      <c r="I757" s="253" t="s">
        <v>34</v>
      </c>
      <c r="J757" s="253" t="s">
        <v>608</v>
      </c>
      <c r="K757" s="253" t="s">
        <v>48</v>
      </c>
      <c r="L757" s="655"/>
      <c r="M757" s="655" t="s">
        <v>34</v>
      </c>
      <c r="N757" s="253" t="s">
        <v>3360</v>
      </c>
      <c r="O757" s="253" t="s">
        <v>1321</v>
      </c>
      <c r="P757" s="656">
        <v>38325</v>
      </c>
      <c r="Q757" s="657">
        <v>69.010282000000004</v>
      </c>
      <c r="R757" s="657">
        <v>59.724639606425683</v>
      </c>
      <c r="S757" s="253">
        <v>3</v>
      </c>
      <c r="T757" s="658">
        <v>-4.0414922997432767E-2</v>
      </c>
      <c r="U757" s="659">
        <v>-2.0209098462337454</v>
      </c>
      <c r="V757" s="658">
        <v>-0.12476162119843526</v>
      </c>
      <c r="W757" s="659">
        <v>-0.96756505781237379</v>
      </c>
      <c r="X757" s="658">
        <v>-0.25680876290303634</v>
      </c>
      <c r="Y757" s="659">
        <v>-1.3300106766197812</v>
      </c>
      <c r="Z757" s="658">
        <v>-0.21004150422119727</v>
      </c>
      <c r="AA757" s="659">
        <v>-0.94839557624174842</v>
      </c>
      <c r="AB757" s="658">
        <v>0.22528536681224517</v>
      </c>
      <c r="AC757" s="660">
        <v>-1.1261518412630149</v>
      </c>
      <c r="AD757" s="682">
        <v>11361553000196</v>
      </c>
      <c r="AE757" s="944" t="s">
        <v>1770</v>
      </c>
      <c r="AF757" s="661" t="s">
        <v>1729</v>
      </c>
      <c r="AG757" s="662" t="s">
        <v>1433</v>
      </c>
      <c r="AH757" s="662" t="s">
        <v>1734</v>
      </c>
      <c r="AI757" s="662">
        <v>100</v>
      </c>
      <c r="AJ757" s="662">
        <v>100</v>
      </c>
      <c r="AK757" s="662">
        <v>100</v>
      </c>
      <c r="AL757" s="658">
        <v>0.02</v>
      </c>
      <c r="AM757" s="658">
        <v>0.2</v>
      </c>
      <c r="AN757" s="659" t="s">
        <v>34</v>
      </c>
      <c r="AO757" s="253" t="s">
        <v>34</v>
      </c>
      <c r="AP757" s="944" t="s">
        <v>1731</v>
      </c>
      <c r="AQ757" s="663" t="s">
        <v>659</v>
      </c>
      <c r="AR757" s="658">
        <v>4.0000000000000001E-3</v>
      </c>
      <c r="AS757" s="658">
        <v>4.0000000000000001E-3</v>
      </c>
      <c r="AT757" s="658" t="s">
        <v>1417</v>
      </c>
      <c r="AU757" s="658" t="s">
        <v>2751</v>
      </c>
      <c r="AX757"/>
      <c r="AY757"/>
      <c r="BA757"/>
      <c r="BB757"/>
      <c r="BC757"/>
      <c r="BD757"/>
      <c r="BE757"/>
      <c r="BF757"/>
      <c r="BG757"/>
      <c r="BH757"/>
      <c r="BI757"/>
      <c r="BJ757"/>
      <c r="BR757"/>
      <c r="BS757"/>
      <c r="BT757"/>
      <c r="BU757"/>
      <c r="BX757"/>
      <c r="BY757"/>
      <c r="CA757"/>
    </row>
    <row r="758" spans="2:79" ht="18.75">
      <c r="B758" s="252" t="s">
        <v>216</v>
      </c>
      <c r="C758" s="251">
        <v>9143435000160</v>
      </c>
      <c r="D758" s="252" t="s">
        <v>14</v>
      </c>
      <c r="E758" s="252" t="s">
        <v>607</v>
      </c>
      <c r="F758" s="252" t="s">
        <v>1417</v>
      </c>
      <c r="G758" s="253" t="s">
        <v>1417</v>
      </c>
      <c r="H758" s="253" t="s">
        <v>34</v>
      </c>
      <c r="I758" s="253" t="s">
        <v>34</v>
      </c>
      <c r="J758" s="253" t="s">
        <v>608</v>
      </c>
      <c r="K758" s="253" t="s">
        <v>48</v>
      </c>
      <c r="L758" s="655"/>
      <c r="M758" s="655" t="s">
        <v>1414</v>
      </c>
      <c r="N758" s="253" t="s">
        <v>3361</v>
      </c>
      <c r="O758" s="253" t="s">
        <v>1324</v>
      </c>
      <c r="P758" s="656">
        <v>39414</v>
      </c>
      <c r="Q758" s="657">
        <v>280.49164999999999</v>
      </c>
      <c r="R758" s="657">
        <v>327.70664948995972</v>
      </c>
      <c r="S758" s="253">
        <v>17</v>
      </c>
      <c r="T758" s="658">
        <v>-4.0277750173988269E-2</v>
      </c>
      <c r="U758" s="659">
        <v>-2.0140506494575376</v>
      </c>
      <c r="V758" s="658">
        <v>-0.11652575834198897</v>
      </c>
      <c r="W758" s="659">
        <v>-0.9036933876281763</v>
      </c>
      <c r="X758" s="658">
        <v>8.7695624969918118E-2</v>
      </c>
      <c r="Y758" s="659">
        <v>0.45417499069871631</v>
      </c>
      <c r="Z758" s="658">
        <v>0.19136609242520719</v>
      </c>
      <c r="AA758" s="659">
        <v>0.8640709186104758</v>
      </c>
      <c r="AB758" s="658">
        <v>0.22387072467505525</v>
      </c>
      <c r="AC758" s="660">
        <v>-1.0964795336463604</v>
      </c>
      <c r="AD758" s="682">
        <v>0</v>
      </c>
      <c r="AE758" s="944" t="s">
        <v>1794</v>
      </c>
      <c r="AF758" s="661" t="s">
        <v>1729</v>
      </c>
      <c r="AG758" s="662" t="s">
        <v>1433</v>
      </c>
      <c r="AH758" s="662" t="s">
        <v>1734</v>
      </c>
      <c r="AI758" s="662">
        <v>5000</v>
      </c>
      <c r="AJ758" s="662">
        <v>1000</v>
      </c>
      <c r="AK758" s="662">
        <v>5000</v>
      </c>
      <c r="AL758" s="658">
        <v>2.2000000000000002E-2</v>
      </c>
      <c r="AM758" s="658">
        <v>0.15</v>
      </c>
      <c r="AN758" s="659" t="s">
        <v>666</v>
      </c>
      <c r="AO758" s="253" t="s">
        <v>34</v>
      </c>
      <c r="AP758" s="944" t="s">
        <v>1731</v>
      </c>
      <c r="AQ758" s="663" t="s">
        <v>665</v>
      </c>
      <c r="AR758" s="658">
        <v>3.3333333333333301E-3</v>
      </c>
      <c r="AS758" s="658">
        <v>3.3333333333333301E-3</v>
      </c>
      <c r="AT758" s="658" t="s">
        <v>1417</v>
      </c>
      <c r="AU758" s="658" t="s">
        <v>2751</v>
      </c>
      <c r="AX758"/>
      <c r="AY758"/>
      <c r="BA758"/>
      <c r="BB758"/>
      <c r="BC758"/>
      <c r="BD758"/>
      <c r="BE758"/>
      <c r="BF758"/>
      <c r="BG758"/>
      <c r="BH758"/>
      <c r="BI758"/>
      <c r="BJ758"/>
      <c r="BR758"/>
      <c r="BS758"/>
      <c r="BT758"/>
      <c r="BU758"/>
      <c r="BX758"/>
      <c r="BY758"/>
      <c r="CA758"/>
    </row>
    <row r="759" spans="2:79" ht="18.75">
      <c r="B759" s="252" t="s">
        <v>217</v>
      </c>
      <c r="C759" s="251">
        <v>35717650000137</v>
      </c>
      <c r="D759" s="252" t="s">
        <v>14</v>
      </c>
      <c r="E759" s="252" t="s">
        <v>607</v>
      </c>
      <c r="F759" s="252" t="s">
        <v>1417</v>
      </c>
      <c r="G759" s="253" t="s">
        <v>1417</v>
      </c>
      <c r="H759" s="253" t="s">
        <v>34</v>
      </c>
      <c r="I759" s="253" t="s">
        <v>34</v>
      </c>
      <c r="J759" s="253" t="s">
        <v>608</v>
      </c>
      <c r="K759" s="253" t="s">
        <v>48</v>
      </c>
      <c r="L759" s="655"/>
      <c r="M759" s="655" t="s">
        <v>1414</v>
      </c>
      <c r="N759" s="253" t="s">
        <v>3362</v>
      </c>
      <c r="O759" s="253" t="s">
        <v>1321</v>
      </c>
      <c r="P759" s="656">
        <v>43882</v>
      </c>
      <c r="Q759" s="657">
        <v>44.017040000000001</v>
      </c>
      <c r="R759" s="657">
        <v>43.978141625020214</v>
      </c>
      <c r="S759" s="253">
        <v>17</v>
      </c>
      <c r="T759" s="658">
        <v>-2.7411583150417695E-2</v>
      </c>
      <c r="U759" s="659">
        <v>-1.3706901852331383</v>
      </c>
      <c r="V759" s="658">
        <v>-8.0277892895298963E-2</v>
      </c>
      <c r="W759" s="659">
        <v>-0.62257995154418266</v>
      </c>
      <c r="X759" s="658">
        <v>0.11690687045064241</v>
      </c>
      <c r="Y759" s="659">
        <v>0.60545981418970352</v>
      </c>
      <c r="Z759" s="658">
        <v>0.63552283999999615</v>
      </c>
      <c r="AA759" s="659">
        <v>2.8695616720676766</v>
      </c>
      <c r="AB759" s="658">
        <v>0.21506586907172559</v>
      </c>
      <c r="AC759" s="660">
        <v>-0.97282661932894032</v>
      </c>
      <c r="AD759" s="682">
        <v>0</v>
      </c>
      <c r="AE759" s="944" t="s">
        <v>1794</v>
      </c>
      <c r="AF759" s="661" t="s">
        <v>1729</v>
      </c>
      <c r="AG759" s="662" t="s">
        <v>1433</v>
      </c>
      <c r="AH759" s="662" t="s">
        <v>1734</v>
      </c>
      <c r="AI759" s="662">
        <v>5000</v>
      </c>
      <c r="AJ759" s="662">
        <v>1000</v>
      </c>
      <c r="AK759" s="662">
        <v>5000</v>
      </c>
      <c r="AL759" s="658">
        <v>2.1000000000000001E-2</v>
      </c>
      <c r="AM759" s="658">
        <v>0.2</v>
      </c>
      <c r="AN759" s="659" t="s">
        <v>666</v>
      </c>
      <c r="AO759" s="253" t="s">
        <v>34</v>
      </c>
      <c r="AP759" s="944" t="s">
        <v>1731</v>
      </c>
      <c r="AQ759" s="663" t="s">
        <v>670</v>
      </c>
      <c r="AR759" s="658">
        <v>3.3333333333333301E-3</v>
      </c>
      <c r="AS759" s="658">
        <v>3.3333333333333301E-3</v>
      </c>
      <c r="AT759" s="658" t="s">
        <v>1417</v>
      </c>
      <c r="AU759" s="658" t="s">
        <v>2751</v>
      </c>
      <c r="AX759"/>
      <c r="AY759"/>
      <c r="BA759"/>
      <c r="BB759"/>
      <c r="BC759"/>
      <c r="BD759"/>
      <c r="BE759"/>
      <c r="BF759"/>
      <c r="BG759"/>
      <c r="BH759"/>
      <c r="BI759"/>
      <c r="BJ759"/>
      <c r="BR759"/>
      <c r="BS759"/>
      <c r="BT759"/>
      <c r="BU759"/>
      <c r="BX759"/>
      <c r="BY759"/>
      <c r="CA759"/>
    </row>
    <row r="760" spans="2:79" ht="18.75">
      <c r="B760" s="252" t="s">
        <v>581</v>
      </c>
      <c r="C760" s="251">
        <v>36947848000170</v>
      </c>
      <c r="D760" s="252" t="s">
        <v>14</v>
      </c>
      <c r="E760" s="252" t="s">
        <v>607</v>
      </c>
      <c r="F760" s="252" t="s">
        <v>1417</v>
      </c>
      <c r="G760" s="253" t="s">
        <v>1417</v>
      </c>
      <c r="H760" s="253" t="s">
        <v>34</v>
      </c>
      <c r="I760" s="253" t="s">
        <v>34</v>
      </c>
      <c r="J760" s="253" t="s">
        <v>611</v>
      </c>
      <c r="K760" s="253" t="s">
        <v>1417</v>
      </c>
      <c r="L760" s="655"/>
      <c r="M760" s="655" t="s">
        <v>1414</v>
      </c>
      <c r="N760" s="253" t="s">
        <v>3363</v>
      </c>
      <c r="O760" s="253" t="s">
        <v>1321</v>
      </c>
      <c r="P760" s="656">
        <v>44022</v>
      </c>
      <c r="Q760" s="657">
        <v>0</v>
      </c>
      <c r="R760" s="657">
        <v>1.7709759386592174</v>
      </c>
      <c r="S760" s="253">
        <v>6</v>
      </c>
      <c r="T760" s="658"/>
      <c r="U760" s="659"/>
      <c r="V760" s="658">
        <v>-0.10056088269291519</v>
      </c>
      <c r="W760" s="659">
        <v>-0.7798808266660624</v>
      </c>
      <c r="X760" s="658">
        <v>-0.13531177781495418</v>
      </c>
      <c r="Y760" s="659">
        <v>-0.70077869279812222</v>
      </c>
      <c r="Z760" s="658"/>
      <c r="AA760" s="659"/>
      <c r="AB760" s="658">
        <v>0.25292755816064494</v>
      </c>
      <c r="AC760" s="660">
        <v>-0.90739338096932631</v>
      </c>
      <c r="AD760" s="682">
        <v>36262399000126</v>
      </c>
      <c r="AE760" s="944" t="s">
        <v>1764</v>
      </c>
      <c r="AF760" s="661" t="s">
        <v>1767</v>
      </c>
      <c r="AG760" s="662" t="s">
        <v>59</v>
      </c>
      <c r="AH760" s="662" t="s">
        <v>1730</v>
      </c>
      <c r="AI760" s="662">
        <v>10000</v>
      </c>
      <c r="AJ760" s="662">
        <v>5000</v>
      </c>
      <c r="AK760" s="662">
        <v>10000</v>
      </c>
      <c r="AL760" s="658">
        <v>1.1000000000000001E-2</v>
      </c>
      <c r="AM760" s="658">
        <v>0</v>
      </c>
      <c r="AN760" s="659" t="s">
        <v>64</v>
      </c>
      <c r="AO760" s="253" t="s">
        <v>34</v>
      </c>
      <c r="AP760" s="944" t="s">
        <v>1746</v>
      </c>
      <c r="AQ760" s="663" t="s">
        <v>679</v>
      </c>
      <c r="AR760" s="658">
        <v>2.9333333333333299E-3</v>
      </c>
      <c r="AS760" s="658">
        <v>2.9333333333333299E-3</v>
      </c>
      <c r="AT760" s="658" t="s">
        <v>1417</v>
      </c>
      <c r="AU760" s="658" t="s">
        <v>2751</v>
      </c>
      <c r="AX760"/>
      <c r="AY760"/>
      <c r="BA760"/>
      <c r="BB760"/>
      <c r="BC760"/>
      <c r="BD760"/>
      <c r="BE760"/>
      <c r="BF760"/>
      <c r="BG760"/>
      <c r="BH760"/>
      <c r="BI760"/>
      <c r="BJ760"/>
      <c r="BR760"/>
      <c r="BS760"/>
      <c r="BT760"/>
      <c r="BU760"/>
      <c r="BX760"/>
      <c r="BY760"/>
      <c r="CA760"/>
    </row>
    <row r="761" spans="2:79" ht="18.75">
      <c r="B761" s="252" t="s">
        <v>218</v>
      </c>
      <c r="C761" s="251">
        <v>8156502000118</v>
      </c>
      <c r="D761" s="252" t="s">
        <v>14</v>
      </c>
      <c r="E761" s="252" t="s">
        <v>607</v>
      </c>
      <c r="F761" s="252" t="s">
        <v>1417</v>
      </c>
      <c r="G761" s="253" t="s">
        <v>1417</v>
      </c>
      <c r="H761" s="253" t="s">
        <v>34</v>
      </c>
      <c r="I761" s="253" t="s">
        <v>34</v>
      </c>
      <c r="J761" s="253" t="s">
        <v>608</v>
      </c>
      <c r="K761" s="253" t="s">
        <v>48</v>
      </c>
      <c r="L761" s="655"/>
      <c r="M761" s="655" t="s">
        <v>34</v>
      </c>
      <c r="N761" s="253" t="s">
        <v>3364</v>
      </c>
      <c r="O761" s="253" t="s">
        <v>1321</v>
      </c>
      <c r="P761" s="656">
        <v>38871</v>
      </c>
      <c r="Q761" s="657">
        <v>0</v>
      </c>
      <c r="R761" s="657">
        <v>74.239060969512167</v>
      </c>
      <c r="S761" s="253">
        <v>32</v>
      </c>
      <c r="T761" s="658"/>
      <c r="U761" s="659"/>
      <c r="V761" s="658">
        <v>0.10626338455561402</v>
      </c>
      <c r="W761" s="659">
        <v>0.82410549681267442</v>
      </c>
      <c r="X761" s="658">
        <v>0.35030029210653524</v>
      </c>
      <c r="Y761" s="659">
        <v>1.814202612317523</v>
      </c>
      <c r="Z761" s="658">
        <v>0.44431195418896263</v>
      </c>
      <c r="AA761" s="659">
        <v>2.0061915543147819</v>
      </c>
      <c r="AB761" s="658">
        <v>0.22885616196151146</v>
      </c>
      <c r="AC761" s="660">
        <v>-9.9103841892571362E-2</v>
      </c>
      <c r="AD761" s="682">
        <v>12987189000137</v>
      </c>
      <c r="AE761" s="944" t="s">
        <v>1784</v>
      </c>
      <c r="AF761" s="661" t="s">
        <v>1745</v>
      </c>
      <c r="AG761" s="662" t="s">
        <v>1432</v>
      </c>
      <c r="AH761" s="662" t="s">
        <v>1730</v>
      </c>
      <c r="AI761" s="662">
        <v>5000</v>
      </c>
      <c r="AJ761" s="662">
        <v>1000</v>
      </c>
      <c r="AK761" s="662">
        <v>1000</v>
      </c>
      <c r="AL761" s="658">
        <v>1.9E-2</v>
      </c>
      <c r="AM761" s="658">
        <v>0.2</v>
      </c>
      <c r="AN761" s="659" t="s">
        <v>64</v>
      </c>
      <c r="AO761" s="253" t="s">
        <v>34</v>
      </c>
      <c r="AP761" s="944" t="s">
        <v>1731</v>
      </c>
      <c r="AQ761" s="663" t="s">
        <v>659</v>
      </c>
      <c r="AR761" s="658">
        <v>4.4333333333333299E-3</v>
      </c>
      <c r="AS761" s="658">
        <v>4.4333333333333299E-3</v>
      </c>
      <c r="AT761" s="658" t="s">
        <v>1417</v>
      </c>
      <c r="AU761" s="658" t="s">
        <v>2751</v>
      </c>
      <c r="AX761"/>
      <c r="AY761"/>
      <c r="BA761"/>
      <c r="BB761"/>
      <c r="BC761"/>
      <c r="BD761"/>
      <c r="BE761"/>
      <c r="BF761"/>
      <c r="BG761"/>
      <c r="BH761"/>
      <c r="BI761"/>
      <c r="BJ761"/>
      <c r="BR761"/>
      <c r="BS761"/>
      <c r="BT761"/>
      <c r="BU761"/>
      <c r="BX761"/>
      <c r="BY761"/>
      <c r="CA761"/>
    </row>
    <row r="762" spans="2:79" ht="18.75">
      <c r="B762" s="252" t="s">
        <v>219</v>
      </c>
      <c r="C762" s="251">
        <v>4437399000123</v>
      </c>
      <c r="D762" s="252" t="s">
        <v>14</v>
      </c>
      <c r="E762" s="252" t="s">
        <v>607</v>
      </c>
      <c r="F762" s="252" t="s">
        <v>1417</v>
      </c>
      <c r="G762" s="253" t="s">
        <v>1417</v>
      </c>
      <c r="H762" s="253" t="s">
        <v>34</v>
      </c>
      <c r="I762" s="253" t="s">
        <v>34</v>
      </c>
      <c r="J762" s="253" t="s">
        <v>608</v>
      </c>
      <c r="K762" s="253" t="s">
        <v>48</v>
      </c>
      <c r="L762" s="655"/>
      <c r="M762" s="655" t="s">
        <v>34</v>
      </c>
      <c r="N762" s="253" t="s">
        <v>3365</v>
      </c>
      <c r="O762" s="253" t="s">
        <v>1324</v>
      </c>
      <c r="P762" s="656">
        <v>41549</v>
      </c>
      <c r="Q762" s="657">
        <v>30.284652000000001</v>
      </c>
      <c r="R762" s="657">
        <v>31.766901574297187</v>
      </c>
      <c r="S762" s="253">
        <v>3</v>
      </c>
      <c r="T762" s="658">
        <v>-5.5605424685733262E-2</v>
      </c>
      <c r="U762" s="659">
        <v>-2.7804964581658487</v>
      </c>
      <c r="V762" s="658">
        <v>-1.6274508500834228E-2</v>
      </c>
      <c r="W762" s="659">
        <v>-0.12621385973682051</v>
      </c>
      <c r="X762" s="658">
        <v>0.20514727655450726</v>
      </c>
      <c r="Y762" s="659">
        <v>1.0624562223368725</v>
      </c>
      <c r="Z762" s="658">
        <v>0.29320546993581798</v>
      </c>
      <c r="AA762" s="659">
        <v>1.3239039191233786</v>
      </c>
      <c r="AB762" s="658">
        <v>0.24121042497585288</v>
      </c>
      <c r="AC762" s="660">
        <v>-0.60204038843744057</v>
      </c>
      <c r="AD762" s="682">
        <v>14213077000154</v>
      </c>
      <c r="AE762" s="944" t="s">
        <v>1784</v>
      </c>
      <c r="AF762" s="661" t="s">
        <v>1745</v>
      </c>
      <c r="AG762" s="662" t="s">
        <v>1432</v>
      </c>
      <c r="AH762" s="662" t="s">
        <v>1734</v>
      </c>
      <c r="AI762" s="662">
        <v>10000</v>
      </c>
      <c r="AJ762" s="662">
        <v>1000</v>
      </c>
      <c r="AK762" s="662">
        <v>1000</v>
      </c>
      <c r="AL762" s="658">
        <v>1.9E-2</v>
      </c>
      <c r="AM762" s="658">
        <v>0.2</v>
      </c>
      <c r="AN762" s="659" t="s">
        <v>666</v>
      </c>
      <c r="AO762" s="253" t="s">
        <v>34</v>
      </c>
      <c r="AP762" s="944" t="s">
        <v>1731</v>
      </c>
      <c r="AQ762" s="663" t="s">
        <v>659</v>
      </c>
      <c r="AR762" s="658">
        <v>4.4333333333333299E-3</v>
      </c>
      <c r="AS762" s="658">
        <v>4.4333333333333299E-3</v>
      </c>
      <c r="AT762" s="658" t="s">
        <v>1417</v>
      </c>
      <c r="AU762" s="658" t="s">
        <v>2751</v>
      </c>
      <c r="AX762"/>
      <c r="AY762"/>
      <c r="BA762"/>
      <c r="BB762"/>
      <c r="BC762"/>
      <c r="BD762"/>
      <c r="BE762"/>
      <c r="BF762"/>
      <c r="BG762"/>
      <c r="BH762"/>
      <c r="BI762"/>
      <c r="BJ762"/>
      <c r="BR762"/>
      <c r="BS762"/>
      <c r="BT762"/>
      <c r="BU762"/>
      <c r="BX762"/>
      <c r="BY762"/>
      <c r="CA762"/>
    </row>
    <row r="763" spans="2:79" ht="18.75">
      <c r="B763" s="252" t="s">
        <v>220</v>
      </c>
      <c r="C763" s="251">
        <v>24623392000103</v>
      </c>
      <c r="D763" s="252" t="s">
        <v>14</v>
      </c>
      <c r="E763" s="252" t="s">
        <v>614</v>
      </c>
      <c r="F763" s="252" t="s">
        <v>1417</v>
      </c>
      <c r="G763" s="253" t="s">
        <v>1417</v>
      </c>
      <c r="H763" s="253" t="s">
        <v>1338</v>
      </c>
      <c r="I763" s="253" t="s">
        <v>34</v>
      </c>
      <c r="J763" s="253" t="s">
        <v>608</v>
      </c>
      <c r="K763" s="253" t="s">
        <v>48</v>
      </c>
      <c r="L763" s="655"/>
      <c r="M763" s="655" t="s">
        <v>34</v>
      </c>
      <c r="N763" s="253" t="s">
        <v>3366</v>
      </c>
      <c r="O763" s="253" t="s">
        <v>1321</v>
      </c>
      <c r="P763" s="656">
        <v>42561</v>
      </c>
      <c r="Q763" s="657">
        <v>16.729528999999999</v>
      </c>
      <c r="R763" s="657">
        <v>18.173304574297195</v>
      </c>
      <c r="S763" s="253">
        <v>14</v>
      </c>
      <c r="T763" s="658">
        <v>-4.5593860226253002E-2</v>
      </c>
      <c r="U763" s="659">
        <v>-2.2798776844110975</v>
      </c>
      <c r="V763" s="658">
        <v>6.2680179421097382E-3</v>
      </c>
      <c r="W763" s="659">
        <v>4.8610422694655299E-2</v>
      </c>
      <c r="X763" s="658">
        <v>0.1748938407052596</v>
      </c>
      <c r="Y763" s="659">
        <v>0.90577390266414581</v>
      </c>
      <c r="Z763" s="658">
        <v>0.45780075287282629</v>
      </c>
      <c r="AA763" s="659">
        <v>2.0670972169742896</v>
      </c>
      <c r="AB763" s="658">
        <v>0.24110418641585912</v>
      </c>
      <c r="AC763" s="660">
        <v>-0.50880863301596058</v>
      </c>
      <c r="AD763" s="682">
        <v>0</v>
      </c>
      <c r="AE763" s="944" t="s">
        <v>1784</v>
      </c>
      <c r="AF763" s="661" t="s">
        <v>1745</v>
      </c>
      <c r="AG763" s="662" t="s">
        <v>1432</v>
      </c>
      <c r="AH763" s="662" t="s">
        <v>1734</v>
      </c>
      <c r="AI763" s="662">
        <v>5000</v>
      </c>
      <c r="AJ763" s="662">
        <v>1000</v>
      </c>
      <c r="AK763" s="662">
        <v>1000</v>
      </c>
      <c r="AL763" s="658">
        <v>0.02</v>
      </c>
      <c r="AM763" s="658">
        <v>0.2</v>
      </c>
      <c r="AN763" s="659" t="s">
        <v>64</v>
      </c>
      <c r="AO763" s="253" t="s">
        <v>34</v>
      </c>
      <c r="AP763" s="944" t="s">
        <v>1746</v>
      </c>
      <c r="AQ763" s="663" t="s">
        <v>668</v>
      </c>
      <c r="AR763" s="658">
        <v>4.6666666666666697E-3</v>
      </c>
      <c r="AS763" s="658">
        <v>4.6666666666666697E-3</v>
      </c>
      <c r="AT763" s="658" t="s">
        <v>1417</v>
      </c>
      <c r="AU763" s="658" t="s">
        <v>2751</v>
      </c>
      <c r="AX763"/>
      <c r="AY763"/>
      <c r="BA763"/>
      <c r="BB763"/>
      <c r="BC763"/>
      <c r="BD763"/>
      <c r="BE763"/>
      <c r="BF763"/>
      <c r="BG763"/>
      <c r="BH763"/>
      <c r="BI763"/>
      <c r="BJ763"/>
      <c r="BR763"/>
      <c r="BS763"/>
      <c r="BT763"/>
      <c r="BU763"/>
      <c r="BX763"/>
      <c r="BY763"/>
      <c r="CA763"/>
    </row>
    <row r="764" spans="2:79" ht="18.75">
      <c r="B764" s="252" t="s">
        <v>221</v>
      </c>
      <c r="C764" s="251">
        <v>8830947000131</v>
      </c>
      <c r="D764" s="252" t="s">
        <v>14</v>
      </c>
      <c r="E764" s="252" t="s">
        <v>607</v>
      </c>
      <c r="F764" s="252" t="s">
        <v>1417</v>
      </c>
      <c r="G764" s="253" t="s">
        <v>1417</v>
      </c>
      <c r="H764" s="253" t="s">
        <v>34</v>
      </c>
      <c r="I764" s="253" t="s">
        <v>34</v>
      </c>
      <c r="J764" s="253" t="s">
        <v>608</v>
      </c>
      <c r="K764" s="253" t="s">
        <v>48</v>
      </c>
      <c r="L764" s="655"/>
      <c r="M764" s="655" t="s">
        <v>34</v>
      </c>
      <c r="N764" s="253" t="s">
        <v>3367</v>
      </c>
      <c r="O764" s="253" t="s">
        <v>1321</v>
      </c>
      <c r="P764" s="656">
        <v>39190</v>
      </c>
      <c r="Q764" s="657">
        <v>826.70443899999998</v>
      </c>
      <c r="R764" s="657">
        <v>809.87536229435477</v>
      </c>
      <c r="S764" s="253">
        <v>31</v>
      </c>
      <c r="T764" s="658">
        <v>-5.5592859157430063E-2</v>
      </c>
      <c r="U764" s="659">
        <v>-2.7798681308553479</v>
      </c>
      <c r="V764" s="658">
        <v>-1.8399051677205791E-2</v>
      </c>
      <c r="W764" s="659">
        <v>-0.14269035083660606</v>
      </c>
      <c r="X764" s="658">
        <v>0.18683916471680795</v>
      </c>
      <c r="Y764" s="659">
        <v>0.96763864704220504</v>
      </c>
      <c r="Z764" s="658">
        <v>0.26452435140863195</v>
      </c>
      <c r="AA764" s="659">
        <v>1.1944007238682031</v>
      </c>
      <c r="AB764" s="658">
        <v>0.22803261948261733</v>
      </c>
      <c r="AC764" s="660">
        <v>-0.64614861443200644</v>
      </c>
      <c r="AD764" s="682">
        <v>14213077000154</v>
      </c>
      <c r="AE764" s="944" t="s">
        <v>1784</v>
      </c>
      <c r="AF764" s="661" t="s">
        <v>1745</v>
      </c>
      <c r="AG764" s="662" t="s">
        <v>1432</v>
      </c>
      <c r="AH764" s="662" t="s">
        <v>1734</v>
      </c>
      <c r="AI764" s="662">
        <v>5000</v>
      </c>
      <c r="AJ764" s="662">
        <v>1000</v>
      </c>
      <c r="AK764" s="662">
        <v>1000</v>
      </c>
      <c r="AL764" s="658">
        <v>1.9E-2</v>
      </c>
      <c r="AM764" s="658">
        <v>0.2</v>
      </c>
      <c r="AN764" s="659" t="s">
        <v>666</v>
      </c>
      <c r="AO764" s="253" t="s">
        <v>34</v>
      </c>
      <c r="AP764" s="944" t="s">
        <v>1731</v>
      </c>
      <c r="AQ764" s="663" t="s">
        <v>659</v>
      </c>
      <c r="AR764" s="658">
        <v>4.4333333333333299E-3</v>
      </c>
      <c r="AS764" s="658">
        <v>4.4333333333333299E-3</v>
      </c>
      <c r="AT764" s="658" t="s">
        <v>1417</v>
      </c>
      <c r="AU764" s="658" t="s">
        <v>2751</v>
      </c>
      <c r="AX764"/>
      <c r="AY764"/>
      <c r="BA764"/>
      <c r="BB764"/>
      <c r="BC764"/>
      <c r="BD764"/>
      <c r="BE764"/>
      <c r="BF764"/>
      <c r="BG764"/>
      <c r="BH764"/>
      <c r="BI764"/>
      <c r="BJ764"/>
      <c r="BR764"/>
      <c r="BS764"/>
      <c r="BT764"/>
      <c r="BU764"/>
      <c r="BX764"/>
      <c r="BY764"/>
      <c r="CA764"/>
    </row>
    <row r="765" spans="2:79" ht="18.75">
      <c r="B765" s="252" t="s">
        <v>967</v>
      </c>
      <c r="C765" s="251">
        <v>41252582000180</v>
      </c>
      <c r="D765" s="252" t="s">
        <v>13</v>
      </c>
      <c r="E765" s="252" t="s">
        <v>616</v>
      </c>
      <c r="F765" s="252" t="s">
        <v>619</v>
      </c>
      <c r="G765" s="253" t="s">
        <v>34</v>
      </c>
      <c r="H765" s="253" t="s">
        <v>1338</v>
      </c>
      <c r="I765" s="253" t="s">
        <v>34</v>
      </c>
      <c r="J765" s="253" t="s">
        <v>1417</v>
      </c>
      <c r="K765" s="253" t="s">
        <v>1417</v>
      </c>
      <c r="L765" s="655"/>
      <c r="M765" s="655" t="s">
        <v>34</v>
      </c>
      <c r="N765" s="253" t="s">
        <v>3368</v>
      </c>
      <c r="O765" s="253" t="s">
        <v>1321</v>
      </c>
      <c r="P765" s="656">
        <v>44286</v>
      </c>
      <c r="Q765" s="657">
        <v>0</v>
      </c>
      <c r="R765" s="657">
        <v>0</v>
      </c>
      <c r="S765" s="253">
        <v>30</v>
      </c>
      <c r="T765" s="658"/>
      <c r="U765" s="659"/>
      <c r="V765" s="658"/>
      <c r="W765" s="659"/>
      <c r="X765" s="658"/>
      <c r="Y765" s="659"/>
      <c r="Z765" s="658"/>
      <c r="AA765" s="659"/>
      <c r="AB765" s="658"/>
      <c r="AC765" s="660"/>
      <c r="AD765" s="682">
        <v>41252413000140</v>
      </c>
      <c r="AE765" s="944" t="s">
        <v>2056</v>
      </c>
      <c r="AF765" s="661" t="s">
        <v>1769</v>
      </c>
      <c r="AG765" s="662" t="s">
        <v>719</v>
      </c>
      <c r="AH765" s="662" t="s">
        <v>1730</v>
      </c>
      <c r="AI765" s="662">
        <v>10000</v>
      </c>
      <c r="AJ765" s="662">
        <v>5000</v>
      </c>
      <c r="AK765" s="662">
        <v>5000</v>
      </c>
      <c r="AL765" s="658">
        <v>1.8700000000000001E-2</v>
      </c>
      <c r="AM765" s="658">
        <v>0.2</v>
      </c>
      <c r="AN765" s="659" t="s">
        <v>64</v>
      </c>
      <c r="AO765" s="253" t="s">
        <v>34</v>
      </c>
      <c r="AP765" s="944" t="s">
        <v>1746</v>
      </c>
      <c r="AQ765" s="663" t="s">
        <v>679</v>
      </c>
      <c r="AR765" s="658">
        <v>4.9872900000000001E-3</v>
      </c>
      <c r="AS765" s="658">
        <v>4.9872900000000001E-3</v>
      </c>
      <c r="AT765" s="658" t="s">
        <v>1417</v>
      </c>
      <c r="AU765" s="658" t="s">
        <v>2751</v>
      </c>
      <c r="AX765"/>
      <c r="AY765"/>
      <c r="BA765"/>
      <c r="BB765"/>
      <c r="BC765"/>
      <c r="BD765"/>
      <c r="BE765"/>
      <c r="BF765"/>
      <c r="BG765"/>
      <c r="BH765"/>
      <c r="BI765"/>
      <c r="BJ765"/>
      <c r="BR765"/>
      <c r="BS765"/>
      <c r="BT765"/>
      <c r="BU765"/>
      <c r="BX765"/>
      <c r="BY765"/>
      <c r="CA765"/>
    </row>
    <row r="766" spans="2:79" ht="18.75">
      <c r="B766" s="252" t="s">
        <v>968</v>
      </c>
      <c r="C766" s="251">
        <v>42084858000121</v>
      </c>
      <c r="D766" s="252" t="s">
        <v>13</v>
      </c>
      <c r="E766" s="252" t="s">
        <v>616</v>
      </c>
      <c r="F766" s="252" t="s">
        <v>619</v>
      </c>
      <c r="G766" s="253" t="s">
        <v>34</v>
      </c>
      <c r="H766" s="253" t="s">
        <v>865</v>
      </c>
      <c r="I766" s="253" t="s">
        <v>34</v>
      </c>
      <c r="J766" s="253" t="s">
        <v>1417</v>
      </c>
      <c r="K766" s="253" t="s">
        <v>1417</v>
      </c>
      <c r="L766" s="655"/>
      <c r="M766" s="655" t="s">
        <v>34</v>
      </c>
      <c r="N766" s="253" t="s">
        <v>3369</v>
      </c>
      <c r="O766" s="253" t="s">
        <v>1321</v>
      </c>
      <c r="P766" s="656">
        <v>44395</v>
      </c>
      <c r="Q766" s="657">
        <v>1.61069331</v>
      </c>
      <c r="R766" s="657">
        <v>2.8317350109139787</v>
      </c>
      <c r="S766" s="253">
        <v>5</v>
      </c>
      <c r="T766" s="658">
        <v>-5.8470901634418704E-3</v>
      </c>
      <c r="U766" s="659">
        <v>-0.29237819119107955</v>
      </c>
      <c r="V766" s="658">
        <v>-2.7487826934808779E-2</v>
      </c>
      <c r="W766" s="659">
        <v>-0.21317662115830494</v>
      </c>
      <c r="X766" s="658"/>
      <c r="Y766" s="659"/>
      <c r="Z766" s="658"/>
      <c r="AA766" s="659"/>
      <c r="AB766" s="658">
        <v>6.523503487536074E-2</v>
      </c>
      <c r="AC766" s="660">
        <v>-2.3979712232924912</v>
      </c>
      <c r="AD766" s="682">
        <v>42084903000148</v>
      </c>
      <c r="AE766" s="944" t="s">
        <v>2056</v>
      </c>
      <c r="AF766" s="661" t="s">
        <v>1769</v>
      </c>
      <c r="AG766" s="662" t="s">
        <v>719</v>
      </c>
      <c r="AH766" s="662" t="s">
        <v>1801</v>
      </c>
      <c r="AI766" s="662">
        <v>10000</v>
      </c>
      <c r="AJ766" s="662">
        <v>5000</v>
      </c>
      <c r="AK766" s="662">
        <v>5000</v>
      </c>
      <c r="AL766" s="658">
        <v>0</v>
      </c>
      <c r="AM766" s="658">
        <v>0</v>
      </c>
      <c r="AN766" s="659" t="s">
        <v>64</v>
      </c>
      <c r="AO766" s="253" t="s">
        <v>34</v>
      </c>
      <c r="AP766" s="944" t="s">
        <v>1746</v>
      </c>
      <c r="AQ766" s="663" t="s">
        <v>668</v>
      </c>
      <c r="AR766" s="658">
        <v>4.9872900000000001E-3</v>
      </c>
      <c r="AS766" s="658">
        <v>4.9872900000000001E-3</v>
      </c>
      <c r="AT766" s="658" t="s">
        <v>1417</v>
      </c>
      <c r="AU766" s="658" t="s">
        <v>2751</v>
      </c>
      <c r="AX766"/>
      <c r="AY766"/>
      <c r="BA766"/>
      <c r="BB766"/>
      <c r="BC766"/>
      <c r="BD766"/>
      <c r="BE766"/>
      <c r="BF766"/>
      <c r="BG766"/>
      <c r="BH766"/>
      <c r="BI766"/>
      <c r="BJ766"/>
      <c r="BR766"/>
      <c r="BS766"/>
      <c r="BT766"/>
      <c r="BU766"/>
      <c r="BX766"/>
      <c r="BY766"/>
      <c r="CA766"/>
    </row>
    <row r="767" spans="2:79" ht="18.75">
      <c r="B767" s="252" t="s">
        <v>969</v>
      </c>
      <c r="C767" s="251">
        <v>33736845000107</v>
      </c>
      <c r="D767" s="252" t="s">
        <v>13</v>
      </c>
      <c r="E767" s="252" t="s">
        <v>616</v>
      </c>
      <c r="F767" s="252" t="s">
        <v>701</v>
      </c>
      <c r="G767" s="253" t="s">
        <v>1417</v>
      </c>
      <c r="H767" s="253" t="s">
        <v>34</v>
      </c>
      <c r="I767" s="253" t="s">
        <v>34</v>
      </c>
      <c r="J767" s="253" t="s">
        <v>611</v>
      </c>
      <c r="K767" s="253" t="s">
        <v>49</v>
      </c>
      <c r="L767" s="655"/>
      <c r="M767" s="655" t="s">
        <v>34</v>
      </c>
      <c r="N767" s="253" t="s">
        <v>3370</v>
      </c>
      <c r="O767" s="253" t="s">
        <v>1321</v>
      </c>
      <c r="P767" s="656">
        <v>43677</v>
      </c>
      <c r="Q767" s="657">
        <v>0</v>
      </c>
      <c r="R767" s="657">
        <v>0</v>
      </c>
      <c r="S767" s="253">
        <v>15</v>
      </c>
      <c r="T767" s="658"/>
      <c r="U767" s="659"/>
      <c r="V767" s="658"/>
      <c r="W767" s="659"/>
      <c r="X767" s="658"/>
      <c r="Y767" s="659"/>
      <c r="Z767" s="658"/>
      <c r="AA767" s="659"/>
      <c r="AB767" s="658"/>
      <c r="AC767" s="660"/>
      <c r="AD767" s="682">
        <v>0</v>
      </c>
      <c r="AE767" s="944" t="s">
        <v>2617</v>
      </c>
      <c r="AF767" s="661" t="s">
        <v>1745</v>
      </c>
      <c r="AG767" s="662" t="s">
        <v>1432</v>
      </c>
      <c r="AH767" s="662" t="s">
        <v>1801</v>
      </c>
      <c r="AI767" s="662">
        <v>500</v>
      </c>
      <c r="AJ767" s="662">
        <v>100</v>
      </c>
      <c r="AK767" s="662">
        <v>100</v>
      </c>
      <c r="AL767" s="658">
        <v>0.01</v>
      </c>
      <c r="AM767" s="658">
        <v>0</v>
      </c>
      <c r="AN767" s="659" t="s">
        <v>34</v>
      </c>
      <c r="AO767" s="253" t="s">
        <v>34</v>
      </c>
      <c r="AP767" s="944" t="s">
        <v>1746</v>
      </c>
      <c r="AQ767" s="663" t="s">
        <v>671</v>
      </c>
      <c r="AR767" s="658">
        <v>6.6666666666666697E-3</v>
      </c>
      <c r="AS767" s="658">
        <v>6.6666666666666697E-3</v>
      </c>
      <c r="AT767" s="658" t="s">
        <v>1417</v>
      </c>
      <c r="AU767" s="658" t="s">
        <v>2751</v>
      </c>
      <c r="AX767"/>
      <c r="AY767"/>
      <c r="BA767"/>
      <c r="BB767"/>
      <c r="BC767"/>
      <c r="BD767"/>
      <c r="BE767"/>
      <c r="BF767"/>
      <c r="BG767"/>
      <c r="BH767"/>
      <c r="BI767"/>
      <c r="BJ767"/>
      <c r="BR767"/>
      <c r="BS767"/>
      <c r="BT767"/>
      <c r="BU767"/>
      <c r="BX767"/>
      <c r="BY767"/>
      <c r="CA767"/>
    </row>
    <row r="768" spans="2:79" ht="18.75">
      <c r="B768" s="252" t="s">
        <v>970</v>
      </c>
      <c r="C768" s="251">
        <v>33736873000116</v>
      </c>
      <c r="D768" s="252" t="s">
        <v>13</v>
      </c>
      <c r="E768" s="252" t="s">
        <v>616</v>
      </c>
      <c r="F768" s="252" t="s">
        <v>701</v>
      </c>
      <c r="G768" s="253" t="s">
        <v>1417</v>
      </c>
      <c r="H768" s="253" t="s">
        <v>34</v>
      </c>
      <c r="I768" s="253" t="s">
        <v>34</v>
      </c>
      <c r="J768" s="253" t="s">
        <v>611</v>
      </c>
      <c r="K768" s="253" t="s">
        <v>49</v>
      </c>
      <c r="L768" s="655"/>
      <c r="M768" s="655" t="s">
        <v>34</v>
      </c>
      <c r="N768" s="253" t="s">
        <v>3371</v>
      </c>
      <c r="O768" s="253" t="s">
        <v>1321</v>
      </c>
      <c r="P768" s="656">
        <v>43647</v>
      </c>
      <c r="Q768" s="657">
        <v>0</v>
      </c>
      <c r="R768" s="657">
        <v>0</v>
      </c>
      <c r="S768" s="253">
        <v>6</v>
      </c>
      <c r="T768" s="658"/>
      <c r="U768" s="659"/>
      <c r="V768" s="658"/>
      <c r="W768" s="659"/>
      <c r="X768" s="658"/>
      <c r="Y768" s="659"/>
      <c r="Z768" s="658"/>
      <c r="AA768" s="659"/>
      <c r="AB768" s="658"/>
      <c r="AC768" s="660"/>
      <c r="AD768" s="682">
        <v>33736782000180</v>
      </c>
      <c r="AE768" s="944" t="s">
        <v>2617</v>
      </c>
      <c r="AF768" s="661" t="s">
        <v>1745</v>
      </c>
      <c r="AG768" s="662" t="s">
        <v>1432</v>
      </c>
      <c r="AH768" s="662" t="s">
        <v>1734</v>
      </c>
      <c r="AI768" s="662">
        <v>500</v>
      </c>
      <c r="AJ768" s="662">
        <v>100</v>
      </c>
      <c r="AK768" s="662">
        <v>100</v>
      </c>
      <c r="AL768" s="658">
        <v>0.01</v>
      </c>
      <c r="AM768" s="658">
        <v>0</v>
      </c>
      <c r="AN768" s="659" t="s">
        <v>64</v>
      </c>
      <c r="AO768" s="253" t="s">
        <v>34</v>
      </c>
      <c r="AP768" s="944" t="s">
        <v>1746</v>
      </c>
      <c r="AQ768" s="663" t="s">
        <v>671</v>
      </c>
      <c r="AR768" s="658">
        <v>4.5333333333333302E-3</v>
      </c>
      <c r="AS768" s="658">
        <v>4.5333333333333302E-3</v>
      </c>
      <c r="AT768" s="658" t="s">
        <v>1417</v>
      </c>
      <c r="AU768" s="658" t="s">
        <v>2751</v>
      </c>
      <c r="AX768"/>
      <c r="AY768"/>
      <c r="BA768"/>
      <c r="BB768"/>
      <c r="BC768"/>
      <c r="BD768"/>
      <c r="BE768"/>
      <c r="BF768"/>
      <c r="BG768"/>
      <c r="BH768"/>
      <c r="BI768"/>
      <c r="BJ768"/>
      <c r="BR768"/>
      <c r="BS768"/>
      <c r="BT768"/>
      <c r="BU768"/>
      <c r="BX768"/>
      <c r="BY768"/>
      <c r="CA768"/>
    </row>
    <row r="769" spans="2:79" ht="18.75">
      <c r="B769" s="252" t="s">
        <v>971</v>
      </c>
      <c r="C769" s="251">
        <v>35088108000162</v>
      </c>
      <c r="D769" s="252" t="s">
        <v>13</v>
      </c>
      <c r="E769" s="252" t="s">
        <v>616</v>
      </c>
      <c r="F769" s="252" t="s">
        <v>701</v>
      </c>
      <c r="G769" s="253" t="s">
        <v>1417</v>
      </c>
      <c r="H769" s="253" t="s">
        <v>34</v>
      </c>
      <c r="I769" s="253" t="s">
        <v>34</v>
      </c>
      <c r="J769" s="253" t="s">
        <v>611</v>
      </c>
      <c r="K769" s="253" t="s">
        <v>49</v>
      </c>
      <c r="L769" s="655"/>
      <c r="M769" s="655" t="s">
        <v>34</v>
      </c>
      <c r="N769" s="253" t="s">
        <v>3372</v>
      </c>
      <c r="O769" s="253" t="s">
        <v>1321</v>
      </c>
      <c r="P769" s="656">
        <v>43811</v>
      </c>
      <c r="Q769" s="657">
        <v>0</v>
      </c>
      <c r="R769" s="657">
        <v>0</v>
      </c>
      <c r="S769" s="253">
        <v>6</v>
      </c>
      <c r="T769" s="658"/>
      <c r="U769" s="659"/>
      <c r="V769" s="658"/>
      <c r="W769" s="659"/>
      <c r="X769" s="658"/>
      <c r="Y769" s="659"/>
      <c r="Z769" s="658"/>
      <c r="AA769" s="659"/>
      <c r="AB769" s="658"/>
      <c r="AC769" s="660"/>
      <c r="AD769" s="682">
        <v>35001472000143</v>
      </c>
      <c r="AE769" s="944" t="s">
        <v>2617</v>
      </c>
      <c r="AF769" s="661" t="s">
        <v>1745</v>
      </c>
      <c r="AG769" s="662" t="s">
        <v>1432</v>
      </c>
      <c r="AH769" s="662" t="s">
        <v>1734</v>
      </c>
      <c r="AI769" s="662">
        <v>500</v>
      </c>
      <c r="AJ769" s="662">
        <v>100</v>
      </c>
      <c r="AK769" s="662">
        <v>100</v>
      </c>
      <c r="AL769" s="658">
        <v>0.01</v>
      </c>
      <c r="AM769" s="658">
        <v>0</v>
      </c>
      <c r="AN769" s="659" t="s">
        <v>64</v>
      </c>
      <c r="AO769" s="253" t="s">
        <v>34</v>
      </c>
      <c r="AP769" s="944" t="s">
        <v>1746</v>
      </c>
      <c r="AQ769" s="663" t="s">
        <v>671</v>
      </c>
      <c r="AR769" s="658">
        <v>5.0000000000000001E-3</v>
      </c>
      <c r="AS769" s="658">
        <v>5.0000000000000001E-3</v>
      </c>
      <c r="AT769" s="658" t="s">
        <v>1417</v>
      </c>
      <c r="AU769" s="658" t="s">
        <v>2751</v>
      </c>
      <c r="AX769"/>
      <c r="AY769"/>
      <c r="BA769"/>
      <c r="BB769"/>
      <c r="BC769"/>
      <c r="BD769"/>
      <c r="BE769"/>
      <c r="BF769"/>
      <c r="BG769"/>
      <c r="BH769"/>
      <c r="BI769"/>
      <c r="BJ769"/>
      <c r="BR769"/>
      <c r="BS769"/>
      <c r="BT769"/>
      <c r="BU769"/>
      <c r="BX769"/>
      <c r="BY769"/>
      <c r="CA769"/>
    </row>
    <row r="770" spans="2:79" ht="18.75">
      <c r="B770" s="252" t="s">
        <v>972</v>
      </c>
      <c r="C770" s="251">
        <v>36986672000165</v>
      </c>
      <c r="D770" s="252" t="s">
        <v>13</v>
      </c>
      <c r="E770" s="252" t="s">
        <v>616</v>
      </c>
      <c r="F770" s="252" t="s">
        <v>701</v>
      </c>
      <c r="G770" s="253" t="s">
        <v>1417</v>
      </c>
      <c r="H770" s="253" t="s">
        <v>34</v>
      </c>
      <c r="I770" s="253" t="s">
        <v>34</v>
      </c>
      <c r="J770" s="253" t="s">
        <v>611</v>
      </c>
      <c r="K770" s="253" t="s">
        <v>49</v>
      </c>
      <c r="L770" s="655"/>
      <c r="M770" s="655" t="s">
        <v>1414</v>
      </c>
      <c r="N770" s="253" t="s">
        <v>3373</v>
      </c>
      <c r="O770" s="253" t="s">
        <v>1321</v>
      </c>
      <c r="P770" s="656">
        <v>44105</v>
      </c>
      <c r="Q770" s="657">
        <v>0</v>
      </c>
      <c r="R770" s="657">
        <v>0</v>
      </c>
      <c r="S770" s="253">
        <v>6</v>
      </c>
      <c r="T770" s="658"/>
      <c r="U770" s="659"/>
      <c r="V770" s="658"/>
      <c r="W770" s="659"/>
      <c r="X770" s="658"/>
      <c r="Y770" s="659"/>
      <c r="Z770" s="658"/>
      <c r="AA770" s="659"/>
      <c r="AB770" s="658"/>
      <c r="AC770" s="660"/>
      <c r="AD770" s="682">
        <v>38167819000110</v>
      </c>
      <c r="AE770" s="944" t="s">
        <v>2617</v>
      </c>
      <c r="AF770" s="661" t="s">
        <v>1745</v>
      </c>
      <c r="AG770" s="662" t="s">
        <v>1432</v>
      </c>
      <c r="AH770" s="662" t="s">
        <v>1734</v>
      </c>
      <c r="AI770" s="662">
        <v>500</v>
      </c>
      <c r="AJ770" s="662">
        <v>100</v>
      </c>
      <c r="AK770" s="662">
        <v>100</v>
      </c>
      <c r="AL770" s="658">
        <v>6.9999999999999993E-3</v>
      </c>
      <c r="AM770" s="658">
        <v>0</v>
      </c>
      <c r="AN770" s="659" t="s">
        <v>2122</v>
      </c>
      <c r="AO770" s="253" t="s">
        <v>34</v>
      </c>
      <c r="AP770" s="944" t="s">
        <v>1746</v>
      </c>
      <c r="AQ770" s="663" t="s">
        <v>671</v>
      </c>
      <c r="AR770" s="658">
        <v>3.5000000000000001E-3</v>
      </c>
      <c r="AS770" s="658">
        <v>3.5000000000000001E-3</v>
      </c>
      <c r="AT770" s="658" t="s">
        <v>1417</v>
      </c>
      <c r="AU770" s="658" t="s">
        <v>2751</v>
      </c>
      <c r="AX770"/>
      <c r="AY770"/>
      <c r="BA770"/>
      <c r="BB770"/>
      <c r="BC770"/>
      <c r="BD770"/>
      <c r="BE770"/>
      <c r="BF770"/>
      <c r="BG770"/>
      <c r="BH770"/>
      <c r="BI770"/>
      <c r="BJ770"/>
      <c r="BR770"/>
      <c r="BS770"/>
      <c r="BT770"/>
      <c r="BU770"/>
      <c r="BX770"/>
      <c r="BY770"/>
      <c r="CA770"/>
    </row>
    <row r="771" spans="2:79" ht="18.75">
      <c r="B771" s="252" t="s">
        <v>222</v>
      </c>
      <c r="C771" s="251">
        <v>39957930000173</v>
      </c>
      <c r="D771" s="252" t="s">
        <v>13</v>
      </c>
      <c r="E771" s="252" t="s">
        <v>616</v>
      </c>
      <c r="F771" s="252" t="s">
        <v>701</v>
      </c>
      <c r="G771" s="253" t="s">
        <v>1417</v>
      </c>
      <c r="H771" s="253" t="s">
        <v>34</v>
      </c>
      <c r="I771" s="253" t="s">
        <v>34</v>
      </c>
      <c r="J771" s="253" t="s">
        <v>611</v>
      </c>
      <c r="K771" s="253" t="s">
        <v>49</v>
      </c>
      <c r="L771" s="655"/>
      <c r="M771" s="655" t="s">
        <v>1414</v>
      </c>
      <c r="N771" s="253" t="s">
        <v>3374</v>
      </c>
      <c r="O771" s="253" t="s">
        <v>1321</v>
      </c>
      <c r="P771" s="656">
        <v>44195</v>
      </c>
      <c r="Q771" s="657">
        <v>0</v>
      </c>
      <c r="R771" s="657">
        <v>0</v>
      </c>
      <c r="S771" s="253">
        <v>6</v>
      </c>
      <c r="T771" s="658"/>
      <c r="U771" s="659"/>
      <c r="V771" s="658"/>
      <c r="W771" s="659"/>
      <c r="X771" s="658"/>
      <c r="Y771" s="659"/>
      <c r="Z771" s="658"/>
      <c r="AA771" s="659"/>
      <c r="AB771" s="658"/>
      <c r="AC771" s="660"/>
      <c r="AD771" s="682">
        <v>0</v>
      </c>
      <c r="AE771" s="944" t="s">
        <v>2617</v>
      </c>
      <c r="AF771" s="661" t="s">
        <v>1745</v>
      </c>
      <c r="AG771" s="662" t="s">
        <v>1432</v>
      </c>
      <c r="AH771" s="662" t="s">
        <v>1734</v>
      </c>
      <c r="AI771" s="662">
        <v>0</v>
      </c>
      <c r="AJ771" s="662">
        <v>0</v>
      </c>
      <c r="AK771" s="662">
        <v>0</v>
      </c>
      <c r="AL771" s="658">
        <v>1.3500000000000002E-2</v>
      </c>
      <c r="AM771" s="658">
        <v>0.2</v>
      </c>
      <c r="AN771" s="659" t="s">
        <v>34</v>
      </c>
      <c r="AO771" s="253" t="s">
        <v>34</v>
      </c>
      <c r="AP771" s="944" t="s">
        <v>1746</v>
      </c>
      <c r="AQ771" s="663" t="s">
        <v>671</v>
      </c>
      <c r="AR771" s="658">
        <v>1.8E-3</v>
      </c>
      <c r="AS771" s="658">
        <v>1.8E-3</v>
      </c>
      <c r="AT771" s="658" t="s">
        <v>1417</v>
      </c>
      <c r="AU771" s="658" t="s">
        <v>2751</v>
      </c>
      <c r="AX771"/>
      <c r="AY771"/>
      <c r="BA771"/>
      <c r="BB771"/>
      <c r="BC771"/>
      <c r="BD771"/>
      <c r="BE771"/>
      <c r="BF771"/>
      <c r="BG771"/>
      <c r="BH771"/>
      <c r="BI771"/>
      <c r="BJ771"/>
      <c r="BR771"/>
      <c r="BS771"/>
      <c r="BT771"/>
      <c r="BU771"/>
      <c r="BX771"/>
      <c r="BY771"/>
      <c r="CA771"/>
    </row>
    <row r="772" spans="2:79" ht="18.75">
      <c r="B772" s="252" t="s">
        <v>223</v>
      </c>
      <c r="C772" s="251">
        <v>29720571000182</v>
      </c>
      <c r="D772" s="252" t="s">
        <v>14</v>
      </c>
      <c r="E772" s="252" t="s">
        <v>15</v>
      </c>
      <c r="F772" s="252" t="s">
        <v>16</v>
      </c>
      <c r="G772" s="253" t="s">
        <v>1417</v>
      </c>
      <c r="H772" s="253" t="s">
        <v>34</v>
      </c>
      <c r="I772" s="253" t="s">
        <v>34</v>
      </c>
      <c r="J772" s="253" t="s">
        <v>690</v>
      </c>
      <c r="K772" s="253" t="s">
        <v>48</v>
      </c>
      <c r="L772" s="655"/>
      <c r="M772" s="655" t="s">
        <v>1414</v>
      </c>
      <c r="N772" s="253" t="s">
        <v>3375</v>
      </c>
      <c r="O772" s="253" t="s">
        <v>1321</v>
      </c>
      <c r="P772" s="656">
        <v>43187</v>
      </c>
      <c r="Q772" s="657">
        <v>185.49273106999999</v>
      </c>
      <c r="R772" s="657">
        <v>216.46802697340325</v>
      </c>
      <c r="S772" s="253">
        <v>121</v>
      </c>
      <c r="T772" s="658">
        <v>1.5470272216488778E-2</v>
      </c>
      <c r="U772" s="659">
        <v>0.77357627152238961</v>
      </c>
      <c r="V772" s="658">
        <v>0.16917208923541938</v>
      </c>
      <c r="W772" s="659">
        <v>1.3119820080004019</v>
      </c>
      <c r="X772" s="658">
        <v>0.34802692440461458</v>
      </c>
      <c r="Y772" s="659">
        <v>1.8024288578659327</v>
      </c>
      <c r="Z772" s="658">
        <v>0.57012030353717402</v>
      </c>
      <c r="AA772" s="659">
        <v>2.5742511024432644</v>
      </c>
      <c r="AB772" s="658">
        <v>9.3802278112502784E-3</v>
      </c>
      <c r="AC772" s="660">
        <v>4.2886143703656021</v>
      </c>
      <c r="AD772" s="682">
        <v>0</v>
      </c>
      <c r="AE772" s="944" t="s">
        <v>1974</v>
      </c>
      <c r="AF772" s="661" t="s">
        <v>1937</v>
      </c>
      <c r="AG772" s="662" t="s">
        <v>973</v>
      </c>
      <c r="AH772" s="662" t="s">
        <v>1801</v>
      </c>
      <c r="AI772" s="662">
        <v>10000</v>
      </c>
      <c r="AJ772" s="662">
        <v>1000</v>
      </c>
      <c r="AK772" s="662">
        <v>10000</v>
      </c>
      <c r="AL772" s="658">
        <v>1.6E-2</v>
      </c>
      <c r="AM772" s="658">
        <v>0.2</v>
      </c>
      <c r="AN772" s="659" t="s">
        <v>2122</v>
      </c>
      <c r="AO772" s="253" t="s">
        <v>34</v>
      </c>
      <c r="AP772" s="944" t="s">
        <v>1746</v>
      </c>
      <c r="AQ772" s="663" t="s">
        <v>668</v>
      </c>
      <c r="AR772" s="658">
        <v>3.2000000000000002E-3</v>
      </c>
      <c r="AS772" s="658">
        <v>3.2000000000000002E-3</v>
      </c>
      <c r="AT772" s="658" t="s">
        <v>1417</v>
      </c>
      <c r="AU772" s="658" t="s">
        <v>2751</v>
      </c>
      <c r="AX772"/>
      <c r="AY772"/>
      <c r="BA772"/>
      <c r="BB772"/>
      <c r="BC772"/>
      <c r="BD772"/>
      <c r="BE772"/>
      <c r="BF772"/>
      <c r="BG772"/>
      <c r="BH772"/>
      <c r="BI772"/>
      <c r="BJ772"/>
      <c r="BR772"/>
      <c r="BS772"/>
      <c r="BT772"/>
      <c r="BU772"/>
      <c r="BX772"/>
      <c r="BY772"/>
      <c r="CA772"/>
    </row>
    <row r="773" spans="2:79" ht="18.75">
      <c r="B773" s="252" t="s">
        <v>224</v>
      </c>
      <c r="C773" s="251">
        <v>22922145000182</v>
      </c>
      <c r="D773" s="252" t="s">
        <v>11</v>
      </c>
      <c r="E773" s="252" t="s">
        <v>620</v>
      </c>
      <c r="F773" s="252" t="s">
        <v>663</v>
      </c>
      <c r="G773" s="253" t="s">
        <v>738</v>
      </c>
      <c r="H773" s="253" t="s">
        <v>34</v>
      </c>
      <c r="I773" s="253" t="s">
        <v>1304</v>
      </c>
      <c r="J773" s="253" t="s">
        <v>608</v>
      </c>
      <c r="K773" s="253" t="s">
        <v>48</v>
      </c>
      <c r="L773" s="655"/>
      <c r="M773" s="655" t="s">
        <v>34</v>
      </c>
      <c r="N773" s="253" t="s">
        <v>3377</v>
      </c>
      <c r="O773" s="253" t="s">
        <v>1321</v>
      </c>
      <c r="P773" s="656">
        <v>42230</v>
      </c>
      <c r="Q773" s="657">
        <v>0</v>
      </c>
      <c r="R773" s="657">
        <v>0</v>
      </c>
      <c r="S773" s="253">
        <v>361</v>
      </c>
      <c r="T773" s="658"/>
      <c r="U773" s="659"/>
      <c r="V773" s="658"/>
      <c r="W773" s="659"/>
      <c r="X773" s="658"/>
      <c r="Y773" s="659"/>
      <c r="Z773" s="658"/>
      <c r="AA773" s="659"/>
      <c r="AB773" s="658"/>
      <c r="AC773" s="660"/>
      <c r="AD773" s="682">
        <v>0</v>
      </c>
      <c r="AE773" s="944" t="s">
        <v>2609</v>
      </c>
      <c r="AF773" s="661" t="s">
        <v>2610</v>
      </c>
      <c r="AG773" s="662" t="s">
        <v>973</v>
      </c>
      <c r="AH773" s="662" t="s">
        <v>1730</v>
      </c>
      <c r="AI773" s="662">
        <v>1000</v>
      </c>
      <c r="AJ773" s="662">
        <v>1000</v>
      </c>
      <c r="AK773" s="662">
        <v>1000</v>
      </c>
      <c r="AL773" s="658">
        <v>5.0000000000000001E-3</v>
      </c>
      <c r="AM773" s="658">
        <v>0.35</v>
      </c>
      <c r="AN773" s="659" t="s">
        <v>64</v>
      </c>
      <c r="AO773" s="253" t="s">
        <v>34</v>
      </c>
      <c r="AP773" s="944" t="s">
        <v>1746</v>
      </c>
      <c r="AQ773" s="663" t="s">
        <v>698</v>
      </c>
      <c r="AR773" s="658">
        <v>1.66666666666667E-3</v>
      </c>
      <c r="AS773" s="658">
        <v>1.66666666666667E-3</v>
      </c>
      <c r="AT773" s="658" t="s">
        <v>1417</v>
      </c>
      <c r="AU773" s="658" t="s">
        <v>2751</v>
      </c>
      <c r="AX773"/>
      <c r="AY773"/>
      <c r="BA773"/>
      <c r="BB773"/>
      <c r="BC773"/>
      <c r="BD773"/>
      <c r="BE773"/>
      <c r="BF773"/>
      <c r="BG773"/>
      <c r="BH773"/>
      <c r="BI773"/>
      <c r="BJ773"/>
      <c r="BR773"/>
      <c r="BS773"/>
      <c r="BT773"/>
      <c r="BU773"/>
      <c r="BX773"/>
      <c r="BY773"/>
      <c r="CA773"/>
    </row>
    <row r="774" spans="2:79" ht="18.75">
      <c r="B774" s="252" t="s">
        <v>974</v>
      </c>
      <c r="C774" s="251">
        <v>7317588000150</v>
      </c>
      <c r="D774" s="252" t="s">
        <v>14</v>
      </c>
      <c r="E774" s="252" t="s">
        <v>607</v>
      </c>
      <c r="F774" s="252" t="s">
        <v>1417</v>
      </c>
      <c r="G774" s="253" t="s">
        <v>1417</v>
      </c>
      <c r="H774" s="253" t="s">
        <v>34</v>
      </c>
      <c r="I774" s="253" t="s">
        <v>34</v>
      </c>
      <c r="J774" s="253" t="s">
        <v>608</v>
      </c>
      <c r="K774" s="253" t="s">
        <v>48</v>
      </c>
      <c r="L774" s="655"/>
      <c r="M774" s="655" t="s">
        <v>34</v>
      </c>
      <c r="N774" s="253" t="s">
        <v>3378</v>
      </c>
      <c r="O774" s="253" t="s">
        <v>1321</v>
      </c>
      <c r="P774" s="656">
        <v>41147</v>
      </c>
      <c r="Q774" s="657">
        <v>250.075908</v>
      </c>
      <c r="R774" s="657">
        <v>292.6276504618474</v>
      </c>
      <c r="S774" s="253">
        <v>61</v>
      </c>
      <c r="T774" s="658">
        <v>9.9392849859956112E-3</v>
      </c>
      <c r="U774" s="659">
        <v>0.49700450732017204</v>
      </c>
      <c r="V774" s="658">
        <v>-0.12534689960787349</v>
      </c>
      <c r="W774" s="659">
        <v>-0.97210407335757676</v>
      </c>
      <c r="X774" s="658">
        <v>-0.25109902824139541</v>
      </c>
      <c r="Y774" s="659">
        <v>-1.3004400031941405</v>
      </c>
      <c r="Z774" s="658">
        <v>-0.1970910182275537</v>
      </c>
      <c r="AA774" s="659">
        <v>-0.88992054449936597</v>
      </c>
      <c r="AB774" s="658">
        <v>0.24211361920478833</v>
      </c>
      <c r="AC774" s="660">
        <v>-1.0502953526111789</v>
      </c>
      <c r="AD774" s="682">
        <v>28767201000138</v>
      </c>
      <c r="AE774" s="944" t="s">
        <v>1869</v>
      </c>
      <c r="AF774" s="661" t="s">
        <v>1729</v>
      </c>
      <c r="AG774" s="662" t="s">
        <v>1433</v>
      </c>
      <c r="AH774" s="662" t="s">
        <v>1730</v>
      </c>
      <c r="AI774" s="662">
        <v>1000</v>
      </c>
      <c r="AJ774" s="662">
        <v>100</v>
      </c>
      <c r="AK774" s="662">
        <v>1000</v>
      </c>
      <c r="AL774" s="658">
        <v>0.02</v>
      </c>
      <c r="AM774" s="658">
        <v>0.2</v>
      </c>
      <c r="AN774" s="659" t="s">
        <v>2141</v>
      </c>
      <c r="AO774" s="253" t="s">
        <v>34</v>
      </c>
      <c r="AP774" s="944" t="s">
        <v>1731</v>
      </c>
      <c r="AQ774" s="663" t="s">
        <v>659</v>
      </c>
      <c r="AR774" s="658">
        <v>5.8199999999999997E-3</v>
      </c>
      <c r="AS774" s="658">
        <v>5.8199999999999997E-3</v>
      </c>
      <c r="AT774" s="658" t="s">
        <v>1417</v>
      </c>
      <c r="AU774" s="658" t="s">
        <v>2751</v>
      </c>
      <c r="AX774"/>
      <c r="AY774"/>
      <c r="BA774"/>
      <c r="BB774"/>
      <c r="BC774"/>
      <c r="BD774"/>
      <c r="BE774"/>
      <c r="BF774"/>
      <c r="BG774"/>
      <c r="BH774"/>
      <c r="BI774"/>
      <c r="BJ774"/>
      <c r="BR774"/>
      <c r="BS774"/>
      <c r="BT774"/>
      <c r="BU774"/>
      <c r="BX774"/>
      <c r="BY774"/>
      <c r="CA774"/>
    </row>
    <row r="775" spans="2:79" ht="18.75">
      <c r="B775" s="252" t="s">
        <v>975</v>
      </c>
      <c r="C775" s="251">
        <v>22662135000155</v>
      </c>
      <c r="D775" s="252" t="s">
        <v>14</v>
      </c>
      <c r="E775" s="252" t="s">
        <v>607</v>
      </c>
      <c r="F775" s="252" t="s">
        <v>1417</v>
      </c>
      <c r="G775" s="253" t="s">
        <v>1417</v>
      </c>
      <c r="H775" s="253" t="s">
        <v>34</v>
      </c>
      <c r="I775" s="253" t="s">
        <v>34</v>
      </c>
      <c r="J775" s="253" t="s">
        <v>608</v>
      </c>
      <c r="K775" s="253" t="s">
        <v>48</v>
      </c>
      <c r="L775" s="655"/>
      <c r="M775" s="655" t="s">
        <v>34</v>
      </c>
      <c r="N775" s="253" t="s">
        <v>3379</v>
      </c>
      <c r="O775" s="253" t="s">
        <v>1321</v>
      </c>
      <c r="P775" s="656">
        <v>42313</v>
      </c>
      <c r="Q775" s="657">
        <v>323.210756</v>
      </c>
      <c r="R775" s="657">
        <v>381.58910509236949</v>
      </c>
      <c r="S775" s="253">
        <v>62</v>
      </c>
      <c r="T775" s="658">
        <v>1.6445793464201941E-2</v>
      </c>
      <c r="U775" s="659">
        <v>0.82235628515346815</v>
      </c>
      <c r="V775" s="658">
        <v>-0.11217300153353948</v>
      </c>
      <c r="W775" s="659">
        <v>-0.86993640889902002</v>
      </c>
      <c r="X775" s="658">
        <v>-0.22345878433387945</v>
      </c>
      <c r="Y775" s="659">
        <v>-1.1572913851882538</v>
      </c>
      <c r="Z775" s="658">
        <v>-0.18740721010097006</v>
      </c>
      <c r="AA775" s="659">
        <v>-0.84619546824608427</v>
      </c>
      <c r="AB775" s="658">
        <v>0.23960810646341654</v>
      </c>
      <c r="AC775" s="660">
        <v>-1.0062969677411213</v>
      </c>
      <c r="AD775" s="682">
        <v>35939458000195</v>
      </c>
      <c r="AE775" s="944" t="s">
        <v>1869</v>
      </c>
      <c r="AF775" s="661" t="s">
        <v>1729</v>
      </c>
      <c r="AG775" s="662" t="s">
        <v>1433</v>
      </c>
      <c r="AH775" s="662" t="s">
        <v>1734</v>
      </c>
      <c r="AI775" s="662">
        <v>1000</v>
      </c>
      <c r="AJ775" s="662">
        <v>100</v>
      </c>
      <c r="AK775" s="662">
        <v>1000</v>
      </c>
      <c r="AL775" s="658">
        <v>0.02</v>
      </c>
      <c r="AM775" s="658">
        <v>0.2</v>
      </c>
      <c r="AN775" s="659" t="s">
        <v>666</v>
      </c>
      <c r="AO775" s="253" t="s">
        <v>34</v>
      </c>
      <c r="AP775" s="944" t="s">
        <v>1731</v>
      </c>
      <c r="AQ775" s="663" t="s">
        <v>659</v>
      </c>
      <c r="AR775" s="658">
        <v>4.0000000000000001E-3</v>
      </c>
      <c r="AS775" s="658">
        <v>4.0000000000000001E-3</v>
      </c>
      <c r="AT775" s="658" t="s">
        <v>1417</v>
      </c>
      <c r="AU775" s="658" t="s">
        <v>2751</v>
      </c>
      <c r="AX775"/>
      <c r="AY775"/>
      <c r="BA775"/>
      <c r="BB775"/>
      <c r="BC775"/>
      <c r="BD775"/>
      <c r="BE775"/>
      <c r="BF775"/>
      <c r="BG775"/>
      <c r="BH775"/>
      <c r="BI775"/>
      <c r="BJ775"/>
      <c r="BR775"/>
      <c r="BS775"/>
      <c r="BT775"/>
      <c r="BU775"/>
      <c r="BX775"/>
      <c r="BY775"/>
      <c r="CA775"/>
    </row>
    <row r="776" spans="2:79" ht="18.75">
      <c r="B776" s="252" t="s">
        <v>518</v>
      </c>
      <c r="C776" s="251">
        <v>27500576000174</v>
      </c>
      <c r="D776" s="252" t="s">
        <v>11</v>
      </c>
      <c r="E776" s="252" t="s">
        <v>620</v>
      </c>
      <c r="F776" s="252" t="s">
        <v>685</v>
      </c>
      <c r="G776" s="253" t="s">
        <v>738</v>
      </c>
      <c r="H776" s="253" t="s">
        <v>34</v>
      </c>
      <c r="I776" s="253" t="s">
        <v>1319</v>
      </c>
      <c r="J776" s="253" t="s">
        <v>608</v>
      </c>
      <c r="K776" s="253" t="s">
        <v>48</v>
      </c>
      <c r="L776" s="655"/>
      <c r="M776" s="655" t="s">
        <v>34</v>
      </c>
      <c r="N776" s="253" t="s">
        <v>3380</v>
      </c>
      <c r="O776" s="253" t="s">
        <v>1321</v>
      </c>
      <c r="P776" s="656">
        <v>42822</v>
      </c>
      <c r="Q776" s="657">
        <v>305.83285502000001</v>
      </c>
      <c r="R776" s="657">
        <v>302.97285381734935</v>
      </c>
      <c r="S776" s="253">
        <v>270</v>
      </c>
      <c r="T776" s="658">
        <v>2.5257966455822123E-2</v>
      </c>
      <c r="U776" s="659">
        <v>1.2630006275071957</v>
      </c>
      <c r="V776" s="658">
        <v>0.16730056538497173</v>
      </c>
      <c r="W776" s="659">
        <v>1.2974677602280402</v>
      </c>
      <c r="X776" s="658">
        <v>0.27297103359109753</v>
      </c>
      <c r="Y776" s="659">
        <v>1.4137149565304188</v>
      </c>
      <c r="Z776" s="658">
        <v>0.32980944974141257</v>
      </c>
      <c r="AA776" s="659">
        <v>1.4891810278033344</v>
      </c>
      <c r="AB776" s="658">
        <v>3.0493991133568716E-3</v>
      </c>
      <c r="AC776" s="660">
        <v>12.578430868617655</v>
      </c>
      <c r="AD776" s="682">
        <v>0</v>
      </c>
      <c r="AE776" s="944" t="s">
        <v>1952</v>
      </c>
      <c r="AF776" s="661" t="s">
        <v>1943</v>
      </c>
      <c r="AG776" s="662" t="s">
        <v>1434</v>
      </c>
      <c r="AH776" s="662" t="s">
        <v>1730</v>
      </c>
      <c r="AI776" s="662">
        <v>1000</v>
      </c>
      <c r="AJ776" s="662">
        <v>1000</v>
      </c>
      <c r="AK776" s="662">
        <v>1000</v>
      </c>
      <c r="AL776" s="658">
        <v>1.2999999999999999E-3</v>
      </c>
      <c r="AM776" s="658">
        <v>0.1</v>
      </c>
      <c r="AN776" s="659" t="s">
        <v>64</v>
      </c>
      <c r="AO776" s="253" t="s">
        <v>34</v>
      </c>
      <c r="AP776" s="944" t="s">
        <v>1746</v>
      </c>
      <c r="AQ776" s="663" t="s">
        <v>668</v>
      </c>
      <c r="AR776" s="658">
        <v>3.8800000000000002E-3</v>
      </c>
      <c r="AS776" s="658">
        <v>3.8800000000000002E-3</v>
      </c>
      <c r="AT776" s="658" t="s">
        <v>1417</v>
      </c>
      <c r="AU776" s="658" t="s">
        <v>2751</v>
      </c>
      <c r="AX776"/>
      <c r="AY776"/>
      <c r="BA776"/>
      <c r="BB776"/>
      <c r="BC776"/>
      <c r="BD776"/>
      <c r="BE776"/>
      <c r="BF776"/>
      <c r="BG776"/>
      <c r="BH776"/>
      <c r="BI776"/>
      <c r="BJ776"/>
      <c r="BR776"/>
      <c r="BS776"/>
      <c r="BT776"/>
      <c r="BU776"/>
      <c r="BX776"/>
      <c r="BY776"/>
      <c r="CA776"/>
    </row>
    <row r="777" spans="2:79" ht="18.75">
      <c r="B777" s="252" t="s">
        <v>528</v>
      </c>
      <c r="C777" s="251">
        <v>27500387000100</v>
      </c>
      <c r="D777" s="252" t="s">
        <v>13</v>
      </c>
      <c r="E777" s="252" t="s">
        <v>616</v>
      </c>
      <c r="F777" s="252" t="s">
        <v>619</v>
      </c>
      <c r="G777" s="253" t="s">
        <v>34</v>
      </c>
      <c r="H777" s="253" t="s">
        <v>1338</v>
      </c>
      <c r="I777" s="253" t="s">
        <v>34</v>
      </c>
      <c r="J777" s="253" t="s">
        <v>611</v>
      </c>
      <c r="K777" s="253" t="s">
        <v>48</v>
      </c>
      <c r="L777" s="655"/>
      <c r="M777" s="655" t="s">
        <v>1414</v>
      </c>
      <c r="N777" s="253" t="s">
        <v>3381</v>
      </c>
      <c r="O777" s="253" t="s">
        <v>1321</v>
      </c>
      <c r="P777" s="656">
        <v>42824</v>
      </c>
      <c r="Q777" s="657">
        <v>40.508012999999998</v>
      </c>
      <c r="R777" s="657">
        <v>33.433356441767081</v>
      </c>
      <c r="S777" s="253">
        <v>30</v>
      </c>
      <c r="T777" s="658">
        <v>3.720794091660129E-2</v>
      </c>
      <c r="U777" s="659">
        <v>1.8605477526511545</v>
      </c>
      <c r="V777" s="658">
        <v>0.11940149322021498</v>
      </c>
      <c r="W777" s="659">
        <v>0.9259956033013621</v>
      </c>
      <c r="X777" s="658">
        <v>0.21763390845531116</v>
      </c>
      <c r="Y777" s="659">
        <v>1.1271243962549129</v>
      </c>
      <c r="Z777" s="658">
        <v>0.30133455456747971</v>
      </c>
      <c r="AA777" s="659">
        <v>1.3606089881150942</v>
      </c>
      <c r="AB777" s="658">
        <v>8.7447419024692385E-2</v>
      </c>
      <c r="AC777" s="660">
        <v>-0.10912175948702263</v>
      </c>
      <c r="AD777" s="682">
        <v>0</v>
      </c>
      <c r="AE777" s="944" t="s">
        <v>1952</v>
      </c>
      <c r="AF777" s="661" t="s">
        <v>1953</v>
      </c>
      <c r="AG777" s="662" t="s">
        <v>976</v>
      </c>
      <c r="AH777" s="662" t="s">
        <v>1734</v>
      </c>
      <c r="AI777" s="662">
        <v>5000</v>
      </c>
      <c r="AJ777" s="662">
        <v>5000</v>
      </c>
      <c r="AK777" s="662">
        <v>5000</v>
      </c>
      <c r="AL777" s="658">
        <v>6.3E-3</v>
      </c>
      <c r="AM777" s="658">
        <v>0.1</v>
      </c>
      <c r="AN777" s="659" t="s">
        <v>64</v>
      </c>
      <c r="AO777" s="253" t="s">
        <v>34</v>
      </c>
      <c r="AP777" s="944" t="s">
        <v>1746</v>
      </c>
      <c r="AQ777" s="663" t="s">
        <v>668</v>
      </c>
      <c r="AR777" s="658">
        <v>2.2200000000000002E-3</v>
      </c>
      <c r="AS777" s="658">
        <v>2.2200000000000002E-3</v>
      </c>
      <c r="AT777" s="658" t="s">
        <v>1417</v>
      </c>
      <c r="AU777" s="658" t="s">
        <v>2751</v>
      </c>
      <c r="AX777"/>
      <c r="AY777"/>
      <c r="BA777"/>
      <c r="BB777"/>
      <c r="BC777"/>
      <c r="BD777"/>
      <c r="BE777"/>
      <c r="BF777"/>
      <c r="BG777"/>
      <c r="BH777"/>
      <c r="BI777"/>
      <c r="BJ777"/>
      <c r="BR777"/>
      <c r="BS777"/>
      <c r="BT777"/>
      <c r="BU777"/>
      <c r="BX777"/>
      <c r="BY777"/>
      <c r="CA777"/>
    </row>
    <row r="778" spans="2:79" ht="18.75">
      <c r="B778" s="252" t="s">
        <v>487</v>
      </c>
      <c r="C778" s="251">
        <v>34867354000150</v>
      </c>
      <c r="D778" s="252" t="s">
        <v>11</v>
      </c>
      <c r="E778" s="252" t="s">
        <v>620</v>
      </c>
      <c r="F778" s="252" t="s">
        <v>685</v>
      </c>
      <c r="G778" s="253" t="s">
        <v>738</v>
      </c>
      <c r="H778" s="253" t="s">
        <v>34</v>
      </c>
      <c r="I778" s="253" t="s">
        <v>1319</v>
      </c>
      <c r="J778" s="253" t="s">
        <v>608</v>
      </c>
      <c r="K778" s="253" t="s">
        <v>48</v>
      </c>
      <c r="L778" s="655"/>
      <c r="M778" s="655" t="s">
        <v>34</v>
      </c>
      <c r="N778" s="253" t="s">
        <v>3382</v>
      </c>
      <c r="O778" s="253" t="s">
        <v>1321</v>
      </c>
      <c r="P778" s="656">
        <v>43714</v>
      </c>
      <c r="Q778" s="657">
        <v>477.85233885999997</v>
      </c>
      <c r="R778" s="657">
        <v>335.19946838745977</v>
      </c>
      <c r="S778" s="253">
        <v>30</v>
      </c>
      <c r="T778" s="658">
        <v>6.7351004585384455E-2</v>
      </c>
      <c r="U778" s="659">
        <v>3.3678230273749019</v>
      </c>
      <c r="V778" s="658">
        <v>0.58461033685649011</v>
      </c>
      <c r="W778" s="659">
        <v>4.5338344351792976</v>
      </c>
      <c r="X778" s="658">
        <v>0.73324565637930861</v>
      </c>
      <c r="Y778" s="659">
        <v>3.7974738110388264</v>
      </c>
      <c r="Z778" s="658">
        <v>1.1969583001619446</v>
      </c>
      <c r="AA778" s="659">
        <v>5.4045983008384324</v>
      </c>
      <c r="AB778" s="658">
        <v>0.40475457114789087</v>
      </c>
      <c r="AC778" s="660">
        <v>1.125784512124036</v>
      </c>
      <c r="AD778" s="682">
        <v>0</v>
      </c>
      <c r="AE778" s="944" t="s">
        <v>1952</v>
      </c>
      <c r="AF778" s="661" t="s">
        <v>1953</v>
      </c>
      <c r="AG778" s="662" t="s">
        <v>976</v>
      </c>
      <c r="AH778" s="662" t="s">
        <v>1801</v>
      </c>
      <c r="AI778" s="662">
        <v>1000</v>
      </c>
      <c r="AJ778" s="662">
        <v>1000</v>
      </c>
      <c r="AK778" s="662">
        <v>1000</v>
      </c>
      <c r="AL778" s="658">
        <v>0.02</v>
      </c>
      <c r="AM778" s="658">
        <v>0.3</v>
      </c>
      <c r="AN778" s="659" t="s">
        <v>64</v>
      </c>
      <c r="AO778" s="253" t="s">
        <v>34</v>
      </c>
      <c r="AP778" s="944" t="s">
        <v>1746</v>
      </c>
      <c r="AQ778" s="663" t="s">
        <v>679</v>
      </c>
      <c r="AR778" s="658">
        <v>2E-3</v>
      </c>
      <c r="AS778" s="658">
        <v>2E-3</v>
      </c>
      <c r="AT778" s="658" t="s">
        <v>1417</v>
      </c>
      <c r="AU778" s="658" t="s">
        <v>2751</v>
      </c>
      <c r="AX778"/>
      <c r="AY778"/>
      <c r="BA778"/>
      <c r="BB778"/>
      <c r="BC778"/>
      <c r="BD778"/>
      <c r="BE778"/>
      <c r="BF778"/>
      <c r="BG778"/>
      <c r="BH778"/>
      <c r="BI778"/>
      <c r="BJ778"/>
      <c r="BR778"/>
      <c r="BS778"/>
      <c r="BT778"/>
      <c r="BU778"/>
      <c r="BX778"/>
      <c r="BY778"/>
      <c r="CA778"/>
    </row>
    <row r="779" spans="2:79" ht="18.75">
      <c r="B779" s="252" t="s">
        <v>488</v>
      </c>
      <c r="C779" s="251">
        <v>37121216000115</v>
      </c>
      <c r="D779" s="252" t="s">
        <v>11</v>
      </c>
      <c r="E779" s="252" t="s">
        <v>620</v>
      </c>
      <c r="F779" s="252" t="s">
        <v>685</v>
      </c>
      <c r="G779" s="253" t="s">
        <v>738</v>
      </c>
      <c r="H779" s="253" t="s">
        <v>34</v>
      </c>
      <c r="I779" s="253" t="s">
        <v>1319</v>
      </c>
      <c r="J779" s="253" t="s">
        <v>608</v>
      </c>
      <c r="K779" s="253" t="s">
        <v>48</v>
      </c>
      <c r="L779" s="655"/>
      <c r="M779" s="655" t="s">
        <v>34</v>
      </c>
      <c r="N779" s="253" t="s">
        <v>3383</v>
      </c>
      <c r="O779" s="253" t="s">
        <v>1321</v>
      </c>
      <c r="P779" s="656">
        <v>43776</v>
      </c>
      <c r="Q779" s="657">
        <v>115.23678529999999</v>
      </c>
      <c r="R779" s="657">
        <v>114.90065989289803</v>
      </c>
      <c r="S779" s="253">
        <v>32</v>
      </c>
      <c r="T779" s="658">
        <v>2.7636200213223105E-2</v>
      </c>
      <c r="U779" s="659">
        <v>1.3819219481610152</v>
      </c>
      <c r="V779" s="658">
        <v>0.21002211749893895</v>
      </c>
      <c r="W779" s="659">
        <v>1.6287866437430252</v>
      </c>
      <c r="X779" s="658">
        <v>0.39554555717423234</v>
      </c>
      <c r="Y779" s="659">
        <v>2.048527504218701</v>
      </c>
      <c r="Z779" s="658">
        <v>0.50934414791999894</v>
      </c>
      <c r="AA779" s="659">
        <v>2.299829923914626</v>
      </c>
      <c r="AB779" s="658">
        <v>5.158482446365123E-2</v>
      </c>
      <c r="AC779" s="660">
        <v>1.5717453513732824</v>
      </c>
      <c r="AD779" s="682">
        <v>0</v>
      </c>
      <c r="AE779" s="944" t="s">
        <v>1952</v>
      </c>
      <c r="AF779" s="661" t="s">
        <v>2028</v>
      </c>
      <c r="AG779" s="662" t="s">
        <v>928</v>
      </c>
      <c r="AH779" s="662" t="s">
        <v>1801</v>
      </c>
      <c r="AI779" s="662">
        <v>1000</v>
      </c>
      <c r="AJ779" s="662">
        <v>0</v>
      </c>
      <c r="AK779" s="662">
        <v>0</v>
      </c>
      <c r="AL779" s="658">
        <v>0</v>
      </c>
      <c r="AM779" s="658">
        <v>0</v>
      </c>
      <c r="AN779" s="659" t="s">
        <v>64</v>
      </c>
      <c r="AO779" s="253" t="s">
        <v>34</v>
      </c>
      <c r="AP779" s="944" t="s">
        <v>1746</v>
      </c>
      <c r="AQ779" s="663" t="s">
        <v>679</v>
      </c>
      <c r="AR779" s="658">
        <v>1.66666666666667E-3</v>
      </c>
      <c r="AS779" s="658">
        <v>1.66666666666667E-3</v>
      </c>
      <c r="AT779" s="658" t="s">
        <v>1417</v>
      </c>
      <c r="AU779" s="658" t="s">
        <v>2751</v>
      </c>
      <c r="AX779"/>
      <c r="AY779"/>
      <c r="BA779"/>
      <c r="BB779"/>
      <c r="BC779"/>
      <c r="BD779"/>
      <c r="BE779"/>
      <c r="BF779"/>
      <c r="BG779"/>
      <c r="BH779"/>
      <c r="BI779"/>
      <c r="BJ779"/>
      <c r="BR779"/>
      <c r="BS779"/>
      <c r="BT779"/>
      <c r="BU779"/>
      <c r="BX779"/>
      <c r="BY779"/>
      <c r="CA779"/>
    </row>
    <row r="780" spans="2:79" ht="18.75">
      <c r="B780" s="252" t="s">
        <v>225</v>
      </c>
      <c r="C780" s="251">
        <v>6170653000103</v>
      </c>
      <c r="D780" s="252" t="s">
        <v>13</v>
      </c>
      <c r="E780" s="252" t="s">
        <v>615</v>
      </c>
      <c r="F780" s="252" t="s">
        <v>619</v>
      </c>
      <c r="G780" s="253" t="s">
        <v>34</v>
      </c>
      <c r="H780" s="253" t="s">
        <v>1338</v>
      </c>
      <c r="I780" s="253" t="s">
        <v>34</v>
      </c>
      <c r="J780" s="253" t="s">
        <v>1417</v>
      </c>
      <c r="K780" s="253" t="s">
        <v>48</v>
      </c>
      <c r="L780" s="655"/>
      <c r="M780" s="655" t="s">
        <v>34</v>
      </c>
      <c r="N780" s="253" t="s">
        <v>3384</v>
      </c>
      <c r="O780" s="253" t="s">
        <v>1324</v>
      </c>
      <c r="P780" s="656">
        <v>38060</v>
      </c>
      <c r="Q780" s="657">
        <v>15.40559</v>
      </c>
      <c r="R780" s="657">
        <v>17.244948720647773</v>
      </c>
      <c r="S780" s="253">
        <v>30</v>
      </c>
      <c r="T780" s="658">
        <v>5.5421387602881067E-2</v>
      </c>
      <c r="U780" s="659">
        <v>2.7712938586005404</v>
      </c>
      <c r="V780" s="658">
        <v>-4.718293768801507E-3</v>
      </c>
      <c r="W780" s="659">
        <v>-3.6591831200438504E-2</v>
      </c>
      <c r="X780" s="658">
        <v>-1.1547452267242742E-2</v>
      </c>
      <c r="Y780" s="659">
        <v>-5.9804169567955812E-2</v>
      </c>
      <c r="Z780" s="658">
        <v>8.9993808394031483E-2</v>
      </c>
      <c r="AA780" s="659">
        <v>0.40634697454920216</v>
      </c>
      <c r="AB780" s="658">
        <v>0.10937808521206421</v>
      </c>
      <c r="AC780" s="660">
        <v>-1.22201995908452</v>
      </c>
      <c r="AD780" s="682">
        <v>0</v>
      </c>
      <c r="AE780" s="944" t="s">
        <v>1764</v>
      </c>
      <c r="AF780" s="661" t="s">
        <v>1729</v>
      </c>
      <c r="AG780" s="662" t="s">
        <v>1433</v>
      </c>
      <c r="AH780" s="662" t="s">
        <v>1734</v>
      </c>
      <c r="AI780" s="662">
        <v>5000</v>
      </c>
      <c r="AJ780" s="662">
        <v>1000</v>
      </c>
      <c r="AK780" s="662">
        <v>5000</v>
      </c>
      <c r="AL780" s="658">
        <v>0.02</v>
      </c>
      <c r="AM780" s="658">
        <v>0.2</v>
      </c>
      <c r="AN780" s="659" t="s">
        <v>64</v>
      </c>
      <c r="AO780" s="253" t="s">
        <v>34</v>
      </c>
      <c r="AP780" s="944" t="s">
        <v>1746</v>
      </c>
      <c r="AQ780" s="663" t="s">
        <v>674</v>
      </c>
      <c r="AR780" s="658">
        <v>5.3333333333333297E-3</v>
      </c>
      <c r="AS780" s="658">
        <v>5.3333333333333297E-3</v>
      </c>
      <c r="AT780" s="658" t="s">
        <v>1417</v>
      </c>
      <c r="AU780" s="658" t="s">
        <v>2751</v>
      </c>
      <c r="AX780"/>
      <c r="AY780"/>
      <c r="BA780"/>
      <c r="BB780"/>
      <c r="BC780"/>
      <c r="BD780"/>
      <c r="BE780"/>
      <c r="BF780"/>
      <c r="BG780"/>
      <c r="BH780"/>
      <c r="BI780"/>
      <c r="BJ780"/>
      <c r="BR780"/>
      <c r="BS780"/>
      <c r="BT780"/>
      <c r="BU780"/>
      <c r="BX780"/>
      <c r="BY780"/>
      <c r="CA780"/>
    </row>
    <row r="781" spans="2:79" ht="18.75">
      <c r="B781" s="252" t="s">
        <v>226</v>
      </c>
      <c r="C781" s="251">
        <v>37069950000182</v>
      </c>
      <c r="D781" s="252" t="s">
        <v>14</v>
      </c>
      <c r="E781" s="252" t="s">
        <v>607</v>
      </c>
      <c r="F781" s="252" t="s">
        <v>1417</v>
      </c>
      <c r="G781" s="253" t="s">
        <v>1417</v>
      </c>
      <c r="H781" s="253" t="s">
        <v>34</v>
      </c>
      <c r="I781" s="253" t="s">
        <v>34</v>
      </c>
      <c r="J781" s="253" t="s">
        <v>608</v>
      </c>
      <c r="K781" s="253" t="s">
        <v>48</v>
      </c>
      <c r="L781" s="655"/>
      <c r="M781" s="655" t="s">
        <v>1414</v>
      </c>
      <c r="N781" s="253" t="s">
        <v>3385</v>
      </c>
      <c r="O781" s="253" t="s">
        <v>1321</v>
      </c>
      <c r="P781" s="656">
        <v>44046</v>
      </c>
      <c r="Q781" s="657">
        <v>0</v>
      </c>
      <c r="R781" s="657">
        <v>0</v>
      </c>
      <c r="S781" s="253">
        <v>32</v>
      </c>
      <c r="T781" s="658"/>
      <c r="U781" s="659"/>
      <c r="V781" s="658"/>
      <c r="W781" s="659"/>
      <c r="X781" s="658"/>
      <c r="Y781" s="659"/>
      <c r="Z781" s="658"/>
      <c r="AA781" s="659"/>
      <c r="AB781" s="658"/>
      <c r="AC781" s="660"/>
      <c r="AD781" s="682">
        <v>0</v>
      </c>
      <c r="AE781" s="944" t="s">
        <v>1764</v>
      </c>
      <c r="AF781" s="661" t="s">
        <v>1729</v>
      </c>
      <c r="AG781" s="662" t="s">
        <v>1433</v>
      </c>
      <c r="AH781" s="662" t="s">
        <v>1734</v>
      </c>
      <c r="AI781" s="662">
        <v>5000</v>
      </c>
      <c r="AJ781" s="662">
        <v>1000</v>
      </c>
      <c r="AK781" s="662">
        <v>5000</v>
      </c>
      <c r="AL781" s="658">
        <v>1.4999999999999999E-2</v>
      </c>
      <c r="AM781" s="658">
        <v>0.2</v>
      </c>
      <c r="AN781" s="659" t="s">
        <v>2127</v>
      </c>
      <c r="AO781" s="253" t="s">
        <v>34</v>
      </c>
      <c r="AP781" s="944" t="s">
        <v>1746</v>
      </c>
      <c r="AQ781" s="663" t="s">
        <v>674</v>
      </c>
      <c r="AR781" s="658">
        <v>3.0000000000000001E-3</v>
      </c>
      <c r="AS781" s="658">
        <v>3.0000000000000001E-3</v>
      </c>
      <c r="AT781" s="658" t="s">
        <v>1417</v>
      </c>
      <c r="AU781" s="658" t="s">
        <v>2751</v>
      </c>
      <c r="AX781"/>
      <c r="AY781"/>
      <c r="BA781"/>
      <c r="BB781"/>
      <c r="BC781"/>
      <c r="BD781"/>
      <c r="BE781"/>
      <c r="BF781"/>
      <c r="BG781"/>
      <c r="BH781"/>
      <c r="BI781"/>
      <c r="BJ781"/>
      <c r="BR781"/>
      <c r="BS781"/>
      <c r="BT781"/>
      <c r="BU781"/>
      <c r="BX781"/>
      <c r="BY781"/>
      <c r="CA781"/>
    </row>
    <row r="782" spans="2:79" ht="18.75">
      <c r="B782" s="252" t="s">
        <v>227</v>
      </c>
      <c r="C782" s="251">
        <v>29319740000177</v>
      </c>
      <c r="D782" s="252" t="s">
        <v>13</v>
      </c>
      <c r="E782" s="252" t="s">
        <v>616</v>
      </c>
      <c r="F782" s="252" t="s">
        <v>610</v>
      </c>
      <c r="G782" s="253" t="s">
        <v>34</v>
      </c>
      <c r="H782" s="253" t="s">
        <v>1337</v>
      </c>
      <c r="I782" s="253" t="s">
        <v>34</v>
      </c>
      <c r="J782" s="253" t="s">
        <v>1417</v>
      </c>
      <c r="K782" s="253" t="s">
        <v>48</v>
      </c>
      <c r="L782" s="655"/>
      <c r="M782" s="655" t="s">
        <v>34</v>
      </c>
      <c r="N782" s="253" t="s">
        <v>3386</v>
      </c>
      <c r="O782" s="253" t="s">
        <v>1324</v>
      </c>
      <c r="P782" s="656">
        <v>43348</v>
      </c>
      <c r="Q782" s="657">
        <v>0</v>
      </c>
      <c r="R782" s="657">
        <v>0</v>
      </c>
      <c r="S782" s="253">
        <v>16</v>
      </c>
      <c r="T782" s="658"/>
      <c r="U782" s="659"/>
      <c r="V782" s="658"/>
      <c r="W782" s="659"/>
      <c r="X782" s="658"/>
      <c r="Y782" s="659"/>
      <c r="Z782" s="658"/>
      <c r="AA782" s="659"/>
      <c r="AB782" s="658"/>
      <c r="AC782" s="660"/>
      <c r="AD782" s="682">
        <v>0</v>
      </c>
      <c r="AE782" s="944" t="s">
        <v>1954</v>
      </c>
      <c r="AF782" s="661" t="s">
        <v>1849</v>
      </c>
      <c r="AG782" s="662" t="s">
        <v>1434</v>
      </c>
      <c r="AH782" s="662" t="s">
        <v>1734</v>
      </c>
      <c r="AI782" s="662">
        <v>1000</v>
      </c>
      <c r="AJ782" s="662">
        <v>1000</v>
      </c>
      <c r="AK782" s="662">
        <v>1000</v>
      </c>
      <c r="AL782" s="658">
        <v>0.02</v>
      </c>
      <c r="AM782" s="658">
        <v>0.2</v>
      </c>
      <c r="AN782" s="659" t="s">
        <v>64</v>
      </c>
      <c r="AO782" s="253" t="s">
        <v>34</v>
      </c>
      <c r="AP782" s="944" t="s">
        <v>1746</v>
      </c>
      <c r="AQ782" s="663" t="s">
        <v>668</v>
      </c>
      <c r="AR782" s="658">
        <v>4.0000000000000001E-3</v>
      </c>
      <c r="AS782" s="658">
        <v>4.0000000000000001E-3</v>
      </c>
      <c r="AT782" s="658" t="s">
        <v>1417</v>
      </c>
      <c r="AU782" s="658" t="s">
        <v>2751</v>
      </c>
      <c r="AX782"/>
      <c r="AY782"/>
      <c r="BA782"/>
      <c r="BB782"/>
      <c r="BC782"/>
      <c r="BD782"/>
      <c r="BE782"/>
      <c r="BF782"/>
      <c r="BG782"/>
      <c r="BH782"/>
      <c r="BI782"/>
      <c r="BJ782"/>
      <c r="BR782"/>
      <c r="BS782"/>
      <c r="BT782"/>
      <c r="BU782"/>
      <c r="BX782"/>
      <c r="BY782"/>
      <c r="CA782"/>
    </row>
    <row r="783" spans="2:79" ht="18.75">
      <c r="B783" s="252" t="s">
        <v>228</v>
      </c>
      <c r="C783" s="251">
        <v>26243348000101</v>
      </c>
      <c r="D783" s="252" t="s">
        <v>14</v>
      </c>
      <c r="E783" s="252" t="s">
        <v>607</v>
      </c>
      <c r="F783" s="252" t="s">
        <v>1417</v>
      </c>
      <c r="G783" s="253" t="s">
        <v>1417</v>
      </c>
      <c r="H783" s="253" t="s">
        <v>34</v>
      </c>
      <c r="I783" s="253" t="s">
        <v>34</v>
      </c>
      <c r="J783" s="253" t="s">
        <v>608</v>
      </c>
      <c r="K783" s="253" t="s">
        <v>48</v>
      </c>
      <c r="L783" s="655"/>
      <c r="M783" s="655" t="s">
        <v>34</v>
      </c>
      <c r="N783" s="253" t="s">
        <v>3388</v>
      </c>
      <c r="O783" s="253" t="s">
        <v>1321</v>
      </c>
      <c r="P783" s="656">
        <v>42756</v>
      </c>
      <c r="Q783" s="657">
        <v>148.996207</v>
      </c>
      <c r="R783" s="657">
        <v>112.50867958870968</v>
      </c>
      <c r="S783" s="253">
        <v>32</v>
      </c>
      <c r="T783" s="658">
        <v>-2.7747731850415236E-2</v>
      </c>
      <c r="U783" s="659">
        <v>-1.387498981767697</v>
      </c>
      <c r="V783" s="658">
        <v>2.1643535649579881E-2</v>
      </c>
      <c r="W783" s="659">
        <v>0.16785233007466382</v>
      </c>
      <c r="X783" s="658">
        <v>0.11148912297329772</v>
      </c>
      <c r="Y783" s="659">
        <v>0.5774013402239262</v>
      </c>
      <c r="Z783" s="658">
        <v>3.4850680382203958E-2</v>
      </c>
      <c r="AA783" s="659">
        <v>0.15736047609280884</v>
      </c>
      <c r="AB783" s="658">
        <v>0.20608802853336389</v>
      </c>
      <c r="AC783" s="660">
        <v>-0.52065311391844116</v>
      </c>
      <c r="AD783" s="682">
        <v>13396819000161</v>
      </c>
      <c r="AE783" s="944" t="s">
        <v>1844</v>
      </c>
      <c r="AF783" s="661" t="s">
        <v>1769</v>
      </c>
      <c r="AG783" s="662" t="s">
        <v>719</v>
      </c>
      <c r="AH783" s="662" t="s">
        <v>1734</v>
      </c>
      <c r="AI783" s="662">
        <v>20000</v>
      </c>
      <c r="AJ783" s="662">
        <v>10000</v>
      </c>
      <c r="AK783" s="662">
        <v>20000</v>
      </c>
      <c r="AL783" s="658">
        <v>1.9599999999999999E-2</v>
      </c>
      <c r="AM783" s="658">
        <v>0.2</v>
      </c>
      <c r="AN783" s="659" t="s">
        <v>2160</v>
      </c>
      <c r="AO783" s="253" t="s">
        <v>34</v>
      </c>
      <c r="AP783" s="944" t="s">
        <v>1731</v>
      </c>
      <c r="AQ783" s="663" t="s">
        <v>659</v>
      </c>
      <c r="AR783" s="658">
        <v>4.8937499999999997E-3</v>
      </c>
      <c r="AS783" s="658">
        <v>4.8937499999999997E-3</v>
      </c>
      <c r="AT783" s="658" t="s">
        <v>1417</v>
      </c>
      <c r="AU783" s="658" t="s">
        <v>2751</v>
      </c>
      <c r="AX783"/>
      <c r="AY783"/>
      <c r="BA783"/>
      <c r="BB783"/>
      <c r="BC783"/>
      <c r="BD783"/>
      <c r="BE783"/>
      <c r="BF783"/>
      <c r="BG783"/>
      <c r="BH783"/>
      <c r="BI783"/>
      <c r="BJ783"/>
      <c r="BR783"/>
      <c r="BS783"/>
      <c r="BT783"/>
      <c r="BU783"/>
      <c r="BX783"/>
      <c r="BY783"/>
      <c r="CA783"/>
    </row>
    <row r="784" spans="2:79" ht="18.75">
      <c r="B784" s="252" t="s">
        <v>229</v>
      </c>
      <c r="C784" s="251">
        <v>13401715000106</v>
      </c>
      <c r="D784" s="252" t="s">
        <v>14</v>
      </c>
      <c r="E784" s="252" t="s">
        <v>607</v>
      </c>
      <c r="F784" s="252" t="s">
        <v>1417</v>
      </c>
      <c r="G784" s="253" t="s">
        <v>1417</v>
      </c>
      <c r="H784" s="253" t="s">
        <v>34</v>
      </c>
      <c r="I784" s="253" t="s">
        <v>34</v>
      </c>
      <c r="J784" s="253" t="s">
        <v>608</v>
      </c>
      <c r="K784" s="253" t="s">
        <v>48</v>
      </c>
      <c r="L784" s="655"/>
      <c r="M784" s="655" t="s">
        <v>34</v>
      </c>
      <c r="N784" s="253" t="s">
        <v>3389</v>
      </c>
      <c r="O784" s="253" t="s">
        <v>1324</v>
      </c>
      <c r="P784" s="656">
        <v>40755</v>
      </c>
      <c r="Q784" s="657">
        <v>45.374803999999997</v>
      </c>
      <c r="R784" s="657">
        <v>52.413866523999992</v>
      </c>
      <c r="S784" s="253">
        <v>3</v>
      </c>
      <c r="T784" s="658">
        <v>-2.7702136565020963E-2</v>
      </c>
      <c r="U784" s="659">
        <v>-1.3852190328191125</v>
      </c>
      <c r="V784" s="658">
        <v>2.5789875618642544E-2</v>
      </c>
      <c r="W784" s="659">
        <v>0.20000848220974193</v>
      </c>
      <c r="X784" s="658">
        <v>0.11504004638153287</v>
      </c>
      <c r="Y784" s="659">
        <v>0.59579154619440955</v>
      </c>
      <c r="Z784" s="658">
        <v>3.4193306982647886E-2</v>
      </c>
      <c r="AA784" s="659">
        <v>0.154392253091409</v>
      </c>
      <c r="AB784" s="658">
        <v>0.2076937750326486</v>
      </c>
      <c r="AC784" s="660">
        <v>-0.49666406136597219</v>
      </c>
      <c r="AD784" s="682">
        <v>13396819000161</v>
      </c>
      <c r="AE784" s="944" t="s">
        <v>1844</v>
      </c>
      <c r="AF784" s="661" t="s">
        <v>1769</v>
      </c>
      <c r="AG784" s="662" t="s">
        <v>719</v>
      </c>
      <c r="AH784" s="662" t="s">
        <v>1734</v>
      </c>
      <c r="AI784" s="662">
        <v>10000</v>
      </c>
      <c r="AJ784" s="662">
        <v>10000</v>
      </c>
      <c r="AK784" s="662">
        <v>10000</v>
      </c>
      <c r="AL784" s="658">
        <v>1.9599999999999999E-2</v>
      </c>
      <c r="AM784" s="658">
        <v>0.2</v>
      </c>
      <c r="AN784" s="659" t="s">
        <v>2160</v>
      </c>
      <c r="AO784" s="253" t="s">
        <v>34</v>
      </c>
      <c r="AP784" s="944" t="s">
        <v>1731</v>
      </c>
      <c r="AQ784" s="663" t="s">
        <v>659</v>
      </c>
      <c r="AR784" s="658">
        <v>4.5022500000000002E-3</v>
      </c>
      <c r="AS784" s="658">
        <v>4.5022500000000002E-3</v>
      </c>
      <c r="AT784" s="658" t="s">
        <v>1417</v>
      </c>
      <c r="AU784" s="658" t="s">
        <v>2751</v>
      </c>
      <c r="AX784"/>
      <c r="AY784"/>
      <c r="BA784"/>
      <c r="BB784"/>
      <c r="BC784"/>
      <c r="BD784"/>
      <c r="BE784"/>
      <c r="BF784"/>
      <c r="BG784"/>
      <c r="BH784"/>
      <c r="BI784"/>
      <c r="BJ784"/>
      <c r="BR784"/>
      <c r="BS784"/>
      <c r="BT784"/>
      <c r="BU784"/>
      <c r="BX784"/>
      <c r="BY784"/>
      <c r="CA784"/>
    </row>
    <row r="785" spans="2:79" ht="18.75">
      <c r="B785" s="252" t="s">
        <v>230</v>
      </c>
      <c r="C785" s="251">
        <v>12154412000165</v>
      </c>
      <c r="D785" s="252" t="s">
        <v>13</v>
      </c>
      <c r="E785" s="252" t="s">
        <v>615</v>
      </c>
      <c r="F785" s="252" t="s">
        <v>619</v>
      </c>
      <c r="G785" s="253" t="s">
        <v>34</v>
      </c>
      <c r="H785" s="253" t="s">
        <v>1337</v>
      </c>
      <c r="I785" s="253" t="s">
        <v>34</v>
      </c>
      <c r="J785" s="253" t="s">
        <v>611</v>
      </c>
      <c r="K785" s="253" t="s">
        <v>48</v>
      </c>
      <c r="L785" s="655"/>
      <c r="M785" s="655" t="s">
        <v>34</v>
      </c>
      <c r="N785" s="253" t="s">
        <v>3390</v>
      </c>
      <c r="O785" s="253" t="s">
        <v>1321</v>
      </c>
      <c r="P785" s="656">
        <v>40412</v>
      </c>
      <c r="Q785" s="657">
        <v>2725.272383</v>
      </c>
      <c r="R785" s="657">
        <v>2295.5861544200006</v>
      </c>
      <c r="S785" s="253">
        <v>31</v>
      </c>
      <c r="T785" s="658">
        <v>5.391821107297412E-3</v>
      </c>
      <c r="U785" s="659">
        <v>0.26961289436479774</v>
      </c>
      <c r="V785" s="658">
        <v>0.1402703696609604</v>
      </c>
      <c r="W785" s="659">
        <v>1.0878402110093162</v>
      </c>
      <c r="X785" s="658">
        <v>0.24026670953935714</v>
      </c>
      <c r="Y785" s="659">
        <v>1.2443395050514867</v>
      </c>
      <c r="Z785" s="658">
        <v>0.36375076945851514</v>
      </c>
      <c r="AA785" s="659">
        <v>1.6424354885865111</v>
      </c>
      <c r="AB785" s="658">
        <v>3.7873844592342422E-2</v>
      </c>
      <c r="AC785" s="660">
        <v>0.29905757749405004</v>
      </c>
      <c r="AD785" s="682">
        <v>12124089000187</v>
      </c>
      <c r="AE785" s="944" t="s">
        <v>1833</v>
      </c>
      <c r="AF785" s="661" t="s">
        <v>1769</v>
      </c>
      <c r="AG785" s="662" t="s">
        <v>719</v>
      </c>
      <c r="AH785" s="662" t="s">
        <v>1734</v>
      </c>
      <c r="AI785" s="662">
        <v>5000</v>
      </c>
      <c r="AJ785" s="662">
        <v>10000</v>
      </c>
      <c r="AK785" s="662">
        <v>5000</v>
      </c>
      <c r="AL785" s="658">
        <v>1.9599999999999999E-2</v>
      </c>
      <c r="AM785" s="658">
        <v>0.2</v>
      </c>
      <c r="AN785" s="659" t="s">
        <v>64</v>
      </c>
      <c r="AO785" s="253" t="s">
        <v>34</v>
      </c>
      <c r="AP785" s="944" t="s">
        <v>1746</v>
      </c>
      <c r="AQ785" s="663" t="s">
        <v>664</v>
      </c>
      <c r="AR785" s="658">
        <v>4.8937499999999997E-3</v>
      </c>
      <c r="AS785" s="658">
        <v>4.8937499999999997E-3</v>
      </c>
      <c r="AT785" s="658" t="s">
        <v>1417</v>
      </c>
      <c r="AU785" s="658" t="s">
        <v>2751</v>
      </c>
      <c r="AX785"/>
      <c r="AY785"/>
      <c r="BA785"/>
      <c r="BB785"/>
      <c r="BC785"/>
      <c r="BD785"/>
      <c r="BE785"/>
      <c r="BF785"/>
      <c r="BG785"/>
      <c r="BH785"/>
      <c r="BI785"/>
      <c r="BJ785"/>
      <c r="BR785"/>
      <c r="BS785"/>
      <c r="BT785"/>
      <c r="BU785"/>
      <c r="BX785"/>
      <c r="BY785"/>
      <c r="CA785"/>
    </row>
    <row r="786" spans="2:79" ht="18.75">
      <c r="B786" s="252" t="s">
        <v>977</v>
      </c>
      <c r="C786" s="251">
        <v>26822047000124</v>
      </c>
      <c r="D786" s="252" t="s">
        <v>13</v>
      </c>
      <c r="E786" s="252" t="s">
        <v>615</v>
      </c>
      <c r="F786" s="252" t="s">
        <v>619</v>
      </c>
      <c r="G786" s="253" t="s">
        <v>34</v>
      </c>
      <c r="H786" s="253" t="s">
        <v>865</v>
      </c>
      <c r="I786" s="253" t="s">
        <v>34</v>
      </c>
      <c r="J786" s="253" t="s">
        <v>611</v>
      </c>
      <c r="K786" s="253" t="s">
        <v>48</v>
      </c>
      <c r="L786" s="655"/>
      <c r="M786" s="655" t="s">
        <v>34</v>
      </c>
      <c r="N786" s="253" t="s">
        <v>3392</v>
      </c>
      <c r="O786" s="253" t="s">
        <v>1321</v>
      </c>
      <c r="P786" s="656">
        <v>42838</v>
      </c>
      <c r="Q786" s="657">
        <v>581.51794400000006</v>
      </c>
      <c r="R786" s="657">
        <v>438.15098836472015</v>
      </c>
      <c r="S786" s="253">
        <v>31</v>
      </c>
      <c r="T786" s="658">
        <v>-1.5624609384778942E-4</v>
      </c>
      <c r="U786" s="659">
        <v>-7.8129375506324015E-3</v>
      </c>
      <c r="V786" s="658">
        <v>0.15492010568906278</v>
      </c>
      <c r="W786" s="659">
        <v>1.2014534564193131</v>
      </c>
      <c r="X786" s="658">
        <v>0.28271158884684011</v>
      </c>
      <c r="Y786" s="659">
        <v>1.4641612198895628</v>
      </c>
      <c r="Z786" s="658">
        <v>0.48167750760528483</v>
      </c>
      <c r="AA786" s="659">
        <v>2.1749073788146163</v>
      </c>
      <c r="AB786" s="658">
        <v>5.6088907046726914E-2</v>
      </c>
      <c r="AC786" s="660">
        <v>0.4631253773697892</v>
      </c>
      <c r="AD786" s="682">
        <v>0</v>
      </c>
      <c r="AE786" s="944" t="s">
        <v>1797</v>
      </c>
      <c r="AF786" s="661" t="s">
        <v>1745</v>
      </c>
      <c r="AG786" s="662" t="s">
        <v>1432</v>
      </c>
      <c r="AH786" s="662" t="s">
        <v>1734</v>
      </c>
      <c r="AI786" s="662">
        <v>5000</v>
      </c>
      <c r="AJ786" s="662">
        <v>1000</v>
      </c>
      <c r="AK786" s="662">
        <v>5000</v>
      </c>
      <c r="AL786" s="658">
        <v>0</v>
      </c>
      <c r="AM786" s="658">
        <v>0</v>
      </c>
      <c r="AN786" s="659" t="s">
        <v>34</v>
      </c>
      <c r="AO786" s="253" t="s">
        <v>34</v>
      </c>
      <c r="AP786" s="944" t="s">
        <v>1746</v>
      </c>
      <c r="AQ786" s="663" t="s">
        <v>664</v>
      </c>
      <c r="AR786" s="658">
        <v>4.8999999999999998E-3</v>
      </c>
      <c r="AS786" s="658">
        <v>4.8999999999999998E-3</v>
      </c>
      <c r="AT786" s="658" t="s">
        <v>1417</v>
      </c>
      <c r="AU786" s="658" t="s">
        <v>2751</v>
      </c>
      <c r="AX786"/>
      <c r="AY786"/>
      <c r="BA786"/>
      <c r="BB786"/>
      <c r="BC786"/>
      <c r="BD786"/>
      <c r="BE786"/>
      <c r="BF786"/>
      <c r="BG786"/>
      <c r="BH786"/>
      <c r="BI786"/>
      <c r="BJ786"/>
      <c r="BR786"/>
      <c r="BS786"/>
      <c r="BT786"/>
      <c r="BU786"/>
      <c r="BX786"/>
      <c r="BY786"/>
      <c r="CA786"/>
    </row>
    <row r="787" spans="2:79" ht="18.75">
      <c r="B787" s="252" t="s">
        <v>231</v>
      </c>
      <c r="C787" s="251">
        <v>17554200000199</v>
      </c>
      <c r="D787" s="252" t="s">
        <v>14</v>
      </c>
      <c r="E787" s="252" t="s">
        <v>614</v>
      </c>
      <c r="F787" s="252" t="s">
        <v>1417</v>
      </c>
      <c r="G787" s="253" t="s">
        <v>1417</v>
      </c>
      <c r="H787" s="253" t="s">
        <v>865</v>
      </c>
      <c r="I787" s="253" t="s">
        <v>34</v>
      </c>
      <c r="J787" s="253" t="s">
        <v>608</v>
      </c>
      <c r="K787" s="253" t="s">
        <v>48</v>
      </c>
      <c r="L787" s="655"/>
      <c r="M787" s="655" t="s">
        <v>34</v>
      </c>
      <c r="N787" s="253" t="s">
        <v>3393</v>
      </c>
      <c r="O787" s="253" t="s">
        <v>1321</v>
      </c>
      <c r="P787" s="656">
        <v>41416</v>
      </c>
      <c r="Q787" s="657">
        <v>234.55667</v>
      </c>
      <c r="R787" s="657">
        <v>210.69197328799987</v>
      </c>
      <c r="S787" s="253">
        <v>32</v>
      </c>
      <c r="T787" s="658">
        <v>-4.6016155826492655E-3</v>
      </c>
      <c r="U787" s="659">
        <v>-0.23009941748866505</v>
      </c>
      <c r="V787" s="658">
        <v>0.15230346236886416</v>
      </c>
      <c r="W787" s="659">
        <v>1.1811605761163591</v>
      </c>
      <c r="X787" s="658">
        <v>0.34173215396177015</v>
      </c>
      <c r="Y787" s="659">
        <v>1.7698282884725323</v>
      </c>
      <c r="Z787" s="658">
        <v>0.23985204942701999</v>
      </c>
      <c r="AA787" s="659">
        <v>1.0829984458192923</v>
      </c>
      <c r="AB787" s="658">
        <v>0.13914532369402757</v>
      </c>
      <c r="AC787" s="660">
        <v>0.16787882123471215</v>
      </c>
      <c r="AD787" s="682">
        <v>17554210000124</v>
      </c>
      <c r="AE787" s="944" t="s">
        <v>1844</v>
      </c>
      <c r="AF787" s="661" t="s">
        <v>1769</v>
      </c>
      <c r="AG787" s="662" t="s">
        <v>719</v>
      </c>
      <c r="AH787" s="662" t="s">
        <v>1734</v>
      </c>
      <c r="AI787" s="662">
        <v>1000</v>
      </c>
      <c r="AJ787" s="662">
        <v>100</v>
      </c>
      <c r="AK787" s="662">
        <v>1000</v>
      </c>
      <c r="AL787" s="658">
        <v>1.9599999999999999E-2</v>
      </c>
      <c r="AM787" s="658">
        <v>0.2</v>
      </c>
      <c r="AN787" s="659" t="s">
        <v>2122</v>
      </c>
      <c r="AO787" s="253" t="s">
        <v>34</v>
      </c>
      <c r="AP787" s="944" t="s">
        <v>1746</v>
      </c>
      <c r="AQ787" s="663" t="s">
        <v>668</v>
      </c>
      <c r="AR787" s="658">
        <v>4.8937499999999997E-3</v>
      </c>
      <c r="AS787" s="658">
        <v>4.8937499999999997E-3</v>
      </c>
      <c r="AT787" s="658" t="s">
        <v>1417</v>
      </c>
      <c r="AU787" s="658" t="s">
        <v>2751</v>
      </c>
      <c r="AX787"/>
      <c r="AY787"/>
      <c r="BA787"/>
      <c r="BB787"/>
      <c r="BC787"/>
      <c r="BD787"/>
      <c r="BE787"/>
      <c r="BF787"/>
      <c r="BG787"/>
      <c r="BH787"/>
      <c r="BI787"/>
      <c r="BJ787"/>
      <c r="BR787"/>
      <c r="BS787"/>
      <c r="BT787"/>
      <c r="BU787"/>
      <c r="BX787"/>
      <c r="BY787"/>
      <c r="CA787"/>
    </row>
    <row r="788" spans="2:79" ht="18.75">
      <c r="B788" s="252" t="s">
        <v>232</v>
      </c>
      <c r="C788" s="251">
        <v>18391138000124</v>
      </c>
      <c r="D788" s="252" t="s">
        <v>13</v>
      </c>
      <c r="E788" s="252" t="s">
        <v>616</v>
      </c>
      <c r="F788" s="252" t="s">
        <v>617</v>
      </c>
      <c r="G788" s="253" t="s">
        <v>34</v>
      </c>
      <c r="H788" s="253" t="s">
        <v>1338</v>
      </c>
      <c r="I788" s="253" t="s">
        <v>34</v>
      </c>
      <c r="J788" s="253" t="s">
        <v>608</v>
      </c>
      <c r="K788" s="253" t="s">
        <v>48</v>
      </c>
      <c r="L788" s="655"/>
      <c r="M788" s="655" t="s">
        <v>34</v>
      </c>
      <c r="N788" s="253" t="s">
        <v>3394</v>
      </c>
      <c r="O788" s="253" t="s">
        <v>1324</v>
      </c>
      <c r="P788" s="656">
        <v>41488</v>
      </c>
      <c r="Q788" s="657">
        <v>850.84558400000003</v>
      </c>
      <c r="R788" s="657">
        <v>722.85322291199964</v>
      </c>
      <c r="S788" s="253">
        <v>31</v>
      </c>
      <c r="T788" s="658">
        <v>2.2063001107175406E-2</v>
      </c>
      <c r="U788" s="659">
        <v>1.1032394192063431</v>
      </c>
      <c r="V788" s="658">
        <v>0.28179918535306214</v>
      </c>
      <c r="W788" s="659">
        <v>2.185440061202371</v>
      </c>
      <c r="X788" s="658">
        <v>0.46320606242614693</v>
      </c>
      <c r="Y788" s="659">
        <v>2.3989407586313338</v>
      </c>
      <c r="Z788" s="658">
        <v>0.45354080454627432</v>
      </c>
      <c r="AA788" s="659">
        <v>2.0478623702095966</v>
      </c>
      <c r="AB788" s="658">
        <v>0.10342607667282093</v>
      </c>
      <c r="AC788" s="660">
        <v>1.4779181500794782</v>
      </c>
      <c r="AD788" s="682">
        <v>13962959000150</v>
      </c>
      <c r="AE788" s="944" t="s">
        <v>1844</v>
      </c>
      <c r="AF788" s="661" t="s">
        <v>1769</v>
      </c>
      <c r="AG788" s="662" t="s">
        <v>719</v>
      </c>
      <c r="AH788" s="662" t="s">
        <v>1734</v>
      </c>
      <c r="AI788" s="662">
        <v>1000</v>
      </c>
      <c r="AJ788" s="662">
        <v>100</v>
      </c>
      <c r="AK788" s="662">
        <v>1000</v>
      </c>
      <c r="AL788" s="658">
        <v>1.9599999999999999E-2</v>
      </c>
      <c r="AM788" s="658">
        <v>0.2</v>
      </c>
      <c r="AN788" s="659" t="s">
        <v>64</v>
      </c>
      <c r="AO788" s="253" t="s">
        <v>34</v>
      </c>
      <c r="AP788" s="944" t="s">
        <v>1746</v>
      </c>
      <c r="AQ788" s="663" t="s">
        <v>691</v>
      </c>
      <c r="AR788" s="658">
        <v>4.8937499999999997E-3</v>
      </c>
      <c r="AS788" s="658">
        <v>4.8937499999999997E-3</v>
      </c>
      <c r="AT788" s="658" t="s">
        <v>1417</v>
      </c>
      <c r="AU788" s="658" t="s">
        <v>2751</v>
      </c>
      <c r="AX788"/>
      <c r="AY788"/>
      <c r="BA788"/>
      <c r="BB788"/>
      <c r="BC788"/>
      <c r="BD788"/>
      <c r="BE788"/>
      <c r="BF788"/>
      <c r="BG788"/>
      <c r="BH788"/>
      <c r="BI788"/>
      <c r="BJ788"/>
      <c r="BR788"/>
      <c r="BS788"/>
      <c r="BT788"/>
      <c r="BU788"/>
      <c r="BX788"/>
      <c r="BY788"/>
      <c r="CA788"/>
    </row>
    <row r="789" spans="2:79" ht="18.75">
      <c r="B789" s="252" t="s">
        <v>4459</v>
      </c>
      <c r="C789" s="251">
        <v>12053727000116</v>
      </c>
      <c r="D789" s="252" t="s">
        <v>13</v>
      </c>
      <c r="E789" s="252" t="s">
        <v>615</v>
      </c>
      <c r="F789" s="252" t="s">
        <v>619</v>
      </c>
      <c r="G789" s="253" t="s">
        <v>34</v>
      </c>
      <c r="H789" s="253" t="s">
        <v>1338</v>
      </c>
      <c r="I789" s="253" t="s">
        <v>34</v>
      </c>
      <c r="J789" s="253" t="s">
        <v>608</v>
      </c>
      <c r="K789" s="253" t="s">
        <v>48</v>
      </c>
      <c r="L789" s="655"/>
      <c r="M789" s="655" t="s">
        <v>34</v>
      </c>
      <c r="N789" s="253" t="s">
        <v>4460</v>
      </c>
      <c r="O789" s="253" t="s">
        <v>1321</v>
      </c>
      <c r="P789" s="656">
        <v>40539</v>
      </c>
      <c r="Q789" s="657">
        <v>28.498569</v>
      </c>
      <c r="R789" s="657">
        <v>29.068811749999998</v>
      </c>
      <c r="S789" s="253">
        <v>4</v>
      </c>
      <c r="T789" s="658">
        <v>-1.1250211565585255E-2</v>
      </c>
      <c r="U789" s="659">
        <v>-0.56255614606882243</v>
      </c>
      <c r="V789" s="658">
        <v>-1.1250211565585255E-2</v>
      </c>
      <c r="W789" s="659">
        <v>-8.7248879096751067E-2</v>
      </c>
      <c r="X789" s="658">
        <v>-1.1250211565585255E-2</v>
      </c>
      <c r="Y789" s="659">
        <v>-5.8264762180678775E-2</v>
      </c>
      <c r="Z789" s="658">
        <v>-1.1250211565585255E-2</v>
      </c>
      <c r="AA789" s="659">
        <v>-5.0797821697889156E-2</v>
      </c>
      <c r="AB789" s="658">
        <v>0.12319576695057946</v>
      </c>
      <c r="AC789" s="660">
        <v>-1.1379783939217092</v>
      </c>
      <c r="AD789" s="682">
        <v>11435255000101</v>
      </c>
      <c r="AE789" s="944" t="s">
        <v>4461</v>
      </c>
      <c r="AF789" s="661" t="s">
        <v>1769</v>
      </c>
      <c r="AG789" s="662" t="s">
        <v>719</v>
      </c>
      <c r="AH789" s="662" t="s">
        <v>2119</v>
      </c>
      <c r="AI789" s="662">
        <v>0</v>
      </c>
      <c r="AJ789" s="662">
        <v>0</v>
      </c>
      <c r="AK789" s="662">
        <v>0</v>
      </c>
      <c r="AL789" s="658">
        <v>2.5000000000000001E-2</v>
      </c>
      <c r="AM789" s="658">
        <v>0</v>
      </c>
      <c r="AN789" s="659" t="s">
        <v>2122</v>
      </c>
      <c r="AO789" s="253" t="s">
        <v>4397</v>
      </c>
      <c r="AP789" s="944" t="s">
        <v>1746</v>
      </c>
      <c r="AQ789" s="663" t="s">
        <v>2177</v>
      </c>
      <c r="AR789" s="658">
        <v>0</v>
      </c>
      <c r="AS789" s="658">
        <v>0</v>
      </c>
      <c r="AT789" s="658" t="s">
        <v>1417</v>
      </c>
      <c r="AU789" s="658" t="s">
        <v>2751</v>
      </c>
      <c r="AX789"/>
      <c r="AY789"/>
      <c r="BA789"/>
      <c r="BB789"/>
      <c r="BC789"/>
      <c r="BD789"/>
      <c r="BE789"/>
      <c r="BF789"/>
      <c r="BG789"/>
      <c r="BH789"/>
      <c r="BI789"/>
      <c r="BJ789"/>
      <c r="BR789"/>
      <c r="BS789"/>
      <c r="BT789"/>
      <c r="BU789"/>
      <c r="BX789"/>
      <c r="BY789"/>
      <c r="CA789"/>
    </row>
    <row r="790" spans="2:79" ht="18.75">
      <c r="B790" s="252" t="s">
        <v>4462</v>
      </c>
      <c r="C790" s="251">
        <v>5024581000115</v>
      </c>
      <c r="D790" s="252" t="s">
        <v>11</v>
      </c>
      <c r="E790" s="252" t="s">
        <v>620</v>
      </c>
      <c r="F790" s="252" t="s">
        <v>672</v>
      </c>
      <c r="G790" s="253" t="s">
        <v>1417</v>
      </c>
      <c r="H790" s="253" t="s">
        <v>34</v>
      </c>
      <c r="I790" s="253" t="s">
        <v>1417</v>
      </c>
      <c r="J790" s="253" t="s">
        <v>608</v>
      </c>
      <c r="K790" s="253" t="s">
        <v>48</v>
      </c>
      <c r="L790" s="655"/>
      <c r="M790" s="655" t="s">
        <v>34</v>
      </c>
      <c r="N790" s="253" t="s">
        <v>4463</v>
      </c>
      <c r="O790" s="253" t="s">
        <v>1321</v>
      </c>
      <c r="P790" s="656">
        <v>37839</v>
      </c>
      <c r="Q790" s="657">
        <v>152.786542</v>
      </c>
      <c r="R790" s="657">
        <v>152.46575199999998</v>
      </c>
      <c r="S790" s="253">
        <v>2</v>
      </c>
      <c r="T790" s="658">
        <v>1.3908128319084501E-3</v>
      </c>
      <c r="U790" s="659">
        <v>6.9546274935388772E-2</v>
      </c>
      <c r="V790" s="658">
        <v>1.3908128319084501E-3</v>
      </c>
      <c r="W790" s="659">
        <v>1.0786184767279767E-2</v>
      </c>
      <c r="X790" s="658">
        <v>1.3908128319084501E-3</v>
      </c>
      <c r="Y790" s="659">
        <v>7.2030093315642108E-3</v>
      </c>
      <c r="Z790" s="658">
        <v>1.3908128319084501E-3</v>
      </c>
      <c r="AA790" s="659">
        <v>6.279905212320012E-3</v>
      </c>
      <c r="AB790" s="658">
        <v>5.592700227668862E-4</v>
      </c>
      <c r="AC790" s="660">
        <v>-228.07068396735136</v>
      </c>
      <c r="AD790" s="682">
        <v>10157661000189</v>
      </c>
      <c r="AE790" s="944" t="s">
        <v>1775</v>
      </c>
      <c r="AF790" s="661" t="s">
        <v>1769</v>
      </c>
      <c r="AG790" s="662" t="s">
        <v>719</v>
      </c>
      <c r="AH790" s="662" t="s">
        <v>2119</v>
      </c>
      <c r="AI790" s="662">
        <v>0</v>
      </c>
      <c r="AJ790" s="662">
        <v>0</v>
      </c>
      <c r="AK790" s="662">
        <v>0</v>
      </c>
      <c r="AL790" s="658">
        <v>0.01</v>
      </c>
      <c r="AM790" s="658">
        <v>0</v>
      </c>
      <c r="AN790" s="659" t="s">
        <v>64</v>
      </c>
      <c r="AO790" s="253" t="s">
        <v>4397</v>
      </c>
      <c r="AP790" s="944" t="s">
        <v>1735</v>
      </c>
      <c r="AQ790" s="663" t="s">
        <v>2614</v>
      </c>
      <c r="AR790" s="658">
        <v>0</v>
      </c>
      <c r="AS790" s="658">
        <v>0</v>
      </c>
      <c r="AT790" s="658" t="s">
        <v>1417</v>
      </c>
      <c r="AU790" s="658" t="s">
        <v>2751</v>
      </c>
      <c r="AX790"/>
      <c r="AY790"/>
      <c r="BA790"/>
      <c r="BB790"/>
      <c r="BC790"/>
      <c r="BD790"/>
      <c r="BE790"/>
      <c r="BF790"/>
      <c r="BG790"/>
      <c r="BH790"/>
      <c r="BI790"/>
      <c r="BJ790"/>
      <c r="BR790"/>
      <c r="BS790"/>
      <c r="BT790"/>
      <c r="BU790"/>
      <c r="BX790"/>
      <c r="BY790"/>
      <c r="CA790"/>
    </row>
    <row r="791" spans="2:79" ht="18.75">
      <c r="B791" s="252" t="s">
        <v>4464</v>
      </c>
      <c r="C791" s="251">
        <v>5200914000110</v>
      </c>
      <c r="D791" s="252" t="s">
        <v>11</v>
      </c>
      <c r="E791" s="252" t="s">
        <v>620</v>
      </c>
      <c r="F791" s="252" t="s">
        <v>672</v>
      </c>
      <c r="G791" s="253" t="s">
        <v>1417</v>
      </c>
      <c r="H791" s="253" t="s">
        <v>34</v>
      </c>
      <c r="I791" s="253" t="s">
        <v>1417</v>
      </c>
      <c r="J791" s="253" t="s">
        <v>608</v>
      </c>
      <c r="K791" s="253" t="s">
        <v>48</v>
      </c>
      <c r="L791" s="655"/>
      <c r="M791" s="655" t="s">
        <v>34</v>
      </c>
      <c r="N791" s="253" t="s">
        <v>4465</v>
      </c>
      <c r="O791" s="253" t="s">
        <v>1321</v>
      </c>
      <c r="P791" s="656">
        <v>37658</v>
      </c>
      <c r="Q791" s="657">
        <v>572.380585</v>
      </c>
      <c r="R791" s="657">
        <v>574.44986274999997</v>
      </c>
      <c r="S791" s="253">
        <v>2</v>
      </c>
      <c r="T791" s="658">
        <v>1.2381370116694157E-3</v>
      </c>
      <c r="U791" s="659">
        <v>6.1911865526208969E-2</v>
      </c>
      <c r="V791" s="658">
        <v>1.2381370116694157E-3</v>
      </c>
      <c r="W791" s="659">
        <v>9.6021364404214934E-3</v>
      </c>
      <c r="X791" s="658">
        <v>1.2381370116694157E-3</v>
      </c>
      <c r="Y791" s="659">
        <v>6.4123023919561263E-3</v>
      </c>
      <c r="Z791" s="658">
        <v>1.2381370116694157E-3</v>
      </c>
      <c r="AA791" s="659">
        <v>5.5905315904224411E-3</v>
      </c>
      <c r="AB791" s="658">
        <v>1.1089925241063439E-3</v>
      </c>
      <c r="AC791" s="660">
        <v>-115.1547640395752</v>
      </c>
      <c r="AD791" s="682">
        <v>0</v>
      </c>
      <c r="AE791" s="944" t="s">
        <v>1775</v>
      </c>
      <c r="AF791" s="661" t="s">
        <v>1769</v>
      </c>
      <c r="AG791" s="662" t="s">
        <v>719</v>
      </c>
      <c r="AH791" s="662" t="s">
        <v>2119</v>
      </c>
      <c r="AI791" s="662">
        <v>0</v>
      </c>
      <c r="AJ791" s="662">
        <v>0</v>
      </c>
      <c r="AK791" s="662">
        <v>0</v>
      </c>
      <c r="AL791" s="658">
        <v>0.01</v>
      </c>
      <c r="AM791" s="658">
        <v>0</v>
      </c>
      <c r="AN791" s="659" t="s">
        <v>64</v>
      </c>
      <c r="AO791" s="253" t="s">
        <v>4397</v>
      </c>
      <c r="AP791" s="944" t="s">
        <v>1735</v>
      </c>
      <c r="AQ791" s="663" t="s">
        <v>2614</v>
      </c>
      <c r="AR791" s="658">
        <v>0</v>
      </c>
      <c r="AS791" s="658">
        <v>0</v>
      </c>
      <c r="AT791" s="658" t="s">
        <v>1417</v>
      </c>
      <c r="AU791" s="658" t="s">
        <v>2751</v>
      </c>
      <c r="AX791"/>
      <c r="AY791"/>
      <c r="BA791"/>
      <c r="BB791"/>
      <c r="BC791"/>
      <c r="BD791"/>
      <c r="BE791"/>
      <c r="BF791"/>
      <c r="BG791"/>
      <c r="BH791"/>
      <c r="BI791"/>
      <c r="BJ791"/>
      <c r="BR791"/>
      <c r="BS791"/>
      <c r="BT791"/>
      <c r="BU791"/>
      <c r="BX791"/>
      <c r="BY791"/>
      <c r="CA791"/>
    </row>
    <row r="792" spans="2:79" ht="18.75">
      <c r="B792" s="252" t="s">
        <v>4466</v>
      </c>
      <c r="C792" s="251">
        <v>4511286000120</v>
      </c>
      <c r="D792" s="252" t="s">
        <v>11</v>
      </c>
      <c r="E792" s="252" t="s">
        <v>620</v>
      </c>
      <c r="F792" s="252" t="s">
        <v>672</v>
      </c>
      <c r="G792" s="253" t="s">
        <v>1417</v>
      </c>
      <c r="H792" s="253" t="s">
        <v>34</v>
      </c>
      <c r="I792" s="253" t="s">
        <v>1417</v>
      </c>
      <c r="J792" s="253" t="s">
        <v>608</v>
      </c>
      <c r="K792" s="253" t="s">
        <v>48</v>
      </c>
      <c r="L792" s="655"/>
      <c r="M792" s="655" t="s">
        <v>34</v>
      </c>
      <c r="N792" s="253" t="s">
        <v>4467</v>
      </c>
      <c r="O792" s="253" t="s">
        <v>1321</v>
      </c>
      <c r="P792" s="656">
        <v>37096</v>
      </c>
      <c r="Q792" s="657">
        <v>557.705421</v>
      </c>
      <c r="R792" s="657">
        <v>562.02007225</v>
      </c>
      <c r="S792" s="253">
        <v>2</v>
      </c>
      <c r="T792" s="658">
        <v>-1.0435559610456613E-3</v>
      </c>
      <c r="U792" s="659">
        <v>-5.2182024865098937E-2</v>
      </c>
      <c r="V792" s="658">
        <v>-1.0435559610456613E-3</v>
      </c>
      <c r="W792" s="659">
        <v>-8.0931000581792381E-3</v>
      </c>
      <c r="X792" s="658">
        <v>-1.0435559610456613E-3</v>
      </c>
      <c r="Y792" s="659">
        <v>-5.4045685752747959E-3</v>
      </c>
      <c r="Z792" s="658">
        <v>-1.0435559610456613E-3</v>
      </c>
      <c r="AA792" s="659">
        <v>-4.711944244953332E-3</v>
      </c>
      <c r="AB792" s="658">
        <v>3.0474422669447544E-2</v>
      </c>
      <c r="AC792" s="660">
        <v>-4.2654611317101123</v>
      </c>
      <c r="AD792" s="682">
        <v>0</v>
      </c>
      <c r="AE792" s="944" t="s">
        <v>1775</v>
      </c>
      <c r="AF792" s="661" t="s">
        <v>1769</v>
      </c>
      <c r="AG792" s="662" t="s">
        <v>719</v>
      </c>
      <c r="AH792" s="662" t="s">
        <v>2119</v>
      </c>
      <c r="AI792" s="662">
        <v>0</v>
      </c>
      <c r="AJ792" s="662">
        <v>0</v>
      </c>
      <c r="AK792" s="662">
        <v>0</v>
      </c>
      <c r="AL792" s="658">
        <v>1.4999999999999999E-2</v>
      </c>
      <c r="AM792" s="658">
        <v>0</v>
      </c>
      <c r="AN792" s="659" t="s">
        <v>2122</v>
      </c>
      <c r="AO792" s="253" t="s">
        <v>4397</v>
      </c>
      <c r="AP792" s="944" t="s">
        <v>1735</v>
      </c>
      <c r="AQ792" s="663" t="s">
        <v>4468</v>
      </c>
      <c r="AR792" s="658">
        <v>0</v>
      </c>
      <c r="AS792" s="658">
        <v>0</v>
      </c>
      <c r="AT792" s="658" t="s">
        <v>1417</v>
      </c>
      <c r="AU792" s="658" t="s">
        <v>2751</v>
      </c>
      <c r="AX792"/>
      <c r="AY792"/>
      <c r="BA792"/>
      <c r="BB792"/>
      <c r="BC792"/>
      <c r="BD792"/>
      <c r="BE792"/>
      <c r="BF792"/>
      <c r="BG792"/>
      <c r="BH792"/>
      <c r="BI792"/>
      <c r="BJ792"/>
      <c r="BR792"/>
      <c r="BS792"/>
      <c r="BT792"/>
      <c r="BU792"/>
      <c r="BX792"/>
      <c r="BY792"/>
      <c r="CA792"/>
    </row>
    <row r="793" spans="2:79" ht="18.75">
      <c r="B793" s="252" t="s">
        <v>4469</v>
      </c>
      <c r="C793" s="251">
        <v>28557951000185</v>
      </c>
      <c r="D793" s="252" t="s">
        <v>13</v>
      </c>
      <c r="E793" s="252" t="s">
        <v>615</v>
      </c>
      <c r="F793" s="252" t="s">
        <v>619</v>
      </c>
      <c r="G793" s="253" t="s">
        <v>34</v>
      </c>
      <c r="H793" s="253" t="s">
        <v>1337</v>
      </c>
      <c r="I793" s="253" t="s">
        <v>34</v>
      </c>
      <c r="J793" s="253" t="s">
        <v>608</v>
      </c>
      <c r="K793" s="253" t="s">
        <v>48</v>
      </c>
      <c r="L793" s="655"/>
      <c r="M793" s="655" t="s">
        <v>34</v>
      </c>
      <c r="N793" s="253" t="s">
        <v>4470</v>
      </c>
      <c r="O793" s="253" t="s">
        <v>1321</v>
      </c>
      <c r="P793" s="656">
        <v>43024</v>
      </c>
      <c r="Q793" s="657">
        <v>179.01413957</v>
      </c>
      <c r="R793" s="657">
        <v>178.89194893999999</v>
      </c>
      <c r="S793" s="253">
        <v>3</v>
      </c>
      <c r="T793" s="658">
        <v>1.8409494327675802E-3</v>
      </c>
      <c r="U793" s="659">
        <v>9.2054928208938E-2</v>
      </c>
      <c r="V793" s="658">
        <v>1.8409494327675802E-3</v>
      </c>
      <c r="W793" s="659">
        <v>1.4277133682900237E-2</v>
      </c>
      <c r="X793" s="658">
        <v>1.8409494327675802E-3</v>
      </c>
      <c r="Y793" s="659">
        <v>9.5342634457629034E-3</v>
      </c>
      <c r="Z793" s="658">
        <v>1.8409494327675802E-3</v>
      </c>
      <c r="AA793" s="659">
        <v>8.3123966598660885E-3</v>
      </c>
      <c r="AB793" s="658">
        <v>3.3967880807352753E-2</v>
      </c>
      <c r="AC793" s="660">
        <v>-3.7418572190263872</v>
      </c>
      <c r="AD793" s="682">
        <v>0</v>
      </c>
      <c r="AE793" s="944" t="s">
        <v>1775</v>
      </c>
      <c r="AF793" s="661" t="s">
        <v>1769</v>
      </c>
      <c r="AG793" s="662" t="s">
        <v>719</v>
      </c>
      <c r="AH793" s="662" t="s">
        <v>2119</v>
      </c>
      <c r="AI793" s="662">
        <v>0</v>
      </c>
      <c r="AJ793" s="662">
        <v>0</v>
      </c>
      <c r="AK793" s="662">
        <v>0</v>
      </c>
      <c r="AL793" s="658">
        <v>8.7500000000000008E-3</v>
      </c>
      <c r="AM793" s="658">
        <v>0</v>
      </c>
      <c r="AN793" s="659" t="s">
        <v>2122</v>
      </c>
      <c r="AO793" s="253" t="s">
        <v>4397</v>
      </c>
      <c r="AP793" s="944" t="s">
        <v>1746</v>
      </c>
      <c r="AQ793" s="663" t="s">
        <v>2177</v>
      </c>
      <c r="AR793" s="658">
        <v>0</v>
      </c>
      <c r="AS793" s="658">
        <v>0</v>
      </c>
      <c r="AT793" s="658" t="s">
        <v>1417</v>
      </c>
      <c r="AU793" s="658" t="s">
        <v>2751</v>
      </c>
      <c r="AX793"/>
      <c r="AY793"/>
      <c r="BA793"/>
      <c r="BB793"/>
      <c r="BC793"/>
      <c r="BD793"/>
      <c r="BE793"/>
      <c r="BF793"/>
      <c r="BG793"/>
      <c r="BH793"/>
      <c r="BI793"/>
      <c r="BJ793"/>
      <c r="BR793"/>
      <c r="BS793"/>
      <c r="BT793"/>
      <c r="BU793"/>
      <c r="BX793"/>
      <c r="BY793"/>
      <c r="CA793"/>
    </row>
    <row r="794" spans="2:79" ht="18.75">
      <c r="B794" s="252" t="s">
        <v>4471</v>
      </c>
      <c r="C794" s="251">
        <v>27825176000139</v>
      </c>
      <c r="D794" s="252" t="s">
        <v>11</v>
      </c>
      <c r="E794" s="252" t="s">
        <v>620</v>
      </c>
      <c r="F794" s="252" t="s">
        <v>663</v>
      </c>
      <c r="G794" s="253" t="s">
        <v>1417</v>
      </c>
      <c r="H794" s="253" t="s">
        <v>34</v>
      </c>
      <c r="I794" s="253" t="s">
        <v>1417</v>
      </c>
      <c r="J794" s="253" t="s">
        <v>608</v>
      </c>
      <c r="K794" s="253" t="s">
        <v>48</v>
      </c>
      <c r="L794" s="655"/>
      <c r="M794" s="655" t="s">
        <v>34</v>
      </c>
      <c r="N794" s="253" t="s">
        <v>4472</v>
      </c>
      <c r="O794" s="253" t="s">
        <v>1321</v>
      </c>
      <c r="P794" s="656">
        <v>42928</v>
      </c>
      <c r="Q794" s="657">
        <v>16.236507</v>
      </c>
      <c r="R794" s="657">
        <v>16.2795615</v>
      </c>
      <c r="S794" s="253">
        <v>2</v>
      </c>
      <c r="T794" s="658">
        <v>1.1406226870207536E-3</v>
      </c>
      <c r="U794" s="659">
        <v>5.7035754322339219E-2</v>
      </c>
      <c r="V794" s="658">
        <v>1.1406226870207536E-3</v>
      </c>
      <c r="W794" s="659">
        <v>8.8458826160490948E-3</v>
      </c>
      <c r="X794" s="658">
        <v>1.1406226870207536E-3</v>
      </c>
      <c r="Y794" s="659">
        <v>5.9072764285116571E-3</v>
      </c>
      <c r="Z794" s="658">
        <v>1.1406226870207536E-3</v>
      </c>
      <c r="AA794" s="659">
        <v>5.1502274016864916E-3</v>
      </c>
      <c r="AB794" s="658">
        <v>5.7169781925320165E-3</v>
      </c>
      <c r="AC794" s="660">
        <v>-22.35504185178014</v>
      </c>
      <c r="AD794" s="682">
        <v>20833938000108</v>
      </c>
      <c r="AE794" s="944" t="s">
        <v>1775</v>
      </c>
      <c r="AF794" s="661" t="s">
        <v>1769</v>
      </c>
      <c r="AG794" s="662" t="s">
        <v>719</v>
      </c>
      <c r="AH794" s="662" t="s">
        <v>2119</v>
      </c>
      <c r="AI794" s="662">
        <v>0</v>
      </c>
      <c r="AJ794" s="662">
        <v>0</v>
      </c>
      <c r="AK794" s="662">
        <v>0</v>
      </c>
      <c r="AL794" s="658">
        <v>8.0000000000000002E-3</v>
      </c>
      <c r="AM794" s="658">
        <v>0</v>
      </c>
      <c r="AN794" s="659" t="s">
        <v>64</v>
      </c>
      <c r="AO794" s="253" t="s">
        <v>4397</v>
      </c>
      <c r="AP794" s="944" t="s">
        <v>1735</v>
      </c>
      <c r="AQ794" s="663" t="s">
        <v>2614</v>
      </c>
      <c r="AR794" s="658">
        <v>0</v>
      </c>
      <c r="AS794" s="658">
        <v>0</v>
      </c>
      <c r="AT794" s="658" t="s">
        <v>1417</v>
      </c>
      <c r="AU794" s="658" t="s">
        <v>2751</v>
      </c>
      <c r="AX794"/>
      <c r="AY794"/>
      <c r="BA794"/>
      <c r="BB794"/>
      <c r="BC794"/>
      <c r="BD794"/>
      <c r="BE794"/>
      <c r="BF794"/>
      <c r="BG794"/>
      <c r="BH794"/>
      <c r="BI794"/>
      <c r="BJ794"/>
      <c r="BR794"/>
      <c r="BS794"/>
      <c r="BT794"/>
      <c r="BU794"/>
      <c r="BX794"/>
      <c r="BY794"/>
      <c r="CA794"/>
    </row>
    <row r="795" spans="2:79" ht="18.75">
      <c r="B795" s="252" t="s">
        <v>4473</v>
      </c>
      <c r="C795" s="251">
        <v>28320997000186</v>
      </c>
      <c r="D795" s="252" t="s">
        <v>11</v>
      </c>
      <c r="E795" s="252" t="s">
        <v>620</v>
      </c>
      <c r="F795" s="252" t="s">
        <v>672</v>
      </c>
      <c r="G795" s="253" t="s">
        <v>1417</v>
      </c>
      <c r="H795" s="253" t="s">
        <v>34</v>
      </c>
      <c r="I795" s="253" t="s">
        <v>1417</v>
      </c>
      <c r="J795" s="253" t="s">
        <v>608</v>
      </c>
      <c r="K795" s="253" t="s">
        <v>48</v>
      </c>
      <c r="L795" s="655"/>
      <c r="M795" s="655" t="s">
        <v>34</v>
      </c>
      <c r="N795" s="253" t="s">
        <v>4474</v>
      </c>
      <c r="O795" s="253" t="s">
        <v>1321</v>
      </c>
      <c r="P795" s="656">
        <v>43242</v>
      </c>
      <c r="Q795" s="657">
        <v>21.381282370000001</v>
      </c>
      <c r="R795" s="657">
        <v>21.354491535000001</v>
      </c>
      <c r="S795" s="253">
        <v>1</v>
      </c>
      <c r="T795" s="658">
        <v>2.4069432646351974E-3</v>
      </c>
      <c r="U795" s="659">
        <v>0.12035691230034633</v>
      </c>
      <c r="V795" s="658">
        <v>2.4069432646351974E-3</v>
      </c>
      <c r="W795" s="659">
        <v>1.8666591349384188E-2</v>
      </c>
      <c r="X795" s="658">
        <v>2.4069432646351974E-3</v>
      </c>
      <c r="Y795" s="659">
        <v>1.246554129927252E-2</v>
      </c>
      <c r="Z795" s="658">
        <v>2.4069432646351974E-3</v>
      </c>
      <c r="AA795" s="659">
        <v>1.0868015599626052E-2</v>
      </c>
      <c r="AB795" s="658">
        <v>3.0831680359236054E-2</v>
      </c>
      <c r="AC795" s="660">
        <v>-4.1041216277479755</v>
      </c>
      <c r="AD795" s="682">
        <v>28320922000103</v>
      </c>
      <c r="AE795" s="944" t="s">
        <v>1775</v>
      </c>
      <c r="AF795" s="661" t="s">
        <v>1769</v>
      </c>
      <c r="AG795" s="662" t="s">
        <v>719</v>
      </c>
      <c r="AH795" s="662" t="s">
        <v>2119</v>
      </c>
      <c r="AI795" s="662">
        <v>0</v>
      </c>
      <c r="AJ795" s="662">
        <v>0</v>
      </c>
      <c r="AK795" s="662">
        <v>0</v>
      </c>
      <c r="AL795" s="658">
        <v>7.4999999999999997E-3</v>
      </c>
      <c r="AM795" s="658">
        <v>0</v>
      </c>
      <c r="AN795" s="659" t="s">
        <v>64</v>
      </c>
      <c r="AO795" s="253" t="s">
        <v>4397</v>
      </c>
      <c r="AP795" s="944" t="s">
        <v>1735</v>
      </c>
      <c r="AQ795" s="663" t="s">
        <v>2637</v>
      </c>
      <c r="AR795" s="658">
        <v>0</v>
      </c>
      <c r="AS795" s="658">
        <v>0</v>
      </c>
      <c r="AT795" s="658" t="s">
        <v>1417</v>
      </c>
      <c r="AU795" s="658" t="s">
        <v>2751</v>
      </c>
      <c r="AX795"/>
      <c r="AY795"/>
      <c r="BA795"/>
      <c r="BB795"/>
      <c r="BC795"/>
      <c r="BD795"/>
      <c r="BE795"/>
      <c r="BF795"/>
      <c r="BG795"/>
      <c r="BH795"/>
      <c r="BI795"/>
      <c r="BJ795"/>
      <c r="BR795"/>
      <c r="BS795"/>
      <c r="BT795"/>
      <c r="BU795"/>
      <c r="BX795"/>
      <c r="BY795"/>
      <c r="CA795"/>
    </row>
    <row r="796" spans="2:79" ht="18.75">
      <c r="B796" s="252" t="s">
        <v>4475</v>
      </c>
      <c r="C796" s="251">
        <v>21818801000139</v>
      </c>
      <c r="D796" s="252" t="s">
        <v>13</v>
      </c>
      <c r="E796" s="252" t="s">
        <v>615</v>
      </c>
      <c r="F796" s="252" t="s">
        <v>619</v>
      </c>
      <c r="G796" s="253" t="s">
        <v>34</v>
      </c>
      <c r="H796" s="253" t="s">
        <v>1337</v>
      </c>
      <c r="I796" s="253" t="s">
        <v>34</v>
      </c>
      <c r="J796" s="253" t="s">
        <v>608</v>
      </c>
      <c r="K796" s="253" t="s">
        <v>48</v>
      </c>
      <c r="L796" s="655"/>
      <c r="M796" s="655" t="s">
        <v>34</v>
      </c>
      <c r="N796" s="253" t="s">
        <v>4476</v>
      </c>
      <c r="O796" s="253" t="s">
        <v>1321</v>
      </c>
      <c r="P796" s="656">
        <v>42220</v>
      </c>
      <c r="Q796" s="657">
        <v>70.147723999999997</v>
      </c>
      <c r="R796" s="657">
        <v>70.396476500000006</v>
      </c>
      <c r="S796" s="253">
        <v>3</v>
      </c>
      <c r="T796" s="658">
        <v>2.9100183801888946E-4</v>
      </c>
      <c r="U796" s="659">
        <v>1.4551270573046685E-2</v>
      </c>
      <c r="V796" s="658">
        <v>2.9100183801888946E-4</v>
      </c>
      <c r="W796" s="659">
        <v>2.2568094861353497E-3</v>
      </c>
      <c r="X796" s="658">
        <v>2.9100183801888946E-4</v>
      </c>
      <c r="Y796" s="659">
        <v>1.5070963588078056E-3</v>
      </c>
      <c r="Z796" s="658">
        <v>2.9100183801888946E-4</v>
      </c>
      <c r="AA796" s="659">
        <v>1.3139539105789758E-3</v>
      </c>
      <c r="AB796" s="658">
        <v>9.9624023894351026E-3</v>
      </c>
      <c r="AC796" s="660">
        <v>-12.913843727613623</v>
      </c>
      <c r="AD796" s="682">
        <v>0</v>
      </c>
      <c r="AE796" s="944" t="s">
        <v>1738</v>
      </c>
      <c r="AF796" s="661" t="s">
        <v>1769</v>
      </c>
      <c r="AG796" s="662" t="s">
        <v>719</v>
      </c>
      <c r="AH796" s="662" t="s">
        <v>2119</v>
      </c>
      <c r="AI796" s="662">
        <v>0</v>
      </c>
      <c r="AJ796" s="662">
        <v>0</v>
      </c>
      <c r="AK796" s="662">
        <v>0</v>
      </c>
      <c r="AL796" s="658">
        <v>1.4999999999999999E-2</v>
      </c>
      <c r="AM796" s="658">
        <v>0</v>
      </c>
      <c r="AN796" s="659" t="s">
        <v>64</v>
      </c>
      <c r="AO796" s="253" t="s">
        <v>4397</v>
      </c>
      <c r="AP796" s="944" t="s">
        <v>1746</v>
      </c>
      <c r="AQ796" s="663" t="s">
        <v>2177</v>
      </c>
      <c r="AR796" s="658">
        <v>0</v>
      </c>
      <c r="AS796" s="658">
        <v>0</v>
      </c>
      <c r="AT796" s="658" t="s">
        <v>1417</v>
      </c>
      <c r="AU796" s="658" t="s">
        <v>2751</v>
      </c>
      <c r="AX796"/>
      <c r="AY796"/>
      <c r="BA796"/>
      <c r="BB796"/>
      <c r="BC796"/>
      <c r="BD796"/>
      <c r="BE796"/>
      <c r="BF796"/>
      <c r="BG796"/>
      <c r="BH796"/>
      <c r="BI796"/>
      <c r="BJ796"/>
      <c r="BR796"/>
      <c r="BS796"/>
      <c r="BT796"/>
      <c r="BU796"/>
      <c r="BX796"/>
      <c r="BY796"/>
      <c r="CA796"/>
    </row>
    <row r="797" spans="2:79" ht="18.75">
      <c r="B797" s="252" t="s">
        <v>4477</v>
      </c>
      <c r="C797" s="251">
        <v>31248087000144</v>
      </c>
      <c r="D797" s="252" t="s">
        <v>13</v>
      </c>
      <c r="E797" s="252" t="s">
        <v>615</v>
      </c>
      <c r="F797" s="252" t="s">
        <v>619</v>
      </c>
      <c r="G797" s="253" t="s">
        <v>34</v>
      </c>
      <c r="H797" s="253" t="s">
        <v>1337</v>
      </c>
      <c r="I797" s="253" t="s">
        <v>34</v>
      </c>
      <c r="J797" s="253" t="s">
        <v>608</v>
      </c>
      <c r="K797" s="253" t="s">
        <v>48</v>
      </c>
      <c r="L797" s="655"/>
      <c r="M797" s="655" t="s">
        <v>34</v>
      </c>
      <c r="N797" s="253" t="s">
        <v>4478</v>
      </c>
      <c r="O797" s="253" t="s">
        <v>1321</v>
      </c>
      <c r="P797" s="656">
        <v>43537</v>
      </c>
      <c r="Q797" s="657">
        <v>7.7674373900000004</v>
      </c>
      <c r="R797" s="657">
        <v>7.7709962425000008</v>
      </c>
      <c r="S797" s="253">
        <v>7</v>
      </c>
      <c r="T797" s="658">
        <v>-7.9953047323289006E-4</v>
      </c>
      <c r="U797" s="659">
        <v>-3.9979762075085752E-2</v>
      </c>
      <c r="V797" s="658">
        <v>-7.9953047323289006E-4</v>
      </c>
      <c r="W797" s="659">
        <v>-6.2006067340686193E-3</v>
      </c>
      <c r="X797" s="658">
        <v>-7.9953047323289006E-4</v>
      </c>
      <c r="Y797" s="659">
        <v>-4.1407623854491033E-3</v>
      </c>
      <c r="Z797" s="658">
        <v>-7.9953047323289006E-4</v>
      </c>
      <c r="AA797" s="659">
        <v>-3.6101015687166286E-3</v>
      </c>
      <c r="AB797" s="658">
        <v>1.7006743450278947E-2</v>
      </c>
      <c r="AC797" s="660">
        <v>-7.6289408550990503</v>
      </c>
      <c r="AD797" s="682">
        <v>0</v>
      </c>
      <c r="AE797" s="944" t="s">
        <v>1954</v>
      </c>
      <c r="AF797" s="661" t="s">
        <v>1769</v>
      </c>
      <c r="AG797" s="662" t="s">
        <v>719</v>
      </c>
      <c r="AH797" s="662" t="s">
        <v>2119</v>
      </c>
      <c r="AI797" s="662">
        <v>0</v>
      </c>
      <c r="AJ797" s="662">
        <v>0</v>
      </c>
      <c r="AK797" s="662">
        <v>0</v>
      </c>
      <c r="AL797" s="658">
        <v>0.01</v>
      </c>
      <c r="AM797" s="658">
        <v>0.2</v>
      </c>
      <c r="AN797" s="659" t="s">
        <v>64</v>
      </c>
      <c r="AO797" s="253" t="s">
        <v>4397</v>
      </c>
      <c r="AP797" s="944" t="s">
        <v>1746</v>
      </c>
      <c r="AQ797" s="663" t="s">
        <v>2177</v>
      </c>
      <c r="AR797" s="658">
        <v>0</v>
      </c>
      <c r="AS797" s="658">
        <v>0</v>
      </c>
      <c r="AT797" s="658" t="s">
        <v>1417</v>
      </c>
      <c r="AU797" s="658" t="s">
        <v>2751</v>
      </c>
      <c r="AX797"/>
      <c r="AY797"/>
      <c r="BA797"/>
      <c r="BB797"/>
      <c r="BC797"/>
      <c r="BD797"/>
      <c r="BE797"/>
      <c r="BF797"/>
      <c r="BG797"/>
      <c r="BH797"/>
      <c r="BI797"/>
      <c r="BJ797"/>
      <c r="BR797"/>
      <c r="BS797"/>
      <c r="BT797"/>
      <c r="BU797"/>
      <c r="BX797"/>
      <c r="BY797"/>
      <c r="CA797"/>
    </row>
    <row r="798" spans="2:79" ht="18.75">
      <c r="B798" s="252" t="s">
        <v>4389</v>
      </c>
      <c r="C798" s="251">
        <v>12823627000121</v>
      </c>
      <c r="D798" s="252" t="s">
        <v>11</v>
      </c>
      <c r="E798" s="252" t="s">
        <v>621</v>
      </c>
      <c r="F798" s="252" t="s">
        <v>672</v>
      </c>
      <c r="G798" s="253" t="s">
        <v>865</v>
      </c>
      <c r="H798" s="253" t="s">
        <v>34</v>
      </c>
      <c r="I798" s="253" t="s">
        <v>1417</v>
      </c>
      <c r="J798" s="253" t="s">
        <v>608</v>
      </c>
      <c r="K798" s="253" t="s">
        <v>48</v>
      </c>
      <c r="L798" s="655"/>
      <c r="M798" s="655" t="s">
        <v>34</v>
      </c>
      <c r="N798" s="253" t="s">
        <v>4390</v>
      </c>
      <c r="O798" s="253" t="s">
        <v>1321</v>
      </c>
      <c r="P798" s="656">
        <v>40749</v>
      </c>
      <c r="Q798" s="657">
        <v>739.21007099999997</v>
      </c>
      <c r="R798" s="657">
        <v>787.51352319999967</v>
      </c>
      <c r="S798" s="253">
        <v>1</v>
      </c>
      <c r="T798" s="658">
        <v>2.6400031910714272E-2</v>
      </c>
      <c r="U798" s="659">
        <v>1.320108526066883</v>
      </c>
      <c r="V798" s="658">
        <v>0.10146965305914324</v>
      </c>
      <c r="W798" s="659">
        <v>0.78692862264283225</v>
      </c>
      <c r="X798" s="658">
        <v>0.15760779640054512</v>
      </c>
      <c r="Y798" s="659">
        <v>0.81624960753534836</v>
      </c>
      <c r="Z798" s="658">
        <v>0.21572004844699211</v>
      </c>
      <c r="AA798" s="659">
        <v>0.97403577646410733</v>
      </c>
      <c r="AB798" s="658">
        <v>2.7474879944562842E-2</v>
      </c>
      <c r="AC798" s="660">
        <v>-0.99997730447161237</v>
      </c>
      <c r="AD798" s="682">
        <v>34626088000173</v>
      </c>
      <c r="AE798" s="944" t="s">
        <v>1775</v>
      </c>
      <c r="AF798" s="661" t="s">
        <v>1769</v>
      </c>
      <c r="AG798" s="662" t="s">
        <v>719</v>
      </c>
      <c r="AH798" s="662" t="s">
        <v>2119</v>
      </c>
      <c r="AI798" s="662">
        <v>0</v>
      </c>
      <c r="AJ798" s="662">
        <v>0</v>
      </c>
      <c r="AK798" s="662">
        <v>0</v>
      </c>
      <c r="AL798" s="658">
        <v>7.4999999999999997E-3</v>
      </c>
      <c r="AM798" s="658">
        <v>0</v>
      </c>
      <c r="AN798" s="659" t="s">
        <v>2218</v>
      </c>
      <c r="AO798" s="253" t="s">
        <v>4397</v>
      </c>
      <c r="AP798" s="944" t="s">
        <v>1735</v>
      </c>
      <c r="AQ798" s="663" t="s">
        <v>4391</v>
      </c>
      <c r="AR798" s="658">
        <v>0</v>
      </c>
      <c r="AS798" s="658">
        <v>0</v>
      </c>
      <c r="AT798" s="658" t="s">
        <v>1417</v>
      </c>
      <c r="AU798" s="658" t="s">
        <v>2751</v>
      </c>
      <c r="AX798"/>
      <c r="AY798"/>
      <c r="BA798"/>
      <c r="BB798"/>
      <c r="BC798"/>
      <c r="BD798"/>
      <c r="BE798"/>
      <c r="BF798"/>
      <c r="BG798"/>
      <c r="BH798"/>
      <c r="BI798"/>
      <c r="BJ798"/>
      <c r="BR798"/>
      <c r="BS798"/>
      <c r="BT798"/>
      <c r="BU798"/>
      <c r="BX798"/>
      <c r="BY798"/>
      <c r="CA798"/>
    </row>
    <row r="799" spans="2:79" ht="18.75">
      <c r="B799" s="252" t="s">
        <v>4479</v>
      </c>
      <c r="C799" s="251">
        <v>21494444000109</v>
      </c>
      <c r="D799" s="252" t="s">
        <v>11</v>
      </c>
      <c r="E799" s="252" t="s">
        <v>620</v>
      </c>
      <c r="F799" s="252" t="s">
        <v>663</v>
      </c>
      <c r="G799" s="253" t="s">
        <v>1417</v>
      </c>
      <c r="H799" s="253" t="s">
        <v>34</v>
      </c>
      <c r="I799" s="253" t="s">
        <v>1417</v>
      </c>
      <c r="J799" s="253" t="s">
        <v>608</v>
      </c>
      <c r="K799" s="253" t="s">
        <v>48</v>
      </c>
      <c r="L799" s="655"/>
      <c r="M799" s="655" t="s">
        <v>34</v>
      </c>
      <c r="N799" s="253" t="s">
        <v>4480</v>
      </c>
      <c r="O799" s="253" t="s">
        <v>1321</v>
      </c>
      <c r="P799" s="656">
        <v>42136</v>
      </c>
      <c r="Q799" s="657">
        <v>2461.07375</v>
      </c>
      <c r="R799" s="657">
        <v>2486.9193557499998</v>
      </c>
      <c r="S799" s="253">
        <v>5</v>
      </c>
      <c r="T799" s="658">
        <v>1.2161264017269691E-3</v>
      </c>
      <c r="U799" s="659">
        <v>6.0811245877443923E-2</v>
      </c>
      <c r="V799" s="658">
        <v>1.2161264017269691E-3</v>
      </c>
      <c r="W799" s="659">
        <v>9.4314373353852083E-3</v>
      </c>
      <c r="X799" s="658">
        <v>1.2161264017269691E-3</v>
      </c>
      <c r="Y799" s="659">
        <v>6.2983096064629738E-3</v>
      </c>
      <c r="Z799" s="658">
        <v>1.2161264017269691E-3</v>
      </c>
      <c r="AA799" s="659">
        <v>5.4911475892594356E-3</v>
      </c>
      <c r="AB799" s="658">
        <v>1.9938229041619078E-3</v>
      </c>
      <c r="AC799" s="660">
        <v>-64.06174930503721</v>
      </c>
      <c r="AD799" s="682">
        <v>34081211000118</v>
      </c>
      <c r="AE799" s="944" t="s">
        <v>1775</v>
      </c>
      <c r="AF799" s="661" t="s">
        <v>1769</v>
      </c>
      <c r="AG799" s="662" t="s">
        <v>719</v>
      </c>
      <c r="AH799" s="662" t="s">
        <v>2119</v>
      </c>
      <c r="AI799" s="662">
        <v>0</v>
      </c>
      <c r="AJ799" s="662">
        <v>0</v>
      </c>
      <c r="AK799" s="662">
        <v>0</v>
      </c>
      <c r="AL799" s="658">
        <v>4.4999999999999997E-3</v>
      </c>
      <c r="AM799" s="658">
        <v>0</v>
      </c>
      <c r="AN799" s="659" t="s">
        <v>64</v>
      </c>
      <c r="AO799" s="253" t="s">
        <v>4397</v>
      </c>
      <c r="AP799" s="944" t="s">
        <v>1735</v>
      </c>
      <c r="AQ799" s="663" t="s">
        <v>2190</v>
      </c>
      <c r="AR799" s="658">
        <v>0</v>
      </c>
      <c r="AS799" s="658">
        <v>0</v>
      </c>
      <c r="AT799" s="658" t="s">
        <v>1417</v>
      </c>
      <c r="AU799" s="658" t="s">
        <v>2751</v>
      </c>
      <c r="AX799"/>
      <c r="AY799"/>
      <c r="BA799"/>
      <c r="BB799"/>
      <c r="BC799"/>
      <c r="BD799"/>
      <c r="BE799"/>
      <c r="BF799"/>
      <c r="BG799"/>
      <c r="BH799"/>
      <c r="BI799"/>
      <c r="BJ799"/>
      <c r="BR799"/>
      <c r="BS799"/>
      <c r="BT799"/>
      <c r="BU799"/>
      <c r="BX799"/>
      <c r="BY799"/>
      <c r="CA799"/>
    </row>
    <row r="800" spans="2:79" ht="18.75">
      <c r="B800" s="252" t="s">
        <v>233</v>
      </c>
      <c r="C800" s="251">
        <v>32760042000117</v>
      </c>
      <c r="D800" s="252" t="s">
        <v>11</v>
      </c>
      <c r="E800" s="252" t="s">
        <v>620</v>
      </c>
      <c r="F800" s="252" t="s">
        <v>663</v>
      </c>
      <c r="G800" s="253" t="s">
        <v>738</v>
      </c>
      <c r="H800" s="253" t="s">
        <v>34</v>
      </c>
      <c r="I800" s="253" t="s">
        <v>1417</v>
      </c>
      <c r="J800" s="253" t="s">
        <v>608</v>
      </c>
      <c r="K800" s="253" t="s">
        <v>48</v>
      </c>
      <c r="L800" s="655"/>
      <c r="M800" s="655" t="s">
        <v>1414</v>
      </c>
      <c r="N800" s="253" t="s">
        <v>3398</v>
      </c>
      <c r="O800" s="253" t="s">
        <v>1321</v>
      </c>
      <c r="P800" s="656">
        <v>43635</v>
      </c>
      <c r="Q800" s="657">
        <v>613.49515453000004</v>
      </c>
      <c r="R800" s="657">
        <v>471.67829485404042</v>
      </c>
      <c r="S800" s="253">
        <v>46</v>
      </c>
      <c r="T800" s="658">
        <v>-2.1866994899663705E-2</v>
      </c>
      <c r="U800" s="659">
        <v>-1.0934383149283888</v>
      </c>
      <c r="V800" s="658">
        <v>0.11155030621920203</v>
      </c>
      <c r="W800" s="659">
        <v>0.86510721365428911</v>
      </c>
      <c r="X800" s="658">
        <v>0.21695431415439481</v>
      </c>
      <c r="Y800" s="659">
        <v>1.1236047824155286</v>
      </c>
      <c r="Z800" s="658">
        <v>0.29270066196856259</v>
      </c>
      <c r="AA800" s="659">
        <v>1.3216245713117556</v>
      </c>
      <c r="AB800" s="658">
        <v>2.2998287578393131E-2</v>
      </c>
      <c r="AC800" s="660">
        <v>-0.75629992747493047</v>
      </c>
      <c r="AD800" s="682">
        <v>32760072000123</v>
      </c>
      <c r="AE800" s="944" t="s">
        <v>1775</v>
      </c>
      <c r="AF800" s="661" t="s">
        <v>1769</v>
      </c>
      <c r="AG800" s="662" t="s">
        <v>719</v>
      </c>
      <c r="AH800" s="662" t="s">
        <v>1730</v>
      </c>
      <c r="AI800" s="662">
        <v>20000</v>
      </c>
      <c r="AJ800" s="662">
        <v>5000</v>
      </c>
      <c r="AK800" s="662">
        <v>20000</v>
      </c>
      <c r="AL800" s="658">
        <v>5.0000000000000001E-3</v>
      </c>
      <c r="AM800" s="658">
        <v>0</v>
      </c>
      <c r="AN800" s="659" t="s">
        <v>2122</v>
      </c>
      <c r="AO800" s="253" t="s">
        <v>34</v>
      </c>
      <c r="AP800" s="944" t="s">
        <v>1735</v>
      </c>
      <c r="AQ800" s="663" t="s">
        <v>675</v>
      </c>
      <c r="AR800" s="658">
        <v>0</v>
      </c>
      <c r="AS800" s="658">
        <v>0</v>
      </c>
      <c r="AT800" s="658" t="s">
        <v>1417</v>
      </c>
      <c r="AU800" s="658" t="s">
        <v>2751</v>
      </c>
      <c r="AX800"/>
      <c r="AY800"/>
      <c r="BA800"/>
      <c r="BB800"/>
      <c r="BC800"/>
      <c r="BD800"/>
      <c r="BE800"/>
      <c r="BF800"/>
      <c r="BG800"/>
      <c r="BH800"/>
      <c r="BI800"/>
      <c r="BJ800"/>
      <c r="BR800"/>
      <c r="BS800"/>
      <c r="BT800"/>
      <c r="BU800"/>
      <c r="BX800"/>
      <c r="BY800"/>
      <c r="CA800"/>
    </row>
    <row r="801" spans="2:79" ht="18.75">
      <c r="B801" s="252" t="s">
        <v>4481</v>
      </c>
      <c r="C801" s="251">
        <v>36352241000147</v>
      </c>
      <c r="D801" s="252" t="s">
        <v>13</v>
      </c>
      <c r="E801" s="252" t="s">
        <v>615</v>
      </c>
      <c r="F801" s="252" t="s">
        <v>619</v>
      </c>
      <c r="G801" s="253" t="s">
        <v>34</v>
      </c>
      <c r="H801" s="253" t="s">
        <v>1337</v>
      </c>
      <c r="I801" s="253" t="s">
        <v>34</v>
      </c>
      <c r="J801" s="253" t="s">
        <v>608</v>
      </c>
      <c r="K801" s="253" t="s">
        <v>48</v>
      </c>
      <c r="L801" s="655"/>
      <c r="M801" s="655" t="s">
        <v>34</v>
      </c>
      <c r="N801" s="253" t="s">
        <v>4482</v>
      </c>
      <c r="O801" s="253" t="s">
        <v>1321</v>
      </c>
      <c r="P801" s="656">
        <v>44123</v>
      </c>
      <c r="Q801" s="657">
        <v>18.797169969999999</v>
      </c>
      <c r="R801" s="657">
        <v>19.2215360975</v>
      </c>
      <c r="S801" s="253">
        <v>23</v>
      </c>
      <c r="T801" s="658">
        <v>1.9772431645226352E-3</v>
      </c>
      <c r="U801" s="659">
        <v>9.8870166840005741E-2</v>
      </c>
      <c r="V801" s="658">
        <v>1.9772431645226352E-3</v>
      </c>
      <c r="W801" s="659">
        <v>1.5334133833894571E-2</v>
      </c>
      <c r="X801" s="658">
        <v>1.9772431645226352E-3</v>
      </c>
      <c r="Y801" s="659">
        <v>1.0240127670727139E-2</v>
      </c>
      <c r="Z801" s="658"/>
      <c r="AA801" s="659"/>
      <c r="AB801" s="658">
        <v>7.4603625586972151E-3</v>
      </c>
      <c r="AC801" s="660">
        <v>-17.018833238104396</v>
      </c>
      <c r="AD801" s="682">
        <v>0</v>
      </c>
      <c r="AE801" s="944" t="s">
        <v>1775</v>
      </c>
      <c r="AF801" s="661" t="s">
        <v>1769</v>
      </c>
      <c r="AG801" s="662" t="s">
        <v>719</v>
      </c>
      <c r="AH801" s="662" t="s">
        <v>2119</v>
      </c>
      <c r="AI801" s="662">
        <v>0</v>
      </c>
      <c r="AJ801" s="662">
        <v>0</v>
      </c>
      <c r="AK801" s="662">
        <v>0</v>
      </c>
      <c r="AL801" s="658">
        <v>8.9999999999999993E-3</v>
      </c>
      <c r="AM801" s="658">
        <v>0</v>
      </c>
      <c r="AN801" s="659" t="s">
        <v>64</v>
      </c>
      <c r="AO801" s="253" t="s">
        <v>4397</v>
      </c>
      <c r="AP801" s="944" t="s">
        <v>1746</v>
      </c>
      <c r="AQ801" s="663" t="s">
        <v>2177</v>
      </c>
      <c r="AR801" s="658">
        <v>0</v>
      </c>
      <c r="AS801" s="658">
        <v>0</v>
      </c>
      <c r="AT801" s="658" t="s">
        <v>1417</v>
      </c>
      <c r="AU801" s="658" t="s">
        <v>2751</v>
      </c>
      <c r="AX801"/>
      <c r="AY801"/>
      <c r="BA801"/>
      <c r="BB801"/>
      <c r="BC801"/>
      <c r="BD801"/>
      <c r="BE801"/>
      <c r="BF801"/>
      <c r="BG801"/>
      <c r="BH801"/>
      <c r="BI801"/>
      <c r="BJ801"/>
      <c r="BR801"/>
      <c r="BS801"/>
      <c r="BT801"/>
      <c r="BU801"/>
      <c r="BX801"/>
      <c r="BY801"/>
      <c r="CA801"/>
    </row>
    <row r="802" spans="2:79" ht="18.75">
      <c r="B802" s="252" t="s">
        <v>234</v>
      </c>
      <c r="C802" s="251">
        <v>8279304000141</v>
      </c>
      <c r="D802" s="252" t="s">
        <v>14</v>
      </c>
      <c r="E802" s="252" t="s">
        <v>607</v>
      </c>
      <c r="F802" s="252" t="s">
        <v>1417</v>
      </c>
      <c r="G802" s="253" t="s">
        <v>1417</v>
      </c>
      <c r="H802" s="253" t="s">
        <v>34</v>
      </c>
      <c r="I802" s="253" t="s">
        <v>34</v>
      </c>
      <c r="J802" s="253" t="s">
        <v>608</v>
      </c>
      <c r="K802" s="253" t="s">
        <v>48</v>
      </c>
      <c r="L802" s="655"/>
      <c r="M802" s="655" t="s">
        <v>34</v>
      </c>
      <c r="N802" s="253" t="s">
        <v>3399</v>
      </c>
      <c r="O802" s="253" t="s">
        <v>1321</v>
      </c>
      <c r="P802" s="656">
        <v>39016</v>
      </c>
      <c r="Q802" s="657">
        <v>787.93910900000003</v>
      </c>
      <c r="R802" s="657">
        <v>930.41259612550596</v>
      </c>
      <c r="S802" s="253">
        <v>3</v>
      </c>
      <c r="T802" s="658">
        <v>-3.375652135837437E-2</v>
      </c>
      <c r="U802" s="659">
        <v>-1.6879627951306966</v>
      </c>
      <c r="V802" s="658">
        <v>-5.4586804525900368E-2</v>
      </c>
      <c r="W802" s="659">
        <v>-0.42333759508375118</v>
      </c>
      <c r="X802" s="658">
        <v>-9.9840430318240081E-2</v>
      </c>
      <c r="Y802" s="659">
        <v>-0.51707284743904902</v>
      </c>
      <c r="Z802" s="658">
        <v>-0.19488532133473346</v>
      </c>
      <c r="AA802" s="659">
        <v>-0.87996121201678235</v>
      </c>
      <c r="AB802" s="658">
        <v>0.19495083547521394</v>
      </c>
      <c r="AC802" s="660">
        <v>-0.94142050494583707</v>
      </c>
      <c r="AD802" s="682">
        <v>0</v>
      </c>
      <c r="AE802" s="944" t="s">
        <v>1775</v>
      </c>
      <c r="AF802" s="661" t="s">
        <v>1769</v>
      </c>
      <c r="AG802" s="662" t="s">
        <v>719</v>
      </c>
      <c r="AH802" s="662" t="s">
        <v>1734</v>
      </c>
      <c r="AI802" s="662">
        <v>500</v>
      </c>
      <c r="AJ802" s="662">
        <v>500</v>
      </c>
      <c r="AK802" s="662">
        <v>500</v>
      </c>
      <c r="AL802" s="658">
        <v>0.02</v>
      </c>
      <c r="AM802" s="658">
        <v>0</v>
      </c>
      <c r="AN802" s="659" t="s">
        <v>2122</v>
      </c>
      <c r="AO802" s="253" t="s">
        <v>34</v>
      </c>
      <c r="AP802" s="944" t="s">
        <v>1731</v>
      </c>
      <c r="AQ802" s="663" t="s">
        <v>667</v>
      </c>
      <c r="AR802" s="658">
        <v>5.0000000000000001E-3</v>
      </c>
      <c r="AS802" s="658">
        <v>5.0000000000000001E-3</v>
      </c>
      <c r="AT802" s="658" t="s">
        <v>1417</v>
      </c>
      <c r="AU802" s="658" t="s">
        <v>2751</v>
      </c>
      <c r="AX802"/>
      <c r="AY802"/>
      <c r="BA802"/>
      <c r="BB802"/>
      <c r="BC802"/>
      <c r="BD802"/>
      <c r="BE802"/>
      <c r="BF802"/>
      <c r="BG802"/>
      <c r="BH802"/>
      <c r="BI802"/>
      <c r="BJ802"/>
      <c r="BR802"/>
      <c r="BS802"/>
      <c r="BT802"/>
      <c r="BU802"/>
      <c r="BX802"/>
      <c r="BY802"/>
      <c r="CA802"/>
    </row>
    <row r="803" spans="2:79" ht="18.75">
      <c r="B803" s="252" t="s">
        <v>4483</v>
      </c>
      <c r="C803" s="251">
        <v>36617562000126</v>
      </c>
      <c r="D803" s="252" t="s">
        <v>14</v>
      </c>
      <c r="E803" s="252" t="s">
        <v>607</v>
      </c>
      <c r="F803" s="252" t="s">
        <v>1417</v>
      </c>
      <c r="G803" s="253" t="s">
        <v>1417</v>
      </c>
      <c r="H803" s="253" t="s">
        <v>1417</v>
      </c>
      <c r="I803" s="253" t="s">
        <v>1417</v>
      </c>
      <c r="J803" s="253" t="s">
        <v>608</v>
      </c>
      <c r="K803" s="253" t="s">
        <v>48</v>
      </c>
      <c r="L803" s="655"/>
      <c r="M803" s="655" t="s">
        <v>34</v>
      </c>
      <c r="N803" s="253" t="s">
        <v>4484</v>
      </c>
      <c r="O803" s="253" t="s">
        <v>1321</v>
      </c>
      <c r="P803" s="656">
        <v>44187</v>
      </c>
      <c r="Q803" s="657">
        <v>1.12270494</v>
      </c>
      <c r="R803" s="657">
        <v>1.135077525</v>
      </c>
      <c r="S803" s="253">
        <v>32</v>
      </c>
      <c r="T803" s="658">
        <v>-1.3928571724307282E-2</v>
      </c>
      <c r="U803" s="659">
        <v>-0.69648500241887279</v>
      </c>
      <c r="V803" s="658">
        <v>-1.3928571724307282E-2</v>
      </c>
      <c r="W803" s="659">
        <v>-0.10802039261928245</v>
      </c>
      <c r="X803" s="658">
        <v>-1.3928571724307282E-2</v>
      </c>
      <c r="Y803" s="659">
        <v>-7.2135969559526475E-2</v>
      </c>
      <c r="Z803" s="658"/>
      <c r="AA803" s="659"/>
      <c r="AB803" s="658">
        <v>0.15492139910406585</v>
      </c>
      <c r="AC803" s="660">
        <v>-0.92222560599987502</v>
      </c>
      <c r="AD803" s="682">
        <v>14188156000152</v>
      </c>
      <c r="AE803" s="944" t="s">
        <v>1775</v>
      </c>
      <c r="AF803" s="661" t="s">
        <v>1769</v>
      </c>
      <c r="AG803" s="662" t="s">
        <v>719</v>
      </c>
      <c r="AH803" s="662" t="s">
        <v>2119</v>
      </c>
      <c r="AI803" s="662">
        <v>0</v>
      </c>
      <c r="AJ803" s="662">
        <v>0</v>
      </c>
      <c r="AK803" s="662">
        <v>0</v>
      </c>
      <c r="AL803" s="658">
        <v>1.15E-2</v>
      </c>
      <c r="AM803" s="658">
        <v>0.2</v>
      </c>
      <c r="AN803" s="659" t="s">
        <v>636</v>
      </c>
      <c r="AO803" s="253" t="s">
        <v>4397</v>
      </c>
      <c r="AP803" s="944" t="s">
        <v>1731</v>
      </c>
      <c r="AQ803" s="663" t="s">
        <v>2120</v>
      </c>
      <c r="AR803" s="658">
        <v>0</v>
      </c>
      <c r="AS803" s="658">
        <v>0</v>
      </c>
      <c r="AT803" s="658" t="s">
        <v>1417</v>
      </c>
      <c r="AU803" s="658" t="s">
        <v>2751</v>
      </c>
      <c r="AX803"/>
      <c r="AY803"/>
      <c r="BA803"/>
      <c r="BB803"/>
      <c r="BC803"/>
      <c r="BD803"/>
      <c r="BE803"/>
      <c r="BF803"/>
      <c r="BG803"/>
      <c r="BH803"/>
      <c r="BI803"/>
      <c r="BJ803"/>
      <c r="BR803"/>
      <c r="BS803"/>
      <c r="BT803"/>
      <c r="BU803"/>
      <c r="BX803"/>
      <c r="BY803"/>
      <c r="CA803"/>
    </row>
    <row r="804" spans="2:79" ht="18.75">
      <c r="B804" s="252" t="s">
        <v>979</v>
      </c>
      <c r="C804" s="251">
        <v>32745560000161</v>
      </c>
      <c r="D804" s="252" t="s">
        <v>13</v>
      </c>
      <c r="E804" s="252" t="s">
        <v>616</v>
      </c>
      <c r="F804" s="252" t="s">
        <v>17</v>
      </c>
      <c r="G804" s="253" t="s">
        <v>1417</v>
      </c>
      <c r="H804" s="253" t="s">
        <v>34</v>
      </c>
      <c r="I804" s="253" t="s">
        <v>34</v>
      </c>
      <c r="J804" s="253" t="s">
        <v>611</v>
      </c>
      <c r="K804" s="253" t="s">
        <v>49</v>
      </c>
      <c r="L804" s="655"/>
      <c r="M804" s="655" t="s">
        <v>1414</v>
      </c>
      <c r="N804" s="253" t="s">
        <v>3400</v>
      </c>
      <c r="O804" s="253" t="s">
        <v>1321</v>
      </c>
      <c r="P804" s="656">
        <v>43587</v>
      </c>
      <c r="Q804" s="657">
        <v>2.6624177499999999</v>
      </c>
      <c r="R804" s="657">
        <v>5.4752427858775521</v>
      </c>
      <c r="S804" s="253">
        <v>1</v>
      </c>
      <c r="T804" s="658">
        <v>-9.6324892057515488E-3</v>
      </c>
      <c r="U804" s="659">
        <v>-0.48166347566417772</v>
      </c>
      <c r="V804" s="658">
        <v>3.5917524194799544E-2</v>
      </c>
      <c r="W804" s="659">
        <v>0.27855153724512849</v>
      </c>
      <c r="X804" s="658">
        <v>-3.9275492698770842E-2</v>
      </c>
      <c r="Y804" s="659">
        <v>-0.2034074851199319</v>
      </c>
      <c r="Z804" s="658">
        <v>0.18992691235302006</v>
      </c>
      <c r="AA804" s="659">
        <v>0.8575726219098383</v>
      </c>
      <c r="AB804" s="658">
        <v>0.17896268338821486</v>
      </c>
      <c r="AC804" s="660">
        <v>-0.51980884221651558</v>
      </c>
      <c r="AD804" s="682">
        <v>0</v>
      </c>
      <c r="AE804" s="944" t="s">
        <v>1775</v>
      </c>
      <c r="AF804" s="661" t="s">
        <v>1769</v>
      </c>
      <c r="AG804" s="662" t="s">
        <v>719</v>
      </c>
      <c r="AH804" s="662" t="s">
        <v>1734</v>
      </c>
      <c r="AI804" s="662">
        <v>500</v>
      </c>
      <c r="AJ804" s="662">
        <v>500</v>
      </c>
      <c r="AK804" s="662">
        <v>500</v>
      </c>
      <c r="AL804" s="658">
        <v>2.2000000000000001E-3</v>
      </c>
      <c r="AM804" s="658">
        <v>0</v>
      </c>
      <c r="AN804" s="659" t="s">
        <v>2194</v>
      </c>
      <c r="AO804" s="253" t="s">
        <v>34</v>
      </c>
      <c r="AP804" s="944" t="s">
        <v>1740</v>
      </c>
      <c r="AQ804" s="663" t="s">
        <v>17</v>
      </c>
      <c r="AR804" s="658">
        <v>1.4866666666666701E-4</v>
      </c>
      <c r="AS804" s="658">
        <v>1.4866666666666701E-4</v>
      </c>
      <c r="AT804" s="658" t="s">
        <v>1417</v>
      </c>
      <c r="AU804" s="658" t="s">
        <v>2751</v>
      </c>
      <c r="AX804"/>
      <c r="AY804"/>
      <c r="BA804"/>
      <c r="BB804"/>
      <c r="BC804"/>
      <c r="BD804"/>
      <c r="BE804"/>
      <c r="BF804"/>
      <c r="BG804"/>
      <c r="BH804"/>
      <c r="BI804"/>
      <c r="BJ804"/>
      <c r="BR804"/>
      <c r="BS804"/>
      <c r="BT804"/>
      <c r="BU804"/>
      <c r="BX804"/>
      <c r="BY804"/>
      <c r="CA804"/>
    </row>
    <row r="805" spans="2:79" ht="18.75">
      <c r="B805" s="252" t="s">
        <v>980</v>
      </c>
      <c r="C805" s="251">
        <v>19719727000151</v>
      </c>
      <c r="D805" s="252" t="s">
        <v>11</v>
      </c>
      <c r="E805" s="252" t="s">
        <v>621</v>
      </c>
      <c r="F805" s="252" t="s">
        <v>672</v>
      </c>
      <c r="G805" s="253" t="s">
        <v>738</v>
      </c>
      <c r="H805" s="253" t="s">
        <v>34</v>
      </c>
      <c r="I805" s="253" t="s">
        <v>1417</v>
      </c>
      <c r="J805" s="253" t="s">
        <v>608</v>
      </c>
      <c r="K805" s="253" t="s">
        <v>48</v>
      </c>
      <c r="L805" s="655"/>
      <c r="M805" s="655" t="s">
        <v>1414</v>
      </c>
      <c r="N805" s="253" t="s">
        <v>3401</v>
      </c>
      <c r="O805" s="253" t="s">
        <v>1321</v>
      </c>
      <c r="P805" s="656">
        <v>41756</v>
      </c>
      <c r="Q805" s="657">
        <v>663.95879100000002</v>
      </c>
      <c r="R805" s="657">
        <v>838.26969069635607</v>
      </c>
      <c r="S805" s="253">
        <v>6</v>
      </c>
      <c r="T805" s="658">
        <v>4.3582295262674098E-3</v>
      </c>
      <c r="U805" s="659">
        <v>0.2179291288601469</v>
      </c>
      <c r="V805" s="658">
        <v>0.1037048518303576</v>
      </c>
      <c r="W805" s="659">
        <v>0.80426328219212073</v>
      </c>
      <c r="X805" s="658">
        <v>0.17061867552012067</v>
      </c>
      <c r="Y805" s="659">
        <v>0.88363285390758595</v>
      </c>
      <c r="Z805" s="658">
        <v>0.23824662790340523</v>
      </c>
      <c r="AA805" s="659">
        <v>1.075749522914055</v>
      </c>
      <c r="AB805" s="658">
        <v>3.5660934633898397E-2</v>
      </c>
      <c r="AC805" s="660">
        <v>-0.70775087292409689</v>
      </c>
      <c r="AD805" s="682">
        <v>0</v>
      </c>
      <c r="AE805" s="944" t="s">
        <v>1775</v>
      </c>
      <c r="AF805" s="661" t="s">
        <v>1769</v>
      </c>
      <c r="AG805" s="662" t="s">
        <v>719</v>
      </c>
      <c r="AH805" s="662" t="s">
        <v>1734</v>
      </c>
      <c r="AI805" s="662">
        <v>500</v>
      </c>
      <c r="AJ805" s="662">
        <v>500</v>
      </c>
      <c r="AK805" s="662">
        <v>500</v>
      </c>
      <c r="AL805" s="658">
        <v>4.0000000000000001E-3</v>
      </c>
      <c r="AM805" s="658">
        <v>0</v>
      </c>
      <c r="AN805" s="659" t="s">
        <v>2122</v>
      </c>
      <c r="AO805" s="253" t="s">
        <v>34</v>
      </c>
      <c r="AP805" s="944" t="s">
        <v>1735</v>
      </c>
      <c r="AQ805" s="663" t="s">
        <v>669</v>
      </c>
      <c r="AR805" s="658">
        <v>6.6666666666666697E-4</v>
      </c>
      <c r="AS805" s="658">
        <v>6.6666666666666697E-4</v>
      </c>
      <c r="AT805" s="658" t="s">
        <v>1417</v>
      </c>
      <c r="AU805" s="658" t="s">
        <v>2751</v>
      </c>
      <c r="AX805"/>
      <c r="AY805"/>
      <c r="BA805"/>
      <c r="BB805"/>
      <c r="BC805"/>
      <c r="BD805"/>
      <c r="BE805"/>
      <c r="BF805"/>
      <c r="BG805"/>
      <c r="BH805"/>
      <c r="BI805"/>
      <c r="BJ805"/>
      <c r="BR805"/>
      <c r="BS805"/>
      <c r="BT805"/>
      <c r="BU805"/>
      <c r="BX805"/>
      <c r="BY805"/>
      <c r="CA805"/>
    </row>
    <row r="806" spans="2:79" ht="18.75">
      <c r="B806" s="252" t="s">
        <v>2632</v>
      </c>
      <c r="C806" s="251">
        <v>4223291000138</v>
      </c>
      <c r="D806" s="252" t="s">
        <v>11</v>
      </c>
      <c r="E806" s="252" t="s">
        <v>620</v>
      </c>
      <c r="F806" s="252" t="s">
        <v>672</v>
      </c>
      <c r="G806" s="253" t="s">
        <v>738</v>
      </c>
      <c r="H806" s="253" t="s">
        <v>34</v>
      </c>
      <c r="I806" s="253" t="s">
        <v>34</v>
      </c>
      <c r="J806" s="253" t="s">
        <v>608</v>
      </c>
      <c r="K806" s="253" t="s">
        <v>48</v>
      </c>
      <c r="L806" s="655"/>
      <c r="M806" s="655" t="s">
        <v>34</v>
      </c>
      <c r="N806" s="253" t="s">
        <v>3402</v>
      </c>
      <c r="O806" s="253" t="s">
        <v>1321</v>
      </c>
      <c r="P806" s="656">
        <v>36906</v>
      </c>
      <c r="Q806" s="657"/>
      <c r="R806" s="657"/>
      <c r="S806" s="253">
        <v>2</v>
      </c>
      <c r="T806" s="658"/>
      <c r="U806" s="659"/>
      <c r="V806" s="658"/>
      <c r="W806" s="659"/>
      <c r="X806" s="658"/>
      <c r="Y806" s="659"/>
      <c r="Z806" s="658"/>
      <c r="AA806" s="659"/>
      <c r="AB806" s="658"/>
      <c r="AC806" s="660"/>
      <c r="AD806" s="682">
        <v>17329683000128</v>
      </c>
      <c r="AE806" s="944" t="s">
        <v>1775</v>
      </c>
      <c r="AF806" s="661" t="s">
        <v>1769</v>
      </c>
      <c r="AG806" s="662" t="s">
        <v>719</v>
      </c>
      <c r="AH806" s="662" t="s">
        <v>2119</v>
      </c>
      <c r="AI806" s="662">
        <v>0</v>
      </c>
      <c r="AJ806" s="662">
        <v>0</v>
      </c>
      <c r="AK806" s="662">
        <v>0</v>
      </c>
      <c r="AL806" s="658">
        <v>4.4999999999999997E-3</v>
      </c>
      <c r="AM806" s="658">
        <v>0</v>
      </c>
      <c r="AN806" s="659" t="s">
        <v>64</v>
      </c>
      <c r="AO806" s="253" t="s">
        <v>4397</v>
      </c>
      <c r="AP806" s="944" t="s">
        <v>1735</v>
      </c>
      <c r="AQ806" s="663" t="s">
        <v>2633</v>
      </c>
      <c r="AR806" s="658">
        <v>0</v>
      </c>
      <c r="AS806" s="658">
        <v>0</v>
      </c>
      <c r="AT806" s="658" t="s">
        <v>1417</v>
      </c>
      <c r="AU806" s="658" t="s">
        <v>2751</v>
      </c>
      <c r="AX806"/>
      <c r="AY806"/>
      <c r="BA806"/>
      <c r="BB806"/>
      <c r="BC806"/>
      <c r="BD806"/>
      <c r="BE806"/>
      <c r="BF806"/>
      <c r="BG806"/>
      <c r="BH806"/>
      <c r="BI806"/>
      <c r="BJ806"/>
      <c r="BR806"/>
      <c r="BS806"/>
      <c r="BT806"/>
      <c r="BU806"/>
      <c r="BX806"/>
      <c r="BY806"/>
      <c r="CA806"/>
    </row>
    <row r="807" spans="2:79" ht="18.75">
      <c r="B807" s="252" t="s">
        <v>1383</v>
      </c>
      <c r="C807" s="251">
        <v>12682783000110</v>
      </c>
      <c r="D807" s="252" t="s">
        <v>11</v>
      </c>
      <c r="E807" s="252" t="s">
        <v>621</v>
      </c>
      <c r="F807" s="252" t="s">
        <v>672</v>
      </c>
      <c r="G807" s="253" t="s">
        <v>738</v>
      </c>
      <c r="H807" s="253" t="s">
        <v>34</v>
      </c>
      <c r="I807" s="253" t="s">
        <v>1417</v>
      </c>
      <c r="J807" s="253" t="s">
        <v>608</v>
      </c>
      <c r="K807" s="253" t="s">
        <v>48</v>
      </c>
      <c r="L807" s="655"/>
      <c r="M807" s="655" t="s">
        <v>34</v>
      </c>
      <c r="N807" s="253" t="s">
        <v>3403</v>
      </c>
      <c r="O807" s="253" t="s">
        <v>1321</v>
      </c>
      <c r="P807" s="656">
        <v>40516</v>
      </c>
      <c r="Q807" s="657">
        <v>152.004805</v>
      </c>
      <c r="R807" s="657">
        <v>184.90072553846156</v>
      </c>
      <c r="S807" s="253">
        <v>1</v>
      </c>
      <c r="T807" s="658">
        <v>2.673551230544402E-2</v>
      </c>
      <c r="U807" s="659">
        <v>1.3368839046311525</v>
      </c>
      <c r="V807" s="658">
        <v>0.10431698682866752</v>
      </c>
      <c r="W807" s="659">
        <v>0.80901057891157169</v>
      </c>
      <c r="X807" s="658">
        <v>0.16349735526978293</v>
      </c>
      <c r="Y807" s="659">
        <v>0.84675158919718363</v>
      </c>
      <c r="Z807" s="658">
        <v>0.22339265967711297</v>
      </c>
      <c r="AA807" s="659">
        <v>1.0086797415978088</v>
      </c>
      <c r="AB807" s="658">
        <v>2.8243405068193266E-2</v>
      </c>
      <c r="AC807" s="660">
        <v>-0.87195302969523336</v>
      </c>
      <c r="AD807" s="682">
        <v>10922432000103</v>
      </c>
      <c r="AE807" s="944" t="s">
        <v>1775</v>
      </c>
      <c r="AF807" s="661" t="s">
        <v>1769</v>
      </c>
      <c r="AG807" s="662" t="s">
        <v>719</v>
      </c>
      <c r="AH807" s="662" t="s">
        <v>1734</v>
      </c>
      <c r="AI807" s="662">
        <v>500</v>
      </c>
      <c r="AJ807" s="662">
        <v>500</v>
      </c>
      <c r="AK807" s="662">
        <v>500</v>
      </c>
      <c r="AL807" s="658">
        <v>7.6E-3</v>
      </c>
      <c r="AM807" s="658">
        <v>0</v>
      </c>
      <c r="AN807" s="659" t="s">
        <v>636</v>
      </c>
      <c r="AO807" s="253" t="s">
        <v>34</v>
      </c>
      <c r="AP807" s="944" t="s">
        <v>1735</v>
      </c>
      <c r="AQ807" s="663" t="s">
        <v>669</v>
      </c>
      <c r="AR807" s="658">
        <v>1.25E-3</v>
      </c>
      <c r="AS807" s="658">
        <v>1.25E-3</v>
      </c>
      <c r="AT807" s="658" t="s">
        <v>1417</v>
      </c>
      <c r="AU807" s="658" t="s">
        <v>2751</v>
      </c>
      <c r="AX807"/>
      <c r="AY807"/>
      <c r="BA807"/>
      <c r="BB807"/>
      <c r="BC807"/>
      <c r="BD807"/>
      <c r="BE807"/>
      <c r="BF807"/>
      <c r="BG807"/>
      <c r="BH807"/>
      <c r="BI807"/>
      <c r="BJ807"/>
      <c r="BR807"/>
      <c r="BS807"/>
      <c r="BT807"/>
      <c r="BU807"/>
      <c r="BX807"/>
      <c r="BY807"/>
      <c r="CA807"/>
    </row>
    <row r="808" spans="2:79" ht="18.75">
      <c r="B808" s="252" t="s">
        <v>1384</v>
      </c>
      <c r="C808" s="251">
        <v>7400556000114</v>
      </c>
      <c r="D808" s="252" t="s">
        <v>11</v>
      </c>
      <c r="E808" s="252" t="s">
        <v>621</v>
      </c>
      <c r="F808" s="252" t="s">
        <v>672</v>
      </c>
      <c r="G808" s="253" t="s">
        <v>866</v>
      </c>
      <c r="H808" s="253" t="s">
        <v>34</v>
      </c>
      <c r="I808" s="253" t="s">
        <v>1417</v>
      </c>
      <c r="J808" s="253" t="s">
        <v>608</v>
      </c>
      <c r="K808" s="253" t="s">
        <v>48</v>
      </c>
      <c r="L808" s="655"/>
      <c r="M808" s="655" t="s">
        <v>34</v>
      </c>
      <c r="N808" s="253" t="s">
        <v>3404</v>
      </c>
      <c r="O808" s="253" t="s">
        <v>1321</v>
      </c>
      <c r="P808" s="656">
        <v>38536</v>
      </c>
      <c r="Q808" s="657">
        <v>74.725211000000002</v>
      </c>
      <c r="R808" s="657">
        <v>101.92367184426232</v>
      </c>
      <c r="S808" s="253">
        <v>1</v>
      </c>
      <c r="T808" s="658">
        <v>3.3380757532108785E-3</v>
      </c>
      <c r="U808" s="659">
        <v>0.16691730818258654</v>
      </c>
      <c r="V808" s="658">
        <v>4.3710854083473638E-2</v>
      </c>
      <c r="W808" s="659">
        <v>0.33899122704598872</v>
      </c>
      <c r="X808" s="658">
        <v>-1.0088061968145157E-2</v>
      </c>
      <c r="Y808" s="659">
        <v>-5.22459980429133E-2</v>
      </c>
      <c r="Z808" s="658">
        <v>-1.0439472632283286E-2</v>
      </c>
      <c r="AA808" s="659">
        <v>-4.7137110827047163E-2</v>
      </c>
      <c r="AB808" s="658">
        <v>9.0269538001141875E-2</v>
      </c>
      <c r="AC808" s="660">
        <v>-0.94420617686374497</v>
      </c>
      <c r="AD808" s="682">
        <v>10756541000106</v>
      </c>
      <c r="AE808" s="944" t="s">
        <v>1775</v>
      </c>
      <c r="AF808" s="661" t="s">
        <v>1769</v>
      </c>
      <c r="AG808" s="662" t="s">
        <v>719</v>
      </c>
      <c r="AH808" s="662" t="s">
        <v>1734</v>
      </c>
      <c r="AI808" s="662">
        <v>500</v>
      </c>
      <c r="AJ808" s="662">
        <v>500</v>
      </c>
      <c r="AK808" s="662">
        <v>500</v>
      </c>
      <c r="AL808" s="658">
        <v>7.6E-3</v>
      </c>
      <c r="AM808" s="658">
        <v>0</v>
      </c>
      <c r="AN808" s="659" t="s">
        <v>635</v>
      </c>
      <c r="AO808" s="253" t="s">
        <v>34</v>
      </c>
      <c r="AP808" s="944" t="s">
        <v>1735</v>
      </c>
      <c r="AQ808" s="663" t="s">
        <v>1374</v>
      </c>
      <c r="AR808" s="658">
        <v>1.25E-3</v>
      </c>
      <c r="AS808" s="658">
        <v>1.25E-3</v>
      </c>
      <c r="AT808" s="658" t="s">
        <v>1417</v>
      </c>
      <c r="AU808" s="658" t="s">
        <v>2751</v>
      </c>
      <c r="AX808"/>
      <c r="AY808"/>
      <c r="BA808"/>
      <c r="BB808"/>
      <c r="BC808"/>
      <c r="BD808"/>
      <c r="BE808"/>
      <c r="BF808"/>
      <c r="BG808"/>
      <c r="BH808"/>
      <c r="BI808"/>
      <c r="BJ808"/>
      <c r="BR808"/>
      <c r="BS808"/>
      <c r="BT808"/>
      <c r="BU808"/>
      <c r="BX808"/>
      <c r="BY808"/>
      <c r="CA808"/>
    </row>
    <row r="809" spans="2:79" ht="18.75">
      <c r="B809" s="252" t="s">
        <v>4485</v>
      </c>
      <c r="C809" s="251">
        <v>33520911000107</v>
      </c>
      <c r="D809" s="252" t="s">
        <v>11</v>
      </c>
      <c r="E809" s="252" t="s">
        <v>620</v>
      </c>
      <c r="F809" s="252" t="s">
        <v>663</v>
      </c>
      <c r="G809" s="253" t="s">
        <v>1417</v>
      </c>
      <c r="H809" s="253" t="s">
        <v>34</v>
      </c>
      <c r="I809" s="253" t="s">
        <v>1417</v>
      </c>
      <c r="J809" s="253" t="s">
        <v>608</v>
      </c>
      <c r="K809" s="253" t="s">
        <v>48</v>
      </c>
      <c r="L809" s="655"/>
      <c r="M809" s="655" t="s">
        <v>34</v>
      </c>
      <c r="N809" s="253" t="s">
        <v>4486</v>
      </c>
      <c r="O809" s="253" t="s">
        <v>1321</v>
      </c>
      <c r="P809" s="656">
        <v>44188</v>
      </c>
      <c r="Q809" s="657">
        <v>1.79828929</v>
      </c>
      <c r="R809" s="657">
        <v>1.8012141174999998</v>
      </c>
      <c r="S809" s="253">
        <v>32</v>
      </c>
      <c r="T809" s="658">
        <v>-2.2198200335983298E-3</v>
      </c>
      <c r="U809" s="659">
        <v>-0.11099999282568844</v>
      </c>
      <c r="V809" s="658">
        <v>-2.2198200335983298E-3</v>
      </c>
      <c r="W809" s="659">
        <v>-1.7215392670519185E-2</v>
      </c>
      <c r="X809" s="658">
        <v>-2.2198200335983298E-3</v>
      </c>
      <c r="Y809" s="659">
        <v>-1.149643147486753E-2</v>
      </c>
      <c r="Z809" s="658"/>
      <c r="AA809" s="659"/>
      <c r="AB809" s="658">
        <v>1.6136280328696115E-2</v>
      </c>
      <c r="AC809" s="660">
        <v>-8.1284984400729794</v>
      </c>
      <c r="AD809" s="682">
        <v>0</v>
      </c>
      <c r="AE809" s="944" t="s">
        <v>1775</v>
      </c>
      <c r="AF809" s="661" t="s">
        <v>1769</v>
      </c>
      <c r="AG809" s="662" t="s">
        <v>719</v>
      </c>
      <c r="AH809" s="662" t="s">
        <v>2119</v>
      </c>
      <c r="AI809" s="662">
        <v>0</v>
      </c>
      <c r="AJ809" s="662">
        <v>0</v>
      </c>
      <c r="AK809" s="662">
        <v>0</v>
      </c>
      <c r="AL809" s="658">
        <v>8.0000000000000002E-3</v>
      </c>
      <c r="AM809" s="658">
        <v>0.2</v>
      </c>
      <c r="AN809" s="659" t="s">
        <v>64</v>
      </c>
      <c r="AO809" s="253" t="s">
        <v>4397</v>
      </c>
      <c r="AP809" s="944" t="s">
        <v>1746</v>
      </c>
      <c r="AQ809" s="663" t="s">
        <v>2177</v>
      </c>
      <c r="AR809" s="658">
        <v>0</v>
      </c>
      <c r="AS809" s="658">
        <v>0</v>
      </c>
      <c r="AT809" s="658" t="s">
        <v>1417</v>
      </c>
      <c r="AU809" s="658" t="s">
        <v>2751</v>
      </c>
      <c r="AX809"/>
      <c r="AY809"/>
      <c r="BA809"/>
      <c r="BB809"/>
      <c r="BC809"/>
      <c r="BD809"/>
      <c r="BE809"/>
      <c r="BF809"/>
      <c r="BG809"/>
      <c r="BH809"/>
      <c r="BI809"/>
      <c r="BJ809"/>
      <c r="BR809"/>
      <c r="BS809"/>
      <c r="BT809"/>
      <c r="BU809"/>
      <c r="BX809"/>
      <c r="BY809"/>
      <c r="CA809"/>
    </row>
    <row r="810" spans="2:79" ht="18.75">
      <c r="B810" s="252" t="s">
        <v>4487</v>
      </c>
      <c r="C810" s="251">
        <v>28557920000124</v>
      </c>
      <c r="D810" s="252" t="s">
        <v>13</v>
      </c>
      <c r="E810" s="252" t="s">
        <v>615</v>
      </c>
      <c r="F810" s="252" t="s">
        <v>619</v>
      </c>
      <c r="G810" s="253" t="s">
        <v>34</v>
      </c>
      <c r="H810" s="253" t="s">
        <v>1337</v>
      </c>
      <c r="I810" s="253" t="s">
        <v>34</v>
      </c>
      <c r="J810" s="253" t="s">
        <v>608</v>
      </c>
      <c r="K810" s="253" t="s">
        <v>48</v>
      </c>
      <c r="L810" s="655"/>
      <c r="M810" s="655" t="s">
        <v>34</v>
      </c>
      <c r="N810" s="253" t="s">
        <v>4488</v>
      </c>
      <c r="O810" s="253" t="s">
        <v>1321</v>
      </c>
      <c r="P810" s="656">
        <v>43346</v>
      </c>
      <c r="Q810" s="657">
        <v>16.294802279999999</v>
      </c>
      <c r="R810" s="657">
        <v>16.300657892500002</v>
      </c>
      <c r="S810" s="253">
        <v>1</v>
      </c>
      <c r="T810" s="658">
        <v>-8.4443486356089448E-4</v>
      </c>
      <c r="U810" s="659">
        <v>-4.2225163471959669E-2</v>
      </c>
      <c r="V810" s="658">
        <v>-8.4443486356089448E-4</v>
      </c>
      <c r="W810" s="659">
        <v>-6.5488542047763007E-3</v>
      </c>
      <c r="X810" s="658">
        <v>-8.4443486356089448E-4</v>
      </c>
      <c r="Y810" s="659">
        <v>-4.3733218896039429E-3</v>
      </c>
      <c r="Z810" s="658">
        <v>-8.4443486356089448E-4</v>
      </c>
      <c r="AA810" s="659">
        <v>-3.8128573302448981E-3</v>
      </c>
      <c r="AB810" s="658">
        <v>2.0191103530158013E-2</v>
      </c>
      <c r="AC810" s="660">
        <v>-6.4279965736639229</v>
      </c>
      <c r="AD810" s="682">
        <v>9315634000108</v>
      </c>
      <c r="AE810" s="944" t="s">
        <v>1775</v>
      </c>
      <c r="AF810" s="661" t="s">
        <v>1769</v>
      </c>
      <c r="AG810" s="662" t="s">
        <v>719</v>
      </c>
      <c r="AH810" s="662" t="s">
        <v>2119</v>
      </c>
      <c r="AI810" s="662">
        <v>0</v>
      </c>
      <c r="AJ810" s="662">
        <v>0</v>
      </c>
      <c r="AK810" s="662">
        <v>0</v>
      </c>
      <c r="AL810" s="658">
        <v>7.4999999999999997E-3</v>
      </c>
      <c r="AM810" s="658">
        <v>0</v>
      </c>
      <c r="AN810" s="659" t="s">
        <v>64</v>
      </c>
      <c r="AO810" s="253" t="s">
        <v>4397</v>
      </c>
      <c r="AP810" s="944" t="s">
        <v>1746</v>
      </c>
      <c r="AQ810" s="663" t="s">
        <v>2177</v>
      </c>
      <c r="AR810" s="658">
        <v>0</v>
      </c>
      <c r="AS810" s="658">
        <v>0</v>
      </c>
      <c r="AT810" s="658" t="s">
        <v>1417</v>
      </c>
      <c r="AU810" s="658" t="s">
        <v>2751</v>
      </c>
      <c r="AX810"/>
      <c r="AY810"/>
      <c r="BA810"/>
      <c r="BB810"/>
      <c r="BC810"/>
      <c r="BD810"/>
      <c r="BE810"/>
      <c r="BF810"/>
      <c r="BG810"/>
      <c r="BH810"/>
      <c r="BI810"/>
      <c r="BJ810"/>
      <c r="BR810"/>
      <c r="BS810"/>
      <c r="BT810"/>
      <c r="BU810"/>
      <c r="BX810"/>
      <c r="BY810"/>
      <c r="CA810"/>
    </row>
    <row r="811" spans="2:79" ht="18.75">
      <c r="B811" s="252" t="s">
        <v>4489</v>
      </c>
      <c r="C811" s="251">
        <v>29045219000199</v>
      </c>
      <c r="D811" s="252" t="s">
        <v>13</v>
      </c>
      <c r="E811" s="252" t="s">
        <v>615</v>
      </c>
      <c r="F811" s="252" t="s">
        <v>619</v>
      </c>
      <c r="G811" s="253" t="s">
        <v>34</v>
      </c>
      <c r="H811" s="253" t="s">
        <v>1337</v>
      </c>
      <c r="I811" s="253" t="s">
        <v>34</v>
      </c>
      <c r="J811" s="253" t="s">
        <v>608</v>
      </c>
      <c r="K811" s="253" t="s">
        <v>48</v>
      </c>
      <c r="L811" s="655"/>
      <c r="M811" s="655" t="s">
        <v>34</v>
      </c>
      <c r="N811" s="253" t="s">
        <v>4490</v>
      </c>
      <c r="O811" s="253" t="s">
        <v>1321</v>
      </c>
      <c r="P811" s="656">
        <v>43209</v>
      </c>
      <c r="Q811" s="657">
        <v>15.003175840000001</v>
      </c>
      <c r="R811" s="657">
        <v>15.034768137499999</v>
      </c>
      <c r="S811" s="253">
        <v>3</v>
      </c>
      <c r="T811" s="658">
        <v>-1.3779722008320228E-3</v>
      </c>
      <c r="U811" s="659">
        <v>-6.8904191371952181E-2</v>
      </c>
      <c r="V811" s="658">
        <v>-1.3779722008320228E-3</v>
      </c>
      <c r="W811" s="659">
        <v>-1.068660169172763E-2</v>
      </c>
      <c r="X811" s="658">
        <v>-1.3779722008320228E-3</v>
      </c>
      <c r="Y811" s="659">
        <v>-7.1365077985435788E-3</v>
      </c>
      <c r="Z811" s="658">
        <v>-1.3779722008320228E-3</v>
      </c>
      <c r="AA811" s="659">
        <v>-6.2219262059603391E-3</v>
      </c>
      <c r="AB811" s="658">
        <v>2.0000717427623729E-2</v>
      </c>
      <c r="AC811" s="660">
        <v>-6.5158603494706648</v>
      </c>
      <c r="AD811" s="682">
        <v>29046039000121</v>
      </c>
      <c r="AE811" s="944" t="s">
        <v>1775</v>
      </c>
      <c r="AF811" s="661" t="s">
        <v>1769</v>
      </c>
      <c r="AG811" s="662" t="s">
        <v>719</v>
      </c>
      <c r="AH811" s="662" t="s">
        <v>2119</v>
      </c>
      <c r="AI811" s="662">
        <v>0</v>
      </c>
      <c r="AJ811" s="662">
        <v>0</v>
      </c>
      <c r="AK811" s="662">
        <v>0</v>
      </c>
      <c r="AL811" s="658">
        <v>0.01</v>
      </c>
      <c r="AM811" s="658">
        <v>0</v>
      </c>
      <c r="AN811" s="659" t="s">
        <v>64</v>
      </c>
      <c r="AO811" s="253" t="s">
        <v>4397</v>
      </c>
      <c r="AP811" s="944" t="s">
        <v>1746</v>
      </c>
      <c r="AQ811" s="663" t="s">
        <v>2177</v>
      </c>
      <c r="AR811" s="658">
        <v>0</v>
      </c>
      <c r="AS811" s="658">
        <v>0</v>
      </c>
      <c r="AT811" s="658" t="s">
        <v>1417</v>
      </c>
      <c r="AU811" s="658" t="s">
        <v>2751</v>
      </c>
      <c r="AX811"/>
      <c r="AY811"/>
      <c r="BA811"/>
      <c r="BB811"/>
      <c r="BC811"/>
      <c r="BD811"/>
      <c r="BE811"/>
      <c r="BF811"/>
      <c r="BG811"/>
      <c r="BH811"/>
      <c r="BI811"/>
      <c r="BJ811"/>
      <c r="BR811"/>
      <c r="BS811"/>
      <c r="BT811"/>
      <c r="BU811"/>
      <c r="BX811"/>
      <c r="BY811"/>
      <c r="CA811"/>
    </row>
    <row r="812" spans="2:79" ht="18.75">
      <c r="B812" s="252" t="s">
        <v>4491</v>
      </c>
      <c r="C812" s="251">
        <v>4228716000100</v>
      </c>
      <c r="D812" s="252" t="s">
        <v>11</v>
      </c>
      <c r="E812" s="252" t="s">
        <v>621</v>
      </c>
      <c r="F812" s="252" t="s">
        <v>672</v>
      </c>
      <c r="G812" s="253" t="s">
        <v>866</v>
      </c>
      <c r="H812" s="253" t="s">
        <v>34</v>
      </c>
      <c r="I812" s="253" t="s">
        <v>1417</v>
      </c>
      <c r="J812" s="253" t="s">
        <v>608</v>
      </c>
      <c r="K812" s="253" t="s">
        <v>48</v>
      </c>
      <c r="L812" s="655"/>
      <c r="M812" s="655" t="s">
        <v>34</v>
      </c>
      <c r="N812" s="253" t="s">
        <v>4492</v>
      </c>
      <c r="O812" s="253" t="s">
        <v>1321</v>
      </c>
      <c r="P812" s="656">
        <v>37337</v>
      </c>
      <c r="Q812" s="657">
        <v>408.35271799999998</v>
      </c>
      <c r="R812" s="657">
        <v>411.39507049999997</v>
      </c>
      <c r="S812" s="253">
        <v>1</v>
      </c>
      <c r="T812" s="658">
        <v>-2.9508567060074764E-3</v>
      </c>
      <c r="U812" s="659">
        <v>-0.14755478743270631</v>
      </c>
      <c r="V812" s="658">
        <v>-2.9508567060074764E-3</v>
      </c>
      <c r="W812" s="659">
        <v>-2.2884808741006995E-2</v>
      </c>
      <c r="X812" s="658">
        <v>-2.9508567060074764E-3</v>
      </c>
      <c r="Y812" s="659">
        <v>-1.5282464974323584E-2</v>
      </c>
      <c r="Z812" s="658">
        <v>-2.9508567060074764E-3</v>
      </c>
      <c r="AA812" s="659">
        <v>-1.3323935459696432E-2</v>
      </c>
      <c r="AB812" s="658">
        <v>6.2644685135620812E-2</v>
      </c>
      <c r="AC812" s="660">
        <v>-2.1054422393097521</v>
      </c>
      <c r="AD812" s="682">
        <v>34659785000120</v>
      </c>
      <c r="AE812" s="944" t="s">
        <v>1775</v>
      </c>
      <c r="AF812" s="661" t="s">
        <v>1769</v>
      </c>
      <c r="AG812" s="662" t="s">
        <v>719</v>
      </c>
      <c r="AH812" s="662" t="s">
        <v>2119</v>
      </c>
      <c r="AI812" s="662">
        <v>0</v>
      </c>
      <c r="AJ812" s="662">
        <v>0</v>
      </c>
      <c r="AK812" s="662">
        <v>0</v>
      </c>
      <c r="AL812" s="658">
        <v>1.2500000000000001E-2</v>
      </c>
      <c r="AM812" s="658">
        <v>0</v>
      </c>
      <c r="AN812" s="659" t="s">
        <v>2122</v>
      </c>
      <c r="AO812" s="253" t="s">
        <v>4397</v>
      </c>
      <c r="AP812" s="944" t="s">
        <v>1735</v>
      </c>
      <c r="AQ812" s="663" t="s">
        <v>4391</v>
      </c>
      <c r="AR812" s="658">
        <v>0</v>
      </c>
      <c r="AS812" s="658">
        <v>0</v>
      </c>
      <c r="AT812" s="658" t="s">
        <v>1417</v>
      </c>
      <c r="AU812" s="658" t="s">
        <v>2751</v>
      </c>
      <c r="AX812"/>
      <c r="AY812"/>
      <c r="BA812"/>
      <c r="BB812"/>
      <c r="BC812"/>
      <c r="BD812"/>
      <c r="BE812"/>
      <c r="BF812"/>
      <c r="BG812"/>
      <c r="BH812"/>
      <c r="BI812"/>
      <c r="BJ812"/>
      <c r="BR812"/>
      <c r="BS812"/>
      <c r="BT812"/>
      <c r="BU812"/>
      <c r="BX812"/>
      <c r="BY812"/>
      <c r="CA812"/>
    </row>
    <row r="813" spans="2:79" ht="18.75">
      <c r="B813" s="252" t="s">
        <v>981</v>
      </c>
      <c r="C813" s="251">
        <v>22504092000180</v>
      </c>
      <c r="D813" s="252" t="s">
        <v>13</v>
      </c>
      <c r="E813" s="252" t="s">
        <v>615</v>
      </c>
      <c r="F813" s="252" t="s">
        <v>619</v>
      </c>
      <c r="G813" s="253" t="s">
        <v>34</v>
      </c>
      <c r="H813" s="253" t="s">
        <v>1337</v>
      </c>
      <c r="I813" s="253" t="s">
        <v>34</v>
      </c>
      <c r="J813" s="253" t="s">
        <v>1417</v>
      </c>
      <c r="K813" s="253" t="s">
        <v>48</v>
      </c>
      <c r="L813" s="655"/>
      <c r="M813" s="655" t="s">
        <v>1414</v>
      </c>
      <c r="N813" s="253" t="s">
        <v>3405</v>
      </c>
      <c r="O813" s="253" t="s">
        <v>1321</v>
      </c>
      <c r="P813" s="656">
        <v>42239</v>
      </c>
      <c r="Q813" s="657">
        <v>90.920287999999999</v>
      </c>
      <c r="R813" s="657">
        <v>99.46212944534409</v>
      </c>
      <c r="S813" s="253">
        <v>2</v>
      </c>
      <c r="T813" s="658">
        <v>4.4799175288603443E-3</v>
      </c>
      <c r="U813" s="659">
        <v>0.22401402187415065</v>
      </c>
      <c r="V813" s="658">
        <v>0.10860407850578668</v>
      </c>
      <c r="W813" s="659">
        <v>0.84225830418616732</v>
      </c>
      <c r="X813" s="658">
        <v>0.18382593092032029</v>
      </c>
      <c r="Y813" s="659">
        <v>0.95203313157934943</v>
      </c>
      <c r="Z813" s="658">
        <v>0.2132660593077087</v>
      </c>
      <c r="AA813" s="659">
        <v>0.96295533570802372</v>
      </c>
      <c r="AB813" s="658">
        <v>2.4935080385570695E-2</v>
      </c>
      <c r="AC813" s="660">
        <v>-0.81571146459073851</v>
      </c>
      <c r="AD813" s="682">
        <v>0</v>
      </c>
      <c r="AE813" s="944" t="s">
        <v>1775</v>
      </c>
      <c r="AF813" s="661" t="s">
        <v>1769</v>
      </c>
      <c r="AG813" s="662" t="s">
        <v>719</v>
      </c>
      <c r="AH813" s="662" t="s">
        <v>1734</v>
      </c>
      <c r="AI813" s="662">
        <v>500</v>
      </c>
      <c r="AJ813" s="662">
        <v>500</v>
      </c>
      <c r="AK813" s="662">
        <v>500</v>
      </c>
      <c r="AL813" s="658">
        <v>1.4999999999999999E-2</v>
      </c>
      <c r="AM813" s="658">
        <v>0.2</v>
      </c>
      <c r="AN813" s="659" t="s">
        <v>64</v>
      </c>
      <c r="AO813" s="253" t="s">
        <v>34</v>
      </c>
      <c r="AP813" s="944" t="s">
        <v>1746</v>
      </c>
      <c r="AQ813" s="663" t="s">
        <v>664</v>
      </c>
      <c r="AR813" s="658">
        <v>3.0000000000000001E-3</v>
      </c>
      <c r="AS813" s="658">
        <v>3.0000000000000001E-3</v>
      </c>
      <c r="AT813" s="658" t="s">
        <v>1417</v>
      </c>
      <c r="AU813" s="658" t="s">
        <v>2751</v>
      </c>
      <c r="AX813"/>
      <c r="AY813"/>
      <c r="BA813"/>
      <c r="BB813"/>
      <c r="BC813"/>
      <c r="BD813"/>
      <c r="BE813"/>
      <c r="BF813"/>
      <c r="BG813"/>
      <c r="BH813"/>
      <c r="BI813"/>
      <c r="BJ813"/>
      <c r="BR813"/>
      <c r="BS813"/>
      <c r="BT813"/>
      <c r="BU813"/>
      <c r="BX813"/>
      <c r="BY813"/>
      <c r="CA813"/>
    </row>
    <row r="814" spans="2:79" ht="18.75">
      <c r="B814" s="252" t="s">
        <v>4493</v>
      </c>
      <c r="C814" s="251">
        <v>3537456000183</v>
      </c>
      <c r="D814" s="252" t="s">
        <v>13</v>
      </c>
      <c r="E814" s="252" t="s">
        <v>615</v>
      </c>
      <c r="F814" s="252" t="s">
        <v>619</v>
      </c>
      <c r="G814" s="253" t="s">
        <v>34</v>
      </c>
      <c r="H814" s="253" t="s">
        <v>1338</v>
      </c>
      <c r="I814" s="253" t="s">
        <v>34</v>
      </c>
      <c r="J814" s="253" t="s">
        <v>608</v>
      </c>
      <c r="K814" s="253" t="s">
        <v>48</v>
      </c>
      <c r="L814" s="655"/>
      <c r="M814" s="655" t="s">
        <v>34</v>
      </c>
      <c r="N814" s="253" t="s">
        <v>4494</v>
      </c>
      <c r="O814" s="253" t="s">
        <v>1321</v>
      </c>
      <c r="P814" s="656">
        <v>36588</v>
      </c>
      <c r="Q814" s="657">
        <v>129.47858400000001</v>
      </c>
      <c r="R814" s="657">
        <v>130.63009200000002</v>
      </c>
      <c r="S814" s="253">
        <v>2</v>
      </c>
      <c r="T814" s="658">
        <v>-6.6960300916727444E-3</v>
      </c>
      <c r="U814" s="659">
        <v>-0.33482862614382514</v>
      </c>
      <c r="V814" s="658">
        <v>-6.6960300916727444E-3</v>
      </c>
      <c r="W814" s="659">
        <v>-5.1929789630242397E-2</v>
      </c>
      <c r="X814" s="658">
        <v>-6.6960300916727444E-3</v>
      </c>
      <c r="Y814" s="659">
        <v>-3.4678690135876149E-2</v>
      </c>
      <c r="Z814" s="658">
        <v>-6.6960300916727444E-3</v>
      </c>
      <c r="AA814" s="659">
        <v>-3.0234430765818009E-2</v>
      </c>
      <c r="AB814" s="658">
        <v>9.0412094402410353E-2</v>
      </c>
      <c r="AC814" s="660">
        <v>-1.5002410953422729</v>
      </c>
      <c r="AD814" s="682">
        <v>0</v>
      </c>
      <c r="AE814" s="944" t="s">
        <v>1775</v>
      </c>
      <c r="AF814" s="661" t="s">
        <v>1769</v>
      </c>
      <c r="AG814" s="662" t="s">
        <v>719</v>
      </c>
      <c r="AH814" s="662" t="s">
        <v>2119</v>
      </c>
      <c r="AI814" s="662">
        <v>0</v>
      </c>
      <c r="AJ814" s="662">
        <v>0</v>
      </c>
      <c r="AK814" s="662">
        <v>0</v>
      </c>
      <c r="AL814" s="658">
        <v>9.2999999999999992E-3</v>
      </c>
      <c r="AM814" s="658">
        <v>0</v>
      </c>
      <c r="AN814" s="659" t="s">
        <v>64</v>
      </c>
      <c r="AO814" s="253" t="s">
        <v>4397</v>
      </c>
      <c r="AP814" s="944" t="s">
        <v>1746</v>
      </c>
      <c r="AQ814" s="663" t="s">
        <v>2177</v>
      </c>
      <c r="AR814" s="658">
        <v>0</v>
      </c>
      <c r="AS814" s="658">
        <v>0</v>
      </c>
      <c r="AT814" s="658" t="s">
        <v>1417</v>
      </c>
      <c r="AU814" s="658" t="s">
        <v>2751</v>
      </c>
      <c r="AX814"/>
      <c r="AY814"/>
      <c r="BA814"/>
      <c r="BB814"/>
      <c r="BC814"/>
      <c r="BD814"/>
      <c r="BE814"/>
      <c r="BF814"/>
      <c r="BG814"/>
      <c r="BH814"/>
      <c r="BI814"/>
      <c r="BJ814"/>
      <c r="BR814"/>
      <c r="BS814"/>
      <c r="BT814"/>
      <c r="BU814"/>
      <c r="BX814"/>
      <c r="BY814"/>
      <c r="CA814"/>
    </row>
    <row r="815" spans="2:79" ht="18.75">
      <c r="B815" s="252" t="s">
        <v>4495</v>
      </c>
      <c r="C815" s="251">
        <v>33520901000163</v>
      </c>
      <c r="D815" s="252" t="s">
        <v>11</v>
      </c>
      <c r="E815" s="252" t="s">
        <v>620</v>
      </c>
      <c r="F815" s="252" t="s">
        <v>672</v>
      </c>
      <c r="G815" s="253" t="s">
        <v>1417</v>
      </c>
      <c r="H815" s="253" t="s">
        <v>34</v>
      </c>
      <c r="I815" s="253" t="s">
        <v>1417</v>
      </c>
      <c r="J815" s="253" t="s">
        <v>608</v>
      </c>
      <c r="K815" s="253" t="s">
        <v>48</v>
      </c>
      <c r="L815" s="655"/>
      <c r="M815" s="655" t="s">
        <v>34</v>
      </c>
      <c r="N815" s="253" t="s">
        <v>4496</v>
      </c>
      <c r="O815" s="253" t="s">
        <v>1321</v>
      </c>
      <c r="P815" s="656">
        <v>44014</v>
      </c>
      <c r="Q815" s="657">
        <v>225.72028148999999</v>
      </c>
      <c r="R815" s="657">
        <v>201.88919029750002</v>
      </c>
      <c r="S815" s="253">
        <v>1</v>
      </c>
      <c r="T815" s="658">
        <v>1.5270045762065809E-3</v>
      </c>
      <c r="U815" s="659">
        <v>7.635641378052091E-2</v>
      </c>
      <c r="V815" s="658">
        <v>1.5270045762065809E-3</v>
      </c>
      <c r="W815" s="659">
        <v>1.1842393973921927E-2</v>
      </c>
      <c r="X815" s="658">
        <v>1.5270045762065809E-3</v>
      </c>
      <c r="Y815" s="659">
        <v>7.908345364246153E-3</v>
      </c>
      <c r="Z815" s="658"/>
      <c r="AA815" s="659"/>
      <c r="AB815" s="658">
        <v>3.082584030804603E-5</v>
      </c>
      <c r="AC815" s="660">
        <v>-4133.4446554348742</v>
      </c>
      <c r="AD815" s="682">
        <v>0</v>
      </c>
      <c r="AE815" s="944" t="s">
        <v>1775</v>
      </c>
      <c r="AF815" s="661" t="s">
        <v>1769</v>
      </c>
      <c r="AG815" s="662" t="s">
        <v>719</v>
      </c>
      <c r="AH815" s="662" t="s">
        <v>2119</v>
      </c>
      <c r="AI815" s="662">
        <v>0</v>
      </c>
      <c r="AJ815" s="662">
        <v>0</v>
      </c>
      <c r="AK815" s="662">
        <v>0</v>
      </c>
      <c r="AL815" s="658">
        <v>3.5000000000000001E-3</v>
      </c>
      <c r="AM815" s="658">
        <v>0</v>
      </c>
      <c r="AN815" s="659" t="s">
        <v>64</v>
      </c>
      <c r="AO815" s="253" t="s">
        <v>4397</v>
      </c>
      <c r="AP815" s="944" t="s">
        <v>1735</v>
      </c>
      <c r="AQ815" s="663" t="s">
        <v>2190</v>
      </c>
      <c r="AR815" s="658">
        <v>0</v>
      </c>
      <c r="AS815" s="658">
        <v>0</v>
      </c>
      <c r="AT815" s="658" t="s">
        <v>1417</v>
      </c>
      <c r="AU815" s="658" t="s">
        <v>2751</v>
      </c>
      <c r="AX815"/>
      <c r="AY815"/>
      <c r="BA815"/>
      <c r="BB815"/>
      <c r="BC815"/>
      <c r="BD815"/>
      <c r="BE815"/>
      <c r="BF815"/>
      <c r="BG815"/>
      <c r="BH815"/>
      <c r="BI815"/>
      <c r="BJ815"/>
      <c r="BR815"/>
      <c r="BS815"/>
      <c r="BT815"/>
      <c r="BU815"/>
      <c r="BX815"/>
      <c r="BY815"/>
      <c r="CA815"/>
    </row>
    <row r="816" spans="2:79" ht="18.75">
      <c r="B816" s="252" t="s">
        <v>982</v>
      </c>
      <c r="C816" s="251">
        <v>19418031000195</v>
      </c>
      <c r="D816" s="252" t="s">
        <v>11</v>
      </c>
      <c r="E816" s="252" t="s">
        <v>661</v>
      </c>
      <c r="F816" s="252" t="s">
        <v>672</v>
      </c>
      <c r="G816" s="253" t="s">
        <v>866</v>
      </c>
      <c r="H816" s="253" t="s">
        <v>34</v>
      </c>
      <c r="I816" s="253" t="s">
        <v>1417</v>
      </c>
      <c r="J816" s="253" t="s">
        <v>608</v>
      </c>
      <c r="K816" s="253" t="s">
        <v>48</v>
      </c>
      <c r="L816" s="655"/>
      <c r="M816" s="655" t="s">
        <v>1414</v>
      </c>
      <c r="N816" s="253" t="s">
        <v>3406</v>
      </c>
      <c r="O816" s="253" t="s">
        <v>1321</v>
      </c>
      <c r="P816" s="656">
        <v>41742</v>
      </c>
      <c r="Q816" s="657">
        <v>99.010401999999999</v>
      </c>
      <c r="R816" s="657">
        <v>108.77894109311741</v>
      </c>
      <c r="S816" s="253">
        <v>1</v>
      </c>
      <c r="T816" s="658">
        <v>6.0162349485231026E-3</v>
      </c>
      <c r="U816" s="659">
        <v>0.30083611554816581</v>
      </c>
      <c r="V816" s="658">
        <v>6.0824233238025993E-2</v>
      </c>
      <c r="W816" s="659">
        <v>0.47171078881493433</v>
      </c>
      <c r="X816" s="658">
        <v>-6.8709252557397349E-4</v>
      </c>
      <c r="Y816" s="659">
        <v>-3.5584470892220874E-3</v>
      </c>
      <c r="Z816" s="658">
        <v>1.7079770919253168E-2</v>
      </c>
      <c r="AA816" s="659">
        <v>7.7119897056076372E-2</v>
      </c>
      <c r="AB816" s="658">
        <v>9.7098385176923471E-2</v>
      </c>
      <c r="AC816" s="660">
        <v>-0.70155313175024636</v>
      </c>
      <c r="AD816" s="682">
        <v>0</v>
      </c>
      <c r="AE816" s="944" t="s">
        <v>1775</v>
      </c>
      <c r="AF816" s="661" t="s">
        <v>1769</v>
      </c>
      <c r="AG816" s="662" t="s">
        <v>719</v>
      </c>
      <c r="AH816" s="662" t="s">
        <v>1734</v>
      </c>
      <c r="AI816" s="662">
        <v>500</v>
      </c>
      <c r="AJ816" s="662">
        <v>500</v>
      </c>
      <c r="AK816" s="662">
        <v>500</v>
      </c>
      <c r="AL816" s="658">
        <v>3.4999999999999996E-3</v>
      </c>
      <c r="AM816" s="658">
        <v>0.2</v>
      </c>
      <c r="AN816" s="659" t="s">
        <v>633</v>
      </c>
      <c r="AO816" s="253" t="s">
        <v>34</v>
      </c>
      <c r="AP816" s="944" t="s">
        <v>1735</v>
      </c>
      <c r="AQ816" s="663" t="s">
        <v>673</v>
      </c>
      <c r="AR816" s="658">
        <v>7.5000000000000002E-4</v>
      </c>
      <c r="AS816" s="658">
        <v>7.5000000000000002E-4</v>
      </c>
      <c r="AT816" s="658" t="s">
        <v>1417</v>
      </c>
      <c r="AU816" s="658" t="s">
        <v>2751</v>
      </c>
      <c r="AX816"/>
      <c r="AY816"/>
      <c r="BA816"/>
      <c r="BB816"/>
      <c r="BC816"/>
      <c r="BD816"/>
      <c r="BE816"/>
      <c r="BF816"/>
      <c r="BG816"/>
      <c r="BH816"/>
      <c r="BI816"/>
      <c r="BJ816"/>
      <c r="BR816"/>
      <c r="BS816"/>
      <c r="BT816"/>
      <c r="BU816"/>
      <c r="BX816"/>
      <c r="BY816"/>
      <c r="CA816"/>
    </row>
    <row r="817" spans="2:79" ht="18.75">
      <c r="B817" s="252" t="s">
        <v>983</v>
      </c>
      <c r="C817" s="251">
        <v>8140054000164</v>
      </c>
      <c r="D817" s="252" t="s">
        <v>14</v>
      </c>
      <c r="E817" s="252" t="s">
        <v>607</v>
      </c>
      <c r="F817" s="252" t="s">
        <v>1417</v>
      </c>
      <c r="G817" s="253" t="s">
        <v>1417</v>
      </c>
      <c r="H817" s="253" t="s">
        <v>34</v>
      </c>
      <c r="I817" s="253" t="s">
        <v>34</v>
      </c>
      <c r="J817" s="253" t="s">
        <v>608</v>
      </c>
      <c r="K817" s="253" t="s">
        <v>48</v>
      </c>
      <c r="L817" s="655"/>
      <c r="M817" s="655" t="s">
        <v>34</v>
      </c>
      <c r="N817" s="253" t="s">
        <v>3407</v>
      </c>
      <c r="O817" s="253" t="s">
        <v>1321</v>
      </c>
      <c r="P817" s="656">
        <v>38989</v>
      </c>
      <c r="Q817" s="657">
        <v>86.375495999999998</v>
      </c>
      <c r="R817" s="657">
        <v>93.397896276422685</v>
      </c>
      <c r="S817" s="253">
        <v>4</v>
      </c>
      <c r="T817" s="658">
        <v>-2.085020679722005E-2</v>
      </c>
      <c r="U817" s="659">
        <v>-1.0425947914137643</v>
      </c>
      <c r="V817" s="658">
        <v>-7.2495781690837702E-2</v>
      </c>
      <c r="W817" s="659">
        <v>-0.56222726611802276</v>
      </c>
      <c r="X817" s="658">
        <v>-9.6195085312193229E-2</v>
      </c>
      <c r="Y817" s="659">
        <v>-0.49819363271445055</v>
      </c>
      <c r="Z817" s="658">
        <v>-3.0679885664656736E-2</v>
      </c>
      <c r="AA817" s="659">
        <v>-0.13852818256967456</v>
      </c>
      <c r="AB817" s="658">
        <v>0.22516774187315119</v>
      </c>
      <c r="AC817" s="660">
        <v>-0.89462055915233007</v>
      </c>
      <c r="AD817" s="682">
        <v>0</v>
      </c>
      <c r="AE817" s="944" t="s">
        <v>1782</v>
      </c>
      <c r="AF817" s="661" t="s">
        <v>1783</v>
      </c>
      <c r="AG817" s="662" t="s">
        <v>736</v>
      </c>
      <c r="AH817" s="662" t="s">
        <v>1734</v>
      </c>
      <c r="AI817" s="662">
        <v>5000</v>
      </c>
      <c r="AJ817" s="662">
        <v>1000</v>
      </c>
      <c r="AK817" s="662">
        <v>1000</v>
      </c>
      <c r="AL817" s="658">
        <v>0.04</v>
      </c>
      <c r="AM817" s="658">
        <v>0.2</v>
      </c>
      <c r="AN817" s="659" t="s">
        <v>666</v>
      </c>
      <c r="AO817" s="253" t="s">
        <v>34</v>
      </c>
      <c r="AP817" s="944" t="s">
        <v>1731</v>
      </c>
      <c r="AQ817" s="663" t="s">
        <v>659</v>
      </c>
      <c r="AR817" s="658">
        <v>4.0000000000000001E-3</v>
      </c>
      <c r="AS817" s="658">
        <v>4.0000000000000001E-3</v>
      </c>
      <c r="AT817" s="658" t="s">
        <v>1417</v>
      </c>
      <c r="AU817" s="658" t="s">
        <v>2751</v>
      </c>
      <c r="AX817"/>
      <c r="AY817"/>
      <c r="BA817"/>
      <c r="BB817"/>
      <c r="BC817"/>
      <c r="BD817"/>
      <c r="BE817"/>
      <c r="BF817"/>
      <c r="BG817"/>
      <c r="BH817"/>
      <c r="BI817"/>
      <c r="BJ817"/>
      <c r="BR817"/>
      <c r="BS817"/>
      <c r="BT817"/>
      <c r="BU817"/>
      <c r="BX817"/>
      <c r="BY817"/>
      <c r="CA817"/>
    </row>
    <row r="818" spans="2:79" ht="18.75">
      <c r="B818" s="252" t="s">
        <v>557</v>
      </c>
      <c r="C818" s="251">
        <v>35646163000120</v>
      </c>
      <c r="D818" s="252" t="s">
        <v>14</v>
      </c>
      <c r="E818" s="252" t="s">
        <v>607</v>
      </c>
      <c r="F818" s="252" t="s">
        <v>1417</v>
      </c>
      <c r="G818" s="253" t="s">
        <v>1417</v>
      </c>
      <c r="H818" s="253" t="s">
        <v>34</v>
      </c>
      <c r="I818" s="253" t="s">
        <v>34</v>
      </c>
      <c r="J818" s="253" t="s">
        <v>608</v>
      </c>
      <c r="K818" s="253" t="s">
        <v>48</v>
      </c>
      <c r="L818" s="655"/>
      <c r="M818" s="655" t="s">
        <v>34</v>
      </c>
      <c r="N818" s="253" t="s">
        <v>3408</v>
      </c>
      <c r="O818" s="253" t="s">
        <v>1321</v>
      </c>
      <c r="P818" s="656">
        <v>43828</v>
      </c>
      <c r="Q818" s="657">
        <v>5.26624523</v>
      </c>
      <c r="R818" s="657">
        <v>7.9437931370682708</v>
      </c>
      <c r="S818" s="253">
        <v>32</v>
      </c>
      <c r="T818" s="658">
        <v>-4.7416100975249842E-2</v>
      </c>
      <c r="U818" s="659">
        <v>-2.3709971026539578</v>
      </c>
      <c r="V818" s="658">
        <v>-0.23501988582788391</v>
      </c>
      <c r="W818" s="659">
        <v>-1.822652088308756</v>
      </c>
      <c r="X818" s="658">
        <v>-0.40516101490621415</v>
      </c>
      <c r="Y818" s="659">
        <v>-2.0983258884309666</v>
      </c>
      <c r="Z818" s="658">
        <v>-0.39998479828394928</v>
      </c>
      <c r="AA818" s="659">
        <v>-1.8060421661090087</v>
      </c>
      <c r="AB818" s="658">
        <v>0.27002237969848575</v>
      </c>
      <c r="AC818" s="660">
        <v>-1.3479023319514627</v>
      </c>
      <c r="AD818" s="682">
        <v>35646113000143</v>
      </c>
      <c r="AE818" s="944" t="s">
        <v>1870</v>
      </c>
      <c r="AF818" s="661" t="s">
        <v>1745</v>
      </c>
      <c r="AG818" s="662" t="s">
        <v>1432</v>
      </c>
      <c r="AH818" s="662" t="s">
        <v>1730</v>
      </c>
      <c r="AI818" s="662">
        <v>5000</v>
      </c>
      <c r="AJ818" s="662">
        <v>1000</v>
      </c>
      <c r="AK818" s="662">
        <v>1000</v>
      </c>
      <c r="AL818" s="658">
        <v>1.34E-2</v>
      </c>
      <c r="AM818" s="658">
        <v>0.2</v>
      </c>
      <c r="AN818" s="659" t="s">
        <v>636</v>
      </c>
      <c r="AO818" s="253" t="s">
        <v>34</v>
      </c>
      <c r="AP818" s="944" t="s">
        <v>1731</v>
      </c>
      <c r="AQ818" s="663" t="s">
        <v>659</v>
      </c>
      <c r="AR818" s="658">
        <v>4.0003466666666699E-3</v>
      </c>
      <c r="AS818" s="658">
        <v>4.0003466666666699E-3</v>
      </c>
      <c r="AT818" s="658" t="s">
        <v>1417</v>
      </c>
      <c r="AU818" s="658" t="s">
        <v>2751</v>
      </c>
      <c r="AX818"/>
      <c r="AY818"/>
      <c r="BA818"/>
      <c r="BB818"/>
      <c r="BC818"/>
      <c r="BD818"/>
      <c r="BE818"/>
      <c r="BF818"/>
      <c r="BG818"/>
      <c r="BH818"/>
      <c r="BI818"/>
      <c r="BJ818"/>
      <c r="BR818"/>
      <c r="BS818"/>
      <c r="BT818"/>
      <c r="BU818"/>
      <c r="BX818"/>
      <c r="BY818"/>
      <c r="CA818"/>
    </row>
    <row r="819" spans="2:79" ht="18.75">
      <c r="B819" s="252" t="s">
        <v>235</v>
      </c>
      <c r="C819" s="251">
        <v>17335646000122</v>
      </c>
      <c r="D819" s="252" t="s">
        <v>14</v>
      </c>
      <c r="E819" s="252" t="s">
        <v>607</v>
      </c>
      <c r="F819" s="252" t="s">
        <v>1417</v>
      </c>
      <c r="G819" s="253" t="s">
        <v>1417</v>
      </c>
      <c r="H819" s="253" t="s">
        <v>34</v>
      </c>
      <c r="I819" s="253" t="s">
        <v>34</v>
      </c>
      <c r="J819" s="253" t="s">
        <v>608</v>
      </c>
      <c r="K819" s="253" t="s">
        <v>48</v>
      </c>
      <c r="L819" s="655"/>
      <c r="M819" s="655" t="s">
        <v>34</v>
      </c>
      <c r="N819" s="253" t="s">
        <v>3409</v>
      </c>
      <c r="O819" s="253" t="s">
        <v>1321</v>
      </c>
      <c r="P819" s="656">
        <v>41273</v>
      </c>
      <c r="Q819" s="657">
        <v>418.53087799999997</v>
      </c>
      <c r="R819" s="657">
        <v>589.35766064257018</v>
      </c>
      <c r="S819" s="253">
        <v>32</v>
      </c>
      <c r="T819" s="658">
        <v>-4.428250174577697E-2</v>
      </c>
      <c r="U819" s="659">
        <v>-2.2143044488687589</v>
      </c>
      <c r="V819" s="658">
        <v>-0.20192853926655419</v>
      </c>
      <c r="W819" s="659">
        <v>-1.5660184349372825</v>
      </c>
      <c r="X819" s="658">
        <v>-0.36830902830566958</v>
      </c>
      <c r="Y819" s="659">
        <v>-1.9074697234025189</v>
      </c>
      <c r="Z819" s="658">
        <v>-0.32217025595824456</v>
      </c>
      <c r="AA819" s="659">
        <v>-1.4546879516997646</v>
      </c>
      <c r="AB819" s="658">
        <v>0.26736202613110382</v>
      </c>
      <c r="AC819" s="660">
        <v>-1.2375446636954184</v>
      </c>
      <c r="AD819" s="682">
        <v>17335645000188</v>
      </c>
      <c r="AE819" s="944" t="s">
        <v>1870</v>
      </c>
      <c r="AF819" s="661" t="s">
        <v>1745</v>
      </c>
      <c r="AG819" s="662" t="s">
        <v>1432</v>
      </c>
      <c r="AH819" s="662" t="s">
        <v>1734</v>
      </c>
      <c r="AI819" s="662">
        <v>5000</v>
      </c>
      <c r="AJ819" s="662">
        <v>1000</v>
      </c>
      <c r="AK819" s="662">
        <v>1000</v>
      </c>
      <c r="AL819" s="658">
        <v>1.34E-2</v>
      </c>
      <c r="AM819" s="658">
        <v>0.2</v>
      </c>
      <c r="AN819" s="659" t="s">
        <v>2160</v>
      </c>
      <c r="AO819" s="253" t="s">
        <v>34</v>
      </c>
      <c r="AP819" s="944" t="s">
        <v>1731</v>
      </c>
      <c r="AQ819" s="663" t="s">
        <v>659</v>
      </c>
      <c r="AR819" s="658">
        <v>4.6899999999999997E-3</v>
      </c>
      <c r="AS819" s="658">
        <v>4.6899999999999997E-3</v>
      </c>
      <c r="AT819" s="658" t="s">
        <v>1417</v>
      </c>
      <c r="AU819" s="658" t="s">
        <v>2751</v>
      </c>
      <c r="AX819"/>
      <c r="AY819"/>
      <c r="BA819"/>
      <c r="BB819"/>
      <c r="BC819"/>
      <c r="BD819"/>
      <c r="BE819"/>
      <c r="BF819"/>
      <c r="BG819"/>
      <c r="BH819"/>
      <c r="BI819"/>
      <c r="BJ819"/>
      <c r="BR819"/>
      <c r="BS819"/>
      <c r="BT819"/>
      <c r="BU819"/>
      <c r="BX819"/>
      <c r="BY819"/>
      <c r="CA819"/>
    </row>
    <row r="820" spans="2:79" ht="18.75">
      <c r="B820" s="252" t="s">
        <v>1597</v>
      </c>
      <c r="C820" s="251">
        <v>39992349000192</v>
      </c>
      <c r="D820" s="252" t="s">
        <v>14</v>
      </c>
      <c r="E820" s="252" t="s">
        <v>607</v>
      </c>
      <c r="F820" s="252" t="s">
        <v>1417</v>
      </c>
      <c r="G820" s="253" t="s">
        <v>1417</v>
      </c>
      <c r="H820" s="253" t="s">
        <v>34</v>
      </c>
      <c r="I820" s="253" t="s">
        <v>34</v>
      </c>
      <c r="J820" s="253" t="s">
        <v>608</v>
      </c>
      <c r="K820" s="253" t="s">
        <v>48</v>
      </c>
      <c r="L820" s="655"/>
      <c r="M820" s="655" t="s">
        <v>34</v>
      </c>
      <c r="N820" s="253" t="s">
        <v>3410</v>
      </c>
      <c r="O820" s="253" t="s">
        <v>1321</v>
      </c>
      <c r="P820" s="656">
        <v>44195</v>
      </c>
      <c r="Q820" s="657">
        <v>58.569762539999999</v>
      </c>
      <c r="R820" s="657">
        <v>81.043630162449759</v>
      </c>
      <c r="S820" s="253">
        <v>47</v>
      </c>
      <c r="T820" s="658">
        <v>-2.8987946163619993E-2</v>
      </c>
      <c r="U820" s="659">
        <v>-1.4495147207845629</v>
      </c>
      <c r="V820" s="658">
        <v>-0.16288321468086797</v>
      </c>
      <c r="W820" s="659">
        <v>-1.2632098358091544</v>
      </c>
      <c r="X820" s="658">
        <v>-0.41331204742616312</v>
      </c>
      <c r="Y820" s="659">
        <v>-2.1405400253414752</v>
      </c>
      <c r="Z820" s="658"/>
      <c r="AA820" s="659"/>
      <c r="AB820" s="658">
        <v>0.28426937387043666</v>
      </c>
      <c r="AC820" s="660">
        <v>-1.026586579321993</v>
      </c>
      <c r="AD820" s="682">
        <v>40040288000142</v>
      </c>
      <c r="AE820" s="944" t="s">
        <v>1870</v>
      </c>
      <c r="AF820" s="661" t="s">
        <v>1745</v>
      </c>
      <c r="AG820" s="662" t="s">
        <v>1432</v>
      </c>
      <c r="AH820" s="662" t="s">
        <v>1734</v>
      </c>
      <c r="AI820" s="662">
        <v>5000</v>
      </c>
      <c r="AJ820" s="662">
        <v>1000</v>
      </c>
      <c r="AK820" s="662">
        <v>1000</v>
      </c>
      <c r="AL820" s="658">
        <v>1.4999999999999999E-2</v>
      </c>
      <c r="AM820" s="658">
        <v>0.2</v>
      </c>
      <c r="AN820" s="659" t="s">
        <v>34</v>
      </c>
      <c r="AO820" s="253" t="s">
        <v>34</v>
      </c>
      <c r="AP820" s="944" t="s">
        <v>1731</v>
      </c>
      <c r="AQ820" s="663" t="s">
        <v>659</v>
      </c>
      <c r="AR820" s="658">
        <v>0</v>
      </c>
      <c r="AS820" s="658">
        <v>0</v>
      </c>
      <c r="AT820" s="658" t="s">
        <v>1417</v>
      </c>
      <c r="AU820" s="658" t="s">
        <v>2751</v>
      </c>
      <c r="AX820"/>
      <c r="AY820"/>
      <c r="BA820"/>
      <c r="BB820"/>
      <c r="BC820"/>
      <c r="BD820"/>
      <c r="BE820"/>
      <c r="BF820"/>
      <c r="BG820"/>
      <c r="BH820"/>
      <c r="BI820"/>
      <c r="BJ820"/>
      <c r="BR820"/>
      <c r="BS820"/>
      <c r="BT820"/>
      <c r="BU820"/>
      <c r="BX820"/>
      <c r="BY820"/>
      <c r="CA820"/>
    </row>
    <row r="821" spans="2:79" ht="18.75">
      <c r="B821" s="252" t="s">
        <v>236</v>
      </c>
      <c r="C821" s="251">
        <v>39363151000140</v>
      </c>
      <c r="D821" s="252" t="s">
        <v>14</v>
      </c>
      <c r="E821" s="252" t="s">
        <v>607</v>
      </c>
      <c r="F821" s="252" t="s">
        <v>1417</v>
      </c>
      <c r="G821" s="253" t="s">
        <v>1417</v>
      </c>
      <c r="H821" s="253" t="s">
        <v>34</v>
      </c>
      <c r="I821" s="253" t="s">
        <v>34</v>
      </c>
      <c r="J821" s="253" t="s">
        <v>608</v>
      </c>
      <c r="K821" s="253" t="s">
        <v>48</v>
      </c>
      <c r="L821" s="655"/>
      <c r="M821" s="655" t="s">
        <v>1414</v>
      </c>
      <c r="N821" s="253" t="s">
        <v>3411</v>
      </c>
      <c r="O821" s="253" t="s">
        <v>1321</v>
      </c>
      <c r="P821" s="656">
        <v>44143</v>
      </c>
      <c r="Q821" s="657">
        <v>6.19526457</v>
      </c>
      <c r="R821" s="657">
        <v>6.5274854600458676</v>
      </c>
      <c r="S821" s="253">
        <v>62</v>
      </c>
      <c r="T821" s="658">
        <v>2.7324189622129014E-2</v>
      </c>
      <c r="U821" s="659">
        <v>1.3663201548404806</v>
      </c>
      <c r="V821" s="658">
        <v>-0.24979761776265208</v>
      </c>
      <c r="W821" s="659">
        <v>-1.9372579816632345</v>
      </c>
      <c r="X821" s="658">
        <v>-0.10532797277278905</v>
      </c>
      <c r="Y821" s="659">
        <v>-0.54549278907363463</v>
      </c>
      <c r="Z821" s="658"/>
      <c r="AA821" s="659"/>
      <c r="AB821" s="658">
        <v>0.34378464277306092</v>
      </c>
      <c r="AC821" s="660">
        <v>-1.1016825072650358</v>
      </c>
      <c r="AD821" s="682">
        <v>40040288000142</v>
      </c>
      <c r="AE821" s="944" t="s">
        <v>1870</v>
      </c>
      <c r="AF821" s="661" t="s">
        <v>1745</v>
      </c>
      <c r="AG821" s="662" t="s">
        <v>1432</v>
      </c>
      <c r="AH821" s="662" t="s">
        <v>1730</v>
      </c>
      <c r="AI821" s="662">
        <v>50000</v>
      </c>
      <c r="AJ821" s="662">
        <v>10000</v>
      </c>
      <c r="AK821" s="662">
        <v>10000</v>
      </c>
      <c r="AL821" s="658">
        <v>5.0000000000000001E-3</v>
      </c>
      <c r="AM821" s="658">
        <v>0.25</v>
      </c>
      <c r="AN821" s="659" t="s">
        <v>34</v>
      </c>
      <c r="AO821" s="253" t="s">
        <v>34</v>
      </c>
      <c r="AP821" s="944" t="s">
        <v>1731</v>
      </c>
      <c r="AQ821" s="663" t="s">
        <v>659</v>
      </c>
      <c r="AR821" s="658">
        <v>0</v>
      </c>
      <c r="AS821" s="658">
        <v>0</v>
      </c>
      <c r="AT821" s="658" t="s">
        <v>1417</v>
      </c>
      <c r="AU821" s="658" t="s">
        <v>2751</v>
      </c>
      <c r="AX821"/>
      <c r="AY821"/>
      <c r="BA821"/>
      <c r="BB821"/>
      <c r="BC821"/>
      <c r="BD821"/>
      <c r="BE821"/>
      <c r="BF821"/>
      <c r="BG821"/>
      <c r="BH821"/>
      <c r="BI821"/>
      <c r="BJ821"/>
      <c r="BR821"/>
      <c r="BS821"/>
      <c r="BT821"/>
      <c r="BU821"/>
      <c r="BX821"/>
      <c r="BY821"/>
      <c r="CA821"/>
    </row>
    <row r="822" spans="2:79" ht="18.75">
      <c r="B822" s="252" t="s">
        <v>237</v>
      </c>
      <c r="C822" s="251">
        <v>40982906000173</v>
      </c>
      <c r="D822" s="252" t="s">
        <v>14</v>
      </c>
      <c r="E822" s="252" t="s">
        <v>607</v>
      </c>
      <c r="F822" s="252" t="s">
        <v>1417</v>
      </c>
      <c r="G822" s="253" t="s">
        <v>1417</v>
      </c>
      <c r="H822" s="253" t="s">
        <v>34</v>
      </c>
      <c r="I822" s="253" t="s">
        <v>34</v>
      </c>
      <c r="J822" s="253" t="s">
        <v>608</v>
      </c>
      <c r="K822" s="253" t="s">
        <v>48</v>
      </c>
      <c r="L822" s="655"/>
      <c r="M822" s="655" t="s">
        <v>1414</v>
      </c>
      <c r="N822" s="253" t="s">
        <v>3412</v>
      </c>
      <c r="O822" s="253" t="s">
        <v>1324</v>
      </c>
      <c r="P822" s="656">
        <v>44297</v>
      </c>
      <c r="Q822" s="657">
        <v>1.9163353000000001</v>
      </c>
      <c r="R822" s="657">
        <v>2.335546831929824</v>
      </c>
      <c r="S822" s="253">
        <v>92</v>
      </c>
      <c r="T822" s="658">
        <v>0.13572120171203972</v>
      </c>
      <c r="U822" s="659">
        <v>6.7866098099447107</v>
      </c>
      <c r="V822" s="658">
        <v>-0.57165706017475593</v>
      </c>
      <c r="W822" s="659">
        <v>-4.4333777580294571</v>
      </c>
      <c r="X822" s="658"/>
      <c r="Y822" s="659"/>
      <c r="Z822" s="658"/>
      <c r="AA822" s="659"/>
      <c r="AB822" s="658">
        <v>1.1219974265623969</v>
      </c>
      <c r="AC822" s="660">
        <v>-0.62442297373895295</v>
      </c>
      <c r="AD822" s="682">
        <v>0</v>
      </c>
      <c r="AE822" s="944" t="s">
        <v>1870</v>
      </c>
      <c r="AF822" s="661" t="s">
        <v>1745</v>
      </c>
      <c r="AG822" s="662" t="s">
        <v>1432</v>
      </c>
      <c r="AH822" s="662" t="s">
        <v>1730</v>
      </c>
      <c r="AI822" s="662">
        <v>50000</v>
      </c>
      <c r="AJ822" s="662">
        <v>10000</v>
      </c>
      <c r="AK822" s="662">
        <v>10000</v>
      </c>
      <c r="AL822" s="658">
        <v>5.0000000000000001E-3</v>
      </c>
      <c r="AM822" s="658">
        <v>0.2</v>
      </c>
      <c r="AN822" s="659" t="s">
        <v>2141</v>
      </c>
      <c r="AO822" s="253" t="s">
        <v>34</v>
      </c>
      <c r="AP822" s="944" t="s">
        <v>1731</v>
      </c>
      <c r="AQ822" s="663" t="s">
        <v>659</v>
      </c>
      <c r="AR822" s="658">
        <v>0</v>
      </c>
      <c r="AS822" s="658">
        <v>0</v>
      </c>
      <c r="AT822" s="658" t="s">
        <v>1417</v>
      </c>
      <c r="AU822" s="658" t="s">
        <v>2751</v>
      </c>
      <c r="AX822"/>
      <c r="AY822"/>
      <c r="BA822"/>
      <c r="BB822"/>
      <c r="BC822"/>
      <c r="BD822"/>
      <c r="BE822"/>
      <c r="BF822"/>
      <c r="BG822"/>
      <c r="BH822"/>
      <c r="BI822"/>
      <c r="BJ822"/>
      <c r="BR822"/>
      <c r="BS822"/>
      <c r="BT822"/>
      <c r="BU822"/>
      <c r="BX822"/>
      <c r="BY822"/>
      <c r="CA822"/>
    </row>
    <row r="823" spans="2:79" ht="18.75">
      <c r="B823" s="252" t="s">
        <v>238</v>
      </c>
      <c r="C823" s="251">
        <v>41673186000127</v>
      </c>
      <c r="D823" s="252" t="s">
        <v>14</v>
      </c>
      <c r="E823" s="252" t="s">
        <v>607</v>
      </c>
      <c r="F823" s="252" t="s">
        <v>1417</v>
      </c>
      <c r="G823" s="253" t="s">
        <v>1417</v>
      </c>
      <c r="H823" s="253" t="s">
        <v>34</v>
      </c>
      <c r="I823" s="253" t="s">
        <v>34</v>
      </c>
      <c r="J823" s="253" t="s">
        <v>608</v>
      </c>
      <c r="K823" s="253" t="s">
        <v>48</v>
      </c>
      <c r="L823" s="655"/>
      <c r="M823" s="655" t="s">
        <v>1414</v>
      </c>
      <c r="N823" s="253" t="s">
        <v>3413</v>
      </c>
      <c r="O823" s="253" t="s">
        <v>1321</v>
      </c>
      <c r="P823" s="656">
        <v>44332</v>
      </c>
      <c r="Q823" s="657">
        <v>3.6024536299999999</v>
      </c>
      <c r="R823" s="657">
        <v>4.3743529036546169</v>
      </c>
      <c r="S823" s="253">
        <v>92</v>
      </c>
      <c r="T823" s="658">
        <v>-5.5303534503315377E-2</v>
      </c>
      <c r="U823" s="659">
        <v>-2.7654007262707672</v>
      </c>
      <c r="V823" s="658">
        <v>-0.2576558707827632</v>
      </c>
      <c r="W823" s="659">
        <v>-1.9982011704794074</v>
      </c>
      <c r="X823" s="658"/>
      <c r="Y823" s="659"/>
      <c r="Z823" s="658"/>
      <c r="AA823" s="659"/>
      <c r="AB823" s="658">
        <v>0.61587775180908222</v>
      </c>
      <c r="AC823" s="660">
        <v>-0.62772162023055955</v>
      </c>
      <c r="AD823" s="682">
        <v>0</v>
      </c>
      <c r="AE823" s="944" t="s">
        <v>1870</v>
      </c>
      <c r="AF823" s="661" t="s">
        <v>1745</v>
      </c>
      <c r="AG823" s="662" t="s">
        <v>1432</v>
      </c>
      <c r="AH823" s="662" t="s">
        <v>1730</v>
      </c>
      <c r="AI823" s="662">
        <v>50000</v>
      </c>
      <c r="AJ823" s="662">
        <v>10000</v>
      </c>
      <c r="AK823" s="662">
        <v>10000</v>
      </c>
      <c r="AL823" s="658">
        <v>5.0000000000000001E-3</v>
      </c>
      <c r="AM823" s="658">
        <v>0.2</v>
      </c>
      <c r="AN823" s="659" t="s">
        <v>2141</v>
      </c>
      <c r="AO823" s="253" t="s">
        <v>34</v>
      </c>
      <c r="AP823" s="944" t="s">
        <v>1731</v>
      </c>
      <c r="AQ823" s="663" t="s">
        <v>659</v>
      </c>
      <c r="AR823" s="658">
        <v>0</v>
      </c>
      <c r="AS823" s="658">
        <v>0</v>
      </c>
      <c r="AT823" s="658" t="s">
        <v>1417</v>
      </c>
      <c r="AU823" s="658" t="s">
        <v>2751</v>
      </c>
      <c r="AX823"/>
      <c r="AY823"/>
      <c r="BA823"/>
      <c r="BB823"/>
      <c r="BC823"/>
      <c r="BD823"/>
      <c r="BE823"/>
      <c r="BF823"/>
      <c r="BG823"/>
      <c r="BH823"/>
      <c r="BI823"/>
      <c r="BJ823"/>
      <c r="BR823"/>
      <c r="BS823"/>
      <c r="BT823"/>
      <c r="BU823"/>
      <c r="BX823"/>
      <c r="BY823"/>
      <c r="CA823"/>
    </row>
    <row r="824" spans="2:79" ht="18.75">
      <c r="B824" s="252" t="s">
        <v>1598</v>
      </c>
      <c r="C824" s="251">
        <v>15174629000125</v>
      </c>
      <c r="D824" s="252" t="s">
        <v>11</v>
      </c>
      <c r="E824" s="252" t="s">
        <v>620</v>
      </c>
      <c r="F824" s="252" t="s">
        <v>663</v>
      </c>
      <c r="G824" s="253" t="s">
        <v>738</v>
      </c>
      <c r="H824" s="253" t="s">
        <v>34</v>
      </c>
      <c r="I824" s="253" t="s">
        <v>1417</v>
      </c>
      <c r="J824" s="253" t="s">
        <v>608</v>
      </c>
      <c r="K824" s="253" t="s">
        <v>48</v>
      </c>
      <c r="L824" s="655"/>
      <c r="M824" s="655" t="s">
        <v>34</v>
      </c>
      <c r="N824" s="253" t="s">
        <v>3414</v>
      </c>
      <c r="O824" s="253" t="s">
        <v>1321</v>
      </c>
      <c r="P824" s="656">
        <v>41025</v>
      </c>
      <c r="Q824" s="657">
        <v>65.227350000000001</v>
      </c>
      <c r="R824" s="657">
        <v>43.787434413654623</v>
      </c>
      <c r="S824" s="253">
        <v>30</v>
      </c>
      <c r="T824" s="658">
        <v>8.9472633239038313E-3</v>
      </c>
      <c r="U824" s="659">
        <v>0.44739940613698309</v>
      </c>
      <c r="V824" s="658">
        <v>0.13121986737163116</v>
      </c>
      <c r="W824" s="659">
        <v>1.0176507594240582</v>
      </c>
      <c r="X824" s="658">
        <v>0.21710186956260857</v>
      </c>
      <c r="Y824" s="659">
        <v>1.1243689707792699</v>
      </c>
      <c r="Z824" s="658">
        <v>0.25838186433932209</v>
      </c>
      <c r="AA824" s="659">
        <v>1.166665693188168</v>
      </c>
      <c r="AB824" s="658">
        <v>5.2806608290142457E-3</v>
      </c>
      <c r="AC824" s="660">
        <v>0.43099869477276531</v>
      </c>
      <c r="AD824" s="682">
        <v>0</v>
      </c>
      <c r="AE824" s="944" t="s">
        <v>1872</v>
      </c>
      <c r="AF824" s="661" t="s">
        <v>1745</v>
      </c>
      <c r="AG824" s="662" t="s">
        <v>1432</v>
      </c>
      <c r="AH824" s="662" t="s">
        <v>1734</v>
      </c>
      <c r="AI824" s="662">
        <v>1000</v>
      </c>
      <c r="AJ824" s="662">
        <v>1000</v>
      </c>
      <c r="AK824" s="662">
        <v>1000</v>
      </c>
      <c r="AL824" s="658">
        <v>1.4999999999999999E-2</v>
      </c>
      <c r="AM824" s="658">
        <v>0</v>
      </c>
      <c r="AN824" s="659" t="s">
        <v>34</v>
      </c>
      <c r="AO824" s="253" t="s">
        <v>34</v>
      </c>
      <c r="AP824" s="944" t="s">
        <v>1735</v>
      </c>
      <c r="AQ824" s="663" t="s">
        <v>669</v>
      </c>
      <c r="AR824" s="658">
        <v>3.0000000000000001E-3</v>
      </c>
      <c r="AS824" s="658">
        <v>3.0000000000000001E-3</v>
      </c>
      <c r="AT824" s="658" t="s">
        <v>1417</v>
      </c>
      <c r="AU824" s="658" t="s">
        <v>2751</v>
      </c>
      <c r="AX824"/>
      <c r="AY824"/>
      <c r="BA824"/>
      <c r="BB824"/>
      <c r="BC824"/>
      <c r="BD824"/>
      <c r="BE824"/>
      <c r="BF824"/>
      <c r="BG824"/>
      <c r="BH824"/>
      <c r="BI824"/>
      <c r="BJ824"/>
      <c r="BR824"/>
      <c r="BS824"/>
      <c r="BT824"/>
      <c r="BU824"/>
      <c r="BX824"/>
      <c r="BY824"/>
      <c r="CA824"/>
    </row>
    <row r="825" spans="2:79" ht="18.75">
      <c r="B825" s="252" t="s">
        <v>984</v>
      </c>
      <c r="C825" s="251">
        <v>37227745000106</v>
      </c>
      <c r="D825" s="252" t="s">
        <v>11</v>
      </c>
      <c r="E825" s="252" t="s">
        <v>620</v>
      </c>
      <c r="F825" s="252" t="s">
        <v>663</v>
      </c>
      <c r="G825" s="253" t="s">
        <v>738</v>
      </c>
      <c r="H825" s="253" t="s">
        <v>34</v>
      </c>
      <c r="I825" s="253" t="s">
        <v>1417</v>
      </c>
      <c r="J825" s="253" t="s">
        <v>608</v>
      </c>
      <c r="K825" s="253" t="s">
        <v>48</v>
      </c>
      <c r="L825" s="655"/>
      <c r="M825" s="655" t="s">
        <v>34</v>
      </c>
      <c r="N825" s="253" t="s">
        <v>3415</v>
      </c>
      <c r="O825" s="253" t="s">
        <v>1321</v>
      </c>
      <c r="P825" s="656">
        <v>44010</v>
      </c>
      <c r="Q825" s="657">
        <v>24.198184019999999</v>
      </c>
      <c r="R825" s="657">
        <v>23.207723921927712</v>
      </c>
      <c r="S825" s="253">
        <v>61</v>
      </c>
      <c r="T825" s="658">
        <v>1.3388139356739215E-2</v>
      </c>
      <c r="U825" s="659">
        <v>0.66946119507644397</v>
      </c>
      <c r="V825" s="658">
        <v>0.14283905558583077</v>
      </c>
      <c r="W825" s="659">
        <v>1.107761166841126</v>
      </c>
      <c r="X825" s="658">
        <v>0.23824808031017541</v>
      </c>
      <c r="Y825" s="659">
        <v>1.2338850392591252</v>
      </c>
      <c r="Z825" s="658"/>
      <c r="AA825" s="659"/>
      <c r="AB825" s="658">
        <v>6.1374984521458649E-3</v>
      </c>
      <c r="AC825" s="660">
        <v>2.2639755019708767</v>
      </c>
      <c r="AD825" s="682">
        <v>0</v>
      </c>
      <c r="AE825" s="944" t="s">
        <v>1872</v>
      </c>
      <c r="AF825" s="661" t="s">
        <v>1745</v>
      </c>
      <c r="AG825" s="662" t="s">
        <v>1432</v>
      </c>
      <c r="AH825" s="662" t="s">
        <v>1730</v>
      </c>
      <c r="AI825" s="662">
        <v>1000</v>
      </c>
      <c r="AJ825" s="662">
        <v>1000</v>
      </c>
      <c r="AK825" s="662">
        <v>1000</v>
      </c>
      <c r="AL825" s="658">
        <v>4.0000000000000001E-3</v>
      </c>
      <c r="AM825" s="658">
        <v>0.15</v>
      </c>
      <c r="AN825" s="659" t="s">
        <v>34</v>
      </c>
      <c r="AO825" s="253" t="s">
        <v>34</v>
      </c>
      <c r="AP825" s="944" t="s">
        <v>1735</v>
      </c>
      <c r="AQ825" s="663" t="s">
        <v>675</v>
      </c>
      <c r="AR825" s="658">
        <v>1.6000000000000001E-3</v>
      </c>
      <c r="AS825" s="658">
        <v>1.6000000000000001E-3</v>
      </c>
      <c r="AT825" s="658" t="s">
        <v>1417</v>
      </c>
      <c r="AU825" s="658" t="s">
        <v>2751</v>
      </c>
      <c r="AX825"/>
      <c r="AY825"/>
      <c r="BA825"/>
      <c r="BB825"/>
      <c r="BC825"/>
      <c r="BD825"/>
      <c r="BE825"/>
      <c r="BF825"/>
      <c r="BG825"/>
      <c r="BH825"/>
      <c r="BI825"/>
      <c r="BJ825"/>
      <c r="BR825"/>
      <c r="BS825"/>
      <c r="BT825"/>
      <c r="BU825"/>
      <c r="BX825"/>
      <c r="BY825"/>
      <c r="CA825"/>
    </row>
    <row r="826" spans="2:79" ht="18.75">
      <c r="B826" s="252" t="s">
        <v>985</v>
      </c>
      <c r="C826" s="251">
        <v>20879578000177</v>
      </c>
      <c r="D826" s="252" t="s">
        <v>11</v>
      </c>
      <c r="E826" s="252" t="s">
        <v>620</v>
      </c>
      <c r="F826" s="252" t="s">
        <v>663</v>
      </c>
      <c r="G826" s="253" t="s">
        <v>738</v>
      </c>
      <c r="H826" s="253" t="s">
        <v>34</v>
      </c>
      <c r="I826" s="253" t="s">
        <v>1417</v>
      </c>
      <c r="J826" s="253" t="s">
        <v>608</v>
      </c>
      <c r="K826" s="253" t="s">
        <v>48</v>
      </c>
      <c r="L826" s="655"/>
      <c r="M826" s="655" t="s">
        <v>34</v>
      </c>
      <c r="N826" s="253" t="s">
        <v>3416</v>
      </c>
      <c r="O826" s="253" t="s">
        <v>1321</v>
      </c>
      <c r="P826" s="656">
        <v>41992</v>
      </c>
      <c r="Q826" s="657">
        <v>1567.6092639999999</v>
      </c>
      <c r="R826" s="657">
        <v>1193.7868359395159</v>
      </c>
      <c r="S826" s="253">
        <v>1</v>
      </c>
      <c r="T826" s="658">
        <v>1.1280553425188078E-3</v>
      </c>
      <c r="U826" s="659">
        <v>5.6407336194545007E-2</v>
      </c>
      <c r="V826" s="658">
        <v>0.11886275982193761</v>
      </c>
      <c r="W826" s="659">
        <v>0.92181755875014049</v>
      </c>
      <c r="X826" s="658">
        <v>0.2004788588204216</v>
      </c>
      <c r="Y826" s="659">
        <v>1.0382785215486818</v>
      </c>
      <c r="Z826" s="658">
        <v>0.19000628919297013</v>
      </c>
      <c r="AA826" s="659">
        <v>0.85793103033080176</v>
      </c>
      <c r="AB826" s="658">
        <v>1.0380907983095664E-2</v>
      </c>
      <c r="AC826" s="660">
        <v>-0.97112407134972645</v>
      </c>
      <c r="AD826" s="682">
        <v>0</v>
      </c>
      <c r="AE826" s="944" t="s">
        <v>1808</v>
      </c>
      <c r="AF826" s="661" t="s">
        <v>1745</v>
      </c>
      <c r="AG826" s="662" t="s">
        <v>1432</v>
      </c>
      <c r="AH826" s="662" t="s">
        <v>1734</v>
      </c>
      <c r="AI826" s="662">
        <v>500</v>
      </c>
      <c r="AJ826" s="662">
        <v>100</v>
      </c>
      <c r="AK826" s="662">
        <v>500</v>
      </c>
      <c r="AL826" s="658">
        <v>5.0000000000000001E-3</v>
      </c>
      <c r="AM826" s="658">
        <v>0</v>
      </c>
      <c r="AN826" s="659" t="s">
        <v>64</v>
      </c>
      <c r="AO826" s="253" t="s">
        <v>34</v>
      </c>
      <c r="AP826" s="944" t="s">
        <v>1735</v>
      </c>
      <c r="AQ826" s="663" t="s">
        <v>675</v>
      </c>
      <c r="AR826" s="658">
        <v>1.5E-3</v>
      </c>
      <c r="AS826" s="658">
        <v>1.5E-3</v>
      </c>
      <c r="AT826" s="658" t="s">
        <v>1417</v>
      </c>
      <c r="AU826" s="658" t="s">
        <v>2751</v>
      </c>
      <c r="AX826"/>
      <c r="AY826"/>
      <c r="BA826"/>
      <c r="BB826"/>
      <c r="BC826"/>
      <c r="BD826"/>
      <c r="BE826"/>
      <c r="BF826"/>
      <c r="BG826"/>
      <c r="BH826"/>
      <c r="BI826"/>
      <c r="BJ826"/>
      <c r="BR826"/>
      <c r="BS826"/>
      <c r="BT826"/>
      <c r="BU826"/>
      <c r="BX826"/>
      <c r="BY826"/>
      <c r="CA826"/>
    </row>
    <row r="827" spans="2:79" ht="18.75">
      <c r="B827" s="252" t="s">
        <v>986</v>
      </c>
      <c r="C827" s="251">
        <v>9720710000160</v>
      </c>
      <c r="D827" s="252" t="s">
        <v>11</v>
      </c>
      <c r="E827" s="252" t="s">
        <v>620</v>
      </c>
      <c r="F827" s="252" t="s">
        <v>663</v>
      </c>
      <c r="G827" s="253" t="s">
        <v>738</v>
      </c>
      <c r="H827" s="253" t="s">
        <v>34</v>
      </c>
      <c r="I827" s="253" t="s">
        <v>1417</v>
      </c>
      <c r="J827" s="253" t="s">
        <v>608</v>
      </c>
      <c r="K827" s="253" t="s">
        <v>48</v>
      </c>
      <c r="L827" s="655"/>
      <c r="M827" s="655" t="s">
        <v>34</v>
      </c>
      <c r="N827" s="253" t="s">
        <v>3417</v>
      </c>
      <c r="O827" s="253" t="s">
        <v>1321</v>
      </c>
      <c r="P827" s="656">
        <v>39630</v>
      </c>
      <c r="Q827" s="657">
        <v>303.27070800000001</v>
      </c>
      <c r="R827" s="657">
        <v>286.29751133734936</v>
      </c>
      <c r="S827" s="253">
        <v>1</v>
      </c>
      <c r="T827" s="658">
        <v>1.6607502496968074E-3</v>
      </c>
      <c r="U827" s="659">
        <v>8.3044239177707271E-2</v>
      </c>
      <c r="V827" s="658">
        <v>0.11400562797518776</v>
      </c>
      <c r="W827" s="659">
        <v>0.88414899520504131</v>
      </c>
      <c r="X827" s="658">
        <v>0.18721708959344752</v>
      </c>
      <c r="Y827" s="659">
        <v>0.96959591717274418</v>
      </c>
      <c r="Z827" s="658">
        <v>0.19832881741804709</v>
      </c>
      <c r="AA827" s="659">
        <v>0.89550955073359695</v>
      </c>
      <c r="AB827" s="658">
        <v>1.0321995088709098E-2</v>
      </c>
      <c r="AC827" s="660">
        <v>-1.4472281127067286</v>
      </c>
      <c r="AD827" s="682">
        <v>0</v>
      </c>
      <c r="AE827" s="944" t="s">
        <v>1808</v>
      </c>
      <c r="AF827" s="661" t="s">
        <v>1745</v>
      </c>
      <c r="AG827" s="662" t="s">
        <v>1432</v>
      </c>
      <c r="AH827" s="662" t="s">
        <v>1734</v>
      </c>
      <c r="AI827" s="662">
        <v>1</v>
      </c>
      <c r="AJ827" s="662">
        <v>1</v>
      </c>
      <c r="AK827" s="662">
        <v>1</v>
      </c>
      <c r="AL827" s="658">
        <v>8.0000000000000002E-3</v>
      </c>
      <c r="AM827" s="658">
        <v>0.2</v>
      </c>
      <c r="AN827" s="659" t="s">
        <v>64</v>
      </c>
      <c r="AO827" s="253" t="s">
        <v>34</v>
      </c>
      <c r="AP827" s="944" t="s">
        <v>1735</v>
      </c>
      <c r="AQ827" s="663" t="s">
        <v>675</v>
      </c>
      <c r="AR827" s="658">
        <v>2.3999999999999998E-3</v>
      </c>
      <c r="AS827" s="658">
        <v>2.3999999999999998E-3</v>
      </c>
      <c r="AT827" s="658" t="s">
        <v>1417</v>
      </c>
      <c r="AU827" s="658" t="s">
        <v>2751</v>
      </c>
      <c r="AX827"/>
      <c r="AY827"/>
      <c r="BA827"/>
      <c r="BB827"/>
      <c r="BC827"/>
      <c r="BD827"/>
      <c r="BE827"/>
      <c r="BF827"/>
      <c r="BG827"/>
      <c r="BH827"/>
      <c r="BI827"/>
      <c r="BJ827"/>
      <c r="BR827"/>
      <c r="BS827"/>
      <c r="BT827"/>
      <c r="BU827"/>
      <c r="BX827"/>
      <c r="BY827"/>
      <c r="CA827"/>
    </row>
    <row r="828" spans="2:79" ht="18.75">
      <c r="B828" s="252" t="s">
        <v>987</v>
      </c>
      <c r="C828" s="251">
        <v>27826059000190</v>
      </c>
      <c r="D828" s="252" t="s">
        <v>11</v>
      </c>
      <c r="E828" s="252" t="s">
        <v>620</v>
      </c>
      <c r="F828" s="252" t="s">
        <v>663</v>
      </c>
      <c r="G828" s="253" t="s">
        <v>738</v>
      </c>
      <c r="H828" s="253" t="s">
        <v>34</v>
      </c>
      <c r="I828" s="253" t="s">
        <v>1417</v>
      </c>
      <c r="J828" s="253" t="s">
        <v>608</v>
      </c>
      <c r="K828" s="253" t="s">
        <v>48</v>
      </c>
      <c r="L828" s="655"/>
      <c r="M828" s="655" t="s">
        <v>34</v>
      </c>
      <c r="N828" s="253" t="s">
        <v>3418</v>
      </c>
      <c r="O828" s="253" t="s">
        <v>1321</v>
      </c>
      <c r="P828" s="656">
        <v>43027</v>
      </c>
      <c r="Q828" s="657">
        <v>262.39816531000002</v>
      </c>
      <c r="R828" s="657">
        <v>257.85864163233873</v>
      </c>
      <c r="S828" s="253">
        <v>15</v>
      </c>
      <c r="T828" s="658">
        <v>-8.5969931589112702E-3</v>
      </c>
      <c r="U828" s="659">
        <v>-0.42988447915517614</v>
      </c>
      <c r="V828" s="658">
        <v>0.11068912938005515</v>
      </c>
      <c r="W828" s="659">
        <v>0.85842852023758087</v>
      </c>
      <c r="X828" s="658">
        <v>0.19713947825682654</v>
      </c>
      <c r="Y828" s="659">
        <v>1.0209838944001721</v>
      </c>
      <c r="Z828" s="658">
        <v>0.18802502044106073</v>
      </c>
      <c r="AA828" s="659">
        <v>0.84898505307443017</v>
      </c>
      <c r="AB828" s="658">
        <v>1.4926391637033335E-2</v>
      </c>
      <c r="AC828" s="660">
        <v>-1.2229868082411774</v>
      </c>
      <c r="AD828" s="682">
        <v>0</v>
      </c>
      <c r="AE828" s="944" t="s">
        <v>1808</v>
      </c>
      <c r="AF828" s="661" t="s">
        <v>1745</v>
      </c>
      <c r="AG828" s="662" t="s">
        <v>1432</v>
      </c>
      <c r="AH828" s="662" t="s">
        <v>1734</v>
      </c>
      <c r="AI828" s="662">
        <v>500</v>
      </c>
      <c r="AJ828" s="662">
        <v>100</v>
      </c>
      <c r="AK828" s="662">
        <v>500</v>
      </c>
      <c r="AL828" s="658">
        <v>6.0000000000000001E-3</v>
      </c>
      <c r="AM828" s="658">
        <v>0.2</v>
      </c>
      <c r="AN828" s="659" t="s">
        <v>64</v>
      </c>
      <c r="AO828" s="253" t="s">
        <v>34</v>
      </c>
      <c r="AP828" s="944" t="s">
        <v>1735</v>
      </c>
      <c r="AQ828" s="663" t="s">
        <v>675</v>
      </c>
      <c r="AR828" s="658">
        <v>1.8E-3</v>
      </c>
      <c r="AS828" s="658">
        <v>1.8E-3</v>
      </c>
      <c r="AT828" s="658" t="s">
        <v>1417</v>
      </c>
      <c r="AU828" s="658" t="s">
        <v>2751</v>
      </c>
      <c r="AX828"/>
      <c r="AY828"/>
      <c r="BA828"/>
      <c r="BB828"/>
      <c r="BC828"/>
      <c r="BD828"/>
      <c r="BE828"/>
      <c r="BF828"/>
      <c r="BG828"/>
      <c r="BH828"/>
      <c r="BI828"/>
      <c r="BJ828"/>
      <c r="BR828"/>
      <c r="BS828"/>
      <c r="BT828"/>
      <c r="BU828"/>
      <c r="BX828"/>
      <c r="BY828"/>
      <c r="CA828"/>
    </row>
    <row r="829" spans="2:79" ht="18.75">
      <c r="B829" s="252" t="s">
        <v>988</v>
      </c>
      <c r="C829" s="251">
        <v>33784218000133</v>
      </c>
      <c r="D829" s="252" t="s">
        <v>11</v>
      </c>
      <c r="E829" s="252" t="s">
        <v>4235</v>
      </c>
      <c r="F829" s="252" t="s">
        <v>663</v>
      </c>
      <c r="G829" s="253" t="s">
        <v>1417</v>
      </c>
      <c r="H829" s="253" t="s">
        <v>34</v>
      </c>
      <c r="I829" s="253" t="s">
        <v>1417</v>
      </c>
      <c r="J829" s="253" t="s">
        <v>611</v>
      </c>
      <c r="K829" s="253" t="s">
        <v>48</v>
      </c>
      <c r="L829" s="655"/>
      <c r="M829" s="655" t="s">
        <v>1414</v>
      </c>
      <c r="N829" s="253" t="s">
        <v>3419</v>
      </c>
      <c r="O829" s="253" t="s">
        <v>1321</v>
      </c>
      <c r="P829" s="656">
        <v>43707</v>
      </c>
      <c r="Q829" s="657">
        <v>0</v>
      </c>
      <c r="R829" s="657">
        <v>0</v>
      </c>
      <c r="S829" s="253">
        <v>30</v>
      </c>
      <c r="T829" s="658"/>
      <c r="U829" s="659"/>
      <c r="V829" s="658"/>
      <c r="W829" s="659"/>
      <c r="X829" s="658"/>
      <c r="Y829" s="659"/>
      <c r="Z829" s="658"/>
      <c r="AA829" s="659"/>
      <c r="AB829" s="658"/>
      <c r="AC829" s="660"/>
      <c r="AD829" s="682">
        <v>0</v>
      </c>
      <c r="AE829" s="944" t="s">
        <v>1808</v>
      </c>
      <c r="AF829" s="661" t="s">
        <v>1745</v>
      </c>
      <c r="AG829" s="662" t="s">
        <v>1432</v>
      </c>
      <c r="AH829" s="662" t="s">
        <v>1730</v>
      </c>
      <c r="AI829" s="662">
        <v>5000</v>
      </c>
      <c r="AJ829" s="662">
        <v>1000</v>
      </c>
      <c r="AK829" s="662">
        <v>5000</v>
      </c>
      <c r="AL829" s="658">
        <v>0.01</v>
      </c>
      <c r="AM829" s="658">
        <v>0.15</v>
      </c>
      <c r="AN829" s="659" t="s">
        <v>64</v>
      </c>
      <c r="AO829" s="253" t="s">
        <v>34</v>
      </c>
      <c r="AP829" s="944" t="s">
        <v>1746</v>
      </c>
      <c r="AQ829" s="663" t="s">
        <v>688</v>
      </c>
      <c r="AR829" s="658">
        <v>2.3333333333333301E-3</v>
      </c>
      <c r="AS829" s="658">
        <v>2.3333333333333301E-3</v>
      </c>
      <c r="AT829" s="658" t="s">
        <v>1417</v>
      </c>
      <c r="AU829" s="658" t="s">
        <v>2751</v>
      </c>
      <c r="AX829"/>
      <c r="AY829"/>
      <c r="BA829"/>
      <c r="BB829"/>
      <c r="BC829"/>
      <c r="BD829"/>
      <c r="BE829"/>
      <c r="BF829"/>
      <c r="BG829"/>
      <c r="BH829"/>
      <c r="BI829"/>
      <c r="BJ829"/>
      <c r="BR829"/>
      <c r="BS829"/>
      <c r="BT829"/>
      <c r="BU829"/>
      <c r="BX829"/>
      <c r="BY829"/>
      <c r="CA829"/>
    </row>
    <row r="830" spans="2:79" ht="18.75">
      <c r="B830" s="252" t="s">
        <v>989</v>
      </c>
      <c r="C830" s="251">
        <v>24874367000100</v>
      </c>
      <c r="D830" s="252" t="s">
        <v>14</v>
      </c>
      <c r="E830" s="252" t="s">
        <v>607</v>
      </c>
      <c r="F830" s="252" t="s">
        <v>1417</v>
      </c>
      <c r="G830" s="253" t="s">
        <v>1417</v>
      </c>
      <c r="H830" s="253" t="s">
        <v>34</v>
      </c>
      <c r="I830" s="253" t="s">
        <v>34</v>
      </c>
      <c r="J830" s="253" t="s">
        <v>608</v>
      </c>
      <c r="K830" s="253" t="s">
        <v>48</v>
      </c>
      <c r="L830" s="655"/>
      <c r="M830" s="655" t="s">
        <v>34</v>
      </c>
      <c r="N830" s="253" t="s">
        <v>3420</v>
      </c>
      <c r="O830" s="253" t="s">
        <v>1321</v>
      </c>
      <c r="P830" s="656">
        <v>42510</v>
      </c>
      <c r="Q830" s="657">
        <v>32.273705999999997</v>
      </c>
      <c r="R830" s="657">
        <v>61.094421048387069</v>
      </c>
      <c r="S830" s="253">
        <v>5</v>
      </c>
      <c r="T830" s="658">
        <v>-2.3406984144283771E-2</v>
      </c>
      <c r="U830" s="659">
        <v>-1.1704440147226072</v>
      </c>
      <c r="V830" s="658">
        <v>-0.54421423095601662</v>
      </c>
      <c r="W830" s="659">
        <v>-4.2205501081119232</v>
      </c>
      <c r="X830" s="658">
        <v>-0.74728539230324231</v>
      </c>
      <c r="Y830" s="659">
        <v>-3.8701854991629756</v>
      </c>
      <c r="Z830" s="658">
        <v>-0.49254585648321303</v>
      </c>
      <c r="AA830" s="659">
        <v>-2.2239809846959764</v>
      </c>
      <c r="AB830" s="658">
        <v>0.47059157467762386</v>
      </c>
      <c r="AC830" s="660">
        <v>-1.4304508976046759</v>
      </c>
      <c r="AD830" s="682">
        <v>0</v>
      </c>
      <c r="AE830" s="944" t="s">
        <v>1942</v>
      </c>
      <c r="AF830" s="661" t="s">
        <v>1943</v>
      </c>
      <c r="AG830" s="662" t="s">
        <v>1434</v>
      </c>
      <c r="AH830" s="662" t="s">
        <v>1734</v>
      </c>
      <c r="AI830" s="662">
        <v>10000</v>
      </c>
      <c r="AJ830" s="662">
        <v>0</v>
      </c>
      <c r="AK830" s="662">
        <v>5000</v>
      </c>
      <c r="AL830" s="658">
        <v>2.5000000000000001E-2</v>
      </c>
      <c r="AM830" s="658">
        <v>0.2</v>
      </c>
      <c r="AN830" s="659" t="s">
        <v>666</v>
      </c>
      <c r="AO830" s="253" t="s">
        <v>34</v>
      </c>
      <c r="AP830" s="944" t="s">
        <v>1731</v>
      </c>
      <c r="AQ830" s="663" t="s">
        <v>670</v>
      </c>
      <c r="AR830" s="658">
        <v>6.7200000000000003E-3</v>
      </c>
      <c r="AS830" s="658">
        <v>6.7200000000000003E-3</v>
      </c>
      <c r="AT830" s="658" t="s">
        <v>1417</v>
      </c>
      <c r="AU830" s="658" t="s">
        <v>2751</v>
      </c>
      <c r="AX830"/>
      <c r="AY830"/>
      <c r="BA830"/>
      <c r="BB830"/>
      <c r="BC830"/>
      <c r="BD830"/>
      <c r="BE830"/>
      <c r="BF830"/>
      <c r="BG830"/>
      <c r="BH830"/>
      <c r="BI830"/>
      <c r="BJ830"/>
      <c r="BR830"/>
      <c r="BS830"/>
      <c r="BT830"/>
      <c r="BU830"/>
      <c r="BX830"/>
      <c r="BY830"/>
      <c r="CA830"/>
    </row>
    <row r="831" spans="2:79" ht="18.75">
      <c r="B831" s="252" t="s">
        <v>494</v>
      </c>
      <c r="C831" s="251">
        <v>37608764000174</v>
      </c>
      <c r="D831" s="252" t="s">
        <v>11</v>
      </c>
      <c r="E831" s="252" t="s">
        <v>4235</v>
      </c>
      <c r="F831" s="252" t="s">
        <v>1417</v>
      </c>
      <c r="G831" s="253" t="s">
        <v>1417</v>
      </c>
      <c r="H831" s="253" t="s">
        <v>34</v>
      </c>
      <c r="I831" s="253" t="s">
        <v>34</v>
      </c>
      <c r="J831" s="253" t="s">
        <v>611</v>
      </c>
      <c r="K831" s="253" t="s">
        <v>48</v>
      </c>
      <c r="L831" s="655"/>
      <c r="M831" s="655" t="s">
        <v>1414</v>
      </c>
      <c r="N831" s="253" t="s">
        <v>3421</v>
      </c>
      <c r="O831" s="253" t="s">
        <v>1321</v>
      </c>
      <c r="P831" s="656">
        <v>44124</v>
      </c>
      <c r="Q831" s="657">
        <v>0</v>
      </c>
      <c r="R831" s="657">
        <v>0</v>
      </c>
      <c r="S831" s="253">
        <v>20</v>
      </c>
      <c r="T831" s="658"/>
      <c r="U831" s="659"/>
      <c r="V831" s="658"/>
      <c r="W831" s="659"/>
      <c r="X831" s="658"/>
      <c r="Y831" s="659"/>
      <c r="Z831" s="658"/>
      <c r="AA831" s="659"/>
      <c r="AB831" s="658"/>
      <c r="AC831" s="660"/>
      <c r="AD831" s="682">
        <v>0</v>
      </c>
      <c r="AE831" s="944" t="s">
        <v>2622</v>
      </c>
      <c r="AF831" s="661" t="s">
        <v>1939</v>
      </c>
      <c r="AG831" s="662" t="s">
        <v>719</v>
      </c>
      <c r="AH831" s="662" t="s">
        <v>1801</v>
      </c>
      <c r="AI831" s="662">
        <v>1000</v>
      </c>
      <c r="AJ831" s="662">
        <v>100</v>
      </c>
      <c r="AK831" s="662">
        <v>1000</v>
      </c>
      <c r="AL831" s="658">
        <v>1.15E-2</v>
      </c>
      <c r="AM831" s="658">
        <v>0.2</v>
      </c>
      <c r="AN831" s="659" t="s">
        <v>64</v>
      </c>
      <c r="AO831" s="253" t="s">
        <v>34</v>
      </c>
      <c r="AP831" s="944" t="s">
        <v>1746</v>
      </c>
      <c r="AQ831" s="663" t="s">
        <v>679</v>
      </c>
      <c r="AR831" s="658">
        <v>2.3E-3</v>
      </c>
      <c r="AS831" s="658">
        <v>2.3E-3</v>
      </c>
      <c r="AT831" s="658" t="s">
        <v>1417</v>
      </c>
      <c r="AU831" s="658" t="s">
        <v>2751</v>
      </c>
      <c r="AX831"/>
      <c r="AY831"/>
      <c r="BA831"/>
      <c r="BB831"/>
      <c r="BC831"/>
      <c r="BD831"/>
      <c r="BE831"/>
      <c r="BF831"/>
      <c r="BG831"/>
      <c r="BH831"/>
      <c r="BI831"/>
      <c r="BJ831"/>
      <c r="BR831"/>
      <c r="BS831"/>
      <c r="BT831"/>
      <c r="BU831"/>
      <c r="BX831"/>
      <c r="BY831"/>
      <c r="CA831"/>
    </row>
    <row r="832" spans="2:79" ht="18.75">
      <c r="B832" s="252" t="s">
        <v>1599</v>
      </c>
      <c r="C832" s="251">
        <v>44347000000138</v>
      </c>
      <c r="D832" s="252" t="s">
        <v>14</v>
      </c>
      <c r="E832" s="252" t="s">
        <v>614</v>
      </c>
      <c r="F832" s="252" t="s">
        <v>1417</v>
      </c>
      <c r="G832" s="253" t="s">
        <v>1417</v>
      </c>
      <c r="H832" s="253" t="s">
        <v>1338</v>
      </c>
      <c r="I832" s="253" t="s">
        <v>1417</v>
      </c>
      <c r="J832" s="253" t="s">
        <v>690</v>
      </c>
      <c r="K832" s="253" t="s">
        <v>48</v>
      </c>
      <c r="L832" s="655"/>
      <c r="M832" s="655" t="s">
        <v>34</v>
      </c>
      <c r="N832" s="253" t="s">
        <v>3423</v>
      </c>
      <c r="O832" s="253" t="s">
        <v>1321</v>
      </c>
      <c r="P832" s="656">
        <v>44541</v>
      </c>
      <c r="Q832" s="657">
        <v>0</v>
      </c>
      <c r="R832" s="657">
        <v>2.0986465774218739</v>
      </c>
      <c r="S832" s="253">
        <v>9</v>
      </c>
      <c r="T832" s="658"/>
      <c r="U832" s="659"/>
      <c r="V832" s="658">
        <v>-0.15496018891977148</v>
      </c>
      <c r="W832" s="659">
        <v>-1.2017643143022536</v>
      </c>
      <c r="X832" s="658"/>
      <c r="Y832" s="659"/>
      <c r="Z832" s="658"/>
      <c r="AA832" s="659"/>
      <c r="AB832" s="658">
        <v>0.15156540649292735</v>
      </c>
      <c r="AC832" s="660">
        <v>-1.8731457588893012</v>
      </c>
      <c r="AD832" s="682">
        <v>44347468000122</v>
      </c>
      <c r="AE832" s="944" t="s">
        <v>2067</v>
      </c>
      <c r="AF832" s="661" t="s">
        <v>1745</v>
      </c>
      <c r="AG832" s="662" t="s">
        <v>1432</v>
      </c>
      <c r="AH832" s="662" t="s">
        <v>1734</v>
      </c>
      <c r="AI832" s="662">
        <v>1000</v>
      </c>
      <c r="AJ832" s="662">
        <v>1000</v>
      </c>
      <c r="AK832" s="662">
        <v>1000</v>
      </c>
      <c r="AL832" s="658">
        <v>0</v>
      </c>
      <c r="AM832" s="658">
        <v>0</v>
      </c>
      <c r="AN832" s="659" t="s">
        <v>2127</v>
      </c>
      <c r="AO832" s="253" t="s">
        <v>34</v>
      </c>
      <c r="AP832" s="944" t="s">
        <v>1731</v>
      </c>
      <c r="AQ832" s="663" t="s">
        <v>659</v>
      </c>
      <c r="AR832" s="658">
        <v>2.6670000000000001E-3</v>
      </c>
      <c r="AS832" s="658">
        <v>2.6670000000000001E-3</v>
      </c>
      <c r="AT832" s="658" t="s">
        <v>1417</v>
      </c>
      <c r="AU832" s="658" t="s">
        <v>2751</v>
      </c>
      <c r="AX832"/>
      <c r="AY832"/>
      <c r="BA832"/>
      <c r="BB832"/>
      <c r="BC832"/>
      <c r="BD832"/>
      <c r="BE832"/>
      <c r="BF832"/>
      <c r="BG832"/>
      <c r="BH832"/>
      <c r="BI832"/>
      <c r="BJ832"/>
      <c r="BR832"/>
      <c r="BS832"/>
      <c r="BT832"/>
      <c r="BU832"/>
      <c r="BX832"/>
      <c r="BY832"/>
      <c r="CA832"/>
    </row>
    <row r="833" spans="2:79" ht="18.75">
      <c r="B833" s="252" t="s">
        <v>992</v>
      </c>
      <c r="C833" s="251">
        <v>12082452000149</v>
      </c>
      <c r="D833" s="252" t="s">
        <v>11</v>
      </c>
      <c r="E833" s="252" t="s">
        <v>4235</v>
      </c>
      <c r="F833" s="252" t="s">
        <v>663</v>
      </c>
      <c r="G833" s="253" t="s">
        <v>738</v>
      </c>
      <c r="H833" s="253" t="s">
        <v>34</v>
      </c>
      <c r="I833" s="253" t="s">
        <v>1417</v>
      </c>
      <c r="J833" s="253" t="s">
        <v>611</v>
      </c>
      <c r="K833" s="253" t="s">
        <v>48</v>
      </c>
      <c r="L833" s="655"/>
      <c r="M833" s="655" t="s">
        <v>34</v>
      </c>
      <c r="N833" s="253" t="s">
        <v>3426</v>
      </c>
      <c r="O833" s="253" t="s">
        <v>1321</v>
      </c>
      <c r="P833" s="656">
        <v>40372</v>
      </c>
      <c r="Q833" s="657">
        <v>454.55435799999998</v>
      </c>
      <c r="R833" s="657">
        <v>589.76750051417048</v>
      </c>
      <c r="S833" s="253">
        <v>32</v>
      </c>
      <c r="T833" s="658">
        <v>-4.4501681418501748E-3</v>
      </c>
      <c r="U833" s="659">
        <v>-0.22252643202690317</v>
      </c>
      <c r="V833" s="658">
        <v>-0.20440633051508406</v>
      </c>
      <c r="W833" s="659">
        <v>-1.5852344743699351</v>
      </c>
      <c r="X833" s="658">
        <v>-0.20567888455586802</v>
      </c>
      <c r="Y833" s="659">
        <v>-1.0652094162294552</v>
      </c>
      <c r="Z833" s="658">
        <v>3.550204767891163E-2</v>
      </c>
      <c r="AA833" s="659">
        <v>0.16030157987606655</v>
      </c>
      <c r="AB833" s="658">
        <v>0.22322675420423577</v>
      </c>
      <c r="AC833" s="660">
        <v>-1.4933256595976032</v>
      </c>
      <c r="AD833" s="682">
        <v>28246609000164</v>
      </c>
      <c r="AE833" s="944" t="s">
        <v>1728</v>
      </c>
      <c r="AF833" s="661" t="s">
        <v>1729</v>
      </c>
      <c r="AG833" s="662" t="s">
        <v>1433</v>
      </c>
      <c r="AH833" s="662" t="s">
        <v>1734</v>
      </c>
      <c r="AI833" s="662">
        <v>20000</v>
      </c>
      <c r="AJ833" s="662">
        <v>5000</v>
      </c>
      <c r="AK833" s="662">
        <v>0</v>
      </c>
      <c r="AL833" s="658">
        <v>6.0000000000000001E-3</v>
      </c>
      <c r="AM833" s="658">
        <v>0.2</v>
      </c>
      <c r="AN833" s="659" t="s">
        <v>2160</v>
      </c>
      <c r="AO833" s="253" t="s">
        <v>34</v>
      </c>
      <c r="AP833" s="944" t="s">
        <v>1731</v>
      </c>
      <c r="AQ833" s="663" t="s">
        <v>659</v>
      </c>
      <c r="AR833" s="658">
        <v>5.0000000000000001E-3</v>
      </c>
      <c r="AS833" s="658">
        <v>5.0000000000000001E-3</v>
      </c>
      <c r="AT833" s="658" t="s">
        <v>1417</v>
      </c>
      <c r="AU833" s="658" t="s">
        <v>2751</v>
      </c>
      <c r="AX833"/>
      <c r="AY833"/>
      <c r="BA833"/>
      <c r="BB833"/>
      <c r="BC833"/>
      <c r="BD833"/>
      <c r="BE833"/>
      <c r="BF833"/>
      <c r="BG833"/>
      <c r="BH833"/>
      <c r="BI833"/>
      <c r="BJ833"/>
      <c r="BR833"/>
      <c r="BS833"/>
      <c r="BT833"/>
      <c r="BU833"/>
      <c r="BX833"/>
      <c r="BY833"/>
      <c r="CA833"/>
    </row>
    <row r="834" spans="2:79" ht="18.75">
      <c r="B834" s="252" t="s">
        <v>4497</v>
      </c>
      <c r="C834" s="251">
        <v>39723078000170</v>
      </c>
      <c r="D834" s="252" t="s">
        <v>13</v>
      </c>
      <c r="E834" s="252" t="s">
        <v>615</v>
      </c>
      <c r="F834" s="252" t="s">
        <v>619</v>
      </c>
      <c r="G834" s="253" t="s">
        <v>34</v>
      </c>
      <c r="H834" s="253" t="s">
        <v>1338</v>
      </c>
      <c r="I834" s="253" t="s">
        <v>34</v>
      </c>
      <c r="J834" s="253" t="s">
        <v>608</v>
      </c>
      <c r="K834" s="253" t="s">
        <v>48</v>
      </c>
      <c r="L834" s="655"/>
      <c r="M834" s="655" t="s">
        <v>34</v>
      </c>
      <c r="N834" s="253" t="s">
        <v>4498</v>
      </c>
      <c r="O834" s="253" t="s">
        <v>1321</v>
      </c>
      <c r="P834" s="656">
        <v>44253</v>
      </c>
      <c r="Q834" s="657">
        <v>23.946790379999999</v>
      </c>
      <c r="R834" s="657">
        <v>24.2846280475</v>
      </c>
      <c r="S834" s="253">
        <v>22</v>
      </c>
      <c r="T834" s="658">
        <v>-1.6449774344725498E-2</v>
      </c>
      <c r="U834" s="659">
        <v>-0.82255534530378061</v>
      </c>
      <c r="V834" s="658">
        <v>-1.6449774344725498E-2</v>
      </c>
      <c r="W834" s="659">
        <v>-0.12757310070169597</v>
      </c>
      <c r="X834" s="658">
        <v>-1.6449774344725498E-2</v>
      </c>
      <c r="Y834" s="659">
        <v>-8.5193259214179265E-2</v>
      </c>
      <c r="Z834" s="658"/>
      <c r="AA834" s="659"/>
      <c r="AB834" s="658">
        <v>7.0437696087013071E-2</v>
      </c>
      <c r="AC834" s="660">
        <v>-2.0641459313477002</v>
      </c>
      <c r="AD834" s="682">
        <v>35940129000164</v>
      </c>
      <c r="AE834" s="944" t="s">
        <v>1728</v>
      </c>
      <c r="AF834" s="661" t="s">
        <v>1729</v>
      </c>
      <c r="AG834" s="662" t="s">
        <v>1433</v>
      </c>
      <c r="AH834" s="662" t="s">
        <v>2119</v>
      </c>
      <c r="AI834" s="662">
        <v>0</v>
      </c>
      <c r="AJ834" s="662">
        <v>0</v>
      </c>
      <c r="AK834" s="662">
        <v>0</v>
      </c>
      <c r="AL834" s="658">
        <v>0.02</v>
      </c>
      <c r="AM834" s="658">
        <v>0.2</v>
      </c>
      <c r="AN834" s="659" t="s">
        <v>34</v>
      </c>
      <c r="AO834" s="253" t="s">
        <v>4397</v>
      </c>
      <c r="AP834" s="944" t="s">
        <v>1746</v>
      </c>
      <c r="AQ834" s="663" t="s">
        <v>2177</v>
      </c>
      <c r="AR834" s="658">
        <v>0</v>
      </c>
      <c r="AS834" s="658">
        <v>0</v>
      </c>
      <c r="AT834" s="658" t="s">
        <v>1417</v>
      </c>
      <c r="AU834" s="658" t="s">
        <v>2751</v>
      </c>
      <c r="AX834"/>
      <c r="AY834"/>
      <c r="BA834"/>
      <c r="BB834"/>
      <c r="BC834"/>
      <c r="BD834"/>
      <c r="BE834"/>
      <c r="BF834"/>
      <c r="BG834"/>
      <c r="BH834"/>
      <c r="BI834"/>
      <c r="BJ834"/>
      <c r="BR834"/>
      <c r="BS834"/>
      <c r="BT834"/>
      <c r="BU834"/>
      <c r="BX834"/>
      <c r="BY834"/>
      <c r="CA834"/>
    </row>
    <row r="835" spans="2:79" ht="18.75">
      <c r="B835" s="252" t="s">
        <v>993</v>
      </c>
      <c r="C835" s="251">
        <v>5936530000160</v>
      </c>
      <c r="D835" s="252" t="s">
        <v>13</v>
      </c>
      <c r="E835" s="252" t="s">
        <v>616</v>
      </c>
      <c r="F835" s="252" t="s">
        <v>617</v>
      </c>
      <c r="G835" s="253" t="s">
        <v>34</v>
      </c>
      <c r="H835" s="253" t="s">
        <v>1338</v>
      </c>
      <c r="I835" s="253" t="s">
        <v>34</v>
      </c>
      <c r="J835" s="253" t="s">
        <v>608</v>
      </c>
      <c r="K835" s="253" t="s">
        <v>48</v>
      </c>
      <c r="L835" s="655"/>
      <c r="M835" s="655" t="s">
        <v>1414</v>
      </c>
      <c r="N835" s="253" t="s">
        <v>3427</v>
      </c>
      <c r="O835" s="253" t="s">
        <v>1321</v>
      </c>
      <c r="P835" s="656">
        <v>37909</v>
      </c>
      <c r="Q835" s="657">
        <v>302.632071</v>
      </c>
      <c r="R835" s="657">
        <v>626.7420551774195</v>
      </c>
      <c r="S835" s="253">
        <v>32</v>
      </c>
      <c r="T835" s="658">
        <v>-5.6477442676539091E-4</v>
      </c>
      <c r="U835" s="659">
        <v>-2.8241008897225885E-2</v>
      </c>
      <c r="V835" s="658">
        <v>-7.1748555644181589E-2</v>
      </c>
      <c r="W835" s="659">
        <v>-0.55643229643033487</v>
      </c>
      <c r="X835" s="658">
        <v>-1.3099770535260125E-2</v>
      </c>
      <c r="Y835" s="659">
        <v>-6.7843614354170453E-2</v>
      </c>
      <c r="Z835" s="658">
        <v>0.16803468364078489</v>
      </c>
      <c r="AA835" s="659">
        <v>0.75872314479463354</v>
      </c>
      <c r="AB835" s="658">
        <v>0.10910203544387344</v>
      </c>
      <c r="AC835" s="660">
        <v>-1.8394933171912671</v>
      </c>
      <c r="AD835" s="682">
        <v>11456177000113</v>
      </c>
      <c r="AE835" s="944" t="s">
        <v>1728</v>
      </c>
      <c r="AF835" s="661" t="s">
        <v>1729</v>
      </c>
      <c r="AG835" s="662" t="s">
        <v>1433</v>
      </c>
      <c r="AH835" s="662" t="s">
        <v>1730</v>
      </c>
      <c r="AI835" s="662">
        <v>20000</v>
      </c>
      <c r="AJ835" s="662">
        <v>5000</v>
      </c>
      <c r="AK835" s="662">
        <v>100</v>
      </c>
      <c r="AL835" s="658">
        <v>0.02</v>
      </c>
      <c r="AM835" s="658">
        <v>0.2</v>
      </c>
      <c r="AN835" s="659" t="s">
        <v>2127</v>
      </c>
      <c r="AO835" s="253" t="s">
        <v>34</v>
      </c>
      <c r="AP835" s="944" t="s">
        <v>1746</v>
      </c>
      <c r="AQ835" s="663" t="s">
        <v>679</v>
      </c>
      <c r="AR835" s="658">
        <v>2.7000000000000001E-3</v>
      </c>
      <c r="AS835" s="658">
        <v>2.7000000000000001E-3</v>
      </c>
      <c r="AT835" s="658" t="s">
        <v>1417</v>
      </c>
      <c r="AU835" s="658" t="s">
        <v>2751</v>
      </c>
      <c r="AX835"/>
      <c r="AY835"/>
      <c r="BA835"/>
      <c r="BB835"/>
      <c r="BC835"/>
      <c r="BD835"/>
      <c r="BE835"/>
      <c r="BF835"/>
      <c r="BG835"/>
      <c r="BH835"/>
      <c r="BI835"/>
      <c r="BJ835"/>
      <c r="BR835"/>
      <c r="BS835"/>
      <c r="BT835"/>
      <c r="BU835"/>
      <c r="BX835"/>
      <c r="BY835"/>
      <c r="CA835"/>
    </row>
    <row r="836" spans="2:79" ht="18.75">
      <c r="B836" s="252" t="s">
        <v>239</v>
      </c>
      <c r="C836" s="251">
        <v>26978438000132</v>
      </c>
      <c r="D836" s="252" t="s">
        <v>11</v>
      </c>
      <c r="E836" s="252" t="s">
        <v>620</v>
      </c>
      <c r="F836" s="252" t="s">
        <v>663</v>
      </c>
      <c r="G836" s="253" t="s">
        <v>738</v>
      </c>
      <c r="H836" s="253" t="s">
        <v>34</v>
      </c>
      <c r="I836" s="253" t="s">
        <v>1417</v>
      </c>
      <c r="J836" s="253" t="s">
        <v>608</v>
      </c>
      <c r="K836" s="253" t="s">
        <v>48</v>
      </c>
      <c r="L836" s="655"/>
      <c r="M836" s="655" t="s">
        <v>34</v>
      </c>
      <c r="N836" s="253" t="s">
        <v>3428</v>
      </c>
      <c r="O836" s="253" t="s">
        <v>1321</v>
      </c>
      <c r="P836" s="656">
        <v>43034</v>
      </c>
      <c r="Q836" s="657">
        <v>3491.3329174999999</v>
      </c>
      <c r="R836" s="657">
        <v>2403.7047670055435</v>
      </c>
      <c r="S836" s="253">
        <v>1</v>
      </c>
      <c r="T836" s="658">
        <v>9.8870236682537804E-3</v>
      </c>
      <c r="U836" s="659">
        <v>0.49439122975415206</v>
      </c>
      <c r="V836" s="658">
        <v>0.12912186238789358</v>
      </c>
      <c r="W836" s="659">
        <v>1.0013800802369706</v>
      </c>
      <c r="X836" s="658">
        <v>0.21908660446982942</v>
      </c>
      <c r="Y836" s="659">
        <v>1.1346478981298151</v>
      </c>
      <c r="Z836" s="658">
        <v>0.20938071605738551</v>
      </c>
      <c r="AA836" s="659">
        <v>0.94541193463379269</v>
      </c>
      <c r="AB836" s="658">
        <v>4.1514037444339855E-3</v>
      </c>
      <c r="AC836" s="660">
        <v>4.2865727368440562E-2</v>
      </c>
      <c r="AD836" s="682">
        <v>0</v>
      </c>
      <c r="AE836" s="944" t="s">
        <v>1948</v>
      </c>
      <c r="AF836" s="661" t="s">
        <v>1729</v>
      </c>
      <c r="AG836" s="662" t="s">
        <v>1433</v>
      </c>
      <c r="AH836" s="662" t="s">
        <v>1734</v>
      </c>
      <c r="AI836" s="662">
        <v>1000</v>
      </c>
      <c r="AJ836" s="662">
        <v>100</v>
      </c>
      <c r="AK836" s="662">
        <v>1000</v>
      </c>
      <c r="AL836" s="658">
        <v>4.0000000000000001E-3</v>
      </c>
      <c r="AM836" s="658">
        <v>0.1</v>
      </c>
      <c r="AN836" s="659" t="s">
        <v>64</v>
      </c>
      <c r="AO836" s="253" t="s">
        <v>34</v>
      </c>
      <c r="AP836" s="944" t="s">
        <v>1735</v>
      </c>
      <c r="AQ836" s="663" t="s">
        <v>669</v>
      </c>
      <c r="AR836" s="658">
        <v>1.4E-3</v>
      </c>
      <c r="AS836" s="658">
        <v>1.4E-3</v>
      </c>
      <c r="AT836" s="658" t="s">
        <v>1417</v>
      </c>
      <c r="AU836" s="658" t="s">
        <v>2751</v>
      </c>
      <c r="AX836"/>
      <c r="AY836"/>
      <c r="BA836"/>
      <c r="BB836"/>
      <c r="BC836"/>
      <c r="BD836"/>
      <c r="BE836"/>
      <c r="BF836"/>
      <c r="BG836"/>
      <c r="BH836"/>
      <c r="BI836"/>
      <c r="BJ836"/>
      <c r="BR836"/>
      <c r="BS836"/>
      <c r="BT836"/>
      <c r="BU836"/>
      <c r="BX836"/>
      <c r="BY836"/>
      <c r="CA836"/>
    </row>
    <row r="837" spans="2:79" ht="18.75">
      <c r="B837" s="252" t="s">
        <v>994</v>
      </c>
      <c r="C837" s="251">
        <v>28259415000101</v>
      </c>
      <c r="D837" s="252" t="s">
        <v>11</v>
      </c>
      <c r="E837" s="252" t="s">
        <v>620</v>
      </c>
      <c r="F837" s="252" t="s">
        <v>663</v>
      </c>
      <c r="G837" s="253" t="s">
        <v>738</v>
      </c>
      <c r="H837" s="253" t="s">
        <v>34</v>
      </c>
      <c r="I837" s="253" t="s">
        <v>1417</v>
      </c>
      <c r="J837" s="253" t="s">
        <v>608</v>
      </c>
      <c r="K837" s="253" t="s">
        <v>48</v>
      </c>
      <c r="L837" s="655"/>
      <c r="M837" s="655" t="s">
        <v>34</v>
      </c>
      <c r="N837" s="253" t="s">
        <v>3429</v>
      </c>
      <c r="O837" s="253" t="s">
        <v>1321</v>
      </c>
      <c r="P837" s="656">
        <v>43034</v>
      </c>
      <c r="Q837" s="657">
        <v>107.03180121</v>
      </c>
      <c r="R837" s="657">
        <v>134.64508575767076</v>
      </c>
      <c r="S837" s="253">
        <v>31</v>
      </c>
      <c r="T837" s="658">
        <v>5.6763016501917285E-3</v>
      </c>
      <c r="U837" s="659">
        <v>0.28383807376780101</v>
      </c>
      <c r="V837" s="658">
        <v>9.053742123686348E-2</v>
      </c>
      <c r="W837" s="659">
        <v>0.70214577505287923</v>
      </c>
      <c r="X837" s="658">
        <v>0.20083968301463595</v>
      </c>
      <c r="Y837" s="659">
        <v>1.0401472273718901</v>
      </c>
      <c r="Z837" s="658">
        <v>0.21534658762944558</v>
      </c>
      <c r="AA837" s="659">
        <v>0.97234949741857291</v>
      </c>
      <c r="AB837" s="658">
        <v>1.4957903820591992E-2</v>
      </c>
      <c r="AC837" s="660">
        <v>-2.5676383984400331</v>
      </c>
      <c r="AD837" s="682">
        <v>0</v>
      </c>
      <c r="AE837" s="944" t="s">
        <v>1948</v>
      </c>
      <c r="AF837" s="661" t="s">
        <v>1729</v>
      </c>
      <c r="AG837" s="662" t="s">
        <v>1433</v>
      </c>
      <c r="AH837" s="662" t="s">
        <v>1730</v>
      </c>
      <c r="AI837" s="662">
        <v>500</v>
      </c>
      <c r="AJ837" s="662">
        <v>100</v>
      </c>
      <c r="AK837" s="662">
        <v>500</v>
      </c>
      <c r="AL837" s="658">
        <v>9.0000000000000011E-3</v>
      </c>
      <c r="AM837" s="658">
        <v>0.2</v>
      </c>
      <c r="AN837" s="659" t="s">
        <v>64</v>
      </c>
      <c r="AO837" s="253" t="s">
        <v>34</v>
      </c>
      <c r="AP837" s="944" t="s">
        <v>1735</v>
      </c>
      <c r="AQ837" s="663" t="s">
        <v>675</v>
      </c>
      <c r="AR837" s="658">
        <v>2.4499999999999999E-3</v>
      </c>
      <c r="AS837" s="658">
        <v>2.4499999999999999E-3</v>
      </c>
      <c r="AT837" s="658" t="s">
        <v>1417</v>
      </c>
      <c r="AU837" s="658" t="s">
        <v>2751</v>
      </c>
      <c r="AX837"/>
      <c r="AY837"/>
      <c r="BA837"/>
      <c r="BB837"/>
      <c r="BC837"/>
      <c r="BD837"/>
      <c r="BE837"/>
      <c r="BF837"/>
      <c r="BG837"/>
      <c r="BH837"/>
      <c r="BI837"/>
      <c r="BJ837"/>
      <c r="BR837"/>
      <c r="BS837"/>
      <c r="BT837"/>
      <c r="BU837"/>
      <c r="BX837"/>
      <c r="BY837"/>
      <c r="CA837"/>
    </row>
    <row r="838" spans="2:79" ht="18.75">
      <c r="B838" s="252" t="s">
        <v>995</v>
      </c>
      <c r="C838" s="251">
        <v>39990463000183</v>
      </c>
      <c r="D838" s="252" t="s">
        <v>14</v>
      </c>
      <c r="E838" s="252" t="s">
        <v>607</v>
      </c>
      <c r="F838" s="252" t="s">
        <v>1417</v>
      </c>
      <c r="G838" s="253" t="s">
        <v>1417</v>
      </c>
      <c r="H838" s="253" t="s">
        <v>34</v>
      </c>
      <c r="I838" s="253" t="s">
        <v>34</v>
      </c>
      <c r="J838" s="253" t="s">
        <v>608</v>
      </c>
      <c r="K838" s="253" t="s">
        <v>48</v>
      </c>
      <c r="L838" s="655"/>
      <c r="M838" s="655" t="s">
        <v>34</v>
      </c>
      <c r="N838" s="253" t="s">
        <v>3430</v>
      </c>
      <c r="O838" s="253" t="s">
        <v>1324</v>
      </c>
      <c r="P838" s="656">
        <v>44231</v>
      </c>
      <c r="Q838" s="657">
        <v>12.54096794</v>
      </c>
      <c r="R838" s="657">
        <v>18.349351765748988</v>
      </c>
      <c r="S838" s="253">
        <v>23</v>
      </c>
      <c r="T838" s="658">
        <v>-3.392347910875293E-2</v>
      </c>
      <c r="U838" s="659">
        <v>-1.6963113588942971</v>
      </c>
      <c r="V838" s="658">
        <v>1.5249847106151959E-2</v>
      </c>
      <c r="W838" s="659">
        <v>0.11826729289951579</v>
      </c>
      <c r="X838" s="658">
        <v>-0.10591536517111355</v>
      </c>
      <c r="Y838" s="659">
        <v>-0.54853488994396926</v>
      </c>
      <c r="Z838" s="658"/>
      <c r="AA838" s="659"/>
      <c r="AB838" s="658">
        <v>0.22096181333013284</v>
      </c>
      <c r="AC838" s="660">
        <v>-0.51454167861470834</v>
      </c>
      <c r="AD838" s="682">
        <v>35492558000116</v>
      </c>
      <c r="AE838" s="944" t="s">
        <v>1815</v>
      </c>
      <c r="AF838" s="661" t="s">
        <v>1767</v>
      </c>
      <c r="AG838" s="662" t="s">
        <v>59</v>
      </c>
      <c r="AH838" s="662" t="s">
        <v>1730</v>
      </c>
      <c r="AI838" s="662">
        <v>100</v>
      </c>
      <c r="AJ838" s="662">
        <v>1</v>
      </c>
      <c r="AK838" s="662">
        <v>100</v>
      </c>
      <c r="AL838" s="658">
        <v>0</v>
      </c>
      <c r="AM838" s="658">
        <v>0</v>
      </c>
      <c r="AN838" s="659" t="s">
        <v>666</v>
      </c>
      <c r="AO838" s="253" t="s">
        <v>34</v>
      </c>
      <c r="AP838" s="944" t="s">
        <v>1731</v>
      </c>
      <c r="AQ838" s="663" t="s">
        <v>659</v>
      </c>
      <c r="AR838" s="658">
        <v>4.6666666666666697E-3</v>
      </c>
      <c r="AS838" s="658">
        <v>4.6666666666666697E-3</v>
      </c>
      <c r="AT838" s="658" t="s">
        <v>1417</v>
      </c>
      <c r="AU838" s="658" t="s">
        <v>2751</v>
      </c>
      <c r="AX838"/>
      <c r="AY838"/>
      <c r="BA838"/>
      <c r="BB838"/>
      <c r="BC838"/>
      <c r="BD838"/>
      <c r="BE838"/>
      <c r="BF838"/>
      <c r="BG838"/>
      <c r="BH838"/>
      <c r="BI838"/>
      <c r="BJ838"/>
      <c r="BR838"/>
      <c r="BS838"/>
      <c r="BT838"/>
      <c r="BU838"/>
      <c r="BX838"/>
      <c r="BY838"/>
      <c r="CA838"/>
    </row>
    <row r="839" spans="2:79" ht="18.75">
      <c r="B839" s="252" t="s">
        <v>996</v>
      </c>
      <c r="C839" s="251">
        <v>41484468000186</v>
      </c>
      <c r="D839" s="252" t="s">
        <v>14</v>
      </c>
      <c r="E839" s="252" t="s">
        <v>607</v>
      </c>
      <c r="F839" s="252" t="s">
        <v>1417</v>
      </c>
      <c r="G839" s="253" t="s">
        <v>1417</v>
      </c>
      <c r="H839" s="253" t="s">
        <v>34</v>
      </c>
      <c r="I839" s="253" t="s">
        <v>34</v>
      </c>
      <c r="J839" s="253" t="s">
        <v>696</v>
      </c>
      <c r="K839" s="253" t="s">
        <v>1417</v>
      </c>
      <c r="L839" s="655"/>
      <c r="M839" s="655" t="s">
        <v>1414</v>
      </c>
      <c r="N839" s="253" t="s">
        <v>3431</v>
      </c>
      <c r="O839" s="253" t="s">
        <v>1321</v>
      </c>
      <c r="P839" s="656">
        <v>44314</v>
      </c>
      <c r="Q839" s="657">
        <v>0.99609128999999996</v>
      </c>
      <c r="R839" s="657">
        <v>1.3123355731451611</v>
      </c>
      <c r="S839" s="253">
        <v>5</v>
      </c>
      <c r="T839" s="658">
        <v>-8.2249719444055236E-3</v>
      </c>
      <c r="U839" s="659">
        <v>-0.41128191159738919</v>
      </c>
      <c r="V839" s="658">
        <v>-0.15368277065926628</v>
      </c>
      <c r="W839" s="659">
        <v>-1.1918575395969904</v>
      </c>
      <c r="X839" s="658"/>
      <c r="Y839" s="659"/>
      <c r="Z839" s="658"/>
      <c r="AA839" s="659"/>
      <c r="AB839" s="658">
        <v>0.22419383175884766</v>
      </c>
      <c r="AC839" s="660">
        <v>-1.2606353970079776</v>
      </c>
      <c r="AD839" s="682">
        <v>35412313000131</v>
      </c>
      <c r="AE839" s="944" t="s">
        <v>1815</v>
      </c>
      <c r="AF839" s="661" t="s">
        <v>1767</v>
      </c>
      <c r="AG839" s="662" t="s">
        <v>59</v>
      </c>
      <c r="AH839" s="662" t="s">
        <v>1730</v>
      </c>
      <c r="AI839" s="662">
        <v>100</v>
      </c>
      <c r="AJ839" s="662">
        <v>0</v>
      </c>
      <c r="AK839" s="662">
        <v>0</v>
      </c>
      <c r="AL839" s="658">
        <v>0</v>
      </c>
      <c r="AM839" s="658">
        <v>0</v>
      </c>
      <c r="AN839" s="659" t="s">
        <v>2122</v>
      </c>
      <c r="AO839" s="253" t="s">
        <v>34</v>
      </c>
      <c r="AP839" s="944" t="s">
        <v>1731</v>
      </c>
      <c r="AQ839" s="663" t="s">
        <v>687</v>
      </c>
      <c r="AR839" s="658">
        <v>1.8666666666666699E-3</v>
      </c>
      <c r="AS839" s="658">
        <v>1.8666666666666699E-3</v>
      </c>
      <c r="AT839" s="658" t="s">
        <v>1417</v>
      </c>
      <c r="AU839" s="658" t="s">
        <v>2751</v>
      </c>
      <c r="AX839"/>
      <c r="AY839"/>
      <c r="BA839"/>
      <c r="BB839"/>
      <c r="BC839"/>
      <c r="BD839"/>
      <c r="BE839"/>
      <c r="BF839"/>
      <c r="BG839"/>
      <c r="BH839"/>
      <c r="BI839"/>
      <c r="BJ839"/>
      <c r="BR839"/>
      <c r="BS839"/>
      <c r="BT839"/>
      <c r="BU839"/>
      <c r="BX839"/>
      <c r="BY839"/>
      <c r="CA839"/>
    </row>
    <row r="840" spans="2:79" ht="18.75">
      <c r="B840" s="252" t="s">
        <v>997</v>
      </c>
      <c r="C840" s="251">
        <v>41559595000105</v>
      </c>
      <c r="D840" s="252" t="s">
        <v>14</v>
      </c>
      <c r="E840" s="252" t="s">
        <v>607</v>
      </c>
      <c r="F840" s="252" t="s">
        <v>1417</v>
      </c>
      <c r="G840" s="253" t="s">
        <v>1417</v>
      </c>
      <c r="H840" s="253" t="s">
        <v>34</v>
      </c>
      <c r="I840" s="253" t="s">
        <v>34</v>
      </c>
      <c r="J840" s="253" t="s">
        <v>613</v>
      </c>
      <c r="K840" s="253" t="s">
        <v>1417</v>
      </c>
      <c r="L840" s="655"/>
      <c r="M840" s="655" t="s">
        <v>1414</v>
      </c>
      <c r="N840" s="253" t="s">
        <v>3432</v>
      </c>
      <c r="O840" s="253" t="s">
        <v>1321</v>
      </c>
      <c r="P840" s="656">
        <v>44316</v>
      </c>
      <c r="Q840" s="657">
        <v>1.2267782899999999</v>
      </c>
      <c r="R840" s="657">
        <v>1.4668093221370968</v>
      </c>
      <c r="S840" s="253">
        <v>5</v>
      </c>
      <c r="T840" s="658">
        <v>8.4140670934405692E-2</v>
      </c>
      <c r="U840" s="659">
        <v>4.2073743495900082</v>
      </c>
      <c r="V840" s="658">
        <v>3.2928926417294946E-2</v>
      </c>
      <c r="W840" s="659">
        <v>0.25537403479211107</v>
      </c>
      <c r="X840" s="658"/>
      <c r="Y840" s="659"/>
      <c r="Z840" s="658"/>
      <c r="AA840" s="659"/>
      <c r="AB840" s="658">
        <v>0.30109052580930118</v>
      </c>
      <c r="AC840" s="660">
        <v>-0.31889074812770923</v>
      </c>
      <c r="AD840" s="682">
        <v>35416040000101</v>
      </c>
      <c r="AE840" s="944" t="s">
        <v>1815</v>
      </c>
      <c r="AF840" s="661" t="s">
        <v>1767</v>
      </c>
      <c r="AG840" s="662" t="s">
        <v>59</v>
      </c>
      <c r="AH840" s="662" t="s">
        <v>1730</v>
      </c>
      <c r="AI840" s="662">
        <v>100</v>
      </c>
      <c r="AJ840" s="662">
        <v>0</v>
      </c>
      <c r="AK840" s="662">
        <v>0</v>
      </c>
      <c r="AL840" s="658">
        <v>0</v>
      </c>
      <c r="AM840" s="658">
        <v>0</v>
      </c>
      <c r="AN840" s="659" t="s">
        <v>666</v>
      </c>
      <c r="AO840" s="253" t="s">
        <v>34</v>
      </c>
      <c r="AP840" s="944" t="s">
        <v>1731</v>
      </c>
      <c r="AQ840" s="663" t="s">
        <v>687</v>
      </c>
      <c r="AR840" s="658">
        <v>1.8666666666666699E-3</v>
      </c>
      <c r="AS840" s="658">
        <v>1.8666666666666699E-3</v>
      </c>
      <c r="AT840" s="658" t="s">
        <v>1417</v>
      </c>
      <c r="AU840" s="658" t="s">
        <v>2751</v>
      </c>
      <c r="AX840"/>
      <c r="AY840"/>
      <c r="BA840"/>
      <c r="BB840"/>
      <c r="BC840"/>
      <c r="BD840"/>
      <c r="BE840"/>
      <c r="BF840"/>
      <c r="BG840"/>
      <c r="BH840"/>
      <c r="BI840"/>
      <c r="BJ840"/>
      <c r="BR840"/>
      <c r="BS840"/>
      <c r="BT840"/>
      <c r="BU840"/>
      <c r="BX840"/>
      <c r="BY840"/>
      <c r="CA840"/>
    </row>
    <row r="841" spans="2:79" ht="18.75">
      <c r="B841" s="252" t="s">
        <v>998</v>
      </c>
      <c r="C841" s="251">
        <v>42826922000100</v>
      </c>
      <c r="D841" s="252" t="s">
        <v>11</v>
      </c>
      <c r="E841" s="252" t="s">
        <v>621</v>
      </c>
      <c r="F841" s="252" t="s">
        <v>692</v>
      </c>
      <c r="G841" s="253" t="s">
        <v>865</v>
      </c>
      <c r="H841" s="253" t="s">
        <v>34</v>
      </c>
      <c r="I841" s="253" t="s">
        <v>1417</v>
      </c>
      <c r="J841" s="253" t="s">
        <v>608</v>
      </c>
      <c r="K841" s="253" t="s">
        <v>48</v>
      </c>
      <c r="L841" s="655"/>
      <c r="M841" s="655" t="s">
        <v>34</v>
      </c>
      <c r="N841" s="253" t="s">
        <v>3433</v>
      </c>
      <c r="O841" s="253" t="s">
        <v>1321</v>
      </c>
      <c r="P841" s="656">
        <v>44659</v>
      </c>
      <c r="Q841" s="657"/>
      <c r="R841" s="657"/>
      <c r="S841" s="253">
        <v>22</v>
      </c>
      <c r="T841" s="658"/>
      <c r="U841" s="659"/>
      <c r="V841" s="658"/>
      <c r="W841" s="659"/>
      <c r="X841" s="658"/>
      <c r="Y841" s="659"/>
      <c r="Z841" s="658"/>
      <c r="AA841" s="659"/>
      <c r="AB841" s="658"/>
      <c r="AC841" s="660"/>
      <c r="AD841" s="682">
        <v>42378579000170</v>
      </c>
      <c r="AE841" s="944" t="s">
        <v>2047</v>
      </c>
      <c r="AF841" s="661" t="s">
        <v>1767</v>
      </c>
      <c r="AG841" s="662" t="s">
        <v>59</v>
      </c>
      <c r="AH841" s="662" t="s">
        <v>1734</v>
      </c>
      <c r="AI841" s="662">
        <v>0</v>
      </c>
      <c r="AJ841" s="662">
        <v>0</v>
      </c>
      <c r="AK841" s="662">
        <v>0</v>
      </c>
      <c r="AL841" s="658">
        <v>8.5000000000000006E-3</v>
      </c>
      <c r="AM841" s="658">
        <v>0.2</v>
      </c>
      <c r="AN841" s="659" t="s">
        <v>635</v>
      </c>
      <c r="AO841" s="253" t="s">
        <v>34</v>
      </c>
      <c r="AP841" s="944" t="s">
        <v>1735</v>
      </c>
      <c r="AQ841" s="663" t="s">
        <v>675</v>
      </c>
      <c r="AR841" s="658">
        <v>1.98333333333333E-3</v>
      </c>
      <c r="AS841" s="658">
        <v>1.98333333333333E-3</v>
      </c>
      <c r="AT841" s="658" t="s">
        <v>1417</v>
      </c>
      <c r="AU841" s="658" t="s">
        <v>2751</v>
      </c>
      <c r="AX841"/>
      <c r="AY841"/>
      <c r="BA841"/>
      <c r="BB841"/>
      <c r="BC841"/>
      <c r="BD841"/>
      <c r="BE841"/>
      <c r="BF841"/>
      <c r="BG841"/>
      <c r="BH841"/>
      <c r="BI841"/>
      <c r="BJ841"/>
      <c r="BR841"/>
      <c r="BS841"/>
      <c r="BT841"/>
      <c r="BU841"/>
      <c r="BX841"/>
      <c r="BY841"/>
      <c r="CA841"/>
    </row>
    <row r="842" spans="2:79" ht="18.75">
      <c r="B842" s="252" t="s">
        <v>1000</v>
      </c>
      <c r="C842" s="251">
        <v>37567415000151</v>
      </c>
      <c r="D842" s="252" t="s">
        <v>14</v>
      </c>
      <c r="E842" s="252" t="s">
        <v>607</v>
      </c>
      <c r="F842" s="252" t="s">
        <v>1417</v>
      </c>
      <c r="G842" s="253" t="s">
        <v>1417</v>
      </c>
      <c r="H842" s="253" t="s">
        <v>34</v>
      </c>
      <c r="I842" s="253" t="s">
        <v>34</v>
      </c>
      <c r="J842" s="253" t="s">
        <v>608</v>
      </c>
      <c r="K842" s="253" t="s">
        <v>48</v>
      </c>
      <c r="L842" s="655"/>
      <c r="M842" s="655" t="s">
        <v>34</v>
      </c>
      <c r="N842" s="253" t="s">
        <v>3434</v>
      </c>
      <c r="O842" s="253" t="s">
        <v>1321</v>
      </c>
      <c r="P842" s="656">
        <v>44104</v>
      </c>
      <c r="Q842" s="657">
        <v>0.68058136999999996</v>
      </c>
      <c r="R842" s="657">
        <v>3.9052839707692311</v>
      </c>
      <c r="S842" s="253">
        <v>23</v>
      </c>
      <c r="T842" s="658">
        <v>-3.4795937222604101E-2</v>
      </c>
      <c r="U842" s="659">
        <v>-1.7399377983859756</v>
      </c>
      <c r="V842" s="658">
        <v>2.9027055125200985E-2</v>
      </c>
      <c r="W842" s="659">
        <v>0.22511381305046951</v>
      </c>
      <c r="X842" s="658">
        <v>-3.4998486105831783E-2</v>
      </c>
      <c r="Y842" s="659">
        <v>-0.18125689972604508</v>
      </c>
      <c r="Z842" s="658"/>
      <c r="AA842" s="659"/>
      <c r="AB842" s="658">
        <v>0.17278371288199282</v>
      </c>
      <c r="AC842" s="660">
        <v>-0.57827704159724946</v>
      </c>
      <c r="AD842" s="682">
        <v>35495676000188</v>
      </c>
      <c r="AE842" s="944" t="s">
        <v>1815</v>
      </c>
      <c r="AF842" s="661" t="s">
        <v>1767</v>
      </c>
      <c r="AG842" s="662" t="s">
        <v>59</v>
      </c>
      <c r="AH842" s="662" t="s">
        <v>1730</v>
      </c>
      <c r="AI842" s="662">
        <v>100</v>
      </c>
      <c r="AJ842" s="662">
        <v>0</v>
      </c>
      <c r="AK842" s="662">
        <v>1</v>
      </c>
      <c r="AL842" s="658">
        <v>0</v>
      </c>
      <c r="AM842" s="658">
        <v>0</v>
      </c>
      <c r="AN842" s="659" t="s">
        <v>2122</v>
      </c>
      <c r="AO842" s="253" t="s">
        <v>34</v>
      </c>
      <c r="AP842" s="944" t="s">
        <v>1731</v>
      </c>
      <c r="AQ842" s="663" t="s">
        <v>659</v>
      </c>
      <c r="AR842" s="658">
        <v>4.6666666666666697E-3</v>
      </c>
      <c r="AS842" s="658">
        <v>4.6666666666666697E-3</v>
      </c>
      <c r="AT842" s="658" t="s">
        <v>1417</v>
      </c>
      <c r="AU842" s="658" t="s">
        <v>2751</v>
      </c>
      <c r="AX842"/>
      <c r="AY842"/>
      <c r="BA842"/>
      <c r="BB842"/>
      <c r="BC842"/>
      <c r="BD842"/>
      <c r="BE842"/>
      <c r="BF842"/>
      <c r="BG842"/>
      <c r="BH842"/>
      <c r="BI842"/>
      <c r="BJ842"/>
      <c r="BR842"/>
      <c r="BS842"/>
      <c r="BT842"/>
      <c r="BU842"/>
      <c r="BX842"/>
      <c r="BY842"/>
      <c r="CA842"/>
    </row>
    <row r="843" spans="2:79" ht="18.75">
      <c r="B843" s="252" t="s">
        <v>1003</v>
      </c>
      <c r="C843" s="251">
        <v>30630299000129</v>
      </c>
      <c r="D843" s="252" t="s">
        <v>14</v>
      </c>
      <c r="E843" s="252" t="s">
        <v>614</v>
      </c>
      <c r="F843" s="252" t="s">
        <v>1417</v>
      </c>
      <c r="G843" s="253" t="s">
        <v>1417</v>
      </c>
      <c r="H843" s="253" t="s">
        <v>865</v>
      </c>
      <c r="I843" s="253" t="s">
        <v>34</v>
      </c>
      <c r="J843" s="253" t="s">
        <v>608</v>
      </c>
      <c r="K843" s="253" t="s">
        <v>48</v>
      </c>
      <c r="L843" s="655"/>
      <c r="M843" s="655" t="s">
        <v>34</v>
      </c>
      <c r="N843" s="253" t="s">
        <v>3438</v>
      </c>
      <c r="O843" s="253" t="s">
        <v>1321</v>
      </c>
      <c r="P843" s="656">
        <v>43336</v>
      </c>
      <c r="Q843" s="657">
        <v>0.76753066999999997</v>
      </c>
      <c r="R843" s="657">
        <v>1.0437766935887098</v>
      </c>
      <c r="S843" s="253">
        <v>23</v>
      </c>
      <c r="T843" s="658">
        <v>-4.2872158886033684E-2</v>
      </c>
      <c r="U843" s="659">
        <v>-2.1437815934373203</v>
      </c>
      <c r="V843" s="658">
        <v>-0.17187607955384221</v>
      </c>
      <c r="W843" s="659">
        <v>-1.3329522913586764</v>
      </c>
      <c r="X843" s="658">
        <v>-0.21448589374025717</v>
      </c>
      <c r="Y843" s="659">
        <v>-1.110820851415367</v>
      </c>
      <c r="Z843" s="658">
        <v>-0.3915363575603189</v>
      </c>
      <c r="AA843" s="659">
        <v>-1.7678951158955725</v>
      </c>
      <c r="AB843" s="658">
        <v>0.14728175689079298</v>
      </c>
      <c r="AC843" s="660">
        <v>-2.0424796346208964</v>
      </c>
      <c r="AD843" s="682">
        <v>29259435000137</v>
      </c>
      <c r="AE843" s="944" t="s">
        <v>1815</v>
      </c>
      <c r="AF843" s="661" t="s">
        <v>1767</v>
      </c>
      <c r="AG843" s="662" t="s">
        <v>59</v>
      </c>
      <c r="AH843" s="662" t="s">
        <v>1730</v>
      </c>
      <c r="AI843" s="662">
        <v>100</v>
      </c>
      <c r="AJ843" s="662">
        <v>1</v>
      </c>
      <c r="AK843" s="662">
        <v>1</v>
      </c>
      <c r="AL843" s="658">
        <v>0</v>
      </c>
      <c r="AM843" s="658">
        <v>0</v>
      </c>
      <c r="AN843" s="659" t="s">
        <v>666</v>
      </c>
      <c r="AO843" s="253" t="s">
        <v>34</v>
      </c>
      <c r="AP843" s="944" t="s">
        <v>1731</v>
      </c>
      <c r="AQ843" s="663" t="s">
        <v>659</v>
      </c>
      <c r="AR843" s="658">
        <v>4.6666666666666697E-3</v>
      </c>
      <c r="AS843" s="658">
        <v>4.6666666666666697E-3</v>
      </c>
      <c r="AT843" s="658" t="s">
        <v>1417</v>
      </c>
      <c r="AU843" s="658" t="s">
        <v>2751</v>
      </c>
      <c r="AX843"/>
      <c r="AY843"/>
      <c r="BA843"/>
      <c r="BB843"/>
      <c r="BC843"/>
      <c r="BD843"/>
      <c r="BE843"/>
      <c r="BF843"/>
      <c r="BG843"/>
      <c r="BH843"/>
      <c r="BI843"/>
      <c r="BJ843"/>
      <c r="BR843"/>
      <c r="BS843"/>
      <c r="BT843"/>
      <c r="BU843"/>
      <c r="BX843"/>
      <c r="BY843"/>
      <c r="CA843"/>
    </row>
    <row r="844" spans="2:79" ht="18.75">
      <c r="B844" s="252" t="s">
        <v>1295</v>
      </c>
      <c r="C844" s="251">
        <v>39773639000145</v>
      </c>
      <c r="D844" s="252" t="s">
        <v>11</v>
      </c>
      <c r="E844" s="252" t="s">
        <v>620</v>
      </c>
      <c r="F844" s="252" t="s">
        <v>619</v>
      </c>
      <c r="G844" s="253" t="s">
        <v>738</v>
      </c>
      <c r="H844" s="253" t="s">
        <v>34</v>
      </c>
      <c r="I844" s="253" t="s">
        <v>1417</v>
      </c>
      <c r="J844" s="253" t="s">
        <v>608</v>
      </c>
      <c r="K844" s="253" t="s">
        <v>48</v>
      </c>
      <c r="L844" s="655"/>
      <c r="M844" s="655" t="s">
        <v>34</v>
      </c>
      <c r="N844" s="253" t="s">
        <v>3439</v>
      </c>
      <c r="O844" s="253" t="s">
        <v>1321</v>
      </c>
      <c r="P844" s="656">
        <v>44712</v>
      </c>
      <c r="Q844" s="657"/>
      <c r="R844" s="657"/>
      <c r="S844" s="253">
        <v>1</v>
      </c>
      <c r="T844" s="658"/>
      <c r="U844" s="659"/>
      <c r="V844" s="658"/>
      <c r="W844" s="659"/>
      <c r="X844" s="658"/>
      <c r="Y844" s="659"/>
      <c r="Z844" s="658"/>
      <c r="AA844" s="659"/>
      <c r="AB844" s="658"/>
      <c r="AC844" s="660"/>
      <c r="AD844" s="682">
        <v>0</v>
      </c>
      <c r="AE844" s="944" t="s">
        <v>1815</v>
      </c>
      <c r="AF844" s="661" t="s">
        <v>1767</v>
      </c>
      <c r="AG844" s="662" t="s">
        <v>59</v>
      </c>
      <c r="AH844" s="662" t="s">
        <v>1734</v>
      </c>
      <c r="AI844" s="662">
        <v>100</v>
      </c>
      <c r="AJ844" s="662">
        <v>1</v>
      </c>
      <c r="AK844" s="662">
        <v>100</v>
      </c>
      <c r="AL844" s="658">
        <v>9.0000000000000011E-3</v>
      </c>
      <c r="AM844" s="658">
        <v>0.2</v>
      </c>
      <c r="AN844" s="659" t="s">
        <v>64</v>
      </c>
      <c r="AO844" s="253" t="s">
        <v>34</v>
      </c>
      <c r="AP844" s="944" t="s">
        <v>1735</v>
      </c>
      <c r="AQ844" s="663" t="s">
        <v>669</v>
      </c>
      <c r="AR844" s="658">
        <v>2.0999999999999999E-3</v>
      </c>
      <c r="AS844" s="658">
        <v>2.0999999999999999E-3</v>
      </c>
      <c r="AT844" s="658" t="s">
        <v>1417</v>
      </c>
      <c r="AU844" s="658" t="s">
        <v>2751</v>
      </c>
      <c r="AX844"/>
      <c r="AY844"/>
      <c r="BA844"/>
      <c r="BB844"/>
      <c r="BC844"/>
      <c r="BD844"/>
      <c r="BE844"/>
      <c r="BF844"/>
      <c r="BG844"/>
      <c r="BH844"/>
      <c r="BI844"/>
      <c r="BJ844"/>
      <c r="BR844"/>
      <c r="BS844"/>
      <c r="BT844"/>
      <c r="BU844"/>
      <c r="BX844"/>
      <c r="BY844"/>
      <c r="CA844"/>
    </row>
    <row r="845" spans="2:79" ht="18.75">
      <c r="B845" s="252" t="s">
        <v>4499</v>
      </c>
      <c r="C845" s="251">
        <v>42827330000103</v>
      </c>
      <c r="D845" s="252" t="s">
        <v>11</v>
      </c>
      <c r="E845" s="252" t="s">
        <v>620</v>
      </c>
      <c r="F845" s="252" t="s">
        <v>663</v>
      </c>
      <c r="G845" s="253" t="s">
        <v>1417</v>
      </c>
      <c r="H845" s="253" t="s">
        <v>34</v>
      </c>
      <c r="I845" s="253" t="s">
        <v>1319</v>
      </c>
      <c r="J845" s="253" t="s">
        <v>608</v>
      </c>
      <c r="K845" s="253" t="s">
        <v>48</v>
      </c>
      <c r="L845" s="655"/>
      <c r="M845" s="655" t="s">
        <v>34</v>
      </c>
      <c r="N845" s="253" t="s">
        <v>4500</v>
      </c>
      <c r="O845" s="253" t="s">
        <v>1321</v>
      </c>
      <c r="P845" s="656">
        <v>44776</v>
      </c>
      <c r="Q845" s="657"/>
      <c r="R845" s="657"/>
      <c r="S845" s="253">
        <v>3</v>
      </c>
      <c r="T845" s="658"/>
      <c r="U845" s="659"/>
      <c r="V845" s="658"/>
      <c r="W845" s="659"/>
      <c r="X845" s="658"/>
      <c r="Y845" s="659"/>
      <c r="Z845" s="658"/>
      <c r="AA845" s="659"/>
      <c r="AB845" s="658"/>
      <c r="AC845" s="660"/>
      <c r="AD845" s="682">
        <v>42814813000165</v>
      </c>
      <c r="AE845" s="944" t="s">
        <v>2047</v>
      </c>
      <c r="AF845" s="661" t="s">
        <v>1767</v>
      </c>
      <c r="AG845" s="662" t="s">
        <v>59</v>
      </c>
      <c r="AH845" s="662" t="s">
        <v>2119</v>
      </c>
      <c r="AI845" s="662">
        <v>1</v>
      </c>
      <c r="AJ845" s="662">
        <v>0</v>
      </c>
      <c r="AK845" s="662">
        <v>0</v>
      </c>
      <c r="AL845" s="658">
        <v>6.0000000000000001E-3</v>
      </c>
      <c r="AM845" s="658">
        <v>0</v>
      </c>
      <c r="AN845" s="659" t="s">
        <v>64</v>
      </c>
      <c r="AO845" s="253" t="s">
        <v>4400</v>
      </c>
      <c r="AP845" s="944" t="s">
        <v>1735</v>
      </c>
      <c r="AQ845" s="663" t="s">
        <v>2190</v>
      </c>
      <c r="AR845" s="658">
        <v>0</v>
      </c>
      <c r="AS845" s="658">
        <v>0</v>
      </c>
      <c r="AT845" s="658" t="s">
        <v>1417</v>
      </c>
      <c r="AU845" s="658" t="s">
        <v>2751</v>
      </c>
      <c r="AX845"/>
      <c r="AY845"/>
      <c r="BA845"/>
      <c r="BB845"/>
      <c r="BC845"/>
      <c r="BD845"/>
      <c r="BE845"/>
      <c r="BF845"/>
      <c r="BG845"/>
      <c r="BH845"/>
      <c r="BI845"/>
      <c r="BJ845"/>
      <c r="BR845"/>
      <c r="BS845"/>
      <c r="BT845"/>
      <c r="BU845"/>
      <c r="BX845"/>
      <c r="BY845"/>
      <c r="CA845"/>
    </row>
    <row r="846" spans="2:79" ht="18.75">
      <c r="B846" s="252" t="s">
        <v>477</v>
      </c>
      <c r="C846" s="251">
        <v>41993440000174</v>
      </c>
      <c r="D846" s="252" t="s">
        <v>11</v>
      </c>
      <c r="E846" s="252" t="s">
        <v>620</v>
      </c>
      <c r="F846" s="252" t="s">
        <v>663</v>
      </c>
      <c r="G846" s="253" t="s">
        <v>738</v>
      </c>
      <c r="H846" s="253" t="s">
        <v>34</v>
      </c>
      <c r="I846" s="253" t="s">
        <v>1417</v>
      </c>
      <c r="J846" s="253" t="s">
        <v>608</v>
      </c>
      <c r="K846" s="253" t="s">
        <v>48</v>
      </c>
      <c r="L846" s="655"/>
      <c r="M846" s="655" t="s">
        <v>34</v>
      </c>
      <c r="N846" s="253" t="s">
        <v>3440</v>
      </c>
      <c r="O846" s="253" t="s">
        <v>1321</v>
      </c>
      <c r="P846" s="656">
        <v>44441</v>
      </c>
      <c r="Q846" s="657">
        <v>65.680000000000007</v>
      </c>
      <c r="R846" s="657">
        <v>75.659066666666661</v>
      </c>
      <c r="S846" s="253">
        <v>1</v>
      </c>
      <c r="T846" s="658">
        <v>8.8028169014082724E-3</v>
      </c>
      <c r="U846" s="659">
        <v>0.44017649994728042</v>
      </c>
      <c r="V846" s="658">
        <v>9.4555873925500133E-2</v>
      </c>
      <c r="W846" s="659">
        <v>0.7333101216736474</v>
      </c>
      <c r="X846" s="658"/>
      <c r="Y846" s="659"/>
      <c r="Z846" s="658"/>
      <c r="AA846" s="659"/>
      <c r="AB846" s="658">
        <v>1.9282988724277451E-2</v>
      </c>
      <c r="AC846" s="660">
        <v>-1.7833353539222569</v>
      </c>
      <c r="AD846" s="682">
        <v>29197090000134</v>
      </c>
      <c r="AE846" s="944" t="s">
        <v>1815</v>
      </c>
      <c r="AF846" s="661" t="s">
        <v>1767</v>
      </c>
      <c r="AG846" s="662" t="s">
        <v>59</v>
      </c>
      <c r="AH846" s="662" t="s">
        <v>1734</v>
      </c>
      <c r="AI846" s="662">
        <v>100</v>
      </c>
      <c r="AJ846" s="662">
        <v>1</v>
      </c>
      <c r="AK846" s="662">
        <v>100</v>
      </c>
      <c r="AL846" s="658">
        <v>0</v>
      </c>
      <c r="AM846" s="658">
        <v>0</v>
      </c>
      <c r="AN846" s="659" t="s">
        <v>64</v>
      </c>
      <c r="AO846" s="253" t="s">
        <v>34</v>
      </c>
      <c r="AP846" s="944" t="s">
        <v>1735</v>
      </c>
      <c r="AQ846" s="663" t="s">
        <v>669</v>
      </c>
      <c r="AR846" s="658">
        <v>2.0996999999999999E-3</v>
      </c>
      <c r="AS846" s="658">
        <v>2.0996999999999999E-3</v>
      </c>
      <c r="AT846" s="658" t="s">
        <v>1417</v>
      </c>
      <c r="AU846" s="658" t="s">
        <v>2751</v>
      </c>
      <c r="AX846"/>
      <c r="AY846"/>
      <c r="BA846"/>
      <c r="BB846"/>
      <c r="BC846"/>
      <c r="BD846"/>
      <c r="BE846"/>
      <c r="BF846"/>
      <c r="BG846"/>
      <c r="BH846"/>
      <c r="BI846"/>
      <c r="BJ846"/>
      <c r="BR846"/>
      <c r="BS846"/>
      <c r="BT846"/>
      <c r="BU846"/>
      <c r="BX846"/>
      <c r="BY846"/>
      <c r="CA846"/>
    </row>
    <row r="847" spans="2:79" ht="18.75">
      <c r="B847" s="252" t="s">
        <v>4501</v>
      </c>
      <c r="C847" s="251">
        <v>31820618000121</v>
      </c>
      <c r="D847" s="252" t="s">
        <v>13</v>
      </c>
      <c r="E847" s="252" t="s">
        <v>615</v>
      </c>
      <c r="F847" s="252" t="s">
        <v>619</v>
      </c>
      <c r="G847" s="253" t="s">
        <v>34</v>
      </c>
      <c r="H847" s="253" t="s">
        <v>1338</v>
      </c>
      <c r="I847" s="253" t="s">
        <v>34</v>
      </c>
      <c r="J847" s="253" t="s">
        <v>608</v>
      </c>
      <c r="K847" s="253" t="s">
        <v>48</v>
      </c>
      <c r="L847" s="655"/>
      <c r="M847" s="655" t="s">
        <v>34</v>
      </c>
      <c r="N847" s="253" t="s">
        <v>4502</v>
      </c>
      <c r="O847" s="253" t="s">
        <v>1321</v>
      </c>
      <c r="P847" s="656">
        <v>44496</v>
      </c>
      <c r="Q847" s="657"/>
      <c r="R847" s="657"/>
      <c r="S847" s="253">
        <v>22</v>
      </c>
      <c r="T847" s="658"/>
      <c r="U847" s="659"/>
      <c r="V847" s="658"/>
      <c r="W847" s="659"/>
      <c r="X847" s="658"/>
      <c r="Y847" s="659"/>
      <c r="Z847" s="658"/>
      <c r="AA847" s="659"/>
      <c r="AB847" s="658"/>
      <c r="AC847" s="660"/>
      <c r="AD847" s="682">
        <v>39566711000163</v>
      </c>
      <c r="AE847" s="944" t="s">
        <v>1815</v>
      </c>
      <c r="AF847" s="661" t="s">
        <v>1767</v>
      </c>
      <c r="AG847" s="662" t="s">
        <v>59</v>
      </c>
      <c r="AH847" s="662" t="s">
        <v>2119</v>
      </c>
      <c r="AI847" s="662">
        <v>1</v>
      </c>
      <c r="AJ847" s="662">
        <v>1</v>
      </c>
      <c r="AK847" s="662">
        <v>1</v>
      </c>
      <c r="AL847" s="658">
        <v>0.02</v>
      </c>
      <c r="AM847" s="658">
        <v>0.2</v>
      </c>
      <c r="AN847" s="659" t="s">
        <v>64</v>
      </c>
      <c r="AO847" s="253" t="s">
        <v>4400</v>
      </c>
      <c r="AP847" s="944" t="s">
        <v>1746</v>
      </c>
      <c r="AQ847" s="663" t="s">
        <v>2177</v>
      </c>
      <c r="AR847" s="658">
        <v>0</v>
      </c>
      <c r="AS847" s="658">
        <v>0</v>
      </c>
      <c r="AT847" s="658" t="s">
        <v>1417</v>
      </c>
      <c r="AU847" s="658" t="s">
        <v>2751</v>
      </c>
      <c r="AX847"/>
      <c r="AY847"/>
      <c r="BA847"/>
      <c r="BB847"/>
      <c r="BC847"/>
      <c r="BD847"/>
      <c r="BE847"/>
      <c r="BF847"/>
      <c r="BG847"/>
      <c r="BH847"/>
      <c r="BI847"/>
      <c r="BJ847"/>
      <c r="BR847"/>
      <c r="BS847"/>
      <c r="BT847"/>
      <c r="BU847"/>
      <c r="BX847"/>
      <c r="BY847"/>
      <c r="CA847"/>
    </row>
    <row r="848" spans="2:79" ht="18.75">
      <c r="B848" s="252" t="s">
        <v>1600</v>
      </c>
      <c r="C848" s="251">
        <v>40498539000137</v>
      </c>
      <c r="D848" s="252" t="s">
        <v>11</v>
      </c>
      <c r="E848" s="252" t="s">
        <v>620</v>
      </c>
      <c r="F848" s="252" t="s">
        <v>663</v>
      </c>
      <c r="G848" s="253" t="s">
        <v>738</v>
      </c>
      <c r="H848" s="253" t="s">
        <v>34</v>
      </c>
      <c r="I848" s="253" t="s">
        <v>1417</v>
      </c>
      <c r="J848" s="253" t="s">
        <v>608</v>
      </c>
      <c r="K848" s="253" t="s">
        <v>48</v>
      </c>
      <c r="L848" s="655"/>
      <c r="M848" s="655" t="s">
        <v>34</v>
      </c>
      <c r="N848" s="253" t="s">
        <v>3441</v>
      </c>
      <c r="O848" s="253" t="s">
        <v>1324</v>
      </c>
      <c r="P848" s="656">
        <v>44288</v>
      </c>
      <c r="Q848" s="657">
        <v>7851.4943225400002</v>
      </c>
      <c r="R848" s="657">
        <v>9713.0549745472654</v>
      </c>
      <c r="S848" s="253">
        <v>1</v>
      </c>
      <c r="T848" s="658">
        <v>2.1624268664657276E-2</v>
      </c>
      <c r="U848" s="659">
        <v>1.0813010200411783</v>
      </c>
      <c r="V848" s="658">
        <v>0.16250394512535538</v>
      </c>
      <c r="W848" s="659">
        <v>1.2602684828042718</v>
      </c>
      <c r="X848" s="658"/>
      <c r="Y848" s="659"/>
      <c r="Z848" s="658"/>
      <c r="AA848" s="659"/>
      <c r="AB848" s="658">
        <v>1.048519216124132E-2</v>
      </c>
      <c r="AC848" s="660">
        <v>3.2007077373958133</v>
      </c>
      <c r="AD848" s="682">
        <v>40668849000152</v>
      </c>
      <c r="AE848" s="944" t="s">
        <v>2047</v>
      </c>
      <c r="AF848" s="661" t="s">
        <v>1815</v>
      </c>
      <c r="AG848" s="662" t="s">
        <v>59</v>
      </c>
      <c r="AH848" s="662" t="s">
        <v>1734</v>
      </c>
      <c r="AI848" s="662">
        <v>1</v>
      </c>
      <c r="AJ848" s="662">
        <v>1</v>
      </c>
      <c r="AK848" s="662">
        <v>1</v>
      </c>
      <c r="AL848" s="658">
        <v>0</v>
      </c>
      <c r="AM848" s="658">
        <v>0</v>
      </c>
      <c r="AN848" s="659" t="s">
        <v>64</v>
      </c>
      <c r="AO848" s="253" t="s">
        <v>34</v>
      </c>
      <c r="AP848" s="944" t="s">
        <v>1735</v>
      </c>
      <c r="AQ848" s="663" t="s">
        <v>669</v>
      </c>
      <c r="AR848" s="658">
        <v>0</v>
      </c>
      <c r="AS848" s="658">
        <v>0</v>
      </c>
      <c r="AT848" s="658" t="s">
        <v>1417</v>
      </c>
      <c r="AU848" s="658" t="s">
        <v>2751</v>
      </c>
      <c r="AX848"/>
      <c r="AY848"/>
      <c r="BA848"/>
      <c r="BB848"/>
      <c r="BC848"/>
      <c r="BD848"/>
      <c r="BE848"/>
      <c r="BF848"/>
      <c r="BG848"/>
      <c r="BH848"/>
      <c r="BI848"/>
      <c r="BJ848"/>
      <c r="BR848"/>
      <c r="BS848"/>
      <c r="BT848"/>
      <c r="BU848"/>
      <c r="BX848"/>
      <c r="BY848"/>
      <c r="CA848"/>
    </row>
    <row r="849" spans="2:79" ht="18.75">
      <c r="B849" s="252" t="s">
        <v>240</v>
      </c>
      <c r="C849" s="251">
        <v>35727276000150</v>
      </c>
      <c r="D849" s="252" t="s">
        <v>13</v>
      </c>
      <c r="E849" s="252" t="s">
        <v>615</v>
      </c>
      <c r="F849" s="252" t="s">
        <v>619</v>
      </c>
      <c r="G849" s="253" t="s">
        <v>1417</v>
      </c>
      <c r="H849" s="253" t="s">
        <v>1337</v>
      </c>
      <c r="I849" s="253" t="s">
        <v>34</v>
      </c>
      <c r="J849" s="253" t="s">
        <v>608</v>
      </c>
      <c r="K849" s="253" t="s">
        <v>48</v>
      </c>
      <c r="L849" s="655"/>
      <c r="M849" s="655" t="s">
        <v>34</v>
      </c>
      <c r="N849" s="253" t="s">
        <v>3443</v>
      </c>
      <c r="O849" s="253" t="s">
        <v>1321</v>
      </c>
      <c r="P849" s="656">
        <v>44318</v>
      </c>
      <c r="Q849" s="657">
        <v>153.82045045000001</v>
      </c>
      <c r="R849" s="657">
        <v>148.23751489177423</v>
      </c>
      <c r="S849" s="253">
        <v>22</v>
      </c>
      <c r="T849" s="658">
        <v>1.9885362517704452E-2</v>
      </c>
      <c r="U849" s="659">
        <v>0.99434866943849209</v>
      </c>
      <c r="V849" s="658">
        <v>0.18903433470665498</v>
      </c>
      <c r="W849" s="659">
        <v>1.4660198804090419</v>
      </c>
      <c r="X849" s="658"/>
      <c r="Y849" s="659"/>
      <c r="Z849" s="658"/>
      <c r="AA849" s="659"/>
      <c r="AB849" s="658">
        <v>2.9750536174579238E-2</v>
      </c>
      <c r="AC849" s="660">
        <v>2.0198098248465093</v>
      </c>
      <c r="AD849" s="682">
        <v>40671799000162</v>
      </c>
      <c r="AE849" s="944" t="s">
        <v>1815</v>
      </c>
      <c r="AF849" s="661" t="s">
        <v>1767</v>
      </c>
      <c r="AG849" s="662" t="s">
        <v>59</v>
      </c>
      <c r="AH849" s="662" t="s">
        <v>1734</v>
      </c>
      <c r="AI849" s="662">
        <v>100</v>
      </c>
      <c r="AJ849" s="662">
        <v>1</v>
      </c>
      <c r="AK849" s="662">
        <v>100</v>
      </c>
      <c r="AL849" s="658">
        <v>0</v>
      </c>
      <c r="AM849" s="658">
        <v>0</v>
      </c>
      <c r="AN849" s="659" t="s">
        <v>64</v>
      </c>
      <c r="AO849" s="253" t="s">
        <v>34</v>
      </c>
      <c r="AP849" s="944" t="s">
        <v>1746</v>
      </c>
      <c r="AQ849" s="663" t="s">
        <v>668</v>
      </c>
      <c r="AR849" s="658">
        <v>4.6666666666666697E-3</v>
      </c>
      <c r="AS849" s="658">
        <v>4.6666666666666697E-3</v>
      </c>
      <c r="AT849" s="658" t="s">
        <v>1417</v>
      </c>
      <c r="AU849" s="658" t="s">
        <v>2751</v>
      </c>
      <c r="AX849"/>
      <c r="AY849"/>
      <c r="BA849"/>
      <c r="BB849"/>
      <c r="BC849"/>
      <c r="BD849"/>
      <c r="BE849"/>
      <c r="BF849"/>
      <c r="BG849"/>
      <c r="BH849"/>
      <c r="BI849"/>
      <c r="BJ849"/>
      <c r="BR849"/>
      <c r="BS849"/>
      <c r="BT849"/>
      <c r="BU849"/>
      <c r="BX849"/>
      <c r="BY849"/>
      <c r="CA849"/>
    </row>
    <row r="850" spans="2:79" ht="18.75">
      <c r="B850" s="252" t="s">
        <v>1406</v>
      </c>
      <c r="C850" s="251">
        <v>42449356000157</v>
      </c>
      <c r="D850" s="252" t="s">
        <v>11</v>
      </c>
      <c r="E850" s="252" t="s">
        <v>620</v>
      </c>
      <c r="F850" s="252" t="s">
        <v>663</v>
      </c>
      <c r="G850" s="253" t="s">
        <v>738</v>
      </c>
      <c r="H850" s="253" t="s">
        <v>34</v>
      </c>
      <c r="I850" s="253" t="s">
        <v>1304</v>
      </c>
      <c r="J850" s="253" t="s">
        <v>608</v>
      </c>
      <c r="K850" s="253" t="s">
        <v>48</v>
      </c>
      <c r="L850" s="655"/>
      <c r="M850" s="655" t="s">
        <v>34</v>
      </c>
      <c r="N850" s="253" t="s">
        <v>3444</v>
      </c>
      <c r="O850" s="253" t="s">
        <v>1321</v>
      </c>
      <c r="P850" s="656">
        <v>44753</v>
      </c>
      <c r="Q850" s="657"/>
      <c r="R850" s="657"/>
      <c r="S850" s="253">
        <v>22</v>
      </c>
      <c r="T850" s="658"/>
      <c r="U850" s="659"/>
      <c r="V850" s="658"/>
      <c r="W850" s="659"/>
      <c r="X850" s="658"/>
      <c r="Y850" s="659"/>
      <c r="Z850" s="658"/>
      <c r="AA850" s="659"/>
      <c r="AB850" s="658"/>
      <c r="AC850" s="660"/>
      <c r="AD850" s="682">
        <v>28840203000105</v>
      </c>
      <c r="AE850" s="944" t="s">
        <v>2047</v>
      </c>
      <c r="AF850" s="661" t="s">
        <v>1767</v>
      </c>
      <c r="AG850" s="662" t="s">
        <v>59</v>
      </c>
      <c r="AH850" s="662" t="s">
        <v>1730</v>
      </c>
      <c r="AI850" s="662">
        <v>100</v>
      </c>
      <c r="AJ850" s="662">
        <v>0</v>
      </c>
      <c r="AK850" s="662">
        <v>1</v>
      </c>
      <c r="AL850" s="658">
        <v>6.0000000000000001E-3</v>
      </c>
      <c r="AM850" s="658">
        <v>0.2</v>
      </c>
      <c r="AN850" s="659" t="s">
        <v>64</v>
      </c>
      <c r="AO850" s="253" t="s">
        <v>34</v>
      </c>
      <c r="AP850" s="944" t="s">
        <v>1746</v>
      </c>
      <c r="AQ850" s="663" t="s">
        <v>668</v>
      </c>
      <c r="AR850" s="658">
        <v>1.3999999800000001E-3</v>
      </c>
      <c r="AS850" s="658">
        <v>1.3999999800000001E-3</v>
      </c>
      <c r="AT850" s="658" t="s">
        <v>1417</v>
      </c>
      <c r="AU850" s="658" t="s">
        <v>2751</v>
      </c>
      <c r="AX850"/>
      <c r="AY850"/>
      <c r="BA850"/>
      <c r="BB850"/>
      <c r="BC850"/>
      <c r="BD850"/>
      <c r="BE850"/>
      <c r="BF850"/>
      <c r="BG850"/>
      <c r="BH850"/>
      <c r="BI850"/>
      <c r="BJ850"/>
      <c r="BR850"/>
      <c r="BS850"/>
      <c r="BT850"/>
      <c r="BU850"/>
      <c r="BX850"/>
      <c r="BY850"/>
      <c r="CA850"/>
    </row>
    <row r="851" spans="2:79" ht="18.75">
      <c r="B851" s="252" t="s">
        <v>4298</v>
      </c>
      <c r="C851" s="251">
        <v>41745741000189</v>
      </c>
      <c r="D851" s="252" t="s">
        <v>11</v>
      </c>
      <c r="E851" s="252" t="s">
        <v>620</v>
      </c>
      <c r="F851" s="252" t="s">
        <v>672</v>
      </c>
      <c r="G851" s="253" t="s">
        <v>738</v>
      </c>
      <c r="H851" s="253" t="s">
        <v>34</v>
      </c>
      <c r="I851" s="253" t="s">
        <v>1304</v>
      </c>
      <c r="J851" s="253" t="s">
        <v>608</v>
      </c>
      <c r="K851" s="253" t="s">
        <v>48</v>
      </c>
      <c r="L851" s="655"/>
      <c r="M851" s="655" t="s">
        <v>1414</v>
      </c>
      <c r="N851" s="253" t="s">
        <v>3445</v>
      </c>
      <c r="O851" s="253" t="s">
        <v>1321</v>
      </c>
      <c r="P851" s="656">
        <v>44495</v>
      </c>
      <c r="Q851" s="657">
        <v>206.88</v>
      </c>
      <c r="R851" s="657">
        <v>182.73383999999996</v>
      </c>
      <c r="S851" s="253">
        <v>0</v>
      </c>
      <c r="T851" s="658">
        <v>7.846556233653379E-3</v>
      </c>
      <c r="U851" s="659">
        <v>0.39235959332705306</v>
      </c>
      <c r="V851" s="658">
        <v>0.1201550387596888</v>
      </c>
      <c r="W851" s="659">
        <v>0.93183958261536592</v>
      </c>
      <c r="X851" s="658"/>
      <c r="Y851" s="659"/>
      <c r="Z851" s="658"/>
      <c r="AA851" s="659"/>
      <c r="AB851" s="658">
        <v>9.5603834159938682E-3</v>
      </c>
      <c r="AC851" s="660">
        <v>-0.91930106823920554</v>
      </c>
      <c r="AD851" s="682">
        <v>0</v>
      </c>
      <c r="AE851" s="944" t="s">
        <v>2047</v>
      </c>
      <c r="AF851" s="661" t="s">
        <v>1767</v>
      </c>
      <c r="AG851" s="662" t="s">
        <v>59</v>
      </c>
      <c r="AH851" s="662" t="s">
        <v>1734</v>
      </c>
      <c r="AI851" s="662">
        <v>1</v>
      </c>
      <c r="AJ851" s="662">
        <v>1</v>
      </c>
      <c r="AK851" s="662">
        <v>1</v>
      </c>
      <c r="AL851" s="658">
        <v>0</v>
      </c>
      <c r="AM851" s="658">
        <v>0</v>
      </c>
      <c r="AN851" s="659" t="s">
        <v>64</v>
      </c>
      <c r="AO851" s="253" t="s">
        <v>34</v>
      </c>
      <c r="AP851" s="944" t="s">
        <v>1735</v>
      </c>
      <c r="AQ851" s="663" t="s">
        <v>662</v>
      </c>
      <c r="AR851" s="658">
        <v>6.9999999999999999E-4</v>
      </c>
      <c r="AS851" s="658">
        <v>6.9999999999999999E-4</v>
      </c>
      <c r="AT851" s="658" t="s">
        <v>1417</v>
      </c>
      <c r="AU851" s="658" t="s">
        <v>2751</v>
      </c>
      <c r="AX851"/>
      <c r="AY851"/>
      <c r="BA851"/>
      <c r="BB851"/>
      <c r="BC851"/>
      <c r="BD851"/>
      <c r="BE851"/>
      <c r="BF851"/>
      <c r="BG851"/>
      <c r="BH851"/>
      <c r="BI851"/>
      <c r="BJ851"/>
      <c r="BR851"/>
      <c r="BS851"/>
      <c r="BT851"/>
      <c r="BU851"/>
      <c r="BX851"/>
      <c r="BY851"/>
      <c r="CA851"/>
    </row>
    <row r="852" spans="2:79" ht="18.75">
      <c r="B852" s="252" t="s">
        <v>1601</v>
      </c>
      <c r="C852" s="251">
        <v>10388050000141</v>
      </c>
      <c r="D852" s="252" t="s">
        <v>11</v>
      </c>
      <c r="E852" s="252" t="s">
        <v>620</v>
      </c>
      <c r="F852" s="252" t="s">
        <v>672</v>
      </c>
      <c r="G852" s="253" t="s">
        <v>738</v>
      </c>
      <c r="H852" s="253" t="s">
        <v>34</v>
      </c>
      <c r="I852" s="253" t="s">
        <v>1304</v>
      </c>
      <c r="J852" s="253" t="s">
        <v>608</v>
      </c>
      <c r="K852" s="253" t="s">
        <v>48</v>
      </c>
      <c r="L852" s="655"/>
      <c r="M852" s="655" t="s">
        <v>34</v>
      </c>
      <c r="N852" s="253" t="s">
        <v>3446</v>
      </c>
      <c r="O852" s="253" t="s">
        <v>1321</v>
      </c>
      <c r="P852" s="656">
        <v>39831</v>
      </c>
      <c r="Q852" s="657">
        <v>22.605309999999999</v>
      </c>
      <c r="R852" s="657">
        <v>43.600124128514103</v>
      </c>
      <c r="S852" s="253">
        <v>0</v>
      </c>
      <c r="T852" s="658">
        <v>1.9601006693933831E-2</v>
      </c>
      <c r="U852" s="659">
        <v>0.98012972649683516</v>
      </c>
      <c r="V852" s="658">
        <v>0.12587438731633815</v>
      </c>
      <c r="W852" s="659">
        <v>0.97619490409729737</v>
      </c>
      <c r="X852" s="658">
        <v>0.18794017907084304</v>
      </c>
      <c r="Y852" s="659">
        <v>0.97334079220822178</v>
      </c>
      <c r="Z852" s="658">
        <v>0.21152641339906841</v>
      </c>
      <c r="AA852" s="659">
        <v>0.95510035252220526</v>
      </c>
      <c r="AB852" s="658">
        <v>8.5542325799143509E-4</v>
      </c>
      <c r="AC852" s="660">
        <v>-3.5883080121734672</v>
      </c>
      <c r="AD852" s="682">
        <v>35823433000121</v>
      </c>
      <c r="AE852" s="944" t="s">
        <v>1815</v>
      </c>
      <c r="AF852" s="661" t="s">
        <v>1815</v>
      </c>
      <c r="AG852" s="662" t="s">
        <v>59</v>
      </c>
      <c r="AH852" s="662" t="s">
        <v>1734</v>
      </c>
      <c r="AI852" s="662">
        <v>1000</v>
      </c>
      <c r="AJ852" s="662">
        <v>1000</v>
      </c>
      <c r="AK852" s="662">
        <v>1000</v>
      </c>
      <c r="AL852" s="658">
        <v>3.0000000000000001E-3</v>
      </c>
      <c r="AM852" s="658">
        <v>0</v>
      </c>
      <c r="AN852" s="659" t="s">
        <v>64</v>
      </c>
      <c r="AO852" s="253" t="s">
        <v>34</v>
      </c>
      <c r="AP852" s="944" t="s">
        <v>1735</v>
      </c>
      <c r="AQ852" s="663" t="s">
        <v>1505</v>
      </c>
      <c r="AR852" s="658">
        <v>0</v>
      </c>
      <c r="AS852" s="658">
        <v>0</v>
      </c>
      <c r="AT852" s="658" t="s">
        <v>1417</v>
      </c>
      <c r="AU852" s="658" t="s">
        <v>2751</v>
      </c>
      <c r="AX852"/>
      <c r="AY852"/>
      <c r="BA852"/>
      <c r="BB852"/>
      <c r="BC852"/>
      <c r="BD852"/>
      <c r="BE852"/>
      <c r="BF852"/>
      <c r="BG852"/>
      <c r="BH852"/>
      <c r="BI852"/>
      <c r="BJ852"/>
      <c r="BR852"/>
      <c r="BS852"/>
      <c r="BT852"/>
      <c r="BU852"/>
      <c r="BX852"/>
      <c r="BY852"/>
      <c r="CA852"/>
    </row>
    <row r="853" spans="2:79" ht="18.75">
      <c r="B853" s="252" t="s">
        <v>1005</v>
      </c>
      <c r="C853" s="251">
        <v>41483966000104</v>
      </c>
      <c r="D853" s="252" t="s">
        <v>14</v>
      </c>
      <c r="E853" s="252" t="s">
        <v>607</v>
      </c>
      <c r="F853" s="252" t="s">
        <v>1417</v>
      </c>
      <c r="G853" s="253" t="s">
        <v>866</v>
      </c>
      <c r="H853" s="253" t="s">
        <v>34</v>
      </c>
      <c r="I853" s="253" t="s">
        <v>34</v>
      </c>
      <c r="J853" s="253" t="s">
        <v>690</v>
      </c>
      <c r="K853" s="253" t="s">
        <v>1417</v>
      </c>
      <c r="L853" s="655"/>
      <c r="M853" s="655" t="s">
        <v>1414</v>
      </c>
      <c r="N853" s="253" t="s">
        <v>3447</v>
      </c>
      <c r="O853" s="253" t="s">
        <v>1321</v>
      </c>
      <c r="P853" s="656">
        <v>44315</v>
      </c>
      <c r="Q853" s="657">
        <v>9.4606533099999996</v>
      </c>
      <c r="R853" s="657">
        <v>12.092513278782604</v>
      </c>
      <c r="S853" s="253">
        <v>6</v>
      </c>
      <c r="T853" s="658">
        <v>0.18656372495558515</v>
      </c>
      <c r="U853" s="659">
        <v>9.3289419043736856</v>
      </c>
      <c r="V853" s="658">
        <v>-5.9724645833354129E-2</v>
      </c>
      <c r="W853" s="659">
        <v>-0.4631831475375025</v>
      </c>
      <c r="X853" s="658"/>
      <c r="Y853" s="659"/>
      <c r="Z853" s="658"/>
      <c r="AA853" s="659"/>
      <c r="AB853" s="658">
        <v>0.37326467225117416</v>
      </c>
      <c r="AC853" s="660">
        <v>-0.50545516172820448</v>
      </c>
      <c r="AD853" s="682">
        <v>29152373000160</v>
      </c>
      <c r="AE853" s="944" t="s">
        <v>1815</v>
      </c>
      <c r="AF853" s="661" t="s">
        <v>1767</v>
      </c>
      <c r="AG853" s="662" t="s">
        <v>59</v>
      </c>
      <c r="AH853" s="662" t="s">
        <v>1730</v>
      </c>
      <c r="AI853" s="662">
        <v>100</v>
      </c>
      <c r="AJ853" s="662">
        <v>0</v>
      </c>
      <c r="AK853" s="662">
        <v>0</v>
      </c>
      <c r="AL853" s="658">
        <v>0</v>
      </c>
      <c r="AM853" s="658">
        <v>0</v>
      </c>
      <c r="AN853" s="659" t="s">
        <v>666</v>
      </c>
      <c r="AO853" s="253" t="s">
        <v>34</v>
      </c>
      <c r="AP853" s="944" t="s">
        <v>1731</v>
      </c>
      <c r="AQ853" s="663" t="s">
        <v>687</v>
      </c>
      <c r="AR853" s="658">
        <v>1.8666666399999999E-3</v>
      </c>
      <c r="AS853" s="658">
        <v>1.8666666399999999E-3</v>
      </c>
      <c r="AT853" s="658" t="s">
        <v>1417</v>
      </c>
      <c r="AU853" s="658" t="s">
        <v>2751</v>
      </c>
      <c r="AX853"/>
      <c r="AY853"/>
      <c r="BA853"/>
      <c r="BB853"/>
      <c r="BC853"/>
      <c r="BD853"/>
      <c r="BE853"/>
      <c r="BF853"/>
      <c r="BG853"/>
      <c r="BH853"/>
      <c r="BI853"/>
      <c r="BJ853"/>
      <c r="BR853"/>
      <c r="BS853"/>
      <c r="BT853"/>
      <c r="BU853"/>
      <c r="BX853"/>
      <c r="BY853"/>
      <c r="CA853"/>
    </row>
    <row r="854" spans="2:79" ht="18.75">
      <c r="B854" s="252" t="s">
        <v>1006</v>
      </c>
      <c r="C854" s="251">
        <v>19628842000110</v>
      </c>
      <c r="D854" s="252" t="s">
        <v>14</v>
      </c>
      <c r="E854" s="252" t="s">
        <v>614</v>
      </c>
      <c r="F854" s="252" t="s">
        <v>1417</v>
      </c>
      <c r="G854" s="253" t="s">
        <v>1417</v>
      </c>
      <c r="H854" s="253" t="s">
        <v>1338</v>
      </c>
      <c r="I854" s="253" t="s">
        <v>34</v>
      </c>
      <c r="J854" s="253" t="s">
        <v>611</v>
      </c>
      <c r="K854" s="253" t="s">
        <v>48</v>
      </c>
      <c r="L854" s="655"/>
      <c r="M854" s="655" t="s">
        <v>34</v>
      </c>
      <c r="N854" s="253" t="s">
        <v>3448</v>
      </c>
      <c r="O854" s="253" t="s">
        <v>1321</v>
      </c>
      <c r="P854" s="656">
        <v>41727</v>
      </c>
      <c r="Q854" s="657">
        <v>32.551667000000002</v>
      </c>
      <c r="R854" s="657">
        <v>140.640293560484</v>
      </c>
      <c r="S854" s="253">
        <v>32</v>
      </c>
      <c r="T854" s="658">
        <v>-5.1657431005470267E-2</v>
      </c>
      <c r="U854" s="659">
        <v>-2.5830807832227367</v>
      </c>
      <c r="V854" s="658">
        <v>-0.25788159653561027</v>
      </c>
      <c r="W854" s="659">
        <v>-1.9999517436845746</v>
      </c>
      <c r="X854" s="658">
        <v>-0.27005950156034064</v>
      </c>
      <c r="Y854" s="659">
        <v>-1.398636153757286</v>
      </c>
      <c r="Z854" s="658">
        <v>-0.26477969318257699</v>
      </c>
      <c r="AA854" s="659">
        <v>-1.1955536627111099</v>
      </c>
      <c r="AB854" s="658">
        <v>0.23868766315710721</v>
      </c>
      <c r="AC854" s="660">
        <v>-1.6206346857892913</v>
      </c>
      <c r="AD854" s="682">
        <v>19601993000185</v>
      </c>
      <c r="AE854" s="944" t="s">
        <v>1896</v>
      </c>
      <c r="AF854" s="661" t="s">
        <v>1729</v>
      </c>
      <c r="AG854" s="662" t="s">
        <v>1433</v>
      </c>
      <c r="AH854" s="662" t="s">
        <v>1730</v>
      </c>
      <c r="AI854" s="662">
        <v>20000</v>
      </c>
      <c r="AJ854" s="662">
        <v>10000</v>
      </c>
      <c r="AK854" s="662">
        <v>20000</v>
      </c>
      <c r="AL854" s="658">
        <v>0.02</v>
      </c>
      <c r="AM854" s="658">
        <v>0.2</v>
      </c>
      <c r="AN854" s="659" t="s">
        <v>2127</v>
      </c>
      <c r="AO854" s="253" t="s">
        <v>34</v>
      </c>
      <c r="AP854" s="944" t="s">
        <v>1731</v>
      </c>
      <c r="AQ854" s="663" t="s">
        <v>659</v>
      </c>
      <c r="AR854" s="658">
        <v>5.3333333333333297E-3</v>
      </c>
      <c r="AS854" s="658">
        <v>5.3333333333333297E-3</v>
      </c>
      <c r="AT854" s="658" t="s">
        <v>1417</v>
      </c>
      <c r="AU854" s="658" t="s">
        <v>2751</v>
      </c>
      <c r="AX854"/>
      <c r="AY854"/>
      <c r="BA854"/>
      <c r="BB854"/>
      <c r="BC854"/>
      <c r="BD854"/>
      <c r="BE854"/>
      <c r="BF854"/>
      <c r="BG854"/>
      <c r="BH854"/>
      <c r="BI854"/>
      <c r="BJ854"/>
      <c r="BR854"/>
      <c r="BS854"/>
      <c r="BT854"/>
      <c r="BU854"/>
      <c r="BX854"/>
      <c r="BY854"/>
      <c r="CA854"/>
    </row>
    <row r="855" spans="2:79" ht="18.75">
      <c r="B855" s="252" t="s">
        <v>241</v>
      </c>
      <c r="C855" s="251">
        <v>38318178000158</v>
      </c>
      <c r="D855" s="252" t="s">
        <v>14</v>
      </c>
      <c r="E855" s="252" t="s">
        <v>607</v>
      </c>
      <c r="F855" s="252" t="s">
        <v>1417</v>
      </c>
      <c r="G855" s="253" t="s">
        <v>866</v>
      </c>
      <c r="H855" s="253" t="s">
        <v>34</v>
      </c>
      <c r="I855" s="253" t="s">
        <v>34</v>
      </c>
      <c r="J855" s="253" t="s">
        <v>611</v>
      </c>
      <c r="K855" s="253" t="s">
        <v>1417</v>
      </c>
      <c r="L855" s="655"/>
      <c r="M855" s="655" t="s">
        <v>34</v>
      </c>
      <c r="N855" s="253" t="s">
        <v>3449</v>
      </c>
      <c r="O855" s="253" t="s">
        <v>1321</v>
      </c>
      <c r="P855" s="656">
        <v>44295</v>
      </c>
      <c r="Q855" s="657">
        <v>1.26147878</v>
      </c>
      <c r="R855" s="657">
        <v>1.0114838472690764</v>
      </c>
      <c r="S855" s="253">
        <v>5</v>
      </c>
      <c r="T855" s="658">
        <v>0.10216906953417881</v>
      </c>
      <c r="U855" s="659">
        <v>5.1088673016964004</v>
      </c>
      <c r="V855" s="658">
        <v>-0.13955165744149733</v>
      </c>
      <c r="W855" s="659">
        <v>-1.082266374892926</v>
      </c>
      <c r="X855" s="658"/>
      <c r="Y855" s="659"/>
      <c r="Z855" s="658"/>
      <c r="AA855" s="659"/>
      <c r="AB855" s="658">
        <v>0.32409128875363769</v>
      </c>
      <c r="AC855" s="660">
        <v>-0.82845659912934644</v>
      </c>
      <c r="AD855" s="682">
        <v>38427986000153</v>
      </c>
      <c r="AE855" s="944" t="s">
        <v>1747</v>
      </c>
      <c r="AF855" s="661" t="s">
        <v>1745</v>
      </c>
      <c r="AG855" s="662" t="s">
        <v>1432</v>
      </c>
      <c r="AH855" s="662" t="s">
        <v>1730</v>
      </c>
      <c r="AI855" s="662">
        <v>5000</v>
      </c>
      <c r="AJ855" s="662">
        <v>5000</v>
      </c>
      <c r="AK855" s="662">
        <v>5000</v>
      </c>
      <c r="AL855" s="658">
        <v>0.01</v>
      </c>
      <c r="AM855" s="658">
        <v>0</v>
      </c>
      <c r="AN855" s="659" t="s">
        <v>34</v>
      </c>
      <c r="AO855" s="253" t="s">
        <v>34</v>
      </c>
      <c r="AP855" s="944" t="s">
        <v>1731</v>
      </c>
      <c r="AQ855" s="663" t="s">
        <v>687</v>
      </c>
      <c r="AR855" s="658">
        <v>6.6670000000000002E-3</v>
      </c>
      <c r="AS855" s="658">
        <v>6.6670000000000002E-3</v>
      </c>
      <c r="AT855" s="658" t="s">
        <v>1417</v>
      </c>
      <c r="AU855" s="658" t="s">
        <v>2751</v>
      </c>
      <c r="AX855"/>
      <c r="AY855"/>
      <c r="BA855"/>
      <c r="BB855"/>
      <c r="BC855"/>
      <c r="BD855"/>
      <c r="BE855"/>
      <c r="BF855"/>
      <c r="BG855"/>
      <c r="BH855"/>
      <c r="BI855"/>
      <c r="BJ855"/>
      <c r="BR855"/>
      <c r="BS855"/>
      <c r="BT855"/>
      <c r="BU855"/>
      <c r="BX855"/>
      <c r="BY855"/>
      <c r="CA855"/>
    </row>
    <row r="856" spans="2:79" ht="18.75">
      <c r="B856" s="252" t="s">
        <v>242</v>
      </c>
      <c r="C856" s="251">
        <v>7266253000150</v>
      </c>
      <c r="D856" s="252" t="s">
        <v>14</v>
      </c>
      <c r="E856" s="252" t="s">
        <v>607</v>
      </c>
      <c r="F856" s="252" t="s">
        <v>1417</v>
      </c>
      <c r="G856" s="253" t="s">
        <v>1417</v>
      </c>
      <c r="H856" s="253" t="s">
        <v>34</v>
      </c>
      <c r="I856" s="253" t="s">
        <v>34</v>
      </c>
      <c r="J856" s="253" t="s">
        <v>608</v>
      </c>
      <c r="K856" s="253" t="s">
        <v>48</v>
      </c>
      <c r="L856" s="655"/>
      <c r="M856" s="655" t="s">
        <v>34</v>
      </c>
      <c r="N856" s="253" t="s">
        <v>3450</v>
      </c>
      <c r="O856" s="253" t="s">
        <v>1321</v>
      </c>
      <c r="P856" s="656">
        <v>38595</v>
      </c>
      <c r="Q856" s="657">
        <v>16.969366000000001</v>
      </c>
      <c r="R856" s="657">
        <v>21.71661738152612</v>
      </c>
      <c r="S856" s="253">
        <v>14</v>
      </c>
      <c r="T856" s="658">
        <v>-2.7387807846236845E-2</v>
      </c>
      <c r="U856" s="659">
        <v>-1.3695013237247462</v>
      </c>
      <c r="V856" s="658">
        <v>-0.13698708374030522</v>
      </c>
      <c r="W856" s="659">
        <v>-1.0623773106308372</v>
      </c>
      <c r="X856" s="658">
        <v>-0.30259222391495388</v>
      </c>
      <c r="Y856" s="659">
        <v>-1.5671228813207052</v>
      </c>
      <c r="Z856" s="658">
        <v>-0.2706270910568751</v>
      </c>
      <c r="AA856" s="659">
        <v>-1.2219562839314833</v>
      </c>
      <c r="AB856" s="658">
        <v>0.23804178004431725</v>
      </c>
      <c r="AC856" s="660">
        <v>-1.1171610006343595</v>
      </c>
      <c r="AD856" s="682">
        <v>11361527000168</v>
      </c>
      <c r="AE856" s="944" t="s">
        <v>1778</v>
      </c>
      <c r="AF856" s="661" t="s">
        <v>1745</v>
      </c>
      <c r="AG856" s="662" t="s">
        <v>1432</v>
      </c>
      <c r="AH856" s="662" t="s">
        <v>1730</v>
      </c>
      <c r="AI856" s="662">
        <v>1000</v>
      </c>
      <c r="AJ856" s="662">
        <v>1000</v>
      </c>
      <c r="AK856" s="662">
        <v>1000</v>
      </c>
      <c r="AL856" s="658">
        <v>0.02</v>
      </c>
      <c r="AM856" s="658">
        <v>0.2</v>
      </c>
      <c r="AN856" s="659" t="s">
        <v>34</v>
      </c>
      <c r="AO856" s="253" t="s">
        <v>34</v>
      </c>
      <c r="AP856" s="944" t="s">
        <v>1731</v>
      </c>
      <c r="AQ856" s="663" t="s">
        <v>659</v>
      </c>
      <c r="AR856" s="658">
        <v>4.6666666666666697E-3</v>
      </c>
      <c r="AS856" s="658">
        <v>4.6666666666666697E-3</v>
      </c>
      <c r="AT856" s="658" t="s">
        <v>1417</v>
      </c>
      <c r="AU856" s="658" t="s">
        <v>2751</v>
      </c>
      <c r="AX856"/>
      <c r="AY856"/>
      <c r="BA856"/>
      <c r="BB856"/>
      <c r="BC856"/>
      <c r="BD856"/>
      <c r="BE856"/>
      <c r="BF856"/>
      <c r="BG856"/>
      <c r="BH856"/>
      <c r="BI856"/>
      <c r="BJ856"/>
      <c r="BR856"/>
      <c r="BS856"/>
      <c r="BT856"/>
      <c r="BU856"/>
      <c r="BX856"/>
      <c r="BY856"/>
      <c r="CA856"/>
    </row>
    <row r="857" spans="2:79" ht="18.75">
      <c r="B857" s="252" t="s">
        <v>4505</v>
      </c>
      <c r="C857" s="251">
        <v>35807793000130</v>
      </c>
      <c r="D857" s="252" t="s">
        <v>14</v>
      </c>
      <c r="E857" s="252" t="s">
        <v>607</v>
      </c>
      <c r="F857" s="252" t="s">
        <v>1417</v>
      </c>
      <c r="G857" s="253" t="s">
        <v>1417</v>
      </c>
      <c r="H857" s="253" t="s">
        <v>1417</v>
      </c>
      <c r="I857" s="253" t="s">
        <v>1417</v>
      </c>
      <c r="J857" s="253" t="s">
        <v>608</v>
      </c>
      <c r="K857" s="253" t="s">
        <v>48</v>
      </c>
      <c r="L857" s="655"/>
      <c r="M857" s="655" t="s">
        <v>34</v>
      </c>
      <c r="N857" s="253" t="s">
        <v>4506</v>
      </c>
      <c r="O857" s="253" t="s">
        <v>1321</v>
      </c>
      <c r="P857" s="656">
        <v>44064</v>
      </c>
      <c r="Q857" s="657">
        <v>12.40464819</v>
      </c>
      <c r="R857" s="657">
        <v>12.497495242499999</v>
      </c>
      <c r="S857" s="253">
        <v>4</v>
      </c>
      <c r="T857" s="658">
        <v>-9.8744926043381476E-3</v>
      </c>
      <c r="U857" s="659">
        <v>-0.49376462580262415</v>
      </c>
      <c r="V857" s="658">
        <v>-9.8744926043381476E-3</v>
      </c>
      <c r="W857" s="659">
        <v>-7.6579751976676977E-2</v>
      </c>
      <c r="X857" s="658">
        <v>-9.8744926043381476E-3</v>
      </c>
      <c r="Y857" s="659">
        <v>-5.1139923893218239E-2</v>
      </c>
      <c r="Z857" s="658"/>
      <c r="AA857" s="659"/>
      <c r="AB857" s="658">
        <v>4.9947258894509905E-2</v>
      </c>
      <c r="AC857" s="660">
        <v>-2.7792997078040877</v>
      </c>
      <c r="AD857" s="682">
        <v>35806221000136</v>
      </c>
      <c r="AE857" s="944" t="s">
        <v>1756</v>
      </c>
      <c r="AF857" s="661" t="s">
        <v>1729</v>
      </c>
      <c r="AG857" s="662" t="s">
        <v>1433</v>
      </c>
      <c r="AH857" s="662" t="s">
        <v>2119</v>
      </c>
      <c r="AI857" s="662">
        <v>10</v>
      </c>
      <c r="AJ857" s="662">
        <v>0</v>
      </c>
      <c r="AK857" s="662">
        <v>0</v>
      </c>
      <c r="AL857" s="658">
        <v>1.8499999999999999E-2</v>
      </c>
      <c r="AM857" s="658">
        <v>0.2</v>
      </c>
      <c r="AN857" s="659" t="s">
        <v>34</v>
      </c>
      <c r="AO857" s="253" t="s">
        <v>4397</v>
      </c>
      <c r="AP857" s="944" t="s">
        <v>1731</v>
      </c>
      <c r="AQ857" s="663" t="s">
        <v>2120</v>
      </c>
      <c r="AR857" s="658">
        <v>0</v>
      </c>
      <c r="AS857" s="658">
        <v>0</v>
      </c>
      <c r="AT857" s="658" t="s">
        <v>1417</v>
      </c>
      <c r="AU857" s="658" t="s">
        <v>2751</v>
      </c>
      <c r="AX857"/>
      <c r="AY857"/>
      <c r="BA857"/>
      <c r="BB857"/>
      <c r="BC857"/>
      <c r="BD857"/>
      <c r="BE857"/>
      <c r="BF857"/>
      <c r="BG857"/>
      <c r="BH857"/>
      <c r="BI857"/>
      <c r="BJ857"/>
      <c r="BR857"/>
      <c r="BS857"/>
      <c r="BT857"/>
      <c r="BU857"/>
      <c r="BX857"/>
      <c r="BY857"/>
      <c r="CA857"/>
    </row>
    <row r="858" spans="2:79" ht="18.75">
      <c r="B858" s="252" t="s">
        <v>1602</v>
      </c>
      <c r="C858" s="251">
        <v>38075290000105</v>
      </c>
      <c r="D858" s="252" t="s">
        <v>13</v>
      </c>
      <c r="E858" s="252" t="s">
        <v>615</v>
      </c>
      <c r="F858" s="252" t="s">
        <v>619</v>
      </c>
      <c r="G858" s="253" t="s">
        <v>34</v>
      </c>
      <c r="H858" s="253" t="s">
        <v>1337</v>
      </c>
      <c r="I858" s="253" t="s">
        <v>34</v>
      </c>
      <c r="J858" s="253" t="s">
        <v>611</v>
      </c>
      <c r="K858" s="253" t="s">
        <v>48</v>
      </c>
      <c r="L858" s="655"/>
      <c r="M858" s="655" t="s">
        <v>34</v>
      </c>
      <c r="N858" s="253" t="s">
        <v>3451</v>
      </c>
      <c r="O858" s="253" t="s">
        <v>1321</v>
      </c>
      <c r="P858" s="656">
        <v>44169</v>
      </c>
      <c r="Q858" s="657">
        <v>54.912138880000001</v>
      </c>
      <c r="R858" s="657">
        <v>53.734967013414611</v>
      </c>
      <c r="S858" s="253">
        <v>3</v>
      </c>
      <c r="T858" s="658">
        <v>1.6003897676230672E-2</v>
      </c>
      <c r="U858" s="659">
        <v>0.80025970590285112</v>
      </c>
      <c r="V858" s="658">
        <v>0.14142819709543786</v>
      </c>
      <c r="W858" s="659">
        <v>1.0968195217766483</v>
      </c>
      <c r="X858" s="658">
        <v>0.12993824704751189</v>
      </c>
      <c r="Y858" s="659">
        <v>0.67294921684468068</v>
      </c>
      <c r="Z858" s="658"/>
      <c r="AA858" s="659"/>
      <c r="AB858" s="658">
        <v>2.6557626229299906E-2</v>
      </c>
      <c r="AC858" s="660">
        <v>0.47008296377317482</v>
      </c>
      <c r="AD858" s="682">
        <v>36977246000165</v>
      </c>
      <c r="AE858" s="944" t="s">
        <v>1756</v>
      </c>
      <c r="AF858" s="661" t="s">
        <v>1760</v>
      </c>
      <c r="AG858" s="662" t="s">
        <v>719</v>
      </c>
      <c r="AH858" s="662" t="s">
        <v>1801</v>
      </c>
      <c r="AI858" s="662">
        <v>0</v>
      </c>
      <c r="AJ858" s="662">
        <v>0</v>
      </c>
      <c r="AK858" s="662">
        <v>0</v>
      </c>
      <c r="AL858" s="658">
        <v>0.02</v>
      </c>
      <c r="AM858" s="658">
        <v>0</v>
      </c>
      <c r="AN858" s="659" t="s">
        <v>64</v>
      </c>
      <c r="AO858" s="253" t="s">
        <v>4400</v>
      </c>
      <c r="AP858" s="944" t="s">
        <v>1746</v>
      </c>
      <c r="AQ858" s="663" t="s">
        <v>2177</v>
      </c>
      <c r="AR858" s="658">
        <v>0</v>
      </c>
      <c r="AS858" s="658">
        <v>0</v>
      </c>
      <c r="AT858" s="658" t="s">
        <v>1417</v>
      </c>
      <c r="AU858" s="658" t="s">
        <v>2751</v>
      </c>
      <c r="AX858"/>
      <c r="AY858"/>
      <c r="BA858"/>
      <c r="BB858"/>
      <c r="BC858"/>
      <c r="BD858"/>
      <c r="BE858"/>
      <c r="BF858"/>
      <c r="BG858"/>
      <c r="BH858"/>
      <c r="BI858"/>
      <c r="BJ858"/>
      <c r="BR858"/>
      <c r="BS858"/>
      <c r="BT858"/>
      <c r="BU858"/>
      <c r="BX858"/>
      <c r="BY858"/>
      <c r="CA858"/>
    </row>
    <row r="859" spans="2:79" ht="18.75">
      <c r="B859" s="252" t="s">
        <v>1008</v>
      </c>
      <c r="C859" s="251">
        <v>38281372000106</v>
      </c>
      <c r="D859" s="252" t="s">
        <v>11</v>
      </c>
      <c r="E859" s="252" t="s">
        <v>620</v>
      </c>
      <c r="F859" s="252" t="s">
        <v>663</v>
      </c>
      <c r="G859" s="253" t="s">
        <v>738</v>
      </c>
      <c r="H859" s="253" t="s">
        <v>34</v>
      </c>
      <c r="I859" s="253" t="s">
        <v>1417</v>
      </c>
      <c r="J859" s="253" t="s">
        <v>608</v>
      </c>
      <c r="K859" s="253" t="s">
        <v>48</v>
      </c>
      <c r="L859" s="655"/>
      <c r="M859" s="655" t="s">
        <v>34</v>
      </c>
      <c r="N859" s="253" t="s">
        <v>3454</v>
      </c>
      <c r="O859" s="253" t="s">
        <v>1321</v>
      </c>
      <c r="P859" s="656">
        <v>44123</v>
      </c>
      <c r="Q859" s="657">
        <v>82.122450880000002</v>
      </c>
      <c r="R859" s="657">
        <v>71.349091993548384</v>
      </c>
      <c r="S859" s="253">
        <v>181</v>
      </c>
      <c r="T859" s="658">
        <v>1.7258617086628014E-2</v>
      </c>
      <c r="U859" s="659">
        <v>0.8630007585307049</v>
      </c>
      <c r="V859" s="658">
        <v>0.15783356132894677</v>
      </c>
      <c r="W859" s="659">
        <v>1.2240482082954092</v>
      </c>
      <c r="X859" s="658">
        <v>0.24831167271620735</v>
      </c>
      <c r="Y859" s="659">
        <v>1.2860043096215072</v>
      </c>
      <c r="Z859" s="658"/>
      <c r="AA859" s="659"/>
      <c r="AB859" s="658">
        <v>5.8770756144935453E-3</v>
      </c>
      <c r="AC859" s="660">
        <v>4.9156508742057374</v>
      </c>
      <c r="AD859" s="682">
        <v>38230040000100</v>
      </c>
      <c r="AE859" s="944" t="s">
        <v>1910</v>
      </c>
      <c r="AF859" s="661" t="s">
        <v>1729</v>
      </c>
      <c r="AG859" s="662" t="s">
        <v>1433</v>
      </c>
      <c r="AH859" s="662" t="s">
        <v>1730</v>
      </c>
      <c r="AI859" s="662">
        <v>100000</v>
      </c>
      <c r="AJ859" s="662">
        <v>0</v>
      </c>
      <c r="AK859" s="662">
        <v>100000</v>
      </c>
      <c r="AL859" s="658">
        <v>6.0000000000000001E-3</v>
      </c>
      <c r="AM859" s="658">
        <v>0.2</v>
      </c>
      <c r="AN859" s="659" t="s">
        <v>34</v>
      </c>
      <c r="AO859" s="253" t="s">
        <v>34</v>
      </c>
      <c r="AP859" s="944" t="s">
        <v>1746</v>
      </c>
      <c r="AQ859" s="663" t="s">
        <v>671</v>
      </c>
      <c r="AR859" s="658">
        <v>5.9999999999999995E-4</v>
      </c>
      <c r="AS859" s="658">
        <v>5.9999999999999995E-4</v>
      </c>
      <c r="AT859" s="658" t="s">
        <v>1417</v>
      </c>
      <c r="AU859" s="658" t="s">
        <v>2751</v>
      </c>
      <c r="AX859"/>
      <c r="AY859"/>
      <c r="BA859"/>
      <c r="BB859"/>
      <c r="BC859"/>
      <c r="BD859"/>
      <c r="BE859"/>
      <c r="BF859"/>
      <c r="BG859"/>
      <c r="BH859"/>
      <c r="BI859"/>
      <c r="BJ859"/>
      <c r="BR859"/>
      <c r="BS859"/>
      <c r="BT859"/>
      <c r="BU859"/>
      <c r="BX859"/>
      <c r="BY859"/>
      <c r="CA859"/>
    </row>
    <row r="860" spans="2:79" ht="18.75">
      <c r="B860" s="252" t="s">
        <v>1011</v>
      </c>
      <c r="C860" s="251">
        <v>13106980000153</v>
      </c>
      <c r="D860" s="252" t="s">
        <v>14</v>
      </c>
      <c r="E860" s="252" t="s">
        <v>607</v>
      </c>
      <c r="F860" s="252" t="s">
        <v>1417</v>
      </c>
      <c r="G860" s="253" t="s">
        <v>1417</v>
      </c>
      <c r="H860" s="253" t="s">
        <v>34</v>
      </c>
      <c r="I860" s="253" t="s">
        <v>34</v>
      </c>
      <c r="J860" s="253" t="s">
        <v>608</v>
      </c>
      <c r="K860" s="253" t="s">
        <v>48</v>
      </c>
      <c r="L860" s="655"/>
      <c r="M860" s="655" t="s">
        <v>1414</v>
      </c>
      <c r="N860" s="253" t="s">
        <v>3457</v>
      </c>
      <c r="O860" s="253" t="s">
        <v>1321</v>
      </c>
      <c r="P860" s="656">
        <v>40635</v>
      </c>
      <c r="Q860" s="657">
        <v>101.378145</v>
      </c>
      <c r="R860" s="657">
        <v>112.24094081854847</v>
      </c>
      <c r="S860" s="253">
        <v>32</v>
      </c>
      <c r="T860" s="658">
        <v>3.0592316440063438E-3</v>
      </c>
      <c r="U860" s="659">
        <v>0.1529739732938496</v>
      </c>
      <c r="V860" s="658">
        <v>-9.2193968994926934E-3</v>
      </c>
      <c r="W860" s="659">
        <v>-7.1499281657016051E-2</v>
      </c>
      <c r="X860" s="658">
        <v>-0.11042318394685879</v>
      </c>
      <c r="Y860" s="659">
        <v>-0.57188084991914345</v>
      </c>
      <c r="Z860" s="658">
        <v>6.3478584535052507E-2</v>
      </c>
      <c r="AA860" s="659">
        <v>0.28662339370666168</v>
      </c>
      <c r="AB860" s="658">
        <v>0.22902089468823691</v>
      </c>
      <c r="AC860" s="660">
        <v>-0.60327817046720089</v>
      </c>
      <c r="AD860" s="682">
        <v>13136966000100</v>
      </c>
      <c r="AE860" s="944" t="s">
        <v>1756</v>
      </c>
      <c r="AF860" s="661" t="s">
        <v>1729</v>
      </c>
      <c r="AG860" s="662" t="s">
        <v>1433</v>
      </c>
      <c r="AH860" s="662" t="s">
        <v>1730</v>
      </c>
      <c r="AI860" s="662">
        <v>100000</v>
      </c>
      <c r="AJ860" s="662">
        <v>50000</v>
      </c>
      <c r="AK860" s="662">
        <v>100000</v>
      </c>
      <c r="AL860" s="658">
        <v>1.8500000000000003E-2</v>
      </c>
      <c r="AM860" s="658">
        <v>0.2</v>
      </c>
      <c r="AN860" s="659" t="s">
        <v>2141</v>
      </c>
      <c r="AO860" s="253" t="s">
        <v>34</v>
      </c>
      <c r="AP860" s="944" t="s">
        <v>1731</v>
      </c>
      <c r="AQ860" s="663" t="s">
        <v>659</v>
      </c>
      <c r="AR860" s="658">
        <v>2.46666666666667E-3</v>
      </c>
      <c r="AS860" s="658">
        <v>2.46666666666667E-3</v>
      </c>
      <c r="AT860" s="658" t="s">
        <v>1417</v>
      </c>
      <c r="AU860" s="658" t="s">
        <v>2751</v>
      </c>
      <c r="AX860"/>
      <c r="AY860"/>
      <c r="BA860"/>
      <c r="BB860"/>
      <c r="BC860"/>
      <c r="BD860"/>
      <c r="BE860"/>
      <c r="BF860"/>
      <c r="BG860"/>
      <c r="BH860"/>
      <c r="BI860"/>
      <c r="BJ860"/>
      <c r="BR860"/>
      <c r="BS860"/>
      <c r="BT860"/>
      <c r="BU860"/>
      <c r="BX860"/>
      <c r="BY860"/>
      <c r="CA860"/>
    </row>
    <row r="861" spans="2:79" ht="18.75">
      <c r="B861" s="252" t="s">
        <v>244</v>
      </c>
      <c r="C861" s="251">
        <v>9143318000104</v>
      </c>
      <c r="D861" s="252" t="s">
        <v>14</v>
      </c>
      <c r="E861" s="252" t="s">
        <v>614</v>
      </c>
      <c r="F861" s="252" t="s">
        <v>1417</v>
      </c>
      <c r="G861" s="253" t="s">
        <v>1417</v>
      </c>
      <c r="H861" s="253" t="s">
        <v>1338</v>
      </c>
      <c r="I861" s="253" t="s">
        <v>34</v>
      </c>
      <c r="J861" s="253" t="s">
        <v>608</v>
      </c>
      <c r="K861" s="253" t="s">
        <v>48</v>
      </c>
      <c r="L861" s="655"/>
      <c r="M861" s="655" t="s">
        <v>1414</v>
      </c>
      <c r="N861" s="253" t="s">
        <v>3458</v>
      </c>
      <c r="O861" s="253" t="s">
        <v>1321</v>
      </c>
      <c r="P861" s="656">
        <v>39600</v>
      </c>
      <c r="Q861" s="657">
        <v>366.88872780000003</v>
      </c>
      <c r="R861" s="657">
        <v>419.01665432168687</v>
      </c>
      <c r="S861" s="253">
        <v>33</v>
      </c>
      <c r="T861" s="658">
        <v>2.8693865769897631E-3</v>
      </c>
      <c r="U861" s="659">
        <v>0.14348095099569788</v>
      </c>
      <c r="V861" s="658">
        <v>-9.0010301937055726E-3</v>
      </c>
      <c r="W861" s="659">
        <v>-6.9805780143652713E-2</v>
      </c>
      <c r="X861" s="658">
        <v>-0.11150455123265923</v>
      </c>
      <c r="Y861" s="659">
        <v>-0.57748124306462567</v>
      </c>
      <c r="Z861" s="658">
        <v>6.0496430686863389E-2</v>
      </c>
      <c r="AA861" s="659">
        <v>0.27315814298023194</v>
      </c>
      <c r="AB861" s="658">
        <v>0.2286938577909991</v>
      </c>
      <c r="AC861" s="660">
        <v>-0.60318602770066676</v>
      </c>
      <c r="AD861" s="682">
        <v>9271730000100</v>
      </c>
      <c r="AE861" s="944" t="s">
        <v>1756</v>
      </c>
      <c r="AF861" s="661" t="s">
        <v>1729</v>
      </c>
      <c r="AG861" s="662" t="s">
        <v>1433</v>
      </c>
      <c r="AH861" s="662" t="s">
        <v>1734</v>
      </c>
      <c r="AI861" s="662">
        <v>200000</v>
      </c>
      <c r="AJ861" s="662">
        <v>50000</v>
      </c>
      <c r="AK861" s="662">
        <v>200000</v>
      </c>
      <c r="AL861" s="658">
        <v>1.8500000000000003E-2</v>
      </c>
      <c r="AM861" s="658">
        <v>0.2</v>
      </c>
      <c r="AN861" s="659" t="s">
        <v>2141</v>
      </c>
      <c r="AO861" s="253" t="s">
        <v>34</v>
      </c>
      <c r="AP861" s="944" t="s">
        <v>1746</v>
      </c>
      <c r="AQ861" s="663" t="s">
        <v>671</v>
      </c>
      <c r="AR861" s="658">
        <v>2.46666666666667E-3</v>
      </c>
      <c r="AS861" s="658">
        <v>2.46666666666667E-3</v>
      </c>
      <c r="AT861" s="658" t="s">
        <v>1417</v>
      </c>
      <c r="AU861" s="658" t="s">
        <v>2751</v>
      </c>
      <c r="AX861"/>
      <c r="AY861"/>
      <c r="BA861"/>
      <c r="BB861"/>
      <c r="BC861"/>
      <c r="BD861"/>
      <c r="BE861"/>
      <c r="BF861"/>
      <c r="BG861"/>
      <c r="BH861"/>
      <c r="BI861"/>
      <c r="BJ861"/>
      <c r="BR861"/>
      <c r="BS861"/>
      <c r="BT861"/>
      <c r="BU861"/>
      <c r="BX861"/>
      <c r="BY861"/>
      <c r="CA861"/>
    </row>
    <row r="862" spans="2:79" ht="18.75">
      <c r="B862" s="252" t="s">
        <v>245</v>
      </c>
      <c r="C862" s="251">
        <v>35956906000169</v>
      </c>
      <c r="D862" s="252" t="s">
        <v>14</v>
      </c>
      <c r="E862" s="252" t="s">
        <v>607</v>
      </c>
      <c r="F862" s="252" t="s">
        <v>1417</v>
      </c>
      <c r="G862" s="253" t="s">
        <v>1417</v>
      </c>
      <c r="H862" s="253" t="s">
        <v>34</v>
      </c>
      <c r="I862" s="253" t="s">
        <v>34</v>
      </c>
      <c r="J862" s="253" t="s">
        <v>608</v>
      </c>
      <c r="K862" s="253" t="s">
        <v>48</v>
      </c>
      <c r="L862" s="655"/>
      <c r="M862" s="655" t="s">
        <v>1414</v>
      </c>
      <c r="N862" s="253" t="s">
        <v>3459</v>
      </c>
      <c r="O862" s="253" t="s">
        <v>1321</v>
      </c>
      <c r="P862" s="656">
        <v>43959</v>
      </c>
      <c r="Q862" s="657">
        <v>16.570956639999999</v>
      </c>
      <c r="R862" s="657">
        <v>14.603153743427422</v>
      </c>
      <c r="S862" s="253">
        <v>32</v>
      </c>
      <c r="T862" s="658">
        <v>-8.8819672402840055E-4</v>
      </c>
      <c r="U862" s="659">
        <v>-4.4413433748112567E-2</v>
      </c>
      <c r="V862" s="658">
        <v>-3.9904630286911824E-2</v>
      </c>
      <c r="W862" s="659">
        <v>-0.30947278129006456</v>
      </c>
      <c r="X862" s="658">
        <v>-0.18347930402867085</v>
      </c>
      <c r="Y862" s="659">
        <v>-0.95023795348072926</v>
      </c>
      <c r="Z862" s="658"/>
      <c r="AA862" s="659"/>
      <c r="AB862" s="658">
        <v>0.23165007591799569</v>
      </c>
      <c r="AC862" s="660">
        <v>-0.72889481717015581</v>
      </c>
      <c r="AD862" s="682">
        <v>35400868000163</v>
      </c>
      <c r="AE862" s="944" t="s">
        <v>1756</v>
      </c>
      <c r="AF862" s="661" t="s">
        <v>1729</v>
      </c>
      <c r="AG862" s="662" t="s">
        <v>1433</v>
      </c>
      <c r="AH862" s="662" t="s">
        <v>1730</v>
      </c>
      <c r="AI862" s="662">
        <v>100000</v>
      </c>
      <c r="AJ862" s="662">
        <v>50000</v>
      </c>
      <c r="AK862" s="662">
        <v>100000</v>
      </c>
      <c r="AL862" s="658">
        <v>1.8500000000000003E-2</v>
      </c>
      <c r="AM862" s="658">
        <v>0.2</v>
      </c>
      <c r="AN862" s="659" t="s">
        <v>34</v>
      </c>
      <c r="AO862" s="253" t="s">
        <v>34</v>
      </c>
      <c r="AP862" s="944" t="s">
        <v>1731</v>
      </c>
      <c r="AQ862" s="663" t="s">
        <v>682</v>
      </c>
      <c r="AR862" s="658">
        <v>2.46666666666667E-3</v>
      </c>
      <c r="AS862" s="658">
        <v>2.46666666666667E-3</v>
      </c>
      <c r="AT862" s="658" t="s">
        <v>1417</v>
      </c>
      <c r="AU862" s="658" t="s">
        <v>2751</v>
      </c>
      <c r="AX862"/>
      <c r="AY862"/>
      <c r="BA862"/>
      <c r="BB862"/>
      <c r="BC862"/>
      <c r="BD862"/>
      <c r="BE862"/>
      <c r="BF862"/>
      <c r="BG862"/>
      <c r="BH862"/>
      <c r="BI862"/>
      <c r="BJ862"/>
      <c r="BR862"/>
      <c r="BS862"/>
      <c r="BT862"/>
      <c r="BU862"/>
      <c r="BX862"/>
      <c r="BY862"/>
      <c r="CA862"/>
    </row>
    <row r="863" spans="2:79" ht="18.75">
      <c r="B863" s="252" t="s">
        <v>1012</v>
      </c>
      <c r="C863" s="251">
        <v>37888003000113</v>
      </c>
      <c r="D863" s="252" t="s">
        <v>14</v>
      </c>
      <c r="E863" s="252" t="s">
        <v>607</v>
      </c>
      <c r="F863" s="252" t="s">
        <v>1417</v>
      </c>
      <c r="G863" s="253" t="s">
        <v>1417</v>
      </c>
      <c r="H863" s="253" t="s">
        <v>34</v>
      </c>
      <c r="I863" s="253" t="s">
        <v>34</v>
      </c>
      <c r="J863" s="253" t="s">
        <v>608</v>
      </c>
      <c r="K863" s="253" t="s">
        <v>48</v>
      </c>
      <c r="L863" s="655"/>
      <c r="M863" s="655" t="s">
        <v>1414</v>
      </c>
      <c r="N863" s="253" t="s">
        <v>3460</v>
      </c>
      <c r="O863" s="253" t="s">
        <v>1321</v>
      </c>
      <c r="P863" s="656">
        <v>44097</v>
      </c>
      <c r="Q863" s="657">
        <v>1.4941546800000001</v>
      </c>
      <c r="R863" s="657">
        <v>2.8427915765725809</v>
      </c>
      <c r="S863" s="253">
        <v>32</v>
      </c>
      <c r="T863" s="658">
        <v>-4.8468637272272019E-3</v>
      </c>
      <c r="U863" s="659">
        <v>-0.24236281806917814</v>
      </c>
      <c r="V863" s="658">
        <v>-5.1997183815186032E-2</v>
      </c>
      <c r="W863" s="659">
        <v>-0.40325428349637449</v>
      </c>
      <c r="X863" s="658">
        <v>-0.21169325784654081</v>
      </c>
      <c r="Y863" s="659">
        <v>-1.0963578108533252</v>
      </c>
      <c r="Z863" s="658"/>
      <c r="AA863" s="659"/>
      <c r="AB863" s="658">
        <v>0.23210043247445108</v>
      </c>
      <c r="AC863" s="660">
        <v>-0.77958102590735945</v>
      </c>
      <c r="AD863" s="682">
        <v>36352709000101</v>
      </c>
      <c r="AE863" s="944" t="s">
        <v>1756</v>
      </c>
      <c r="AF863" s="661" t="s">
        <v>1729</v>
      </c>
      <c r="AG863" s="662" t="s">
        <v>1433</v>
      </c>
      <c r="AH863" s="662" t="s">
        <v>1734</v>
      </c>
      <c r="AI863" s="662">
        <v>100000</v>
      </c>
      <c r="AJ863" s="662">
        <v>50000</v>
      </c>
      <c r="AK863" s="662">
        <v>100000</v>
      </c>
      <c r="AL863" s="658">
        <v>2.2499999999999999E-2</v>
      </c>
      <c r="AM863" s="658">
        <v>0.2</v>
      </c>
      <c r="AN863" s="659" t="s">
        <v>34</v>
      </c>
      <c r="AO863" s="253" t="s">
        <v>34</v>
      </c>
      <c r="AP863" s="944" t="s">
        <v>1731</v>
      </c>
      <c r="AQ863" s="663" t="s">
        <v>682</v>
      </c>
      <c r="AR863" s="658">
        <v>2.46666666666667E-3</v>
      </c>
      <c r="AS863" s="658">
        <v>2.46666666666667E-3</v>
      </c>
      <c r="AT863" s="658" t="s">
        <v>1417</v>
      </c>
      <c r="AU863" s="658" t="s">
        <v>2751</v>
      </c>
      <c r="AX863"/>
      <c r="AY863"/>
      <c r="BA863"/>
      <c r="BB863"/>
      <c r="BC863"/>
      <c r="BD863"/>
      <c r="BE863"/>
      <c r="BF863"/>
      <c r="BG863"/>
      <c r="BH863"/>
      <c r="BI863"/>
      <c r="BJ863"/>
      <c r="BR863"/>
      <c r="BS863"/>
      <c r="BT863"/>
      <c r="BU863"/>
      <c r="BX863"/>
      <c r="BY863"/>
      <c r="CA863"/>
    </row>
    <row r="864" spans="2:79" ht="18.75">
      <c r="B864" s="252" t="s">
        <v>1013</v>
      </c>
      <c r="C864" s="251">
        <v>18628905000176</v>
      </c>
      <c r="D864" s="252" t="s">
        <v>14</v>
      </c>
      <c r="E864" s="252" t="s">
        <v>607</v>
      </c>
      <c r="F864" s="252" t="s">
        <v>860</v>
      </c>
      <c r="G864" s="253" t="s">
        <v>1417</v>
      </c>
      <c r="H864" s="253" t="s">
        <v>34</v>
      </c>
      <c r="I864" s="253" t="s">
        <v>34</v>
      </c>
      <c r="J864" s="253" t="s">
        <v>611</v>
      </c>
      <c r="K864" s="253" t="s">
        <v>1417</v>
      </c>
      <c r="L864" s="655"/>
      <c r="M864" s="655" t="s">
        <v>1414</v>
      </c>
      <c r="N864" s="253" t="s">
        <v>3461</v>
      </c>
      <c r="O864" s="253" t="s">
        <v>1321</v>
      </c>
      <c r="P864" s="656">
        <v>42459</v>
      </c>
      <c r="Q864" s="657">
        <v>22.638915999999998</v>
      </c>
      <c r="R864" s="657">
        <v>26.457209369477916</v>
      </c>
      <c r="S864" s="253">
        <v>65</v>
      </c>
      <c r="T864" s="658">
        <v>-6.0308478823836054E-2</v>
      </c>
      <c r="U864" s="659">
        <v>-3.0156682142933073</v>
      </c>
      <c r="V864" s="658">
        <v>-3.155348806715097E-2</v>
      </c>
      <c r="W864" s="659">
        <v>-0.24470708389815216</v>
      </c>
      <c r="X864" s="658">
        <v>-0.16026233502494314</v>
      </c>
      <c r="Y864" s="659">
        <v>-0.82999744336477443</v>
      </c>
      <c r="Z864" s="658">
        <v>0.35270458210297395</v>
      </c>
      <c r="AA864" s="659">
        <v>1.592558892714772</v>
      </c>
      <c r="AB864" s="658">
        <v>0.25300741029436963</v>
      </c>
      <c r="AC864" s="660">
        <v>-0.63435848510209025</v>
      </c>
      <c r="AD864" s="682">
        <v>23668075000140</v>
      </c>
      <c r="AE864" s="944" t="s">
        <v>1756</v>
      </c>
      <c r="AF864" s="661" t="s">
        <v>1729</v>
      </c>
      <c r="AG864" s="662" t="s">
        <v>1433</v>
      </c>
      <c r="AH864" s="662" t="s">
        <v>1801</v>
      </c>
      <c r="AI864" s="662">
        <v>100000</v>
      </c>
      <c r="AJ864" s="662">
        <v>50000</v>
      </c>
      <c r="AK864" s="662">
        <v>100000</v>
      </c>
      <c r="AL864" s="658">
        <v>1.7500000000000002E-2</v>
      </c>
      <c r="AM864" s="658">
        <v>0</v>
      </c>
      <c r="AN864" s="659" t="s">
        <v>2127</v>
      </c>
      <c r="AO864" s="253" t="s">
        <v>34</v>
      </c>
      <c r="AP864" s="944" t="s">
        <v>1731</v>
      </c>
      <c r="AQ864" s="663" t="s">
        <v>687</v>
      </c>
      <c r="AR864" s="658">
        <v>3.5000000000000001E-3</v>
      </c>
      <c r="AS864" s="658">
        <v>3.5000000000000001E-3</v>
      </c>
      <c r="AT864" s="658" t="s">
        <v>1417</v>
      </c>
      <c r="AU864" s="658" t="s">
        <v>2751</v>
      </c>
      <c r="AX864"/>
      <c r="AY864"/>
      <c r="BA864"/>
      <c r="BB864"/>
      <c r="BC864"/>
      <c r="BD864"/>
      <c r="BE864"/>
      <c r="BF864"/>
      <c r="BG864"/>
      <c r="BH864"/>
      <c r="BI864"/>
      <c r="BJ864"/>
      <c r="BR864"/>
      <c r="BS864"/>
      <c r="BT864"/>
      <c r="BU864"/>
      <c r="BX864"/>
      <c r="BY864"/>
      <c r="CA864"/>
    </row>
    <row r="865" spans="2:79" ht="18.75">
      <c r="B865" s="252" t="s">
        <v>246</v>
      </c>
      <c r="C865" s="251">
        <v>3119883000141</v>
      </c>
      <c r="D865" s="252" t="s">
        <v>13</v>
      </c>
      <c r="E865" s="252" t="s">
        <v>615</v>
      </c>
      <c r="F865" s="252" t="s">
        <v>619</v>
      </c>
      <c r="G865" s="253" t="s">
        <v>34</v>
      </c>
      <c r="H865" s="253" t="s">
        <v>1337</v>
      </c>
      <c r="I865" s="253" t="s">
        <v>34</v>
      </c>
      <c r="J865" s="253" t="s">
        <v>611</v>
      </c>
      <c r="K865" s="253" t="s">
        <v>48</v>
      </c>
      <c r="L865" s="655"/>
      <c r="M865" s="655" t="s">
        <v>1414</v>
      </c>
      <c r="N865" s="253" t="s">
        <v>3462</v>
      </c>
      <c r="O865" s="253" t="s">
        <v>1321</v>
      </c>
      <c r="P865" s="656">
        <v>36344</v>
      </c>
      <c r="Q865" s="657">
        <v>61.810665999999998</v>
      </c>
      <c r="R865" s="657">
        <v>52.802155157258092</v>
      </c>
      <c r="S865" s="253">
        <v>1</v>
      </c>
      <c r="T865" s="658">
        <v>1.8824644439916272E-2</v>
      </c>
      <c r="U865" s="659">
        <v>0.94130846922293232</v>
      </c>
      <c r="V865" s="658">
        <v>0.13749814225619295</v>
      </c>
      <c r="W865" s="659">
        <v>1.0663407278878472</v>
      </c>
      <c r="X865" s="658">
        <v>0.18209225881751179</v>
      </c>
      <c r="Y865" s="659">
        <v>0.94305445662905663</v>
      </c>
      <c r="Z865" s="658">
        <v>0.22245244443395795</v>
      </c>
      <c r="AA865" s="659">
        <v>1.0044344093210784</v>
      </c>
      <c r="AB865" s="658">
        <v>1.0198318286026202E-2</v>
      </c>
      <c r="AC865" s="660">
        <v>0.83878856979053651</v>
      </c>
      <c r="AD865" s="682">
        <v>10841389000151</v>
      </c>
      <c r="AE865" s="944" t="s">
        <v>1756</v>
      </c>
      <c r="AF865" s="661" t="s">
        <v>1729</v>
      </c>
      <c r="AG865" s="662" t="s">
        <v>1433</v>
      </c>
      <c r="AH865" s="662" t="s">
        <v>1734</v>
      </c>
      <c r="AI865" s="662">
        <v>50000</v>
      </c>
      <c r="AJ865" s="662">
        <v>10000</v>
      </c>
      <c r="AK865" s="662">
        <v>50000</v>
      </c>
      <c r="AL865" s="658">
        <v>0.02</v>
      </c>
      <c r="AM865" s="658">
        <v>0.2</v>
      </c>
      <c r="AN865" s="659" t="s">
        <v>64</v>
      </c>
      <c r="AO865" s="253" t="s">
        <v>34</v>
      </c>
      <c r="AP865" s="944" t="s">
        <v>1746</v>
      </c>
      <c r="AQ865" s="663" t="s">
        <v>668</v>
      </c>
      <c r="AR865" s="658">
        <v>2.7000000000000001E-3</v>
      </c>
      <c r="AS865" s="658">
        <v>2.7000000000000001E-3</v>
      </c>
      <c r="AT865" s="658" t="s">
        <v>1417</v>
      </c>
      <c r="AU865" s="658" t="s">
        <v>2751</v>
      </c>
      <c r="AX865"/>
      <c r="AY865"/>
      <c r="BA865"/>
      <c r="BB865"/>
      <c r="BC865"/>
      <c r="BD865"/>
      <c r="BE865"/>
      <c r="BF865"/>
      <c r="BG865"/>
      <c r="BH865"/>
      <c r="BI865"/>
      <c r="BJ865"/>
      <c r="BR865"/>
      <c r="BS865"/>
      <c r="BT865"/>
      <c r="BU865"/>
      <c r="BX865"/>
      <c r="BY865"/>
      <c r="CA865"/>
    </row>
    <row r="866" spans="2:79" ht="18.75">
      <c r="B866" s="252" t="s">
        <v>1014</v>
      </c>
      <c r="C866" s="251">
        <v>11175745000108</v>
      </c>
      <c r="D866" s="252" t="s">
        <v>14</v>
      </c>
      <c r="E866" s="252" t="s">
        <v>607</v>
      </c>
      <c r="F866" s="252" t="s">
        <v>1417</v>
      </c>
      <c r="G866" s="253" t="s">
        <v>1417</v>
      </c>
      <c r="H866" s="253" t="s">
        <v>34</v>
      </c>
      <c r="I866" s="253" t="s">
        <v>34</v>
      </c>
      <c r="J866" s="253" t="s">
        <v>608</v>
      </c>
      <c r="K866" s="253" t="s">
        <v>48</v>
      </c>
      <c r="L866" s="655"/>
      <c r="M866" s="655" t="s">
        <v>34</v>
      </c>
      <c r="N866" s="253" t="s">
        <v>3464</v>
      </c>
      <c r="O866" s="253" t="s">
        <v>1321</v>
      </c>
      <c r="P866" s="656">
        <v>40325</v>
      </c>
      <c r="Q866" s="657">
        <v>8.4830020000000008</v>
      </c>
      <c r="R866" s="657">
        <v>35.379309200803235</v>
      </c>
      <c r="S866" s="253">
        <v>32</v>
      </c>
      <c r="T866" s="658">
        <v>-1.7759054994776813E-2</v>
      </c>
      <c r="U866" s="659">
        <v>-0.88802468090885145</v>
      </c>
      <c r="V866" s="658">
        <v>-9.0488743444675834E-2</v>
      </c>
      <c r="W866" s="659">
        <v>-0.70176826368071366</v>
      </c>
      <c r="X866" s="658">
        <v>-0.23573232416736301</v>
      </c>
      <c r="Y866" s="659">
        <v>-1.2208559568715602</v>
      </c>
      <c r="Z866" s="658">
        <v>-0.13983923533984632</v>
      </c>
      <c r="AA866" s="659">
        <v>-0.63141288514898575</v>
      </c>
      <c r="AB866" s="658">
        <v>0.24668341000852076</v>
      </c>
      <c r="AC866" s="660">
        <v>-0.88953145606299466</v>
      </c>
      <c r="AD866" s="682">
        <v>0</v>
      </c>
      <c r="AE866" s="944" t="s">
        <v>1756</v>
      </c>
      <c r="AF866" s="661" t="s">
        <v>1729</v>
      </c>
      <c r="AG866" s="662" t="s">
        <v>1433</v>
      </c>
      <c r="AH866" s="662" t="s">
        <v>1734</v>
      </c>
      <c r="AI866" s="662">
        <v>100000</v>
      </c>
      <c r="AJ866" s="662">
        <v>50000</v>
      </c>
      <c r="AK866" s="662">
        <v>100000</v>
      </c>
      <c r="AL866" s="658">
        <v>2.75E-2</v>
      </c>
      <c r="AM866" s="658">
        <v>0</v>
      </c>
      <c r="AN866" s="659" t="s">
        <v>34</v>
      </c>
      <c r="AO866" s="253" t="s">
        <v>34</v>
      </c>
      <c r="AP866" s="944" t="s">
        <v>1731</v>
      </c>
      <c r="AQ866" s="663" t="s">
        <v>659</v>
      </c>
      <c r="AR866" s="658">
        <v>5.4999999999999997E-3</v>
      </c>
      <c r="AS866" s="658">
        <v>5.4999999999999997E-3</v>
      </c>
      <c r="AT866" s="658" t="s">
        <v>1417</v>
      </c>
      <c r="AU866" s="658" t="s">
        <v>2751</v>
      </c>
      <c r="AX866"/>
      <c r="AY866"/>
      <c r="BA866"/>
      <c r="BB866"/>
      <c r="BC866"/>
      <c r="BD866"/>
      <c r="BE866"/>
      <c r="BF866"/>
      <c r="BG866"/>
      <c r="BH866"/>
      <c r="BI866"/>
      <c r="BJ866"/>
      <c r="BR866"/>
      <c r="BS866"/>
      <c r="BT866"/>
      <c r="BU866"/>
      <c r="BX866"/>
      <c r="BY866"/>
      <c r="CA866"/>
    </row>
    <row r="867" spans="2:79" ht="18.75">
      <c r="B867" s="252" t="s">
        <v>1015</v>
      </c>
      <c r="C867" s="251">
        <v>8912591000185</v>
      </c>
      <c r="D867" s="252" t="s">
        <v>13</v>
      </c>
      <c r="E867" s="252" t="s">
        <v>615</v>
      </c>
      <c r="F867" s="252" t="s">
        <v>619</v>
      </c>
      <c r="G867" s="253" t="s">
        <v>34</v>
      </c>
      <c r="H867" s="253" t="s">
        <v>1337</v>
      </c>
      <c r="I867" s="253" t="s">
        <v>34</v>
      </c>
      <c r="J867" s="253" t="s">
        <v>611</v>
      </c>
      <c r="K867" s="253" t="s">
        <v>48</v>
      </c>
      <c r="L867" s="655"/>
      <c r="M867" s="655" t="s">
        <v>1414</v>
      </c>
      <c r="N867" s="253" t="s">
        <v>3465</v>
      </c>
      <c r="O867" s="253" t="s">
        <v>1321</v>
      </c>
      <c r="P867" s="656">
        <v>39260</v>
      </c>
      <c r="Q867" s="657">
        <v>98.738532000000006</v>
      </c>
      <c r="R867" s="657">
        <v>128.22668637096774</v>
      </c>
      <c r="S867" s="253">
        <v>16</v>
      </c>
      <c r="T867" s="658">
        <v>1.1815180820953008E-2</v>
      </c>
      <c r="U867" s="659">
        <v>0.59080689718529911</v>
      </c>
      <c r="V867" s="658">
        <v>0.14114174410080649</v>
      </c>
      <c r="W867" s="659">
        <v>1.0945979899814644</v>
      </c>
      <c r="X867" s="658">
        <v>0.17994485243428504</v>
      </c>
      <c r="Y867" s="659">
        <v>0.93193305491189093</v>
      </c>
      <c r="Z867" s="658">
        <v>0.23809279546136008</v>
      </c>
      <c r="AA867" s="659">
        <v>1.075054926824301</v>
      </c>
      <c r="AB867" s="658">
        <v>1.6956719604050211E-2</v>
      </c>
      <c r="AC867" s="660">
        <v>0.71935108551919513</v>
      </c>
      <c r="AD867" s="682">
        <v>10756521000127</v>
      </c>
      <c r="AE867" s="944" t="s">
        <v>1756</v>
      </c>
      <c r="AF867" s="661" t="s">
        <v>1729</v>
      </c>
      <c r="AG867" s="662" t="s">
        <v>1433</v>
      </c>
      <c r="AH867" s="662" t="s">
        <v>1734</v>
      </c>
      <c r="AI867" s="662">
        <v>100000</v>
      </c>
      <c r="AJ867" s="662">
        <v>50000</v>
      </c>
      <c r="AK867" s="662">
        <v>100000</v>
      </c>
      <c r="AL867" s="658">
        <v>0.02</v>
      </c>
      <c r="AM867" s="658">
        <v>0.2</v>
      </c>
      <c r="AN867" s="659" t="s">
        <v>64</v>
      </c>
      <c r="AO867" s="253" t="s">
        <v>34</v>
      </c>
      <c r="AP867" s="944" t="s">
        <v>1746</v>
      </c>
      <c r="AQ867" s="663" t="s">
        <v>668</v>
      </c>
      <c r="AR867" s="658">
        <v>2.46666666666667E-3</v>
      </c>
      <c r="AS867" s="658">
        <v>2.46666666666667E-3</v>
      </c>
      <c r="AT867" s="658" t="s">
        <v>1417</v>
      </c>
      <c r="AU867" s="658" t="s">
        <v>2751</v>
      </c>
      <c r="AX867"/>
      <c r="AY867"/>
      <c r="BA867"/>
      <c r="BB867"/>
      <c r="BC867"/>
      <c r="BD867"/>
      <c r="BE867"/>
      <c r="BF867"/>
      <c r="BG867"/>
      <c r="BH867"/>
      <c r="BI867"/>
      <c r="BJ867"/>
      <c r="BR867"/>
      <c r="BS867"/>
      <c r="BT867"/>
      <c r="BU867"/>
      <c r="BX867"/>
      <c r="BY867"/>
      <c r="CA867"/>
    </row>
    <row r="868" spans="2:79" ht="18.75">
      <c r="B868" s="252" t="s">
        <v>248</v>
      </c>
      <c r="C868" s="251">
        <v>30005655000113</v>
      </c>
      <c r="D868" s="252" t="s">
        <v>13</v>
      </c>
      <c r="E868" s="252" t="s">
        <v>615</v>
      </c>
      <c r="F868" s="252" t="s">
        <v>619</v>
      </c>
      <c r="G868" s="253" t="s">
        <v>34</v>
      </c>
      <c r="H868" s="253" t="s">
        <v>1337</v>
      </c>
      <c r="I868" s="253" t="s">
        <v>34</v>
      </c>
      <c r="J868" s="253" t="s">
        <v>611</v>
      </c>
      <c r="K868" s="253" t="s">
        <v>48</v>
      </c>
      <c r="L868" s="655"/>
      <c r="M868" s="655" t="s">
        <v>1414</v>
      </c>
      <c r="N868" s="253" t="s">
        <v>3466</v>
      </c>
      <c r="O868" s="253" t="s">
        <v>1321</v>
      </c>
      <c r="P868" s="656">
        <v>43320</v>
      </c>
      <c r="Q868" s="657">
        <v>38.449237699999998</v>
      </c>
      <c r="R868" s="657">
        <v>42.131193232168677</v>
      </c>
      <c r="S868" s="253">
        <v>16</v>
      </c>
      <c r="T868" s="658">
        <v>1.1803254853803624E-2</v>
      </c>
      <c r="U868" s="659">
        <v>0.59021055052296389</v>
      </c>
      <c r="V868" s="658">
        <v>0.14044511661429748</v>
      </c>
      <c r="W868" s="659">
        <v>1.089195427817049</v>
      </c>
      <c r="X868" s="658">
        <v>0.17932615839064114</v>
      </c>
      <c r="Y868" s="659">
        <v>0.92872884305281922</v>
      </c>
      <c r="Z868" s="658">
        <v>0.23679230465954593</v>
      </c>
      <c r="AA868" s="659">
        <v>1.0691828505984293</v>
      </c>
      <c r="AB868" s="658">
        <v>1.644412091527666E-2</v>
      </c>
      <c r="AC868" s="660">
        <v>0.69941149343072873</v>
      </c>
      <c r="AD868" s="682">
        <v>10756521000127</v>
      </c>
      <c r="AE868" s="944" t="s">
        <v>1756</v>
      </c>
      <c r="AF868" s="661" t="s">
        <v>1729</v>
      </c>
      <c r="AG868" s="662" t="s">
        <v>1433</v>
      </c>
      <c r="AH868" s="662" t="s">
        <v>1734</v>
      </c>
      <c r="AI868" s="662">
        <v>20000</v>
      </c>
      <c r="AJ868" s="662">
        <v>1000</v>
      </c>
      <c r="AK868" s="662">
        <v>5000</v>
      </c>
      <c r="AL868" s="658">
        <v>1.8500000000000003E-2</v>
      </c>
      <c r="AM868" s="658">
        <v>0.2</v>
      </c>
      <c r="AN868" s="659" t="s">
        <v>64</v>
      </c>
      <c r="AO868" s="253" t="s">
        <v>34</v>
      </c>
      <c r="AP868" s="944" t="s">
        <v>1746</v>
      </c>
      <c r="AQ868" s="663" t="s">
        <v>668</v>
      </c>
      <c r="AR868" s="658">
        <v>2.46666666666667E-3</v>
      </c>
      <c r="AS868" s="658">
        <v>2.46666666666667E-3</v>
      </c>
      <c r="AT868" s="658" t="s">
        <v>1417</v>
      </c>
      <c r="AU868" s="658" t="s">
        <v>2751</v>
      </c>
      <c r="AX868"/>
      <c r="AY868"/>
      <c r="BA868"/>
      <c r="BB868"/>
      <c r="BC868"/>
      <c r="BD868"/>
      <c r="BE868"/>
      <c r="BF868"/>
      <c r="BG868"/>
      <c r="BH868"/>
      <c r="BI868"/>
      <c r="BJ868"/>
      <c r="BR868"/>
      <c r="BS868"/>
      <c r="BT868"/>
      <c r="BU868"/>
      <c r="BX868"/>
      <c r="BY868"/>
      <c r="CA868"/>
    </row>
    <row r="869" spans="2:79" ht="18.75">
      <c r="B869" s="252" t="s">
        <v>558</v>
      </c>
      <c r="C869" s="251">
        <v>41956196000170</v>
      </c>
      <c r="D869" s="252" t="s">
        <v>14</v>
      </c>
      <c r="E869" s="252" t="s">
        <v>607</v>
      </c>
      <c r="F869" s="252" t="s">
        <v>1417</v>
      </c>
      <c r="G869" s="253" t="s">
        <v>1417</v>
      </c>
      <c r="H869" s="253" t="s">
        <v>34</v>
      </c>
      <c r="I869" s="253" t="s">
        <v>34</v>
      </c>
      <c r="J869" s="253" t="s">
        <v>608</v>
      </c>
      <c r="K869" s="253" t="s">
        <v>48</v>
      </c>
      <c r="L869" s="655"/>
      <c r="M869" s="655" t="s">
        <v>1414</v>
      </c>
      <c r="N869" s="253" t="s">
        <v>3471</v>
      </c>
      <c r="O869" s="253" t="s">
        <v>1321</v>
      </c>
      <c r="P869" s="656">
        <v>44325</v>
      </c>
      <c r="Q869" s="657">
        <v>71.540000000000006</v>
      </c>
      <c r="R869" s="657">
        <v>105.48924444444447</v>
      </c>
      <c r="S869" s="253">
        <v>4</v>
      </c>
      <c r="T869" s="658">
        <v>-7.1428571428571508E-2</v>
      </c>
      <c r="U869" s="659">
        <v>-3.5717178852865801</v>
      </c>
      <c r="V869" s="658">
        <v>-0.39710144927536228</v>
      </c>
      <c r="W869" s="659">
        <v>-3.0796448702312325</v>
      </c>
      <c r="X869" s="658"/>
      <c r="Y869" s="659"/>
      <c r="Z869" s="658"/>
      <c r="AA869" s="659"/>
      <c r="AB869" s="658">
        <v>0.42461133094363718</v>
      </c>
      <c r="AC869" s="660">
        <v>-1.2388867662883396</v>
      </c>
      <c r="AD869" s="682">
        <v>42196278000126</v>
      </c>
      <c r="AE869" s="944" t="s">
        <v>2063</v>
      </c>
      <c r="AF869" s="661" t="s">
        <v>2028</v>
      </c>
      <c r="AG869" s="662" t="s">
        <v>928</v>
      </c>
      <c r="AH869" s="662" t="s">
        <v>1734</v>
      </c>
      <c r="AI869" s="662">
        <v>0</v>
      </c>
      <c r="AJ869" s="662">
        <v>0</v>
      </c>
      <c r="AK869" s="662">
        <v>0</v>
      </c>
      <c r="AL869" s="658">
        <v>0</v>
      </c>
      <c r="AM869" s="658">
        <v>0</v>
      </c>
      <c r="AN869" s="659" t="s">
        <v>666</v>
      </c>
      <c r="AO869" s="253" t="s">
        <v>34</v>
      </c>
      <c r="AP869" s="944" t="s">
        <v>1731</v>
      </c>
      <c r="AQ869" s="663" t="s">
        <v>659</v>
      </c>
      <c r="AR869" s="658">
        <v>3.15E-3</v>
      </c>
      <c r="AS869" s="658">
        <v>3.15E-3</v>
      </c>
      <c r="AT869" s="658" t="s">
        <v>1417</v>
      </c>
      <c r="AU869" s="658" t="s">
        <v>2751</v>
      </c>
      <c r="AX869"/>
      <c r="AY869"/>
      <c r="BA869"/>
      <c r="BB869"/>
      <c r="BC869"/>
      <c r="BD869"/>
      <c r="BE869"/>
      <c r="BF869"/>
      <c r="BG869"/>
      <c r="BH869"/>
      <c r="BI869"/>
      <c r="BJ869"/>
      <c r="BR869"/>
      <c r="BS869"/>
      <c r="BT869"/>
      <c r="BU869"/>
      <c r="BX869"/>
      <c r="BY869"/>
      <c r="CA869"/>
    </row>
    <row r="870" spans="2:79" ht="18.75">
      <c r="B870" s="252" t="s">
        <v>1018</v>
      </c>
      <c r="C870" s="251">
        <v>31120420000135</v>
      </c>
      <c r="D870" s="252" t="s">
        <v>11</v>
      </c>
      <c r="E870" s="252" t="s">
        <v>620</v>
      </c>
      <c r="F870" s="252" t="s">
        <v>692</v>
      </c>
      <c r="G870" s="253" t="s">
        <v>738</v>
      </c>
      <c r="H870" s="253" t="s">
        <v>34</v>
      </c>
      <c r="I870" s="253" t="s">
        <v>1417</v>
      </c>
      <c r="J870" s="253" t="s">
        <v>608</v>
      </c>
      <c r="K870" s="253" t="s">
        <v>48</v>
      </c>
      <c r="L870" s="655"/>
      <c r="M870" s="655" t="s">
        <v>34</v>
      </c>
      <c r="N870" s="253" t="s">
        <v>3472</v>
      </c>
      <c r="O870" s="253" t="s">
        <v>1321</v>
      </c>
      <c r="P870" s="656">
        <v>43433</v>
      </c>
      <c r="Q870" s="657">
        <v>0</v>
      </c>
      <c r="R870" s="657">
        <v>0</v>
      </c>
      <c r="S870" s="253">
        <v>30</v>
      </c>
      <c r="T870" s="658"/>
      <c r="U870" s="659"/>
      <c r="V870" s="658"/>
      <c r="W870" s="659"/>
      <c r="X870" s="658"/>
      <c r="Y870" s="659"/>
      <c r="Z870" s="658"/>
      <c r="AA870" s="659"/>
      <c r="AB870" s="658"/>
      <c r="AC870" s="660"/>
      <c r="AD870" s="682">
        <v>0</v>
      </c>
      <c r="AE870" s="944" t="s">
        <v>2615</v>
      </c>
      <c r="AF870" s="661" t="s">
        <v>1745</v>
      </c>
      <c r="AG870" s="662" t="s">
        <v>1432</v>
      </c>
      <c r="AH870" s="662" t="s">
        <v>1734</v>
      </c>
      <c r="AI870" s="662">
        <v>500</v>
      </c>
      <c r="AJ870" s="662">
        <v>100</v>
      </c>
      <c r="AK870" s="662">
        <v>100</v>
      </c>
      <c r="AL870" s="658">
        <v>0.01</v>
      </c>
      <c r="AM870" s="658">
        <v>0</v>
      </c>
      <c r="AN870" s="659" t="s">
        <v>34</v>
      </c>
      <c r="AO870" s="253" t="s">
        <v>34</v>
      </c>
      <c r="AP870" s="944" t="s">
        <v>1735</v>
      </c>
      <c r="AQ870" s="663" t="s">
        <v>2200</v>
      </c>
      <c r="AR870" s="658">
        <v>3.0000000000000001E-3</v>
      </c>
      <c r="AS870" s="658">
        <v>3.0000000000000001E-3</v>
      </c>
      <c r="AT870" s="658" t="s">
        <v>1417</v>
      </c>
      <c r="AU870" s="658" t="s">
        <v>2751</v>
      </c>
      <c r="AX870"/>
      <c r="AY870"/>
      <c r="BA870"/>
      <c r="BB870"/>
      <c r="BC870"/>
      <c r="BD870"/>
      <c r="BE870"/>
      <c r="BF870"/>
      <c r="BG870"/>
      <c r="BH870"/>
      <c r="BI870"/>
      <c r="BJ870"/>
      <c r="BR870"/>
      <c r="BS870"/>
      <c r="BT870"/>
      <c r="BU870"/>
      <c r="BX870"/>
      <c r="BY870"/>
      <c r="CA870"/>
    </row>
    <row r="871" spans="2:79" ht="18.75">
      <c r="B871" s="252" t="s">
        <v>471</v>
      </c>
      <c r="C871" s="251">
        <v>41088594000111</v>
      </c>
      <c r="D871" s="252" t="s">
        <v>11</v>
      </c>
      <c r="E871" s="252" t="s">
        <v>621</v>
      </c>
      <c r="F871" s="252" t="s">
        <v>692</v>
      </c>
      <c r="G871" s="253" t="s">
        <v>738</v>
      </c>
      <c r="H871" s="253" t="s">
        <v>34</v>
      </c>
      <c r="I871" s="253" t="s">
        <v>1417</v>
      </c>
      <c r="J871" s="253" t="s">
        <v>608</v>
      </c>
      <c r="K871" s="253" t="s">
        <v>48</v>
      </c>
      <c r="L871" s="655"/>
      <c r="M871" s="655" t="s">
        <v>34</v>
      </c>
      <c r="N871" s="253" t="s">
        <v>3473</v>
      </c>
      <c r="O871" s="253" t="s">
        <v>1321</v>
      </c>
      <c r="P871" s="656">
        <v>44287</v>
      </c>
      <c r="Q871" s="657"/>
      <c r="R871" s="657"/>
      <c r="S871" s="253">
        <v>31</v>
      </c>
      <c r="T871" s="658"/>
      <c r="U871" s="659"/>
      <c r="V871" s="658"/>
      <c r="W871" s="659"/>
      <c r="X871" s="658"/>
      <c r="Y871" s="659"/>
      <c r="Z871" s="658"/>
      <c r="AA871" s="659"/>
      <c r="AB871" s="658"/>
      <c r="AC871" s="660"/>
      <c r="AD871" s="682">
        <v>34706691000165</v>
      </c>
      <c r="AE871" s="944" t="s">
        <v>2615</v>
      </c>
      <c r="AF871" s="661" t="s">
        <v>1745</v>
      </c>
      <c r="AG871" s="662" t="s">
        <v>1432</v>
      </c>
      <c r="AH871" s="662" t="s">
        <v>1734</v>
      </c>
      <c r="AI871" s="662">
        <v>500</v>
      </c>
      <c r="AJ871" s="662">
        <v>100</v>
      </c>
      <c r="AK871" s="662">
        <v>100</v>
      </c>
      <c r="AL871" s="658">
        <v>8.0000000000000002E-3</v>
      </c>
      <c r="AM871" s="658">
        <v>0.2</v>
      </c>
      <c r="AN871" s="659" t="s">
        <v>34</v>
      </c>
      <c r="AO871" s="253" t="s">
        <v>34</v>
      </c>
      <c r="AP871" s="944" t="s">
        <v>1735</v>
      </c>
      <c r="AQ871" s="663" t="s">
        <v>675</v>
      </c>
      <c r="AR871" s="658">
        <v>1.8664E-3</v>
      </c>
      <c r="AS871" s="658">
        <v>1.8664E-3</v>
      </c>
      <c r="AT871" s="658" t="s">
        <v>1417</v>
      </c>
      <c r="AU871" s="658" t="s">
        <v>2751</v>
      </c>
      <c r="AX871"/>
      <c r="AY871"/>
      <c r="BA871"/>
      <c r="BB871"/>
      <c r="BC871"/>
      <c r="BD871"/>
      <c r="BE871"/>
      <c r="BF871"/>
      <c r="BG871"/>
      <c r="BH871"/>
      <c r="BI871"/>
      <c r="BJ871"/>
      <c r="BR871"/>
      <c r="BS871"/>
      <c r="BT871"/>
      <c r="BU871"/>
      <c r="BX871"/>
      <c r="BY871"/>
      <c r="CA871"/>
    </row>
    <row r="872" spans="2:79" ht="18.75">
      <c r="B872" s="252" t="s">
        <v>1019</v>
      </c>
      <c r="C872" s="251">
        <v>24454718000116</v>
      </c>
      <c r="D872" s="252" t="s">
        <v>13</v>
      </c>
      <c r="E872" s="252" t="s">
        <v>615</v>
      </c>
      <c r="F872" s="252" t="s">
        <v>619</v>
      </c>
      <c r="G872" s="253" t="s">
        <v>34</v>
      </c>
      <c r="H872" s="253" t="s">
        <v>1338</v>
      </c>
      <c r="I872" s="253" t="s">
        <v>34</v>
      </c>
      <c r="J872" s="253" t="s">
        <v>611</v>
      </c>
      <c r="K872" s="253" t="s">
        <v>49</v>
      </c>
      <c r="L872" s="655"/>
      <c r="M872" s="655" t="s">
        <v>34</v>
      </c>
      <c r="N872" s="253" t="s">
        <v>3474</v>
      </c>
      <c r="O872" s="253" t="s">
        <v>1321</v>
      </c>
      <c r="P872" s="656">
        <v>42509</v>
      </c>
      <c r="Q872" s="657">
        <v>198.226775</v>
      </c>
      <c r="R872" s="657">
        <v>311.31502927309242</v>
      </c>
      <c r="S872" s="253">
        <v>5</v>
      </c>
      <c r="T872" s="658">
        <v>1.5540429432718827E-3</v>
      </c>
      <c r="U872" s="659">
        <v>7.7708441649826057E-2</v>
      </c>
      <c r="V872" s="658">
        <v>-4.5646794876841978E-2</v>
      </c>
      <c r="W872" s="659">
        <v>-0.35400504818476264</v>
      </c>
      <c r="X872" s="658">
        <v>-0.14167662799216929</v>
      </c>
      <c r="Y872" s="659">
        <v>-0.73374220461558182</v>
      </c>
      <c r="Z872" s="658">
        <v>0.1768049175185411</v>
      </c>
      <c r="AA872" s="659">
        <v>0.79832318024053328</v>
      </c>
      <c r="AB872" s="658">
        <v>0.1971799144150965</v>
      </c>
      <c r="AC872" s="660">
        <v>-0.88543858456134572</v>
      </c>
      <c r="AD872" s="682">
        <v>0</v>
      </c>
      <c r="AE872" s="944" t="s">
        <v>1889</v>
      </c>
      <c r="AF872" s="661" t="s">
        <v>1729</v>
      </c>
      <c r="AG872" s="662" t="s">
        <v>1433</v>
      </c>
      <c r="AH872" s="662" t="s">
        <v>1730</v>
      </c>
      <c r="AI872" s="662">
        <v>5000</v>
      </c>
      <c r="AJ872" s="662">
        <v>1000</v>
      </c>
      <c r="AK872" s="662">
        <v>1000</v>
      </c>
      <c r="AL872" s="658">
        <v>1.3999999999999999E-2</v>
      </c>
      <c r="AM872" s="658">
        <v>0</v>
      </c>
      <c r="AN872" s="659" t="s">
        <v>2122</v>
      </c>
      <c r="AO872" s="253" t="s">
        <v>34</v>
      </c>
      <c r="AP872" s="944" t="s">
        <v>1746</v>
      </c>
      <c r="AQ872" s="663" t="s">
        <v>679</v>
      </c>
      <c r="AR872" s="658">
        <v>7.4666666666666701E-3</v>
      </c>
      <c r="AS872" s="658">
        <v>7.4666666666666701E-3</v>
      </c>
      <c r="AT872" s="658" t="s">
        <v>1417</v>
      </c>
      <c r="AU872" s="658" t="s">
        <v>2751</v>
      </c>
      <c r="AX872"/>
      <c r="AY872"/>
      <c r="BA872"/>
      <c r="BB872"/>
      <c r="BC872"/>
      <c r="BD872"/>
      <c r="BE872"/>
      <c r="BF872"/>
      <c r="BG872"/>
      <c r="BH872"/>
      <c r="BI872"/>
      <c r="BJ872"/>
      <c r="BR872"/>
      <c r="BS872"/>
      <c r="BT872"/>
      <c r="BU872"/>
      <c r="BX872"/>
      <c r="BY872"/>
      <c r="CA872"/>
    </row>
    <row r="873" spans="2:79" ht="18.75">
      <c r="B873" s="252" t="s">
        <v>1020</v>
      </c>
      <c r="C873" s="251">
        <v>29587389000103</v>
      </c>
      <c r="D873" s="252" t="s">
        <v>11</v>
      </c>
      <c r="E873" s="252" t="s">
        <v>4235</v>
      </c>
      <c r="F873" s="252" t="s">
        <v>1417</v>
      </c>
      <c r="G873" s="253" t="s">
        <v>1417</v>
      </c>
      <c r="H873" s="253" t="s">
        <v>34</v>
      </c>
      <c r="I873" s="253" t="s">
        <v>34</v>
      </c>
      <c r="J873" s="253" t="s">
        <v>611</v>
      </c>
      <c r="K873" s="253" t="s">
        <v>48</v>
      </c>
      <c r="L873" s="655"/>
      <c r="M873" s="655" t="s">
        <v>34</v>
      </c>
      <c r="N873" s="253" t="s">
        <v>3475</v>
      </c>
      <c r="O873" s="253" t="s">
        <v>1321</v>
      </c>
      <c r="P873" s="656">
        <v>43236</v>
      </c>
      <c r="Q873" s="657">
        <v>11.77177032</v>
      </c>
      <c r="R873" s="657">
        <v>17.386141317741931</v>
      </c>
      <c r="S873" s="253">
        <v>5</v>
      </c>
      <c r="T873" s="658">
        <v>2.0056791266068519E-2</v>
      </c>
      <c r="U873" s="659">
        <v>1.0029208012106712</v>
      </c>
      <c r="V873" s="658">
        <v>4.956172221082511E-2</v>
      </c>
      <c r="W873" s="659">
        <v>0.38436652357960255</v>
      </c>
      <c r="X873" s="658">
        <v>7.3814219021406835E-2</v>
      </c>
      <c r="Y873" s="659">
        <v>0.38228329234189573</v>
      </c>
      <c r="Z873" s="658">
        <v>0.1308608228843664</v>
      </c>
      <c r="AA873" s="659">
        <v>0.59087286575603926</v>
      </c>
      <c r="AB873" s="658">
        <v>4.7898604498148742E-2</v>
      </c>
      <c r="AC873" s="660">
        <v>-1.6572964508607202</v>
      </c>
      <c r="AD873" s="682">
        <v>29574911000104</v>
      </c>
      <c r="AE873" s="944" t="s">
        <v>1889</v>
      </c>
      <c r="AF873" s="661" t="s">
        <v>1729</v>
      </c>
      <c r="AG873" s="662" t="s">
        <v>1433</v>
      </c>
      <c r="AH873" s="662" t="s">
        <v>1730</v>
      </c>
      <c r="AI873" s="662">
        <v>5</v>
      </c>
      <c r="AJ873" s="662">
        <v>1000</v>
      </c>
      <c r="AK873" s="662">
        <v>1000</v>
      </c>
      <c r="AL873" s="658">
        <v>9.0000000000000011E-3</v>
      </c>
      <c r="AM873" s="658">
        <v>0</v>
      </c>
      <c r="AN873" s="659" t="s">
        <v>34</v>
      </c>
      <c r="AO873" s="253" t="s">
        <v>34</v>
      </c>
      <c r="AP873" s="944" t="s">
        <v>1746</v>
      </c>
      <c r="AQ873" s="663" t="s">
        <v>679</v>
      </c>
      <c r="AR873" s="658">
        <v>4.7999999999999996E-3</v>
      </c>
      <c r="AS873" s="658">
        <v>4.7999999999999996E-3</v>
      </c>
      <c r="AT873" s="658" t="s">
        <v>1417</v>
      </c>
      <c r="AU873" s="658" t="s">
        <v>2751</v>
      </c>
      <c r="AX873"/>
      <c r="AY873"/>
      <c r="BA873"/>
      <c r="BB873"/>
      <c r="BC873"/>
      <c r="BD873"/>
      <c r="BE873"/>
      <c r="BF873"/>
      <c r="BG873"/>
      <c r="BH873"/>
      <c r="BI873"/>
      <c r="BJ873"/>
      <c r="BR873"/>
      <c r="BS873"/>
      <c r="BT873"/>
      <c r="BU873"/>
      <c r="BX873"/>
      <c r="BY873"/>
      <c r="CA873"/>
    </row>
    <row r="874" spans="2:79" ht="18.75">
      <c r="B874" s="252" t="s">
        <v>1021</v>
      </c>
      <c r="C874" s="251">
        <v>26112046000196</v>
      </c>
      <c r="D874" s="252" t="s">
        <v>11</v>
      </c>
      <c r="E874" s="252" t="s">
        <v>4235</v>
      </c>
      <c r="F874" s="252" t="s">
        <v>672</v>
      </c>
      <c r="G874" s="253" t="s">
        <v>1417</v>
      </c>
      <c r="H874" s="253" t="s">
        <v>34</v>
      </c>
      <c r="I874" s="253" t="s">
        <v>34</v>
      </c>
      <c r="J874" s="253" t="s">
        <v>611</v>
      </c>
      <c r="K874" s="253" t="s">
        <v>1417</v>
      </c>
      <c r="L874" s="655"/>
      <c r="M874" s="655" t="s">
        <v>34</v>
      </c>
      <c r="N874" s="253" t="s">
        <v>3476</v>
      </c>
      <c r="O874" s="253" t="s">
        <v>1321</v>
      </c>
      <c r="P874" s="656">
        <v>43050</v>
      </c>
      <c r="Q874" s="657">
        <v>50.206204720000002</v>
      </c>
      <c r="R874" s="657">
        <v>86.707593976987965</v>
      </c>
      <c r="S874" s="253">
        <v>5</v>
      </c>
      <c r="T874" s="658">
        <v>3.4787758507377253E-2</v>
      </c>
      <c r="U874" s="659">
        <v>1.7395288294976141</v>
      </c>
      <c r="V874" s="658">
        <v>2.341342925577039E-2</v>
      </c>
      <c r="W874" s="659">
        <v>0.18157840378984691</v>
      </c>
      <c r="X874" s="658">
        <v>0.10316560457428792</v>
      </c>
      <c r="Y874" s="659">
        <v>0.53429390022623391</v>
      </c>
      <c r="Z874" s="658">
        <v>0.16755695886298039</v>
      </c>
      <c r="AA874" s="659">
        <v>0.75656608508583556</v>
      </c>
      <c r="AB874" s="658">
        <v>8.8541315330062736E-2</v>
      </c>
      <c r="AC874" s="660">
        <v>-1.1918783880454376</v>
      </c>
      <c r="AD874" s="682">
        <v>26112022000137</v>
      </c>
      <c r="AE874" s="944" t="s">
        <v>1889</v>
      </c>
      <c r="AF874" s="661" t="s">
        <v>1729</v>
      </c>
      <c r="AG874" s="662" t="s">
        <v>1433</v>
      </c>
      <c r="AH874" s="662" t="s">
        <v>1730</v>
      </c>
      <c r="AI874" s="662">
        <v>5</v>
      </c>
      <c r="AJ874" s="662">
        <v>1000</v>
      </c>
      <c r="AK874" s="662">
        <v>1000</v>
      </c>
      <c r="AL874" s="658">
        <v>1.0500000000000001E-2</v>
      </c>
      <c r="AM874" s="658">
        <v>0</v>
      </c>
      <c r="AN874" s="659" t="s">
        <v>34</v>
      </c>
      <c r="AO874" s="253" t="s">
        <v>34</v>
      </c>
      <c r="AP874" s="944" t="s">
        <v>1746</v>
      </c>
      <c r="AQ874" s="663" t="s">
        <v>679</v>
      </c>
      <c r="AR874" s="658">
        <v>4.7999999999999996E-3</v>
      </c>
      <c r="AS874" s="658">
        <v>4.7999999999999996E-3</v>
      </c>
      <c r="AT874" s="658" t="s">
        <v>1417</v>
      </c>
      <c r="AU874" s="658" t="s">
        <v>2751</v>
      </c>
      <c r="AX874"/>
      <c r="AY874"/>
      <c r="BA874"/>
      <c r="BB874"/>
      <c r="BC874"/>
      <c r="BD874"/>
      <c r="BE874"/>
      <c r="BF874"/>
      <c r="BG874"/>
      <c r="BH874"/>
      <c r="BI874"/>
      <c r="BJ874"/>
      <c r="BR874"/>
      <c r="BS874"/>
      <c r="BT874"/>
      <c r="BU874"/>
      <c r="BX874"/>
      <c r="BY874"/>
      <c r="CA874"/>
    </row>
    <row r="875" spans="2:79" ht="18.75">
      <c r="B875" s="252" t="s">
        <v>1022</v>
      </c>
      <c r="C875" s="251">
        <v>19821469000110</v>
      </c>
      <c r="D875" s="252" t="s">
        <v>13</v>
      </c>
      <c r="E875" s="252" t="s">
        <v>615</v>
      </c>
      <c r="F875" s="252" t="s">
        <v>619</v>
      </c>
      <c r="G875" s="253" t="s">
        <v>34</v>
      </c>
      <c r="H875" s="253" t="s">
        <v>865</v>
      </c>
      <c r="I875" s="253" t="s">
        <v>34</v>
      </c>
      <c r="J875" s="253" t="s">
        <v>611</v>
      </c>
      <c r="K875" s="253" t="s">
        <v>48</v>
      </c>
      <c r="L875" s="655"/>
      <c r="M875" s="655" t="s">
        <v>34</v>
      </c>
      <c r="N875" s="253" t="s">
        <v>3477</v>
      </c>
      <c r="O875" s="253" t="s">
        <v>1321</v>
      </c>
      <c r="P875" s="656">
        <v>42280</v>
      </c>
      <c r="Q875" s="657">
        <v>91.508827999999994</v>
      </c>
      <c r="R875" s="657">
        <v>159.44384546586346</v>
      </c>
      <c r="S875" s="253">
        <v>5</v>
      </c>
      <c r="T875" s="658">
        <v>3.2613678755467612E-2</v>
      </c>
      <c r="U875" s="659">
        <v>1.6308160360225232</v>
      </c>
      <c r="V875" s="658">
        <v>3.6472287377950607E-2</v>
      </c>
      <c r="W875" s="659">
        <v>0.28285389774847591</v>
      </c>
      <c r="X875" s="658">
        <v>5.260597217502605E-2</v>
      </c>
      <c r="Y875" s="659">
        <v>0.27244593936681644</v>
      </c>
      <c r="Z875" s="658">
        <v>0.17370348328917928</v>
      </c>
      <c r="AA875" s="659">
        <v>0.78431934555063365</v>
      </c>
      <c r="AB875" s="658">
        <v>6.8493870799110124E-2</v>
      </c>
      <c r="AC875" s="660">
        <v>-1.3500714880029694</v>
      </c>
      <c r="AD875" s="682">
        <v>26094770000134</v>
      </c>
      <c r="AE875" s="944" t="s">
        <v>1889</v>
      </c>
      <c r="AF875" s="661" t="s">
        <v>1729</v>
      </c>
      <c r="AG875" s="662" t="s">
        <v>1433</v>
      </c>
      <c r="AH875" s="662" t="s">
        <v>1730</v>
      </c>
      <c r="AI875" s="662">
        <v>5</v>
      </c>
      <c r="AJ875" s="662">
        <v>1000</v>
      </c>
      <c r="AK875" s="662">
        <v>1000</v>
      </c>
      <c r="AL875" s="658">
        <v>1.3999999999999999E-2</v>
      </c>
      <c r="AM875" s="658">
        <v>0</v>
      </c>
      <c r="AN875" s="659" t="s">
        <v>34</v>
      </c>
      <c r="AO875" s="253" t="s">
        <v>34</v>
      </c>
      <c r="AP875" s="944" t="s">
        <v>1746</v>
      </c>
      <c r="AQ875" s="663" t="s">
        <v>679</v>
      </c>
      <c r="AR875" s="658">
        <v>6.6666666666666697E-3</v>
      </c>
      <c r="AS875" s="658">
        <v>6.6666666666666697E-3</v>
      </c>
      <c r="AT875" s="658" t="s">
        <v>1417</v>
      </c>
      <c r="AU875" s="658" t="s">
        <v>2751</v>
      </c>
      <c r="AX875"/>
      <c r="AY875"/>
      <c r="BA875"/>
      <c r="BB875"/>
      <c r="BC875"/>
      <c r="BD875"/>
      <c r="BE875"/>
      <c r="BF875"/>
      <c r="BG875"/>
      <c r="BH875"/>
      <c r="BI875"/>
      <c r="BJ875"/>
      <c r="BR875"/>
      <c r="BS875"/>
      <c r="BT875"/>
      <c r="BU875"/>
      <c r="BX875"/>
      <c r="BY875"/>
      <c r="CA875"/>
    </row>
    <row r="876" spans="2:79" ht="18.75">
      <c r="B876" s="252" t="s">
        <v>1023</v>
      </c>
      <c r="C876" s="251">
        <v>17340392000130</v>
      </c>
      <c r="D876" s="252" t="s">
        <v>14</v>
      </c>
      <c r="E876" s="252" t="s">
        <v>607</v>
      </c>
      <c r="F876" s="252" t="s">
        <v>1417</v>
      </c>
      <c r="G876" s="253" t="s">
        <v>1417</v>
      </c>
      <c r="H876" s="253" t="s">
        <v>34</v>
      </c>
      <c r="I876" s="253" t="s">
        <v>34</v>
      </c>
      <c r="J876" s="253" t="s">
        <v>611</v>
      </c>
      <c r="K876" s="253" t="s">
        <v>1417</v>
      </c>
      <c r="L876" s="655"/>
      <c r="M876" s="655" t="s">
        <v>1414</v>
      </c>
      <c r="N876" s="253" t="s">
        <v>3478</v>
      </c>
      <c r="O876" s="253" t="s">
        <v>1321</v>
      </c>
      <c r="P876" s="656">
        <v>41712</v>
      </c>
      <c r="Q876" s="657">
        <v>179.97078099999999</v>
      </c>
      <c r="R876" s="657">
        <v>178.54871288571422</v>
      </c>
      <c r="S876" s="253">
        <v>5</v>
      </c>
      <c r="T876" s="658">
        <v>3.7224371883431973E-2</v>
      </c>
      <c r="U876" s="659">
        <v>1.8613693675445782</v>
      </c>
      <c r="V876" s="658">
        <v>-4.0618885596022225E-2</v>
      </c>
      <c r="W876" s="659">
        <v>-0.31501205268469495</v>
      </c>
      <c r="X876" s="658">
        <v>-2.4456515741632989E-2</v>
      </c>
      <c r="Y876" s="659">
        <v>-0.12666011346962117</v>
      </c>
      <c r="Z876" s="658">
        <v>0.59787628124429792</v>
      </c>
      <c r="AA876" s="659">
        <v>2.6995770306178177</v>
      </c>
      <c r="AB876" s="658">
        <v>0.2549656525023693</v>
      </c>
      <c r="AC876" s="660">
        <v>-0.6650417159277362</v>
      </c>
      <c r="AD876" s="682">
        <v>0</v>
      </c>
      <c r="AE876" s="944" t="s">
        <v>1889</v>
      </c>
      <c r="AF876" s="661" t="s">
        <v>1729</v>
      </c>
      <c r="AG876" s="662" t="s">
        <v>728</v>
      </c>
      <c r="AH876" s="662" t="s">
        <v>1801</v>
      </c>
      <c r="AI876" s="662">
        <v>5</v>
      </c>
      <c r="AJ876" s="662">
        <v>1000</v>
      </c>
      <c r="AK876" s="662">
        <v>1000</v>
      </c>
      <c r="AL876" s="658">
        <v>3.0000000000000001E-3</v>
      </c>
      <c r="AM876" s="658">
        <v>0</v>
      </c>
      <c r="AN876" s="659" t="s">
        <v>2122</v>
      </c>
      <c r="AO876" s="253" t="s">
        <v>34</v>
      </c>
      <c r="AP876" s="944" t="s">
        <v>1731</v>
      </c>
      <c r="AQ876" s="663" t="s">
        <v>687</v>
      </c>
      <c r="AR876" s="658">
        <v>0</v>
      </c>
      <c r="AS876" s="658">
        <v>0</v>
      </c>
      <c r="AT876" s="658" t="s">
        <v>1417</v>
      </c>
      <c r="AU876" s="658" t="s">
        <v>2751</v>
      </c>
      <c r="AX876"/>
      <c r="AY876"/>
      <c r="BA876"/>
      <c r="BB876"/>
      <c r="BC876"/>
      <c r="BD876"/>
      <c r="BE876"/>
      <c r="BF876"/>
      <c r="BG876"/>
      <c r="BH876"/>
      <c r="BI876"/>
      <c r="BJ876"/>
      <c r="BR876"/>
      <c r="BS876"/>
      <c r="BT876"/>
      <c r="BU876"/>
      <c r="BX876"/>
      <c r="BY876"/>
      <c r="CA876"/>
    </row>
    <row r="877" spans="2:79" ht="18.75">
      <c r="B877" s="252" t="s">
        <v>1392</v>
      </c>
      <c r="C877" s="251">
        <v>43778868000120</v>
      </c>
      <c r="D877" s="252" t="s">
        <v>11</v>
      </c>
      <c r="E877" s="252" t="s">
        <v>621</v>
      </c>
      <c r="F877" s="252" t="s">
        <v>672</v>
      </c>
      <c r="G877" s="253" t="s">
        <v>866</v>
      </c>
      <c r="H877" s="253" t="s">
        <v>34</v>
      </c>
      <c r="I877" s="253" t="s">
        <v>1417</v>
      </c>
      <c r="J877" s="253" t="s">
        <v>608</v>
      </c>
      <c r="K877" s="253" t="s">
        <v>48</v>
      </c>
      <c r="L877" s="655"/>
      <c r="M877" s="655" t="s">
        <v>34</v>
      </c>
      <c r="N877" s="253" t="s">
        <v>3480</v>
      </c>
      <c r="O877" s="253" t="s">
        <v>1321</v>
      </c>
      <c r="P877" s="656">
        <v>44543</v>
      </c>
      <c r="Q877" s="657"/>
      <c r="R877" s="657"/>
      <c r="S877" s="253">
        <v>6</v>
      </c>
      <c r="T877" s="658"/>
      <c r="U877" s="659"/>
      <c r="V877" s="658"/>
      <c r="W877" s="659"/>
      <c r="X877" s="658"/>
      <c r="Y877" s="659"/>
      <c r="Z877" s="658"/>
      <c r="AA877" s="659"/>
      <c r="AB877" s="658"/>
      <c r="AC877" s="660"/>
      <c r="AD877" s="682">
        <v>43774619000166</v>
      </c>
      <c r="AE877" s="944" t="s">
        <v>1786</v>
      </c>
      <c r="AF877" s="661" t="s">
        <v>1729</v>
      </c>
      <c r="AG877" s="662" t="s">
        <v>1433</v>
      </c>
      <c r="AH877" s="662" t="s">
        <v>1734</v>
      </c>
      <c r="AI877" s="662">
        <v>20000</v>
      </c>
      <c r="AJ877" s="662">
        <v>5000</v>
      </c>
      <c r="AK877" s="662">
        <v>20000</v>
      </c>
      <c r="AL877" s="658">
        <v>7.4999999999999997E-3</v>
      </c>
      <c r="AM877" s="658">
        <v>0.2</v>
      </c>
      <c r="AN877" s="659" t="s">
        <v>636</v>
      </c>
      <c r="AO877" s="253" t="s">
        <v>34</v>
      </c>
      <c r="AP877" s="944" t="s">
        <v>1735</v>
      </c>
      <c r="AQ877" s="663" t="s">
        <v>683</v>
      </c>
      <c r="AR877" s="658">
        <v>2.0002499999999999E-3</v>
      </c>
      <c r="AS877" s="658">
        <v>2.0002499999999999E-3</v>
      </c>
      <c r="AT877" s="658" t="s">
        <v>1417</v>
      </c>
      <c r="AU877" s="658" t="s">
        <v>2751</v>
      </c>
      <c r="AX877"/>
      <c r="AY877"/>
      <c r="BA877"/>
      <c r="BB877"/>
      <c r="BC877"/>
      <c r="BD877"/>
      <c r="BE877"/>
      <c r="BF877"/>
      <c r="BG877"/>
      <c r="BH877"/>
      <c r="BI877"/>
      <c r="BJ877"/>
      <c r="BR877"/>
      <c r="BS877"/>
      <c r="BT877"/>
      <c r="BU877"/>
      <c r="BX877"/>
      <c r="BY877"/>
      <c r="CA877"/>
    </row>
    <row r="878" spans="2:79" ht="18.75">
      <c r="B878" s="252" t="s">
        <v>251</v>
      </c>
      <c r="C878" s="251">
        <v>12845796000162</v>
      </c>
      <c r="D878" s="252" t="s">
        <v>14</v>
      </c>
      <c r="E878" s="252" t="s">
        <v>607</v>
      </c>
      <c r="F878" s="252" t="s">
        <v>1417</v>
      </c>
      <c r="G878" s="253" t="s">
        <v>1417</v>
      </c>
      <c r="H878" s="253" t="s">
        <v>34</v>
      </c>
      <c r="I878" s="253" t="s">
        <v>34</v>
      </c>
      <c r="J878" s="253" t="s">
        <v>608</v>
      </c>
      <c r="K878" s="253" t="s">
        <v>48</v>
      </c>
      <c r="L878" s="655"/>
      <c r="M878" s="655" t="s">
        <v>34</v>
      </c>
      <c r="N878" s="253" t="s">
        <v>3481</v>
      </c>
      <c r="O878" s="253" t="s">
        <v>1321</v>
      </c>
      <c r="P878" s="656">
        <v>40530</v>
      </c>
      <c r="Q878" s="657">
        <v>70.602007</v>
      </c>
      <c r="R878" s="657">
        <v>69.971170342741928</v>
      </c>
      <c r="S878" s="253">
        <v>7</v>
      </c>
      <c r="T878" s="658">
        <v>-3.075570603153055E-2</v>
      </c>
      <c r="U878" s="659">
        <v>-1.5379098743040744</v>
      </c>
      <c r="V878" s="658">
        <v>-4.8941729862356675E-2</v>
      </c>
      <c r="W878" s="659">
        <v>-0.37955829067330704</v>
      </c>
      <c r="X878" s="658">
        <v>-4.0818852370937408E-3</v>
      </c>
      <c r="Y878" s="659">
        <v>-2.1140053340474054E-2</v>
      </c>
      <c r="Z878" s="658">
        <v>3.7400685581795212E-2</v>
      </c>
      <c r="AA878" s="659">
        <v>0.16887445595908776</v>
      </c>
      <c r="AB878" s="658">
        <v>0.16812471749575664</v>
      </c>
      <c r="AC878" s="660">
        <v>-1.0580576250701195</v>
      </c>
      <c r="AD878" s="682">
        <v>12807182000196</v>
      </c>
      <c r="AE878" s="944" t="s">
        <v>1786</v>
      </c>
      <c r="AF878" s="661" t="s">
        <v>1745</v>
      </c>
      <c r="AG878" s="662" t="s">
        <v>1432</v>
      </c>
      <c r="AH878" s="662" t="s">
        <v>1734</v>
      </c>
      <c r="AI878" s="662">
        <v>500</v>
      </c>
      <c r="AJ878" s="662">
        <v>500</v>
      </c>
      <c r="AK878" s="662">
        <v>500</v>
      </c>
      <c r="AL878" s="658">
        <v>1.3500000000000002E-2</v>
      </c>
      <c r="AM878" s="658">
        <v>0.2</v>
      </c>
      <c r="AN878" s="659" t="s">
        <v>666</v>
      </c>
      <c r="AO878" s="253" t="s">
        <v>34</v>
      </c>
      <c r="AP878" s="944" t="s">
        <v>1731</v>
      </c>
      <c r="AQ878" s="663" t="s">
        <v>659</v>
      </c>
      <c r="AR878" s="658">
        <v>5.3333333333333297E-3</v>
      </c>
      <c r="AS878" s="658">
        <v>5.3333333333333297E-3</v>
      </c>
      <c r="AT878" s="658" t="s">
        <v>1417</v>
      </c>
      <c r="AU878" s="658" t="s">
        <v>2751</v>
      </c>
      <c r="AX878"/>
      <c r="AY878"/>
      <c r="BA878"/>
      <c r="BB878"/>
      <c r="BC878"/>
      <c r="BD878"/>
      <c r="BE878"/>
      <c r="BF878"/>
      <c r="BG878"/>
      <c r="BH878"/>
      <c r="BI878"/>
      <c r="BJ878"/>
      <c r="BR878"/>
      <c r="BS878"/>
      <c r="BT878"/>
      <c r="BU878"/>
      <c r="BX878"/>
      <c r="BY878"/>
      <c r="CA878"/>
    </row>
    <row r="879" spans="2:79" ht="18.75">
      <c r="B879" s="252" t="s">
        <v>1024</v>
      </c>
      <c r="C879" s="251">
        <v>8773805000180</v>
      </c>
      <c r="D879" s="252" t="s">
        <v>13</v>
      </c>
      <c r="E879" s="252" t="s">
        <v>616</v>
      </c>
      <c r="F879" s="252" t="s">
        <v>610</v>
      </c>
      <c r="G879" s="253" t="s">
        <v>34</v>
      </c>
      <c r="H879" s="253" t="s">
        <v>1337</v>
      </c>
      <c r="I879" s="253" t="s">
        <v>34</v>
      </c>
      <c r="J879" s="253" t="s">
        <v>1417</v>
      </c>
      <c r="K879" s="253" t="s">
        <v>48</v>
      </c>
      <c r="L879" s="655"/>
      <c r="M879" s="655" t="s">
        <v>34</v>
      </c>
      <c r="N879" s="253" t="s">
        <v>3482</v>
      </c>
      <c r="O879" s="253" t="s">
        <v>1321</v>
      </c>
      <c r="P879" s="656">
        <v>39190</v>
      </c>
      <c r="Q879" s="657">
        <v>20.437214000000001</v>
      </c>
      <c r="R879" s="657">
        <v>28.833099971887556</v>
      </c>
      <c r="S879" s="253">
        <v>1</v>
      </c>
      <c r="T879" s="658">
        <v>1.2849825680418148E-2</v>
      </c>
      <c r="U879" s="659">
        <v>0.64254333087789939</v>
      </c>
      <c r="V879" s="658">
        <v>6.2531797376895959E-2</v>
      </c>
      <c r="W879" s="659">
        <v>0.48495347818425755</v>
      </c>
      <c r="X879" s="658">
        <v>0.10591019244734201</v>
      </c>
      <c r="Y879" s="659">
        <v>0.54850810044595688</v>
      </c>
      <c r="Z879" s="658">
        <v>0.1442159468500761</v>
      </c>
      <c r="AA879" s="659">
        <v>0.65117495003315717</v>
      </c>
      <c r="AB879" s="658">
        <v>3.1743016706119238E-2</v>
      </c>
      <c r="AC879" s="660">
        <v>-2.092180232419115</v>
      </c>
      <c r="AD879" s="682">
        <v>9412694000149</v>
      </c>
      <c r="AE879" s="944" t="s">
        <v>1786</v>
      </c>
      <c r="AF879" s="661" t="s">
        <v>1729</v>
      </c>
      <c r="AG879" s="662" t="s">
        <v>1433</v>
      </c>
      <c r="AH879" s="662" t="s">
        <v>1734</v>
      </c>
      <c r="AI879" s="662">
        <v>50000</v>
      </c>
      <c r="AJ879" s="662">
        <v>5000</v>
      </c>
      <c r="AK879" s="662">
        <v>25000</v>
      </c>
      <c r="AL879" s="658">
        <v>0.02</v>
      </c>
      <c r="AM879" s="658">
        <v>0.2</v>
      </c>
      <c r="AN879" s="659" t="s">
        <v>64</v>
      </c>
      <c r="AO879" s="253" t="s">
        <v>34</v>
      </c>
      <c r="AP879" s="944" t="s">
        <v>1746</v>
      </c>
      <c r="AQ879" s="663" t="s">
        <v>668</v>
      </c>
      <c r="AR879" s="658">
        <v>5.3333333333333297E-3</v>
      </c>
      <c r="AS879" s="658">
        <v>5.3333333333333297E-3</v>
      </c>
      <c r="AT879" s="658" t="s">
        <v>1417</v>
      </c>
      <c r="AU879" s="658" t="s">
        <v>2751</v>
      </c>
      <c r="AX879"/>
      <c r="AY879"/>
      <c r="BA879"/>
      <c r="BB879"/>
      <c r="BC879"/>
      <c r="BD879"/>
      <c r="BE879"/>
      <c r="BF879"/>
      <c r="BG879"/>
      <c r="BH879"/>
      <c r="BI879"/>
      <c r="BJ879"/>
      <c r="BR879"/>
      <c r="BS879"/>
      <c r="BT879"/>
      <c r="BU879"/>
      <c r="BX879"/>
      <c r="BY879"/>
      <c r="CA879"/>
    </row>
    <row r="880" spans="2:79" ht="18.75">
      <c r="B880" s="252" t="s">
        <v>1025</v>
      </c>
      <c r="C880" s="251">
        <v>14146496000110</v>
      </c>
      <c r="D880" s="252" t="s">
        <v>13</v>
      </c>
      <c r="E880" s="252" t="s">
        <v>616</v>
      </c>
      <c r="F880" s="252" t="s">
        <v>610</v>
      </c>
      <c r="G880" s="253" t="s">
        <v>34</v>
      </c>
      <c r="H880" s="253" t="s">
        <v>865</v>
      </c>
      <c r="I880" s="253" t="s">
        <v>34</v>
      </c>
      <c r="J880" s="253" t="s">
        <v>1417</v>
      </c>
      <c r="K880" s="253" t="s">
        <v>48</v>
      </c>
      <c r="L880" s="655"/>
      <c r="M880" s="655" t="s">
        <v>34</v>
      </c>
      <c r="N880" s="253" t="s">
        <v>3483</v>
      </c>
      <c r="O880" s="253" t="s">
        <v>1321</v>
      </c>
      <c r="P880" s="656">
        <v>40991</v>
      </c>
      <c r="Q880" s="657">
        <v>551.16668800000002</v>
      </c>
      <c r="R880" s="657">
        <v>977.42065753012037</v>
      </c>
      <c r="S880" s="253">
        <v>11</v>
      </c>
      <c r="T880" s="658">
        <v>6.2730711999809952E-3</v>
      </c>
      <c r="U880" s="659">
        <v>0.31367896840907544</v>
      </c>
      <c r="V880" s="658">
        <v>2.7411098719596572E-2</v>
      </c>
      <c r="W880" s="659">
        <v>0.21258157005785827</v>
      </c>
      <c r="X880" s="658">
        <v>5.2650823303708405E-2</v>
      </c>
      <c r="Y880" s="659">
        <v>0.27267822302930389</v>
      </c>
      <c r="Z880" s="658">
        <v>9.1845996299237065E-2</v>
      </c>
      <c r="AA880" s="659">
        <v>0.41471011602535318</v>
      </c>
      <c r="AB880" s="658">
        <v>6.0303667980956828E-2</v>
      </c>
      <c r="AC880" s="660">
        <v>-1.6836921223308443</v>
      </c>
      <c r="AD880" s="682">
        <v>43761843000113</v>
      </c>
      <c r="AE880" s="944" t="s">
        <v>1786</v>
      </c>
      <c r="AF880" s="661" t="s">
        <v>1729</v>
      </c>
      <c r="AG880" s="662" t="s">
        <v>1433</v>
      </c>
      <c r="AH880" s="662" t="s">
        <v>1730</v>
      </c>
      <c r="AI880" s="662">
        <v>100000</v>
      </c>
      <c r="AJ880" s="662">
        <v>50000</v>
      </c>
      <c r="AK880" s="662">
        <v>50000</v>
      </c>
      <c r="AL880" s="658">
        <v>0.02</v>
      </c>
      <c r="AM880" s="658">
        <v>0.2</v>
      </c>
      <c r="AN880" s="659" t="s">
        <v>2127</v>
      </c>
      <c r="AO880" s="253" t="s">
        <v>34</v>
      </c>
      <c r="AP880" s="944" t="s">
        <v>1746</v>
      </c>
      <c r="AQ880" s="663" t="s">
        <v>668</v>
      </c>
      <c r="AR880" s="658">
        <v>5.3333333333333297E-3</v>
      </c>
      <c r="AS880" s="658">
        <v>5.3333333333333297E-3</v>
      </c>
      <c r="AT880" s="658" t="s">
        <v>1417</v>
      </c>
      <c r="AU880" s="658" t="s">
        <v>2751</v>
      </c>
      <c r="AX880"/>
      <c r="AY880"/>
      <c r="BA880"/>
      <c r="BB880"/>
      <c r="BC880"/>
      <c r="BD880"/>
      <c r="BE880"/>
      <c r="BF880"/>
      <c r="BG880"/>
      <c r="BH880"/>
      <c r="BI880"/>
      <c r="BJ880"/>
      <c r="BR880"/>
      <c r="BS880"/>
      <c r="BT880"/>
      <c r="BU880"/>
      <c r="BX880"/>
      <c r="BY880"/>
      <c r="CA880"/>
    </row>
    <row r="881" spans="2:79" ht="18.75">
      <c r="B881" s="252" t="s">
        <v>252</v>
      </c>
      <c r="C881" s="251">
        <v>9441308000147</v>
      </c>
      <c r="D881" s="252" t="s">
        <v>13</v>
      </c>
      <c r="E881" s="252" t="s">
        <v>616</v>
      </c>
      <c r="F881" s="252" t="s">
        <v>610</v>
      </c>
      <c r="G881" s="253" t="s">
        <v>34</v>
      </c>
      <c r="H881" s="253" t="s">
        <v>1337</v>
      </c>
      <c r="I881" s="253" t="s">
        <v>34</v>
      </c>
      <c r="J881" s="253" t="s">
        <v>1417</v>
      </c>
      <c r="K881" s="253" t="s">
        <v>48</v>
      </c>
      <c r="L881" s="655"/>
      <c r="M881" s="655" t="s">
        <v>34</v>
      </c>
      <c r="N881" s="253" t="s">
        <v>3484</v>
      </c>
      <c r="O881" s="253" t="s">
        <v>1321</v>
      </c>
      <c r="P881" s="656">
        <v>39533</v>
      </c>
      <c r="Q881" s="657">
        <v>285.64725700000002</v>
      </c>
      <c r="R881" s="657">
        <v>414.58847865461814</v>
      </c>
      <c r="S881" s="253">
        <v>11</v>
      </c>
      <c r="T881" s="658">
        <v>1.3008211606307274E-2</v>
      </c>
      <c r="U881" s="659">
        <v>0.65046326869776161</v>
      </c>
      <c r="V881" s="658">
        <v>6.3578542784266778E-2</v>
      </c>
      <c r="W881" s="659">
        <v>0.49307131338765492</v>
      </c>
      <c r="X881" s="658">
        <v>0.107009937910443</v>
      </c>
      <c r="Y881" s="659">
        <v>0.55420367403524573</v>
      </c>
      <c r="Z881" s="658">
        <v>0.1446397140937643</v>
      </c>
      <c r="AA881" s="659">
        <v>0.65308837652836449</v>
      </c>
      <c r="AB881" s="658">
        <v>3.1633112330781886E-2</v>
      </c>
      <c r="AC881" s="660">
        <v>-2.0663590094773934</v>
      </c>
      <c r="AD881" s="682">
        <v>9412694000149</v>
      </c>
      <c r="AE881" s="944" t="s">
        <v>1786</v>
      </c>
      <c r="AF881" s="661" t="s">
        <v>1729</v>
      </c>
      <c r="AG881" s="662" t="s">
        <v>1433</v>
      </c>
      <c r="AH881" s="662" t="s">
        <v>1734</v>
      </c>
      <c r="AI881" s="662">
        <v>20000</v>
      </c>
      <c r="AJ881" s="662">
        <v>1000</v>
      </c>
      <c r="AK881" s="662">
        <v>20000</v>
      </c>
      <c r="AL881" s="658">
        <v>0.02</v>
      </c>
      <c r="AM881" s="658">
        <v>0.2</v>
      </c>
      <c r="AN881" s="659" t="s">
        <v>64</v>
      </c>
      <c r="AO881" s="253" t="s">
        <v>34</v>
      </c>
      <c r="AP881" s="944" t="s">
        <v>1746</v>
      </c>
      <c r="AQ881" s="663" t="s">
        <v>668</v>
      </c>
      <c r="AR881" s="658">
        <v>5.3333333333333297E-3</v>
      </c>
      <c r="AS881" s="658">
        <v>5.3333333333333297E-3</v>
      </c>
      <c r="AT881" s="658" t="s">
        <v>1417</v>
      </c>
      <c r="AU881" s="658" t="s">
        <v>2751</v>
      </c>
      <c r="AX881"/>
      <c r="AY881"/>
      <c r="BA881"/>
      <c r="BB881"/>
      <c r="BC881"/>
      <c r="BD881"/>
      <c r="BE881"/>
      <c r="BF881"/>
      <c r="BG881"/>
      <c r="BH881"/>
      <c r="BI881"/>
      <c r="BJ881"/>
      <c r="BR881"/>
      <c r="BS881"/>
      <c r="BT881"/>
      <c r="BU881"/>
      <c r="BX881"/>
      <c r="BY881"/>
      <c r="CA881"/>
    </row>
    <row r="882" spans="2:79" ht="18.75">
      <c r="B882" s="252" t="s">
        <v>567</v>
      </c>
      <c r="C882" s="251">
        <v>33378392000186</v>
      </c>
      <c r="D882" s="252" t="s">
        <v>14</v>
      </c>
      <c r="E882" s="252" t="s">
        <v>614</v>
      </c>
      <c r="F882" s="252" t="s">
        <v>1417</v>
      </c>
      <c r="G882" s="253" t="s">
        <v>1417</v>
      </c>
      <c r="H882" s="253" t="s">
        <v>865</v>
      </c>
      <c r="I882" s="253" t="s">
        <v>34</v>
      </c>
      <c r="J882" s="253" t="s">
        <v>608</v>
      </c>
      <c r="K882" s="253" t="s">
        <v>48</v>
      </c>
      <c r="L882" s="655"/>
      <c r="M882" s="655" t="s">
        <v>34</v>
      </c>
      <c r="N882" s="253" t="s">
        <v>3485</v>
      </c>
      <c r="O882" s="253" t="s">
        <v>1321</v>
      </c>
      <c r="P882" s="656">
        <v>43649</v>
      </c>
      <c r="Q882" s="657">
        <v>23.356107000000002</v>
      </c>
      <c r="R882" s="657">
        <v>35.391072821814518</v>
      </c>
      <c r="S882" s="253">
        <v>12</v>
      </c>
      <c r="T882" s="658">
        <v>-2.5974867631713305E-2</v>
      </c>
      <c r="U882" s="659">
        <v>-1.298848590033985</v>
      </c>
      <c r="V882" s="658">
        <v>-4.3316366941435924E-2</v>
      </c>
      <c r="W882" s="659">
        <v>-0.33593185693901589</v>
      </c>
      <c r="X882" s="658">
        <v>4.6887627595612935E-2</v>
      </c>
      <c r="Y882" s="659">
        <v>0.24283067524095053</v>
      </c>
      <c r="Z882" s="658">
        <v>0.10143291030065882</v>
      </c>
      <c r="AA882" s="659">
        <v>0.45799768846238631</v>
      </c>
      <c r="AB882" s="658">
        <v>0.13391191908538835</v>
      </c>
      <c r="AC882" s="660">
        <v>-1.2863700077241313</v>
      </c>
      <c r="AD882" s="682">
        <v>0</v>
      </c>
      <c r="AE882" s="944" t="s">
        <v>1786</v>
      </c>
      <c r="AF882" s="661" t="s">
        <v>1729</v>
      </c>
      <c r="AG882" s="662" t="s">
        <v>1433</v>
      </c>
      <c r="AH882" s="662" t="s">
        <v>1734</v>
      </c>
      <c r="AI882" s="662">
        <v>20000</v>
      </c>
      <c r="AJ882" s="662">
        <v>5000</v>
      </c>
      <c r="AK882" s="662">
        <v>20000</v>
      </c>
      <c r="AL882" s="658">
        <v>1.7500000000000002E-2</v>
      </c>
      <c r="AM882" s="658">
        <v>0.2</v>
      </c>
      <c r="AN882" s="659" t="s">
        <v>64</v>
      </c>
      <c r="AO882" s="253" t="s">
        <v>34</v>
      </c>
      <c r="AP882" s="944" t="s">
        <v>1746</v>
      </c>
      <c r="AQ882" s="663" t="s">
        <v>668</v>
      </c>
      <c r="AR882" s="658">
        <v>4.6666666666666697E-3</v>
      </c>
      <c r="AS882" s="658">
        <v>4.6666666666666697E-3</v>
      </c>
      <c r="AT882" s="658" t="s">
        <v>1417</v>
      </c>
      <c r="AU882" s="658" t="s">
        <v>2751</v>
      </c>
      <c r="AX882"/>
      <c r="AY882"/>
      <c r="BA882"/>
      <c r="BB882"/>
      <c r="BC882"/>
      <c r="BD882"/>
      <c r="BE882"/>
      <c r="BF882"/>
      <c r="BG882"/>
      <c r="BH882"/>
      <c r="BI882"/>
      <c r="BJ882"/>
      <c r="BR882"/>
      <c r="BS882"/>
      <c r="BT882"/>
      <c r="BU882"/>
      <c r="BX882"/>
      <c r="BY882"/>
      <c r="CA882"/>
    </row>
    <row r="883" spans="2:79" ht="18.75">
      <c r="B883" s="252" t="s">
        <v>1026</v>
      </c>
      <c r="C883" s="251">
        <v>31455960000170</v>
      </c>
      <c r="D883" s="252" t="s">
        <v>13</v>
      </c>
      <c r="E883" s="252" t="s">
        <v>616</v>
      </c>
      <c r="F883" s="252" t="s">
        <v>617</v>
      </c>
      <c r="G883" s="253" t="s">
        <v>34</v>
      </c>
      <c r="H883" s="253" t="s">
        <v>1337</v>
      </c>
      <c r="I883" s="253" t="s">
        <v>34</v>
      </c>
      <c r="J883" s="253" t="s">
        <v>608</v>
      </c>
      <c r="K883" s="253" t="s">
        <v>48</v>
      </c>
      <c r="L883" s="655"/>
      <c r="M883" s="655" t="s">
        <v>34</v>
      </c>
      <c r="N883" s="253" t="s">
        <v>3486</v>
      </c>
      <c r="O883" s="253" t="s">
        <v>1321</v>
      </c>
      <c r="P883" s="656">
        <v>43386</v>
      </c>
      <c r="Q883" s="657">
        <v>264.78856846999997</v>
      </c>
      <c r="R883" s="657">
        <v>220.22426232835352</v>
      </c>
      <c r="S883" s="253">
        <v>12</v>
      </c>
      <c r="T883" s="658">
        <v>1.683512279512045E-2</v>
      </c>
      <c r="U883" s="659">
        <v>0.84182432863658418</v>
      </c>
      <c r="V883" s="658">
        <v>9.9911602317189763E-2</v>
      </c>
      <c r="W883" s="659">
        <v>0.77484545602691357</v>
      </c>
      <c r="X883" s="658">
        <v>0.16014047155277433</v>
      </c>
      <c r="Y883" s="659">
        <v>0.82936631334708233</v>
      </c>
      <c r="Z883" s="658">
        <v>0.19464301418201346</v>
      </c>
      <c r="AA883" s="659">
        <v>0.87886712809949441</v>
      </c>
      <c r="AB883" s="658">
        <v>4.8849087395552229E-2</v>
      </c>
      <c r="AC883" s="660">
        <v>-0.59432649978722052</v>
      </c>
      <c r="AD883" s="682">
        <v>43761784000183</v>
      </c>
      <c r="AE883" s="944" t="s">
        <v>1786</v>
      </c>
      <c r="AF883" s="661" t="s">
        <v>1729</v>
      </c>
      <c r="AG883" s="662" t="s">
        <v>1433</v>
      </c>
      <c r="AH883" s="662" t="s">
        <v>1730</v>
      </c>
      <c r="AI883" s="662">
        <v>100000</v>
      </c>
      <c r="AJ883" s="662">
        <v>500</v>
      </c>
      <c r="AK883" s="662">
        <v>100000</v>
      </c>
      <c r="AL883" s="658">
        <v>0.02</v>
      </c>
      <c r="AM883" s="658">
        <v>0.2</v>
      </c>
      <c r="AN883" s="659" t="s">
        <v>2127</v>
      </c>
      <c r="AO883" s="253" t="s">
        <v>34</v>
      </c>
      <c r="AP883" s="944" t="s">
        <v>1731</v>
      </c>
      <c r="AQ883" s="663" t="s">
        <v>659</v>
      </c>
      <c r="AR883" s="658">
        <v>5.3333333333333297E-3</v>
      </c>
      <c r="AS883" s="658">
        <v>5.3333333333333297E-3</v>
      </c>
      <c r="AT883" s="658" t="s">
        <v>1417</v>
      </c>
      <c r="AU883" s="658" t="s">
        <v>2751</v>
      </c>
      <c r="AX883"/>
      <c r="AY883"/>
      <c r="BA883"/>
      <c r="BB883"/>
      <c r="BC883"/>
      <c r="BD883"/>
      <c r="BE883"/>
      <c r="BF883"/>
      <c r="BG883"/>
      <c r="BH883"/>
      <c r="BI883"/>
      <c r="BJ883"/>
      <c r="BR883"/>
      <c r="BS883"/>
      <c r="BT883"/>
      <c r="BU883"/>
      <c r="BX883"/>
      <c r="BY883"/>
      <c r="CA883"/>
    </row>
    <row r="884" spans="2:79" ht="18.75">
      <c r="B884" s="252" t="s">
        <v>1603</v>
      </c>
      <c r="C884" s="251">
        <v>34979876000143</v>
      </c>
      <c r="D884" s="252" t="s">
        <v>13</v>
      </c>
      <c r="E884" s="252" t="s">
        <v>616</v>
      </c>
      <c r="F884" s="252" t="s">
        <v>617</v>
      </c>
      <c r="G884" s="253" t="s">
        <v>34</v>
      </c>
      <c r="H884" s="253" t="s">
        <v>1337</v>
      </c>
      <c r="I884" s="253" t="s">
        <v>34</v>
      </c>
      <c r="J884" s="253" t="s">
        <v>608</v>
      </c>
      <c r="K884" s="253" t="s">
        <v>48</v>
      </c>
      <c r="L884" s="655"/>
      <c r="M884" s="655" t="s">
        <v>34</v>
      </c>
      <c r="N884" s="253" t="s">
        <v>3487</v>
      </c>
      <c r="O884" s="253" t="s">
        <v>1321</v>
      </c>
      <c r="P884" s="656">
        <v>43968</v>
      </c>
      <c r="Q884" s="657">
        <v>65.412069689999996</v>
      </c>
      <c r="R884" s="657">
        <v>100.63342296927711</v>
      </c>
      <c r="S884" s="253">
        <v>7</v>
      </c>
      <c r="T884" s="658">
        <v>8.7927814578907526E-3</v>
      </c>
      <c r="U884" s="659">
        <v>0.43967468712390406</v>
      </c>
      <c r="V884" s="658">
        <v>9.600825852785877E-2</v>
      </c>
      <c r="W884" s="659">
        <v>0.74457381461261474</v>
      </c>
      <c r="X884" s="658">
        <v>0.188344142639842</v>
      </c>
      <c r="Y884" s="659">
        <v>0.97543291653318853</v>
      </c>
      <c r="Z884" s="658"/>
      <c r="AA884" s="659"/>
      <c r="AB884" s="658">
        <v>4.0197574233733394E-2</v>
      </c>
      <c r="AC884" s="660">
        <v>-0.81934424021264252</v>
      </c>
      <c r="AD884" s="682">
        <v>0</v>
      </c>
      <c r="AE884" s="944" t="s">
        <v>1786</v>
      </c>
      <c r="AF884" s="661" t="s">
        <v>1745</v>
      </c>
      <c r="AG884" s="662" t="s">
        <v>1432</v>
      </c>
      <c r="AH884" s="662" t="s">
        <v>1801</v>
      </c>
      <c r="AI884" s="662">
        <v>0</v>
      </c>
      <c r="AJ884" s="662">
        <v>0</v>
      </c>
      <c r="AK884" s="662">
        <v>0</v>
      </c>
      <c r="AL884" s="658">
        <v>0.01</v>
      </c>
      <c r="AM884" s="658">
        <v>0.2</v>
      </c>
      <c r="AN884" s="659" t="s">
        <v>34</v>
      </c>
      <c r="AO884" s="253" t="s">
        <v>34</v>
      </c>
      <c r="AP884" s="944" t="s">
        <v>1746</v>
      </c>
      <c r="AQ884" s="663" t="s">
        <v>2177</v>
      </c>
      <c r="AR884" s="658">
        <v>0</v>
      </c>
      <c r="AS884" s="658">
        <v>0</v>
      </c>
      <c r="AT884" s="658" t="s">
        <v>1417</v>
      </c>
      <c r="AU884" s="658" t="s">
        <v>2751</v>
      </c>
      <c r="AX884"/>
      <c r="AY884"/>
      <c r="BA884"/>
      <c r="BB884"/>
      <c r="BC884"/>
      <c r="BD884"/>
      <c r="BE884"/>
      <c r="BF884"/>
      <c r="BG884"/>
      <c r="BH884"/>
      <c r="BI884"/>
      <c r="BJ884"/>
      <c r="BR884"/>
      <c r="BS884"/>
      <c r="BT884"/>
      <c r="BU884"/>
      <c r="BX884"/>
      <c r="BY884"/>
      <c r="CA884"/>
    </row>
    <row r="885" spans="2:79" ht="18.75">
      <c r="B885" s="252" t="s">
        <v>2655</v>
      </c>
      <c r="C885" s="251">
        <v>35020129000146</v>
      </c>
      <c r="D885" s="252" t="s">
        <v>13</v>
      </c>
      <c r="E885" s="252" t="s">
        <v>616</v>
      </c>
      <c r="F885" s="252" t="s">
        <v>610</v>
      </c>
      <c r="G885" s="253" t="s">
        <v>34</v>
      </c>
      <c r="H885" s="253" t="s">
        <v>1338</v>
      </c>
      <c r="I885" s="253" t="s">
        <v>34</v>
      </c>
      <c r="J885" s="253" t="s">
        <v>608</v>
      </c>
      <c r="K885" s="253" t="s">
        <v>48</v>
      </c>
      <c r="L885" s="655"/>
      <c r="M885" s="655" t="s">
        <v>34</v>
      </c>
      <c r="N885" s="253" t="s">
        <v>3488</v>
      </c>
      <c r="O885" s="253" t="s">
        <v>1321</v>
      </c>
      <c r="P885" s="656">
        <v>43966</v>
      </c>
      <c r="Q885" s="657"/>
      <c r="R885" s="657"/>
      <c r="S885" s="253">
        <v>7</v>
      </c>
      <c r="T885" s="658"/>
      <c r="U885" s="659"/>
      <c r="V885" s="658"/>
      <c r="W885" s="659"/>
      <c r="X885" s="658"/>
      <c r="Y885" s="659"/>
      <c r="Z885" s="658"/>
      <c r="AA885" s="659"/>
      <c r="AB885" s="658"/>
      <c r="AC885" s="660"/>
      <c r="AD885" s="682">
        <v>34979876000143</v>
      </c>
      <c r="AE885" s="944" t="s">
        <v>1786</v>
      </c>
      <c r="AF885" s="661" t="s">
        <v>1745</v>
      </c>
      <c r="AG885" s="662" t="s">
        <v>1432</v>
      </c>
      <c r="AH885" s="662" t="s">
        <v>2119</v>
      </c>
      <c r="AI885" s="662">
        <v>0</v>
      </c>
      <c r="AJ885" s="662">
        <v>0</v>
      </c>
      <c r="AK885" s="662">
        <v>0</v>
      </c>
      <c r="AL885" s="658">
        <v>8.9999999999999993E-3</v>
      </c>
      <c r="AM885" s="658">
        <v>0</v>
      </c>
      <c r="AN885" s="659" t="s">
        <v>34</v>
      </c>
      <c r="AO885" s="253" t="s">
        <v>4400</v>
      </c>
      <c r="AP885" s="944" t="s">
        <v>1746</v>
      </c>
      <c r="AQ885" s="663" t="s">
        <v>2177</v>
      </c>
      <c r="AR885" s="658">
        <v>0</v>
      </c>
      <c r="AS885" s="658">
        <v>0</v>
      </c>
      <c r="AT885" s="658" t="s">
        <v>1417</v>
      </c>
      <c r="AU885" s="658" t="s">
        <v>2751</v>
      </c>
      <c r="AX885"/>
      <c r="AY885"/>
      <c r="BA885"/>
      <c r="BB885"/>
      <c r="BC885"/>
      <c r="BD885"/>
      <c r="BE885"/>
      <c r="BF885"/>
      <c r="BG885"/>
      <c r="BH885"/>
      <c r="BI885"/>
      <c r="BJ885"/>
      <c r="BR885"/>
      <c r="BS885"/>
      <c r="BT885"/>
      <c r="BU885"/>
      <c r="BX885"/>
      <c r="BY885"/>
      <c r="CA885"/>
    </row>
    <row r="886" spans="2:79" ht="18.75">
      <c r="B886" s="252" t="s">
        <v>253</v>
      </c>
      <c r="C886" s="251">
        <v>31923761000149</v>
      </c>
      <c r="D886" s="252" t="s">
        <v>13</v>
      </c>
      <c r="E886" s="252" t="s">
        <v>616</v>
      </c>
      <c r="F886" s="252" t="s">
        <v>610</v>
      </c>
      <c r="G886" s="253" t="s">
        <v>1417</v>
      </c>
      <c r="H886" s="253" t="s">
        <v>1338</v>
      </c>
      <c r="I886" s="253" t="s">
        <v>34</v>
      </c>
      <c r="J886" s="253" t="s">
        <v>608</v>
      </c>
      <c r="K886" s="253" t="s">
        <v>48</v>
      </c>
      <c r="L886" s="655"/>
      <c r="M886" s="655" t="s">
        <v>34</v>
      </c>
      <c r="N886" s="253" t="s">
        <v>3489</v>
      </c>
      <c r="O886" s="253" t="s">
        <v>1321</v>
      </c>
      <c r="P886" s="656">
        <v>43457</v>
      </c>
      <c r="Q886" s="657">
        <v>29.654786810000001</v>
      </c>
      <c r="R886" s="657">
        <v>37.245996235</v>
      </c>
      <c r="S886" s="253">
        <v>11</v>
      </c>
      <c r="T886" s="658">
        <v>1.352805588354733E-2</v>
      </c>
      <c r="U886" s="659">
        <v>0.6764575881339121</v>
      </c>
      <c r="V886" s="658">
        <v>3.556441344790473E-2</v>
      </c>
      <c r="W886" s="659">
        <v>0.27581305391226096</v>
      </c>
      <c r="X886" s="658">
        <v>0.15482914577958207</v>
      </c>
      <c r="Y886" s="659">
        <v>0.80185899659707438</v>
      </c>
      <c r="Z886" s="658">
        <v>0.16462219211125384</v>
      </c>
      <c r="AA886" s="659">
        <v>0.7433148002268789</v>
      </c>
      <c r="AB886" s="658">
        <v>6.9652644644190562E-2</v>
      </c>
      <c r="AC886" s="660">
        <v>-1.3406453764375768</v>
      </c>
      <c r="AD886" s="682">
        <v>0</v>
      </c>
      <c r="AE886" s="944" t="s">
        <v>1786</v>
      </c>
      <c r="AF886" s="661" t="s">
        <v>1729</v>
      </c>
      <c r="AG886" s="662" t="s">
        <v>1433</v>
      </c>
      <c r="AH886" s="662" t="s">
        <v>1734</v>
      </c>
      <c r="AI886" s="662">
        <v>5000</v>
      </c>
      <c r="AJ886" s="662">
        <v>1000</v>
      </c>
      <c r="AK886" s="662">
        <v>5000</v>
      </c>
      <c r="AL886" s="658">
        <v>0.02</v>
      </c>
      <c r="AM886" s="658">
        <v>0.2</v>
      </c>
      <c r="AN886" s="659" t="s">
        <v>64</v>
      </c>
      <c r="AO886" s="253" t="s">
        <v>34</v>
      </c>
      <c r="AP886" s="944" t="s">
        <v>1746</v>
      </c>
      <c r="AQ886" s="663" t="s">
        <v>668</v>
      </c>
      <c r="AR886" s="658">
        <v>6.6666666666666697E-3</v>
      </c>
      <c r="AS886" s="658">
        <v>6.6666666666666697E-3</v>
      </c>
      <c r="AT886" s="658" t="s">
        <v>1417</v>
      </c>
      <c r="AU886" s="658" t="s">
        <v>2751</v>
      </c>
      <c r="AX886"/>
      <c r="AY886"/>
      <c r="BA886"/>
      <c r="BB886"/>
      <c r="BC886"/>
      <c r="BD886"/>
      <c r="BE886"/>
      <c r="BF886"/>
      <c r="BG886"/>
      <c r="BH886"/>
      <c r="BI886"/>
      <c r="BJ886"/>
      <c r="BR886"/>
      <c r="BS886"/>
      <c r="BT886"/>
      <c r="BU886"/>
      <c r="BX886"/>
      <c r="BY886"/>
      <c r="CA886"/>
    </row>
    <row r="887" spans="2:79" ht="18.75">
      <c r="B887" s="252" t="s">
        <v>1027</v>
      </c>
      <c r="C887" s="251">
        <v>32754593000178</v>
      </c>
      <c r="D887" s="252" t="s">
        <v>13</v>
      </c>
      <c r="E887" s="252" t="s">
        <v>615</v>
      </c>
      <c r="F887" s="252" t="s">
        <v>619</v>
      </c>
      <c r="G887" s="253" t="s">
        <v>34</v>
      </c>
      <c r="H887" s="253" t="s">
        <v>1338</v>
      </c>
      <c r="I887" s="253" t="s">
        <v>34</v>
      </c>
      <c r="J887" s="253" t="s">
        <v>611</v>
      </c>
      <c r="K887" s="253" t="s">
        <v>48</v>
      </c>
      <c r="L887" s="655"/>
      <c r="M887" s="655" t="s">
        <v>34</v>
      </c>
      <c r="N887" s="253" t="s">
        <v>3490</v>
      </c>
      <c r="O887" s="253" t="s">
        <v>1321</v>
      </c>
      <c r="P887" s="656">
        <v>43585</v>
      </c>
      <c r="Q887" s="657">
        <v>0</v>
      </c>
      <c r="R887" s="657">
        <v>0</v>
      </c>
      <c r="S887" s="253">
        <v>31</v>
      </c>
      <c r="T887" s="658"/>
      <c r="U887" s="659"/>
      <c r="V887" s="658"/>
      <c r="W887" s="659"/>
      <c r="X887" s="658"/>
      <c r="Y887" s="659"/>
      <c r="Z887" s="658"/>
      <c r="AA887" s="659"/>
      <c r="AB887" s="658"/>
      <c r="AC887" s="660"/>
      <c r="AD887" s="682">
        <v>32318799000155</v>
      </c>
      <c r="AE887" s="944" t="s">
        <v>1797</v>
      </c>
      <c r="AF887" s="661" t="s">
        <v>1745</v>
      </c>
      <c r="AG887" s="662" t="s">
        <v>1433</v>
      </c>
      <c r="AH887" s="662" t="s">
        <v>1734</v>
      </c>
      <c r="AI887" s="662">
        <v>500</v>
      </c>
      <c r="AJ887" s="662">
        <v>500</v>
      </c>
      <c r="AK887" s="662">
        <v>0</v>
      </c>
      <c r="AL887" s="658">
        <v>0</v>
      </c>
      <c r="AM887" s="658">
        <v>0</v>
      </c>
      <c r="AN887" s="659" t="s">
        <v>64</v>
      </c>
      <c r="AO887" s="253" t="s">
        <v>34</v>
      </c>
      <c r="AP887" s="944" t="s">
        <v>1746</v>
      </c>
      <c r="AQ887" s="663" t="s">
        <v>664</v>
      </c>
      <c r="AR887" s="658">
        <v>3.8E-3</v>
      </c>
      <c r="AS887" s="658">
        <v>3.8E-3</v>
      </c>
      <c r="AT887" s="658" t="s">
        <v>1417</v>
      </c>
      <c r="AU887" s="658" t="s">
        <v>2751</v>
      </c>
      <c r="AX887"/>
      <c r="AY887"/>
      <c r="BA887"/>
      <c r="BB887"/>
      <c r="BC887"/>
      <c r="BD887"/>
      <c r="BE887"/>
      <c r="BF887"/>
      <c r="BG887"/>
      <c r="BH887"/>
      <c r="BI887"/>
      <c r="BJ887"/>
      <c r="BR887"/>
      <c r="BS887"/>
      <c r="BT887"/>
      <c r="BU887"/>
      <c r="BX887"/>
      <c r="BY887"/>
      <c r="CA887"/>
    </row>
    <row r="888" spans="2:79" ht="18.75">
      <c r="B888" s="252" t="s">
        <v>4509</v>
      </c>
      <c r="C888" s="251">
        <v>39768903000152</v>
      </c>
      <c r="D888" s="252" t="s">
        <v>13</v>
      </c>
      <c r="E888" s="252" t="s">
        <v>615</v>
      </c>
      <c r="F888" s="252" t="s">
        <v>619</v>
      </c>
      <c r="G888" s="253" t="s">
        <v>34</v>
      </c>
      <c r="H888" s="253" t="s">
        <v>1338</v>
      </c>
      <c r="I888" s="253" t="s">
        <v>34</v>
      </c>
      <c r="J888" s="253" t="s">
        <v>608</v>
      </c>
      <c r="K888" s="253" t="s">
        <v>48</v>
      </c>
      <c r="L888" s="655"/>
      <c r="M888" s="655" t="s">
        <v>34</v>
      </c>
      <c r="N888" s="253" t="s">
        <v>4510</v>
      </c>
      <c r="O888" s="253" t="s">
        <v>1321</v>
      </c>
      <c r="P888" s="656">
        <v>44236</v>
      </c>
      <c r="Q888" s="657">
        <v>11.71659507</v>
      </c>
      <c r="R888" s="657">
        <v>11.69629537</v>
      </c>
      <c r="S888" s="253">
        <v>3</v>
      </c>
      <c r="T888" s="658">
        <v>8.1808267815053348E-4</v>
      </c>
      <c r="U888" s="659">
        <v>4.0907447464707626E-2</v>
      </c>
      <c r="V888" s="658">
        <v>8.1808267815053348E-4</v>
      </c>
      <c r="W888" s="659">
        <v>6.3444848357737593E-3</v>
      </c>
      <c r="X888" s="658">
        <v>8.1808267815053348E-4</v>
      </c>
      <c r="Y888" s="659">
        <v>4.2368441169927428E-3</v>
      </c>
      <c r="Z888" s="658"/>
      <c r="AA888" s="659"/>
      <c r="AB888" s="658">
        <v>5.6919438146413176E-2</v>
      </c>
      <c r="AC888" s="660">
        <v>-2.2510030130490977</v>
      </c>
      <c r="AD888" s="682">
        <v>39851687000104</v>
      </c>
      <c r="AE888" s="944" t="s">
        <v>4511</v>
      </c>
      <c r="AF888" s="661" t="s">
        <v>1769</v>
      </c>
      <c r="AG888" s="662" t="s">
        <v>719</v>
      </c>
      <c r="AH888" s="662" t="s">
        <v>2119</v>
      </c>
      <c r="AI888" s="662">
        <v>0</v>
      </c>
      <c r="AJ888" s="662">
        <v>0</v>
      </c>
      <c r="AK888" s="662">
        <v>0</v>
      </c>
      <c r="AL888" s="658">
        <v>1.9E-2</v>
      </c>
      <c r="AM888" s="658">
        <v>0</v>
      </c>
      <c r="AN888" s="659" t="s">
        <v>64</v>
      </c>
      <c r="AO888" s="253" t="s">
        <v>4397</v>
      </c>
      <c r="AP888" s="944" t="s">
        <v>1746</v>
      </c>
      <c r="AQ888" s="663" t="s">
        <v>2177</v>
      </c>
      <c r="AR888" s="658">
        <v>0</v>
      </c>
      <c r="AS888" s="658">
        <v>0</v>
      </c>
      <c r="AT888" s="658" t="s">
        <v>1417</v>
      </c>
      <c r="AU888" s="658" t="s">
        <v>2751</v>
      </c>
      <c r="AX888"/>
      <c r="AY888"/>
      <c r="BA888"/>
      <c r="BB888"/>
      <c r="BC888"/>
      <c r="BD888"/>
      <c r="BE888"/>
      <c r="BF888"/>
      <c r="BG888"/>
      <c r="BH888"/>
      <c r="BI888"/>
      <c r="BJ888"/>
      <c r="BR888"/>
      <c r="BS888"/>
      <c r="BT888"/>
      <c r="BU888"/>
      <c r="BX888"/>
      <c r="BY888"/>
      <c r="CA888"/>
    </row>
    <row r="889" spans="2:79" ht="18.75">
      <c r="B889" s="252" t="s">
        <v>255</v>
      </c>
      <c r="C889" s="251">
        <v>36521802000194</v>
      </c>
      <c r="D889" s="252" t="s">
        <v>13</v>
      </c>
      <c r="E889" s="252" t="s">
        <v>616</v>
      </c>
      <c r="F889" s="252" t="s">
        <v>610</v>
      </c>
      <c r="G889" s="253" t="s">
        <v>34</v>
      </c>
      <c r="H889" s="253" t="s">
        <v>1338</v>
      </c>
      <c r="I889" s="253" t="s">
        <v>34</v>
      </c>
      <c r="J889" s="253" t="s">
        <v>1417</v>
      </c>
      <c r="K889" s="253" t="s">
        <v>48</v>
      </c>
      <c r="L889" s="655"/>
      <c r="M889" s="655" t="s">
        <v>34</v>
      </c>
      <c r="N889" s="253" t="s">
        <v>3492</v>
      </c>
      <c r="O889" s="253" t="s">
        <v>1321</v>
      </c>
      <c r="P889" s="656">
        <v>43982</v>
      </c>
      <c r="Q889" s="657">
        <v>13.825549410000001</v>
      </c>
      <c r="R889" s="657">
        <v>8.1722099810612274</v>
      </c>
      <c r="S889" s="253">
        <v>31</v>
      </c>
      <c r="T889" s="658">
        <v>-4.6469716342913969E-3</v>
      </c>
      <c r="U889" s="659">
        <v>-0.23236740378065163</v>
      </c>
      <c r="V889" s="658">
        <v>0.21783203421417752</v>
      </c>
      <c r="W889" s="659">
        <v>1.6893549695270476</v>
      </c>
      <c r="X889" s="658">
        <v>0.18712303861750224</v>
      </c>
      <c r="Y889" s="659">
        <v>0.96910882786652397</v>
      </c>
      <c r="Z889" s="658"/>
      <c r="AA889" s="659"/>
      <c r="AB889" s="658">
        <v>0.10311199548722735</v>
      </c>
      <c r="AC889" s="660">
        <v>0.86205416108351696</v>
      </c>
      <c r="AD889" s="682">
        <v>36521795000120</v>
      </c>
      <c r="AE889" s="944" t="s">
        <v>1829</v>
      </c>
      <c r="AF889" s="661" t="s">
        <v>1769</v>
      </c>
      <c r="AG889" s="662" t="s">
        <v>719</v>
      </c>
      <c r="AH889" s="662" t="s">
        <v>1730</v>
      </c>
      <c r="AI889" s="662">
        <v>50000</v>
      </c>
      <c r="AJ889" s="662">
        <v>10000</v>
      </c>
      <c r="AK889" s="662">
        <v>20000</v>
      </c>
      <c r="AL889" s="658">
        <v>0.02</v>
      </c>
      <c r="AM889" s="658">
        <v>0.2</v>
      </c>
      <c r="AN889" s="659" t="s">
        <v>64</v>
      </c>
      <c r="AO889" s="253" t="s">
        <v>34</v>
      </c>
      <c r="AP889" s="944" t="s">
        <v>1746</v>
      </c>
      <c r="AQ889" s="663" t="s">
        <v>664</v>
      </c>
      <c r="AR889" s="658">
        <v>4.0000000000000001E-3</v>
      </c>
      <c r="AS889" s="658">
        <v>4.0000000000000001E-3</v>
      </c>
      <c r="AT889" s="658" t="s">
        <v>1417</v>
      </c>
      <c r="AU889" s="658" t="s">
        <v>2751</v>
      </c>
      <c r="AX889"/>
      <c r="AY889"/>
      <c r="BA889"/>
      <c r="BB889"/>
      <c r="BC889"/>
      <c r="BD889"/>
      <c r="BE889"/>
      <c r="BF889"/>
      <c r="BG889"/>
      <c r="BH889"/>
      <c r="BI889"/>
      <c r="BJ889"/>
      <c r="BR889"/>
      <c r="BS889"/>
      <c r="BT889"/>
      <c r="BU889"/>
      <c r="BX889"/>
      <c r="BY889"/>
      <c r="CA889"/>
    </row>
    <row r="890" spans="2:79" ht="18.75">
      <c r="B890" s="252" t="s">
        <v>1029</v>
      </c>
      <c r="C890" s="251">
        <v>29726019000100</v>
      </c>
      <c r="D890" s="252" t="s">
        <v>13</v>
      </c>
      <c r="E890" s="252" t="s">
        <v>615</v>
      </c>
      <c r="F890" s="252" t="s">
        <v>619</v>
      </c>
      <c r="G890" s="253" t="s">
        <v>34</v>
      </c>
      <c r="H890" s="253" t="s">
        <v>1337</v>
      </c>
      <c r="I890" s="253" t="s">
        <v>34</v>
      </c>
      <c r="J890" s="253" t="s">
        <v>611</v>
      </c>
      <c r="K890" s="253" t="s">
        <v>48</v>
      </c>
      <c r="L890" s="655"/>
      <c r="M890" s="655" t="s">
        <v>34</v>
      </c>
      <c r="N890" s="253" t="s">
        <v>3496</v>
      </c>
      <c r="O890" s="253" t="s">
        <v>1324</v>
      </c>
      <c r="P890" s="656">
        <v>43230</v>
      </c>
      <c r="Q890" s="657">
        <v>90.785759729999995</v>
      </c>
      <c r="R890" s="657">
        <v>93.747805964715397</v>
      </c>
      <c r="S890" s="253">
        <v>31</v>
      </c>
      <c r="T890" s="658">
        <v>1.5022725604088683E-2</v>
      </c>
      <c r="U890" s="659">
        <v>0.7511971281622658</v>
      </c>
      <c r="V890" s="658">
        <v>0.15283130383805599</v>
      </c>
      <c r="W890" s="659">
        <v>1.185254150380211</v>
      </c>
      <c r="X890" s="658">
        <v>0.28075768283309954</v>
      </c>
      <c r="Y890" s="659">
        <v>1.4540419551494896</v>
      </c>
      <c r="Z890" s="658">
        <v>0.31767228418888416</v>
      </c>
      <c r="AA890" s="659">
        <v>1.4343783631546871</v>
      </c>
      <c r="AB890" s="658">
        <v>3.0875972789491609E-2</v>
      </c>
      <c r="AC890" s="660">
        <v>0.77365641413563879</v>
      </c>
      <c r="AD890" s="682">
        <v>0</v>
      </c>
      <c r="AE890" s="944" t="s">
        <v>1829</v>
      </c>
      <c r="AF890" s="661" t="s">
        <v>1769</v>
      </c>
      <c r="AG890" s="662" t="s">
        <v>719</v>
      </c>
      <c r="AH890" s="662" t="s">
        <v>1734</v>
      </c>
      <c r="AI890" s="662">
        <v>50000</v>
      </c>
      <c r="AJ890" s="662">
        <v>10000</v>
      </c>
      <c r="AK890" s="662">
        <v>20000</v>
      </c>
      <c r="AL890" s="658">
        <v>2.2000000000000002E-2</v>
      </c>
      <c r="AM890" s="658">
        <v>0.2</v>
      </c>
      <c r="AN890" s="659" t="s">
        <v>2122</v>
      </c>
      <c r="AO890" s="253" t="s">
        <v>34</v>
      </c>
      <c r="AP890" s="944" t="s">
        <v>1746</v>
      </c>
      <c r="AQ890" s="663" t="s">
        <v>664</v>
      </c>
      <c r="AR890" s="658">
        <v>4.0000000000000001E-3</v>
      </c>
      <c r="AS890" s="658">
        <v>4.0000000000000001E-3</v>
      </c>
      <c r="AT890" s="658" t="s">
        <v>1417</v>
      </c>
      <c r="AU890" s="658" t="s">
        <v>2751</v>
      </c>
      <c r="AX890"/>
      <c r="AY890"/>
      <c r="BA890"/>
      <c r="BB890"/>
      <c r="BC890"/>
      <c r="BD890"/>
      <c r="BE890"/>
      <c r="BF890"/>
      <c r="BG890"/>
      <c r="BH890"/>
      <c r="BI890"/>
      <c r="BJ890"/>
      <c r="BR890"/>
      <c r="BS890"/>
      <c r="BT890"/>
      <c r="BU890"/>
      <c r="BX890"/>
      <c r="BY890"/>
      <c r="CA890"/>
    </row>
    <row r="891" spans="2:79" ht="18.75">
      <c r="B891" s="252" t="s">
        <v>257</v>
      </c>
      <c r="C891" s="251">
        <v>12105940000124</v>
      </c>
      <c r="D891" s="252" t="s">
        <v>13</v>
      </c>
      <c r="E891" s="252" t="s">
        <v>615</v>
      </c>
      <c r="F891" s="252" t="s">
        <v>619</v>
      </c>
      <c r="G891" s="253" t="s">
        <v>34</v>
      </c>
      <c r="H891" s="253" t="s">
        <v>1337</v>
      </c>
      <c r="I891" s="253" t="s">
        <v>34</v>
      </c>
      <c r="J891" s="253" t="s">
        <v>611</v>
      </c>
      <c r="K891" s="253" t="s">
        <v>48</v>
      </c>
      <c r="L891" s="655"/>
      <c r="M891" s="655" t="s">
        <v>34</v>
      </c>
      <c r="N891" s="253" t="s">
        <v>3497</v>
      </c>
      <c r="O891" s="253" t="s">
        <v>1324</v>
      </c>
      <c r="P891" s="656">
        <v>40437</v>
      </c>
      <c r="Q891" s="657">
        <v>546.93930499999999</v>
      </c>
      <c r="R891" s="657">
        <v>559.01386530364368</v>
      </c>
      <c r="S891" s="253">
        <v>31</v>
      </c>
      <c r="T891" s="658">
        <v>1.5186904674296953E-2</v>
      </c>
      <c r="U891" s="659">
        <v>0.75940674666260222</v>
      </c>
      <c r="V891" s="658">
        <v>0.15434332581037569</v>
      </c>
      <c r="W891" s="659">
        <v>1.1969803496152642</v>
      </c>
      <c r="X891" s="658">
        <v>0.28283714171254171</v>
      </c>
      <c r="Y891" s="659">
        <v>1.4648114572489725</v>
      </c>
      <c r="Z891" s="658">
        <v>0.32016277065163079</v>
      </c>
      <c r="AA891" s="659">
        <v>1.4456235994365196</v>
      </c>
      <c r="AB891" s="658">
        <v>3.1229594862817085E-2</v>
      </c>
      <c r="AC891" s="660">
        <v>0.81331238766176439</v>
      </c>
      <c r="AD891" s="682">
        <v>0</v>
      </c>
      <c r="AE891" s="944" t="s">
        <v>1829</v>
      </c>
      <c r="AF891" s="661" t="s">
        <v>1769</v>
      </c>
      <c r="AG891" s="662" t="s">
        <v>719</v>
      </c>
      <c r="AH891" s="662" t="s">
        <v>1734</v>
      </c>
      <c r="AI891" s="662">
        <v>10000</v>
      </c>
      <c r="AJ891" s="662">
        <v>10000</v>
      </c>
      <c r="AK891" s="662">
        <v>10000</v>
      </c>
      <c r="AL891" s="658">
        <v>2.2000000000000002E-2</v>
      </c>
      <c r="AM891" s="658">
        <v>0.2</v>
      </c>
      <c r="AN891" s="659" t="s">
        <v>64</v>
      </c>
      <c r="AO891" s="253" t="s">
        <v>34</v>
      </c>
      <c r="AP891" s="944" t="s">
        <v>1746</v>
      </c>
      <c r="AQ891" s="663" t="s">
        <v>668</v>
      </c>
      <c r="AR891" s="658">
        <v>4.0000000000000001E-3</v>
      </c>
      <c r="AS891" s="658">
        <v>4.0000000000000001E-3</v>
      </c>
      <c r="AT891" s="658" t="s">
        <v>1417</v>
      </c>
      <c r="AU891" s="658" t="s">
        <v>2751</v>
      </c>
      <c r="AX891"/>
      <c r="AY891"/>
      <c r="BA891"/>
      <c r="BB891"/>
      <c r="BC891"/>
      <c r="BD891"/>
      <c r="BE891"/>
      <c r="BF891"/>
      <c r="BG891"/>
      <c r="BH891"/>
      <c r="BI891"/>
      <c r="BJ891"/>
      <c r="BR891"/>
      <c r="BS891"/>
      <c r="BT891"/>
      <c r="BU891"/>
      <c r="BX891"/>
      <c r="BY891"/>
      <c r="CA891"/>
    </row>
    <row r="892" spans="2:79" ht="18.75">
      <c r="B892" s="252" t="s">
        <v>1030</v>
      </c>
      <c r="C892" s="251">
        <v>28747685000153</v>
      </c>
      <c r="D892" s="252" t="s">
        <v>14</v>
      </c>
      <c r="E892" s="252" t="s">
        <v>607</v>
      </c>
      <c r="F892" s="252" t="s">
        <v>1417</v>
      </c>
      <c r="G892" s="253" t="s">
        <v>1417</v>
      </c>
      <c r="H892" s="253" t="s">
        <v>34</v>
      </c>
      <c r="I892" s="253" t="s">
        <v>34</v>
      </c>
      <c r="J892" s="253" t="s">
        <v>608</v>
      </c>
      <c r="K892" s="253" t="s">
        <v>48</v>
      </c>
      <c r="L892" s="655"/>
      <c r="M892" s="655" t="s">
        <v>34</v>
      </c>
      <c r="N892" s="253" t="s">
        <v>3498</v>
      </c>
      <c r="O892" s="253" t="s">
        <v>1321</v>
      </c>
      <c r="P892" s="656">
        <v>43047</v>
      </c>
      <c r="Q892" s="657">
        <v>144.59814241000001</v>
      </c>
      <c r="R892" s="657">
        <v>210.38458882295541</v>
      </c>
      <c r="S892" s="253">
        <v>32</v>
      </c>
      <c r="T892" s="658">
        <v>-8.0893547796717313E-2</v>
      </c>
      <c r="U892" s="659">
        <v>-4.0450050405774762</v>
      </c>
      <c r="V892" s="658">
        <v>-0.19438966206252262</v>
      </c>
      <c r="W892" s="659">
        <v>-1.5075521046051574</v>
      </c>
      <c r="X892" s="658">
        <v>-0.20168527483891996</v>
      </c>
      <c r="Y892" s="659">
        <v>-1.0445265411524902</v>
      </c>
      <c r="Z892" s="658">
        <v>-0.13962861570305274</v>
      </c>
      <c r="AA892" s="659">
        <v>-0.63046187914402818</v>
      </c>
      <c r="AB892" s="658">
        <v>0.23507682871043956</v>
      </c>
      <c r="AC892" s="660">
        <v>-1.3754378654970856</v>
      </c>
      <c r="AD892" s="682">
        <v>28747676000162</v>
      </c>
      <c r="AE892" s="944" t="s">
        <v>1829</v>
      </c>
      <c r="AF892" s="661" t="s">
        <v>1769</v>
      </c>
      <c r="AG892" s="662" t="s">
        <v>719</v>
      </c>
      <c r="AH892" s="662" t="s">
        <v>1730</v>
      </c>
      <c r="AI892" s="662">
        <v>50000</v>
      </c>
      <c r="AJ892" s="662">
        <v>10000</v>
      </c>
      <c r="AK892" s="662">
        <v>20000</v>
      </c>
      <c r="AL892" s="658">
        <v>0.02</v>
      </c>
      <c r="AM892" s="658">
        <v>0.2</v>
      </c>
      <c r="AN892" s="659" t="s">
        <v>666</v>
      </c>
      <c r="AO892" s="253" t="s">
        <v>34</v>
      </c>
      <c r="AP892" s="944" t="s">
        <v>1731</v>
      </c>
      <c r="AQ892" s="663" t="s">
        <v>659</v>
      </c>
      <c r="AR892" s="658">
        <v>4.0000000000000001E-3</v>
      </c>
      <c r="AS892" s="658">
        <v>4.0000000000000001E-3</v>
      </c>
      <c r="AT892" s="658" t="s">
        <v>1417</v>
      </c>
      <c r="AU892" s="658" t="s">
        <v>2751</v>
      </c>
      <c r="AX892"/>
      <c r="AY892"/>
      <c r="BA892"/>
      <c r="BB892"/>
      <c r="BC892"/>
      <c r="BD892"/>
      <c r="BE892"/>
      <c r="BF892"/>
      <c r="BG892"/>
      <c r="BH892"/>
      <c r="BI892"/>
      <c r="BJ892"/>
      <c r="BR892"/>
      <c r="BS892"/>
      <c r="BT892"/>
      <c r="BU892"/>
      <c r="BX892"/>
      <c r="BY892"/>
      <c r="CA892"/>
    </row>
    <row r="893" spans="2:79" ht="18.75">
      <c r="B893" s="252" t="s">
        <v>1031</v>
      </c>
      <c r="C893" s="251">
        <v>35088117000153</v>
      </c>
      <c r="D893" s="252" t="s">
        <v>13</v>
      </c>
      <c r="E893" s="252" t="s">
        <v>615</v>
      </c>
      <c r="F893" s="252" t="s">
        <v>619</v>
      </c>
      <c r="G893" s="253" t="s">
        <v>34</v>
      </c>
      <c r="H893" s="253" t="s">
        <v>865</v>
      </c>
      <c r="I893" s="253" t="s">
        <v>34</v>
      </c>
      <c r="J893" s="253" t="s">
        <v>611</v>
      </c>
      <c r="K893" s="253" t="s">
        <v>48</v>
      </c>
      <c r="L893" s="655"/>
      <c r="M893" s="655" t="s">
        <v>1414</v>
      </c>
      <c r="N893" s="253" t="s">
        <v>3500</v>
      </c>
      <c r="O893" s="253" t="s">
        <v>1324</v>
      </c>
      <c r="P893" s="656">
        <v>43822</v>
      </c>
      <c r="Q893" s="657">
        <v>0</v>
      </c>
      <c r="R893" s="657">
        <v>0</v>
      </c>
      <c r="S893" s="253">
        <v>61</v>
      </c>
      <c r="T893" s="658"/>
      <c r="U893" s="659"/>
      <c r="V893" s="658"/>
      <c r="W893" s="659"/>
      <c r="X893" s="658"/>
      <c r="Y893" s="659"/>
      <c r="Z893" s="658"/>
      <c r="AA893" s="659"/>
      <c r="AB893" s="658"/>
      <c r="AC893" s="660"/>
      <c r="AD893" s="682">
        <v>35002571000140</v>
      </c>
      <c r="AE893" s="944" t="s">
        <v>1797</v>
      </c>
      <c r="AF893" s="661" t="s">
        <v>1745</v>
      </c>
      <c r="AG893" s="662" t="s">
        <v>1432</v>
      </c>
      <c r="AH893" s="662" t="s">
        <v>1730</v>
      </c>
      <c r="AI893" s="662">
        <v>10000</v>
      </c>
      <c r="AJ893" s="662">
        <v>10000</v>
      </c>
      <c r="AK893" s="662">
        <v>10000</v>
      </c>
      <c r="AL893" s="658">
        <v>0</v>
      </c>
      <c r="AM893" s="658">
        <v>0</v>
      </c>
      <c r="AN893" s="659" t="s">
        <v>34</v>
      </c>
      <c r="AO893" s="253" t="s">
        <v>34</v>
      </c>
      <c r="AP893" s="944" t="s">
        <v>1746</v>
      </c>
      <c r="AQ893" s="663" t="s">
        <v>664</v>
      </c>
      <c r="AR893" s="658">
        <v>0</v>
      </c>
      <c r="AS893" s="658">
        <v>0</v>
      </c>
      <c r="AT893" s="658" t="s">
        <v>1417</v>
      </c>
      <c r="AU893" s="658" t="s">
        <v>2751</v>
      </c>
      <c r="AX893"/>
      <c r="AY893"/>
      <c r="BA893"/>
      <c r="BB893"/>
      <c r="BC893"/>
      <c r="BD893"/>
      <c r="BE893"/>
      <c r="BF893"/>
      <c r="BG893"/>
      <c r="BH893"/>
      <c r="BI893"/>
      <c r="BJ893"/>
      <c r="BR893"/>
      <c r="BS893"/>
      <c r="BT893"/>
      <c r="BU893"/>
      <c r="BX893"/>
      <c r="BY893"/>
      <c r="CA893"/>
    </row>
    <row r="894" spans="2:79" ht="18.75">
      <c r="B894" s="252" t="s">
        <v>1296</v>
      </c>
      <c r="C894" s="251">
        <v>42831231000197</v>
      </c>
      <c r="D894" s="252" t="s">
        <v>13</v>
      </c>
      <c r="E894" s="252" t="s">
        <v>615</v>
      </c>
      <c r="F894" s="252" t="s">
        <v>619</v>
      </c>
      <c r="G894" s="253" t="s">
        <v>34</v>
      </c>
      <c r="H894" s="253" t="s">
        <v>1338</v>
      </c>
      <c r="I894" s="253" t="s">
        <v>34</v>
      </c>
      <c r="J894" s="253" t="s">
        <v>608</v>
      </c>
      <c r="K894" s="253" t="s">
        <v>48</v>
      </c>
      <c r="L894" s="655"/>
      <c r="M894" s="655" t="s">
        <v>1414</v>
      </c>
      <c r="N894" s="253" t="s">
        <v>3501</v>
      </c>
      <c r="O894" s="253" t="s">
        <v>1321</v>
      </c>
      <c r="P894" s="656">
        <v>44676</v>
      </c>
      <c r="Q894" s="657"/>
      <c r="R894" s="657"/>
      <c r="S894" s="253">
        <v>62</v>
      </c>
      <c r="T894" s="658"/>
      <c r="U894" s="659"/>
      <c r="V894" s="658"/>
      <c r="W894" s="659"/>
      <c r="X894" s="658"/>
      <c r="Y894" s="659"/>
      <c r="Z894" s="658"/>
      <c r="AA894" s="659"/>
      <c r="AB894" s="658"/>
      <c r="AC894" s="660"/>
      <c r="AD894" s="682">
        <v>42831201000180</v>
      </c>
      <c r="AE894" s="944" t="s">
        <v>1829</v>
      </c>
      <c r="AF894" s="661" t="s">
        <v>1769</v>
      </c>
      <c r="AG894" s="662" t="s">
        <v>719</v>
      </c>
      <c r="AH894" s="662" t="s">
        <v>1730</v>
      </c>
      <c r="AI894" s="662">
        <v>50000</v>
      </c>
      <c r="AJ894" s="662">
        <v>50000</v>
      </c>
      <c r="AK894" s="662">
        <v>50000</v>
      </c>
      <c r="AL894" s="658">
        <v>0.02</v>
      </c>
      <c r="AM894" s="658">
        <v>0.2</v>
      </c>
      <c r="AN894" s="659" t="s">
        <v>64</v>
      </c>
      <c r="AO894" s="253" t="s">
        <v>34</v>
      </c>
      <c r="AP894" s="944" t="s">
        <v>1746</v>
      </c>
      <c r="AQ894" s="663" t="s">
        <v>668</v>
      </c>
      <c r="AR894" s="658">
        <v>0</v>
      </c>
      <c r="AS894" s="658">
        <v>0</v>
      </c>
      <c r="AT894" s="658" t="s">
        <v>1417</v>
      </c>
      <c r="AU894" s="658" t="s">
        <v>2751</v>
      </c>
      <c r="AX894"/>
      <c r="AY894"/>
      <c r="BA894"/>
      <c r="BB894"/>
      <c r="BC894"/>
      <c r="BD894"/>
      <c r="BE894"/>
      <c r="BF894"/>
      <c r="BG894"/>
      <c r="BH894"/>
      <c r="BI894"/>
      <c r="BJ894"/>
      <c r="BR894"/>
      <c r="BS894"/>
      <c r="BT894"/>
      <c r="BU894"/>
      <c r="BX894"/>
      <c r="BY894"/>
      <c r="CA894"/>
    </row>
    <row r="895" spans="2:79" ht="18.75">
      <c r="B895" s="252" t="s">
        <v>520</v>
      </c>
      <c r="C895" s="251">
        <v>34687662000101</v>
      </c>
      <c r="D895" s="252" t="s">
        <v>13</v>
      </c>
      <c r="E895" s="252" t="s">
        <v>615</v>
      </c>
      <c r="F895" s="252" t="s">
        <v>619</v>
      </c>
      <c r="G895" s="253" t="s">
        <v>34</v>
      </c>
      <c r="H895" s="253" t="s">
        <v>1337</v>
      </c>
      <c r="I895" s="253" t="s">
        <v>34</v>
      </c>
      <c r="J895" s="253" t="s">
        <v>611</v>
      </c>
      <c r="K895" s="253" t="s">
        <v>48</v>
      </c>
      <c r="L895" s="655"/>
      <c r="M895" s="655" t="s">
        <v>1414</v>
      </c>
      <c r="N895" s="253" t="s">
        <v>3502</v>
      </c>
      <c r="O895" s="253" t="s">
        <v>1321</v>
      </c>
      <c r="P895" s="656">
        <v>43735</v>
      </c>
      <c r="Q895" s="657">
        <v>1149.60922663</v>
      </c>
      <c r="R895" s="657">
        <v>919.97963986911282</v>
      </c>
      <c r="S895" s="253">
        <v>1</v>
      </c>
      <c r="T895" s="658">
        <v>1.8949450773978249E-2</v>
      </c>
      <c r="U895" s="659">
        <v>0.94754929144085931</v>
      </c>
      <c r="V895" s="658">
        <v>0.12852264977411987</v>
      </c>
      <c r="W895" s="659">
        <v>0.99673300061650194</v>
      </c>
      <c r="X895" s="658">
        <v>0.19616926596696116</v>
      </c>
      <c r="Y895" s="659">
        <v>1.0159591721534633</v>
      </c>
      <c r="Z895" s="658">
        <v>0.21965184901354284</v>
      </c>
      <c r="AA895" s="659">
        <v>0.9917889451904871</v>
      </c>
      <c r="AB895" s="658">
        <v>6.9295671154948214E-3</v>
      </c>
      <c r="AC895" s="660">
        <v>-6.0791628921022814E-2</v>
      </c>
      <c r="AD895" s="682">
        <v>34687633000131</v>
      </c>
      <c r="AE895" s="944" t="s">
        <v>1916</v>
      </c>
      <c r="AF895" s="661" t="s">
        <v>1767</v>
      </c>
      <c r="AG895" s="662" t="s">
        <v>59</v>
      </c>
      <c r="AH895" s="662" t="s">
        <v>1734</v>
      </c>
      <c r="AI895" s="662">
        <v>1</v>
      </c>
      <c r="AJ895" s="662">
        <v>1</v>
      </c>
      <c r="AK895" s="662">
        <v>1</v>
      </c>
      <c r="AL895" s="658">
        <v>0</v>
      </c>
      <c r="AM895" s="658">
        <v>0</v>
      </c>
      <c r="AN895" s="659" t="s">
        <v>64</v>
      </c>
      <c r="AO895" s="253" t="s">
        <v>34</v>
      </c>
      <c r="AP895" s="944" t="s">
        <v>1746</v>
      </c>
      <c r="AQ895" s="663" t="s">
        <v>664</v>
      </c>
      <c r="AR895" s="658">
        <v>2.13333333333333E-3</v>
      </c>
      <c r="AS895" s="658">
        <v>2.13333333333333E-3</v>
      </c>
      <c r="AT895" s="658" t="s">
        <v>1417</v>
      </c>
      <c r="AU895" s="658" t="s">
        <v>2751</v>
      </c>
      <c r="AX895"/>
      <c r="AY895"/>
      <c r="BA895"/>
      <c r="BB895"/>
      <c r="BC895"/>
      <c r="BD895"/>
      <c r="BE895"/>
      <c r="BF895"/>
      <c r="BG895"/>
      <c r="BH895"/>
      <c r="BI895"/>
      <c r="BJ895"/>
      <c r="BR895"/>
      <c r="BS895"/>
      <c r="BT895"/>
      <c r="BU895"/>
      <c r="BX895"/>
      <c r="BY895"/>
      <c r="CA895"/>
    </row>
    <row r="896" spans="2:79" ht="18.75">
      <c r="B896" s="252" t="s">
        <v>259</v>
      </c>
      <c r="C896" s="251">
        <v>29762315000158</v>
      </c>
      <c r="D896" s="252" t="s">
        <v>13</v>
      </c>
      <c r="E896" s="252" t="s">
        <v>615</v>
      </c>
      <c r="F896" s="252" t="s">
        <v>619</v>
      </c>
      <c r="G896" s="253" t="s">
        <v>34</v>
      </c>
      <c r="H896" s="253" t="s">
        <v>1337</v>
      </c>
      <c r="I896" s="253" t="s">
        <v>34</v>
      </c>
      <c r="J896" s="253" t="s">
        <v>611</v>
      </c>
      <c r="K896" s="253" t="s">
        <v>48</v>
      </c>
      <c r="L896" s="655"/>
      <c r="M896" s="655" t="s">
        <v>34</v>
      </c>
      <c r="N896" s="253" t="s">
        <v>3503</v>
      </c>
      <c r="O896" s="253" t="s">
        <v>1321</v>
      </c>
      <c r="P896" s="656">
        <v>43192</v>
      </c>
      <c r="Q896" s="657">
        <v>1907.18910185</v>
      </c>
      <c r="R896" s="657">
        <v>1942.1876478975721</v>
      </c>
      <c r="S896" s="253">
        <v>30</v>
      </c>
      <c r="T896" s="658">
        <v>1.9605822700041298E-2</v>
      </c>
      <c r="U896" s="659">
        <v>0.98037054630893072</v>
      </c>
      <c r="V896" s="658">
        <v>0.13352182132357049</v>
      </c>
      <c r="W896" s="659">
        <v>1.0355031260989596</v>
      </c>
      <c r="X896" s="658">
        <v>0.2216081323208372</v>
      </c>
      <c r="Y896" s="659">
        <v>1.1477068721512769</v>
      </c>
      <c r="Z896" s="658">
        <v>0.2838867785858632</v>
      </c>
      <c r="AA896" s="659">
        <v>1.2818274462594623</v>
      </c>
      <c r="AB896" s="658">
        <v>3.6366487285438891E-2</v>
      </c>
      <c r="AC896" s="660">
        <v>0.12588270736324672</v>
      </c>
      <c r="AD896" s="682">
        <v>0</v>
      </c>
      <c r="AE896" s="944" t="s">
        <v>1916</v>
      </c>
      <c r="AF896" s="661" t="s">
        <v>1767</v>
      </c>
      <c r="AG896" s="662" t="s">
        <v>59</v>
      </c>
      <c r="AH896" s="662" t="s">
        <v>1734</v>
      </c>
      <c r="AI896" s="662">
        <v>1</v>
      </c>
      <c r="AJ896" s="662">
        <v>1</v>
      </c>
      <c r="AK896" s="662">
        <v>1</v>
      </c>
      <c r="AL896" s="658">
        <v>0.02</v>
      </c>
      <c r="AM896" s="658">
        <v>0.2</v>
      </c>
      <c r="AN896" s="659" t="s">
        <v>64</v>
      </c>
      <c r="AO896" s="253" t="s">
        <v>34</v>
      </c>
      <c r="AP896" s="944" t="s">
        <v>1746</v>
      </c>
      <c r="AQ896" s="663" t="s">
        <v>664</v>
      </c>
      <c r="AR896" s="658">
        <v>4.6666666666666697E-3</v>
      </c>
      <c r="AS896" s="658">
        <v>4.6666666666666697E-3</v>
      </c>
      <c r="AT896" s="658" t="s">
        <v>1417</v>
      </c>
      <c r="AU896" s="658" t="s">
        <v>2751</v>
      </c>
      <c r="AX896"/>
      <c r="AY896"/>
      <c r="BA896"/>
      <c r="BB896"/>
      <c r="BC896"/>
      <c r="BD896"/>
      <c r="BE896"/>
      <c r="BF896"/>
      <c r="BG896"/>
      <c r="BH896"/>
      <c r="BI896"/>
      <c r="BJ896"/>
      <c r="BR896"/>
      <c r="BS896"/>
      <c r="BT896"/>
      <c r="BU896"/>
      <c r="BX896"/>
      <c r="BY896"/>
      <c r="CA896"/>
    </row>
    <row r="897" spans="2:79" ht="18.75">
      <c r="B897" s="252" t="s">
        <v>1032</v>
      </c>
      <c r="C897" s="251">
        <v>21624757000126</v>
      </c>
      <c r="D897" s="252" t="s">
        <v>13</v>
      </c>
      <c r="E897" s="252" t="s">
        <v>615</v>
      </c>
      <c r="F897" s="252" t="s">
        <v>619</v>
      </c>
      <c r="G897" s="253" t="s">
        <v>34</v>
      </c>
      <c r="H897" s="253" t="s">
        <v>1337</v>
      </c>
      <c r="I897" s="253" t="s">
        <v>34</v>
      </c>
      <c r="J897" s="253" t="s">
        <v>611</v>
      </c>
      <c r="K897" s="253" t="s">
        <v>48</v>
      </c>
      <c r="L897" s="655"/>
      <c r="M897" s="655" t="s">
        <v>34</v>
      </c>
      <c r="N897" s="253" t="s">
        <v>3504</v>
      </c>
      <c r="O897" s="253" t="s">
        <v>1321</v>
      </c>
      <c r="P897" s="656">
        <v>42088</v>
      </c>
      <c r="Q897" s="657">
        <v>3066.485236</v>
      </c>
      <c r="R897" s="657">
        <v>3257.3838440483878</v>
      </c>
      <c r="S897" s="253">
        <v>6</v>
      </c>
      <c r="T897" s="658">
        <v>1.8594724654594996E-2</v>
      </c>
      <c r="U897" s="659">
        <v>0.92981154869114679</v>
      </c>
      <c r="V897" s="658">
        <v>0.12452238794559767</v>
      </c>
      <c r="W897" s="659">
        <v>0.96570972975644631</v>
      </c>
      <c r="X897" s="658">
        <v>0.19694399493974801</v>
      </c>
      <c r="Y897" s="659">
        <v>1.0199714877522197</v>
      </c>
      <c r="Z897" s="658">
        <v>0.23908696118529082</v>
      </c>
      <c r="AA897" s="659">
        <v>1.0795438604668355</v>
      </c>
      <c r="AB897" s="658">
        <v>2.2098502447154784E-2</v>
      </c>
      <c r="AC897" s="660">
        <v>-0.20008240430608734</v>
      </c>
      <c r="AD897" s="682">
        <v>0</v>
      </c>
      <c r="AE897" s="944" t="s">
        <v>1916</v>
      </c>
      <c r="AF897" s="661" t="s">
        <v>1767</v>
      </c>
      <c r="AG897" s="662" t="s">
        <v>59</v>
      </c>
      <c r="AH897" s="662" t="s">
        <v>1734</v>
      </c>
      <c r="AI897" s="662">
        <v>1</v>
      </c>
      <c r="AJ897" s="662">
        <v>1</v>
      </c>
      <c r="AK897" s="662">
        <v>1</v>
      </c>
      <c r="AL897" s="658">
        <v>2.0499999999999997E-2</v>
      </c>
      <c r="AM897" s="658">
        <v>0.2</v>
      </c>
      <c r="AN897" s="659" t="s">
        <v>64</v>
      </c>
      <c r="AO897" s="253" t="s">
        <v>34</v>
      </c>
      <c r="AP897" s="944" t="s">
        <v>1746</v>
      </c>
      <c r="AQ897" s="663" t="s">
        <v>664</v>
      </c>
      <c r="AR897" s="658">
        <v>4.6666666666666697E-3</v>
      </c>
      <c r="AS897" s="658">
        <v>4.6666666666666697E-3</v>
      </c>
      <c r="AT897" s="658" t="s">
        <v>1417</v>
      </c>
      <c r="AU897" s="658" t="s">
        <v>2751</v>
      </c>
      <c r="AX897"/>
      <c r="AY897"/>
      <c r="BA897"/>
      <c r="BB897"/>
      <c r="BC897"/>
      <c r="BD897"/>
      <c r="BE897"/>
      <c r="BF897"/>
      <c r="BG897"/>
      <c r="BH897"/>
      <c r="BI897"/>
      <c r="BJ897"/>
      <c r="BR897"/>
      <c r="BS897"/>
      <c r="BT897"/>
      <c r="BU897"/>
      <c r="BX897"/>
      <c r="BY897"/>
      <c r="CA897"/>
    </row>
    <row r="898" spans="2:79" ht="18.75">
      <c r="B898" s="252" t="s">
        <v>1297</v>
      </c>
      <c r="C898" s="251">
        <v>38145457000167</v>
      </c>
      <c r="D898" s="252" t="s">
        <v>11</v>
      </c>
      <c r="E898" s="252" t="s">
        <v>621</v>
      </c>
      <c r="F898" s="252" t="s">
        <v>663</v>
      </c>
      <c r="G898" s="253" t="s">
        <v>738</v>
      </c>
      <c r="H898" s="253" t="s">
        <v>34</v>
      </c>
      <c r="I898" s="253" t="s">
        <v>1417</v>
      </c>
      <c r="J898" s="253" t="s">
        <v>608</v>
      </c>
      <c r="K898" s="253" t="s">
        <v>48</v>
      </c>
      <c r="L898" s="655"/>
      <c r="M898" s="655" t="s">
        <v>34</v>
      </c>
      <c r="N898" s="253" t="s">
        <v>3506</v>
      </c>
      <c r="O898" s="253" t="s">
        <v>1321</v>
      </c>
      <c r="P898" s="656">
        <v>44110</v>
      </c>
      <c r="Q898" s="657">
        <v>1968.2718116200001</v>
      </c>
      <c r="R898" s="657">
        <v>1772.7684525941459</v>
      </c>
      <c r="S898" s="253">
        <v>1</v>
      </c>
      <c r="T898" s="658">
        <v>3.8419887953614618E-2</v>
      </c>
      <c r="U898" s="659">
        <v>1.9211500133648425</v>
      </c>
      <c r="V898" s="658">
        <v>0.16146753008205494</v>
      </c>
      <c r="W898" s="659">
        <v>1.2522307627774245</v>
      </c>
      <c r="X898" s="658">
        <v>0.23758933783294167</v>
      </c>
      <c r="Y898" s="659">
        <v>1.2304734168597968</v>
      </c>
      <c r="Z898" s="658"/>
      <c r="AA898" s="659"/>
      <c r="AB898" s="658">
        <v>3.3484513604288189E-2</v>
      </c>
      <c r="AC898" s="660">
        <v>0.97130336189507793</v>
      </c>
      <c r="AD898" s="682">
        <v>39586858000115</v>
      </c>
      <c r="AE898" s="944" t="s">
        <v>1916</v>
      </c>
      <c r="AF898" s="661" t="s">
        <v>1767</v>
      </c>
      <c r="AG898" s="662" t="s">
        <v>59</v>
      </c>
      <c r="AH898" s="662" t="s">
        <v>1734</v>
      </c>
      <c r="AI898" s="662">
        <v>1</v>
      </c>
      <c r="AJ898" s="662">
        <v>1</v>
      </c>
      <c r="AK898" s="662">
        <v>1</v>
      </c>
      <c r="AL898" s="658">
        <v>0.01</v>
      </c>
      <c r="AM898" s="658">
        <v>0</v>
      </c>
      <c r="AN898" s="659" t="s">
        <v>2141</v>
      </c>
      <c r="AO898" s="253" t="s">
        <v>34</v>
      </c>
      <c r="AP898" s="944" t="s">
        <v>1735</v>
      </c>
      <c r="AQ898" s="663" t="s">
        <v>675</v>
      </c>
      <c r="AR898" s="658">
        <v>2.2147466666666699E-3</v>
      </c>
      <c r="AS898" s="658">
        <v>2.2147466666666699E-3</v>
      </c>
      <c r="AT898" s="658" t="s">
        <v>1417</v>
      </c>
      <c r="AU898" s="658" t="s">
        <v>2751</v>
      </c>
      <c r="AX898"/>
      <c r="AY898"/>
      <c r="BA898"/>
      <c r="BB898"/>
      <c r="BC898"/>
      <c r="BD898"/>
      <c r="BE898"/>
      <c r="BF898"/>
      <c r="BG898"/>
      <c r="BH898"/>
      <c r="BI898"/>
      <c r="BJ898"/>
      <c r="BR898"/>
      <c r="BS898"/>
      <c r="BT898"/>
      <c r="BU898"/>
      <c r="BX898"/>
      <c r="BY898"/>
      <c r="CA898"/>
    </row>
    <row r="899" spans="2:79" ht="18.75">
      <c r="B899" s="252" t="s">
        <v>260</v>
      </c>
      <c r="C899" s="251">
        <v>32990051000102</v>
      </c>
      <c r="D899" s="252" t="s">
        <v>11</v>
      </c>
      <c r="E899" s="252" t="s">
        <v>620</v>
      </c>
      <c r="F899" s="252" t="s">
        <v>663</v>
      </c>
      <c r="G899" s="253" t="s">
        <v>738</v>
      </c>
      <c r="H899" s="253" t="s">
        <v>34</v>
      </c>
      <c r="I899" s="253" t="s">
        <v>1417</v>
      </c>
      <c r="J899" s="253" t="s">
        <v>608</v>
      </c>
      <c r="K899" s="253" t="s">
        <v>48</v>
      </c>
      <c r="L899" s="655"/>
      <c r="M899" s="655" t="s">
        <v>34</v>
      </c>
      <c r="N899" s="253" t="s">
        <v>3507</v>
      </c>
      <c r="O899" s="253" t="s">
        <v>1321</v>
      </c>
      <c r="P899" s="656">
        <v>43678</v>
      </c>
      <c r="Q899" s="657">
        <v>114.54226463000001</v>
      </c>
      <c r="R899" s="657">
        <v>104.81233403562256</v>
      </c>
      <c r="S899" s="253">
        <v>91</v>
      </c>
      <c r="T899" s="658">
        <v>1.7258713149195248E-2</v>
      </c>
      <c r="U899" s="659">
        <v>0.86300556204815793</v>
      </c>
      <c r="V899" s="658">
        <v>0.14375161132789072</v>
      </c>
      <c r="W899" s="659">
        <v>1.1148383195812215</v>
      </c>
      <c r="X899" s="658">
        <v>0.2289181338059878</v>
      </c>
      <c r="Y899" s="659">
        <v>1.1855653155760739</v>
      </c>
      <c r="Z899" s="658">
        <v>0.36728940000000887</v>
      </c>
      <c r="AA899" s="659">
        <v>1.6584133857356971</v>
      </c>
      <c r="AB899" s="658">
        <v>3.6302056946587139E-3</v>
      </c>
      <c r="AC899" s="660">
        <v>4.0790255777763793</v>
      </c>
      <c r="AD899" s="682">
        <v>0</v>
      </c>
      <c r="AE899" s="944" t="s">
        <v>1916</v>
      </c>
      <c r="AF899" s="661" t="s">
        <v>1767</v>
      </c>
      <c r="AG899" s="662" t="s">
        <v>59</v>
      </c>
      <c r="AH899" s="662" t="s">
        <v>1730</v>
      </c>
      <c r="AI899" s="662">
        <v>100</v>
      </c>
      <c r="AJ899" s="662">
        <v>0</v>
      </c>
      <c r="AK899" s="662">
        <v>0</v>
      </c>
      <c r="AL899" s="658">
        <v>8.0000000000000002E-3</v>
      </c>
      <c r="AM899" s="658">
        <v>0</v>
      </c>
      <c r="AN899" s="659" t="s">
        <v>64</v>
      </c>
      <c r="AO899" s="253" t="s">
        <v>34</v>
      </c>
      <c r="AP899" s="944" t="s">
        <v>1735</v>
      </c>
      <c r="AQ899" s="663" t="s">
        <v>675</v>
      </c>
      <c r="AR899" s="658">
        <v>1.92E-3</v>
      </c>
      <c r="AS899" s="658">
        <v>1.92E-3</v>
      </c>
      <c r="AT899" s="658" t="s">
        <v>1417</v>
      </c>
      <c r="AU899" s="658" t="s">
        <v>2751</v>
      </c>
      <c r="AX899"/>
      <c r="AY899"/>
      <c r="BA899"/>
      <c r="BB899"/>
      <c r="BC899"/>
      <c r="BD899"/>
      <c r="BE899"/>
      <c r="BF899"/>
      <c r="BG899"/>
      <c r="BH899"/>
      <c r="BI899"/>
      <c r="BJ899"/>
      <c r="BR899"/>
      <c r="BS899"/>
      <c r="BT899"/>
      <c r="BU899"/>
      <c r="BX899"/>
      <c r="BY899"/>
      <c r="CA899"/>
    </row>
    <row r="900" spans="2:79" ht="18.75">
      <c r="B900" s="252" t="s">
        <v>4514</v>
      </c>
      <c r="C900" s="251">
        <v>37728756000161</v>
      </c>
      <c r="D900" s="252" t="s">
        <v>13</v>
      </c>
      <c r="E900" s="252" t="s">
        <v>615</v>
      </c>
      <c r="F900" s="252" t="s">
        <v>619</v>
      </c>
      <c r="G900" s="253" t="s">
        <v>34</v>
      </c>
      <c r="H900" s="253" t="s">
        <v>1337</v>
      </c>
      <c r="I900" s="253" t="s">
        <v>34</v>
      </c>
      <c r="J900" s="253" t="s">
        <v>608</v>
      </c>
      <c r="K900" s="253" t="s">
        <v>48</v>
      </c>
      <c r="L900" s="655"/>
      <c r="M900" s="655" t="s">
        <v>34</v>
      </c>
      <c r="N900" s="253" t="s">
        <v>4515</v>
      </c>
      <c r="O900" s="253" t="s">
        <v>1321</v>
      </c>
      <c r="P900" s="656">
        <v>44270</v>
      </c>
      <c r="Q900" s="657">
        <v>99.243496800000003</v>
      </c>
      <c r="R900" s="657">
        <v>98.639368285000018</v>
      </c>
      <c r="S900" s="253">
        <v>21</v>
      </c>
      <c r="T900" s="658">
        <v>4.8681764244962178E-3</v>
      </c>
      <c r="U900" s="659">
        <v>0.24342853925745034</v>
      </c>
      <c r="V900" s="658">
        <v>4.8681764244962178E-3</v>
      </c>
      <c r="W900" s="659">
        <v>3.7754217670165971E-2</v>
      </c>
      <c r="X900" s="658"/>
      <c r="Y900" s="659"/>
      <c r="Z900" s="658"/>
      <c r="AA900" s="659"/>
      <c r="AB900" s="658">
        <v>8.4844249042468178E-2</v>
      </c>
      <c r="AC900" s="660">
        <v>-1.4623941448310411</v>
      </c>
      <c r="AD900" s="682">
        <v>37729228000127</v>
      </c>
      <c r="AE900" s="944" t="s">
        <v>1916</v>
      </c>
      <c r="AF900" s="661" t="s">
        <v>1767</v>
      </c>
      <c r="AG900" s="662" t="s">
        <v>59</v>
      </c>
      <c r="AH900" s="662" t="s">
        <v>2119</v>
      </c>
      <c r="AI900" s="662">
        <v>1</v>
      </c>
      <c r="AJ900" s="662">
        <v>1</v>
      </c>
      <c r="AK900" s="662">
        <v>1</v>
      </c>
      <c r="AL900" s="658">
        <v>6.0000000000000001E-3</v>
      </c>
      <c r="AM900" s="658">
        <v>0</v>
      </c>
      <c r="AN900" s="659" t="s">
        <v>64</v>
      </c>
      <c r="AO900" s="253" t="s">
        <v>4400</v>
      </c>
      <c r="AP900" s="944" t="s">
        <v>1746</v>
      </c>
      <c r="AQ900" s="663" t="s">
        <v>2177</v>
      </c>
      <c r="AR900" s="658">
        <v>0</v>
      </c>
      <c r="AS900" s="658">
        <v>0</v>
      </c>
      <c r="AT900" s="658" t="s">
        <v>1417</v>
      </c>
      <c r="AU900" s="658" t="s">
        <v>2751</v>
      </c>
      <c r="AX900"/>
      <c r="AY900"/>
      <c r="BA900"/>
      <c r="BB900"/>
      <c r="BC900"/>
      <c r="BD900"/>
      <c r="BE900"/>
      <c r="BF900"/>
      <c r="BG900"/>
      <c r="BH900"/>
      <c r="BI900"/>
      <c r="BJ900"/>
      <c r="BR900"/>
      <c r="BS900"/>
      <c r="BT900"/>
      <c r="BU900"/>
      <c r="BX900"/>
      <c r="BY900"/>
      <c r="CA900"/>
    </row>
    <row r="901" spans="2:79" ht="18.75">
      <c r="B901" s="252" t="s">
        <v>4516</v>
      </c>
      <c r="C901" s="251">
        <v>44983621000108</v>
      </c>
      <c r="D901" s="252" t="s">
        <v>11</v>
      </c>
      <c r="E901" s="252" t="s">
        <v>621</v>
      </c>
      <c r="F901" s="252" t="s">
        <v>672</v>
      </c>
      <c r="G901" s="253" t="s">
        <v>738</v>
      </c>
      <c r="H901" s="253" t="s">
        <v>34</v>
      </c>
      <c r="I901" s="253" t="s">
        <v>1417</v>
      </c>
      <c r="J901" s="253" t="s">
        <v>608</v>
      </c>
      <c r="K901" s="253" t="s">
        <v>48</v>
      </c>
      <c r="L901" s="655"/>
      <c r="M901" s="655" t="s">
        <v>34</v>
      </c>
      <c r="N901" s="253" t="s">
        <v>4517</v>
      </c>
      <c r="O901" s="253" t="s">
        <v>1321</v>
      </c>
      <c r="P901" s="656">
        <v>44872</v>
      </c>
      <c r="Q901" s="657"/>
      <c r="R901" s="657"/>
      <c r="S901" s="253">
        <v>1</v>
      </c>
      <c r="T901" s="658"/>
      <c r="U901" s="659"/>
      <c r="V901" s="658"/>
      <c r="W901" s="659"/>
      <c r="X901" s="658"/>
      <c r="Y901" s="659"/>
      <c r="Z901" s="658"/>
      <c r="AA901" s="659"/>
      <c r="AB901" s="658"/>
      <c r="AC901" s="660"/>
      <c r="AD901" s="682">
        <v>38068830000123</v>
      </c>
      <c r="AE901" s="944" t="s">
        <v>1916</v>
      </c>
      <c r="AF901" s="661" t="s">
        <v>1767</v>
      </c>
      <c r="AG901" s="662" t="s">
        <v>59</v>
      </c>
      <c r="AH901" s="662" t="s">
        <v>2119</v>
      </c>
      <c r="AI901" s="662">
        <v>1</v>
      </c>
      <c r="AJ901" s="662">
        <v>0</v>
      </c>
      <c r="AK901" s="662">
        <v>0</v>
      </c>
      <c r="AL901" s="658">
        <v>3.3E-3</v>
      </c>
      <c r="AM901" s="658">
        <v>0</v>
      </c>
      <c r="AN901" s="659" t="s">
        <v>64</v>
      </c>
      <c r="AO901" s="253" t="s">
        <v>4400</v>
      </c>
      <c r="AP901" s="944" t="s">
        <v>1735</v>
      </c>
      <c r="AQ901" s="663" t="s">
        <v>2190</v>
      </c>
      <c r="AR901" s="658">
        <v>0</v>
      </c>
      <c r="AS901" s="658">
        <v>0</v>
      </c>
      <c r="AT901" s="658" t="s">
        <v>1417</v>
      </c>
      <c r="AU901" s="658" t="s">
        <v>2751</v>
      </c>
      <c r="AX901"/>
      <c r="AY901"/>
      <c r="BA901"/>
      <c r="BB901"/>
      <c r="BC901"/>
      <c r="BD901"/>
      <c r="BE901"/>
      <c r="BF901"/>
      <c r="BG901"/>
      <c r="BH901"/>
      <c r="BI901"/>
      <c r="BJ901"/>
      <c r="BR901"/>
      <c r="BS901"/>
      <c r="BT901"/>
      <c r="BU901"/>
      <c r="BX901"/>
      <c r="BY901"/>
      <c r="CA901"/>
    </row>
    <row r="902" spans="2:79" ht="18.75">
      <c r="B902" s="252" t="s">
        <v>2656</v>
      </c>
      <c r="C902" s="251">
        <v>34143959000106</v>
      </c>
      <c r="D902" s="252" t="s">
        <v>13</v>
      </c>
      <c r="E902" s="252" t="s">
        <v>616</v>
      </c>
      <c r="F902" s="252" t="s">
        <v>619</v>
      </c>
      <c r="G902" s="253" t="s">
        <v>34</v>
      </c>
      <c r="H902" s="253" t="s">
        <v>1337</v>
      </c>
      <c r="I902" s="253" t="s">
        <v>34</v>
      </c>
      <c r="J902" s="253" t="s">
        <v>608</v>
      </c>
      <c r="K902" s="253" t="s">
        <v>48</v>
      </c>
      <c r="L902" s="655"/>
      <c r="M902" s="655" t="s">
        <v>34</v>
      </c>
      <c r="N902" s="253" t="s">
        <v>3508</v>
      </c>
      <c r="O902" s="253" t="s">
        <v>1321</v>
      </c>
      <c r="P902" s="656">
        <v>43955</v>
      </c>
      <c r="Q902" s="657"/>
      <c r="R902" s="657"/>
      <c r="S902" s="253">
        <v>1</v>
      </c>
      <c r="T902" s="658"/>
      <c r="U902" s="659"/>
      <c r="V902" s="658"/>
      <c r="W902" s="659"/>
      <c r="X902" s="658"/>
      <c r="Y902" s="659"/>
      <c r="Z902" s="658"/>
      <c r="AA902" s="659"/>
      <c r="AB902" s="658"/>
      <c r="AC902" s="660"/>
      <c r="AD902" s="682">
        <v>26218634000109</v>
      </c>
      <c r="AE902" s="944" t="s">
        <v>1916</v>
      </c>
      <c r="AF902" s="661" t="s">
        <v>1767</v>
      </c>
      <c r="AG902" s="662" t="s">
        <v>59</v>
      </c>
      <c r="AH902" s="662" t="s">
        <v>2119</v>
      </c>
      <c r="AI902" s="662">
        <v>50000</v>
      </c>
      <c r="AJ902" s="662">
        <v>0</v>
      </c>
      <c r="AK902" s="662">
        <v>0</v>
      </c>
      <c r="AL902" s="658">
        <v>1.4999999999999999E-2</v>
      </c>
      <c r="AM902" s="658">
        <v>0.2</v>
      </c>
      <c r="AN902" s="659" t="s">
        <v>64</v>
      </c>
      <c r="AO902" s="253" t="s">
        <v>4400</v>
      </c>
      <c r="AP902" s="944" t="s">
        <v>1746</v>
      </c>
      <c r="AQ902" s="663" t="s">
        <v>2177</v>
      </c>
      <c r="AR902" s="658">
        <v>0</v>
      </c>
      <c r="AS902" s="658">
        <v>0</v>
      </c>
      <c r="AT902" s="658" t="s">
        <v>1417</v>
      </c>
      <c r="AU902" s="658" t="s">
        <v>2751</v>
      </c>
      <c r="AX902"/>
      <c r="AY902"/>
      <c r="BA902"/>
      <c r="BB902"/>
      <c r="BC902"/>
      <c r="BD902"/>
      <c r="BE902"/>
      <c r="BF902"/>
      <c r="BG902"/>
      <c r="BH902"/>
      <c r="BI902"/>
      <c r="BJ902"/>
      <c r="BR902"/>
      <c r="BS902"/>
      <c r="BT902"/>
      <c r="BU902"/>
      <c r="BX902"/>
      <c r="BY902"/>
      <c r="CA902"/>
    </row>
    <row r="903" spans="2:79" ht="18.75">
      <c r="B903" s="252" t="s">
        <v>1034</v>
      </c>
      <c r="C903" s="251">
        <v>27945264000174</v>
      </c>
      <c r="D903" s="252" t="s">
        <v>11</v>
      </c>
      <c r="E903" s="252" t="s">
        <v>620</v>
      </c>
      <c r="F903" s="252" t="s">
        <v>663</v>
      </c>
      <c r="G903" s="253" t="s">
        <v>738</v>
      </c>
      <c r="H903" s="253" t="s">
        <v>34</v>
      </c>
      <c r="I903" s="253" t="s">
        <v>1417</v>
      </c>
      <c r="J903" s="253" t="s">
        <v>608</v>
      </c>
      <c r="K903" s="253" t="s">
        <v>48</v>
      </c>
      <c r="L903" s="655"/>
      <c r="M903" s="655" t="s">
        <v>34</v>
      </c>
      <c r="N903" s="253" t="s">
        <v>3509</v>
      </c>
      <c r="O903" s="253" t="s">
        <v>1321</v>
      </c>
      <c r="P903" s="656">
        <v>43129</v>
      </c>
      <c r="Q903" s="657">
        <v>3988.62144076</v>
      </c>
      <c r="R903" s="657">
        <v>3879.8151807237364</v>
      </c>
      <c r="S903" s="253">
        <v>1</v>
      </c>
      <c r="T903" s="658">
        <v>2.2375652229865928E-2</v>
      </c>
      <c r="U903" s="659">
        <v>1.1188732417011042</v>
      </c>
      <c r="V903" s="658">
        <v>0.13747087107534872</v>
      </c>
      <c r="W903" s="659">
        <v>1.0661292314242978</v>
      </c>
      <c r="X903" s="658">
        <v>0.19779114694065059</v>
      </c>
      <c r="Y903" s="659">
        <v>1.0243588816759452</v>
      </c>
      <c r="Z903" s="658">
        <v>0.22309782299678949</v>
      </c>
      <c r="AA903" s="659">
        <v>1.0073484723119153</v>
      </c>
      <c r="AB903" s="658">
        <v>7.2100599129112271E-3</v>
      </c>
      <c r="AC903" s="660">
        <v>1.1826478186805265</v>
      </c>
      <c r="AD903" s="682">
        <v>0</v>
      </c>
      <c r="AE903" s="944" t="s">
        <v>1916</v>
      </c>
      <c r="AF903" s="661" t="s">
        <v>1767</v>
      </c>
      <c r="AG903" s="662" t="s">
        <v>59</v>
      </c>
      <c r="AH903" s="662" t="s">
        <v>1734</v>
      </c>
      <c r="AI903" s="662">
        <v>1</v>
      </c>
      <c r="AJ903" s="662">
        <v>1</v>
      </c>
      <c r="AK903" s="662">
        <v>1</v>
      </c>
      <c r="AL903" s="658">
        <v>9.0000000000000011E-3</v>
      </c>
      <c r="AM903" s="658">
        <v>0.2</v>
      </c>
      <c r="AN903" s="659" t="s">
        <v>64</v>
      </c>
      <c r="AO903" s="253" t="s">
        <v>34</v>
      </c>
      <c r="AP903" s="944" t="s">
        <v>1735</v>
      </c>
      <c r="AQ903" s="663" t="s">
        <v>675</v>
      </c>
      <c r="AR903" s="658">
        <v>1.92586666666667E-3</v>
      </c>
      <c r="AS903" s="658">
        <v>1.92586666666667E-3</v>
      </c>
      <c r="AT903" s="658" t="s">
        <v>1417</v>
      </c>
      <c r="AU903" s="658" t="s">
        <v>2751</v>
      </c>
      <c r="AX903"/>
      <c r="AY903"/>
      <c r="BA903"/>
      <c r="BB903"/>
      <c r="BC903"/>
      <c r="BD903"/>
      <c r="BE903"/>
      <c r="BF903"/>
      <c r="BG903"/>
      <c r="BH903"/>
      <c r="BI903"/>
      <c r="BJ903"/>
      <c r="BR903"/>
      <c r="BS903"/>
      <c r="BT903"/>
      <c r="BU903"/>
      <c r="BX903"/>
      <c r="BY903"/>
      <c r="CA903"/>
    </row>
    <row r="904" spans="2:79" ht="18.75">
      <c r="B904" s="252" t="s">
        <v>536</v>
      </c>
      <c r="C904" s="251">
        <v>42731202000153</v>
      </c>
      <c r="D904" s="252" t="s">
        <v>13</v>
      </c>
      <c r="E904" s="252" t="s">
        <v>615</v>
      </c>
      <c r="F904" s="252" t="s">
        <v>619</v>
      </c>
      <c r="G904" s="253" t="s">
        <v>34</v>
      </c>
      <c r="H904" s="253" t="s">
        <v>865</v>
      </c>
      <c r="I904" s="253" t="s">
        <v>34</v>
      </c>
      <c r="J904" s="253" t="s">
        <v>1417</v>
      </c>
      <c r="K904" s="253" t="s">
        <v>48</v>
      </c>
      <c r="L904" s="655"/>
      <c r="M904" s="655" t="s">
        <v>34</v>
      </c>
      <c r="N904" s="253" t="s">
        <v>3510</v>
      </c>
      <c r="O904" s="253" t="s">
        <v>1321</v>
      </c>
      <c r="P904" s="656">
        <v>44415</v>
      </c>
      <c r="Q904" s="657">
        <v>314.02003831000002</v>
      </c>
      <c r="R904" s="657">
        <v>271.7148076926872</v>
      </c>
      <c r="S904" s="253">
        <v>31</v>
      </c>
      <c r="T904" s="658">
        <v>2.8341109563551292E-2</v>
      </c>
      <c r="U904" s="659">
        <v>1.417170270838036</v>
      </c>
      <c r="V904" s="658">
        <v>0.17746456447090275</v>
      </c>
      <c r="W904" s="659">
        <v>1.3762927247380967</v>
      </c>
      <c r="X904" s="658"/>
      <c r="Y904" s="659"/>
      <c r="Z904" s="658"/>
      <c r="AA904" s="659"/>
      <c r="AB904" s="658">
        <v>4.7397041299620468E-2</v>
      </c>
      <c r="AC904" s="660">
        <v>1.0237064106468379</v>
      </c>
      <c r="AD904" s="682">
        <v>42747387000194</v>
      </c>
      <c r="AE904" s="944" t="s">
        <v>1843</v>
      </c>
      <c r="AF904" s="661" t="s">
        <v>1745</v>
      </c>
      <c r="AG904" s="662" t="s">
        <v>1432</v>
      </c>
      <c r="AH904" s="662" t="s">
        <v>1801</v>
      </c>
      <c r="AI904" s="662">
        <v>5000</v>
      </c>
      <c r="AJ904" s="662">
        <v>1000</v>
      </c>
      <c r="AK904" s="662">
        <v>1000</v>
      </c>
      <c r="AL904" s="658">
        <v>0</v>
      </c>
      <c r="AM904" s="658">
        <v>0</v>
      </c>
      <c r="AN904" s="659" t="s">
        <v>64</v>
      </c>
      <c r="AO904" s="253" t="s">
        <v>34</v>
      </c>
      <c r="AP904" s="944" t="s">
        <v>1746</v>
      </c>
      <c r="AQ904" s="663" t="s">
        <v>668</v>
      </c>
      <c r="AR904" s="658">
        <v>4.0000000000000001E-3</v>
      </c>
      <c r="AS904" s="658">
        <v>4.0000000000000001E-3</v>
      </c>
      <c r="AT904" s="658" t="s">
        <v>1417</v>
      </c>
      <c r="AU904" s="658" t="s">
        <v>2751</v>
      </c>
      <c r="AX904"/>
      <c r="AY904"/>
      <c r="BA904"/>
      <c r="BB904"/>
      <c r="BC904"/>
      <c r="BD904"/>
      <c r="BE904"/>
      <c r="BF904"/>
      <c r="BG904"/>
      <c r="BH904"/>
      <c r="BI904"/>
      <c r="BJ904"/>
      <c r="BR904"/>
      <c r="BS904"/>
      <c r="BT904"/>
      <c r="BU904"/>
      <c r="BX904"/>
      <c r="BY904"/>
      <c r="CA904"/>
    </row>
    <row r="905" spans="2:79" ht="18.75">
      <c r="B905" s="252" t="s">
        <v>1035</v>
      </c>
      <c r="C905" s="251">
        <v>27749572000124</v>
      </c>
      <c r="D905" s="252" t="s">
        <v>14</v>
      </c>
      <c r="E905" s="252" t="s">
        <v>607</v>
      </c>
      <c r="F905" s="252" t="s">
        <v>1417</v>
      </c>
      <c r="G905" s="253" t="s">
        <v>1417</v>
      </c>
      <c r="H905" s="253" t="s">
        <v>34</v>
      </c>
      <c r="I905" s="253" t="s">
        <v>34</v>
      </c>
      <c r="J905" s="253" t="s">
        <v>608</v>
      </c>
      <c r="K905" s="253" t="s">
        <v>48</v>
      </c>
      <c r="L905" s="655"/>
      <c r="M905" s="655" t="s">
        <v>34</v>
      </c>
      <c r="N905" s="253" t="s">
        <v>3511</v>
      </c>
      <c r="O905" s="253" t="s">
        <v>1321</v>
      </c>
      <c r="P905" s="656">
        <v>43582</v>
      </c>
      <c r="Q905" s="657">
        <v>91.479695219999996</v>
      </c>
      <c r="R905" s="657">
        <v>49.66953183064259</v>
      </c>
      <c r="S905" s="253">
        <v>5</v>
      </c>
      <c r="T905" s="658">
        <v>4.6833735159135026E-2</v>
      </c>
      <c r="U905" s="659">
        <v>2.3418764530372025</v>
      </c>
      <c r="V905" s="658">
        <v>-0.10123377656394428</v>
      </c>
      <c r="W905" s="659">
        <v>-0.78509932728323784</v>
      </c>
      <c r="X905" s="658">
        <v>-0.16536421268869528</v>
      </c>
      <c r="Y905" s="659">
        <v>-0.85642002991085875</v>
      </c>
      <c r="Z905" s="658">
        <v>-4.6524302355258396E-2</v>
      </c>
      <c r="AA905" s="659">
        <v>-0.21007011307152745</v>
      </c>
      <c r="AB905" s="658">
        <v>0.27132595058147296</v>
      </c>
      <c r="AC905" s="660">
        <v>-0.84834379283457273</v>
      </c>
      <c r="AD905" s="682">
        <v>0</v>
      </c>
      <c r="AE905" s="944" t="s">
        <v>1843</v>
      </c>
      <c r="AF905" s="661" t="s">
        <v>1745</v>
      </c>
      <c r="AG905" s="662" t="s">
        <v>1432</v>
      </c>
      <c r="AH905" s="662" t="s">
        <v>1734</v>
      </c>
      <c r="AI905" s="662">
        <v>1000</v>
      </c>
      <c r="AJ905" s="662">
        <v>1000</v>
      </c>
      <c r="AK905" s="662">
        <v>1000</v>
      </c>
      <c r="AL905" s="658">
        <v>0.02</v>
      </c>
      <c r="AM905" s="658">
        <v>0.2</v>
      </c>
      <c r="AN905" s="659" t="s">
        <v>2127</v>
      </c>
      <c r="AO905" s="253" t="s">
        <v>34</v>
      </c>
      <c r="AP905" s="944" t="s">
        <v>1731</v>
      </c>
      <c r="AQ905" s="663" t="s">
        <v>659</v>
      </c>
      <c r="AR905" s="658">
        <v>4.0000000000000001E-3</v>
      </c>
      <c r="AS905" s="658">
        <v>4.0000000000000001E-3</v>
      </c>
      <c r="AT905" s="658" t="s">
        <v>1417</v>
      </c>
      <c r="AU905" s="658" t="s">
        <v>2751</v>
      </c>
      <c r="AX905"/>
      <c r="AY905"/>
      <c r="BA905"/>
      <c r="BB905"/>
      <c r="BC905"/>
      <c r="BD905"/>
      <c r="BE905"/>
      <c r="BF905"/>
      <c r="BG905"/>
      <c r="BH905"/>
      <c r="BI905"/>
      <c r="BJ905"/>
      <c r="BR905"/>
      <c r="BS905"/>
      <c r="BT905"/>
      <c r="BU905"/>
      <c r="BX905"/>
      <c r="BY905"/>
      <c r="CA905"/>
    </row>
    <row r="906" spans="2:79" ht="18.75">
      <c r="B906" s="252" t="s">
        <v>1036</v>
      </c>
      <c r="C906" s="251">
        <v>13503226000157</v>
      </c>
      <c r="D906" s="252" t="s">
        <v>13</v>
      </c>
      <c r="E906" s="252" t="s">
        <v>615</v>
      </c>
      <c r="F906" s="252" t="s">
        <v>619</v>
      </c>
      <c r="G906" s="253" t="s">
        <v>34</v>
      </c>
      <c r="H906" s="253" t="s">
        <v>1337</v>
      </c>
      <c r="I906" s="253" t="s">
        <v>34</v>
      </c>
      <c r="J906" s="253" t="s">
        <v>1417</v>
      </c>
      <c r="K906" s="253" t="s">
        <v>48</v>
      </c>
      <c r="L906" s="655"/>
      <c r="M906" s="655" t="s">
        <v>34</v>
      </c>
      <c r="N906" s="253" t="s">
        <v>3512</v>
      </c>
      <c r="O906" s="253" t="s">
        <v>1321</v>
      </c>
      <c r="P906" s="656">
        <v>40669</v>
      </c>
      <c r="Q906" s="657">
        <v>38.690171999999997</v>
      </c>
      <c r="R906" s="657">
        <v>39.853553634538159</v>
      </c>
      <c r="S906" s="253">
        <v>5</v>
      </c>
      <c r="T906" s="658">
        <v>2.1370503845952848E-2</v>
      </c>
      <c r="U906" s="659">
        <v>1.068611751258455</v>
      </c>
      <c r="V906" s="658">
        <v>0.13237477861398572</v>
      </c>
      <c r="W906" s="659">
        <v>1.0266074542172401</v>
      </c>
      <c r="X906" s="658">
        <v>0.17168221232780767</v>
      </c>
      <c r="Y906" s="659">
        <v>0.88914090313928573</v>
      </c>
      <c r="Z906" s="658">
        <v>0.16373366669989142</v>
      </c>
      <c r="AA906" s="659">
        <v>0.73930286185955951</v>
      </c>
      <c r="AB906" s="658">
        <v>1.7160689158381662E-2</v>
      </c>
      <c r="AC906" s="660">
        <v>0.19992607147258171</v>
      </c>
      <c r="AD906" s="682">
        <v>0</v>
      </c>
      <c r="AE906" s="944" t="s">
        <v>1843</v>
      </c>
      <c r="AF906" s="661" t="s">
        <v>1745</v>
      </c>
      <c r="AG906" s="662" t="s">
        <v>1432</v>
      </c>
      <c r="AH906" s="662" t="s">
        <v>1734</v>
      </c>
      <c r="AI906" s="662">
        <v>5000</v>
      </c>
      <c r="AJ906" s="662">
        <v>1000</v>
      </c>
      <c r="AK906" s="662">
        <v>1000</v>
      </c>
      <c r="AL906" s="658">
        <v>0</v>
      </c>
      <c r="AM906" s="658">
        <v>0.2</v>
      </c>
      <c r="AN906" s="659" t="s">
        <v>2127</v>
      </c>
      <c r="AO906" s="253" t="s">
        <v>34</v>
      </c>
      <c r="AP906" s="944" t="s">
        <v>1746</v>
      </c>
      <c r="AQ906" s="663" t="s">
        <v>668</v>
      </c>
      <c r="AR906" s="658">
        <v>4.0000000000000001E-3</v>
      </c>
      <c r="AS906" s="658">
        <v>4.0000000000000001E-3</v>
      </c>
      <c r="AT906" s="658" t="s">
        <v>1417</v>
      </c>
      <c r="AU906" s="658" t="s">
        <v>2751</v>
      </c>
      <c r="AX906"/>
      <c r="AY906"/>
      <c r="BA906"/>
      <c r="BB906"/>
      <c r="BC906"/>
      <c r="BD906"/>
      <c r="BE906"/>
      <c r="BF906"/>
      <c r="BG906"/>
      <c r="BH906"/>
      <c r="BI906"/>
      <c r="BJ906"/>
      <c r="BR906"/>
      <c r="BS906"/>
      <c r="BT906"/>
      <c r="BU906"/>
      <c r="BX906"/>
      <c r="BY906"/>
      <c r="CA906"/>
    </row>
    <row r="907" spans="2:79" ht="18.75">
      <c r="B907" s="252" t="s">
        <v>261</v>
      </c>
      <c r="C907" s="251">
        <v>25213366000170</v>
      </c>
      <c r="D907" s="252" t="s">
        <v>14</v>
      </c>
      <c r="E907" s="252" t="s">
        <v>607</v>
      </c>
      <c r="F907" s="252" t="s">
        <v>1417</v>
      </c>
      <c r="G907" s="253" t="s">
        <v>1417</v>
      </c>
      <c r="H907" s="253" t="s">
        <v>34</v>
      </c>
      <c r="I907" s="253" t="s">
        <v>34</v>
      </c>
      <c r="J907" s="253" t="s">
        <v>608</v>
      </c>
      <c r="K907" s="253" t="s">
        <v>48</v>
      </c>
      <c r="L907" s="655"/>
      <c r="M907" s="655" t="s">
        <v>34</v>
      </c>
      <c r="N907" s="253" t="s">
        <v>3513</v>
      </c>
      <c r="O907" s="253" t="s">
        <v>1321</v>
      </c>
      <c r="P907" s="656">
        <v>42608</v>
      </c>
      <c r="Q907" s="657">
        <v>287.08278799999999</v>
      </c>
      <c r="R907" s="657">
        <v>384.38185895983918</v>
      </c>
      <c r="S907" s="253">
        <v>32</v>
      </c>
      <c r="T907" s="658">
        <v>-3.0469962696680564E-2</v>
      </c>
      <c r="U907" s="659">
        <v>-1.5236215501884827</v>
      </c>
      <c r="V907" s="658">
        <v>-8.3847874595352145E-2</v>
      </c>
      <c r="W907" s="659">
        <v>-0.65026626658899223</v>
      </c>
      <c r="X907" s="658">
        <v>-0.20224137315834179</v>
      </c>
      <c r="Y907" s="659">
        <v>-1.0474065702205038</v>
      </c>
      <c r="Z907" s="658">
        <v>-0.15824207230175502</v>
      </c>
      <c r="AA907" s="659">
        <v>-0.71450679189701682</v>
      </c>
      <c r="AB907" s="658">
        <v>0.22207570979917793</v>
      </c>
      <c r="AC907" s="660">
        <v>-0.95819477165948119</v>
      </c>
      <c r="AD907" s="682">
        <v>28408139000198</v>
      </c>
      <c r="AE907" s="944" t="s">
        <v>1932</v>
      </c>
      <c r="AF907" s="661" t="s">
        <v>1729</v>
      </c>
      <c r="AG907" s="662" t="s">
        <v>1433</v>
      </c>
      <c r="AH907" s="662" t="s">
        <v>1730</v>
      </c>
      <c r="AI907" s="662">
        <v>200000</v>
      </c>
      <c r="AJ907" s="662">
        <v>10000</v>
      </c>
      <c r="AK907" s="662">
        <v>10000</v>
      </c>
      <c r="AL907" s="658">
        <v>3.0000000000000001E-3</v>
      </c>
      <c r="AM907" s="658">
        <v>0.2</v>
      </c>
      <c r="AN907" s="659" t="s">
        <v>666</v>
      </c>
      <c r="AO907" s="253" t="s">
        <v>34</v>
      </c>
      <c r="AP907" s="944" t="s">
        <v>1731</v>
      </c>
      <c r="AQ907" s="663" t="s">
        <v>659</v>
      </c>
      <c r="AR907" s="658">
        <v>4.7999999999999996E-3</v>
      </c>
      <c r="AS907" s="658">
        <v>4.7999999999999996E-3</v>
      </c>
      <c r="AT907" s="658" t="s">
        <v>1417</v>
      </c>
      <c r="AU907" s="658" t="s">
        <v>2751</v>
      </c>
      <c r="AX907"/>
      <c r="AY907"/>
      <c r="BA907"/>
      <c r="BB907"/>
      <c r="BC907"/>
      <c r="BD907"/>
      <c r="BE907"/>
      <c r="BF907"/>
      <c r="BG907"/>
      <c r="BH907"/>
      <c r="BI907"/>
      <c r="BJ907"/>
      <c r="BR907"/>
      <c r="BS907"/>
      <c r="BT907"/>
      <c r="BU907"/>
      <c r="BX907"/>
      <c r="BY907"/>
      <c r="CA907"/>
    </row>
    <row r="908" spans="2:79" ht="18.75">
      <c r="B908" s="252" t="s">
        <v>262</v>
      </c>
      <c r="C908" s="251">
        <v>28626275000154</v>
      </c>
      <c r="D908" s="252" t="s">
        <v>14</v>
      </c>
      <c r="E908" s="252" t="s">
        <v>607</v>
      </c>
      <c r="F908" s="252" t="s">
        <v>1417</v>
      </c>
      <c r="G908" s="253" t="s">
        <v>1417</v>
      </c>
      <c r="H908" s="253" t="s">
        <v>34</v>
      </c>
      <c r="I908" s="253" t="s">
        <v>34</v>
      </c>
      <c r="J908" s="253" t="s">
        <v>608</v>
      </c>
      <c r="K908" s="253" t="s">
        <v>48</v>
      </c>
      <c r="L908" s="655"/>
      <c r="M908" s="655" t="s">
        <v>34</v>
      </c>
      <c r="N908" s="253" t="s">
        <v>3514</v>
      </c>
      <c r="O908" s="253" t="s">
        <v>1321</v>
      </c>
      <c r="P908" s="656">
        <v>43016</v>
      </c>
      <c r="Q908" s="657">
        <v>3.9977337199999998</v>
      </c>
      <c r="R908" s="657">
        <v>4.3425474435742988</v>
      </c>
      <c r="S908" s="253">
        <v>32</v>
      </c>
      <c r="T908" s="658">
        <v>-3.1261338269786498E-2</v>
      </c>
      <c r="U908" s="659">
        <v>-1.5631935342266621</v>
      </c>
      <c r="V908" s="658">
        <v>-8.8076808564808817E-2</v>
      </c>
      <c r="W908" s="659">
        <v>-0.68306296080743323</v>
      </c>
      <c r="X908" s="658">
        <v>-0.20984899689262948</v>
      </c>
      <c r="Y908" s="659">
        <v>-1.0868063970641424</v>
      </c>
      <c r="Z908" s="658">
        <v>-0.16764679181334929</v>
      </c>
      <c r="AA908" s="659">
        <v>-0.75697170574184125</v>
      </c>
      <c r="AB908" s="658">
        <v>0.22213489697776301</v>
      </c>
      <c r="AC908" s="660">
        <v>-0.97697714750925513</v>
      </c>
      <c r="AD908" s="682">
        <v>28408139000198</v>
      </c>
      <c r="AE908" s="944" t="s">
        <v>1932</v>
      </c>
      <c r="AF908" s="661" t="s">
        <v>1729</v>
      </c>
      <c r="AG908" s="662" t="s">
        <v>1433</v>
      </c>
      <c r="AH908" s="662" t="s">
        <v>1730</v>
      </c>
      <c r="AI908" s="662">
        <v>1000</v>
      </c>
      <c r="AJ908" s="662">
        <v>1000</v>
      </c>
      <c r="AK908" s="662">
        <v>1000</v>
      </c>
      <c r="AL908" s="658">
        <v>1.8000000000000002E-2</v>
      </c>
      <c r="AM908" s="658">
        <v>0.2</v>
      </c>
      <c r="AN908" s="659" t="s">
        <v>64</v>
      </c>
      <c r="AO908" s="253" t="s">
        <v>34</v>
      </c>
      <c r="AP908" s="944" t="s">
        <v>1731</v>
      </c>
      <c r="AQ908" s="663" t="s">
        <v>659</v>
      </c>
      <c r="AR908" s="658">
        <v>4.7999999999999996E-3</v>
      </c>
      <c r="AS908" s="658">
        <v>4.7999999999999996E-3</v>
      </c>
      <c r="AT908" s="658" t="s">
        <v>1417</v>
      </c>
      <c r="AU908" s="658" t="s">
        <v>2751</v>
      </c>
      <c r="AX908"/>
      <c r="AY908"/>
      <c r="BA908"/>
      <c r="BB908"/>
      <c r="BC908"/>
      <c r="BD908"/>
      <c r="BE908"/>
      <c r="BF908"/>
      <c r="BG908"/>
      <c r="BH908"/>
      <c r="BI908"/>
      <c r="BJ908"/>
      <c r="BR908"/>
      <c r="BS908"/>
      <c r="BT908"/>
      <c r="BU908"/>
      <c r="BX908"/>
      <c r="BY908"/>
      <c r="CA908"/>
    </row>
    <row r="909" spans="2:79" ht="18.75">
      <c r="B909" s="252" t="s">
        <v>263</v>
      </c>
      <c r="C909" s="251">
        <v>29054793000103</v>
      </c>
      <c r="D909" s="252" t="s">
        <v>14</v>
      </c>
      <c r="E909" s="252" t="s">
        <v>607</v>
      </c>
      <c r="F909" s="252" t="s">
        <v>1417</v>
      </c>
      <c r="G909" s="253" t="s">
        <v>1417</v>
      </c>
      <c r="H909" s="253" t="s">
        <v>34</v>
      </c>
      <c r="I909" s="253" t="s">
        <v>34</v>
      </c>
      <c r="J909" s="253" t="s">
        <v>608</v>
      </c>
      <c r="K909" s="253" t="s">
        <v>48</v>
      </c>
      <c r="L909" s="655"/>
      <c r="M909" s="655" t="s">
        <v>34</v>
      </c>
      <c r="N909" s="253" t="s">
        <v>3515</v>
      </c>
      <c r="O909" s="253" t="s">
        <v>1321</v>
      </c>
      <c r="P909" s="656">
        <v>43162</v>
      </c>
      <c r="Q909" s="657">
        <v>39.267528749999997</v>
      </c>
      <c r="R909" s="657">
        <v>48.941416679554663</v>
      </c>
      <c r="S909" s="253">
        <v>32</v>
      </c>
      <c r="T909" s="658">
        <v>-3.7288251758461843E-2</v>
      </c>
      <c r="U909" s="659">
        <v>-1.8645636200347351</v>
      </c>
      <c r="V909" s="658">
        <v>-6.4529272346910971E-2</v>
      </c>
      <c r="W909" s="659">
        <v>-0.5004445159431159</v>
      </c>
      <c r="X909" s="658">
        <v>-0.14252929069108433</v>
      </c>
      <c r="Y909" s="659">
        <v>-0.73815813840340438</v>
      </c>
      <c r="Z909" s="658">
        <v>-0.14569200438144825</v>
      </c>
      <c r="AA909" s="659">
        <v>-0.65783975867763067</v>
      </c>
      <c r="AB909" s="658">
        <v>0.22354672906664064</v>
      </c>
      <c r="AC909" s="660">
        <v>-0.86547086867025369</v>
      </c>
      <c r="AD909" s="682">
        <v>0</v>
      </c>
      <c r="AE909" s="944" t="s">
        <v>1932</v>
      </c>
      <c r="AF909" s="661" t="s">
        <v>1729</v>
      </c>
      <c r="AG909" s="662" t="s">
        <v>1433</v>
      </c>
      <c r="AH909" s="662" t="s">
        <v>1734</v>
      </c>
      <c r="AI909" s="662">
        <v>200000</v>
      </c>
      <c r="AJ909" s="662">
        <v>10000</v>
      </c>
      <c r="AK909" s="662">
        <v>10000</v>
      </c>
      <c r="AL909" s="658">
        <v>0.02</v>
      </c>
      <c r="AM909" s="658">
        <v>0.2</v>
      </c>
      <c r="AN909" s="659" t="s">
        <v>2160</v>
      </c>
      <c r="AO909" s="253" t="s">
        <v>34</v>
      </c>
      <c r="AP909" s="944" t="s">
        <v>1731</v>
      </c>
      <c r="AQ909" s="663" t="s">
        <v>670</v>
      </c>
      <c r="AR909" s="658">
        <v>5.3333333333333297E-3</v>
      </c>
      <c r="AS909" s="658">
        <v>5.3333333333333297E-3</v>
      </c>
      <c r="AT909" s="658" t="s">
        <v>1417</v>
      </c>
      <c r="AU909" s="658" t="s">
        <v>2751</v>
      </c>
      <c r="AX909"/>
      <c r="AY909"/>
      <c r="BA909"/>
      <c r="BB909"/>
      <c r="BC909"/>
      <c r="BD909"/>
      <c r="BE909"/>
      <c r="BF909"/>
      <c r="BG909"/>
      <c r="BH909"/>
      <c r="BI909"/>
      <c r="BJ909"/>
      <c r="BR909"/>
      <c r="BS909"/>
      <c r="BT909"/>
      <c r="BU909"/>
      <c r="BX909"/>
      <c r="BY909"/>
      <c r="CA909"/>
    </row>
    <row r="910" spans="2:79" ht="18.75">
      <c r="B910" s="252" t="s">
        <v>264</v>
      </c>
      <c r="C910" s="251">
        <v>13429264000107</v>
      </c>
      <c r="D910" s="252" t="s">
        <v>13</v>
      </c>
      <c r="E910" s="252" t="s">
        <v>615</v>
      </c>
      <c r="F910" s="252" t="s">
        <v>619</v>
      </c>
      <c r="G910" s="253" t="s">
        <v>34</v>
      </c>
      <c r="H910" s="253" t="s">
        <v>1337</v>
      </c>
      <c r="I910" s="253" t="s">
        <v>34</v>
      </c>
      <c r="J910" s="253" t="s">
        <v>1417</v>
      </c>
      <c r="K910" s="253" t="s">
        <v>48</v>
      </c>
      <c r="L910" s="655"/>
      <c r="M910" s="655" t="s">
        <v>1414</v>
      </c>
      <c r="N910" s="253" t="s">
        <v>3516</v>
      </c>
      <c r="O910" s="253" t="s">
        <v>1321</v>
      </c>
      <c r="P910" s="656">
        <v>40664</v>
      </c>
      <c r="Q910" s="657">
        <v>37.542597999999998</v>
      </c>
      <c r="R910" s="657">
        <v>34.73284365714283</v>
      </c>
      <c r="S910" s="253">
        <v>31</v>
      </c>
      <c r="T910" s="658">
        <v>1.5911018635495822E-2</v>
      </c>
      <c r="U910" s="659">
        <v>0.79561537766939816</v>
      </c>
      <c r="V910" s="658">
        <v>0.11690644708639675</v>
      </c>
      <c r="W910" s="659">
        <v>0.90664574688299537</v>
      </c>
      <c r="X910" s="658">
        <v>0.15799962190051176</v>
      </c>
      <c r="Y910" s="659">
        <v>0.81827886889090529</v>
      </c>
      <c r="Z910" s="658">
        <v>0.22496626089544591</v>
      </c>
      <c r="AA910" s="659">
        <v>1.0157849870099915</v>
      </c>
      <c r="AB910" s="658">
        <v>2.0482691740168962E-2</v>
      </c>
      <c r="AC910" s="660">
        <v>-0.58768947524532278</v>
      </c>
      <c r="AD910" s="682">
        <v>10295477000103</v>
      </c>
      <c r="AE910" s="944" t="s">
        <v>1842</v>
      </c>
      <c r="AF910" s="661" t="s">
        <v>1769</v>
      </c>
      <c r="AG910" s="662" t="s">
        <v>719</v>
      </c>
      <c r="AH910" s="662" t="s">
        <v>1734</v>
      </c>
      <c r="AI910" s="662">
        <v>10000</v>
      </c>
      <c r="AJ910" s="662">
        <v>10000</v>
      </c>
      <c r="AK910" s="662">
        <v>10000</v>
      </c>
      <c r="AL910" s="658">
        <v>2.3E-2</v>
      </c>
      <c r="AM910" s="658">
        <v>0.2</v>
      </c>
      <c r="AN910" s="659" t="s">
        <v>64</v>
      </c>
      <c r="AO910" s="253" t="s">
        <v>34</v>
      </c>
      <c r="AP910" s="944" t="s">
        <v>1746</v>
      </c>
      <c r="AQ910" s="663" t="s">
        <v>664</v>
      </c>
      <c r="AR910" s="658">
        <v>3.2006399999999998E-3</v>
      </c>
      <c r="AS910" s="658">
        <v>3.2006399999999998E-3</v>
      </c>
      <c r="AT910" s="658" t="s">
        <v>1417</v>
      </c>
      <c r="AU910" s="658" t="s">
        <v>2751</v>
      </c>
      <c r="AX910"/>
      <c r="AY910"/>
      <c r="BA910"/>
      <c r="BB910"/>
      <c r="BC910"/>
      <c r="BD910"/>
      <c r="BE910"/>
      <c r="BF910"/>
      <c r="BG910"/>
      <c r="BH910"/>
      <c r="BI910"/>
      <c r="BJ910"/>
      <c r="BR910"/>
      <c r="BS910"/>
      <c r="BT910"/>
      <c r="BU910"/>
      <c r="BX910"/>
      <c r="BY910"/>
      <c r="CA910"/>
    </row>
    <row r="911" spans="2:79" ht="18.75">
      <c r="B911" s="252" t="s">
        <v>1298</v>
      </c>
      <c r="C911" s="251">
        <v>31848144000126</v>
      </c>
      <c r="D911" s="252" t="s">
        <v>14</v>
      </c>
      <c r="E911" s="252" t="s">
        <v>607</v>
      </c>
      <c r="F911" s="252" t="s">
        <v>1417</v>
      </c>
      <c r="G911" s="253" t="s">
        <v>1417</v>
      </c>
      <c r="H911" s="253" t="s">
        <v>34</v>
      </c>
      <c r="I911" s="253" t="s">
        <v>34</v>
      </c>
      <c r="J911" s="253" t="s">
        <v>608</v>
      </c>
      <c r="K911" s="253" t="s">
        <v>48</v>
      </c>
      <c r="L911" s="655"/>
      <c r="M911" s="655" t="s">
        <v>34</v>
      </c>
      <c r="N911" s="253" t="s">
        <v>3517</v>
      </c>
      <c r="O911" s="253" t="s">
        <v>1324</v>
      </c>
      <c r="P911" s="656">
        <v>43383</v>
      </c>
      <c r="Q911" s="657">
        <v>35.741763280000001</v>
      </c>
      <c r="R911" s="657">
        <v>35.750668586895159</v>
      </c>
      <c r="S911" s="253">
        <v>12</v>
      </c>
      <c r="T911" s="658">
        <v>2.7256192379270239E-3</v>
      </c>
      <c r="U911" s="659">
        <v>0.13629200172819167</v>
      </c>
      <c r="V911" s="658">
        <v>6.3323663162826449E-2</v>
      </c>
      <c r="W911" s="659">
        <v>0.49109464289167071</v>
      </c>
      <c r="X911" s="658">
        <v>0.61000312418877733</v>
      </c>
      <c r="Y911" s="659">
        <v>3.1592016517318919</v>
      </c>
      <c r="Z911" s="658">
        <v>0.23523447213476056</v>
      </c>
      <c r="AA911" s="659">
        <v>1.0621488052057813</v>
      </c>
      <c r="AB911" s="658">
        <v>0.17248788988324554</v>
      </c>
      <c r="AC911" s="660">
        <v>-0.38043393265683323</v>
      </c>
      <c r="AD911" s="682">
        <v>0</v>
      </c>
      <c r="AE911" s="944" t="s">
        <v>1957</v>
      </c>
      <c r="AF911" s="661" t="s">
        <v>1861</v>
      </c>
      <c r="AG911" s="662" t="s">
        <v>719</v>
      </c>
      <c r="AH911" s="662" t="s">
        <v>1730</v>
      </c>
      <c r="AI911" s="662">
        <v>10000</v>
      </c>
      <c r="AJ911" s="662">
        <v>5000</v>
      </c>
      <c r="AK911" s="662">
        <v>5000</v>
      </c>
      <c r="AL911" s="658">
        <v>0</v>
      </c>
      <c r="AM911" s="658">
        <v>0</v>
      </c>
      <c r="AN911" s="659" t="s">
        <v>666</v>
      </c>
      <c r="AO911" s="253" t="s">
        <v>34</v>
      </c>
      <c r="AP911" s="944" t="s">
        <v>1731</v>
      </c>
      <c r="AQ911" s="663" t="s">
        <v>659</v>
      </c>
      <c r="AR911" s="658">
        <v>6.6666666666666697E-3</v>
      </c>
      <c r="AS911" s="658">
        <v>6.6666666666666697E-3</v>
      </c>
      <c r="AT911" s="658" t="s">
        <v>1417</v>
      </c>
      <c r="AU911" s="658" t="s">
        <v>2751</v>
      </c>
      <c r="AX911"/>
      <c r="AY911"/>
      <c r="BA911"/>
      <c r="BB911"/>
      <c r="BC911"/>
      <c r="BD911"/>
      <c r="BE911"/>
      <c r="BF911"/>
      <c r="BG911"/>
      <c r="BH911"/>
      <c r="BI911"/>
      <c r="BJ911"/>
      <c r="BR911"/>
      <c r="BS911"/>
      <c r="BT911"/>
      <c r="BU911"/>
      <c r="BX911"/>
      <c r="BY911"/>
      <c r="CA911"/>
    </row>
    <row r="912" spans="2:79" ht="18.75">
      <c r="B912" s="252" t="s">
        <v>265</v>
      </c>
      <c r="C912" s="251">
        <v>38221267000181</v>
      </c>
      <c r="D912" s="252" t="s">
        <v>11</v>
      </c>
      <c r="E912" s="252" t="s">
        <v>620</v>
      </c>
      <c r="F912" s="252" t="s">
        <v>685</v>
      </c>
      <c r="G912" s="253" t="s">
        <v>738</v>
      </c>
      <c r="H912" s="253" t="s">
        <v>34</v>
      </c>
      <c r="I912" s="253" t="s">
        <v>1319</v>
      </c>
      <c r="J912" s="253" t="s">
        <v>608</v>
      </c>
      <c r="K912" s="253" t="s">
        <v>48</v>
      </c>
      <c r="L912" s="655"/>
      <c r="M912" s="655" t="s">
        <v>34</v>
      </c>
      <c r="N912" s="253" t="s">
        <v>3518</v>
      </c>
      <c r="O912" s="253" t="s">
        <v>1321</v>
      </c>
      <c r="P912" s="656">
        <v>44136</v>
      </c>
      <c r="Q912" s="657">
        <v>422.44689406999998</v>
      </c>
      <c r="R912" s="657">
        <v>377.5141231951626</v>
      </c>
      <c r="S912" s="253">
        <v>35</v>
      </c>
      <c r="T912" s="658">
        <v>2.3491753385580516E-2</v>
      </c>
      <c r="U912" s="659">
        <v>1.1746828201362716</v>
      </c>
      <c r="V912" s="658">
        <v>0.15825447915913293</v>
      </c>
      <c r="W912" s="659">
        <v>1.22731255658446</v>
      </c>
      <c r="X912" s="658">
        <v>0.27025245202073389</v>
      </c>
      <c r="Y912" s="659">
        <v>1.3996354427592683</v>
      </c>
      <c r="Z912" s="658"/>
      <c r="AA912" s="659"/>
      <c r="AB912" s="658">
        <v>1.4567168110577787E-3</v>
      </c>
      <c r="AC912" s="660">
        <v>20.120979925440029</v>
      </c>
      <c r="AD912" s="682">
        <v>0</v>
      </c>
      <c r="AE912" s="944" t="s">
        <v>1957</v>
      </c>
      <c r="AF912" s="661" t="s">
        <v>1861</v>
      </c>
      <c r="AG912" s="662" t="s">
        <v>719</v>
      </c>
      <c r="AH912" s="662" t="s">
        <v>1730</v>
      </c>
      <c r="AI912" s="662">
        <v>0</v>
      </c>
      <c r="AJ912" s="662">
        <v>0</v>
      </c>
      <c r="AK912" s="662">
        <v>0</v>
      </c>
      <c r="AL912" s="658">
        <v>0</v>
      </c>
      <c r="AM912" s="658">
        <v>0</v>
      </c>
      <c r="AN912" s="659" t="s">
        <v>64</v>
      </c>
      <c r="AO912" s="253" t="s">
        <v>34</v>
      </c>
      <c r="AP912" s="944" t="s">
        <v>1746</v>
      </c>
      <c r="AQ912" s="663" t="s">
        <v>668</v>
      </c>
      <c r="AR912" s="658">
        <v>6.6666666666666697E-3</v>
      </c>
      <c r="AS912" s="658">
        <v>6.6666666666666697E-3</v>
      </c>
      <c r="AT912" s="658" t="s">
        <v>1417</v>
      </c>
      <c r="AU912" s="658" t="s">
        <v>2751</v>
      </c>
      <c r="AX912"/>
      <c r="AY912"/>
      <c r="BA912"/>
      <c r="BB912"/>
      <c r="BC912"/>
      <c r="BD912"/>
      <c r="BE912"/>
      <c r="BF912"/>
      <c r="BG912"/>
      <c r="BH912"/>
      <c r="BI912"/>
      <c r="BJ912"/>
      <c r="BR912"/>
      <c r="BS912"/>
      <c r="BT912"/>
      <c r="BU912"/>
      <c r="BX912"/>
      <c r="BY912"/>
      <c r="CA912"/>
    </row>
    <row r="913" spans="2:79" ht="18.75">
      <c r="B913" s="252" t="s">
        <v>1037</v>
      </c>
      <c r="C913" s="251">
        <v>28903657000188</v>
      </c>
      <c r="D913" s="252" t="s">
        <v>11</v>
      </c>
      <c r="E913" s="252" t="s">
        <v>620</v>
      </c>
      <c r="F913" s="252" t="s">
        <v>685</v>
      </c>
      <c r="G913" s="253" t="s">
        <v>738</v>
      </c>
      <c r="H913" s="253" t="s">
        <v>34</v>
      </c>
      <c r="I913" s="253" t="s">
        <v>1319</v>
      </c>
      <c r="J913" s="253" t="s">
        <v>608</v>
      </c>
      <c r="K913" s="253" t="s">
        <v>48</v>
      </c>
      <c r="L913" s="655"/>
      <c r="M913" s="655" t="s">
        <v>34</v>
      </c>
      <c r="N913" s="253" t="s">
        <v>3519</v>
      </c>
      <c r="O913" s="253" t="s">
        <v>1321</v>
      </c>
      <c r="P913" s="656">
        <v>43038</v>
      </c>
      <c r="Q913" s="657">
        <v>218.74032948000001</v>
      </c>
      <c r="R913" s="657">
        <v>186.98275955205648</v>
      </c>
      <c r="S913" s="253">
        <v>91</v>
      </c>
      <c r="T913" s="658">
        <v>2.2785657887342436E-2</v>
      </c>
      <c r="U913" s="659">
        <v>1.1393751852593896</v>
      </c>
      <c r="V913" s="658">
        <v>0.15501895927961651</v>
      </c>
      <c r="W913" s="659">
        <v>1.2022200966660517</v>
      </c>
      <c r="X913" s="658">
        <v>0.26207648355138935</v>
      </c>
      <c r="Y913" s="659">
        <v>1.3572921627519554</v>
      </c>
      <c r="Z913" s="658">
        <v>0.33233446555525781</v>
      </c>
      <c r="AA913" s="659">
        <v>1.5005821736705311</v>
      </c>
      <c r="AB913" s="658">
        <v>9.0653768962968757E-4</v>
      </c>
      <c r="AC913" s="660">
        <v>28.763337841452106</v>
      </c>
      <c r="AD913" s="682">
        <v>0</v>
      </c>
      <c r="AE913" s="944" t="s">
        <v>1957</v>
      </c>
      <c r="AF913" s="661" t="s">
        <v>1861</v>
      </c>
      <c r="AG913" s="662" t="s">
        <v>719</v>
      </c>
      <c r="AH913" s="662" t="s">
        <v>1730</v>
      </c>
      <c r="AI913" s="662">
        <v>10000</v>
      </c>
      <c r="AJ913" s="662">
        <v>0</v>
      </c>
      <c r="AK913" s="662">
        <v>0</v>
      </c>
      <c r="AL913" s="658">
        <v>0.02</v>
      </c>
      <c r="AM913" s="658">
        <v>0.2</v>
      </c>
      <c r="AN913" s="659" t="s">
        <v>64</v>
      </c>
      <c r="AO913" s="253" t="s">
        <v>34</v>
      </c>
      <c r="AP913" s="944" t="s">
        <v>1746</v>
      </c>
      <c r="AQ913" s="663" t="s">
        <v>668</v>
      </c>
      <c r="AR913" s="658">
        <v>6.6666666666666697E-3</v>
      </c>
      <c r="AS913" s="658">
        <v>6.6666666666666697E-3</v>
      </c>
      <c r="AT913" s="658" t="s">
        <v>1417</v>
      </c>
      <c r="AU913" s="658" t="s">
        <v>2751</v>
      </c>
      <c r="AX913"/>
      <c r="AY913"/>
      <c r="BA913"/>
      <c r="BB913"/>
      <c r="BC913"/>
      <c r="BD913"/>
      <c r="BE913"/>
      <c r="BF913"/>
      <c r="BG913"/>
      <c r="BH913"/>
      <c r="BI913"/>
      <c r="BJ913"/>
      <c r="BR913"/>
      <c r="BS913"/>
      <c r="BT913"/>
      <c r="BU913"/>
      <c r="BX913"/>
      <c r="BY913"/>
      <c r="CA913"/>
    </row>
    <row r="914" spans="2:79" ht="18.75">
      <c r="B914" s="252" t="s">
        <v>266</v>
      </c>
      <c r="C914" s="251">
        <v>26725138000141</v>
      </c>
      <c r="D914" s="252" t="s">
        <v>13</v>
      </c>
      <c r="E914" s="252" t="s">
        <v>615</v>
      </c>
      <c r="F914" s="252" t="s">
        <v>619</v>
      </c>
      <c r="G914" s="253" t="s">
        <v>34</v>
      </c>
      <c r="H914" s="253" t="s">
        <v>1338</v>
      </c>
      <c r="I914" s="253" t="s">
        <v>34</v>
      </c>
      <c r="J914" s="253" t="s">
        <v>1417</v>
      </c>
      <c r="K914" s="253" t="s">
        <v>48</v>
      </c>
      <c r="L914" s="655"/>
      <c r="M914" s="655" t="s">
        <v>34</v>
      </c>
      <c r="N914" s="253" t="s">
        <v>3520</v>
      </c>
      <c r="O914" s="253" t="s">
        <v>1321</v>
      </c>
      <c r="P914" s="656">
        <v>42753</v>
      </c>
      <c r="Q914" s="657">
        <v>13.623301</v>
      </c>
      <c r="R914" s="657">
        <v>24.699886260162604</v>
      </c>
      <c r="S914" s="253">
        <v>7</v>
      </c>
      <c r="T914" s="658">
        <v>-2.243672251618356E-2</v>
      </c>
      <c r="U914" s="659">
        <v>-1.1219270033757078</v>
      </c>
      <c r="V914" s="658">
        <v>9.0754983089407659E-2</v>
      </c>
      <c r="W914" s="659">
        <v>0.70383303467977898</v>
      </c>
      <c r="X914" s="658">
        <v>0.10718629136729163</v>
      </c>
      <c r="Y914" s="659">
        <v>0.55511700727908075</v>
      </c>
      <c r="Z914" s="658">
        <v>0.21645861699507241</v>
      </c>
      <c r="AA914" s="659">
        <v>0.97737061805338199</v>
      </c>
      <c r="AB914" s="658">
        <v>9.5728932669079725E-2</v>
      </c>
      <c r="AC914" s="660">
        <v>-0.39892773577027091</v>
      </c>
      <c r="AD914" s="682">
        <v>26725144000107</v>
      </c>
      <c r="AE914" s="944" t="s">
        <v>1945</v>
      </c>
      <c r="AF914" s="661" t="s">
        <v>1769</v>
      </c>
      <c r="AG914" s="662" t="s">
        <v>719</v>
      </c>
      <c r="AH914" s="662" t="s">
        <v>1734</v>
      </c>
      <c r="AI914" s="662">
        <v>5000</v>
      </c>
      <c r="AJ914" s="662">
        <v>1000</v>
      </c>
      <c r="AK914" s="662">
        <v>4000</v>
      </c>
      <c r="AL914" s="658">
        <v>1.4999999999999999E-2</v>
      </c>
      <c r="AM914" s="658">
        <v>0.2</v>
      </c>
      <c r="AN914" s="659" t="s">
        <v>64</v>
      </c>
      <c r="AO914" s="253" t="s">
        <v>34</v>
      </c>
      <c r="AP914" s="944" t="s">
        <v>1746</v>
      </c>
      <c r="AQ914" s="663" t="s">
        <v>668</v>
      </c>
      <c r="AR914" s="658">
        <v>5.0000000000000001E-3</v>
      </c>
      <c r="AS914" s="658">
        <v>5.0000000000000001E-3</v>
      </c>
      <c r="AT914" s="658" t="s">
        <v>1417</v>
      </c>
      <c r="AU914" s="658" t="s">
        <v>2751</v>
      </c>
      <c r="AX914"/>
      <c r="AY914"/>
      <c r="BA914"/>
      <c r="BB914"/>
      <c r="BC914"/>
      <c r="BD914"/>
      <c r="BE914"/>
      <c r="BF914"/>
      <c r="BG914"/>
      <c r="BH914"/>
      <c r="BI914"/>
      <c r="BJ914"/>
      <c r="BR914"/>
      <c r="BS914"/>
      <c r="BT914"/>
      <c r="BU914"/>
      <c r="BX914"/>
      <c r="BY914"/>
      <c r="CA914"/>
    </row>
    <row r="915" spans="2:79" ht="18.75">
      <c r="B915" s="252" t="s">
        <v>267</v>
      </c>
      <c r="C915" s="251">
        <v>37008385000143</v>
      </c>
      <c r="D915" s="252" t="s">
        <v>13</v>
      </c>
      <c r="E915" s="252" t="s">
        <v>616</v>
      </c>
      <c r="F915" s="252" t="s">
        <v>619</v>
      </c>
      <c r="G915" s="253" t="s">
        <v>34</v>
      </c>
      <c r="H915" s="253" t="s">
        <v>1338</v>
      </c>
      <c r="I915" s="253" t="s">
        <v>34</v>
      </c>
      <c r="J915" s="253" t="s">
        <v>611</v>
      </c>
      <c r="K915" s="253" t="s">
        <v>48</v>
      </c>
      <c r="L915" s="655"/>
      <c r="M915" s="655" t="s">
        <v>34</v>
      </c>
      <c r="N915" s="253" t="s">
        <v>3521</v>
      </c>
      <c r="O915" s="253" t="s">
        <v>1321</v>
      </c>
      <c r="P915" s="656">
        <v>43965</v>
      </c>
      <c r="Q915" s="657">
        <v>21.317320609999999</v>
      </c>
      <c r="R915" s="657">
        <v>28.142778811788624</v>
      </c>
      <c r="S915" s="253">
        <v>95</v>
      </c>
      <c r="T915" s="658">
        <v>2.4209775957586777E-2</v>
      </c>
      <c r="U915" s="659">
        <v>1.2105868570109108</v>
      </c>
      <c r="V915" s="658">
        <v>-0.12045141619679556</v>
      </c>
      <c r="W915" s="659">
        <v>-0.93413808153926481</v>
      </c>
      <c r="X915" s="658">
        <v>-4.5453574623138926E-2</v>
      </c>
      <c r="Y915" s="659">
        <v>-0.23540372554239641</v>
      </c>
      <c r="Z915" s="658"/>
      <c r="AA915" s="659"/>
      <c r="AB915" s="658">
        <v>0.19916980094342057</v>
      </c>
      <c r="AC915" s="660">
        <v>-1.2521743982383715</v>
      </c>
      <c r="AD915" s="682">
        <v>0</v>
      </c>
      <c r="AE915" s="944" t="s">
        <v>2015</v>
      </c>
      <c r="AF915" s="661" t="s">
        <v>1745</v>
      </c>
      <c r="AG915" s="662" t="s">
        <v>1432</v>
      </c>
      <c r="AH915" s="662" t="s">
        <v>1734</v>
      </c>
      <c r="AI915" s="662">
        <v>10000</v>
      </c>
      <c r="AJ915" s="662">
        <v>1000</v>
      </c>
      <c r="AK915" s="662">
        <v>5000</v>
      </c>
      <c r="AL915" s="658">
        <v>1.4999999999999999E-2</v>
      </c>
      <c r="AM915" s="658">
        <v>0.2</v>
      </c>
      <c r="AN915" s="659" t="s">
        <v>64</v>
      </c>
      <c r="AO915" s="253" t="s">
        <v>34</v>
      </c>
      <c r="AP915" s="944" t="s">
        <v>1746</v>
      </c>
      <c r="AQ915" s="663" t="s">
        <v>668</v>
      </c>
      <c r="AR915" s="658">
        <v>4.0000000000000001E-3</v>
      </c>
      <c r="AS915" s="658">
        <v>4.0000000000000001E-3</v>
      </c>
      <c r="AT915" s="658" t="s">
        <v>1417</v>
      </c>
      <c r="AU915" s="658" t="s">
        <v>2751</v>
      </c>
      <c r="AX915"/>
      <c r="AY915"/>
      <c r="BA915"/>
      <c r="BB915"/>
      <c r="BC915"/>
      <c r="BD915"/>
      <c r="BE915"/>
      <c r="BF915"/>
      <c r="BG915"/>
      <c r="BH915"/>
      <c r="BI915"/>
      <c r="BJ915"/>
      <c r="BR915"/>
      <c r="BS915"/>
      <c r="BT915"/>
      <c r="BU915"/>
      <c r="BX915"/>
      <c r="BY915"/>
      <c r="CA915"/>
    </row>
    <row r="916" spans="2:79" ht="18.75">
      <c r="B916" s="252" t="s">
        <v>1605</v>
      </c>
      <c r="C916" s="251">
        <v>35343303000191</v>
      </c>
      <c r="D916" s="252" t="s">
        <v>14</v>
      </c>
      <c r="E916" s="252" t="s">
        <v>607</v>
      </c>
      <c r="F916" s="252" t="s">
        <v>1417</v>
      </c>
      <c r="G916" s="253" t="s">
        <v>1417</v>
      </c>
      <c r="H916" s="253" t="s">
        <v>34</v>
      </c>
      <c r="I916" s="253" t="s">
        <v>34</v>
      </c>
      <c r="J916" s="253" t="s">
        <v>611</v>
      </c>
      <c r="K916" s="253" t="s">
        <v>48</v>
      </c>
      <c r="L916" s="655"/>
      <c r="M916" s="655" t="s">
        <v>34</v>
      </c>
      <c r="N916" s="253" t="s">
        <v>3522</v>
      </c>
      <c r="O916" s="253" t="s">
        <v>1321</v>
      </c>
      <c r="P916" s="656">
        <v>43814</v>
      </c>
      <c r="Q916" s="657">
        <v>0</v>
      </c>
      <c r="R916" s="657">
        <v>3.3107710420388363</v>
      </c>
      <c r="S916" s="253">
        <v>102</v>
      </c>
      <c r="T916" s="658"/>
      <c r="U916" s="659"/>
      <c r="V916" s="658">
        <v>-0.164289883083233</v>
      </c>
      <c r="W916" s="659">
        <v>-1.2741189854417356</v>
      </c>
      <c r="X916" s="658">
        <v>-0.26558981864750297</v>
      </c>
      <c r="Y916" s="659">
        <v>-1.3754876991330032</v>
      </c>
      <c r="Z916" s="658">
        <v>-0.33744793470634771</v>
      </c>
      <c r="AA916" s="659">
        <v>-1.5236709033962292</v>
      </c>
      <c r="AB916" s="658">
        <v>0.25192758034860518</v>
      </c>
      <c r="AC916" s="660">
        <v>-1.1639606593460654</v>
      </c>
      <c r="AD916" s="682">
        <v>35726390000166</v>
      </c>
      <c r="AE916" s="944" t="s">
        <v>1996</v>
      </c>
      <c r="AF916" s="661" t="s">
        <v>1745</v>
      </c>
      <c r="AG916" s="662" t="s">
        <v>1432</v>
      </c>
      <c r="AH916" s="662" t="s">
        <v>1801</v>
      </c>
      <c r="AI916" s="662">
        <v>100000</v>
      </c>
      <c r="AJ916" s="662">
        <v>10000</v>
      </c>
      <c r="AK916" s="662">
        <v>100000</v>
      </c>
      <c r="AL916" s="658">
        <v>1.6E-2</v>
      </c>
      <c r="AM916" s="658">
        <v>0.2</v>
      </c>
      <c r="AN916" s="659" t="s">
        <v>34</v>
      </c>
      <c r="AO916" s="253" t="s">
        <v>34</v>
      </c>
      <c r="AP916" s="944" t="s">
        <v>1731</v>
      </c>
      <c r="AQ916" s="663" t="s">
        <v>687</v>
      </c>
      <c r="AR916" s="658">
        <v>3.2000000000000002E-3</v>
      </c>
      <c r="AS916" s="658">
        <v>3.2000000000000002E-3</v>
      </c>
      <c r="AT916" s="658" t="s">
        <v>1417</v>
      </c>
      <c r="AU916" s="658" t="s">
        <v>2751</v>
      </c>
      <c r="AX916"/>
      <c r="AY916"/>
      <c r="BA916"/>
      <c r="BB916"/>
      <c r="BC916"/>
      <c r="BD916"/>
      <c r="BE916"/>
      <c r="BF916"/>
      <c r="BG916"/>
      <c r="BH916"/>
      <c r="BI916"/>
      <c r="BJ916"/>
      <c r="BR916"/>
      <c r="BS916"/>
      <c r="BT916"/>
      <c r="BU916"/>
      <c r="BX916"/>
      <c r="BY916"/>
      <c r="CA916"/>
    </row>
    <row r="917" spans="2:79" ht="18.75">
      <c r="B917" s="252" t="s">
        <v>268</v>
      </c>
      <c r="C917" s="251">
        <v>36828894000150</v>
      </c>
      <c r="D917" s="252" t="s">
        <v>14</v>
      </c>
      <c r="E917" s="252" t="s">
        <v>607</v>
      </c>
      <c r="F917" s="252" t="s">
        <v>1417</v>
      </c>
      <c r="G917" s="253" t="s">
        <v>1417</v>
      </c>
      <c r="H917" s="253" t="s">
        <v>34</v>
      </c>
      <c r="I917" s="253" t="s">
        <v>34</v>
      </c>
      <c r="J917" s="253" t="s">
        <v>608</v>
      </c>
      <c r="K917" s="253" t="s">
        <v>48</v>
      </c>
      <c r="L917" s="655"/>
      <c r="M917" s="655" t="s">
        <v>1414</v>
      </c>
      <c r="N917" s="253" t="s">
        <v>3523</v>
      </c>
      <c r="O917" s="253" t="s">
        <v>1321</v>
      </c>
      <c r="P917" s="656">
        <v>43987</v>
      </c>
      <c r="Q917" s="657">
        <v>8.4481026700000008</v>
      </c>
      <c r="R917" s="657">
        <v>10.706645085823293</v>
      </c>
      <c r="S917" s="253">
        <v>62</v>
      </c>
      <c r="T917" s="658">
        <v>-8.5222375199496492E-2</v>
      </c>
      <c r="U917" s="659">
        <v>-4.2614639441730269</v>
      </c>
      <c r="V917" s="658">
        <v>-0.23172327927265957</v>
      </c>
      <c r="W917" s="659">
        <v>-1.7970858822788018</v>
      </c>
      <c r="X917" s="658">
        <v>-0.3240290311758327</v>
      </c>
      <c r="Y917" s="659">
        <v>-1.6781439469857204</v>
      </c>
      <c r="Z917" s="658"/>
      <c r="AA917" s="659"/>
      <c r="AB917" s="658">
        <v>0.25158752975046222</v>
      </c>
      <c r="AC917" s="660">
        <v>-1.4335654437132741</v>
      </c>
      <c r="AD917" s="682">
        <v>18324976000185</v>
      </c>
      <c r="AE917" s="944" t="s">
        <v>1996</v>
      </c>
      <c r="AF917" s="661" t="s">
        <v>1745</v>
      </c>
      <c r="AG917" s="662" t="s">
        <v>1432</v>
      </c>
      <c r="AH917" s="662" t="s">
        <v>1734</v>
      </c>
      <c r="AI917" s="662">
        <v>5000</v>
      </c>
      <c r="AJ917" s="662">
        <v>1000</v>
      </c>
      <c r="AK917" s="662">
        <v>5000</v>
      </c>
      <c r="AL917" s="658">
        <v>1.8000000000000002E-2</v>
      </c>
      <c r="AM917" s="658">
        <v>0.2</v>
      </c>
      <c r="AN917" s="659" t="s">
        <v>34</v>
      </c>
      <c r="AO917" s="253" t="s">
        <v>34</v>
      </c>
      <c r="AP917" s="944" t="s">
        <v>1731</v>
      </c>
      <c r="AQ917" s="663" t="s">
        <v>659</v>
      </c>
      <c r="AR917" s="658">
        <v>3.5999999999999999E-3</v>
      </c>
      <c r="AS917" s="658">
        <v>3.5999999999999999E-3</v>
      </c>
      <c r="AT917" s="658" t="s">
        <v>1417</v>
      </c>
      <c r="AU917" s="658" t="s">
        <v>2751</v>
      </c>
      <c r="AX917"/>
      <c r="AY917"/>
      <c r="BA917"/>
      <c r="BB917"/>
      <c r="BC917"/>
      <c r="BD917"/>
      <c r="BE917"/>
      <c r="BF917"/>
      <c r="BG917"/>
      <c r="BH917"/>
      <c r="BI917"/>
      <c r="BJ917"/>
      <c r="BR917"/>
      <c r="BS917"/>
      <c r="BT917"/>
      <c r="BU917"/>
      <c r="BX917"/>
      <c r="BY917"/>
      <c r="CA917"/>
    </row>
    <row r="918" spans="2:79" ht="18.75">
      <c r="B918" s="252" t="s">
        <v>559</v>
      </c>
      <c r="C918" s="251">
        <v>41881117000109</v>
      </c>
      <c r="D918" s="252" t="s">
        <v>14</v>
      </c>
      <c r="E918" s="252" t="s">
        <v>607</v>
      </c>
      <c r="F918" s="252" t="s">
        <v>1417</v>
      </c>
      <c r="G918" s="253" t="s">
        <v>1417</v>
      </c>
      <c r="H918" s="253" t="s">
        <v>34</v>
      </c>
      <c r="I918" s="253" t="s">
        <v>34</v>
      </c>
      <c r="J918" s="253" t="s">
        <v>608</v>
      </c>
      <c r="K918" s="253" t="s">
        <v>48</v>
      </c>
      <c r="L918" s="655"/>
      <c r="M918" s="655" t="s">
        <v>1414</v>
      </c>
      <c r="N918" s="253" t="s">
        <v>3524</v>
      </c>
      <c r="O918" s="253" t="s">
        <v>1324</v>
      </c>
      <c r="P918" s="656">
        <v>44332</v>
      </c>
      <c r="Q918" s="657">
        <v>2.36220871</v>
      </c>
      <c r="R918" s="657">
        <v>2.7113742180769234</v>
      </c>
      <c r="S918" s="253">
        <v>32</v>
      </c>
      <c r="T918" s="658">
        <v>0.11749343580116789</v>
      </c>
      <c r="U918" s="659">
        <v>5.8751476847672208</v>
      </c>
      <c r="V918" s="658">
        <v>-0.51879345747103978</v>
      </c>
      <c r="W918" s="659">
        <v>-4.0234041273979813</v>
      </c>
      <c r="X918" s="658"/>
      <c r="Y918" s="659"/>
      <c r="Z918" s="658"/>
      <c r="AA918" s="659"/>
      <c r="AB918" s="658">
        <v>1.0362162668373649</v>
      </c>
      <c r="AC918" s="660">
        <v>-0.62509862819929185</v>
      </c>
      <c r="AD918" s="682">
        <v>0</v>
      </c>
      <c r="AE918" s="944" t="s">
        <v>1996</v>
      </c>
      <c r="AF918" s="661" t="s">
        <v>1745</v>
      </c>
      <c r="AG918" s="662" t="s">
        <v>1432</v>
      </c>
      <c r="AH918" s="662" t="s">
        <v>1730</v>
      </c>
      <c r="AI918" s="662">
        <v>5000</v>
      </c>
      <c r="AJ918" s="662">
        <v>5000</v>
      </c>
      <c r="AK918" s="662">
        <v>5000</v>
      </c>
      <c r="AL918" s="658">
        <v>1.2999999999999999E-3</v>
      </c>
      <c r="AM918" s="658">
        <v>0.1</v>
      </c>
      <c r="AN918" s="659" t="s">
        <v>34</v>
      </c>
      <c r="AO918" s="253" t="s">
        <v>34</v>
      </c>
      <c r="AP918" s="944" t="s">
        <v>1731</v>
      </c>
      <c r="AQ918" s="663" t="s">
        <v>659</v>
      </c>
      <c r="AR918" s="658">
        <v>2.5999999999999998E-4</v>
      </c>
      <c r="AS918" s="658">
        <v>2.5999999999999998E-4</v>
      </c>
      <c r="AT918" s="658" t="s">
        <v>1417</v>
      </c>
      <c r="AU918" s="658" t="s">
        <v>2751</v>
      </c>
      <c r="AX918"/>
      <c r="AY918"/>
      <c r="BA918"/>
      <c r="BB918"/>
      <c r="BC918"/>
      <c r="BD918"/>
      <c r="BE918"/>
      <c r="BF918"/>
      <c r="BG918"/>
      <c r="BH918"/>
      <c r="BI918"/>
      <c r="BJ918"/>
      <c r="BR918"/>
      <c r="BS918"/>
      <c r="BT918"/>
      <c r="BU918"/>
      <c r="BX918"/>
      <c r="BY918"/>
      <c r="CA918"/>
    </row>
    <row r="919" spans="2:79" ht="18.75">
      <c r="B919" s="252" t="s">
        <v>269</v>
      </c>
      <c r="C919" s="251">
        <v>37429375000181</v>
      </c>
      <c r="D919" s="252" t="s">
        <v>14</v>
      </c>
      <c r="E919" s="252" t="s">
        <v>607</v>
      </c>
      <c r="F919" s="252" t="s">
        <v>1417</v>
      </c>
      <c r="G919" s="253" t="s">
        <v>1417</v>
      </c>
      <c r="H919" s="253" t="s">
        <v>34</v>
      </c>
      <c r="I919" s="253" t="s">
        <v>34</v>
      </c>
      <c r="J919" s="253" t="s">
        <v>608</v>
      </c>
      <c r="K919" s="253" t="s">
        <v>48</v>
      </c>
      <c r="L919" s="655"/>
      <c r="M919" s="655" t="s">
        <v>1414</v>
      </c>
      <c r="N919" s="253" t="s">
        <v>3525</v>
      </c>
      <c r="O919" s="253" t="s">
        <v>1321</v>
      </c>
      <c r="P919" s="656">
        <v>44027</v>
      </c>
      <c r="Q919" s="657">
        <v>15.7163536</v>
      </c>
      <c r="R919" s="657">
        <v>14.686613890321278</v>
      </c>
      <c r="S919" s="253">
        <v>32</v>
      </c>
      <c r="T919" s="658">
        <v>0.10408135035721622</v>
      </c>
      <c r="U919" s="659">
        <v>5.2044890883390655</v>
      </c>
      <c r="V919" s="658">
        <v>-0.20684960731723423</v>
      </c>
      <c r="W919" s="659">
        <v>-1.6041828435688577</v>
      </c>
      <c r="X919" s="658">
        <v>-0.46972771450306472</v>
      </c>
      <c r="Y919" s="659">
        <v>-2.4327163463233128</v>
      </c>
      <c r="Z919" s="658"/>
      <c r="AA919" s="659"/>
      <c r="AB919" s="658">
        <v>0.46415055358787588</v>
      </c>
      <c r="AC919" s="660">
        <v>-0.72345818435062592</v>
      </c>
      <c r="AD919" s="682">
        <v>0</v>
      </c>
      <c r="AE919" s="944" t="s">
        <v>2021</v>
      </c>
      <c r="AF919" s="661" t="s">
        <v>1745</v>
      </c>
      <c r="AG919" s="662" t="s">
        <v>1432</v>
      </c>
      <c r="AH919" s="662" t="s">
        <v>1801</v>
      </c>
      <c r="AI919" s="662">
        <v>50000</v>
      </c>
      <c r="AJ919" s="662">
        <v>1000</v>
      </c>
      <c r="AK919" s="662">
        <v>1000</v>
      </c>
      <c r="AL919" s="658">
        <v>5.0000000000000001E-3</v>
      </c>
      <c r="AM919" s="658">
        <v>0.2</v>
      </c>
      <c r="AN919" s="659" t="s">
        <v>34</v>
      </c>
      <c r="AO919" s="253" t="s">
        <v>34</v>
      </c>
      <c r="AP919" s="944" t="s">
        <v>1731</v>
      </c>
      <c r="AQ919" s="663" t="s">
        <v>687</v>
      </c>
      <c r="AR919" s="658">
        <v>0</v>
      </c>
      <c r="AS919" s="658">
        <v>0</v>
      </c>
      <c r="AT919" s="658" t="s">
        <v>1417</v>
      </c>
      <c r="AU919" s="658" t="s">
        <v>2751</v>
      </c>
      <c r="AX919"/>
      <c r="AY919"/>
      <c r="BA919"/>
      <c r="BB919"/>
      <c r="BC919"/>
      <c r="BD919"/>
      <c r="BE919"/>
      <c r="BF919"/>
      <c r="BG919"/>
      <c r="BH919"/>
      <c r="BI919"/>
      <c r="BJ919"/>
      <c r="BR919"/>
      <c r="BS919"/>
      <c r="BT919"/>
      <c r="BU919"/>
      <c r="BX919"/>
      <c r="BY919"/>
      <c r="CA919"/>
    </row>
    <row r="920" spans="2:79" ht="18.75">
      <c r="B920" s="252" t="s">
        <v>4518</v>
      </c>
      <c r="C920" s="251">
        <v>35314803000103</v>
      </c>
      <c r="D920" s="252" t="s">
        <v>13</v>
      </c>
      <c r="E920" s="252" t="s">
        <v>615</v>
      </c>
      <c r="F920" s="252" t="s">
        <v>619</v>
      </c>
      <c r="G920" s="253" t="s">
        <v>34</v>
      </c>
      <c r="H920" s="253" t="s">
        <v>1338</v>
      </c>
      <c r="I920" s="253" t="s">
        <v>34</v>
      </c>
      <c r="J920" s="253" t="s">
        <v>608</v>
      </c>
      <c r="K920" s="253" t="s">
        <v>48</v>
      </c>
      <c r="L920" s="655"/>
      <c r="M920" s="655" t="s">
        <v>34</v>
      </c>
      <c r="N920" s="253" t="s">
        <v>4519</v>
      </c>
      <c r="O920" s="253" t="s">
        <v>1321</v>
      </c>
      <c r="P920" s="656">
        <v>43915</v>
      </c>
      <c r="Q920" s="657">
        <v>17.328414070000001</v>
      </c>
      <c r="R920" s="657">
        <v>17.703143337499998</v>
      </c>
      <c r="S920" s="253">
        <v>30</v>
      </c>
      <c r="T920" s="658">
        <v>-1.649124449284356E-2</v>
      </c>
      <c r="U920" s="659">
        <v>-0.82462902068012334</v>
      </c>
      <c r="V920" s="658">
        <v>-1.649124449284356E-2</v>
      </c>
      <c r="W920" s="659">
        <v>-0.12789471455919404</v>
      </c>
      <c r="X920" s="658">
        <v>-1.649124449284356E-2</v>
      </c>
      <c r="Y920" s="659">
        <v>-8.5408032803423378E-2</v>
      </c>
      <c r="Z920" s="658"/>
      <c r="AA920" s="659"/>
      <c r="AB920" s="658">
        <v>0.14548289420597166</v>
      </c>
      <c r="AC920" s="660">
        <v>-0.99967184962465649</v>
      </c>
      <c r="AD920" s="682">
        <v>32318912000100</v>
      </c>
      <c r="AE920" s="944" t="s">
        <v>1809</v>
      </c>
      <c r="AF920" s="661" t="s">
        <v>1729</v>
      </c>
      <c r="AG920" s="662" t="s">
        <v>1433</v>
      </c>
      <c r="AH920" s="662" t="s">
        <v>2119</v>
      </c>
      <c r="AI920" s="662">
        <v>0</v>
      </c>
      <c r="AJ920" s="662">
        <v>0</v>
      </c>
      <c r="AK920" s="662">
        <v>0</v>
      </c>
      <c r="AL920" s="658">
        <v>0.02</v>
      </c>
      <c r="AM920" s="658">
        <v>0.15</v>
      </c>
      <c r="AN920" s="659" t="s">
        <v>64</v>
      </c>
      <c r="AO920" s="253" t="s">
        <v>4397</v>
      </c>
      <c r="AP920" s="944" t="s">
        <v>1746</v>
      </c>
      <c r="AQ920" s="663" t="s">
        <v>2177</v>
      </c>
      <c r="AR920" s="658">
        <v>0</v>
      </c>
      <c r="AS920" s="658">
        <v>0</v>
      </c>
      <c r="AT920" s="658" t="s">
        <v>1417</v>
      </c>
      <c r="AU920" s="658" t="s">
        <v>2751</v>
      </c>
      <c r="AX920"/>
      <c r="AY920"/>
      <c r="BA920"/>
      <c r="BB920"/>
      <c r="BC920"/>
      <c r="BD920"/>
      <c r="BE920"/>
      <c r="BF920"/>
      <c r="BG920"/>
      <c r="BH920"/>
      <c r="BI920"/>
      <c r="BJ920"/>
      <c r="BR920"/>
      <c r="BS920"/>
      <c r="BT920"/>
      <c r="BU920"/>
      <c r="BX920"/>
      <c r="BY920"/>
      <c r="CA920"/>
    </row>
    <row r="921" spans="2:79" ht="18.75">
      <c r="B921" s="252" t="s">
        <v>270</v>
      </c>
      <c r="C921" s="251">
        <v>10320151000180</v>
      </c>
      <c r="D921" s="252" t="s">
        <v>14</v>
      </c>
      <c r="E921" s="252" t="s">
        <v>607</v>
      </c>
      <c r="F921" s="252" t="s">
        <v>1417</v>
      </c>
      <c r="G921" s="253" t="s">
        <v>1417</v>
      </c>
      <c r="H921" s="253" t="s">
        <v>34</v>
      </c>
      <c r="I921" s="253" t="s">
        <v>34</v>
      </c>
      <c r="J921" s="253" t="s">
        <v>608</v>
      </c>
      <c r="K921" s="253" t="s">
        <v>48</v>
      </c>
      <c r="L921" s="655"/>
      <c r="M921" s="655" t="s">
        <v>34</v>
      </c>
      <c r="N921" s="253" t="s">
        <v>3526</v>
      </c>
      <c r="O921" s="253" t="s">
        <v>1321</v>
      </c>
      <c r="P921" s="656">
        <v>39722</v>
      </c>
      <c r="Q921" s="657">
        <v>136.16502500000001</v>
      </c>
      <c r="R921" s="657">
        <v>169.31780921774188</v>
      </c>
      <c r="S921" s="253">
        <v>30</v>
      </c>
      <c r="T921" s="658">
        <v>-2.3584760339889765E-3</v>
      </c>
      <c r="U921" s="659">
        <v>-0.1179333544566545</v>
      </c>
      <c r="V921" s="658">
        <v>-0.15063018488324742</v>
      </c>
      <c r="W921" s="659">
        <v>-1.1681837903744372</v>
      </c>
      <c r="X921" s="658">
        <v>-0.31450706901679337</v>
      </c>
      <c r="Y921" s="659">
        <v>-1.6288297756516465</v>
      </c>
      <c r="Z921" s="658">
        <v>-0.34921445634401882</v>
      </c>
      <c r="AA921" s="659">
        <v>-1.5768000080953084</v>
      </c>
      <c r="AB921" s="658">
        <v>0.26939594395243899</v>
      </c>
      <c r="AC921" s="660">
        <v>-1.0377813794382655</v>
      </c>
      <c r="AD921" s="682">
        <v>37895385000102</v>
      </c>
      <c r="AE921" s="944" t="s">
        <v>1809</v>
      </c>
      <c r="AF921" s="661" t="s">
        <v>1729</v>
      </c>
      <c r="AG921" s="662" t="s">
        <v>1433</v>
      </c>
      <c r="AH921" s="662" t="s">
        <v>1730</v>
      </c>
      <c r="AI921" s="662">
        <v>100000</v>
      </c>
      <c r="AJ921" s="662">
        <v>20000</v>
      </c>
      <c r="AK921" s="662">
        <v>100000</v>
      </c>
      <c r="AL921" s="658">
        <v>0.02</v>
      </c>
      <c r="AM921" s="658">
        <v>0.15</v>
      </c>
      <c r="AN921" s="659" t="s">
        <v>2141</v>
      </c>
      <c r="AO921" s="253" t="s">
        <v>34</v>
      </c>
      <c r="AP921" s="944" t="s">
        <v>1731</v>
      </c>
      <c r="AQ921" s="663" t="s">
        <v>659</v>
      </c>
      <c r="AR921" s="658">
        <v>5.0000000000000001E-3</v>
      </c>
      <c r="AS921" s="658">
        <v>5.0000000000000001E-3</v>
      </c>
      <c r="AT921" s="658" t="s">
        <v>1417</v>
      </c>
      <c r="AU921" s="658" t="s">
        <v>2751</v>
      </c>
      <c r="AX921"/>
      <c r="AY921"/>
      <c r="BA921"/>
      <c r="BB921"/>
      <c r="BC921"/>
      <c r="BD921"/>
      <c r="BE921"/>
      <c r="BF921"/>
      <c r="BG921"/>
      <c r="BH921"/>
      <c r="BI921"/>
      <c r="BJ921"/>
      <c r="BR921"/>
      <c r="BS921"/>
      <c r="BT921"/>
      <c r="BU921"/>
      <c r="BX921"/>
      <c r="BY921"/>
      <c r="CA921"/>
    </row>
    <row r="922" spans="2:79" ht="18.75">
      <c r="B922" s="252" t="s">
        <v>1038</v>
      </c>
      <c r="C922" s="251">
        <v>26768800000140</v>
      </c>
      <c r="D922" s="252" t="s">
        <v>14</v>
      </c>
      <c r="E922" s="252" t="s">
        <v>607</v>
      </c>
      <c r="F922" s="252" t="s">
        <v>1417</v>
      </c>
      <c r="G922" s="253" t="s">
        <v>1417</v>
      </c>
      <c r="H922" s="253" t="s">
        <v>34</v>
      </c>
      <c r="I922" s="253" t="s">
        <v>34</v>
      </c>
      <c r="J922" s="253" t="s">
        <v>608</v>
      </c>
      <c r="K922" s="253" t="s">
        <v>48</v>
      </c>
      <c r="L922" s="655"/>
      <c r="M922" s="655" t="s">
        <v>34</v>
      </c>
      <c r="N922" s="253" t="s">
        <v>3527</v>
      </c>
      <c r="O922" s="253" t="s">
        <v>1321</v>
      </c>
      <c r="P922" s="656">
        <v>42809</v>
      </c>
      <c r="Q922" s="657">
        <v>303.48143199999998</v>
      </c>
      <c r="R922" s="657">
        <v>486.50082064257015</v>
      </c>
      <c r="S922" s="253">
        <v>30</v>
      </c>
      <c r="T922" s="658">
        <v>-3.8051190534984847E-2</v>
      </c>
      <c r="U922" s="659">
        <v>-1.9027136490635372</v>
      </c>
      <c r="V922" s="658">
        <v>-0.14124716343878008</v>
      </c>
      <c r="W922" s="659">
        <v>-1.095415549635316</v>
      </c>
      <c r="X922" s="658">
        <v>-0.27134357121901831</v>
      </c>
      <c r="Y922" s="659">
        <v>-1.4052863409871106</v>
      </c>
      <c r="Z922" s="658">
        <v>-0.30595813762508617</v>
      </c>
      <c r="AA922" s="659">
        <v>-1.3814857464228349</v>
      </c>
      <c r="AB922" s="658">
        <v>0.27615569134884055</v>
      </c>
      <c r="AC922" s="660">
        <v>-0.97840124737556977</v>
      </c>
      <c r="AD922" s="682">
        <v>10346018000101</v>
      </c>
      <c r="AE922" s="944" t="s">
        <v>1809</v>
      </c>
      <c r="AF922" s="661" t="s">
        <v>1729</v>
      </c>
      <c r="AG922" s="662" t="s">
        <v>1433</v>
      </c>
      <c r="AH922" s="662" t="s">
        <v>1734</v>
      </c>
      <c r="AI922" s="662">
        <v>1000</v>
      </c>
      <c r="AJ922" s="662">
        <v>1000</v>
      </c>
      <c r="AK922" s="662">
        <v>100</v>
      </c>
      <c r="AL922" s="658">
        <v>0.02</v>
      </c>
      <c r="AM922" s="658">
        <v>0.2</v>
      </c>
      <c r="AN922" s="659" t="s">
        <v>2127</v>
      </c>
      <c r="AO922" s="253" t="s">
        <v>34</v>
      </c>
      <c r="AP922" s="944" t="s">
        <v>1731</v>
      </c>
      <c r="AQ922" s="663" t="s">
        <v>659</v>
      </c>
      <c r="AR922" s="658">
        <v>5.0000000000000001E-3</v>
      </c>
      <c r="AS922" s="658">
        <v>5.0000000000000001E-3</v>
      </c>
      <c r="AT922" s="658" t="s">
        <v>1417</v>
      </c>
      <c r="AU922" s="658" t="s">
        <v>2751</v>
      </c>
      <c r="AX922"/>
      <c r="AY922"/>
      <c r="BA922"/>
      <c r="BB922"/>
      <c r="BC922"/>
      <c r="BD922"/>
      <c r="BE922"/>
      <c r="BF922"/>
      <c r="BG922"/>
      <c r="BH922"/>
      <c r="BI922"/>
      <c r="BJ922"/>
      <c r="BR922"/>
      <c r="BS922"/>
      <c r="BT922"/>
      <c r="BU922"/>
      <c r="BX922"/>
      <c r="BY922"/>
      <c r="CA922"/>
    </row>
    <row r="923" spans="2:79" ht="18.75">
      <c r="B923" s="252" t="s">
        <v>4520</v>
      </c>
      <c r="C923" s="251">
        <v>11098129000109</v>
      </c>
      <c r="D923" s="252" t="s">
        <v>13</v>
      </c>
      <c r="E923" s="252" t="s">
        <v>615</v>
      </c>
      <c r="F923" s="252" t="s">
        <v>619</v>
      </c>
      <c r="G923" s="253" t="s">
        <v>34</v>
      </c>
      <c r="H923" s="253" t="s">
        <v>1338</v>
      </c>
      <c r="I923" s="253" t="s">
        <v>34</v>
      </c>
      <c r="J923" s="253" t="s">
        <v>608</v>
      </c>
      <c r="K923" s="253" t="s">
        <v>48</v>
      </c>
      <c r="L923" s="655"/>
      <c r="M923" s="655" t="s">
        <v>34</v>
      </c>
      <c r="N923" s="253" t="s">
        <v>4521</v>
      </c>
      <c r="O923" s="253" t="s">
        <v>1321</v>
      </c>
      <c r="P923" s="656">
        <v>40149</v>
      </c>
      <c r="Q923" s="657">
        <v>320.68935599999998</v>
      </c>
      <c r="R923" s="657">
        <v>323.63856525</v>
      </c>
      <c r="S923" s="253">
        <v>4</v>
      </c>
      <c r="T923" s="658">
        <v>-8.7456366831949461E-3</v>
      </c>
      <c r="U923" s="659">
        <v>-0.43731725743420063</v>
      </c>
      <c r="V923" s="658">
        <v>-8.7456366831949461E-3</v>
      </c>
      <c r="W923" s="659">
        <v>-6.7825124278584351E-2</v>
      </c>
      <c r="X923" s="658">
        <v>-8.7456366831949461E-3</v>
      </c>
      <c r="Y923" s="659">
        <v>-4.5293587457834225E-2</v>
      </c>
      <c r="Z923" s="658">
        <v>-8.7456366831949461E-3</v>
      </c>
      <c r="AA923" s="659">
        <v>-3.948897229865956E-2</v>
      </c>
      <c r="AB923" s="658">
        <v>8.2476691136062444E-2</v>
      </c>
      <c r="AC923" s="660">
        <v>-1.6694358640410996</v>
      </c>
      <c r="AD923" s="682">
        <v>0</v>
      </c>
      <c r="AE923" s="944" t="s">
        <v>1809</v>
      </c>
      <c r="AF923" s="661" t="s">
        <v>1729</v>
      </c>
      <c r="AG923" s="662" t="s">
        <v>1433</v>
      </c>
      <c r="AH923" s="662" t="s">
        <v>2119</v>
      </c>
      <c r="AI923" s="662">
        <v>0</v>
      </c>
      <c r="AJ923" s="662">
        <v>0</v>
      </c>
      <c r="AK923" s="662">
        <v>0</v>
      </c>
      <c r="AL923" s="658">
        <v>0.02</v>
      </c>
      <c r="AM923" s="658">
        <v>0</v>
      </c>
      <c r="AN923" s="659" t="s">
        <v>64</v>
      </c>
      <c r="AO923" s="253" t="s">
        <v>4397</v>
      </c>
      <c r="AP923" s="944" t="s">
        <v>1746</v>
      </c>
      <c r="AQ923" s="663" t="s">
        <v>2177</v>
      </c>
      <c r="AR923" s="658">
        <v>0</v>
      </c>
      <c r="AS923" s="658">
        <v>0</v>
      </c>
      <c r="AT923" s="658" t="s">
        <v>1417</v>
      </c>
      <c r="AU923" s="658" t="s">
        <v>2751</v>
      </c>
      <c r="AX923"/>
      <c r="AY923"/>
      <c r="BA923"/>
      <c r="BB923"/>
      <c r="BC923"/>
      <c r="BD923"/>
      <c r="BE923"/>
      <c r="BF923"/>
      <c r="BG923"/>
      <c r="BH923"/>
      <c r="BI923"/>
      <c r="BJ923"/>
      <c r="BR923"/>
      <c r="BS923"/>
      <c r="BT923"/>
      <c r="BU923"/>
      <c r="BX923"/>
      <c r="BY923"/>
      <c r="CA923"/>
    </row>
    <row r="924" spans="2:79" ht="18.75">
      <c r="B924" s="252" t="s">
        <v>1039</v>
      </c>
      <c r="C924" s="251">
        <v>39511032000197</v>
      </c>
      <c r="D924" s="252" t="s">
        <v>11</v>
      </c>
      <c r="E924" s="252" t="s">
        <v>620</v>
      </c>
      <c r="F924" s="252" t="s">
        <v>663</v>
      </c>
      <c r="G924" s="253" t="s">
        <v>738</v>
      </c>
      <c r="H924" s="253" t="s">
        <v>34</v>
      </c>
      <c r="I924" s="253" t="s">
        <v>1417</v>
      </c>
      <c r="J924" s="253" t="s">
        <v>608</v>
      </c>
      <c r="K924" s="253" t="s">
        <v>48</v>
      </c>
      <c r="L924" s="655"/>
      <c r="M924" s="655" t="s">
        <v>34</v>
      </c>
      <c r="N924" s="253" t="s">
        <v>3528</v>
      </c>
      <c r="O924" s="253" t="s">
        <v>1321</v>
      </c>
      <c r="P924" s="656">
        <v>44487</v>
      </c>
      <c r="Q924" s="657">
        <v>318.11844210999999</v>
      </c>
      <c r="R924" s="657">
        <v>95.53558258612334</v>
      </c>
      <c r="S924" s="253">
        <v>46</v>
      </c>
      <c r="T924" s="658">
        <v>7.9888549676270237E-3</v>
      </c>
      <c r="U924" s="659">
        <v>0.39947510639167533</v>
      </c>
      <c r="V924" s="658">
        <v>0.13262364583362007</v>
      </c>
      <c r="W924" s="659">
        <v>1.0285374966729255</v>
      </c>
      <c r="X924" s="658"/>
      <c r="Y924" s="659"/>
      <c r="Z924" s="658"/>
      <c r="AA924" s="659"/>
      <c r="AB924" s="658">
        <v>1.2835099007406054E-2</v>
      </c>
      <c r="AC924" s="660">
        <v>0.28669326077722163</v>
      </c>
      <c r="AD924" s="682">
        <v>39487617000119</v>
      </c>
      <c r="AE924" s="944" t="s">
        <v>1965</v>
      </c>
      <c r="AF924" s="661" t="s">
        <v>1783</v>
      </c>
      <c r="AG924" s="662" t="s">
        <v>736</v>
      </c>
      <c r="AH924" s="662" t="s">
        <v>1730</v>
      </c>
      <c r="AI924" s="662">
        <v>1000</v>
      </c>
      <c r="AJ924" s="662">
        <v>0</v>
      </c>
      <c r="AK924" s="662">
        <v>0</v>
      </c>
      <c r="AL924" s="658">
        <v>0</v>
      </c>
      <c r="AM924" s="658">
        <v>0</v>
      </c>
      <c r="AN924" s="659" t="s">
        <v>64</v>
      </c>
      <c r="AO924" s="253" t="s">
        <v>34</v>
      </c>
      <c r="AP924" s="944" t="s">
        <v>1746</v>
      </c>
      <c r="AQ924" s="663" t="s">
        <v>671</v>
      </c>
      <c r="AR924" s="658">
        <v>1.73333333333333E-3</v>
      </c>
      <c r="AS924" s="658">
        <v>1.2999999999999999E-3</v>
      </c>
      <c r="AT924" s="658" t="s">
        <v>1417</v>
      </c>
      <c r="AU924" s="658" t="s">
        <v>2751</v>
      </c>
      <c r="AX924"/>
      <c r="AY924"/>
      <c r="BA924"/>
      <c r="BB924"/>
      <c r="BC924"/>
      <c r="BD924"/>
      <c r="BE924"/>
      <c r="BF924"/>
      <c r="BG924"/>
      <c r="BH924"/>
      <c r="BI924"/>
      <c r="BJ924"/>
      <c r="BR924"/>
      <c r="BS924"/>
      <c r="BT924"/>
      <c r="BU924"/>
      <c r="BX924"/>
      <c r="BY924"/>
      <c r="CA924"/>
    </row>
    <row r="925" spans="2:79" ht="18.75">
      <c r="B925" s="252" t="s">
        <v>271</v>
      </c>
      <c r="C925" s="251">
        <v>30586677000114</v>
      </c>
      <c r="D925" s="252" t="s">
        <v>13</v>
      </c>
      <c r="E925" s="252" t="s">
        <v>615</v>
      </c>
      <c r="F925" s="252" t="s">
        <v>619</v>
      </c>
      <c r="G925" s="253" t="s">
        <v>34</v>
      </c>
      <c r="H925" s="253" t="s">
        <v>865</v>
      </c>
      <c r="I925" s="253" t="s">
        <v>34</v>
      </c>
      <c r="J925" s="253" t="s">
        <v>611</v>
      </c>
      <c r="K925" s="253" t="s">
        <v>48</v>
      </c>
      <c r="L925" s="655"/>
      <c r="M925" s="655" t="s">
        <v>34</v>
      </c>
      <c r="N925" s="253" t="s">
        <v>3529</v>
      </c>
      <c r="O925" s="253" t="s">
        <v>1321</v>
      </c>
      <c r="P925" s="656">
        <v>43282</v>
      </c>
      <c r="Q925" s="657">
        <v>681.95997708000004</v>
      </c>
      <c r="R925" s="657">
        <v>581.24980658353434</v>
      </c>
      <c r="S925" s="253">
        <v>31</v>
      </c>
      <c r="T925" s="658">
        <v>7.8236125498700737E-3</v>
      </c>
      <c r="U925" s="659">
        <v>0.39121231620692842</v>
      </c>
      <c r="V925" s="658">
        <v>0.17987460283261569</v>
      </c>
      <c r="W925" s="659">
        <v>1.3949833195250301</v>
      </c>
      <c r="X925" s="658">
        <v>0.28756959209874178</v>
      </c>
      <c r="Y925" s="659">
        <v>1.4893207826671087</v>
      </c>
      <c r="Z925" s="658">
        <v>0.44701213007710083</v>
      </c>
      <c r="AA925" s="659">
        <v>2.018383596439409</v>
      </c>
      <c r="AB925" s="658">
        <v>5.4632878061423286E-2</v>
      </c>
      <c r="AC925" s="660">
        <v>0.93223522525330604</v>
      </c>
      <c r="AD925" s="682">
        <v>29236556000163</v>
      </c>
      <c r="AE925" s="944" t="s">
        <v>1965</v>
      </c>
      <c r="AF925" s="661" t="s">
        <v>1729</v>
      </c>
      <c r="AG925" s="662" t="s">
        <v>1433</v>
      </c>
      <c r="AH925" s="662" t="s">
        <v>1734</v>
      </c>
      <c r="AI925" s="662">
        <v>25000</v>
      </c>
      <c r="AJ925" s="662">
        <v>5000</v>
      </c>
      <c r="AK925" s="662">
        <v>10000</v>
      </c>
      <c r="AL925" s="658">
        <v>1.9E-2</v>
      </c>
      <c r="AM925" s="658">
        <v>0.2</v>
      </c>
      <c r="AN925" s="659" t="s">
        <v>2127</v>
      </c>
      <c r="AO925" s="253" t="s">
        <v>34</v>
      </c>
      <c r="AP925" s="944" t="s">
        <v>1746</v>
      </c>
      <c r="AQ925" s="663" t="s">
        <v>664</v>
      </c>
      <c r="AR925" s="658">
        <v>3.8E-3</v>
      </c>
      <c r="AS925" s="658">
        <v>3.8E-3</v>
      </c>
      <c r="AT925" s="658" t="s">
        <v>1417</v>
      </c>
      <c r="AU925" s="658" t="s">
        <v>2751</v>
      </c>
      <c r="AX925"/>
      <c r="AY925"/>
      <c r="BA925"/>
      <c r="BB925"/>
      <c r="BC925"/>
      <c r="BD925"/>
      <c r="BE925"/>
      <c r="BF925"/>
      <c r="BG925"/>
      <c r="BH925"/>
      <c r="BI925"/>
      <c r="BJ925"/>
      <c r="BR925"/>
      <c r="BS925"/>
      <c r="BT925"/>
      <c r="BU925"/>
      <c r="BX925"/>
      <c r="BY925"/>
      <c r="CA925"/>
    </row>
    <row r="926" spans="2:79" ht="18.75">
      <c r="B926" s="252" t="s">
        <v>272</v>
      </c>
      <c r="C926" s="251">
        <v>35711552000192</v>
      </c>
      <c r="D926" s="252" t="s">
        <v>13</v>
      </c>
      <c r="E926" s="252" t="s">
        <v>615</v>
      </c>
      <c r="F926" s="252" t="s">
        <v>619</v>
      </c>
      <c r="G926" s="253" t="s">
        <v>34</v>
      </c>
      <c r="H926" s="253" t="s">
        <v>865</v>
      </c>
      <c r="I926" s="253" t="s">
        <v>34</v>
      </c>
      <c r="J926" s="253" t="s">
        <v>611</v>
      </c>
      <c r="K926" s="253" t="s">
        <v>48</v>
      </c>
      <c r="L926" s="655"/>
      <c r="M926" s="655" t="s">
        <v>1414</v>
      </c>
      <c r="N926" s="253" t="s">
        <v>3532</v>
      </c>
      <c r="O926" s="253" t="s">
        <v>1324</v>
      </c>
      <c r="P926" s="656">
        <v>43872</v>
      </c>
      <c r="Q926" s="657">
        <v>0</v>
      </c>
      <c r="R926" s="657">
        <v>0</v>
      </c>
      <c r="S926" s="253">
        <v>61</v>
      </c>
      <c r="T926" s="658"/>
      <c r="U926" s="659"/>
      <c r="V926" s="658"/>
      <c r="W926" s="659"/>
      <c r="X926" s="658"/>
      <c r="Y926" s="659"/>
      <c r="Z926" s="658"/>
      <c r="AA926" s="659"/>
      <c r="AB926" s="658"/>
      <c r="AC926" s="660"/>
      <c r="AD926" s="682">
        <v>29236556000163</v>
      </c>
      <c r="AE926" s="944" t="s">
        <v>1965</v>
      </c>
      <c r="AF926" s="661" t="s">
        <v>1729</v>
      </c>
      <c r="AG926" s="662" t="s">
        <v>1433</v>
      </c>
      <c r="AH926" s="662" t="s">
        <v>1734</v>
      </c>
      <c r="AI926" s="662">
        <v>25000</v>
      </c>
      <c r="AJ926" s="662">
        <v>5000</v>
      </c>
      <c r="AK926" s="662">
        <v>10000</v>
      </c>
      <c r="AL926" s="658">
        <v>1.9E-2</v>
      </c>
      <c r="AM926" s="658">
        <v>0.2</v>
      </c>
      <c r="AN926" s="659" t="s">
        <v>34</v>
      </c>
      <c r="AO926" s="253" t="s">
        <v>34</v>
      </c>
      <c r="AP926" s="944" t="s">
        <v>1746</v>
      </c>
      <c r="AQ926" s="663" t="s">
        <v>664</v>
      </c>
      <c r="AR926" s="658">
        <v>2.5333333333333301E-3</v>
      </c>
      <c r="AS926" s="658">
        <v>2.5333333333333301E-3</v>
      </c>
      <c r="AT926" s="658" t="s">
        <v>1417</v>
      </c>
      <c r="AU926" s="658" t="s">
        <v>2751</v>
      </c>
      <c r="AX926"/>
      <c r="AY926"/>
      <c r="BA926"/>
      <c r="BB926"/>
      <c r="BC926"/>
      <c r="BD926"/>
      <c r="BE926"/>
      <c r="BF926"/>
      <c r="BG926"/>
      <c r="BH926"/>
      <c r="BI926"/>
      <c r="BJ926"/>
      <c r="BR926"/>
      <c r="BS926"/>
      <c r="BT926"/>
      <c r="BU926"/>
      <c r="BX926"/>
      <c r="BY926"/>
      <c r="CA926"/>
    </row>
    <row r="927" spans="2:79" ht="18.75">
      <c r="B927" s="252" t="s">
        <v>273</v>
      </c>
      <c r="C927" s="251">
        <v>33150614000109</v>
      </c>
      <c r="D927" s="252" t="s">
        <v>13</v>
      </c>
      <c r="E927" s="252" t="s">
        <v>615</v>
      </c>
      <c r="F927" s="252" t="s">
        <v>619</v>
      </c>
      <c r="G927" s="253" t="s">
        <v>34</v>
      </c>
      <c r="H927" s="253" t="s">
        <v>865</v>
      </c>
      <c r="I927" s="253" t="s">
        <v>34</v>
      </c>
      <c r="J927" s="253" t="s">
        <v>611</v>
      </c>
      <c r="K927" s="253" t="s">
        <v>48</v>
      </c>
      <c r="L927" s="655"/>
      <c r="M927" s="655" t="s">
        <v>34</v>
      </c>
      <c r="N927" s="253" t="s">
        <v>3533</v>
      </c>
      <c r="O927" s="253" t="s">
        <v>1321</v>
      </c>
      <c r="P927" s="656">
        <v>43595</v>
      </c>
      <c r="Q927" s="657">
        <v>1439.2745412100001</v>
      </c>
      <c r="R927" s="657">
        <v>1222.2733006401602</v>
      </c>
      <c r="S927" s="253">
        <v>31</v>
      </c>
      <c r="T927" s="658">
        <v>7.8733108836410715E-3</v>
      </c>
      <c r="U927" s="659">
        <v>0.39369743419331182</v>
      </c>
      <c r="V927" s="658">
        <v>0.18029497870529188</v>
      </c>
      <c r="W927" s="659">
        <v>1.3982434647655437</v>
      </c>
      <c r="X927" s="658">
        <v>0.28723190071580995</v>
      </c>
      <c r="Y927" s="659">
        <v>1.4875718815018031</v>
      </c>
      <c r="Z927" s="658">
        <v>0.4466430792724061</v>
      </c>
      <c r="AA927" s="659">
        <v>2.016717229823541</v>
      </c>
      <c r="AB927" s="658">
        <v>5.4679638178733607E-2</v>
      </c>
      <c r="AC927" s="660">
        <v>0.93912598855629126</v>
      </c>
      <c r="AD927" s="682">
        <v>29236556000163</v>
      </c>
      <c r="AE927" s="944" t="s">
        <v>1965</v>
      </c>
      <c r="AF927" s="661" t="s">
        <v>1745</v>
      </c>
      <c r="AG927" s="662" t="s">
        <v>1432</v>
      </c>
      <c r="AH927" s="662" t="s">
        <v>1734</v>
      </c>
      <c r="AI927" s="662">
        <v>500</v>
      </c>
      <c r="AJ927" s="662">
        <v>100</v>
      </c>
      <c r="AK927" s="662">
        <v>100</v>
      </c>
      <c r="AL927" s="658">
        <v>1.9E-2</v>
      </c>
      <c r="AM927" s="658">
        <v>0.2</v>
      </c>
      <c r="AN927" s="659" t="s">
        <v>64</v>
      </c>
      <c r="AO927" s="253" t="s">
        <v>34</v>
      </c>
      <c r="AP927" s="944" t="s">
        <v>1746</v>
      </c>
      <c r="AQ927" s="663" t="s">
        <v>664</v>
      </c>
      <c r="AR927" s="658">
        <v>4.7499999999999999E-3</v>
      </c>
      <c r="AS927" s="658">
        <v>4.7499999999999999E-3</v>
      </c>
      <c r="AT927" s="658" t="s">
        <v>1417</v>
      </c>
      <c r="AU927" s="658" t="s">
        <v>2751</v>
      </c>
      <c r="AX927"/>
      <c r="AY927"/>
      <c r="BA927"/>
      <c r="BB927"/>
      <c r="BC927"/>
      <c r="BD927"/>
      <c r="BE927"/>
      <c r="BF927"/>
      <c r="BG927"/>
      <c r="BH927"/>
      <c r="BI927"/>
      <c r="BJ927"/>
      <c r="BR927"/>
      <c r="BS927"/>
      <c r="BT927"/>
      <c r="BU927"/>
      <c r="BX927"/>
      <c r="BY927"/>
      <c r="CA927"/>
    </row>
    <row r="928" spans="2:79" ht="18.75">
      <c r="B928" s="252" t="s">
        <v>1041</v>
      </c>
      <c r="C928" s="251">
        <v>26370141000190</v>
      </c>
      <c r="D928" s="252" t="s">
        <v>11</v>
      </c>
      <c r="E928" s="252" t="s">
        <v>4235</v>
      </c>
      <c r="F928" s="252" t="s">
        <v>1417</v>
      </c>
      <c r="G928" s="253" t="s">
        <v>1417</v>
      </c>
      <c r="H928" s="253" t="s">
        <v>34</v>
      </c>
      <c r="I928" s="253" t="s">
        <v>34</v>
      </c>
      <c r="J928" s="253" t="s">
        <v>611</v>
      </c>
      <c r="K928" s="253" t="s">
        <v>48</v>
      </c>
      <c r="L928" s="655"/>
      <c r="M928" s="655" t="s">
        <v>34</v>
      </c>
      <c r="N928" s="253" t="s">
        <v>3535</v>
      </c>
      <c r="O928" s="253" t="s">
        <v>1321</v>
      </c>
      <c r="P928" s="656">
        <v>42960</v>
      </c>
      <c r="Q928" s="657">
        <v>11.6807537</v>
      </c>
      <c r="R928" s="657">
        <v>11.446317040722892</v>
      </c>
      <c r="S928" s="253">
        <v>5</v>
      </c>
      <c r="T928" s="658">
        <v>2.0601436643384652E-2</v>
      </c>
      <c r="U928" s="659">
        <v>1.0301552761048529</v>
      </c>
      <c r="V928" s="658">
        <v>-3.1421494277100281E-2</v>
      </c>
      <c r="W928" s="659">
        <v>-0.24368343112837818</v>
      </c>
      <c r="X928" s="658">
        <v>-2.2885471919132372E-2</v>
      </c>
      <c r="Y928" s="659">
        <v>-0.11852368917574958</v>
      </c>
      <c r="Z928" s="658">
        <v>-5.8979123314024773E-2</v>
      </c>
      <c r="AA928" s="659">
        <v>-0.26630707987470548</v>
      </c>
      <c r="AB928" s="658">
        <v>7.666164781610138E-2</v>
      </c>
      <c r="AC928" s="660">
        <v>-2.0918595972340528</v>
      </c>
      <c r="AD928" s="682">
        <v>0</v>
      </c>
      <c r="AE928" s="944" t="s">
        <v>1738</v>
      </c>
      <c r="AF928" s="661" t="s">
        <v>1739</v>
      </c>
      <c r="AG928" s="662" t="s">
        <v>728</v>
      </c>
      <c r="AH928" s="662" t="s">
        <v>1730</v>
      </c>
      <c r="AI928" s="662">
        <v>500</v>
      </c>
      <c r="AJ928" s="662">
        <v>1000</v>
      </c>
      <c r="AK928" s="662">
        <v>100</v>
      </c>
      <c r="AL928" s="658">
        <v>0.01</v>
      </c>
      <c r="AM928" s="658">
        <v>0</v>
      </c>
      <c r="AN928" s="659" t="s">
        <v>34</v>
      </c>
      <c r="AO928" s="253" t="s">
        <v>34</v>
      </c>
      <c r="AP928" s="944" t="s">
        <v>1746</v>
      </c>
      <c r="AQ928" s="663" t="s">
        <v>679</v>
      </c>
      <c r="AR928" s="658">
        <v>5.3333333333333297E-3</v>
      </c>
      <c r="AS928" s="658">
        <v>5.3333333333333297E-3</v>
      </c>
      <c r="AT928" s="658" t="s">
        <v>1417</v>
      </c>
      <c r="AU928" s="658" t="s">
        <v>2751</v>
      </c>
      <c r="AX928"/>
      <c r="AY928"/>
      <c r="BA928"/>
      <c r="BB928"/>
      <c r="BC928"/>
      <c r="BD928"/>
      <c r="BE928"/>
      <c r="BF928"/>
      <c r="BG928"/>
      <c r="BH928"/>
      <c r="BI928"/>
      <c r="BJ928"/>
      <c r="BR928"/>
      <c r="BS928"/>
      <c r="BT928"/>
      <c r="BU928"/>
      <c r="BX928"/>
      <c r="BY928"/>
      <c r="CA928"/>
    </row>
    <row r="929" spans="2:79" ht="18.75">
      <c r="B929" s="252" t="s">
        <v>1042</v>
      </c>
      <c r="C929" s="251">
        <v>28320600000156</v>
      </c>
      <c r="D929" s="252" t="s">
        <v>14</v>
      </c>
      <c r="E929" s="252" t="s">
        <v>607</v>
      </c>
      <c r="F929" s="252" t="s">
        <v>1417</v>
      </c>
      <c r="G929" s="253" t="s">
        <v>866</v>
      </c>
      <c r="H929" s="253" t="s">
        <v>34</v>
      </c>
      <c r="I929" s="253" t="s">
        <v>34</v>
      </c>
      <c r="J929" s="253" t="s">
        <v>690</v>
      </c>
      <c r="K929" s="253" t="s">
        <v>1417</v>
      </c>
      <c r="L929" s="655"/>
      <c r="M929" s="655" t="s">
        <v>34</v>
      </c>
      <c r="N929" s="253" t="s">
        <v>3536</v>
      </c>
      <c r="O929" s="253" t="s">
        <v>1321</v>
      </c>
      <c r="P929" s="656">
        <v>43065</v>
      </c>
      <c r="Q929" s="657">
        <v>121.23395686000001</v>
      </c>
      <c r="R929" s="657">
        <v>168.75621999224902</v>
      </c>
      <c r="S929" s="253">
        <v>5</v>
      </c>
      <c r="T929" s="658">
        <v>8.9119100897701253E-2</v>
      </c>
      <c r="U929" s="659">
        <v>4.456316012357699</v>
      </c>
      <c r="V929" s="658">
        <v>-8.7902217634328039E-2</v>
      </c>
      <c r="W929" s="659">
        <v>-0.68170895400532971</v>
      </c>
      <c r="X929" s="658">
        <v>3.8896093449973801E-3</v>
      </c>
      <c r="Y929" s="659">
        <v>2.0144257922693434E-2</v>
      </c>
      <c r="Z929" s="658">
        <v>0.320544680443966</v>
      </c>
      <c r="AA929" s="659">
        <v>1.4473480279437192</v>
      </c>
      <c r="AB929" s="658">
        <v>0.30517899046882524</v>
      </c>
      <c r="AC929" s="660">
        <v>-0.71055391705697291</v>
      </c>
      <c r="AD929" s="682">
        <v>0</v>
      </c>
      <c r="AE929" s="944" t="s">
        <v>1738</v>
      </c>
      <c r="AF929" s="661" t="s">
        <v>1739</v>
      </c>
      <c r="AG929" s="662" t="s">
        <v>728</v>
      </c>
      <c r="AH929" s="662" t="s">
        <v>1730</v>
      </c>
      <c r="AI929" s="662">
        <v>25000</v>
      </c>
      <c r="AJ929" s="662">
        <v>1000</v>
      </c>
      <c r="AK929" s="662">
        <v>1000</v>
      </c>
      <c r="AL929" s="658">
        <v>0.01</v>
      </c>
      <c r="AM929" s="658">
        <v>0</v>
      </c>
      <c r="AN929" s="659" t="s">
        <v>2122</v>
      </c>
      <c r="AO929" s="253" t="s">
        <v>34</v>
      </c>
      <c r="AP929" s="944" t="s">
        <v>1731</v>
      </c>
      <c r="AQ929" s="663" t="s">
        <v>687</v>
      </c>
      <c r="AR929" s="658">
        <v>5.3333333333333297E-3</v>
      </c>
      <c r="AS929" s="658">
        <v>5.3333333333333297E-3</v>
      </c>
      <c r="AT929" s="658" t="s">
        <v>1417</v>
      </c>
      <c r="AU929" s="658" t="s">
        <v>2751</v>
      </c>
      <c r="AX929"/>
      <c r="AY929"/>
      <c r="BA929"/>
      <c r="BB929"/>
      <c r="BC929"/>
      <c r="BD929"/>
      <c r="BE929"/>
      <c r="BF929"/>
      <c r="BG929"/>
      <c r="BH929"/>
      <c r="BI929"/>
      <c r="BJ929"/>
      <c r="BR929"/>
      <c r="BS929"/>
      <c r="BT929"/>
      <c r="BU929"/>
      <c r="BX929"/>
      <c r="BY929"/>
      <c r="CA929"/>
    </row>
    <row r="930" spans="2:79" ht="18.75">
      <c r="B930" s="252" t="s">
        <v>1043</v>
      </c>
      <c r="C930" s="251">
        <v>26369994000101</v>
      </c>
      <c r="D930" s="252" t="s">
        <v>14</v>
      </c>
      <c r="E930" s="252" t="s">
        <v>607</v>
      </c>
      <c r="F930" s="252" t="s">
        <v>1417</v>
      </c>
      <c r="G930" s="253" t="s">
        <v>1417</v>
      </c>
      <c r="H930" s="253" t="s">
        <v>34</v>
      </c>
      <c r="I930" s="253" t="s">
        <v>34</v>
      </c>
      <c r="J930" s="253" t="s">
        <v>611</v>
      </c>
      <c r="K930" s="253" t="s">
        <v>1417</v>
      </c>
      <c r="L930" s="655"/>
      <c r="M930" s="655" t="s">
        <v>34</v>
      </c>
      <c r="N930" s="253" t="s">
        <v>3537</v>
      </c>
      <c r="O930" s="253" t="s">
        <v>1321</v>
      </c>
      <c r="P930" s="656">
        <v>43065</v>
      </c>
      <c r="Q930" s="657">
        <v>7.78944086</v>
      </c>
      <c r="R930" s="657">
        <v>12.572855285261044</v>
      </c>
      <c r="S930" s="253">
        <v>5</v>
      </c>
      <c r="T930" s="658">
        <v>0.12508300635342184</v>
      </c>
      <c r="U930" s="659">
        <v>6.254656953131037</v>
      </c>
      <c r="V930" s="658">
        <v>7.0825543726307227E-3</v>
      </c>
      <c r="W930" s="659">
        <v>5.4927405280460341E-2</v>
      </c>
      <c r="X930" s="658">
        <v>3.8842286257608771E-2</v>
      </c>
      <c r="Y930" s="659">
        <v>0.20116391217712093</v>
      </c>
      <c r="Z930" s="658">
        <v>-3.1328194190119341E-2</v>
      </c>
      <c r="AA930" s="659">
        <v>-0.14145547515343473</v>
      </c>
      <c r="AB930" s="658">
        <v>0.29056154646695875</v>
      </c>
      <c r="AC930" s="660">
        <v>-0.41939945789769228</v>
      </c>
      <c r="AD930" s="682">
        <v>0</v>
      </c>
      <c r="AE930" s="944" t="s">
        <v>1738</v>
      </c>
      <c r="AF930" s="661" t="s">
        <v>1739</v>
      </c>
      <c r="AG930" s="662" t="s">
        <v>728</v>
      </c>
      <c r="AH930" s="662" t="s">
        <v>1730</v>
      </c>
      <c r="AI930" s="662">
        <v>25000</v>
      </c>
      <c r="AJ930" s="662">
        <v>1000</v>
      </c>
      <c r="AK930" s="662">
        <v>1000</v>
      </c>
      <c r="AL930" s="658">
        <v>0.01</v>
      </c>
      <c r="AM930" s="658">
        <v>0</v>
      </c>
      <c r="AN930" s="659" t="s">
        <v>34</v>
      </c>
      <c r="AO930" s="253" t="s">
        <v>34</v>
      </c>
      <c r="AP930" s="944" t="s">
        <v>1731</v>
      </c>
      <c r="AQ930" s="663" t="s">
        <v>687</v>
      </c>
      <c r="AR930" s="658">
        <v>5.3333333333333297E-3</v>
      </c>
      <c r="AS930" s="658">
        <v>5.3333333333333297E-3</v>
      </c>
      <c r="AT930" s="658" t="s">
        <v>1417</v>
      </c>
      <c r="AU930" s="658" t="s">
        <v>2751</v>
      </c>
      <c r="AX930"/>
      <c r="AY930"/>
      <c r="BA930"/>
      <c r="BB930"/>
      <c r="BC930"/>
      <c r="BD930"/>
      <c r="BE930"/>
      <c r="BF930"/>
      <c r="BG930"/>
      <c r="BH930"/>
      <c r="BI930"/>
      <c r="BJ930"/>
      <c r="BR930"/>
      <c r="BS930"/>
      <c r="BT930"/>
      <c r="BU930"/>
      <c r="BX930"/>
      <c r="BY930"/>
      <c r="CA930"/>
    </row>
    <row r="931" spans="2:79" ht="18.75">
      <c r="B931" s="252" t="s">
        <v>1044</v>
      </c>
      <c r="C931" s="251">
        <v>35578945000170</v>
      </c>
      <c r="D931" s="252" t="s">
        <v>14</v>
      </c>
      <c r="E931" s="252" t="s">
        <v>607</v>
      </c>
      <c r="F931" s="252" t="s">
        <v>1417</v>
      </c>
      <c r="G931" s="253" t="s">
        <v>1417</v>
      </c>
      <c r="H931" s="253" t="s">
        <v>34</v>
      </c>
      <c r="I931" s="253" t="s">
        <v>34</v>
      </c>
      <c r="J931" s="253" t="s">
        <v>611</v>
      </c>
      <c r="K931" s="253" t="s">
        <v>1417</v>
      </c>
      <c r="L931" s="655"/>
      <c r="M931" s="655" t="s">
        <v>34</v>
      </c>
      <c r="N931" s="253" t="s">
        <v>3538</v>
      </c>
      <c r="O931" s="253" t="s">
        <v>1321</v>
      </c>
      <c r="P931" s="656">
        <v>43966</v>
      </c>
      <c r="Q931" s="657">
        <v>27.261684209999999</v>
      </c>
      <c r="R931" s="657">
        <v>72.059513229598352</v>
      </c>
      <c r="S931" s="253">
        <v>5</v>
      </c>
      <c r="T931" s="658">
        <v>6.7271569155304745E-2</v>
      </c>
      <c r="U931" s="659">
        <v>3.363850934126126</v>
      </c>
      <c r="V931" s="658">
        <v>-0.13973429326589237</v>
      </c>
      <c r="W931" s="659">
        <v>-1.0836827723418525</v>
      </c>
      <c r="X931" s="658">
        <v>-0.24697989052697034</v>
      </c>
      <c r="Y931" s="659">
        <v>-1.2791070195501164</v>
      </c>
      <c r="Z931" s="658"/>
      <c r="AA931" s="659"/>
      <c r="AB931" s="658">
        <v>0.33314898430662754</v>
      </c>
      <c r="AC931" s="660">
        <v>-0.80648062989557712</v>
      </c>
      <c r="AD931" s="682">
        <v>0</v>
      </c>
      <c r="AE931" s="944" t="s">
        <v>1738</v>
      </c>
      <c r="AF931" s="661" t="s">
        <v>1739</v>
      </c>
      <c r="AG931" s="662" t="s">
        <v>728</v>
      </c>
      <c r="AH931" s="662" t="s">
        <v>1730</v>
      </c>
      <c r="AI931" s="662">
        <v>500</v>
      </c>
      <c r="AJ931" s="662">
        <v>0</v>
      </c>
      <c r="AK931" s="662">
        <v>100</v>
      </c>
      <c r="AL931" s="658">
        <v>0.01</v>
      </c>
      <c r="AM931" s="658">
        <v>0</v>
      </c>
      <c r="AN931" s="659" t="s">
        <v>34</v>
      </c>
      <c r="AO931" s="253" t="s">
        <v>34</v>
      </c>
      <c r="AP931" s="944" t="s">
        <v>1731</v>
      </c>
      <c r="AQ931" s="663" t="s">
        <v>687</v>
      </c>
      <c r="AR931" s="658">
        <v>5.3333333333333297E-3</v>
      </c>
      <c r="AS931" s="658">
        <v>5.3333333333333297E-3</v>
      </c>
      <c r="AT931" s="658" t="s">
        <v>1417</v>
      </c>
      <c r="AU931" s="658" t="s">
        <v>2751</v>
      </c>
      <c r="AX931"/>
      <c r="AY931"/>
      <c r="BA931"/>
      <c r="BB931"/>
      <c r="BC931"/>
      <c r="BD931"/>
      <c r="BE931"/>
      <c r="BF931"/>
      <c r="BG931"/>
      <c r="BH931"/>
      <c r="BI931"/>
      <c r="BJ931"/>
      <c r="BR931"/>
      <c r="BS931"/>
      <c r="BT931"/>
      <c r="BU931"/>
      <c r="BX931"/>
      <c r="BY931"/>
      <c r="CA931"/>
    </row>
    <row r="932" spans="2:79" ht="18.75">
      <c r="B932" s="252" t="s">
        <v>1045</v>
      </c>
      <c r="C932" s="251">
        <v>26370126000141</v>
      </c>
      <c r="D932" s="252" t="s">
        <v>14</v>
      </c>
      <c r="E932" s="252" t="s">
        <v>607</v>
      </c>
      <c r="F932" s="252" t="s">
        <v>1417</v>
      </c>
      <c r="G932" s="253" t="s">
        <v>1417</v>
      </c>
      <c r="H932" s="253" t="s">
        <v>34</v>
      </c>
      <c r="I932" s="253" t="s">
        <v>34</v>
      </c>
      <c r="J932" s="253" t="s">
        <v>611</v>
      </c>
      <c r="K932" s="253" t="s">
        <v>1417</v>
      </c>
      <c r="L932" s="655"/>
      <c r="M932" s="655" t="s">
        <v>34</v>
      </c>
      <c r="N932" s="253" t="s">
        <v>3539</v>
      </c>
      <c r="O932" s="253" t="s">
        <v>1321</v>
      </c>
      <c r="P932" s="656">
        <v>42960</v>
      </c>
      <c r="Q932" s="657">
        <v>15.663317989999999</v>
      </c>
      <c r="R932" s="657">
        <v>35.576313466586349</v>
      </c>
      <c r="S932" s="253">
        <v>5</v>
      </c>
      <c r="T932" s="658">
        <v>2.0061569730287054E-2</v>
      </c>
      <c r="U932" s="659">
        <v>1.0031597437762609</v>
      </c>
      <c r="V932" s="658">
        <v>0.15640040029339541</v>
      </c>
      <c r="W932" s="659">
        <v>1.2129336000777735</v>
      </c>
      <c r="X932" s="658">
        <v>0.45663030810078409</v>
      </c>
      <c r="Y932" s="659">
        <v>2.3648849757962931</v>
      </c>
      <c r="Z932" s="658">
        <v>0.39593778004626001</v>
      </c>
      <c r="AA932" s="659">
        <v>1.7877687576803956</v>
      </c>
      <c r="AB932" s="658">
        <v>0.13840521732609315</v>
      </c>
      <c r="AC932" s="660">
        <v>0.19837757114254945</v>
      </c>
      <c r="AD932" s="682">
        <v>0</v>
      </c>
      <c r="AE932" s="944" t="s">
        <v>1738</v>
      </c>
      <c r="AF932" s="661" t="s">
        <v>1739</v>
      </c>
      <c r="AG932" s="662" t="s">
        <v>728</v>
      </c>
      <c r="AH932" s="662" t="s">
        <v>1730</v>
      </c>
      <c r="AI932" s="662">
        <v>25000</v>
      </c>
      <c r="AJ932" s="662">
        <v>1000</v>
      </c>
      <c r="AK932" s="662">
        <v>100</v>
      </c>
      <c r="AL932" s="658">
        <v>0.01</v>
      </c>
      <c r="AM932" s="658">
        <v>0</v>
      </c>
      <c r="AN932" s="659" t="s">
        <v>34</v>
      </c>
      <c r="AO932" s="253" t="s">
        <v>34</v>
      </c>
      <c r="AP932" s="944" t="s">
        <v>1731</v>
      </c>
      <c r="AQ932" s="663" t="s">
        <v>687</v>
      </c>
      <c r="AR932" s="658">
        <v>5.3333333333333297E-3</v>
      </c>
      <c r="AS932" s="658">
        <v>5.3333333333333297E-3</v>
      </c>
      <c r="AT932" s="658" t="s">
        <v>1417</v>
      </c>
      <c r="AU932" s="658" t="s">
        <v>2751</v>
      </c>
      <c r="AX932"/>
      <c r="AY932"/>
      <c r="BA932"/>
      <c r="BB932"/>
      <c r="BC932"/>
      <c r="BD932"/>
      <c r="BE932"/>
      <c r="BF932"/>
      <c r="BG932"/>
      <c r="BH932"/>
      <c r="BI932"/>
      <c r="BJ932"/>
      <c r="BR932"/>
      <c r="BS932"/>
      <c r="BT932"/>
      <c r="BU932"/>
      <c r="BX932"/>
      <c r="BY932"/>
      <c r="CA932"/>
    </row>
    <row r="933" spans="2:79" ht="18.75">
      <c r="B933" s="252" t="s">
        <v>1046</v>
      </c>
      <c r="C933" s="251">
        <v>28320626000102</v>
      </c>
      <c r="D933" s="252" t="s">
        <v>14</v>
      </c>
      <c r="E933" s="252" t="s">
        <v>607</v>
      </c>
      <c r="F933" s="252" t="s">
        <v>1417</v>
      </c>
      <c r="G933" s="253" t="s">
        <v>866</v>
      </c>
      <c r="H933" s="253" t="s">
        <v>34</v>
      </c>
      <c r="I933" s="253" t="s">
        <v>34</v>
      </c>
      <c r="J933" s="253" t="s">
        <v>690</v>
      </c>
      <c r="K933" s="253" t="s">
        <v>1417</v>
      </c>
      <c r="L933" s="655"/>
      <c r="M933" s="655" t="s">
        <v>34</v>
      </c>
      <c r="N933" s="253" t="s">
        <v>3540</v>
      </c>
      <c r="O933" s="253" t="s">
        <v>1321</v>
      </c>
      <c r="P933" s="656">
        <v>43065</v>
      </c>
      <c r="Q933" s="657">
        <v>35.561672100000003</v>
      </c>
      <c r="R933" s="657">
        <v>54.896707702891561</v>
      </c>
      <c r="S933" s="253">
        <v>5</v>
      </c>
      <c r="T933" s="658">
        <v>0.12348590244341118</v>
      </c>
      <c r="U933" s="659">
        <v>6.1747952887303903</v>
      </c>
      <c r="V933" s="658">
        <v>2.7812961073285791E-2</v>
      </c>
      <c r="W933" s="659">
        <v>0.21569813721805484</v>
      </c>
      <c r="X933" s="658">
        <v>0.10382282975998192</v>
      </c>
      <c r="Y933" s="659">
        <v>0.53769766458394197</v>
      </c>
      <c r="Z933" s="658">
        <v>0.75233016567120381</v>
      </c>
      <c r="AA933" s="659">
        <v>3.396979104874382</v>
      </c>
      <c r="AB933" s="658">
        <v>0.27713540454852464</v>
      </c>
      <c r="AC933" s="660">
        <v>-0.36491529668774303</v>
      </c>
      <c r="AD933" s="682">
        <v>0</v>
      </c>
      <c r="AE933" s="944" t="s">
        <v>1738</v>
      </c>
      <c r="AF933" s="661" t="s">
        <v>1739</v>
      </c>
      <c r="AG933" s="662" t="s">
        <v>728</v>
      </c>
      <c r="AH933" s="662" t="s">
        <v>1730</v>
      </c>
      <c r="AI933" s="662">
        <v>25000</v>
      </c>
      <c r="AJ933" s="662">
        <v>1000</v>
      </c>
      <c r="AK933" s="662">
        <v>100</v>
      </c>
      <c r="AL933" s="658">
        <v>0.01</v>
      </c>
      <c r="AM933" s="658">
        <v>0</v>
      </c>
      <c r="AN933" s="659" t="s">
        <v>34</v>
      </c>
      <c r="AO933" s="253" t="s">
        <v>34</v>
      </c>
      <c r="AP933" s="944" t="s">
        <v>1731</v>
      </c>
      <c r="AQ933" s="663" t="s">
        <v>687</v>
      </c>
      <c r="AR933" s="658">
        <v>5.3333333333333297E-3</v>
      </c>
      <c r="AS933" s="658">
        <v>5.3333333333333297E-3</v>
      </c>
      <c r="AT933" s="658" t="s">
        <v>1417</v>
      </c>
      <c r="AU933" s="658" t="s">
        <v>2751</v>
      </c>
      <c r="AX933"/>
      <c r="AY933"/>
      <c r="BA933"/>
      <c r="BB933"/>
      <c r="BC933"/>
      <c r="BD933"/>
      <c r="BE933"/>
      <c r="BF933"/>
      <c r="BG933"/>
      <c r="BH933"/>
      <c r="BI933"/>
      <c r="BJ933"/>
      <c r="BR933"/>
      <c r="BS933"/>
      <c r="BT933"/>
      <c r="BU933"/>
      <c r="BX933"/>
      <c r="BY933"/>
      <c r="CA933"/>
    </row>
    <row r="934" spans="2:79" ht="18.75">
      <c r="B934" s="252" t="s">
        <v>560</v>
      </c>
      <c r="C934" s="251">
        <v>41044877000161</v>
      </c>
      <c r="D934" s="252" t="s">
        <v>14</v>
      </c>
      <c r="E934" s="252" t="s">
        <v>607</v>
      </c>
      <c r="F934" s="252" t="s">
        <v>1417</v>
      </c>
      <c r="G934" s="253" t="s">
        <v>1417</v>
      </c>
      <c r="H934" s="253" t="s">
        <v>34</v>
      </c>
      <c r="I934" s="253" t="s">
        <v>34</v>
      </c>
      <c r="J934" s="253" t="s">
        <v>608</v>
      </c>
      <c r="K934" s="253" t="s">
        <v>48</v>
      </c>
      <c r="L934" s="655"/>
      <c r="M934" s="655" t="s">
        <v>34</v>
      </c>
      <c r="N934" s="253" t="s">
        <v>3541</v>
      </c>
      <c r="O934" s="253" t="s">
        <v>1321</v>
      </c>
      <c r="P934" s="656">
        <v>44266</v>
      </c>
      <c r="Q934" s="657">
        <v>7.8225463099999999</v>
      </c>
      <c r="R934" s="657">
        <v>9.6804227939759144</v>
      </c>
      <c r="S934" s="253">
        <v>12</v>
      </c>
      <c r="T934" s="658">
        <v>-2.3047141666990512E-2</v>
      </c>
      <c r="U934" s="659">
        <v>-1.1524504333541288</v>
      </c>
      <c r="V934" s="658">
        <v>-0.16142572879651806</v>
      </c>
      <c r="W934" s="659">
        <v>-1.2519065808465664</v>
      </c>
      <c r="X934" s="658"/>
      <c r="Y934" s="659"/>
      <c r="Z934" s="658"/>
      <c r="AA934" s="659"/>
      <c r="AB934" s="658">
        <v>0.1629987649944008</v>
      </c>
      <c r="AC934" s="660">
        <v>-1.7814223209193085</v>
      </c>
      <c r="AD934" s="682">
        <v>40936273000167</v>
      </c>
      <c r="AE934" s="944" t="s">
        <v>2046</v>
      </c>
      <c r="AF934" s="661" t="s">
        <v>1745</v>
      </c>
      <c r="AG934" s="662" t="s">
        <v>1432</v>
      </c>
      <c r="AH934" s="662" t="s">
        <v>1734</v>
      </c>
      <c r="AI934" s="662">
        <v>500</v>
      </c>
      <c r="AJ934" s="662">
        <v>100</v>
      </c>
      <c r="AK934" s="662">
        <v>100</v>
      </c>
      <c r="AL934" s="658">
        <v>1.9E-2</v>
      </c>
      <c r="AM934" s="658">
        <v>0.2</v>
      </c>
      <c r="AN934" s="659" t="s">
        <v>666</v>
      </c>
      <c r="AO934" s="253" t="s">
        <v>34</v>
      </c>
      <c r="AP934" s="944" t="s">
        <v>1731</v>
      </c>
      <c r="AQ934" s="663" t="s">
        <v>659</v>
      </c>
      <c r="AR934" s="658">
        <v>6.3327000000000001E-3</v>
      </c>
      <c r="AS934" s="658">
        <v>6.3327000000000001E-3</v>
      </c>
      <c r="AT934" s="658" t="s">
        <v>1417</v>
      </c>
      <c r="AU934" s="658" t="s">
        <v>2751</v>
      </c>
      <c r="AX934"/>
      <c r="AY934"/>
      <c r="BA934"/>
      <c r="BB934"/>
      <c r="BC934"/>
      <c r="BD934"/>
      <c r="BE934"/>
      <c r="BF934"/>
      <c r="BG934"/>
      <c r="BH934"/>
      <c r="BI934"/>
      <c r="BJ934"/>
      <c r="BR934"/>
      <c r="BS934"/>
      <c r="BT934"/>
      <c r="BU934"/>
      <c r="BX934"/>
      <c r="BY934"/>
      <c r="CA934"/>
    </row>
    <row r="935" spans="2:79" ht="18.75">
      <c r="B935" s="252" t="s">
        <v>1608</v>
      </c>
      <c r="C935" s="251">
        <v>44669531000147</v>
      </c>
      <c r="D935" s="252" t="s">
        <v>13</v>
      </c>
      <c r="E935" s="252" t="s">
        <v>616</v>
      </c>
      <c r="F935" s="252" t="s">
        <v>619</v>
      </c>
      <c r="G935" s="253" t="s">
        <v>738</v>
      </c>
      <c r="H935" s="253" t="s">
        <v>34</v>
      </c>
      <c r="I935" s="253" t="s">
        <v>1319</v>
      </c>
      <c r="J935" s="253" t="s">
        <v>608</v>
      </c>
      <c r="K935" s="253" t="s">
        <v>48</v>
      </c>
      <c r="L935" s="655"/>
      <c r="M935" s="655" t="s">
        <v>34</v>
      </c>
      <c r="N935" s="253" t="s">
        <v>3544</v>
      </c>
      <c r="O935" s="253" t="s">
        <v>1321</v>
      </c>
      <c r="P935" s="656">
        <v>44612</v>
      </c>
      <c r="Q935" s="657">
        <v>0</v>
      </c>
      <c r="R935" s="657">
        <v>2.111165027031964</v>
      </c>
      <c r="S935" s="253">
        <v>102</v>
      </c>
      <c r="T935" s="658">
        <v>-6.6064093729913065E-2</v>
      </c>
      <c r="U935" s="659">
        <v>-3.3034722721053096</v>
      </c>
      <c r="V935" s="658">
        <v>0.16721264943116987</v>
      </c>
      <c r="W935" s="659">
        <v>1.2967859447457966</v>
      </c>
      <c r="X935" s="658"/>
      <c r="Y935" s="659"/>
      <c r="Z935" s="658"/>
      <c r="AA935" s="659"/>
      <c r="AB935" s="658">
        <v>0.24514140015063934</v>
      </c>
      <c r="AC935" s="660">
        <v>0.15610884151296103</v>
      </c>
      <c r="AD935" s="682">
        <v>42592476000109</v>
      </c>
      <c r="AE935" s="944" t="s">
        <v>1919</v>
      </c>
      <c r="AF935" s="661" t="s">
        <v>1937</v>
      </c>
      <c r="AG935" s="662" t="s">
        <v>973</v>
      </c>
      <c r="AH935" s="662" t="s">
        <v>1801</v>
      </c>
      <c r="AI935" s="662">
        <v>100000</v>
      </c>
      <c r="AJ935" s="662">
        <v>100000</v>
      </c>
      <c r="AK935" s="662">
        <v>100000</v>
      </c>
      <c r="AL935" s="658">
        <v>0</v>
      </c>
      <c r="AM935" s="658">
        <v>0</v>
      </c>
      <c r="AN935" s="659" t="s">
        <v>2122</v>
      </c>
      <c r="AO935" s="253" t="s">
        <v>34</v>
      </c>
      <c r="AP935" s="944" t="s">
        <v>1746</v>
      </c>
      <c r="AQ935" s="663" t="s">
        <v>671</v>
      </c>
      <c r="AR935" s="658">
        <v>0</v>
      </c>
      <c r="AS935" s="658">
        <v>0</v>
      </c>
      <c r="AT935" s="658" t="s">
        <v>1417</v>
      </c>
      <c r="AU935" s="658" t="s">
        <v>2751</v>
      </c>
      <c r="AX935"/>
      <c r="AY935"/>
      <c r="BA935"/>
      <c r="BB935"/>
      <c r="BC935"/>
      <c r="BD935"/>
      <c r="BE935"/>
      <c r="BF935"/>
      <c r="BG935"/>
      <c r="BH935"/>
      <c r="BI935"/>
      <c r="BJ935"/>
      <c r="BR935"/>
      <c r="BS935"/>
      <c r="BT935"/>
      <c r="BU935"/>
      <c r="BX935"/>
      <c r="BY935"/>
      <c r="CA935"/>
    </row>
    <row r="936" spans="2:79" ht="18.75">
      <c r="B936" s="252" t="s">
        <v>645</v>
      </c>
      <c r="C936" s="251">
        <v>22672424000135</v>
      </c>
      <c r="D936" s="252" t="s">
        <v>11</v>
      </c>
      <c r="E936" s="252" t="s">
        <v>620</v>
      </c>
      <c r="F936" s="252" t="s">
        <v>685</v>
      </c>
      <c r="G936" s="253" t="s">
        <v>738</v>
      </c>
      <c r="H936" s="253" t="s">
        <v>34</v>
      </c>
      <c r="I936" s="253" t="s">
        <v>1319</v>
      </c>
      <c r="J936" s="253" t="s">
        <v>608</v>
      </c>
      <c r="K936" s="253" t="s">
        <v>48</v>
      </c>
      <c r="L936" s="655"/>
      <c r="M936" s="655" t="s">
        <v>34</v>
      </c>
      <c r="N936" s="253" t="s">
        <v>3546</v>
      </c>
      <c r="O936" s="253" t="s">
        <v>1321</v>
      </c>
      <c r="P936" s="656">
        <v>42278</v>
      </c>
      <c r="Q936" s="657">
        <v>197.45851099999999</v>
      </c>
      <c r="R936" s="657">
        <v>174.76551901648978</v>
      </c>
      <c r="S936" s="253">
        <v>271</v>
      </c>
      <c r="T936" s="658">
        <v>2.1404661759551358E-2</v>
      </c>
      <c r="U936" s="659">
        <v>1.070319785291389</v>
      </c>
      <c r="V936" s="658">
        <v>0.12441168952062176</v>
      </c>
      <c r="W936" s="659">
        <v>0.96485122914598065</v>
      </c>
      <c r="X936" s="658">
        <v>0.25420996877997837</v>
      </c>
      <c r="Y936" s="659">
        <v>1.3165515411489683</v>
      </c>
      <c r="Z936" s="658">
        <v>0.31747077692354964</v>
      </c>
      <c r="AA936" s="659">
        <v>1.4334685020311324</v>
      </c>
      <c r="AB936" s="658">
        <v>1.7580285378906455</v>
      </c>
      <c r="AC936" s="660">
        <v>-2.5780127162238985E-3</v>
      </c>
      <c r="AD936" s="682">
        <v>0</v>
      </c>
      <c r="AE936" s="944" t="s">
        <v>1919</v>
      </c>
      <c r="AF936" s="661" t="s">
        <v>1745</v>
      </c>
      <c r="AG936" s="662" t="s">
        <v>1432</v>
      </c>
      <c r="AH936" s="662" t="s">
        <v>1801</v>
      </c>
      <c r="AI936" s="662">
        <v>50000</v>
      </c>
      <c r="AJ936" s="662">
        <v>10000</v>
      </c>
      <c r="AK936" s="662">
        <v>30000</v>
      </c>
      <c r="AL936" s="658">
        <v>0.02</v>
      </c>
      <c r="AM936" s="658">
        <v>0.2</v>
      </c>
      <c r="AN936" s="659" t="s">
        <v>34</v>
      </c>
      <c r="AO936" s="253" t="s">
        <v>34</v>
      </c>
      <c r="AP936" s="944" t="s">
        <v>1746</v>
      </c>
      <c r="AQ936" s="663" t="s">
        <v>679</v>
      </c>
      <c r="AR936" s="658">
        <v>6.6666666666666697E-3</v>
      </c>
      <c r="AS936" s="658">
        <v>6.6666666666666697E-3</v>
      </c>
      <c r="AT936" s="658" t="s">
        <v>1417</v>
      </c>
      <c r="AU936" s="658" t="s">
        <v>2751</v>
      </c>
      <c r="AX936"/>
      <c r="AY936"/>
      <c r="BA936"/>
      <c r="BB936"/>
      <c r="BC936"/>
      <c r="BD936"/>
      <c r="BE936"/>
      <c r="BF936"/>
      <c r="BG936"/>
      <c r="BH936"/>
      <c r="BI936"/>
      <c r="BJ936"/>
      <c r="BR936"/>
      <c r="BS936"/>
      <c r="BT936"/>
      <c r="BU936"/>
      <c r="BX936"/>
      <c r="BY936"/>
      <c r="CA936"/>
    </row>
    <row r="937" spans="2:79" ht="18.75">
      <c r="B937" s="252" t="s">
        <v>529</v>
      </c>
      <c r="C937" s="251">
        <v>21006934000100</v>
      </c>
      <c r="D937" s="252" t="s">
        <v>13</v>
      </c>
      <c r="E937" s="252" t="s">
        <v>616</v>
      </c>
      <c r="F937" s="252" t="s">
        <v>619</v>
      </c>
      <c r="G937" s="253" t="s">
        <v>34</v>
      </c>
      <c r="H937" s="253" t="s">
        <v>1338</v>
      </c>
      <c r="I937" s="253" t="s">
        <v>34</v>
      </c>
      <c r="J937" s="253" t="s">
        <v>611</v>
      </c>
      <c r="K937" s="253" t="s">
        <v>48</v>
      </c>
      <c r="L937" s="655"/>
      <c r="M937" s="655" t="s">
        <v>1414</v>
      </c>
      <c r="N937" s="253" t="s">
        <v>3547</v>
      </c>
      <c r="O937" s="253" t="s">
        <v>1321</v>
      </c>
      <c r="P937" s="656">
        <v>41935</v>
      </c>
      <c r="Q937" s="657">
        <v>96.885154999999997</v>
      </c>
      <c r="R937" s="657">
        <v>104.29581342168673</v>
      </c>
      <c r="S937" s="253">
        <v>35</v>
      </c>
      <c r="T937" s="658">
        <v>-1.0342027454315006E-2</v>
      </c>
      <c r="U937" s="659">
        <v>-0.51714326200182392</v>
      </c>
      <c r="V937" s="658">
        <v>-0.14025121034955745</v>
      </c>
      <c r="W937" s="659">
        <v>-1.0876916246085693</v>
      </c>
      <c r="X937" s="658">
        <v>-6.5691042669169808E-2</v>
      </c>
      <c r="Y937" s="659">
        <v>-0.340213422317173</v>
      </c>
      <c r="Z937" s="658">
        <v>4.5525222959090339E-2</v>
      </c>
      <c r="AA937" s="659">
        <v>0.2055589928376797</v>
      </c>
      <c r="AB937" s="658">
        <v>0.11738197983442873</v>
      </c>
      <c r="AC937" s="660">
        <v>-2.2933257743314148</v>
      </c>
      <c r="AD937" s="682">
        <v>0</v>
      </c>
      <c r="AE937" s="944" t="s">
        <v>1905</v>
      </c>
      <c r="AF937" s="661" t="s">
        <v>1745</v>
      </c>
      <c r="AG937" s="662" t="s">
        <v>1432</v>
      </c>
      <c r="AH937" s="662" t="s">
        <v>1801</v>
      </c>
      <c r="AI937" s="662">
        <v>250000</v>
      </c>
      <c r="AJ937" s="662">
        <v>50000</v>
      </c>
      <c r="AK937" s="662">
        <v>250000</v>
      </c>
      <c r="AL937" s="658">
        <v>0.02</v>
      </c>
      <c r="AM937" s="658">
        <v>0.2</v>
      </c>
      <c r="AN937" s="659" t="s">
        <v>34</v>
      </c>
      <c r="AO937" s="253" t="s">
        <v>34</v>
      </c>
      <c r="AP937" s="944" t="s">
        <v>1746</v>
      </c>
      <c r="AQ937" s="663" t="s">
        <v>679</v>
      </c>
      <c r="AR937" s="658">
        <v>3.3333333333333301E-3</v>
      </c>
      <c r="AS937" s="658">
        <v>3.3333333333333301E-3</v>
      </c>
      <c r="AT937" s="658" t="s">
        <v>1417</v>
      </c>
      <c r="AU937" s="658" t="s">
        <v>2751</v>
      </c>
      <c r="AX937"/>
      <c r="AY937"/>
      <c r="BA937"/>
      <c r="BB937"/>
      <c r="BC937"/>
      <c r="BD937"/>
      <c r="BE937"/>
      <c r="BF937"/>
      <c r="BG937"/>
      <c r="BH937"/>
      <c r="BI937"/>
      <c r="BJ937"/>
      <c r="BR937"/>
      <c r="BS937"/>
      <c r="BT937"/>
      <c r="BU937"/>
      <c r="BX937"/>
      <c r="BY937"/>
      <c r="CA937"/>
    </row>
    <row r="938" spans="2:79" ht="18.75">
      <c r="B938" s="252" t="s">
        <v>1050</v>
      </c>
      <c r="C938" s="251">
        <v>31146414000157</v>
      </c>
      <c r="D938" s="252" t="s">
        <v>14</v>
      </c>
      <c r="E938" s="252" t="s">
        <v>607</v>
      </c>
      <c r="F938" s="252" t="s">
        <v>1417</v>
      </c>
      <c r="G938" s="253" t="s">
        <v>1417</v>
      </c>
      <c r="H938" s="253" t="s">
        <v>34</v>
      </c>
      <c r="I938" s="253" t="s">
        <v>34</v>
      </c>
      <c r="J938" s="253" t="s">
        <v>608</v>
      </c>
      <c r="K938" s="253" t="s">
        <v>48</v>
      </c>
      <c r="L938" s="655"/>
      <c r="M938" s="655" t="s">
        <v>34</v>
      </c>
      <c r="N938" s="253" t="s">
        <v>3548</v>
      </c>
      <c r="O938" s="253" t="s">
        <v>1321</v>
      </c>
      <c r="P938" s="656">
        <v>43509</v>
      </c>
      <c r="Q938" s="657">
        <v>16.41414305</v>
      </c>
      <c r="R938" s="657">
        <v>9.3417612937500003</v>
      </c>
      <c r="S938" s="253">
        <v>3</v>
      </c>
      <c r="T938" s="658">
        <v>-2.0420918967933965E-2</v>
      </c>
      <c r="U938" s="659">
        <v>-1.0211286611646069</v>
      </c>
      <c r="V938" s="658">
        <v>4.2099369568286082E-2</v>
      </c>
      <c r="W938" s="659">
        <v>0.32649366495018012</v>
      </c>
      <c r="X938" s="658">
        <v>-1.0160537700425465E-3</v>
      </c>
      <c r="Y938" s="659">
        <v>-5.2621349322359481E-3</v>
      </c>
      <c r="Z938" s="658">
        <v>3.7327798841008342E-2</v>
      </c>
      <c r="AA938" s="659">
        <v>0.16854535213370211</v>
      </c>
      <c r="AB938" s="658">
        <v>0.21794237807136399</v>
      </c>
      <c r="AC938" s="660">
        <v>-0.39847477414450128</v>
      </c>
      <c r="AD938" s="682">
        <v>0</v>
      </c>
      <c r="AE938" s="944" t="s">
        <v>1930</v>
      </c>
      <c r="AF938" s="661" t="s">
        <v>1745</v>
      </c>
      <c r="AG938" s="662" t="s">
        <v>1432</v>
      </c>
      <c r="AH938" s="662" t="s">
        <v>1734</v>
      </c>
      <c r="AI938" s="662">
        <v>1000</v>
      </c>
      <c r="AJ938" s="662">
        <v>0</v>
      </c>
      <c r="AK938" s="662">
        <v>0</v>
      </c>
      <c r="AL938" s="658">
        <v>0.02</v>
      </c>
      <c r="AM938" s="658">
        <v>0.2</v>
      </c>
      <c r="AN938" s="659" t="s">
        <v>34</v>
      </c>
      <c r="AO938" s="253" t="s">
        <v>34</v>
      </c>
      <c r="AP938" s="944" t="s">
        <v>1731</v>
      </c>
      <c r="AQ938" s="663" t="s">
        <v>659</v>
      </c>
      <c r="AR938" s="658">
        <v>5.3333333333333297E-3</v>
      </c>
      <c r="AS938" s="658">
        <v>5.3333333333333297E-3</v>
      </c>
      <c r="AT938" s="658" t="s">
        <v>1417</v>
      </c>
      <c r="AU938" s="658" t="s">
        <v>2751</v>
      </c>
      <c r="AX938"/>
      <c r="AY938"/>
      <c r="BA938"/>
      <c r="BB938"/>
      <c r="BC938"/>
      <c r="BD938"/>
      <c r="BE938"/>
      <c r="BF938"/>
      <c r="BG938"/>
      <c r="BH938"/>
      <c r="BI938"/>
      <c r="BJ938"/>
      <c r="BR938"/>
      <c r="BS938"/>
      <c r="BT938"/>
      <c r="BU938"/>
      <c r="BX938"/>
      <c r="BY938"/>
      <c r="CA938"/>
    </row>
    <row r="939" spans="2:79" ht="18.75">
      <c r="B939" s="252" t="s">
        <v>274</v>
      </c>
      <c r="C939" s="251">
        <v>24325422000103</v>
      </c>
      <c r="D939" s="252" t="s">
        <v>14</v>
      </c>
      <c r="E939" s="252" t="s">
        <v>607</v>
      </c>
      <c r="F939" s="252" t="s">
        <v>1417</v>
      </c>
      <c r="G939" s="253" t="s">
        <v>1417</v>
      </c>
      <c r="H939" s="253" t="s">
        <v>34</v>
      </c>
      <c r="I939" s="253" t="s">
        <v>34</v>
      </c>
      <c r="J939" s="253" t="s">
        <v>608</v>
      </c>
      <c r="K939" s="253" t="s">
        <v>48</v>
      </c>
      <c r="L939" s="655"/>
      <c r="M939" s="655" t="s">
        <v>34</v>
      </c>
      <c r="N939" s="253" t="s">
        <v>3549</v>
      </c>
      <c r="O939" s="253" t="s">
        <v>1321</v>
      </c>
      <c r="P939" s="656">
        <v>42441</v>
      </c>
      <c r="Q939" s="657">
        <v>204.389611</v>
      </c>
      <c r="R939" s="657">
        <v>243.24270236437249</v>
      </c>
      <c r="S939" s="253">
        <v>30</v>
      </c>
      <c r="T939" s="658">
        <v>-5.6706564478551269E-2</v>
      </c>
      <c r="U939" s="659">
        <v>-2.8355579078567721</v>
      </c>
      <c r="V939" s="658">
        <v>-0.15213096271189153</v>
      </c>
      <c r="W939" s="659">
        <v>-1.1798227877887622</v>
      </c>
      <c r="X939" s="658">
        <v>-0.1683729372218471</v>
      </c>
      <c r="Y939" s="659">
        <v>-0.87200219193237316</v>
      </c>
      <c r="Z939" s="658">
        <v>-8.6381189135935732E-2</v>
      </c>
      <c r="AA939" s="659">
        <v>-0.39003499784856116</v>
      </c>
      <c r="AB939" s="658">
        <v>0.18650400898397745</v>
      </c>
      <c r="AC939" s="660">
        <v>-1.5070714763178468</v>
      </c>
      <c r="AD939" s="682">
        <v>0</v>
      </c>
      <c r="AE939" s="944" t="s">
        <v>1923</v>
      </c>
      <c r="AF939" s="661" t="s">
        <v>1729</v>
      </c>
      <c r="AG939" s="662" t="s">
        <v>1433</v>
      </c>
      <c r="AH939" s="662" t="s">
        <v>1734</v>
      </c>
      <c r="AI939" s="662">
        <v>100</v>
      </c>
      <c r="AJ939" s="662">
        <v>100</v>
      </c>
      <c r="AK939" s="662">
        <v>100</v>
      </c>
      <c r="AL939" s="658">
        <v>0.03</v>
      </c>
      <c r="AM939" s="658">
        <v>0.2</v>
      </c>
      <c r="AN939" s="659" t="s">
        <v>2160</v>
      </c>
      <c r="AO939" s="253" t="s">
        <v>34</v>
      </c>
      <c r="AP939" s="944" t="s">
        <v>1731</v>
      </c>
      <c r="AQ939" s="663" t="s">
        <v>659</v>
      </c>
      <c r="AR939" s="658">
        <v>7.4166666666666704E-3</v>
      </c>
      <c r="AS939" s="658">
        <v>7.4166666666666704E-3</v>
      </c>
      <c r="AT939" s="658" t="s">
        <v>1417</v>
      </c>
      <c r="AU939" s="658" t="s">
        <v>2751</v>
      </c>
      <c r="AX939"/>
      <c r="AY939"/>
      <c r="BA939"/>
      <c r="BB939"/>
      <c r="BC939"/>
      <c r="BD939"/>
      <c r="BE939"/>
      <c r="BF939"/>
      <c r="BG939"/>
      <c r="BH939"/>
      <c r="BI939"/>
      <c r="BJ939"/>
      <c r="BR939"/>
      <c r="BS939"/>
      <c r="BT939"/>
      <c r="BU939"/>
      <c r="BX939"/>
      <c r="BY939"/>
      <c r="CA939"/>
    </row>
    <row r="940" spans="2:79" ht="18.75">
      <c r="B940" s="252" t="s">
        <v>1051</v>
      </c>
      <c r="C940" s="251">
        <v>34579122000104</v>
      </c>
      <c r="D940" s="252" t="s">
        <v>14</v>
      </c>
      <c r="E940" s="252" t="s">
        <v>614</v>
      </c>
      <c r="F940" s="252" t="s">
        <v>1417</v>
      </c>
      <c r="G940" s="253" t="s">
        <v>1417</v>
      </c>
      <c r="H940" s="253" t="s">
        <v>1338</v>
      </c>
      <c r="I940" s="253" t="s">
        <v>34</v>
      </c>
      <c r="J940" s="253" t="s">
        <v>608</v>
      </c>
      <c r="K940" s="253" t="s">
        <v>48</v>
      </c>
      <c r="L940" s="655"/>
      <c r="M940" s="655" t="s">
        <v>34</v>
      </c>
      <c r="N940" s="253" t="s">
        <v>3550</v>
      </c>
      <c r="O940" s="253" t="s">
        <v>1321</v>
      </c>
      <c r="P940" s="656">
        <v>43719</v>
      </c>
      <c r="Q940" s="657">
        <v>0</v>
      </c>
      <c r="R940" s="657">
        <v>0</v>
      </c>
      <c r="S940" s="253">
        <v>32</v>
      </c>
      <c r="T940" s="658"/>
      <c r="U940" s="659"/>
      <c r="V940" s="658"/>
      <c r="W940" s="659"/>
      <c r="X940" s="658"/>
      <c r="Y940" s="659"/>
      <c r="Z940" s="658"/>
      <c r="AA940" s="659"/>
      <c r="AB940" s="658"/>
      <c r="AC940" s="660"/>
      <c r="AD940" s="682">
        <v>34337443000194</v>
      </c>
      <c r="AE940" s="944" t="s">
        <v>1859</v>
      </c>
      <c r="AF940" s="661" t="s">
        <v>1745</v>
      </c>
      <c r="AG940" s="662" t="s">
        <v>1432</v>
      </c>
      <c r="AH940" s="662" t="s">
        <v>1730</v>
      </c>
      <c r="AI940" s="662">
        <v>10000</v>
      </c>
      <c r="AJ940" s="662">
        <v>5000</v>
      </c>
      <c r="AK940" s="662">
        <v>5000</v>
      </c>
      <c r="AL940" s="658">
        <v>1.8700000000000001E-2</v>
      </c>
      <c r="AM940" s="658">
        <v>0.2</v>
      </c>
      <c r="AN940" s="659" t="s">
        <v>34</v>
      </c>
      <c r="AO940" s="253" t="s">
        <v>34</v>
      </c>
      <c r="AP940" s="944" t="s">
        <v>1731</v>
      </c>
      <c r="AQ940" s="663" t="s">
        <v>659</v>
      </c>
      <c r="AR940" s="658">
        <v>3.7399999999999998E-3</v>
      </c>
      <c r="AS940" s="658">
        <v>3.7399999999999998E-3</v>
      </c>
      <c r="AT940" s="658" t="s">
        <v>1417</v>
      </c>
      <c r="AU940" s="658" t="s">
        <v>2751</v>
      </c>
      <c r="AX940"/>
      <c r="AY940"/>
      <c r="BA940"/>
      <c r="BB940"/>
      <c r="BC940"/>
      <c r="BD940"/>
      <c r="BE940"/>
      <c r="BF940"/>
      <c r="BG940"/>
      <c r="BH940"/>
      <c r="BI940"/>
      <c r="BJ940"/>
      <c r="BR940"/>
      <c r="BS940"/>
      <c r="BT940"/>
      <c r="BU940"/>
      <c r="BX940"/>
      <c r="BY940"/>
      <c r="CA940"/>
    </row>
    <row r="941" spans="2:79" ht="18.75">
      <c r="B941" s="252" t="s">
        <v>275</v>
      </c>
      <c r="C941" s="251">
        <v>32295931000150</v>
      </c>
      <c r="D941" s="252" t="s">
        <v>14</v>
      </c>
      <c r="E941" s="252" t="s">
        <v>614</v>
      </c>
      <c r="F941" s="252" t="s">
        <v>1417</v>
      </c>
      <c r="G941" s="253" t="s">
        <v>1417</v>
      </c>
      <c r="H941" s="253" t="s">
        <v>1338</v>
      </c>
      <c r="I941" s="253" t="s">
        <v>34</v>
      </c>
      <c r="J941" s="253" t="s">
        <v>608</v>
      </c>
      <c r="K941" s="253" t="s">
        <v>48</v>
      </c>
      <c r="L941" s="655"/>
      <c r="M941" s="655" t="s">
        <v>34</v>
      </c>
      <c r="N941" s="253" t="s">
        <v>3551</v>
      </c>
      <c r="O941" s="253" t="s">
        <v>1321</v>
      </c>
      <c r="P941" s="656">
        <v>43464</v>
      </c>
      <c r="Q941" s="657">
        <v>18.090938820000002</v>
      </c>
      <c r="R941" s="657">
        <v>20.266162918795182</v>
      </c>
      <c r="S941" s="253">
        <v>32</v>
      </c>
      <c r="T941" s="658">
        <v>-7.1328131897849256E-2</v>
      </c>
      <c r="U941" s="659">
        <v>-3.5666955019307935</v>
      </c>
      <c r="V941" s="658">
        <v>-6.4122481370156748E-2</v>
      </c>
      <c r="W941" s="659">
        <v>-0.49728972578280911</v>
      </c>
      <c r="X941" s="658">
        <v>-0.12538716627608126</v>
      </c>
      <c r="Y941" s="659">
        <v>-0.6493792033150132</v>
      </c>
      <c r="Z941" s="658">
        <v>5.6162108690315904E-2</v>
      </c>
      <c r="AA941" s="659">
        <v>0.25358747849287444</v>
      </c>
      <c r="AB941" s="658">
        <v>0.3074404173877397</v>
      </c>
      <c r="AC941" s="660">
        <v>-0.62797986178067267</v>
      </c>
      <c r="AD941" s="682">
        <v>32041670000142</v>
      </c>
      <c r="AE941" s="944" t="s">
        <v>1859</v>
      </c>
      <c r="AF941" s="661" t="s">
        <v>1745</v>
      </c>
      <c r="AG941" s="662" t="s">
        <v>1432</v>
      </c>
      <c r="AH941" s="662" t="s">
        <v>1730</v>
      </c>
      <c r="AI941" s="662">
        <v>10000</v>
      </c>
      <c r="AJ941" s="662">
        <v>5000</v>
      </c>
      <c r="AK941" s="662">
        <v>5000</v>
      </c>
      <c r="AL941" s="658">
        <v>1.8700000000000001E-2</v>
      </c>
      <c r="AM941" s="658">
        <v>0.2</v>
      </c>
      <c r="AN941" s="659" t="s">
        <v>34</v>
      </c>
      <c r="AO941" s="253" t="s">
        <v>34</v>
      </c>
      <c r="AP941" s="944" t="s">
        <v>1746</v>
      </c>
      <c r="AQ941" s="663" t="s">
        <v>668</v>
      </c>
      <c r="AR941" s="658">
        <v>3.7399999999999998E-3</v>
      </c>
      <c r="AS941" s="658">
        <v>3.7399999999999998E-3</v>
      </c>
      <c r="AT941" s="658" t="s">
        <v>1417</v>
      </c>
      <c r="AU941" s="658" t="s">
        <v>2751</v>
      </c>
      <c r="AX941"/>
      <c r="AY941"/>
      <c r="BA941"/>
      <c r="BB941"/>
      <c r="BC941"/>
      <c r="BD941"/>
      <c r="BE941"/>
      <c r="BF941"/>
      <c r="BG941"/>
      <c r="BH941"/>
      <c r="BI941"/>
      <c r="BJ941"/>
      <c r="BR941"/>
      <c r="BS941"/>
      <c r="BT941"/>
      <c r="BU941"/>
      <c r="BX941"/>
      <c r="BY941"/>
      <c r="CA941"/>
    </row>
    <row r="942" spans="2:79" ht="18.75">
      <c r="B942" s="252" t="s">
        <v>276</v>
      </c>
      <c r="C942" s="251">
        <v>11182072000113</v>
      </c>
      <c r="D942" s="252" t="s">
        <v>14</v>
      </c>
      <c r="E942" s="252" t="s">
        <v>614</v>
      </c>
      <c r="F942" s="252" t="s">
        <v>1417</v>
      </c>
      <c r="G942" s="253" t="s">
        <v>1417</v>
      </c>
      <c r="H942" s="253" t="s">
        <v>1338</v>
      </c>
      <c r="I942" s="253" t="s">
        <v>34</v>
      </c>
      <c r="J942" s="253" t="s">
        <v>608</v>
      </c>
      <c r="K942" s="253" t="s">
        <v>48</v>
      </c>
      <c r="L942" s="655"/>
      <c r="M942" s="655" t="s">
        <v>34</v>
      </c>
      <c r="N942" s="253" t="s">
        <v>3552</v>
      </c>
      <c r="O942" s="253" t="s">
        <v>1321</v>
      </c>
      <c r="P942" s="656">
        <v>40081</v>
      </c>
      <c r="Q942" s="657">
        <v>164.04459199999999</v>
      </c>
      <c r="R942" s="657">
        <v>166.14007805622492</v>
      </c>
      <c r="S942" s="253">
        <v>32</v>
      </c>
      <c r="T942" s="658">
        <v>-1.8145967653647621E-2</v>
      </c>
      <c r="U942" s="659">
        <v>-0.90737188100110855</v>
      </c>
      <c r="V942" s="658">
        <v>-2.2447552036492735E-2</v>
      </c>
      <c r="W942" s="659">
        <v>-0.17408772646028878</v>
      </c>
      <c r="X942" s="658">
        <v>9.9524241574002748E-3</v>
      </c>
      <c r="Y942" s="659">
        <v>5.1543530827991429E-2</v>
      </c>
      <c r="Z942" s="658">
        <v>-5.6763079740450584E-3</v>
      </c>
      <c r="AA942" s="659">
        <v>-2.5630102926233026E-2</v>
      </c>
      <c r="AB942" s="658">
        <v>0.53911292872527161</v>
      </c>
      <c r="AC942" s="660">
        <v>-0.28081586142117765</v>
      </c>
      <c r="AD942" s="682">
        <v>15559384000154</v>
      </c>
      <c r="AE942" s="944" t="s">
        <v>1859</v>
      </c>
      <c r="AF942" s="661" t="s">
        <v>1745</v>
      </c>
      <c r="AG942" s="662" t="s">
        <v>1432</v>
      </c>
      <c r="AH942" s="662" t="s">
        <v>1734</v>
      </c>
      <c r="AI942" s="662">
        <v>10000</v>
      </c>
      <c r="AJ942" s="662">
        <v>1000</v>
      </c>
      <c r="AK942" s="662">
        <v>1000</v>
      </c>
      <c r="AL942" s="658">
        <v>1.8700000000000001E-2</v>
      </c>
      <c r="AM942" s="658">
        <v>0.2</v>
      </c>
      <c r="AN942" s="659" t="s">
        <v>2127</v>
      </c>
      <c r="AO942" s="253" t="s">
        <v>34</v>
      </c>
      <c r="AP942" s="944" t="s">
        <v>1746</v>
      </c>
      <c r="AQ942" s="663" t="s">
        <v>668</v>
      </c>
      <c r="AR942" s="658">
        <v>3.7399999999999998E-3</v>
      </c>
      <c r="AS942" s="658">
        <v>3.7399999999999998E-3</v>
      </c>
      <c r="AT942" s="658" t="s">
        <v>1417</v>
      </c>
      <c r="AU942" s="658" t="s">
        <v>2751</v>
      </c>
      <c r="AX942"/>
      <c r="AY942"/>
      <c r="BA942"/>
      <c r="BB942"/>
      <c r="BC942"/>
      <c r="BD942"/>
      <c r="BE942"/>
      <c r="BF942"/>
      <c r="BG942"/>
      <c r="BH942"/>
      <c r="BI942"/>
      <c r="BJ942"/>
      <c r="BR942"/>
      <c r="BS942"/>
      <c r="BT942"/>
      <c r="BU942"/>
      <c r="BX942"/>
      <c r="BY942"/>
      <c r="CA942"/>
    </row>
    <row r="943" spans="2:79" ht="18.75">
      <c r="B943" s="252" t="s">
        <v>277</v>
      </c>
      <c r="C943" s="251">
        <v>38173750000138</v>
      </c>
      <c r="D943" s="252" t="s">
        <v>14</v>
      </c>
      <c r="E943" s="252" t="s">
        <v>607</v>
      </c>
      <c r="F943" s="252" t="s">
        <v>1417</v>
      </c>
      <c r="G943" s="253" t="s">
        <v>1417</v>
      </c>
      <c r="H943" s="253" t="s">
        <v>34</v>
      </c>
      <c r="I943" s="253" t="s">
        <v>34</v>
      </c>
      <c r="J943" s="253" t="s">
        <v>608</v>
      </c>
      <c r="K943" s="253" t="s">
        <v>48</v>
      </c>
      <c r="L943" s="655"/>
      <c r="M943" s="655" t="s">
        <v>1414</v>
      </c>
      <c r="N943" s="253" t="s">
        <v>3553</v>
      </c>
      <c r="O943" s="253" t="s">
        <v>1324</v>
      </c>
      <c r="P943" s="656">
        <v>44097</v>
      </c>
      <c r="Q943" s="657">
        <v>11.224996790000001</v>
      </c>
      <c r="R943" s="657">
        <v>11.573646710443548</v>
      </c>
      <c r="S943" s="253">
        <v>6</v>
      </c>
      <c r="T943" s="658">
        <v>-2.8880736211993163E-2</v>
      </c>
      <c r="U943" s="659">
        <v>-1.4441537889606753</v>
      </c>
      <c r="V943" s="658">
        <v>1.1532416083567698E-2</v>
      </c>
      <c r="W943" s="659">
        <v>8.9437462638177673E-2</v>
      </c>
      <c r="X943" s="658">
        <v>-0.31833668432418594</v>
      </c>
      <c r="Y943" s="659">
        <v>-1.6486633248989586</v>
      </c>
      <c r="Z943" s="658"/>
      <c r="AA943" s="659"/>
      <c r="AB943" s="658">
        <v>0.14628463099742373</v>
      </c>
      <c r="AC943" s="660">
        <v>-0.8026235740738098</v>
      </c>
      <c r="AD943" s="682">
        <v>0</v>
      </c>
      <c r="AE943" s="944" t="s">
        <v>1868</v>
      </c>
      <c r="AF943" s="661" t="s">
        <v>1745</v>
      </c>
      <c r="AG943" s="662" t="s">
        <v>1432</v>
      </c>
      <c r="AH943" s="662" t="s">
        <v>1730</v>
      </c>
      <c r="AI943" s="662">
        <v>0</v>
      </c>
      <c r="AJ943" s="662">
        <v>0</v>
      </c>
      <c r="AK943" s="662">
        <v>0</v>
      </c>
      <c r="AL943" s="658">
        <v>0.01</v>
      </c>
      <c r="AM943" s="658">
        <v>0.2</v>
      </c>
      <c r="AN943" s="659" t="s">
        <v>34</v>
      </c>
      <c r="AO943" s="253" t="s">
        <v>34</v>
      </c>
      <c r="AP943" s="944" t="s">
        <v>1731</v>
      </c>
      <c r="AQ943" s="663" t="s">
        <v>659</v>
      </c>
      <c r="AR943" s="658">
        <v>2E-3</v>
      </c>
      <c r="AS943" s="658">
        <v>2E-3</v>
      </c>
      <c r="AT943" s="658" t="s">
        <v>1417</v>
      </c>
      <c r="AU943" s="658" t="s">
        <v>2751</v>
      </c>
      <c r="AX943"/>
      <c r="AY943"/>
      <c r="BA943"/>
      <c r="BB943"/>
      <c r="BC943"/>
      <c r="BD943"/>
      <c r="BE943"/>
      <c r="BF943"/>
      <c r="BG943"/>
      <c r="BH943"/>
      <c r="BI943"/>
      <c r="BJ943"/>
      <c r="BR943"/>
      <c r="BS943"/>
      <c r="BT943"/>
      <c r="BU943"/>
      <c r="BX943"/>
      <c r="BY943"/>
      <c r="CA943"/>
    </row>
    <row r="944" spans="2:79" ht="18.75">
      <c r="B944" s="252" t="s">
        <v>1052</v>
      </c>
      <c r="C944" s="251">
        <v>11952816000131</v>
      </c>
      <c r="D944" s="252" t="s">
        <v>14</v>
      </c>
      <c r="E944" s="252" t="s">
        <v>607</v>
      </c>
      <c r="F944" s="252" t="s">
        <v>1417</v>
      </c>
      <c r="G944" s="253" t="s">
        <v>1417</v>
      </c>
      <c r="H944" s="253" t="s">
        <v>34</v>
      </c>
      <c r="I944" s="253" t="s">
        <v>34</v>
      </c>
      <c r="J944" s="253" t="s">
        <v>611</v>
      </c>
      <c r="K944" s="253" t="s">
        <v>1417</v>
      </c>
      <c r="L944" s="655"/>
      <c r="M944" s="655" t="s">
        <v>1414</v>
      </c>
      <c r="N944" s="253" t="s">
        <v>3554</v>
      </c>
      <c r="O944" s="253" t="s">
        <v>1321</v>
      </c>
      <c r="P944" s="656">
        <v>40369</v>
      </c>
      <c r="Q944" s="657">
        <v>56.726894000000001</v>
      </c>
      <c r="R944" s="657">
        <v>370.65442475609746</v>
      </c>
      <c r="S944" s="253">
        <v>3</v>
      </c>
      <c r="T944" s="658">
        <v>1.931262247313259E-2</v>
      </c>
      <c r="U944" s="659">
        <v>0.96570934738705194</v>
      </c>
      <c r="V944" s="658">
        <v>-0.12471928527429743</v>
      </c>
      <c r="W944" s="659">
        <v>-0.96723672959338725</v>
      </c>
      <c r="X944" s="658">
        <v>-0.14287292185025335</v>
      </c>
      <c r="Y944" s="659">
        <v>-0.73993780162574774</v>
      </c>
      <c r="Z944" s="658">
        <v>0.27059848000834008</v>
      </c>
      <c r="AA944" s="659">
        <v>1.2218270971216532</v>
      </c>
      <c r="AB944" s="658">
        <v>0.16602716213701613</v>
      </c>
      <c r="AC944" s="660">
        <v>-1.5278415378307006</v>
      </c>
      <c r="AD944" s="682">
        <v>8969635000103</v>
      </c>
      <c r="AE944" s="944" t="s">
        <v>1885</v>
      </c>
      <c r="AF944" s="661" t="s">
        <v>1745</v>
      </c>
      <c r="AG944" s="662" t="s">
        <v>1432</v>
      </c>
      <c r="AH944" s="662" t="s">
        <v>1801</v>
      </c>
      <c r="AI944" s="662">
        <v>0</v>
      </c>
      <c r="AJ944" s="662">
        <v>0</v>
      </c>
      <c r="AK944" s="662">
        <v>0</v>
      </c>
      <c r="AL944" s="658">
        <v>1.1699999999999999E-2</v>
      </c>
      <c r="AM944" s="658">
        <v>0</v>
      </c>
      <c r="AN944" s="659" t="s">
        <v>34</v>
      </c>
      <c r="AO944" s="253" t="s">
        <v>34</v>
      </c>
      <c r="AP944" s="944" t="s">
        <v>1731</v>
      </c>
      <c r="AQ944" s="663" t="s">
        <v>687</v>
      </c>
      <c r="AR944" s="658">
        <v>0</v>
      </c>
      <c r="AS944" s="658">
        <v>0</v>
      </c>
      <c r="AT944" s="658" t="s">
        <v>1417</v>
      </c>
      <c r="AU944" s="658" t="s">
        <v>2751</v>
      </c>
      <c r="AX944"/>
      <c r="AY944"/>
      <c r="BA944"/>
      <c r="BB944"/>
      <c r="BC944"/>
      <c r="BD944"/>
      <c r="BE944"/>
      <c r="BF944"/>
      <c r="BG944"/>
      <c r="BH944"/>
      <c r="BI944"/>
      <c r="BJ944"/>
      <c r="BR944"/>
      <c r="BS944"/>
      <c r="BT944"/>
      <c r="BU944"/>
      <c r="BX944"/>
      <c r="BY944"/>
      <c r="CA944"/>
    </row>
    <row r="945" spans="2:79" ht="18.75">
      <c r="B945" s="252" t="s">
        <v>530</v>
      </c>
      <c r="C945" s="251">
        <v>41594603000146</v>
      </c>
      <c r="D945" s="252" t="s">
        <v>13</v>
      </c>
      <c r="E945" s="252" t="s">
        <v>616</v>
      </c>
      <c r="F945" s="252" t="s">
        <v>619</v>
      </c>
      <c r="G945" s="253" t="s">
        <v>34</v>
      </c>
      <c r="H945" s="253" t="s">
        <v>1338</v>
      </c>
      <c r="I945" s="253" t="s">
        <v>34</v>
      </c>
      <c r="J945" s="253" t="s">
        <v>611</v>
      </c>
      <c r="K945" s="253" t="s">
        <v>48</v>
      </c>
      <c r="L945" s="655"/>
      <c r="M945" s="655" t="s">
        <v>1414</v>
      </c>
      <c r="N945" s="253" t="s">
        <v>3555</v>
      </c>
      <c r="O945" s="253" t="s">
        <v>1321</v>
      </c>
      <c r="P945" s="656">
        <v>44353</v>
      </c>
      <c r="Q945" s="657">
        <v>3.53687621</v>
      </c>
      <c r="R945" s="657">
        <v>8.8176223073891631</v>
      </c>
      <c r="S945" s="253">
        <v>6</v>
      </c>
      <c r="T945" s="658">
        <v>9.5067492324427683E-3</v>
      </c>
      <c r="U945" s="659">
        <v>0.47537596770230373</v>
      </c>
      <c r="V945" s="658">
        <v>-5.199678154459475E-2</v>
      </c>
      <c r="W945" s="659">
        <v>-0.40325116376320519</v>
      </c>
      <c r="X945" s="658"/>
      <c r="Y945" s="659"/>
      <c r="Z945" s="658"/>
      <c r="AA945" s="659"/>
      <c r="AB945" s="658">
        <v>0.15012218948866948</v>
      </c>
      <c r="AC945" s="660">
        <v>-1.2052894485997332</v>
      </c>
      <c r="AD945" s="682">
        <v>41594622000172</v>
      </c>
      <c r="AE945" s="944" t="s">
        <v>1940</v>
      </c>
      <c r="AF945" s="661" t="s">
        <v>1729</v>
      </c>
      <c r="AG945" s="662" t="s">
        <v>1433</v>
      </c>
      <c r="AH945" s="662" t="s">
        <v>1730</v>
      </c>
      <c r="AI945" s="662">
        <v>500</v>
      </c>
      <c r="AJ945" s="662">
        <v>0</v>
      </c>
      <c r="AK945" s="662">
        <v>500</v>
      </c>
      <c r="AL945" s="658">
        <v>5.0000000000000001E-3</v>
      </c>
      <c r="AM945" s="658">
        <v>0</v>
      </c>
      <c r="AN945" s="659" t="s">
        <v>34</v>
      </c>
      <c r="AO945" s="253" t="s">
        <v>34</v>
      </c>
      <c r="AP945" s="944" t="s">
        <v>1746</v>
      </c>
      <c r="AQ945" s="663" t="s">
        <v>679</v>
      </c>
      <c r="AR945" s="658">
        <v>3.3335000000000001E-3</v>
      </c>
      <c r="AS945" s="658">
        <v>3.3335000000000001E-3</v>
      </c>
      <c r="AT945" s="658" t="s">
        <v>1417</v>
      </c>
      <c r="AU945" s="658" t="s">
        <v>2751</v>
      </c>
      <c r="AX945"/>
      <c r="AY945"/>
      <c r="BA945"/>
      <c r="BB945"/>
      <c r="BC945"/>
      <c r="BD945"/>
      <c r="BE945"/>
      <c r="BF945"/>
      <c r="BG945"/>
      <c r="BH945"/>
      <c r="BI945"/>
      <c r="BJ945"/>
      <c r="BR945"/>
      <c r="BS945"/>
      <c r="BT945"/>
      <c r="BU945"/>
      <c r="BX945"/>
      <c r="BY945"/>
      <c r="CA945"/>
    </row>
    <row r="946" spans="2:79" ht="18.75">
      <c r="B946" s="252" t="s">
        <v>531</v>
      </c>
      <c r="C946" s="251">
        <v>41594555000196</v>
      </c>
      <c r="D946" s="252" t="s">
        <v>13</v>
      </c>
      <c r="E946" s="252" t="s">
        <v>615</v>
      </c>
      <c r="F946" s="252" t="s">
        <v>619</v>
      </c>
      <c r="G946" s="253" t="s">
        <v>34</v>
      </c>
      <c r="H946" s="253" t="s">
        <v>1338</v>
      </c>
      <c r="I946" s="253" t="s">
        <v>34</v>
      </c>
      <c r="J946" s="253" t="s">
        <v>1417</v>
      </c>
      <c r="K946" s="253" t="s">
        <v>49</v>
      </c>
      <c r="L946" s="655"/>
      <c r="M946" s="655" t="s">
        <v>1414</v>
      </c>
      <c r="N946" s="253" t="s">
        <v>3556</v>
      </c>
      <c r="O946" s="253" t="s">
        <v>1321</v>
      </c>
      <c r="P946" s="656">
        <v>44356</v>
      </c>
      <c r="Q946" s="657">
        <v>3.9559479500000001</v>
      </c>
      <c r="R946" s="657">
        <v>6.0615158175369448</v>
      </c>
      <c r="S946" s="253">
        <v>6</v>
      </c>
      <c r="T946" s="658">
        <v>-1.5153428032105731E-2</v>
      </c>
      <c r="U946" s="659">
        <v>-0.75773277895945002</v>
      </c>
      <c r="V946" s="658">
        <v>-0.1622978986498016</v>
      </c>
      <c r="W946" s="659">
        <v>-1.2586705284965594</v>
      </c>
      <c r="X946" s="658"/>
      <c r="Y946" s="659"/>
      <c r="Z946" s="658"/>
      <c r="AA946" s="659"/>
      <c r="AB946" s="658">
        <v>0.21033779186441853</v>
      </c>
      <c r="AC946" s="660">
        <v>-1.3846385165264132</v>
      </c>
      <c r="AD946" s="682">
        <v>41594569000100</v>
      </c>
      <c r="AE946" s="944" t="s">
        <v>1940</v>
      </c>
      <c r="AF946" s="661" t="s">
        <v>1729</v>
      </c>
      <c r="AG946" s="662" t="s">
        <v>1433</v>
      </c>
      <c r="AH946" s="662" t="s">
        <v>1730</v>
      </c>
      <c r="AI946" s="662">
        <v>500</v>
      </c>
      <c r="AJ946" s="662">
        <v>0</v>
      </c>
      <c r="AK946" s="662">
        <v>500</v>
      </c>
      <c r="AL946" s="658">
        <v>5.0000000000000001E-3</v>
      </c>
      <c r="AM946" s="658">
        <v>0</v>
      </c>
      <c r="AN946" s="659" t="s">
        <v>34</v>
      </c>
      <c r="AO946" s="253" t="s">
        <v>34</v>
      </c>
      <c r="AP946" s="944" t="s">
        <v>1746</v>
      </c>
      <c r="AQ946" s="663" t="s">
        <v>679</v>
      </c>
      <c r="AR946" s="658">
        <v>3.3335000000000001E-3</v>
      </c>
      <c r="AS946" s="658">
        <v>3.3335000000000001E-3</v>
      </c>
      <c r="AT946" s="658" t="s">
        <v>1417</v>
      </c>
      <c r="AU946" s="658" t="s">
        <v>2751</v>
      </c>
      <c r="AX946"/>
      <c r="AY946"/>
      <c r="BA946"/>
      <c r="BB946"/>
      <c r="BC946"/>
      <c r="BD946"/>
      <c r="BE946"/>
      <c r="BF946"/>
      <c r="BG946"/>
      <c r="BH946"/>
      <c r="BI946"/>
      <c r="BJ946"/>
      <c r="BR946"/>
      <c r="BS946"/>
      <c r="BT946"/>
      <c r="BU946"/>
      <c r="BX946"/>
      <c r="BY946"/>
      <c r="CA946"/>
    </row>
    <row r="947" spans="2:79" ht="18.75">
      <c r="B947" s="252" t="s">
        <v>1053</v>
      </c>
      <c r="C947" s="251">
        <v>14796095000106</v>
      </c>
      <c r="D947" s="252" t="s">
        <v>13</v>
      </c>
      <c r="E947" s="252" t="s">
        <v>615</v>
      </c>
      <c r="F947" s="252" t="s">
        <v>619</v>
      </c>
      <c r="G947" s="253" t="s">
        <v>34</v>
      </c>
      <c r="H947" s="253" t="s">
        <v>1337</v>
      </c>
      <c r="I947" s="253" t="s">
        <v>34</v>
      </c>
      <c r="J947" s="253" t="s">
        <v>1417</v>
      </c>
      <c r="K947" s="253" t="s">
        <v>48</v>
      </c>
      <c r="L947" s="655"/>
      <c r="M947" s="655" t="s">
        <v>1414</v>
      </c>
      <c r="N947" s="253" t="s">
        <v>3559</v>
      </c>
      <c r="O947" s="253" t="s">
        <v>1321</v>
      </c>
      <c r="P947" s="656">
        <v>40955</v>
      </c>
      <c r="Q947" s="657">
        <v>64.761999000000003</v>
      </c>
      <c r="R947" s="657">
        <v>67.069850085714279</v>
      </c>
      <c r="S947" s="253">
        <v>31</v>
      </c>
      <c r="T947" s="658">
        <v>1.2508551284861058E-2</v>
      </c>
      <c r="U947" s="659">
        <v>0.62547822880427673</v>
      </c>
      <c r="V947" s="658">
        <v>0.15862463553675221</v>
      </c>
      <c r="W947" s="659">
        <v>1.2301832340690142</v>
      </c>
      <c r="X947" s="658">
        <v>0.25401287071379453</v>
      </c>
      <c r="Y947" s="659">
        <v>1.3155307717273867</v>
      </c>
      <c r="Z947" s="658">
        <v>0.3044939875249737</v>
      </c>
      <c r="AA947" s="659">
        <v>1.374874703129038</v>
      </c>
      <c r="AB947" s="658">
        <v>2.8688382424628033E-2</v>
      </c>
      <c r="AC947" s="660">
        <v>1.0345904363183591</v>
      </c>
      <c r="AD947" s="682">
        <v>0</v>
      </c>
      <c r="AE947" s="944" t="s">
        <v>1856</v>
      </c>
      <c r="AF947" s="661" t="s">
        <v>1745</v>
      </c>
      <c r="AG947" s="662" t="s">
        <v>1432</v>
      </c>
      <c r="AH947" s="662" t="s">
        <v>1730</v>
      </c>
      <c r="AI947" s="662">
        <v>5000</v>
      </c>
      <c r="AJ947" s="662">
        <v>0</v>
      </c>
      <c r="AK947" s="662">
        <v>0</v>
      </c>
      <c r="AL947" s="658">
        <v>6.7000000000000002E-3</v>
      </c>
      <c r="AM947" s="658">
        <v>0.2</v>
      </c>
      <c r="AN947" s="659" t="s">
        <v>2127</v>
      </c>
      <c r="AO947" s="253" t="s">
        <v>34</v>
      </c>
      <c r="AP947" s="944" t="s">
        <v>1746</v>
      </c>
      <c r="AQ947" s="663" t="s">
        <v>686</v>
      </c>
      <c r="AR947" s="658">
        <v>1.34E-3</v>
      </c>
      <c r="AS947" s="658">
        <v>1.34E-3</v>
      </c>
      <c r="AT947" s="658" t="s">
        <v>1417</v>
      </c>
      <c r="AU947" s="658" t="s">
        <v>2751</v>
      </c>
      <c r="AX947"/>
      <c r="AY947"/>
      <c r="BA947"/>
      <c r="BB947"/>
      <c r="BC947"/>
      <c r="BD947"/>
      <c r="BE947"/>
      <c r="BF947"/>
      <c r="BG947"/>
      <c r="BH947"/>
      <c r="BI947"/>
      <c r="BJ947"/>
      <c r="BR947"/>
      <c r="BS947"/>
      <c r="BT947"/>
      <c r="BU947"/>
      <c r="BX947"/>
      <c r="BY947"/>
      <c r="CA947"/>
    </row>
    <row r="948" spans="2:79" ht="18.75">
      <c r="B948" s="252" t="s">
        <v>1054</v>
      </c>
      <c r="C948" s="251">
        <v>30553981000165</v>
      </c>
      <c r="D948" s="252" t="s">
        <v>14</v>
      </c>
      <c r="E948" s="252" t="s">
        <v>607</v>
      </c>
      <c r="F948" s="252" t="s">
        <v>1417</v>
      </c>
      <c r="G948" s="253" t="s">
        <v>1417</v>
      </c>
      <c r="H948" s="253" t="s">
        <v>34</v>
      </c>
      <c r="I948" s="253" t="s">
        <v>34</v>
      </c>
      <c r="J948" s="253" t="s">
        <v>611</v>
      </c>
      <c r="K948" s="253" t="s">
        <v>1417</v>
      </c>
      <c r="L948" s="655"/>
      <c r="M948" s="655" t="s">
        <v>1414</v>
      </c>
      <c r="N948" s="253" t="s">
        <v>3560</v>
      </c>
      <c r="O948" s="253" t="s">
        <v>1321</v>
      </c>
      <c r="P948" s="656">
        <v>43299</v>
      </c>
      <c r="Q948" s="657">
        <v>16.756004999999998</v>
      </c>
      <c r="R948" s="657">
        <v>104.71477619754026</v>
      </c>
      <c r="S948" s="253">
        <v>37</v>
      </c>
      <c r="T948" s="658">
        <v>1.7652563231797647E-2</v>
      </c>
      <c r="U948" s="659">
        <v>0.88269966142629397</v>
      </c>
      <c r="V948" s="658">
        <v>-0.14518930271573427</v>
      </c>
      <c r="W948" s="659">
        <v>-1.1259880620856306</v>
      </c>
      <c r="X948" s="658">
        <v>-0.21663444585030345</v>
      </c>
      <c r="Y948" s="659">
        <v>-1.1219481868432257</v>
      </c>
      <c r="Z948" s="658">
        <v>0.26423036475030659</v>
      </c>
      <c r="AA948" s="659">
        <v>1.1930732926670999</v>
      </c>
      <c r="AB948" s="658">
        <v>0.21902341298435651</v>
      </c>
      <c r="AC948" s="660">
        <v>-1.2516160187043668</v>
      </c>
      <c r="AD948" s="682">
        <v>17690766000148</v>
      </c>
      <c r="AE948" s="944" t="s">
        <v>1877</v>
      </c>
      <c r="AF948" s="661" t="s">
        <v>1729</v>
      </c>
      <c r="AG948" s="662" t="s">
        <v>1433</v>
      </c>
      <c r="AH948" s="662" t="s">
        <v>1730</v>
      </c>
      <c r="AI948" s="662">
        <v>2000000</v>
      </c>
      <c r="AJ948" s="662">
        <v>25000</v>
      </c>
      <c r="AK948" s="662">
        <v>25000</v>
      </c>
      <c r="AL948" s="658">
        <v>0.01</v>
      </c>
      <c r="AM948" s="658">
        <v>0.1</v>
      </c>
      <c r="AN948" s="659" t="s">
        <v>2122</v>
      </c>
      <c r="AO948" s="253" t="s">
        <v>34</v>
      </c>
      <c r="AP948" s="944" t="s">
        <v>1746</v>
      </c>
      <c r="AQ948" s="663" t="s">
        <v>679</v>
      </c>
      <c r="AR948" s="658">
        <v>1E-3</v>
      </c>
      <c r="AS948" s="658">
        <v>1E-3</v>
      </c>
      <c r="AT948" s="658" t="s">
        <v>1417</v>
      </c>
      <c r="AU948" s="658" t="s">
        <v>2751</v>
      </c>
      <c r="AX948"/>
      <c r="AY948"/>
      <c r="BA948"/>
      <c r="BB948"/>
      <c r="BC948"/>
      <c r="BD948"/>
      <c r="BE948"/>
      <c r="BF948"/>
      <c r="BG948"/>
      <c r="BH948"/>
      <c r="BI948"/>
      <c r="BJ948"/>
      <c r="BR948"/>
      <c r="BS948"/>
      <c r="BT948"/>
      <c r="BU948"/>
      <c r="BX948"/>
      <c r="BY948"/>
      <c r="CA948"/>
    </row>
    <row r="949" spans="2:79" ht="18.75">
      <c r="B949" s="252" t="s">
        <v>1055</v>
      </c>
      <c r="C949" s="251">
        <v>18323970000193</v>
      </c>
      <c r="D949" s="252" t="s">
        <v>14</v>
      </c>
      <c r="E949" s="252" t="s">
        <v>607</v>
      </c>
      <c r="F949" s="252" t="s">
        <v>1417</v>
      </c>
      <c r="G949" s="253" t="s">
        <v>1417</v>
      </c>
      <c r="H949" s="253" t="s">
        <v>34</v>
      </c>
      <c r="I949" s="253" t="s">
        <v>34</v>
      </c>
      <c r="J949" s="253" t="s">
        <v>611</v>
      </c>
      <c r="K949" s="253" t="s">
        <v>1417</v>
      </c>
      <c r="L949" s="655"/>
      <c r="M949" s="655" t="s">
        <v>1414</v>
      </c>
      <c r="N949" s="253" t="s">
        <v>3561</v>
      </c>
      <c r="O949" s="253" t="s">
        <v>1324</v>
      </c>
      <c r="P949" s="656">
        <v>41487</v>
      </c>
      <c r="Q949" s="657">
        <v>22.800758999999999</v>
      </c>
      <c r="R949" s="657">
        <v>60.075989020408144</v>
      </c>
      <c r="S949" s="253">
        <v>38</v>
      </c>
      <c r="T949" s="658">
        <v>1.8189332900129918E-2</v>
      </c>
      <c r="U949" s="659">
        <v>0.90954031897155807</v>
      </c>
      <c r="V949" s="658">
        <v>-0.14303070371708082</v>
      </c>
      <c r="W949" s="659">
        <v>-1.1092474575242013</v>
      </c>
      <c r="X949" s="658">
        <v>-0.21222028088930633</v>
      </c>
      <c r="Y949" s="659">
        <v>-1.0990872592793801</v>
      </c>
      <c r="Z949" s="658">
        <v>0.27470160708522817</v>
      </c>
      <c r="AA949" s="659">
        <v>1.2403538525022486</v>
      </c>
      <c r="AB949" s="658">
        <v>0.21946081322291516</v>
      </c>
      <c r="AC949" s="660">
        <v>-1.2392855433722176</v>
      </c>
      <c r="AD949" s="682">
        <v>17690766000148</v>
      </c>
      <c r="AE949" s="944" t="s">
        <v>1877</v>
      </c>
      <c r="AF949" s="661" t="s">
        <v>1729</v>
      </c>
      <c r="AG949" s="662" t="s">
        <v>1433</v>
      </c>
      <c r="AH949" s="662" t="s">
        <v>1801</v>
      </c>
      <c r="AI949" s="662">
        <v>25000</v>
      </c>
      <c r="AJ949" s="662">
        <v>25000</v>
      </c>
      <c r="AK949" s="662">
        <v>25000</v>
      </c>
      <c r="AL949" s="658">
        <v>6.9999999999999993E-3</v>
      </c>
      <c r="AM949" s="658">
        <v>0.1</v>
      </c>
      <c r="AN949" s="659" t="s">
        <v>2127</v>
      </c>
      <c r="AO949" s="253" t="s">
        <v>34</v>
      </c>
      <c r="AP949" s="944" t="s">
        <v>1746</v>
      </c>
      <c r="AQ949" s="663" t="s">
        <v>679</v>
      </c>
      <c r="AR949" s="658">
        <v>6.9999999999999999E-4</v>
      </c>
      <c r="AS949" s="658">
        <v>6.9999999999999999E-4</v>
      </c>
      <c r="AT949" s="658" t="s">
        <v>1417</v>
      </c>
      <c r="AU949" s="658" t="s">
        <v>2751</v>
      </c>
      <c r="AX949"/>
      <c r="AY949"/>
      <c r="BA949"/>
      <c r="BB949"/>
      <c r="BC949"/>
      <c r="BD949"/>
      <c r="BE949"/>
      <c r="BF949"/>
      <c r="BG949"/>
      <c r="BH949"/>
      <c r="BI949"/>
      <c r="BJ949"/>
      <c r="BR949"/>
      <c r="BS949"/>
      <c r="BT949"/>
      <c r="BU949"/>
      <c r="BX949"/>
      <c r="BY949"/>
      <c r="CA949"/>
    </row>
    <row r="950" spans="2:79" ht="18.75">
      <c r="B950" s="252" t="s">
        <v>281</v>
      </c>
      <c r="C950" s="251">
        <v>32300395000134</v>
      </c>
      <c r="D950" s="252" t="s">
        <v>11</v>
      </c>
      <c r="E950" s="252" t="s">
        <v>620</v>
      </c>
      <c r="F950" s="252" t="s">
        <v>685</v>
      </c>
      <c r="G950" s="253" t="s">
        <v>738</v>
      </c>
      <c r="H950" s="253" t="s">
        <v>34</v>
      </c>
      <c r="I950" s="253" t="s">
        <v>1319</v>
      </c>
      <c r="J950" s="253" t="s">
        <v>608</v>
      </c>
      <c r="K950" s="253" t="s">
        <v>48</v>
      </c>
      <c r="L950" s="655"/>
      <c r="M950" s="655" t="s">
        <v>34</v>
      </c>
      <c r="N950" s="253" t="s">
        <v>3564</v>
      </c>
      <c r="O950" s="253" t="s">
        <v>1321</v>
      </c>
      <c r="P950" s="656">
        <v>43544</v>
      </c>
      <c r="Q950" s="657">
        <v>89.075642770000002</v>
      </c>
      <c r="R950" s="657">
        <v>80.021152533815268</v>
      </c>
      <c r="S950" s="253">
        <v>361</v>
      </c>
      <c r="T950" s="658">
        <v>8.9766783853808541E-3</v>
      </c>
      <c r="U950" s="659">
        <v>0.44887027835342308</v>
      </c>
      <c r="V950" s="658">
        <v>0.13554508770477858</v>
      </c>
      <c r="W950" s="659">
        <v>1.0511941842488834</v>
      </c>
      <c r="X950" s="658">
        <v>0.29816189192185272</v>
      </c>
      <c r="Y950" s="659">
        <v>1.544178224817611</v>
      </c>
      <c r="Z950" s="658">
        <v>0.44801971131896745</v>
      </c>
      <c r="AA950" s="659">
        <v>2.0229331048617261</v>
      </c>
      <c r="AB950" s="658">
        <v>1.0913598333551147E-2</v>
      </c>
      <c r="AC950" s="660">
        <v>0.60485809136813684</v>
      </c>
      <c r="AD950" s="682">
        <v>0</v>
      </c>
      <c r="AE950" s="944" t="s">
        <v>1951</v>
      </c>
      <c r="AF950" s="661" t="s">
        <v>1745</v>
      </c>
      <c r="AG950" s="662" t="s">
        <v>1432</v>
      </c>
      <c r="AH950" s="662" t="s">
        <v>1801</v>
      </c>
      <c r="AI950" s="662">
        <v>50000</v>
      </c>
      <c r="AJ950" s="662">
        <v>10000</v>
      </c>
      <c r="AK950" s="662">
        <v>50000</v>
      </c>
      <c r="AL950" s="658">
        <v>0.02</v>
      </c>
      <c r="AM950" s="658">
        <v>0.2</v>
      </c>
      <c r="AN950" s="659" t="s">
        <v>2127</v>
      </c>
      <c r="AO950" s="253" t="s">
        <v>34</v>
      </c>
      <c r="AP950" s="944" t="s">
        <v>1746</v>
      </c>
      <c r="AQ950" s="663" t="s">
        <v>668</v>
      </c>
      <c r="AR950" s="658">
        <v>5.3340000000000002E-3</v>
      </c>
      <c r="AS950" s="658">
        <v>5.3340000000000002E-3</v>
      </c>
      <c r="AT950" s="658" t="s">
        <v>1417</v>
      </c>
      <c r="AU950" s="658" t="s">
        <v>2751</v>
      </c>
      <c r="AX950"/>
      <c r="AY950"/>
      <c r="BA950"/>
      <c r="BB950"/>
      <c r="BC950"/>
      <c r="BD950"/>
      <c r="BE950"/>
      <c r="BF950"/>
      <c r="BG950"/>
      <c r="BH950"/>
      <c r="BI950"/>
      <c r="BJ950"/>
      <c r="BR950"/>
      <c r="BS950"/>
      <c r="BT950"/>
      <c r="BU950"/>
      <c r="BX950"/>
      <c r="BY950"/>
      <c r="CA950"/>
    </row>
    <row r="951" spans="2:79" ht="18.75">
      <c r="B951" s="252" t="s">
        <v>1057</v>
      </c>
      <c r="C951" s="251">
        <v>26374829000148</v>
      </c>
      <c r="D951" s="252" t="s">
        <v>11</v>
      </c>
      <c r="E951" s="252" t="s">
        <v>620</v>
      </c>
      <c r="F951" s="252" t="s">
        <v>663</v>
      </c>
      <c r="G951" s="253" t="s">
        <v>738</v>
      </c>
      <c r="H951" s="253" t="s">
        <v>34</v>
      </c>
      <c r="I951" s="253" t="s">
        <v>1304</v>
      </c>
      <c r="J951" s="253" t="s">
        <v>608</v>
      </c>
      <c r="K951" s="253" t="s">
        <v>48</v>
      </c>
      <c r="L951" s="655"/>
      <c r="M951" s="655" t="s">
        <v>1414</v>
      </c>
      <c r="N951" s="253" t="s">
        <v>3565</v>
      </c>
      <c r="O951" s="253" t="s">
        <v>1321</v>
      </c>
      <c r="P951" s="656">
        <v>42834</v>
      </c>
      <c r="Q951" s="657">
        <v>399.24195400000002</v>
      </c>
      <c r="R951" s="657">
        <v>228.45934055421685</v>
      </c>
      <c r="S951" s="253">
        <v>0</v>
      </c>
      <c r="T951" s="658">
        <v>1.9696690394487071E-2</v>
      </c>
      <c r="U951" s="659">
        <v>0.98491429908118489</v>
      </c>
      <c r="V951" s="658">
        <v>0.12482549504660012</v>
      </c>
      <c r="W951" s="659">
        <v>0.96806041931055464</v>
      </c>
      <c r="X951" s="658">
        <v>0.18844640707206728</v>
      </c>
      <c r="Y951" s="659">
        <v>0.97596254326850918</v>
      </c>
      <c r="Z951" s="658">
        <v>0.20476218398699708</v>
      </c>
      <c r="AA951" s="659">
        <v>0.92455798293254132</v>
      </c>
      <c r="AB951" s="658">
        <v>1.0151497325193281E-3</v>
      </c>
      <c r="AC951" s="660">
        <v>-4.0569526526569</v>
      </c>
      <c r="AD951" s="682">
        <v>0</v>
      </c>
      <c r="AE951" s="944" t="s">
        <v>1951</v>
      </c>
      <c r="AF951" s="661" t="s">
        <v>1745</v>
      </c>
      <c r="AG951" s="662" t="s">
        <v>1432</v>
      </c>
      <c r="AH951" s="662" t="s">
        <v>1730</v>
      </c>
      <c r="AI951" s="662">
        <v>0</v>
      </c>
      <c r="AJ951" s="662">
        <v>0</v>
      </c>
      <c r="AK951" s="662">
        <v>0</v>
      </c>
      <c r="AL951" s="658">
        <v>3.0000000000000001E-3</v>
      </c>
      <c r="AM951" s="658">
        <v>0</v>
      </c>
      <c r="AN951" s="659" t="s">
        <v>64</v>
      </c>
      <c r="AO951" s="253" t="s">
        <v>34</v>
      </c>
      <c r="AP951" s="944" t="s">
        <v>1735</v>
      </c>
      <c r="AQ951" s="663" t="s">
        <v>680</v>
      </c>
      <c r="AR951" s="658">
        <v>8.0009999999999999E-4</v>
      </c>
      <c r="AS951" s="658">
        <v>8.0009999999999999E-4</v>
      </c>
      <c r="AT951" s="658" t="s">
        <v>1417</v>
      </c>
      <c r="AU951" s="658" t="s">
        <v>2751</v>
      </c>
      <c r="AX951"/>
      <c r="AY951"/>
      <c r="BA951"/>
      <c r="BB951"/>
      <c r="BC951"/>
      <c r="BD951"/>
      <c r="BE951"/>
      <c r="BF951"/>
      <c r="BG951"/>
      <c r="BH951"/>
      <c r="BI951"/>
      <c r="BJ951"/>
      <c r="BR951"/>
      <c r="BS951"/>
      <c r="BT951"/>
      <c r="BU951"/>
      <c r="BX951"/>
      <c r="BY951"/>
      <c r="CA951"/>
    </row>
    <row r="952" spans="2:79" ht="18.75">
      <c r="B952" s="252" t="s">
        <v>282</v>
      </c>
      <c r="C952" s="251">
        <v>32973321000169</v>
      </c>
      <c r="D952" s="252" t="s">
        <v>13</v>
      </c>
      <c r="E952" s="252" t="s">
        <v>615</v>
      </c>
      <c r="F952" s="252" t="s">
        <v>619</v>
      </c>
      <c r="G952" s="253" t="s">
        <v>34</v>
      </c>
      <c r="H952" s="253" t="s">
        <v>865</v>
      </c>
      <c r="I952" s="253" t="s">
        <v>34</v>
      </c>
      <c r="J952" s="253" t="s">
        <v>1417</v>
      </c>
      <c r="K952" s="253" t="s">
        <v>48</v>
      </c>
      <c r="L952" s="655"/>
      <c r="M952" s="655" t="s">
        <v>34</v>
      </c>
      <c r="N952" s="253" t="s">
        <v>3566</v>
      </c>
      <c r="O952" s="253" t="s">
        <v>1321</v>
      </c>
      <c r="P952" s="656">
        <v>43705</v>
      </c>
      <c r="Q952" s="657">
        <v>0</v>
      </c>
      <c r="R952" s="657">
        <v>10.907369136016593</v>
      </c>
      <c r="S952" s="253">
        <v>30</v>
      </c>
      <c r="T952" s="658">
        <v>-0.13952647394969087</v>
      </c>
      <c r="U952" s="659">
        <v>-6.976888834679154</v>
      </c>
      <c r="V952" s="658">
        <v>-0.11213329089788848</v>
      </c>
      <c r="W952" s="659">
        <v>-0.8696284406062843</v>
      </c>
      <c r="X952" s="658">
        <v>-0.12264884685471467</v>
      </c>
      <c r="Y952" s="659">
        <v>-0.63519746736004512</v>
      </c>
      <c r="Z952" s="658">
        <v>-0.14450135490406923</v>
      </c>
      <c r="AA952" s="659">
        <v>-0.65246364645929678</v>
      </c>
      <c r="AB952" s="658">
        <v>0.16458931847812897</v>
      </c>
      <c r="AC952" s="660">
        <v>-1.4647195976858716</v>
      </c>
      <c r="AD952" s="682">
        <v>32905708000188</v>
      </c>
      <c r="AE952" s="944" t="s">
        <v>1984</v>
      </c>
      <c r="AF952" s="661" t="s">
        <v>1767</v>
      </c>
      <c r="AG952" s="662" t="s">
        <v>59</v>
      </c>
      <c r="AH952" s="662" t="s">
        <v>1734</v>
      </c>
      <c r="AI952" s="662">
        <v>5000</v>
      </c>
      <c r="AJ952" s="662">
        <v>1000</v>
      </c>
      <c r="AK952" s="662">
        <v>5000</v>
      </c>
      <c r="AL952" s="658">
        <v>0</v>
      </c>
      <c r="AM952" s="658">
        <v>0</v>
      </c>
      <c r="AN952" s="659" t="s">
        <v>64</v>
      </c>
      <c r="AO952" s="253" t="s">
        <v>34</v>
      </c>
      <c r="AP952" s="944" t="s">
        <v>1746</v>
      </c>
      <c r="AQ952" s="663" t="s">
        <v>664</v>
      </c>
      <c r="AR952" s="658">
        <v>3.7599999999999999E-3</v>
      </c>
      <c r="AS952" s="658">
        <v>3.7599999999999999E-3</v>
      </c>
      <c r="AT952" s="658" t="s">
        <v>1417</v>
      </c>
      <c r="AU952" s="658" t="s">
        <v>2751</v>
      </c>
      <c r="AX952"/>
      <c r="AY952"/>
      <c r="BA952"/>
      <c r="BB952"/>
      <c r="BC952"/>
      <c r="BD952"/>
      <c r="BE952"/>
      <c r="BF952"/>
      <c r="BG952"/>
      <c r="BH952"/>
      <c r="BI952"/>
      <c r="BJ952"/>
      <c r="BR952"/>
      <c r="BS952"/>
      <c r="BT952"/>
      <c r="BU952"/>
      <c r="BX952"/>
      <c r="BY952"/>
      <c r="CA952"/>
    </row>
    <row r="953" spans="2:79" ht="18.75">
      <c r="B953" s="252" t="s">
        <v>1609</v>
      </c>
      <c r="C953" s="251">
        <v>44360367000191</v>
      </c>
      <c r="D953" s="252" t="s">
        <v>14</v>
      </c>
      <c r="E953" s="252" t="s">
        <v>1417</v>
      </c>
      <c r="F953" s="252" t="s">
        <v>1417</v>
      </c>
      <c r="G953" s="253" t="s">
        <v>1417</v>
      </c>
      <c r="H953" s="253" t="s">
        <v>34</v>
      </c>
      <c r="I953" s="253" t="s">
        <v>1417</v>
      </c>
      <c r="J953" s="253" t="s">
        <v>1417</v>
      </c>
      <c r="K953" s="253" t="s">
        <v>1417</v>
      </c>
      <c r="L953" s="655"/>
      <c r="M953" s="655" t="s">
        <v>34</v>
      </c>
      <c r="N953" s="253" t="s">
        <v>3567</v>
      </c>
      <c r="O953" s="253" t="s">
        <v>1321</v>
      </c>
      <c r="P953" s="656">
        <v>44542</v>
      </c>
      <c r="Q953" s="657">
        <v>27.616229390000001</v>
      </c>
      <c r="R953" s="657">
        <v>25.964498257787604</v>
      </c>
      <c r="S953" s="253">
        <v>32</v>
      </c>
      <c r="T953" s="658">
        <v>-1.4035187427200335E-2</v>
      </c>
      <c r="U953" s="659">
        <v>-0.70181621939913008</v>
      </c>
      <c r="V953" s="658">
        <v>-7.3042461923782387E-3</v>
      </c>
      <c r="W953" s="659">
        <v>-5.6646694083620157E-2</v>
      </c>
      <c r="X953" s="658"/>
      <c r="Y953" s="659"/>
      <c r="Z953" s="658"/>
      <c r="AA953" s="659"/>
      <c r="AB953" s="658">
        <v>0.18599060953317406</v>
      </c>
      <c r="AC953" s="660">
        <v>-0.73255394979962574</v>
      </c>
      <c r="AD953" s="682">
        <v>0</v>
      </c>
      <c r="AE953" s="944" t="s">
        <v>2066</v>
      </c>
      <c r="AF953" s="661" t="s">
        <v>1745</v>
      </c>
      <c r="AG953" s="662" t="s">
        <v>1432</v>
      </c>
      <c r="AH953" s="662" t="s">
        <v>1730</v>
      </c>
      <c r="AI953" s="662">
        <v>5000</v>
      </c>
      <c r="AJ953" s="662">
        <v>5000</v>
      </c>
      <c r="AK953" s="662">
        <v>5000</v>
      </c>
      <c r="AL953" s="658">
        <v>0</v>
      </c>
      <c r="AM953" s="658">
        <v>0</v>
      </c>
      <c r="AN953" s="659" t="s">
        <v>64</v>
      </c>
      <c r="AO953" s="253" t="s">
        <v>34</v>
      </c>
      <c r="AP953" s="944" t="s">
        <v>1731</v>
      </c>
      <c r="AQ953" s="663" t="s">
        <v>659</v>
      </c>
      <c r="AR953" s="658">
        <v>0</v>
      </c>
      <c r="AS953" s="658">
        <v>0</v>
      </c>
      <c r="AT953" s="658" t="s">
        <v>1417</v>
      </c>
      <c r="AU953" s="658" t="s">
        <v>2751</v>
      </c>
      <c r="AX953"/>
      <c r="AY953"/>
      <c r="BA953"/>
      <c r="BB953"/>
      <c r="BC953"/>
      <c r="BD953"/>
      <c r="BE953"/>
      <c r="BF953"/>
      <c r="BG953"/>
      <c r="BH953"/>
      <c r="BI953"/>
      <c r="BJ953"/>
      <c r="BR953"/>
      <c r="BS953"/>
      <c r="BT953"/>
      <c r="BU953"/>
      <c r="BX953"/>
      <c r="BY953"/>
      <c r="CA953"/>
    </row>
    <row r="954" spans="2:79" ht="18.75">
      <c r="B954" s="252" t="s">
        <v>1058</v>
      </c>
      <c r="C954" s="251">
        <v>11435287000107</v>
      </c>
      <c r="D954" s="252" t="s">
        <v>11</v>
      </c>
      <c r="E954" s="252" t="s">
        <v>620</v>
      </c>
      <c r="F954" s="252" t="s">
        <v>663</v>
      </c>
      <c r="G954" s="253" t="s">
        <v>738</v>
      </c>
      <c r="H954" s="253" t="s">
        <v>34</v>
      </c>
      <c r="I954" s="253" t="s">
        <v>1304</v>
      </c>
      <c r="J954" s="253" t="s">
        <v>608</v>
      </c>
      <c r="K954" s="253" t="s">
        <v>48</v>
      </c>
      <c r="L954" s="655"/>
      <c r="M954" s="655" t="s">
        <v>34</v>
      </c>
      <c r="N954" s="253" t="s">
        <v>3568</v>
      </c>
      <c r="O954" s="253" t="s">
        <v>1321</v>
      </c>
      <c r="P954" s="656">
        <v>40227</v>
      </c>
      <c r="Q954" s="657">
        <v>461.60676999999998</v>
      </c>
      <c r="R954" s="657">
        <v>534.36329503658578</v>
      </c>
      <c r="S954" s="253">
        <v>0</v>
      </c>
      <c r="T954" s="658">
        <v>1.8553208313735858E-2</v>
      </c>
      <c r="U954" s="659">
        <v>0.92773556349065145</v>
      </c>
      <c r="V954" s="658">
        <v>0.12754504239460607</v>
      </c>
      <c r="W954" s="659">
        <v>0.98915135225708695</v>
      </c>
      <c r="X954" s="658">
        <v>0.20068142982856219</v>
      </c>
      <c r="Y954" s="659">
        <v>1.0393276352960283</v>
      </c>
      <c r="Z954" s="658">
        <v>0.21553833651074306</v>
      </c>
      <c r="AA954" s="659">
        <v>0.97321529673497997</v>
      </c>
      <c r="AB954" s="658">
        <v>1.7892301537775232E-3</v>
      </c>
      <c r="AC954" s="660">
        <v>-0.78182622242807476</v>
      </c>
      <c r="AD954" s="682">
        <v>0</v>
      </c>
      <c r="AE954" s="944" t="s">
        <v>1830</v>
      </c>
      <c r="AF954" s="661" t="s">
        <v>1769</v>
      </c>
      <c r="AG954" s="662" t="s">
        <v>719</v>
      </c>
      <c r="AH954" s="662" t="s">
        <v>1734</v>
      </c>
      <c r="AI954" s="662">
        <v>1000</v>
      </c>
      <c r="AJ954" s="662">
        <v>500</v>
      </c>
      <c r="AK954" s="662">
        <v>500</v>
      </c>
      <c r="AL954" s="658">
        <v>3.0000000000000001E-3</v>
      </c>
      <c r="AM954" s="658">
        <v>0</v>
      </c>
      <c r="AN954" s="659" t="s">
        <v>64</v>
      </c>
      <c r="AO954" s="253" t="s">
        <v>34</v>
      </c>
      <c r="AP954" s="944" t="s">
        <v>1735</v>
      </c>
      <c r="AQ954" s="663" t="s">
        <v>669</v>
      </c>
      <c r="AR954" s="658">
        <v>1.1999999999999999E-3</v>
      </c>
      <c r="AS954" s="658">
        <v>1.1999999999999999E-3</v>
      </c>
      <c r="AT954" s="658" t="s">
        <v>1417</v>
      </c>
      <c r="AU954" s="658" t="s">
        <v>2751</v>
      </c>
      <c r="AX954"/>
      <c r="AY954"/>
      <c r="BA954"/>
      <c r="BB954"/>
      <c r="BC954"/>
      <c r="BD954"/>
      <c r="BE954"/>
      <c r="BF954"/>
      <c r="BG954"/>
      <c r="BH954"/>
      <c r="BI954"/>
      <c r="BJ954"/>
      <c r="BR954"/>
      <c r="BS954"/>
      <c r="BT954"/>
      <c r="BU954"/>
      <c r="BX954"/>
      <c r="BY954"/>
      <c r="CA954"/>
    </row>
    <row r="955" spans="2:79" ht="18.75">
      <c r="B955" s="252" t="s">
        <v>1059</v>
      </c>
      <c r="C955" s="251">
        <v>19488768000184</v>
      </c>
      <c r="D955" s="252" t="s">
        <v>11</v>
      </c>
      <c r="E955" s="252" t="s">
        <v>620</v>
      </c>
      <c r="F955" s="252" t="s">
        <v>663</v>
      </c>
      <c r="G955" s="253" t="s">
        <v>738</v>
      </c>
      <c r="H955" s="253" t="s">
        <v>34</v>
      </c>
      <c r="I955" s="253" t="s">
        <v>1417</v>
      </c>
      <c r="J955" s="253" t="s">
        <v>608</v>
      </c>
      <c r="K955" s="253" t="s">
        <v>48</v>
      </c>
      <c r="L955" s="655"/>
      <c r="M955" s="655" t="s">
        <v>34</v>
      </c>
      <c r="N955" s="253" t="s">
        <v>3569</v>
      </c>
      <c r="O955" s="253" t="s">
        <v>1321</v>
      </c>
      <c r="P955" s="656">
        <v>41907</v>
      </c>
      <c r="Q955" s="657">
        <v>936.05029200000001</v>
      </c>
      <c r="R955" s="657">
        <v>1049.878107798354</v>
      </c>
      <c r="S955" s="253">
        <v>1</v>
      </c>
      <c r="T955" s="658">
        <v>-5.7841192400061026E-3</v>
      </c>
      <c r="U955" s="659">
        <v>-0.2892293899622399</v>
      </c>
      <c r="V955" s="658">
        <v>0.11075457469138694</v>
      </c>
      <c r="W955" s="659">
        <v>0.85893606891989227</v>
      </c>
      <c r="X955" s="658">
        <v>0.19448055110821416</v>
      </c>
      <c r="Y955" s="659">
        <v>1.0072133304364188</v>
      </c>
      <c r="Z955" s="658">
        <v>0.19790398687205402</v>
      </c>
      <c r="AA955" s="659">
        <v>0.8935913231339323</v>
      </c>
      <c r="AB955" s="658">
        <v>1.1849322559806036E-2</v>
      </c>
      <c r="AC955" s="660">
        <v>-1.5350527140767747</v>
      </c>
      <c r="AD955" s="682">
        <v>0</v>
      </c>
      <c r="AE955" s="944" t="s">
        <v>1830</v>
      </c>
      <c r="AF955" s="661" t="s">
        <v>1769</v>
      </c>
      <c r="AG955" s="662" t="s">
        <v>719</v>
      </c>
      <c r="AH955" s="662" t="s">
        <v>1734</v>
      </c>
      <c r="AI955" s="662">
        <v>1000</v>
      </c>
      <c r="AJ955" s="662">
        <v>0</v>
      </c>
      <c r="AK955" s="662">
        <v>0</v>
      </c>
      <c r="AL955" s="658">
        <v>4.5000000000000005E-3</v>
      </c>
      <c r="AM955" s="658">
        <v>0</v>
      </c>
      <c r="AN955" s="659" t="s">
        <v>64</v>
      </c>
      <c r="AO955" s="253" t="s">
        <v>34</v>
      </c>
      <c r="AP955" s="944" t="s">
        <v>1735</v>
      </c>
      <c r="AQ955" s="663" t="s">
        <v>669</v>
      </c>
      <c r="AR955" s="658">
        <v>1.6199999999999999E-3</v>
      </c>
      <c r="AS955" s="658">
        <v>1.6199999999999999E-3</v>
      </c>
      <c r="AT955" s="658" t="s">
        <v>1417</v>
      </c>
      <c r="AU955" s="658" t="s">
        <v>2751</v>
      </c>
      <c r="AX955"/>
      <c r="AY955"/>
      <c r="BA955"/>
      <c r="BB955"/>
      <c r="BC955"/>
      <c r="BD955"/>
      <c r="BE955"/>
      <c r="BF955"/>
      <c r="BG955"/>
      <c r="BH955"/>
      <c r="BI955"/>
      <c r="BJ955"/>
      <c r="BR955"/>
      <c r="BS955"/>
      <c r="BT955"/>
      <c r="BU955"/>
      <c r="BX955"/>
      <c r="BY955"/>
      <c r="CA955"/>
    </row>
    <row r="956" spans="2:79" ht="18.75">
      <c r="B956" s="252" t="s">
        <v>1060</v>
      </c>
      <c r="C956" s="251">
        <v>38001966000116</v>
      </c>
      <c r="D956" s="252" t="s">
        <v>14</v>
      </c>
      <c r="E956" s="252" t="s">
        <v>607</v>
      </c>
      <c r="F956" s="252" t="s">
        <v>1417</v>
      </c>
      <c r="G956" s="253" t="s">
        <v>1417</v>
      </c>
      <c r="H956" s="253" t="s">
        <v>34</v>
      </c>
      <c r="I956" s="253" t="s">
        <v>34</v>
      </c>
      <c r="J956" s="253" t="s">
        <v>611</v>
      </c>
      <c r="K956" s="253" t="s">
        <v>1417</v>
      </c>
      <c r="L956" s="655"/>
      <c r="M956" s="655" t="s">
        <v>1414</v>
      </c>
      <c r="N956" s="253" t="s">
        <v>3570</v>
      </c>
      <c r="O956" s="253" t="s">
        <v>1321</v>
      </c>
      <c r="P956" s="656">
        <v>44088</v>
      </c>
      <c r="Q956" s="657">
        <v>61.502322210000003</v>
      </c>
      <c r="R956" s="657">
        <v>65.104398276326563</v>
      </c>
      <c r="S956" s="253">
        <v>4</v>
      </c>
      <c r="T956" s="658">
        <v>2.518454407241677E-2</v>
      </c>
      <c r="U956" s="659">
        <v>1.259329210947346</v>
      </c>
      <c r="V956" s="658">
        <v>-0.26693141240335561</v>
      </c>
      <c r="W956" s="659">
        <v>-2.0701358718576075</v>
      </c>
      <c r="X956" s="658">
        <v>-0.40990040145072304</v>
      </c>
      <c r="Y956" s="659">
        <v>-2.1228711361614927</v>
      </c>
      <c r="Z956" s="658"/>
      <c r="AA956" s="659"/>
      <c r="AB956" s="658">
        <v>0.33028912638577945</v>
      </c>
      <c r="AC956" s="660">
        <v>-1.1985720698166717</v>
      </c>
      <c r="AD956" s="682">
        <v>38012975000102</v>
      </c>
      <c r="AE956" s="944" t="s">
        <v>1830</v>
      </c>
      <c r="AF956" s="661" t="s">
        <v>1769</v>
      </c>
      <c r="AG956" s="662" t="s">
        <v>719</v>
      </c>
      <c r="AH956" s="662" t="s">
        <v>1730</v>
      </c>
      <c r="AI956" s="662">
        <v>1000</v>
      </c>
      <c r="AJ956" s="662">
        <v>500</v>
      </c>
      <c r="AK956" s="662">
        <v>500</v>
      </c>
      <c r="AL956" s="658">
        <v>6.9999999999999993E-3</v>
      </c>
      <c r="AM956" s="658">
        <v>0</v>
      </c>
      <c r="AN956" s="659" t="s">
        <v>2122</v>
      </c>
      <c r="AO956" s="253" t="s">
        <v>34</v>
      </c>
      <c r="AP956" s="944" t="s">
        <v>1746</v>
      </c>
      <c r="AQ956" s="663" t="s">
        <v>679</v>
      </c>
      <c r="AR956" s="658">
        <v>1.8666666666666699E-3</v>
      </c>
      <c r="AS956" s="658">
        <v>1.8666666666666699E-3</v>
      </c>
      <c r="AT956" s="658" t="s">
        <v>1417</v>
      </c>
      <c r="AU956" s="658" t="s">
        <v>2751</v>
      </c>
      <c r="AX956"/>
      <c r="AY956"/>
      <c r="BA956"/>
      <c r="BB956"/>
      <c r="BC956"/>
      <c r="BD956"/>
      <c r="BE956"/>
      <c r="BF956"/>
      <c r="BG956"/>
      <c r="BH956"/>
      <c r="BI956"/>
      <c r="BJ956"/>
      <c r="BR956"/>
      <c r="BS956"/>
      <c r="BT956"/>
      <c r="BU956"/>
      <c r="BX956"/>
      <c r="BY956"/>
      <c r="CA956"/>
    </row>
    <row r="957" spans="2:79" ht="18.75">
      <c r="B957" s="252" t="s">
        <v>1061</v>
      </c>
      <c r="C957" s="251">
        <v>18683208000118</v>
      </c>
      <c r="D957" s="252" t="s">
        <v>13</v>
      </c>
      <c r="E957" s="252" t="s">
        <v>615</v>
      </c>
      <c r="F957" s="252" t="s">
        <v>619</v>
      </c>
      <c r="G957" s="253" t="s">
        <v>34</v>
      </c>
      <c r="H957" s="253" t="s">
        <v>1337</v>
      </c>
      <c r="I957" s="253" t="s">
        <v>34</v>
      </c>
      <c r="J957" s="253" t="s">
        <v>1417</v>
      </c>
      <c r="K957" s="253" t="s">
        <v>48</v>
      </c>
      <c r="L957" s="655"/>
      <c r="M957" s="655" t="s">
        <v>1414</v>
      </c>
      <c r="N957" s="253" t="s">
        <v>3571</v>
      </c>
      <c r="O957" s="253" t="s">
        <v>1321</v>
      </c>
      <c r="P957" s="656">
        <v>41941</v>
      </c>
      <c r="Q957" s="657">
        <v>93.518480999999994</v>
      </c>
      <c r="R957" s="657">
        <v>89.064187545082007</v>
      </c>
      <c r="S957" s="253">
        <v>1</v>
      </c>
      <c r="T957" s="658">
        <v>1.3687342022946414E-2</v>
      </c>
      <c r="U957" s="659">
        <v>0.68442254027549154</v>
      </c>
      <c r="V957" s="658">
        <v>9.1808679869977983E-2</v>
      </c>
      <c r="W957" s="659">
        <v>0.71200477993778322</v>
      </c>
      <c r="X957" s="658">
        <v>0.1275234902466218</v>
      </c>
      <c r="Y957" s="659">
        <v>0.6604432092991489</v>
      </c>
      <c r="Z957" s="658">
        <v>0.13027918562259488</v>
      </c>
      <c r="AA957" s="659">
        <v>0.58824661239679576</v>
      </c>
      <c r="AB957" s="658">
        <v>2.4313370425471065E-2</v>
      </c>
      <c r="AC957" s="660">
        <v>-1.5273583599050062</v>
      </c>
      <c r="AD957" s="682">
        <v>0</v>
      </c>
      <c r="AE957" s="944" t="s">
        <v>1830</v>
      </c>
      <c r="AF957" s="661" t="s">
        <v>1729</v>
      </c>
      <c r="AG957" s="662" t="s">
        <v>1433</v>
      </c>
      <c r="AH957" s="662" t="s">
        <v>1734</v>
      </c>
      <c r="AI957" s="662">
        <v>1000</v>
      </c>
      <c r="AJ957" s="662">
        <v>0</v>
      </c>
      <c r="AK957" s="662">
        <v>500</v>
      </c>
      <c r="AL957" s="658">
        <v>9.0000000000000011E-3</v>
      </c>
      <c r="AM957" s="658">
        <v>0.15</v>
      </c>
      <c r="AN957" s="659" t="s">
        <v>64</v>
      </c>
      <c r="AO957" s="253" t="s">
        <v>34</v>
      </c>
      <c r="AP957" s="944" t="s">
        <v>1746</v>
      </c>
      <c r="AQ957" s="663" t="s">
        <v>668</v>
      </c>
      <c r="AR957" s="658">
        <v>8.0009999999999999E-4</v>
      </c>
      <c r="AS957" s="658">
        <v>8.0009999999999999E-4</v>
      </c>
      <c r="AT957" s="658" t="s">
        <v>1417</v>
      </c>
      <c r="AU957" s="658" t="s">
        <v>2751</v>
      </c>
      <c r="AX957"/>
      <c r="AY957"/>
      <c r="BA957"/>
      <c r="BB957"/>
      <c r="BC957"/>
      <c r="BD957"/>
      <c r="BE957"/>
      <c r="BF957"/>
      <c r="BG957"/>
      <c r="BH957"/>
      <c r="BI957"/>
      <c r="BJ957"/>
      <c r="BR957"/>
      <c r="BS957"/>
      <c r="BT957"/>
      <c r="BU957"/>
      <c r="BX957"/>
      <c r="BY957"/>
      <c r="CA957"/>
    </row>
    <row r="958" spans="2:79" ht="18.75">
      <c r="B958" s="252" t="s">
        <v>1062</v>
      </c>
      <c r="C958" s="251">
        <v>29283824000106</v>
      </c>
      <c r="D958" s="252" t="s">
        <v>11</v>
      </c>
      <c r="E958" s="252" t="s">
        <v>620</v>
      </c>
      <c r="F958" s="252" t="s">
        <v>663</v>
      </c>
      <c r="G958" s="253" t="s">
        <v>738</v>
      </c>
      <c r="H958" s="253" t="s">
        <v>34</v>
      </c>
      <c r="I958" s="253" t="s">
        <v>1417</v>
      </c>
      <c r="J958" s="253" t="s">
        <v>608</v>
      </c>
      <c r="K958" s="253" t="s">
        <v>48</v>
      </c>
      <c r="L958" s="655"/>
      <c r="M958" s="655" t="s">
        <v>34</v>
      </c>
      <c r="N958" s="253" t="s">
        <v>3572</v>
      </c>
      <c r="O958" s="253" t="s">
        <v>1321</v>
      </c>
      <c r="P958" s="656">
        <v>43182</v>
      </c>
      <c r="Q958" s="657">
        <v>313.9584744</v>
      </c>
      <c r="R958" s="657">
        <v>224.50715339702816</v>
      </c>
      <c r="S958" s="253">
        <v>16</v>
      </c>
      <c r="T958" s="658">
        <v>-6.3723327561703291E-3</v>
      </c>
      <c r="U958" s="659">
        <v>-0.31864244826695493</v>
      </c>
      <c r="V958" s="658">
        <v>0.11694220366091912</v>
      </c>
      <c r="W958" s="659">
        <v>0.90692305020562436</v>
      </c>
      <c r="X958" s="658">
        <v>0.21966069092079077</v>
      </c>
      <c r="Y958" s="659">
        <v>1.1376210875975346</v>
      </c>
      <c r="Z958" s="658">
        <v>0.21665265852181892</v>
      </c>
      <c r="AA958" s="659">
        <v>0.97824676929908905</v>
      </c>
      <c r="AB958" s="658">
        <v>1.1271060755270986E-2</v>
      </c>
      <c r="AC958" s="660">
        <v>-1.0648248684363231</v>
      </c>
      <c r="AD958" s="682">
        <v>29283779000181</v>
      </c>
      <c r="AE958" s="944" t="s">
        <v>1830</v>
      </c>
      <c r="AF958" s="661" t="s">
        <v>1729</v>
      </c>
      <c r="AG958" s="662" t="s">
        <v>1433</v>
      </c>
      <c r="AH958" s="662" t="s">
        <v>1734</v>
      </c>
      <c r="AI958" s="662">
        <v>1000</v>
      </c>
      <c r="AJ958" s="662">
        <v>1000</v>
      </c>
      <c r="AK958" s="662">
        <v>1000</v>
      </c>
      <c r="AL958" s="658">
        <v>7.4999999999999997E-3</v>
      </c>
      <c r="AM958" s="658">
        <v>0</v>
      </c>
      <c r="AN958" s="659" t="s">
        <v>64</v>
      </c>
      <c r="AO958" s="253" t="s">
        <v>34</v>
      </c>
      <c r="AP958" s="944" t="s">
        <v>1735</v>
      </c>
      <c r="AQ958" s="663" t="s">
        <v>675</v>
      </c>
      <c r="AR958" s="658">
        <v>2.16666666666667E-3</v>
      </c>
      <c r="AS958" s="658">
        <v>2.16666666666667E-3</v>
      </c>
      <c r="AT958" s="658" t="s">
        <v>1417</v>
      </c>
      <c r="AU958" s="658" t="s">
        <v>2751</v>
      </c>
      <c r="AX958"/>
      <c r="AY958"/>
      <c r="BA958"/>
      <c r="BB958"/>
      <c r="BC958"/>
      <c r="BD958"/>
      <c r="BE958"/>
      <c r="BF958"/>
      <c r="BG958"/>
      <c r="BH958"/>
      <c r="BI958"/>
      <c r="BJ958"/>
      <c r="BR958"/>
      <c r="BS958"/>
      <c r="BT958"/>
      <c r="BU958"/>
      <c r="BX958"/>
      <c r="BY958"/>
      <c r="CA958"/>
    </row>
    <row r="959" spans="2:79" ht="18.75">
      <c r="B959" s="252" t="s">
        <v>1063</v>
      </c>
      <c r="C959" s="251">
        <v>32228412000170</v>
      </c>
      <c r="D959" s="252" t="s">
        <v>11</v>
      </c>
      <c r="E959" s="252" t="s">
        <v>620</v>
      </c>
      <c r="F959" s="252" t="s">
        <v>663</v>
      </c>
      <c r="G959" s="253" t="s">
        <v>738</v>
      </c>
      <c r="H959" s="253" t="s">
        <v>34</v>
      </c>
      <c r="I959" s="253" t="s">
        <v>1417</v>
      </c>
      <c r="J959" s="253" t="s">
        <v>608</v>
      </c>
      <c r="K959" s="253" t="s">
        <v>48</v>
      </c>
      <c r="L959" s="655"/>
      <c r="M959" s="655" t="s">
        <v>34</v>
      </c>
      <c r="N959" s="253" t="s">
        <v>3573</v>
      </c>
      <c r="O959" s="253" t="s">
        <v>1321</v>
      </c>
      <c r="P959" s="656">
        <v>43608</v>
      </c>
      <c r="Q959" s="657">
        <v>0</v>
      </c>
      <c r="R959" s="657">
        <v>0</v>
      </c>
      <c r="S959" s="253">
        <v>61</v>
      </c>
      <c r="T959" s="658"/>
      <c r="U959" s="659"/>
      <c r="V959" s="658"/>
      <c r="W959" s="659"/>
      <c r="X959" s="658"/>
      <c r="Y959" s="659"/>
      <c r="Z959" s="658"/>
      <c r="AA959" s="659"/>
      <c r="AB959" s="658"/>
      <c r="AC959" s="660"/>
      <c r="AD959" s="682">
        <v>32236271000137</v>
      </c>
      <c r="AE959" s="944" t="s">
        <v>2616</v>
      </c>
      <c r="AF959" s="661" t="s">
        <v>1729</v>
      </c>
      <c r="AG959" s="662" t="s">
        <v>1433</v>
      </c>
      <c r="AH959" s="662" t="s">
        <v>1730</v>
      </c>
      <c r="AI959" s="662">
        <v>3000</v>
      </c>
      <c r="AJ959" s="662">
        <v>1000</v>
      </c>
      <c r="AK959" s="662">
        <v>1000</v>
      </c>
      <c r="AL959" s="658">
        <v>7.4999999999999997E-3</v>
      </c>
      <c r="AM959" s="658">
        <v>0.2</v>
      </c>
      <c r="AN959" s="659" t="s">
        <v>64</v>
      </c>
      <c r="AO959" s="253" t="s">
        <v>34</v>
      </c>
      <c r="AP959" s="944" t="s">
        <v>1735</v>
      </c>
      <c r="AQ959" s="663" t="s">
        <v>675</v>
      </c>
      <c r="AR959" s="658">
        <v>2.5000000000000001E-3</v>
      </c>
      <c r="AS959" s="658">
        <v>2.5000000000000001E-3</v>
      </c>
      <c r="AT959" s="658" t="s">
        <v>1417</v>
      </c>
      <c r="AU959" s="658" t="s">
        <v>2751</v>
      </c>
      <c r="AX959"/>
      <c r="AY959"/>
      <c r="BA959"/>
      <c r="BB959"/>
      <c r="BC959"/>
      <c r="BD959"/>
      <c r="BE959"/>
      <c r="BF959"/>
      <c r="BG959"/>
      <c r="BH959"/>
      <c r="BI959"/>
      <c r="BJ959"/>
      <c r="BR959"/>
      <c r="BS959"/>
      <c r="BT959"/>
      <c r="BU959"/>
      <c r="BX959"/>
      <c r="BY959"/>
      <c r="CA959"/>
    </row>
    <row r="960" spans="2:79" ht="18.75">
      <c r="B960" s="252" t="s">
        <v>1064</v>
      </c>
      <c r="C960" s="251">
        <v>32319558000120</v>
      </c>
      <c r="D960" s="252" t="s">
        <v>13</v>
      </c>
      <c r="E960" s="252" t="s">
        <v>616</v>
      </c>
      <c r="F960" s="252" t="s">
        <v>610</v>
      </c>
      <c r="G960" s="253" t="s">
        <v>34</v>
      </c>
      <c r="H960" s="253" t="s">
        <v>1338</v>
      </c>
      <c r="I960" s="253" t="s">
        <v>34</v>
      </c>
      <c r="J960" s="253" t="s">
        <v>1417</v>
      </c>
      <c r="K960" s="253" t="s">
        <v>48</v>
      </c>
      <c r="L960" s="655"/>
      <c r="M960" s="655" t="s">
        <v>34</v>
      </c>
      <c r="N960" s="253" t="s">
        <v>3574</v>
      </c>
      <c r="O960" s="253" t="s">
        <v>1321</v>
      </c>
      <c r="P960" s="656">
        <v>43863</v>
      </c>
      <c r="Q960" s="657">
        <v>24.495511910000001</v>
      </c>
      <c r="R960" s="657">
        <v>34.625086859435491</v>
      </c>
      <c r="S960" s="253">
        <v>6</v>
      </c>
      <c r="T960" s="658">
        <v>2.1283514136896775E-2</v>
      </c>
      <c r="U960" s="659">
        <v>1.0642619134630547</v>
      </c>
      <c r="V960" s="658">
        <v>-4.5582359302601905E-2</v>
      </c>
      <c r="W960" s="659">
        <v>-0.35350533032669146</v>
      </c>
      <c r="X960" s="658">
        <v>6.9873179663616281E-2</v>
      </c>
      <c r="Y960" s="659">
        <v>0.36187267876474422</v>
      </c>
      <c r="Z960" s="658">
        <v>0.1411115752512071</v>
      </c>
      <c r="AA960" s="659">
        <v>0.63715785230623667</v>
      </c>
      <c r="AB960" s="658">
        <v>9.3190564904079121E-2</v>
      </c>
      <c r="AC960" s="660">
        <v>-1.8727890417772424</v>
      </c>
      <c r="AD960" s="682">
        <v>34461768000184</v>
      </c>
      <c r="AE960" s="944" t="s">
        <v>1940</v>
      </c>
      <c r="AF960" s="661" t="s">
        <v>1729</v>
      </c>
      <c r="AG960" s="662" t="s">
        <v>1433</v>
      </c>
      <c r="AH960" s="662" t="s">
        <v>1730</v>
      </c>
      <c r="AI960" s="662">
        <v>500</v>
      </c>
      <c r="AJ960" s="662">
        <v>500</v>
      </c>
      <c r="AK960" s="662">
        <v>500</v>
      </c>
      <c r="AL960" s="658">
        <v>0.01</v>
      </c>
      <c r="AM960" s="658">
        <v>0</v>
      </c>
      <c r="AN960" s="659" t="s">
        <v>34</v>
      </c>
      <c r="AO960" s="253" t="s">
        <v>34</v>
      </c>
      <c r="AP960" s="944" t="s">
        <v>1746</v>
      </c>
      <c r="AQ960" s="663" t="s">
        <v>679</v>
      </c>
      <c r="AR960" s="658">
        <v>6.6666666666666697E-3</v>
      </c>
      <c r="AS960" s="658">
        <v>6.6666666666666697E-3</v>
      </c>
      <c r="AT960" s="658" t="s">
        <v>1417</v>
      </c>
      <c r="AU960" s="658" t="s">
        <v>2751</v>
      </c>
      <c r="AX960"/>
      <c r="AY960"/>
      <c r="BA960"/>
      <c r="BB960"/>
      <c r="BC960"/>
      <c r="BD960"/>
      <c r="BE960"/>
      <c r="BF960"/>
      <c r="BG960"/>
      <c r="BH960"/>
      <c r="BI960"/>
      <c r="BJ960"/>
      <c r="BR960"/>
      <c r="BS960"/>
      <c r="BT960"/>
      <c r="BU960"/>
      <c r="BX960"/>
      <c r="BY960"/>
      <c r="CA960"/>
    </row>
    <row r="961" spans="2:79" ht="18.75">
      <c r="B961" s="252" t="s">
        <v>1065</v>
      </c>
      <c r="C961" s="251">
        <v>38281316000171</v>
      </c>
      <c r="D961" s="252" t="s">
        <v>13</v>
      </c>
      <c r="E961" s="252" t="s">
        <v>616</v>
      </c>
      <c r="F961" s="252" t="s">
        <v>610</v>
      </c>
      <c r="G961" s="253" t="s">
        <v>34</v>
      </c>
      <c r="H961" s="253" t="s">
        <v>1338</v>
      </c>
      <c r="I961" s="253" t="s">
        <v>34</v>
      </c>
      <c r="J961" s="253" t="s">
        <v>1417</v>
      </c>
      <c r="K961" s="253" t="s">
        <v>49</v>
      </c>
      <c r="L961" s="655"/>
      <c r="M961" s="655" t="s">
        <v>34</v>
      </c>
      <c r="N961" s="253" t="s">
        <v>3575</v>
      </c>
      <c r="O961" s="253" t="s">
        <v>1321</v>
      </c>
      <c r="P961" s="656">
        <v>44121</v>
      </c>
      <c r="Q961" s="657">
        <v>9.7215262399999993</v>
      </c>
      <c r="R961" s="657">
        <v>15.535046567580638</v>
      </c>
      <c r="S961" s="253">
        <v>6</v>
      </c>
      <c r="T961" s="658">
        <v>-2.0926210161139602E-3</v>
      </c>
      <c r="U961" s="659">
        <v>-0.1046395267453312</v>
      </c>
      <c r="V961" s="658">
        <v>-0.10503722636469359</v>
      </c>
      <c r="W961" s="659">
        <v>-0.8145962598414902</v>
      </c>
      <c r="X961" s="658">
        <v>-0.11096803803667532</v>
      </c>
      <c r="Y961" s="659">
        <v>-0.57470264520550429</v>
      </c>
      <c r="Z961" s="658"/>
      <c r="AA961" s="659"/>
      <c r="AB961" s="658">
        <v>0.17704820289650208</v>
      </c>
      <c r="AC961" s="660">
        <v>-1.3215674148822703</v>
      </c>
      <c r="AD961" s="682">
        <v>36352767000127</v>
      </c>
      <c r="AE961" s="944" t="s">
        <v>1940</v>
      </c>
      <c r="AF961" s="661" t="s">
        <v>1729</v>
      </c>
      <c r="AG961" s="662" t="s">
        <v>1433</v>
      </c>
      <c r="AH961" s="662" t="s">
        <v>1730</v>
      </c>
      <c r="AI961" s="662">
        <v>500</v>
      </c>
      <c r="AJ961" s="662">
        <v>0</v>
      </c>
      <c r="AK961" s="662">
        <v>500</v>
      </c>
      <c r="AL961" s="658">
        <v>0.01</v>
      </c>
      <c r="AM961" s="658">
        <v>0</v>
      </c>
      <c r="AN961" s="659" t="s">
        <v>34</v>
      </c>
      <c r="AO961" s="253" t="s">
        <v>34</v>
      </c>
      <c r="AP961" s="944" t="s">
        <v>1746</v>
      </c>
      <c r="AQ961" s="663" t="s">
        <v>679</v>
      </c>
      <c r="AR961" s="658">
        <v>6.6666666666666697E-3</v>
      </c>
      <c r="AS961" s="658">
        <v>6.6666666666666697E-3</v>
      </c>
      <c r="AT961" s="658" t="s">
        <v>1417</v>
      </c>
      <c r="AU961" s="658" t="s">
        <v>2751</v>
      </c>
      <c r="AX961"/>
      <c r="AY961"/>
      <c r="BA961"/>
      <c r="BB961"/>
      <c r="BC961"/>
      <c r="BD961"/>
      <c r="BE961"/>
      <c r="BF961"/>
      <c r="BG961"/>
      <c r="BH961"/>
      <c r="BI961"/>
      <c r="BJ961"/>
      <c r="BR961"/>
      <c r="BS961"/>
      <c r="BT961"/>
      <c r="BU961"/>
      <c r="BX961"/>
      <c r="BY961"/>
      <c r="CA961"/>
    </row>
    <row r="962" spans="2:79" ht="18.75">
      <c r="B962" s="252" t="s">
        <v>1610</v>
      </c>
      <c r="C962" s="251">
        <v>37013525000171</v>
      </c>
      <c r="D962" s="252" t="s">
        <v>13</v>
      </c>
      <c r="E962" s="252" t="s">
        <v>616</v>
      </c>
      <c r="F962" s="252" t="s">
        <v>617</v>
      </c>
      <c r="G962" s="253" t="s">
        <v>34</v>
      </c>
      <c r="H962" s="253" t="s">
        <v>1337</v>
      </c>
      <c r="I962" s="253" t="s">
        <v>34</v>
      </c>
      <c r="J962" s="253" t="s">
        <v>608</v>
      </c>
      <c r="K962" s="253" t="s">
        <v>48</v>
      </c>
      <c r="L962" s="655"/>
      <c r="M962" s="655" t="s">
        <v>34</v>
      </c>
      <c r="N962" s="253" t="s">
        <v>3576</v>
      </c>
      <c r="O962" s="253" t="s">
        <v>1321</v>
      </c>
      <c r="P962" s="656">
        <v>44064</v>
      </c>
      <c r="Q962" s="657">
        <v>4.8756109800000003</v>
      </c>
      <c r="R962" s="657">
        <v>20.36929378072875</v>
      </c>
      <c r="S962" s="253">
        <v>31</v>
      </c>
      <c r="T962" s="658">
        <v>1.116419630762544E-2</v>
      </c>
      <c r="U962" s="659">
        <v>0.55825503477514593</v>
      </c>
      <c r="V962" s="658">
        <v>-2.3111634586239216E-3</v>
      </c>
      <c r="W962" s="659">
        <v>-1.7923789254875012E-2</v>
      </c>
      <c r="X962" s="658">
        <v>2.590487359194027E-2</v>
      </c>
      <c r="Y962" s="659">
        <v>0.13416114802427959</v>
      </c>
      <c r="Z962" s="658"/>
      <c r="AA962" s="659"/>
      <c r="AB962" s="658">
        <v>4.7360382124715841E-2</v>
      </c>
      <c r="AC962" s="660">
        <v>-2.7714107660654732</v>
      </c>
      <c r="AD962" s="682">
        <v>37828247000100</v>
      </c>
      <c r="AE962" s="944" t="s">
        <v>1813</v>
      </c>
      <c r="AF962" s="661" t="s">
        <v>1814</v>
      </c>
      <c r="AG962" s="662" t="s">
        <v>1436</v>
      </c>
      <c r="AH962" s="662" t="s">
        <v>1734</v>
      </c>
      <c r="AI962" s="662">
        <v>1000</v>
      </c>
      <c r="AJ962" s="662">
        <v>100</v>
      </c>
      <c r="AK962" s="662">
        <v>1000</v>
      </c>
      <c r="AL962" s="658">
        <v>0.02</v>
      </c>
      <c r="AM962" s="658">
        <v>0</v>
      </c>
      <c r="AN962" s="659" t="s">
        <v>64</v>
      </c>
      <c r="AO962" s="253" t="s">
        <v>34</v>
      </c>
      <c r="AP962" s="944" t="s">
        <v>1746</v>
      </c>
      <c r="AQ962" s="663" t="s">
        <v>668</v>
      </c>
      <c r="AR962" s="658">
        <v>0</v>
      </c>
      <c r="AS962" s="658">
        <v>0</v>
      </c>
      <c r="AT962" s="658" t="s">
        <v>1417</v>
      </c>
      <c r="AU962" s="658" t="s">
        <v>2751</v>
      </c>
      <c r="AX962"/>
      <c r="AY962"/>
      <c r="BA962"/>
      <c r="BB962"/>
      <c r="BC962"/>
      <c r="BD962"/>
      <c r="BE962"/>
      <c r="BF962"/>
      <c r="BG962"/>
      <c r="BH962"/>
      <c r="BI962"/>
      <c r="BJ962"/>
      <c r="BR962"/>
      <c r="BS962"/>
      <c r="BT962"/>
      <c r="BU962"/>
      <c r="BX962"/>
      <c r="BY962"/>
      <c r="CA962"/>
    </row>
    <row r="963" spans="2:79" ht="18.75">
      <c r="B963" s="252" t="s">
        <v>1611</v>
      </c>
      <c r="C963" s="251">
        <v>30129261000177</v>
      </c>
      <c r="D963" s="252" t="s">
        <v>13</v>
      </c>
      <c r="E963" s="252" t="s">
        <v>615</v>
      </c>
      <c r="F963" s="252" t="s">
        <v>619</v>
      </c>
      <c r="G963" s="253" t="s">
        <v>34</v>
      </c>
      <c r="H963" s="253" t="s">
        <v>1337</v>
      </c>
      <c r="I963" s="253" t="s">
        <v>34</v>
      </c>
      <c r="J963" s="253" t="s">
        <v>611</v>
      </c>
      <c r="K963" s="253" t="s">
        <v>48</v>
      </c>
      <c r="L963" s="655"/>
      <c r="M963" s="655" t="s">
        <v>34</v>
      </c>
      <c r="N963" s="253" t="s">
        <v>3577</v>
      </c>
      <c r="O963" s="253" t="s">
        <v>1324</v>
      </c>
      <c r="P963" s="656">
        <v>43293</v>
      </c>
      <c r="Q963" s="657">
        <v>391.10184657000002</v>
      </c>
      <c r="R963" s="657">
        <v>446.37489441650632</v>
      </c>
      <c r="S963" s="253">
        <v>30</v>
      </c>
      <c r="T963" s="658">
        <v>4.7541502344299325E-3</v>
      </c>
      <c r="U963" s="659">
        <v>0.23772676790313862</v>
      </c>
      <c r="V963" s="658">
        <v>0.21060730484205403</v>
      </c>
      <c r="W963" s="659">
        <v>1.6333249530406548</v>
      </c>
      <c r="X963" s="658">
        <v>0.34968333562154452</v>
      </c>
      <c r="Y963" s="659">
        <v>1.8110073992618172</v>
      </c>
      <c r="Z963" s="658">
        <v>0.39290440178494901</v>
      </c>
      <c r="AA963" s="659">
        <v>1.7740722145387811</v>
      </c>
      <c r="AB963" s="658">
        <v>3.914853827216315E-2</v>
      </c>
      <c r="AC963" s="660">
        <v>2.0859883663481003</v>
      </c>
      <c r="AD963" s="682">
        <v>23565803000199</v>
      </c>
      <c r="AE963" s="944" t="s">
        <v>1813</v>
      </c>
      <c r="AF963" s="661" t="s">
        <v>1814</v>
      </c>
      <c r="AG963" s="662" t="s">
        <v>1436</v>
      </c>
      <c r="AH963" s="662" t="s">
        <v>1734</v>
      </c>
      <c r="AI963" s="662">
        <v>10000</v>
      </c>
      <c r="AJ963" s="662">
        <v>10000</v>
      </c>
      <c r="AK963" s="662">
        <v>10000</v>
      </c>
      <c r="AL963" s="658">
        <v>2.5000000000000001E-2</v>
      </c>
      <c r="AM963" s="658">
        <v>0</v>
      </c>
      <c r="AN963" s="659" t="s">
        <v>64</v>
      </c>
      <c r="AO963" s="253" t="s">
        <v>34</v>
      </c>
      <c r="AP963" s="944" t="s">
        <v>1746</v>
      </c>
      <c r="AQ963" s="663" t="s">
        <v>664</v>
      </c>
      <c r="AR963" s="658">
        <v>0</v>
      </c>
      <c r="AS963" s="658">
        <v>0</v>
      </c>
      <c r="AT963" s="658" t="s">
        <v>1417</v>
      </c>
      <c r="AU963" s="658" t="s">
        <v>2751</v>
      </c>
      <c r="AX963"/>
      <c r="AY963"/>
      <c r="BA963"/>
      <c r="BB963"/>
      <c r="BC963"/>
      <c r="BD963"/>
      <c r="BE963"/>
      <c r="BF963"/>
      <c r="BG963"/>
      <c r="BH963"/>
      <c r="BI963"/>
      <c r="BJ963"/>
      <c r="BR963"/>
      <c r="BS963"/>
      <c r="BT963"/>
      <c r="BU963"/>
      <c r="BX963"/>
      <c r="BY963"/>
      <c r="CA963"/>
    </row>
    <row r="964" spans="2:79" ht="18.75">
      <c r="B964" s="252" t="s">
        <v>1612</v>
      </c>
      <c r="C964" s="251">
        <v>33435693000102</v>
      </c>
      <c r="D964" s="252" t="s">
        <v>13</v>
      </c>
      <c r="E964" s="252" t="s">
        <v>615</v>
      </c>
      <c r="F964" s="252" t="s">
        <v>619</v>
      </c>
      <c r="G964" s="253" t="s">
        <v>34</v>
      </c>
      <c r="H964" s="253" t="s">
        <v>1337</v>
      </c>
      <c r="I964" s="253" t="s">
        <v>34</v>
      </c>
      <c r="J964" s="253" t="s">
        <v>611</v>
      </c>
      <c r="K964" s="253" t="s">
        <v>48</v>
      </c>
      <c r="L964" s="655"/>
      <c r="M964" s="655" t="s">
        <v>34</v>
      </c>
      <c r="N964" s="253" t="s">
        <v>3578</v>
      </c>
      <c r="O964" s="253" t="s">
        <v>1321</v>
      </c>
      <c r="P964" s="656">
        <v>43672</v>
      </c>
      <c r="Q964" s="657">
        <v>764.40068762999999</v>
      </c>
      <c r="R964" s="657">
        <v>612.79901195349407</v>
      </c>
      <c r="S964" s="253">
        <v>30</v>
      </c>
      <c r="T964" s="658">
        <v>4.6521291434635792E-3</v>
      </c>
      <c r="U964" s="659">
        <v>0.23262530012920499</v>
      </c>
      <c r="V964" s="658">
        <v>0.21114460769805987</v>
      </c>
      <c r="W964" s="659">
        <v>1.6374919032929858</v>
      </c>
      <c r="X964" s="658">
        <v>0.35038867093870452</v>
      </c>
      <c r="Y964" s="659">
        <v>1.8146603256332354</v>
      </c>
      <c r="Z964" s="658">
        <v>0.39127387037062666</v>
      </c>
      <c r="AA964" s="659">
        <v>1.7667099135211783</v>
      </c>
      <c r="AB964" s="658">
        <v>3.9458109293239722E-2</v>
      </c>
      <c r="AC964" s="660">
        <v>2.0832396615961222</v>
      </c>
      <c r="AD964" s="682">
        <v>32076219000160</v>
      </c>
      <c r="AE964" s="944" t="s">
        <v>1813</v>
      </c>
      <c r="AF964" s="661" t="s">
        <v>1814</v>
      </c>
      <c r="AG964" s="662" t="s">
        <v>1436</v>
      </c>
      <c r="AH964" s="662" t="s">
        <v>1734</v>
      </c>
      <c r="AI964" s="662">
        <v>1000</v>
      </c>
      <c r="AJ964" s="662">
        <v>100</v>
      </c>
      <c r="AK964" s="662">
        <v>1000</v>
      </c>
      <c r="AL964" s="658">
        <v>2.5000000000000001E-2</v>
      </c>
      <c r="AM964" s="658">
        <v>0</v>
      </c>
      <c r="AN964" s="659" t="s">
        <v>64</v>
      </c>
      <c r="AO964" s="253" t="s">
        <v>34</v>
      </c>
      <c r="AP964" s="944" t="s">
        <v>1746</v>
      </c>
      <c r="AQ964" s="663" t="s">
        <v>664</v>
      </c>
      <c r="AR964" s="658">
        <v>0</v>
      </c>
      <c r="AS964" s="658">
        <v>0</v>
      </c>
      <c r="AT964" s="658" t="s">
        <v>1417</v>
      </c>
      <c r="AU964" s="658" t="s">
        <v>2751</v>
      </c>
      <c r="AX964"/>
      <c r="AY964"/>
      <c r="BA964"/>
      <c r="BB964"/>
      <c r="BC964"/>
      <c r="BD964"/>
      <c r="BE964"/>
      <c r="BF964"/>
      <c r="BG964"/>
      <c r="BH964"/>
      <c r="BI964"/>
      <c r="BJ964"/>
      <c r="BR964"/>
      <c r="BS964"/>
      <c r="BT964"/>
      <c r="BU964"/>
      <c r="BX964"/>
      <c r="BY964"/>
      <c r="CA964"/>
    </row>
    <row r="965" spans="2:79" ht="18.75">
      <c r="B965" s="252" t="s">
        <v>1613</v>
      </c>
      <c r="C965" s="251">
        <v>34200563000145</v>
      </c>
      <c r="D965" s="252" t="s">
        <v>14</v>
      </c>
      <c r="E965" s="252" t="s">
        <v>607</v>
      </c>
      <c r="F965" s="252" t="s">
        <v>1317</v>
      </c>
      <c r="G965" s="253" t="s">
        <v>1417</v>
      </c>
      <c r="H965" s="253" t="s">
        <v>34</v>
      </c>
      <c r="I965" s="253" t="s">
        <v>34</v>
      </c>
      <c r="J965" s="253" t="s">
        <v>608</v>
      </c>
      <c r="K965" s="253" t="s">
        <v>48</v>
      </c>
      <c r="L965" s="655"/>
      <c r="M965" s="655" t="s">
        <v>34</v>
      </c>
      <c r="N965" s="253" t="s">
        <v>3579</v>
      </c>
      <c r="O965" s="253" t="s">
        <v>1321</v>
      </c>
      <c r="P965" s="656">
        <v>43694</v>
      </c>
      <c r="Q965" s="657">
        <v>11.000500880000001</v>
      </c>
      <c r="R965" s="657">
        <v>12.483368157751</v>
      </c>
      <c r="S965" s="253">
        <v>62</v>
      </c>
      <c r="T965" s="658">
        <v>9.6192648916773038E-3</v>
      </c>
      <c r="U965" s="659">
        <v>0.48100220639678293</v>
      </c>
      <c r="V965" s="658">
        <v>-0.15739566991469134</v>
      </c>
      <c r="W965" s="659">
        <v>-1.2206522245988225</v>
      </c>
      <c r="X965" s="658">
        <v>-0.37361388633140191</v>
      </c>
      <c r="Y965" s="659">
        <v>-1.9349435437364459</v>
      </c>
      <c r="Z965" s="658">
        <v>-4.1450643901719042E-2</v>
      </c>
      <c r="AA965" s="659">
        <v>-0.18716113967343717</v>
      </c>
      <c r="AB965" s="658">
        <v>0.26236657936430224</v>
      </c>
      <c r="AC965" s="660">
        <v>-1.0913721559173524</v>
      </c>
      <c r="AD965" s="682">
        <v>34258716000105</v>
      </c>
      <c r="AE965" s="944" t="s">
        <v>1813</v>
      </c>
      <c r="AF965" s="661" t="s">
        <v>1814</v>
      </c>
      <c r="AG965" s="662" t="s">
        <v>1436</v>
      </c>
      <c r="AH965" s="662" t="s">
        <v>1730</v>
      </c>
      <c r="AI965" s="662">
        <v>50000</v>
      </c>
      <c r="AJ965" s="662">
        <v>10000</v>
      </c>
      <c r="AK965" s="662">
        <v>10000</v>
      </c>
      <c r="AL965" s="658">
        <v>0</v>
      </c>
      <c r="AM965" s="658">
        <v>0</v>
      </c>
      <c r="AN965" s="659" t="s">
        <v>666</v>
      </c>
      <c r="AO965" s="253" t="s">
        <v>34</v>
      </c>
      <c r="AP965" s="944" t="s">
        <v>1731</v>
      </c>
      <c r="AQ965" s="663" t="s">
        <v>659</v>
      </c>
      <c r="AR965" s="658">
        <v>0</v>
      </c>
      <c r="AS965" s="658">
        <v>0</v>
      </c>
      <c r="AT965" s="658" t="s">
        <v>1417</v>
      </c>
      <c r="AU965" s="658" t="s">
        <v>2751</v>
      </c>
      <c r="AX965"/>
      <c r="AY965"/>
      <c r="BA965"/>
      <c r="BB965"/>
      <c r="BC965"/>
      <c r="BD965"/>
      <c r="BE965"/>
      <c r="BF965"/>
      <c r="BG965"/>
      <c r="BH965"/>
      <c r="BI965"/>
      <c r="BJ965"/>
      <c r="BR965"/>
      <c r="BS965"/>
      <c r="BT965"/>
      <c r="BU965"/>
      <c r="BX965"/>
      <c r="BY965"/>
      <c r="CA965"/>
    </row>
    <row r="966" spans="2:79" ht="18.75">
      <c r="B966" s="252" t="s">
        <v>1614</v>
      </c>
      <c r="C966" s="251">
        <v>34674552000105</v>
      </c>
      <c r="D966" s="252" t="s">
        <v>14</v>
      </c>
      <c r="E966" s="252" t="s">
        <v>607</v>
      </c>
      <c r="F966" s="252" t="s">
        <v>1317</v>
      </c>
      <c r="G966" s="253" t="s">
        <v>1417</v>
      </c>
      <c r="H966" s="253" t="s">
        <v>34</v>
      </c>
      <c r="I966" s="253" t="s">
        <v>34</v>
      </c>
      <c r="J966" s="253" t="s">
        <v>608</v>
      </c>
      <c r="K966" s="253" t="s">
        <v>48</v>
      </c>
      <c r="L966" s="655"/>
      <c r="M966" s="655" t="s">
        <v>34</v>
      </c>
      <c r="N966" s="253" t="s">
        <v>3580</v>
      </c>
      <c r="O966" s="253" t="s">
        <v>1321</v>
      </c>
      <c r="P966" s="656">
        <v>43761</v>
      </c>
      <c r="Q966" s="657">
        <v>76.528308129999999</v>
      </c>
      <c r="R966" s="657">
        <v>139.51078476196781</v>
      </c>
      <c r="S966" s="253">
        <v>62</v>
      </c>
      <c r="T966" s="658">
        <v>9.9592612896379773E-3</v>
      </c>
      <c r="U966" s="659">
        <v>0.49800340341419103</v>
      </c>
      <c r="V966" s="658">
        <v>-0.15079050757830326</v>
      </c>
      <c r="W966" s="659">
        <v>-1.1694271425866021</v>
      </c>
      <c r="X966" s="658">
        <v>-0.37112261204117247</v>
      </c>
      <c r="Y966" s="659">
        <v>-1.9220412526816639</v>
      </c>
      <c r="Z966" s="658">
        <v>-5.3252821668373418E-2</v>
      </c>
      <c r="AA966" s="659">
        <v>-0.24045124167216456</v>
      </c>
      <c r="AB966" s="658">
        <v>0.26317804363818381</v>
      </c>
      <c r="AC966" s="660">
        <v>-1.0629094021599668</v>
      </c>
      <c r="AD966" s="682">
        <v>34581222000167</v>
      </c>
      <c r="AE966" s="944" t="s">
        <v>1813</v>
      </c>
      <c r="AF966" s="661" t="s">
        <v>1814</v>
      </c>
      <c r="AG966" s="662" t="s">
        <v>1436</v>
      </c>
      <c r="AH966" s="662" t="s">
        <v>1730</v>
      </c>
      <c r="AI966" s="662">
        <v>50000</v>
      </c>
      <c r="AJ966" s="662">
        <v>10000</v>
      </c>
      <c r="AK966" s="662">
        <v>10000</v>
      </c>
      <c r="AL966" s="658">
        <v>0</v>
      </c>
      <c r="AM966" s="658">
        <v>0</v>
      </c>
      <c r="AN966" s="659" t="s">
        <v>666</v>
      </c>
      <c r="AO966" s="253" t="s">
        <v>34</v>
      </c>
      <c r="AP966" s="944" t="s">
        <v>1731</v>
      </c>
      <c r="AQ966" s="663" t="s">
        <v>659</v>
      </c>
      <c r="AR966" s="658">
        <v>0</v>
      </c>
      <c r="AS966" s="658">
        <v>0</v>
      </c>
      <c r="AT966" s="658" t="s">
        <v>1417</v>
      </c>
      <c r="AU966" s="658" t="s">
        <v>2751</v>
      </c>
      <c r="AX966"/>
      <c r="AY966"/>
      <c r="BA966"/>
      <c r="BB966"/>
      <c r="BC966"/>
      <c r="BD966"/>
      <c r="BE966"/>
      <c r="BF966"/>
      <c r="BG966"/>
      <c r="BH966"/>
      <c r="BI966"/>
      <c r="BJ966"/>
      <c r="BR966"/>
      <c r="BS966"/>
      <c r="BT966"/>
      <c r="BU966"/>
      <c r="BX966"/>
      <c r="BY966"/>
      <c r="CA966"/>
    </row>
    <row r="967" spans="2:79" ht="18.75">
      <c r="B967" s="252" t="s">
        <v>1615</v>
      </c>
      <c r="C967" s="251">
        <v>35591322000137</v>
      </c>
      <c r="D967" s="252" t="s">
        <v>13</v>
      </c>
      <c r="E967" s="252" t="s">
        <v>615</v>
      </c>
      <c r="F967" s="252" t="s">
        <v>619</v>
      </c>
      <c r="G967" s="253" t="s">
        <v>34</v>
      </c>
      <c r="H967" s="253" t="s">
        <v>1337</v>
      </c>
      <c r="I967" s="253" t="s">
        <v>34</v>
      </c>
      <c r="J967" s="253" t="s">
        <v>611</v>
      </c>
      <c r="K967" s="253" t="s">
        <v>48</v>
      </c>
      <c r="L967" s="655"/>
      <c r="M967" s="655" t="s">
        <v>34</v>
      </c>
      <c r="N967" s="253" t="s">
        <v>3581</v>
      </c>
      <c r="O967" s="253" t="s">
        <v>1321</v>
      </c>
      <c r="P967" s="656">
        <v>43953</v>
      </c>
      <c r="Q967" s="657">
        <v>126.28316338</v>
      </c>
      <c r="R967" s="657">
        <v>140.77028174596771</v>
      </c>
      <c r="S967" s="253">
        <v>31</v>
      </c>
      <c r="T967" s="658">
        <v>3.4886649173629936E-2</v>
      </c>
      <c r="U967" s="659">
        <v>1.7444737633564107</v>
      </c>
      <c r="V967" s="658">
        <v>0.16938145739595223</v>
      </c>
      <c r="W967" s="659">
        <v>1.3136057230050975</v>
      </c>
      <c r="X967" s="658">
        <v>0.2791722902418865</v>
      </c>
      <c r="Y967" s="659">
        <v>1.4458312186889763</v>
      </c>
      <c r="Z967" s="658"/>
      <c r="AA967" s="659"/>
      <c r="AB967" s="658">
        <v>3.9644203586537155E-2</v>
      </c>
      <c r="AC967" s="660">
        <v>1.0200116105471755</v>
      </c>
      <c r="AD967" s="682">
        <v>35162628000178</v>
      </c>
      <c r="AE967" s="944" t="s">
        <v>1813</v>
      </c>
      <c r="AF967" s="661" t="s">
        <v>1814</v>
      </c>
      <c r="AG967" s="662" t="s">
        <v>1436</v>
      </c>
      <c r="AH967" s="662" t="s">
        <v>1734</v>
      </c>
      <c r="AI967" s="662">
        <v>1000</v>
      </c>
      <c r="AJ967" s="662">
        <v>100</v>
      </c>
      <c r="AK967" s="662">
        <v>1000</v>
      </c>
      <c r="AL967" s="658">
        <v>2.2000000000000002E-2</v>
      </c>
      <c r="AM967" s="658">
        <v>0</v>
      </c>
      <c r="AN967" s="659" t="s">
        <v>64</v>
      </c>
      <c r="AO967" s="253" t="s">
        <v>34</v>
      </c>
      <c r="AP967" s="944" t="s">
        <v>1746</v>
      </c>
      <c r="AQ967" s="663" t="s">
        <v>668</v>
      </c>
      <c r="AR967" s="658">
        <v>0</v>
      </c>
      <c r="AS967" s="658">
        <v>0</v>
      </c>
      <c r="AT967" s="658" t="s">
        <v>1417</v>
      </c>
      <c r="AU967" s="658" t="s">
        <v>2751</v>
      </c>
      <c r="AX967"/>
      <c r="AY967"/>
      <c r="BA967"/>
      <c r="BB967"/>
      <c r="BC967"/>
      <c r="BD967"/>
      <c r="BE967"/>
      <c r="BF967"/>
      <c r="BG967"/>
      <c r="BH967"/>
      <c r="BI967"/>
      <c r="BJ967"/>
      <c r="BR967"/>
      <c r="BS967"/>
      <c r="BT967"/>
      <c r="BU967"/>
      <c r="BX967"/>
      <c r="BY967"/>
      <c r="CA967"/>
    </row>
    <row r="968" spans="2:79" ht="18.75">
      <c r="B968" s="252" t="s">
        <v>1616</v>
      </c>
      <c r="C968" s="251">
        <v>23884835000157</v>
      </c>
      <c r="D968" s="252" t="s">
        <v>13</v>
      </c>
      <c r="E968" s="252" t="s">
        <v>615</v>
      </c>
      <c r="F968" s="252" t="s">
        <v>619</v>
      </c>
      <c r="G968" s="253" t="s">
        <v>34</v>
      </c>
      <c r="H968" s="253" t="s">
        <v>1338</v>
      </c>
      <c r="I968" s="253" t="s">
        <v>34</v>
      </c>
      <c r="J968" s="253" t="s">
        <v>611</v>
      </c>
      <c r="K968" s="253" t="s">
        <v>48</v>
      </c>
      <c r="L968" s="655"/>
      <c r="M968" s="655" t="s">
        <v>34</v>
      </c>
      <c r="N968" s="253" t="s">
        <v>3582</v>
      </c>
      <c r="O968" s="253" t="s">
        <v>1321</v>
      </c>
      <c r="P968" s="656">
        <v>42552</v>
      </c>
      <c r="Q968" s="657">
        <v>2.6990379999999998</v>
      </c>
      <c r="R968" s="657">
        <v>9.8233395901639273</v>
      </c>
      <c r="S968" s="253">
        <v>31</v>
      </c>
      <c r="T968" s="658">
        <v>9.9009496028079624E-3</v>
      </c>
      <c r="U968" s="659">
        <v>0.49508758288738308</v>
      </c>
      <c r="V968" s="658">
        <v>-4.0290567173584146E-2</v>
      </c>
      <c r="W968" s="659">
        <v>-0.3124658415154612</v>
      </c>
      <c r="X968" s="658">
        <v>5.9001421840054746E-4</v>
      </c>
      <c r="Y968" s="659">
        <v>3.0556792570450306E-3</v>
      </c>
      <c r="Z968" s="658">
        <v>1.0873848717428691E-2</v>
      </c>
      <c r="AA968" s="659">
        <v>4.9098439180243827E-2</v>
      </c>
      <c r="AB968" s="658">
        <v>8.8357148523891052E-2</v>
      </c>
      <c r="AC968" s="660">
        <v>-1.9153456109395934</v>
      </c>
      <c r="AD968" s="682">
        <v>24029438000160</v>
      </c>
      <c r="AE968" s="944" t="s">
        <v>1813</v>
      </c>
      <c r="AF968" s="661" t="s">
        <v>1814</v>
      </c>
      <c r="AG968" s="662" t="s">
        <v>1436</v>
      </c>
      <c r="AH968" s="662" t="s">
        <v>1734</v>
      </c>
      <c r="AI968" s="662">
        <v>1000</v>
      </c>
      <c r="AJ968" s="662">
        <v>100</v>
      </c>
      <c r="AK968" s="662">
        <v>1000</v>
      </c>
      <c r="AL968" s="658">
        <v>1.9E-2</v>
      </c>
      <c r="AM968" s="658">
        <v>0</v>
      </c>
      <c r="AN968" s="659" t="s">
        <v>64</v>
      </c>
      <c r="AO968" s="253" t="s">
        <v>34</v>
      </c>
      <c r="AP968" s="944" t="s">
        <v>1746</v>
      </c>
      <c r="AQ968" s="663" t="s">
        <v>664</v>
      </c>
      <c r="AR968" s="658">
        <v>0</v>
      </c>
      <c r="AS968" s="658">
        <v>0</v>
      </c>
      <c r="AT968" s="658" t="s">
        <v>1417</v>
      </c>
      <c r="AU968" s="658" t="s">
        <v>2751</v>
      </c>
      <c r="AX968"/>
      <c r="AY968"/>
      <c r="BA968"/>
      <c r="BB968"/>
      <c r="BC968"/>
      <c r="BD968"/>
      <c r="BE968"/>
      <c r="BF968"/>
      <c r="BG968"/>
      <c r="BH968"/>
      <c r="BI968"/>
      <c r="BJ968"/>
      <c r="BR968"/>
      <c r="BS968"/>
      <c r="BT968"/>
      <c r="BU968"/>
      <c r="BX968"/>
      <c r="BY968"/>
      <c r="CA968"/>
    </row>
    <row r="969" spans="2:79" ht="18.75">
      <c r="B969" s="252" t="s">
        <v>1617</v>
      </c>
      <c r="C969" s="251">
        <v>28651580000104</v>
      </c>
      <c r="D969" s="252" t="s">
        <v>13</v>
      </c>
      <c r="E969" s="252" t="s">
        <v>615</v>
      </c>
      <c r="F969" s="252" t="s">
        <v>619</v>
      </c>
      <c r="G969" s="253" t="s">
        <v>34</v>
      </c>
      <c r="H969" s="253" t="s">
        <v>1338</v>
      </c>
      <c r="I969" s="253" t="s">
        <v>34</v>
      </c>
      <c r="J969" s="253" t="s">
        <v>611</v>
      </c>
      <c r="K969" s="253" t="s">
        <v>48</v>
      </c>
      <c r="L969" s="655"/>
      <c r="M969" s="655" t="s">
        <v>34</v>
      </c>
      <c r="N969" s="253" t="s">
        <v>3583</v>
      </c>
      <c r="O969" s="253" t="s">
        <v>1321</v>
      </c>
      <c r="P969" s="656">
        <v>43169</v>
      </c>
      <c r="Q969" s="657">
        <v>1.1306552299999999</v>
      </c>
      <c r="R969" s="657">
        <v>2.0875484916935498</v>
      </c>
      <c r="S969" s="253">
        <v>61</v>
      </c>
      <c r="T969" s="658">
        <v>7.3242664510924094E-3</v>
      </c>
      <c r="U969" s="659">
        <v>0.36624298871959676</v>
      </c>
      <c r="V969" s="658">
        <v>-4.0254418366605815E-2</v>
      </c>
      <c r="W969" s="659">
        <v>-0.31218549630851483</v>
      </c>
      <c r="X969" s="658">
        <v>2.7134189438388745E-2</v>
      </c>
      <c r="Y969" s="659">
        <v>0.14052776566704159</v>
      </c>
      <c r="Z969" s="658">
        <v>3.2054715048045468E-2</v>
      </c>
      <c r="AA969" s="659">
        <v>0.14473591808427033</v>
      </c>
      <c r="AB969" s="658">
        <v>8.2164559580831922E-2</v>
      </c>
      <c r="AC969" s="660">
        <v>-2.0592616655717615</v>
      </c>
      <c r="AD969" s="682">
        <v>29286406000164</v>
      </c>
      <c r="AE969" s="944" t="s">
        <v>1813</v>
      </c>
      <c r="AF969" s="661" t="s">
        <v>1814</v>
      </c>
      <c r="AG969" s="662" t="s">
        <v>1436</v>
      </c>
      <c r="AH969" s="662" t="s">
        <v>1734</v>
      </c>
      <c r="AI969" s="662">
        <v>1000</v>
      </c>
      <c r="AJ969" s="662">
        <v>100</v>
      </c>
      <c r="AK969" s="662">
        <v>1000</v>
      </c>
      <c r="AL969" s="658">
        <v>2.5000000000000001E-2</v>
      </c>
      <c r="AM969" s="658">
        <v>0</v>
      </c>
      <c r="AN969" s="659" t="s">
        <v>64</v>
      </c>
      <c r="AO969" s="253" t="s">
        <v>34</v>
      </c>
      <c r="AP969" s="944" t="s">
        <v>1746</v>
      </c>
      <c r="AQ969" s="663" t="s">
        <v>664</v>
      </c>
      <c r="AR969" s="658">
        <v>0</v>
      </c>
      <c r="AS969" s="658">
        <v>0</v>
      </c>
      <c r="AT969" s="658" t="s">
        <v>1417</v>
      </c>
      <c r="AU969" s="658" t="s">
        <v>2751</v>
      </c>
      <c r="AX969"/>
      <c r="AY969"/>
      <c r="BA969"/>
      <c r="BB969"/>
      <c r="BC969"/>
      <c r="BD969"/>
      <c r="BE969"/>
      <c r="BF969"/>
      <c r="BG969"/>
      <c r="BH969"/>
      <c r="BI969"/>
      <c r="BJ969"/>
      <c r="BR969"/>
      <c r="BS969"/>
      <c r="BT969"/>
      <c r="BU969"/>
      <c r="BX969"/>
      <c r="BY969"/>
      <c r="CA969"/>
    </row>
    <row r="970" spans="2:79" ht="18.75">
      <c r="B970" s="252" t="s">
        <v>1618</v>
      </c>
      <c r="C970" s="251">
        <v>27249950000100</v>
      </c>
      <c r="D970" s="252" t="s">
        <v>13</v>
      </c>
      <c r="E970" s="252" t="s">
        <v>615</v>
      </c>
      <c r="F970" s="252" t="s">
        <v>619</v>
      </c>
      <c r="G970" s="253" t="s">
        <v>34</v>
      </c>
      <c r="H970" s="253" t="s">
        <v>1338</v>
      </c>
      <c r="I970" s="253" t="s">
        <v>34</v>
      </c>
      <c r="J970" s="253" t="s">
        <v>611</v>
      </c>
      <c r="K970" s="253" t="s">
        <v>48</v>
      </c>
      <c r="L970" s="655"/>
      <c r="M970" s="655" t="s">
        <v>34</v>
      </c>
      <c r="N970" s="253" t="s">
        <v>3584</v>
      </c>
      <c r="O970" s="253" t="s">
        <v>1321</v>
      </c>
      <c r="P970" s="656">
        <v>42918</v>
      </c>
      <c r="Q970" s="657">
        <v>22.513141000000001</v>
      </c>
      <c r="R970" s="657">
        <v>43.148553959839347</v>
      </c>
      <c r="S970" s="253">
        <v>31</v>
      </c>
      <c r="T970" s="658">
        <v>8.6847612756919546E-3</v>
      </c>
      <c r="U970" s="659">
        <v>0.43427324048966498</v>
      </c>
      <c r="V970" s="658">
        <v>-3.5177799942204491E-2</v>
      </c>
      <c r="W970" s="659">
        <v>-0.27281474629650043</v>
      </c>
      <c r="X970" s="658">
        <v>3.5351854778434832E-2</v>
      </c>
      <c r="Y970" s="659">
        <v>0.1830869934581755</v>
      </c>
      <c r="Z970" s="658">
        <v>4.5641405093000076E-2</v>
      </c>
      <c r="AA970" s="659">
        <v>0.20608358735649576</v>
      </c>
      <c r="AB970" s="658">
        <v>8.3050188107372969E-2</v>
      </c>
      <c r="AC970" s="660">
        <v>-1.9761750470306589</v>
      </c>
      <c r="AD970" s="682">
        <v>23951048000180</v>
      </c>
      <c r="AE970" s="944" t="s">
        <v>1813</v>
      </c>
      <c r="AF970" s="661" t="s">
        <v>1814</v>
      </c>
      <c r="AG970" s="662" t="s">
        <v>1436</v>
      </c>
      <c r="AH970" s="662" t="s">
        <v>1734</v>
      </c>
      <c r="AI970" s="662">
        <v>1000</v>
      </c>
      <c r="AJ970" s="662">
        <v>100</v>
      </c>
      <c r="AK970" s="662">
        <v>1000</v>
      </c>
      <c r="AL970" s="658">
        <v>2.5000000000000001E-2</v>
      </c>
      <c r="AM970" s="658">
        <v>0</v>
      </c>
      <c r="AN970" s="659" t="s">
        <v>64</v>
      </c>
      <c r="AO970" s="253" t="s">
        <v>34</v>
      </c>
      <c r="AP970" s="944" t="s">
        <v>1746</v>
      </c>
      <c r="AQ970" s="663" t="s">
        <v>664</v>
      </c>
      <c r="AR970" s="658">
        <v>0</v>
      </c>
      <c r="AS970" s="658">
        <v>0</v>
      </c>
      <c r="AT970" s="658" t="s">
        <v>1417</v>
      </c>
      <c r="AU970" s="658" t="s">
        <v>2751</v>
      </c>
      <c r="AX970"/>
      <c r="AY970"/>
      <c r="BA970"/>
      <c r="BB970"/>
      <c r="BC970"/>
      <c r="BD970"/>
      <c r="BE970"/>
      <c r="BF970"/>
      <c r="BG970"/>
      <c r="BH970"/>
      <c r="BI970"/>
      <c r="BJ970"/>
      <c r="BR970"/>
      <c r="BS970"/>
      <c r="BT970"/>
      <c r="BU970"/>
      <c r="BX970"/>
      <c r="BY970"/>
      <c r="CA970"/>
    </row>
    <row r="971" spans="2:79" ht="18.75">
      <c r="B971" s="252" t="s">
        <v>1619</v>
      </c>
      <c r="C971" s="251">
        <v>34897039000175</v>
      </c>
      <c r="D971" s="252" t="s">
        <v>14</v>
      </c>
      <c r="E971" s="252" t="s">
        <v>1417</v>
      </c>
      <c r="F971" s="252" t="s">
        <v>1417</v>
      </c>
      <c r="G971" s="253" t="s">
        <v>1417</v>
      </c>
      <c r="H971" s="253" t="s">
        <v>34</v>
      </c>
      <c r="I971" s="253" t="s">
        <v>1417</v>
      </c>
      <c r="J971" s="253" t="s">
        <v>1417</v>
      </c>
      <c r="K971" s="253" t="s">
        <v>1417</v>
      </c>
      <c r="L971" s="655"/>
      <c r="M971" s="655" t="s">
        <v>34</v>
      </c>
      <c r="N971" s="253" t="s">
        <v>3585</v>
      </c>
      <c r="O971" s="253" t="s">
        <v>1324</v>
      </c>
      <c r="P971" s="656">
        <v>43782</v>
      </c>
      <c r="Q971" s="657">
        <v>12.41297151</v>
      </c>
      <c r="R971" s="657">
        <v>18.296655276626513</v>
      </c>
      <c r="S971" s="253">
        <v>32</v>
      </c>
      <c r="T971" s="658">
        <v>2.0417947615981369E-2</v>
      </c>
      <c r="U971" s="659">
        <v>1.0209800815318308</v>
      </c>
      <c r="V971" s="658">
        <v>-0.10411589659451792</v>
      </c>
      <c r="W971" s="659">
        <v>-0.80745106179275361</v>
      </c>
      <c r="X971" s="658">
        <v>-0.24143777685233825</v>
      </c>
      <c r="Y971" s="659">
        <v>-1.2504044539718371</v>
      </c>
      <c r="Z971" s="658">
        <v>-0.32811317669615325</v>
      </c>
      <c r="AA971" s="659">
        <v>-1.4815218851106222</v>
      </c>
      <c r="AB971" s="658">
        <v>0.28613385279321807</v>
      </c>
      <c r="AC971" s="660">
        <v>-0.81451322087964506</v>
      </c>
      <c r="AD971" s="682">
        <v>34839385000105</v>
      </c>
      <c r="AE971" s="944" t="s">
        <v>1813</v>
      </c>
      <c r="AF971" s="661" t="s">
        <v>1814</v>
      </c>
      <c r="AG971" s="662" t="s">
        <v>1436</v>
      </c>
      <c r="AH971" s="662" t="s">
        <v>1730</v>
      </c>
      <c r="AI971" s="662">
        <v>0</v>
      </c>
      <c r="AJ971" s="662">
        <v>0</v>
      </c>
      <c r="AK971" s="662">
        <v>0</v>
      </c>
      <c r="AL971" s="658">
        <v>0</v>
      </c>
      <c r="AM971" s="658">
        <v>0</v>
      </c>
      <c r="AN971" s="659" t="s">
        <v>64</v>
      </c>
      <c r="AO971" s="253" t="s">
        <v>34</v>
      </c>
      <c r="AP971" s="944" t="s">
        <v>1731</v>
      </c>
      <c r="AQ971" s="663" t="s">
        <v>659</v>
      </c>
      <c r="AR971" s="658">
        <v>0</v>
      </c>
      <c r="AS971" s="658">
        <v>0</v>
      </c>
      <c r="AT971" s="658" t="s">
        <v>1417</v>
      </c>
      <c r="AU971" s="658" t="s">
        <v>2751</v>
      </c>
      <c r="AX971"/>
      <c r="AY971"/>
      <c r="BA971"/>
      <c r="BB971"/>
      <c r="BC971"/>
      <c r="BD971"/>
      <c r="BE971"/>
      <c r="BF971"/>
      <c r="BG971"/>
      <c r="BH971"/>
      <c r="BI971"/>
      <c r="BJ971"/>
      <c r="BR971"/>
      <c r="BS971"/>
      <c r="BT971"/>
      <c r="BU971"/>
      <c r="BX971"/>
      <c r="BY971"/>
      <c r="CA971"/>
    </row>
    <row r="972" spans="2:79" ht="18.75">
      <c r="B972" s="252" t="s">
        <v>1620</v>
      </c>
      <c r="C972" s="251">
        <v>18205277000116</v>
      </c>
      <c r="D972" s="252" t="s">
        <v>14</v>
      </c>
      <c r="E972" s="252" t="s">
        <v>1417</v>
      </c>
      <c r="F972" s="252" t="s">
        <v>1417</v>
      </c>
      <c r="G972" s="253" t="s">
        <v>1417</v>
      </c>
      <c r="H972" s="253" t="s">
        <v>34</v>
      </c>
      <c r="I972" s="253" t="s">
        <v>1417</v>
      </c>
      <c r="J972" s="253" t="s">
        <v>1417</v>
      </c>
      <c r="K972" s="253" t="s">
        <v>1417</v>
      </c>
      <c r="L972" s="655"/>
      <c r="M972" s="655" t="s">
        <v>34</v>
      </c>
      <c r="N972" s="253" t="s">
        <v>3586</v>
      </c>
      <c r="O972" s="253" t="s">
        <v>1324</v>
      </c>
      <c r="P972" s="656">
        <v>41480</v>
      </c>
      <c r="Q972" s="657">
        <v>10.238386999999999</v>
      </c>
      <c r="R972" s="657">
        <v>14.14428156790124</v>
      </c>
      <c r="S972" s="253">
        <v>32</v>
      </c>
      <c r="T972" s="658">
        <v>-2.2516597114163872E-4</v>
      </c>
      <c r="U972" s="659">
        <v>-1.125921056798317E-2</v>
      </c>
      <c r="V972" s="658">
        <v>1.5007550795191227E-2</v>
      </c>
      <c r="W972" s="659">
        <v>0.11638820987806668</v>
      </c>
      <c r="X972" s="658">
        <v>-0.16610140309800525</v>
      </c>
      <c r="Y972" s="659">
        <v>-0.86023793356804112</v>
      </c>
      <c r="Z972" s="658">
        <v>-0.20085457850743538</v>
      </c>
      <c r="AA972" s="659">
        <v>-0.90691406172632316</v>
      </c>
      <c r="AB972" s="658">
        <v>0.15353223199865926</v>
      </c>
      <c r="AC972" s="660">
        <v>-0.74210058154167968</v>
      </c>
      <c r="AD972" s="682">
        <v>34284218000137</v>
      </c>
      <c r="AE972" s="944" t="s">
        <v>1813</v>
      </c>
      <c r="AF972" s="661" t="s">
        <v>1814</v>
      </c>
      <c r="AG972" s="662" t="s">
        <v>1436</v>
      </c>
      <c r="AH972" s="662" t="s">
        <v>1730</v>
      </c>
      <c r="AI972" s="662">
        <v>20000</v>
      </c>
      <c r="AJ972" s="662">
        <v>5000</v>
      </c>
      <c r="AK972" s="662">
        <v>0</v>
      </c>
      <c r="AL972" s="658">
        <v>0</v>
      </c>
      <c r="AM972" s="658">
        <v>0</v>
      </c>
      <c r="AN972" s="659" t="s">
        <v>2122</v>
      </c>
      <c r="AO972" s="253" t="s">
        <v>34</v>
      </c>
      <c r="AP972" s="944" t="s">
        <v>1731</v>
      </c>
      <c r="AQ972" s="663" t="s">
        <v>659</v>
      </c>
      <c r="AR972" s="658">
        <v>0</v>
      </c>
      <c r="AS972" s="658">
        <v>0</v>
      </c>
      <c r="AT972" s="658" t="s">
        <v>1417</v>
      </c>
      <c r="AU972" s="658" t="s">
        <v>2751</v>
      </c>
      <c r="AX972"/>
      <c r="AY972"/>
      <c r="BA972"/>
      <c r="BB972"/>
      <c r="BC972"/>
      <c r="BD972"/>
      <c r="BE972"/>
      <c r="BF972"/>
      <c r="BG972"/>
      <c r="BH972"/>
      <c r="BI972"/>
      <c r="BJ972"/>
      <c r="BR972"/>
      <c r="BS972"/>
      <c r="BT972"/>
      <c r="BU972"/>
      <c r="BX972"/>
      <c r="BY972"/>
      <c r="CA972"/>
    </row>
    <row r="973" spans="2:79" ht="18.75">
      <c r="B973" s="252" t="s">
        <v>1621</v>
      </c>
      <c r="C973" s="251">
        <v>30129289000104</v>
      </c>
      <c r="D973" s="252" t="s">
        <v>14</v>
      </c>
      <c r="E973" s="252" t="s">
        <v>1417</v>
      </c>
      <c r="F973" s="252" t="s">
        <v>1417</v>
      </c>
      <c r="G973" s="253" t="s">
        <v>1417</v>
      </c>
      <c r="H973" s="253" t="s">
        <v>34</v>
      </c>
      <c r="I973" s="253" t="s">
        <v>1417</v>
      </c>
      <c r="J973" s="253" t="s">
        <v>1417</v>
      </c>
      <c r="K973" s="253" t="s">
        <v>1417</v>
      </c>
      <c r="L973" s="655"/>
      <c r="M973" s="655" t="s">
        <v>34</v>
      </c>
      <c r="N973" s="253" t="s">
        <v>3587</v>
      </c>
      <c r="O973" s="253" t="s">
        <v>1321</v>
      </c>
      <c r="P973" s="656">
        <v>43310</v>
      </c>
      <c r="Q973" s="657">
        <v>321.57468634999998</v>
      </c>
      <c r="R973" s="657">
        <v>435.53431034338706</v>
      </c>
      <c r="S973" s="253">
        <v>62</v>
      </c>
      <c r="T973" s="658">
        <v>1.3174497331770008E-2</v>
      </c>
      <c r="U973" s="659">
        <v>0.6587782284936049</v>
      </c>
      <c r="V973" s="658">
        <v>-0.15970376770262684</v>
      </c>
      <c r="W973" s="659">
        <v>-1.2385522386269221</v>
      </c>
      <c r="X973" s="658">
        <v>-0.23544429553782886</v>
      </c>
      <c r="Y973" s="659">
        <v>-1.2193642587374229</v>
      </c>
      <c r="Z973" s="658">
        <v>-0.11687530267766411</v>
      </c>
      <c r="AA973" s="659">
        <v>-0.52772436782151788</v>
      </c>
      <c r="AB973" s="658">
        <v>0.24810445443711909</v>
      </c>
      <c r="AC973" s="660">
        <v>-1.1634119097308331</v>
      </c>
      <c r="AD973" s="682">
        <v>30566208000133</v>
      </c>
      <c r="AE973" s="944" t="s">
        <v>1813</v>
      </c>
      <c r="AF973" s="661" t="s">
        <v>1814</v>
      </c>
      <c r="AG973" s="662" t="s">
        <v>1436</v>
      </c>
      <c r="AH973" s="662" t="s">
        <v>1730</v>
      </c>
      <c r="AI973" s="662">
        <v>100000</v>
      </c>
      <c r="AJ973" s="662">
        <v>20000</v>
      </c>
      <c r="AK973" s="662">
        <v>20000</v>
      </c>
      <c r="AL973" s="658">
        <v>0</v>
      </c>
      <c r="AM973" s="658">
        <v>0</v>
      </c>
      <c r="AN973" s="659" t="s">
        <v>666</v>
      </c>
      <c r="AO973" s="253" t="s">
        <v>34</v>
      </c>
      <c r="AP973" s="944" t="s">
        <v>1731</v>
      </c>
      <c r="AQ973" s="663" t="s">
        <v>659</v>
      </c>
      <c r="AR973" s="658">
        <v>0</v>
      </c>
      <c r="AS973" s="658">
        <v>0</v>
      </c>
      <c r="AT973" s="658" t="s">
        <v>1417</v>
      </c>
      <c r="AU973" s="658" t="s">
        <v>2751</v>
      </c>
      <c r="AX973"/>
      <c r="AY973"/>
      <c r="BA973"/>
      <c r="BB973"/>
      <c r="BC973"/>
      <c r="BD973"/>
      <c r="BE973"/>
      <c r="BF973"/>
      <c r="BG973"/>
      <c r="BH973"/>
      <c r="BI973"/>
      <c r="BJ973"/>
      <c r="BR973"/>
      <c r="BS973"/>
      <c r="BT973"/>
      <c r="BU973"/>
      <c r="BX973"/>
      <c r="BY973"/>
      <c r="CA973"/>
    </row>
    <row r="974" spans="2:79" ht="18.75">
      <c r="B974" s="252" t="s">
        <v>1622</v>
      </c>
      <c r="C974" s="251">
        <v>30129277000180</v>
      </c>
      <c r="D974" s="252" t="s">
        <v>13</v>
      </c>
      <c r="E974" s="252" t="s">
        <v>615</v>
      </c>
      <c r="F974" s="252" t="s">
        <v>619</v>
      </c>
      <c r="G974" s="253" t="s">
        <v>34</v>
      </c>
      <c r="H974" s="253" t="s">
        <v>1337</v>
      </c>
      <c r="I974" s="253" t="s">
        <v>34</v>
      </c>
      <c r="J974" s="253" t="s">
        <v>611</v>
      </c>
      <c r="K974" s="253" t="s">
        <v>48</v>
      </c>
      <c r="L974" s="655"/>
      <c r="M974" s="655" t="s">
        <v>34</v>
      </c>
      <c r="N974" s="253" t="s">
        <v>3588</v>
      </c>
      <c r="O974" s="253" t="s">
        <v>1321</v>
      </c>
      <c r="P974" s="656">
        <v>43418</v>
      </c>
      <c r="Q974" s="657">
        <v>56.307066499999998</v>
      </c>
      <c r="R974" s="657">
        <v>61.690108017710877</v>
      </c>
      <c r="S974" s="253">
        <v>31</v>
      </c>
      <c r="T974" s="658">
        <v>-2.6285492976986125E-2</v>
      </c>
      <c r="U974" s="659">
        <v>-1.3143811154526643</v>
      </c>
      <c r="V974" s="658">
        <v>0.12845004769915214</v>
      </c>
      <c r="W974" s="659">
        <v>0.99616994901306277</v>
      </c>
      <c r="X974" s="658">
        <v>0.17159958968190892</v>
      </c>
      <c r="Y974" s="659">
        <v>0.88871300106953655</v>
      </c>
      <c r="Z974" s="658">
        <v>0.19114022153487165</v>
      </c>
      <c r="AA974" s="659">
        <v>0.86305104897094775</v>
      </c>
      <c r="AB974" s="658">
        <v>4.413779651025599E-2</v>
      </c>
      <c r="AC974" s="660">
        <v>-1.1189089322151817E-2</v>
      </c>
      <c r="AD974" s="682">
        <v>30493304000107</v>
      </c>
      <c r="AE974" s="944" t="s">
        <v>1813</v>
      </c>
      <c r="AF974" s="661" t="s">
        <v>1814</v>
      </c>
      <c r="AG974" s="662" t="s">
        <v>1436</v>
      </c>
      <c r="AH974" s="662" t="s">
        <v>1734</v>
      </c>
      <c r="AI974" s="662">
        <v>5000</v>
      </c>
      <c r="AJ974" s="662">
        <v>1000</v>
      </c>
      <c r="AK974" s="662">
        <v>5000</v>
      </c>
      <c r="AL974" s="658">
        <v>2.2000000000000002E-2</v>
      </c>
      <c r="AM974" s="658">
        <v>0</v>
      </c>
      <c r="AN974" s="659" t="s">
        <v>64</v>
      </c>
      <c r="AO974" s="253" t="s">
        <v>34</v>
      </c>
      <c r="AP974" s="944" t="s">
        <v>1746</v>
      </c>
      <c r="AQ974" s="663" t="s">
        <v>664</v>
      </c>
      <c r="AR974" s="658">
        <v>0</v>
      </c>
      <c r="AS974" s="658">
        <v>0</v>
      </c>
      <c r="AT974" s="658" t="s">
        <v>1417</v>
      </c>
      <c r="AU974" s="658" t="s">
        <v>2751</v>
      </c>
      <c r="AX974"/>
      <c r="AY974"/>
      <c r="BA974"/>
      <c r="BB974"/>
      <c r="BC974"/>
      <c r="BD974"/>
      <c r="BE974"/>
      <c r="BF974"/>
      <c r="BG974"/>
      <c r="BH974"/>
      <c r="BI974"/>
      <c r="BJ974"/>
      <c r="BR974"/>
      <c r="BS974"/>
      <c r="BT974"/>
      <c r="BU974"/>
      <c r="BX974"/>
      <c r="BY974"/>
      <c r="CA974"/>
    </row>
    <row r="975" spans="2:79" ht="18.75">
      <c r="B975" s="252" t="s">
        <v>1623</v>
      </c>
      <c r="C975" s="251">
        <v>27783036000145</v>
      </c>
      <c r="D975" s="252" t="s">
        <v>14</v>
      </c>
      <c r="E975" s="252" t="s">
        <v>1417</v>
      </c>
      <c r="F975" s="252" t="s">
        <v>1417</v>
      </c>
      <c r="G975" s="253" t="s">
        <v>1417</v>
      </c>
      <c r="H975" s="253" t="s">
        <v>34</v>
      </c>
      <c r="I975" s="253" t="s">
        <v>1417</v>
      </c>
      <c r="J975" s="253" t="s">
        <v>1417</v>
      </c>
      <c r="K975" s="253" t="s">
        <v>1417</v>
      </c>
      <c r="L975" s="655"/>
      <c r="M975" s="655" t="s">
        <v>34</v>
      </c>
      <c r="N975" s="253" t="s">
        <v>3589</v>
      </c>
      <c r="O975" s="253" t="s">
        <v>1321</v>
      </c>
      <c r="P975" s="656">
        <v>43006</v>
      </c>
      <c r="Q975" s="657">
        <v>82.362275999999994</v>
      </c>
      <c r="R975" s="657">
        <v>130.10941020967741</v>
      </c>
      <c r="S975" s="253">
        <v>32</v>
      </c>
      <c r="T975" s="658">
        <v>-2.9189105202423349E-2</v>
      </c>
      <c r="U975" s="659">
        <v>-1.4595734874980968</v>
      </c>
      <c r="V975" s="658">
        <v>-8.2348917599248228E-2</v>
      </c>
      <c r="W975" s="659">
        <v>-0.63864139029561062</v>
      </c>
      <c r="X975" s="658">
        <v>-0.2415649631615282</v>
      </c>
      <c r="Y975" s="659">
        <v>-1.2510631509229468</v>
      </c>
      <c r="Z975" s="658">
        <v>-0.1906861231962137</v>
      </c>
      <c r="AA975" s="659">
        <v>-0.86100066917977847</v>
      </c>
      <c r="AB975" s="658">
        <v>0.2222588916956337</v>
      </c>
      <c r="AC975" s="660">
        <v>-0.95066085065962491</v>
      </c>
      <c r="AD975" s="682">
        <v>28386376000103</v>
      </c>
      <c r="AE975" s="944" t="s">
        <v>1813</v>
      </c>
      <c r="AF975" s="661" t="s">
        <v>1814</v>
      </c>
      <c r="AG975" s="662" t="s">
        <v>1436</v>
      </c>
      <c r="AH975" s="662" t="s">
        <v>1801</v>
      </c>
      <c r="AI975" s="662">
        <v>100000</v>
      </c>
      <c r="AJ975" s="662">
        <v>10000</v>
      </c>
      <c r="AK975" s="662">
        <v>100000</v>
      </c>
      <c r="AL975" s="658">
        <v>0</v>
      </c>
      <c r="AM975" s="658">
        <v>0</v>
      </c>
      <c r="AN975" s="659" t="s">
        <v>666</v>
      </c>
      <c r="AO975" s="253" t="s">
        <v>34</v>
      </c>
      <c r="AP975" s="944" t="s">
        <v>1731</v>
      </c>
      <c r="AQ975" s="663" t="s">
        <v>659</v>
      </c>
      <c r="AR975" s="658">
        <v>0</v>
      </c>
      <c r="AS975" s="658">
        <v>0</v>
      </c>
      <c r="AT975" s="658" t="s">
        <v>1417</v>
      </c>
      <c r="AU975" s="658" t="s">
        <v>2751</v>
      </c>
      <c r="AX975"/>
      <c r="AY975"/>
      <c r="BA975"/>
      <c r="BB975"/>
      <c r="BC975"/>
      <c r="BD975"/>
      <c r="BE975"/>
      <c r="BF975"/>
      <c r="BG975"/>
      <c r="BH975"/>
      <c r="BI975"/>
      <c r="BJ975"/>
      <c r="BR975"/>
      <c r="BS975"/>
      <c r="BT975"/>
      <c r="BU975"/>
      <c r="BX975"/>
      <c r="BY975"/>
      <c r="CA975"/>
    </row>
    <row r="976" spans="2:79" ht="18.75">
      <c r="B976" s="252" t="s">
        <v>1624</v>
      </c>
      <c r="C976" s="251">
        <v>35693759000181</v>
      </c>
      <c r="D976" s="252" t="s">
        <v>13</v>
      </c>
      <c r="E976" s="252" t="s">
        <v>616</v>
      </c>
      <c r="F976" s="252" t="s">
        <v>1417</v>
      </c>
      <c r="G976" s="253" t="s">
        <v>1417</v>
      </c>
      <c r="H976" s="253" t="s">
        <v>34</v>
      </c>
      <c r="I976" s="253" t="s">
        <v>1417</v>
      </c>
      <c r="J976" s="253" t="s">
        <v>611</v>
      </c>
      <c r="K976" s="253" t="s">
        <v>49</v>
      </c>
      <c r="L976" s="655"/>
      <c r="M976" s="655" t="s">
        <v>34</v>
      </c>
      <c r="N976" s="253" t="s">
        <v>3590</v>
      </c>
      <c r="O976" s="253" t="s">
        <v>1321</v>
      </c>
      <c r="P976" s="656">
        <v>44043</v>
      </c>
      <c r="Q976" s="657">
        <v>10.62635695</v>
      </c>
      <c r="R976" s="657">
        <v>24.376083007085018</v>
      </c>
      <c r="S976" s="253">
        <v>39</v>
      </c>
      <c r="T976" s="658">
        <v>-2.1972368017610489E-2</v>
      </c>
      <c r="U976" s="659">
        <v>-1.0987073976283739</v>
      </c>
      <c r="V976" s="658">
        <v>-0.15402382311144858</v>
      </c>
      <c r="W976" s="659">
        <v>-1.1945025071153905</v>
      </c>
      <c r="X976" s="658">
        <v>-0.11842710971617154</v>
      </c>
      <c r="Y976" s="659">
        <v>-0.61333312206017443</v>
      </c>
      <c r="Z976" s="658"/>
      <c r="AA976" s="659"/>
      <c r="AB976" s="658">
        <v>0.25046292893033378</v>
      </c>
      <c r="AC976" s="660">
        <v>-1.1297789008805545</v>
      </c>
      <c r="AD976" s="682">
        <v>34447464000162</v>
      </c>
      <c r="AE976" s="944" t="s">
        <v>1813</v>
      </c>
      <c r="AF976" s="661" t="s">
        <v>1814</v>
      </c>
      <c r="AG976" s="662" t="s">
        <v>1436</v>
      </c>
      <c r="AH976" s="662" t="s">
        <v>1801</v>
      </c>
      <c r="AI976" s="662">
        <v>0</v>
      </c>
      <c r="AJ976" s="662">
        <v>0</v>
      </c>
      <c r="AK976" s="662">
        <v>0</v>
      </c>
      <c r="AL976" s="658">
        <v>4.0000000000000001E-3</v>
      </c>
      <c r="AM976" s="658">
        <v>0</v>
      </c>
      <c r="AN976" s="659" t="s">
        <v>64</v>
      </c>
      <c r="AO976" s="253" t="s">
        <v>34</v>
      </c>
      <c r="AP976" s="944" t="s">
        <v>1746</v>
      </c>
      <c r="AQ976" s="663" t="s">
        <v>679</v>
      </c>
      <c r="AR976" s="658">
        <v>0</v>
      </c>
      <c r="AS976" s="658">
        <v>0</v>
      </c>
      <c r="AT976" s="658" t="s">
        <v>1417</v>
      </c>
      <c r="AU976" s="658" t="s">
        <v>2751</v>
      </c>
      <c r="AX976"/>
      <c r="AY976"/>
      <c r="BA976"/>
      <c r="BB976"/>
      <c r="BC976"/>
      <c r="BD976"/>
      <c r="BE976"/>
      <c r="BF976"/>
      <c r="BG976"/>
      <c r="BH976"/>
      <c r="BI976"/>
      <c r="BJ976"/>
      <c r="BR976"/>
      <c r="BS976"/>
      <c r="BT976"/>
      <c r="BU976"/>
      <c r="BX976"/>
      <c r="BY976"/>
      <c r="CA976"/>
    </row>
    <row r="977" spans="2:79" ht="18.75">
      <c r="B977" s="252" t="s">
        <v>1625</v>
      </c>
      <c r="C977" s="251">
        <v>17253889000111</v>
      </c>
      <c r="D977" s="252" t="s">
        <v>13</v>
      </c>
      <c r="E977" s="252" t="s">
        <v>615</v>
      </c>
      <c r="F977" s="252" t="s">
        <v>619</v>
      </c>
      <c r="G977" s="253" t="s">
        <v>34</v>
      </c>
      <c r="H977" s="253" t="s">
        <v>1338</v>
      </c>
      <c r="I977" s="253" t="s">
        <v>34</v>
      </c>
      <c r="J977" s="253" t="s">
        <v>1417</v>
      </c>
      <c r="K977" s="253" t="s">
        <v>48</v>
      </c>
      <c r="L977" s="655"/>
      <c r="M977" s="655" t="s">
        <v>34</v>
      </c>
      <c r="N977" s="253" t="s">
        <v>3591</v>
      </c>
      <c r="O977" s="253" t="s">
        <v>1321</v>
      </c>
      <c r="P977" s="656">
        <v>41413</v>
      </c>
      <c r="Q977" s="657">
        <v>15.067428</v>
      </c>
      <c r="R977" s="657">
        <v>23.589433587755106</v>
      </c>
      <c r="S977" s="253">
        <v>30</v>
      </c>
      <c r="T977" s="658">
        <v>5.266166952177187E-3</v>
      </c>
      <c r="U977" s="659">
        <v>0.26332967765994897</v>
      </c>
      <c r="V977" s="658">
        <v>0.11353019637995021</v>
      </c>
      <c r="W977" s="659">
        <v>0.88046187576467916</v>
      </c>
      <c r="X977" s="658">
        <v>0.10195903286134667</v>
      </c>
      <c r="Y977" s="659">
        <v>0.52804507428206171</v>
      </c>
      <c r="Z977" s="658">
        <v>0.15784675652045821</v>
      </c>
      <c r="AA977" s="659">
        <v>0.71272183163599323</v>
      </c>
      <c r="AB977" s="658">
        <v>7.3286357859874848E-2</v>
      </c>
      <c r="AC977" s="660">
        <v>-0.21032172312764547</v>
      </c>
      <c r="AD977" s="682">
        <v>13106979000129</v>
      </c>
      <c r="AE977" s="944" t="s">
        <v>1813</v>
      </c>
      <c r="AF977" s="661" t="s">
        <v>1814</v>
      </c>
      <c r="AG977" s="662" t="s">
        <v>1436</v>
      </c>
      <c r="AH977" s="662" t="s">
        <v>1734</v>
      </c>
      <c r="AI977" s="662">
        <v>1000</v>
      </c>
      <c r="AJ977" s="662">
        <v>100</v>
      </c>
      <c r="AK977" s="662">
        <v>1000</v>
      </c>
      <c r="AL977" s="658">
        <v>2.4500000000000001E-2</v>
      </c>
      <c r="AM977" s="658">
        <v>0</v>
      </c>
      <c r="AN977" s="659" t="s">
        <v>64</v>
      </c>
      <c r="AO977" s="253" t="s">
        <v>34</v>
      </c>
      <c r="AP977" s="944" t="s">
        <v>1746</v>
      </c>
      <c r="AQ977" s="663" t="s">
        <v>664</v>
      </c>
      <c r="AR977" s="658">
        <v>0</v>
      </c>
      <c r="AS977" s="658">
        <v>0</v>
      </c>
      <c r="AT977" s="658" t="s">
        <v>1417</v>
      </c>
      <c r="AU977" s="658" t="s">
        <v>2751</v>
      </c>
      <c r="AX977"/>
      <c r="AY977"/>
      <c r="BA977"/>
      <c r="BB977"/>
      <c r="BC977"/>
      <c r="BD977"/>
      <c r="BE977"/>
      <c r="BF977"/>
      <c r="BG977"/>
      <c r="BH977"/>
      <c r="BI977"/>
      <c r="BJ977"/>
      <c r="BR977"/>
      <c r="BS977"/>
      <c r="BT977"/>
      <c r="BU977"/>
      <c r="BX977"/>
      <c r="BY977"/>
      <c r="CA977"/>
    </row>
    <row r="978" spans="2:79" ht="18.75">
      <c r="B978" s="252" t="s">
        <v>1626</v>
      </c>
      <c r="C978" s="251">
        <v>26570686000140</v>
      </c>
      <c r="D978" s="252" t="s">
        <v>13</v>
      </c>
      <c r="E978" s="252" t="s">
        <v>615</v>
      </c>
      <c r="F978" s="252" t="s">
        <v>619</v>
      </c>
      <c r="G978" s="253" t="s">
        <v>34</v>
      </c>
      <c r="H978" s="253" t="s">
        <v>1338</v>
      </c>
      <c r="I978" s="253" t="s">
        <v>34</v>
      </c>
      <c r="J978" s="253" t="s">
        <v>611</v>
      </c>
      <c r="K978" s="253" t="s">
        <v>48</v>
      </c>
      <c r="L978" s="655"/>
      <c r="M978" s="655" t="s">
        <v>34</v>
      </c>
      <c r="N978" s="253" t="s">
        <v>3592</v>
      </c>
      <c r="O978" s="253" t="s">
        <v>1321</v>
      </c>
      <c r="P978" s="656">
        <v>42778</v>
      </c>
      <c r="Q978" s="657">
        <v>15.265649</v>
      </c>
      <c r="R978" s="657">
        <v>11.128330930612245</v>
      </c>
      <c r="S978" s="253">
        <v>31</v>
      </c>
      <c r="T978" s="658">
        <v>1.3164458757484843E-2</v>
      </c>
      <c r="U978" s="659">
        <v>0.65827625911916554</v>
      </c>
      <c r="V978" s="658">
        <v>0.17768373151137462</v>
      </c>
      <c r="W978" s="659">
        <v>1.3779924330951039</v>
      </c>
      <c r="X978" s="658">
        <v>0.27165042908553594</v>
      </c>
      <c r="Y978" s="659">
        <v>1.4068755555998038</v>
      </c>
      <c r="Z978" s="658">
        <v>0.34720500754905292</v>
      </c>
      <c r="AA978" s="659">
        <v>1.5677267901382375</v>
      </c>
      <c r="AB978" s="658">
        <v>6.9773189789365267E-2</v>
      </c>
      <c r="AC978" s="660">
        <v>0.69854656511655033</v>
      </c>
      <c r="AD978" s="682">
        <v>26101893000155</v>
      </c>
      <c r="AE978" s="944" t="s">
        <v>1813</v>
      </c>
      <c r="AF978" s="661" t="s">
        <v>1814</v>
      </c>
      <c r="AG978" s="662" t="s">
        <v>1436</v>
      </c>
      <c r="AH978" s="662" t="s">
        <v>1730</v>
      </c>
      <c r="AI978" s="662">
        <v>1000</v>
      </c>
      <c r="AJ978" s="662">
        <v>100</v>
      </c>
      <c r="AK978" s="662">
        <v>1000</v>
      </c>
      <c r="AL978" s="658">
        <v>2.2000000000000002E-2</v>
      </c>
      <c r="AM978" s="658">
        <v>0</v>
      </c>
      <c r="AN978" s="659" t="s">
        <v>64</v>
      </c>
      <c r="AO978" s="253" t="s">
        <v>34</v>
      </c>
      <c r="AP978" s="944" t="s">
        <v>1746</v>
      </c>
      <c r="AQ978" s="663" t="s">
        <v>664</v>
      </c>
      <c r="AR978" s="658">
        <v>0</v>
      </c>
      <c r="AS978" s="658">
        <v>0</v>
      </c>
      <c r="AT978" s="658" t="s">
        <v>1417</v>
      </c>
      <c r="AU978" s="658" t="s">
        <v>2751</v>
      </c>
      <c r="AX978"/>
      <c r="AY978"/>
      <c r="BA978"/>
      <c r="BB978"/>
      <c r="BC978"/>
      <c r="BD978"/>
      <c r="BE978"/>
      <c r="BF978"/>
      <c r="BG978"/>
      <c r="BH978"/>
      <c r="BI978"/>
      <c r="BJ978"/>
      <c r="BR978"/>
      <c r="BS978"/>
      <c r="BT978"/>
      <c r="BU978"/>
      <c r="BX978"/>
      <c r="BY978"/>
      <c r="CA978"/>
    </row>
    <row r="979" spans="2:79" ht="18.75">
      <c r="B979" s="252" t="s">
        <v>1627</v>
      </c>
      <c r="C979" s="251">
        <v>35591357000176</v>
      </c>
      <c r="D979" s="252" t="s">
        <v>14</v>
      </c>
      <c r="E979" s="252" t="s">
        <v>1417</v>
      </c>
      <c r="F979" s="252" t="s">
        <v>1417</v>
      </c>
      <c r="G979" s="253" t="s">
        <v>1417</v>
      </c>
      <c r="H979" s="253" t="s">
        <v>34</v>
      </c>
      <c r="I979" s="253" t="s">
        <v>1417</v>
      </c>
      <c r="J979" s="253" t="s">
        <v>1417</v>
      </c>
      <c r="K979" s="253" t="s">
        <v>1417</v>
      </c>
      <c r="L979" s="655"/>
      <c r="M979" s="655" t="s">
        <v>34</v>
      </c>
      <c r="N979" s="253" t="s">
        <v>3593</v>
      </c>
      <c r="O979" s="253" t="s">
        <v>1321</v>
      </c>
      <c r="P979" s="656">
        <v>43996</v>
      </c>
      <c r="Q979" s="657">
        <v>15.049023699999999</v>
      </c>
      <c r="R979" s="657">
        <v>20.522277251451619</v>
      </c>
      <c r="S979" s="253">
        <v>62</v>
      </c>
      <c r="T979" s="658">
        <v>-2.9325358657344203E-2</v>
      </c>
      <c r="U979" s="659">
        <v>-1.4663867121243175</v>
      </c>
      <c r="V979" s="658">
        <v>-0.16922123476436413</v>
      </c>
      <c r="W979" s="659">
        <v>-1.3123631468161521</v>
      </c>
      <c r="X979" s="658">
        <v>-0.38959960591293263</v>
      </c>
      <c r="Y979" s="659">
        <v>-2.0177334667770137</v>
      </c>
      <c r="Z979" s="658"/>
      <c r="AA979" s="659"/>
      <c r="AB979" s="658">
        <v>0.25801121196076321</v>
      </c>
      <c r="AC979" s="660">
        <v>-1.1556286331327943</v>
      </c>
      <c r="AD979" s="682">
        <v>35410788000199</v>
      </c>
      <c r="AE979" s="944" t="s">
        <v>1813</v>
      </c>
      <c r="AF979" s="661" t="s">
        <v>1814</v>
      </c>
      <c r="AG979" s="662" t="s">
        <v>1436</v>
      </c>
      <c r="AH979" s="662" t="s">
        <v>1734</v>
      </c>
      <c r="AI979" s="662">
        <v>5000</v>
      </c>
      <c r="AJ979" s="662">
        <v>1000</v>
      </c>
      <c r="AK979" s="662">
        <v>1000</v>
      </c>
      <c r="AL979" s="658">
        <v>2.2000000000000002E-2</v>
      </c>
      <c r="AM979" s="658">
        <v>0</v>
      </c>
      <c r="AN979" s="659" t="s">
        <v>666</v>
      </c>
      <c r="AO979" s="253" t="s">
        <v>34</v>
      </c>
      <c r="AP979" s="944" t="s">
        <v>1731</v>
      </c>
      <c r="AQ979" s="663" t="s">
        <v>665</v>
      </c>
      <c r="AR979" s="658">
        <v>0</v>
      </c>
      <c r="AS979" s="658">
        <v>0</v>
      </c>
      <c r="AT979" s="658" t="s">
        <v>1417</v>
      </c>
      <c r="AU979" s="658" t="s">
        <v>2751</v>
      </c>
      <c r="AX979"/>
      <c r="AY979"/>
      <c r="BA979"/>
      <c r="BB979"/>
      <c r="BC979"/>
      <c r="BD979"/>
      <c r="BE979"/>
      <c r="BF979"/>
      <c r="BG979"/>
      <c r="BH979"/>
      <c r="BI979"/>
      <c r="BJ979"/>
      <c r="BR979"/>
      <c r="BS979"/>
      <c r="BT979"/>
      <c r="BU979"/>
      <c r="BX979"/>
      <c r="BY979"/>
      <c r="CA979"/>
    </row>
    <row r="980" spans="2:79" ht="18.75">
      <c r="B980" s="252" t="s">
        <v>1628</v>
      </c>
      <c r="C980" s="251">
        <v>34887320000127</v>
      </c>
      <c r="D980" s="252" t="s">
        <v>14</v>
      </c>
      <c r="E980" s="252" t="s">
        <v>614</v>
      </c>
      <c r="F980" s="252" t="s">
        <v>1317</v>
      </c>
      <c r="G980" s="253" t="s">
        <v>1417</v>
      </c>
      <c r="H980" s="253" t="s">
        <v>865</v>
      </c>
      <c r="I980" s="253" t="s">
        <v>34</v>
      </c>
      <c r="J980" s="253" t="s">
        <v>608</v>
      </c>
      <c r="K980" s="253" t="s">
        <v>48</v>
      </c>
      <c r="L980" s="655"/>
      <c r="M980" s="655" t="s">
        <v>34</v>
      </c>
      <c r="N980" s="253" t="s">
        <v>3594</v>
      </c>
      <c r="O980" s="253" t="s">
        <v>1321</v>
      </c>
      <c r="P980" s="656">
        <v>43880</v>
      </c>
      <c r="Q980" s="657">
        <v>71.857932809999994</v>
      </c>
      <c r="R980" s="657">
        <v>135.63770269834671</v>
      </c>
      <c r="S980" s="253">
        <v>32</v>
      </c>
      <c r="T980" s="658">
        <v>-2.3533475414294625E-4</v>
      </c>
      <c r="U980" s="659">
        <v>-1.1767690905626323E-2</v>
      </c>
      <c r="V980" s="658">
        <v>-1.2309462354273548E-2</v>
      </c>
      <c r="W980" s="659">
        <v>-9.5463697409867418E-2</v>
      </c>
      <c r="X980" s="658">
        <v>-7.7116361241456266E-2</v>
      </c>
      <c r="Y980" s="659">
        <v>-0.39938506238562643</v>
      </c>
      <c r="Z980" s="658">
        <v>0.10823660475772123</v>
      </c>
      <c r="AA980" s="659">
        <v>0.48871825366260113</v>
      </c>
      <c r="AB980" s="658">
        <v>0.12610620678392909</v>
      </c>
      <c r="AC980" s="660">
        <v>-1.1201143496694499</v>
      </c>
      <c r="AD980" s="682">
        <v>34431537000128</v>
      </c>
      <c r="AE980" s="944" t="s">
        <v>1813</v>
      </c>
      <c r="AF980" s="661" t="s">
        <v>1814</v>
      </c>
      <c r="AG980" s="662" t="s">
        <v>1436</v>
      </c>
      <c r="AH980" s="662" t="s">
        <v>1730</v>
      </c>
      <c r="AI980" s="662">
        <v>1000</v>
      </c>
      <c r="AJ980" s="662">
        <v>100</v>
      </c>
      <c r="AK980" s="662">
        <v>1000</v>
      </c>
      <c r="AL980" s="658">
        <v>2.5000000000000001E-2</v>
      </c>
      <c r="AM980" s="658">
        <v>0</v>
      </c>
      <c r="AN980" s="659" t="s">
        <v>64</v>
      </c>
      <c r="AO980" s="253" t="s">
        <v>34</v>
      </c>
      <c r="AP980" s="944" t="s">
        <v>1746</v>
      </c>
      <c r="AQ980" s="663" t="s">
        <v>668</v>
      </c>
      <c r="AR980" s="658">
        <v>0</v>
      </c>
      <c r="AS980" s="658">
        <v>0</v>
      </c>
      <c r="AT980" s="658" t="s">
        <v>1417</v>
      </c>
      <c r="AU980" s="658" t="s">
        <v>2751</v>
      </c>
      <c r="AX980"/>
      <c r="AY980"/>
      <c r="BA980"/>
      <c r="BB980"/>
      <c r="BC980"/>
      <c r="BD980"/>
      <c r="BE980"/>
      <c r="BF980"/>
      <c r="BG980"/>
      <c r="BH980"/>
      <c r="BI980"/>
      <c r="BJ980"/>
      <c r="BR980"/>
      <c r="BS980"/>
      <c r="BT980"/>
      <c r="BU980"/>
      <c r="BX980"/>
      <c r="BY980"/>
      <c r="CA980"/>
    </row>
    <row r="981" spans="2:79" ht="18.75">
      <c r="B981" s="252" t="s">
        <v>1629</v>
      </c>
      <c r="C981" s="251">
        <v>35591542000160</v>
      </c>
      <c r="D981" s="252" t="s">
        <v>14</v>
      </c>
      <c r="E981" s="252" t="s">
        <v>1417</v>
      </c>
      <c r="F981" s="252" t="s">
        <v>1417</v>
      </c>
      <c r="G981" s="253" t="s">
        <v>1417</v>
      </c>
      <c r="H981" s="253" t="s">
        <v>34</v>
      </c>
      <c r="I981" s="253" t="s">
        <v>1417</v>
      </c>
      <c r="J981" s="253" t="s">
        <v>1417</v>
      </c>
      <c r="K981" s="253" t="s">
        <v>1417</v>
      </c>
      <c r="L981" s="655"/>
      <c r="M981" s="655" t="s">
        <v>34</v>
      </c>
      <c r="N981" s="253" t="s">
        <v>3595</v>
      </c>
      <c r="O981" s="253" t="s">
        <v>1321</v>
      </c>
      <c r="P981" s="656">
        <v>43911</v>
      </c>
      <c r="Q981" s="657">
        <v>108.18014413</v>
      </c>
      <c r="R981" s="657">
        <v>110.97773498728745</v>
      </c>
      <c r="S981" s="253">
        <v>14</v>
      </c>
      <c r="T981" s="658">
        <v>-1.0697942377631997E-2</v>
      </c>
      <c r="U981" s="659">
        <v>-0.53494044976334765</v>
      </c>
      <c r="V981" s="658">
        <v>-0.15086548928496846</v>
      </c>
      <c r="W981" s="659">
        <v>-1.1700086489717185</v>
      </c>
      <c r="X981" s="658">
        <v>-0.27039439707930679</v>
      </c>
      <c r="Y981" s="659">
        <v>-1.4003705751638689</v>
      </c>
      <c r="Z981" s="658"/>
      <c r="AA981" s="659"/>
      <c r="AB981" s="658">
        <v>0.24995247259458814</v>
      </c>
      <c r="AC981" s="660">
        <v>-1.1194504132215379</v>
      </c>
      <c r="AD981" s="682">
        <v>73232530000139</v>
      </c>
      <c r="AE981" s="944" t="s">
        <v>1813</v>
      </c>
      <c r="AF981" s="661" t="s">
        <v>1814</v>
      </c>
      <c r="AG981" s="662" t="s">
        <v>1436</v>
      </c>
      <c r="AH981" s="662" t="s">
        <v>1801</v>
      </c>
      <c r="AI981" s="662">
        <v>0</v>
      </c>
      <c r="AJ981" s="662">
        <v>0</v>
      </c>
      <c r="AK981" s="662">
        <v>0</v>
      </c>
      <c r="AL981" s="658">
        <v>0.02</v>
      </c>
      <c r="AM981" s="658">
        <v>0</v>
      </c>
      <c r="AN981" s="659" t="s">
        <v>666</v>
      </c>
      <c r="AO981" s="253" t="s">
        <v>34</v>
      </c>
      <c r="AP981" s="944" t="s">
        <v>1731</v>
      </c>
      <c r="AQ981" s="663" t="s">
        <v>659</v>
      </c>
      <c r="AR981" s="658">
        <v>0</v>
      </c>
      <c r="AS981" s="658">
        <v>0</v>
      </c>
      <c r="AT981" s="658" t="s">
        <v>1417</v>
      </c>
      <c r="AU981" s="658" t="s">
        <v>2751</v>
      </c>
      <c r="AX981"/>
      <c r="AY981"/>
      <c r="BA981"/>
      <c r="BB981"/>
      <c r="BC981"/>
      <c r="BD981"/>
      <c r="BE981"/>
      <c r="BF981"/>
      <c r="BG981"/>
      <c r="BH981"/>
      <c r="BI981"/>
      <c r="BJ981"/>
      <c r="BR981"/>
      <c r="BS981"/>
      <c r="BT981"/>
      <c r="BU981"/>
      <c r="BX981"/>
      <c r="BY981"/>
      <c r="CA981"/>
    </row>
    <row r="982" spans="2:79" ht="18.75">
      <c r="B982" s="252" t="s">
        <v>1630</v>
      </c>
      <c r="C982" s="251">
        <v>34887351000188</v>
      </c>
      <c r="D982" s="252" t="s">
        <v>14</v>
      </c>
      <c r="E982" s="252" t="s">
        <v>1417</v>
      </c>
      <c r="F982" s="252" t="s">
        <v>1417</v>
      </c>
      <c r="G982" s="253" t="s">
        <v>1417</v>
      </c>
      <c r="H982" s="253" t="s">
        <v>34</v>
      </c>
      <c r="I982" s="253" t="s">
        <v>1417</v>
      </c>
      <c r="J982" s="253" t="s">
        <v>1417</v>
      </c>
      <c r="K982" s="253" t="s">
        <v>1417</v>
      </c>
      <c r="L982" s="655"/>
      <c r="M982" s="655" t="s">
        <v>34</v>
      </c>
      <c r="N982" s="253" t="s">
        <v>3596</v>
      </c>
      <c r="O982" s="253" t="s">
        <v>1324</v>
      </c>
      <c r="P982" s="656">
        <v>43824</v>
      </c>
      <c r="Q982" s="657">
        <v>8.5088036000000002</v>
      </c>
      <c r="R982" s="657">
        <v>12.446293366653242</v>
      </c>
      <c r="S982" s="253">
        <v>32</v>
      </c>
      <c r="T982" s="658">
        <v>0.11380006551067567</v>
      </c>
      <c r="U982" s="659">
        <v>5.6904642106377006</v>
      </c>
      <c r="V982" s="658">
        <v>-0.20614932117715412</v>
      </c>
      <c r="W982" s="659">
        <v>-1.5987519074115428</v>
      </c>
      <c r="X982" s="658">
        <v>-0.39417623184731332</v>
      </c>
      <c r="Y982" s="659">
        <v>-2.0414357785159614</v>
      </c>
      <c r="Z982" s="658">
        <v>-0.46264983746455179</v>
      </c>
      <c r="AA982" s="659">
        <v>-2.0889921771759239</v>
      </c>
      <c r="AB982" s="658">
        <v>0.31172417967318938</v>
      </c>
      <c r="AC982" s="660">
        <v>-1.0749670781883303</v>
      </c>
      <c r="AD982" s="682">
        <v>12004203000135</v>
      </c>
      <c r="AE982" s="944" t="s">
        <v>1813</v>
      </c>
      <c r="AF982" s="661" t="s">
        <v>1814</v>
      </c>
      <c r="AG982" s="662" t="s">
        <v>1436</v>
      </c>
      <c r="AH982" s="662" t="s">
        <v>1734</v>
      </c>
      <c r="AI982" s="662">
        <v>1000</v>
      </c>
      <c r="AJ982" s="662">
        <v>100</v>
      </c>
      <c r="AK982" s="662">
        <v>1000</v>
      </c>
      <c r="AL982" s="658">
        <v>0.02</v>
      </c>
      <c r="AM982" s="658">
        <v>0</v>
      </c>
      <c r="AN982" s="659" t="s">
        <v>666</v>
      </c>
      <c r="AO982" s="253" t="s">
        <v>34</v>
      </c>
      <c r="AP982" s="944" t="s">
        <v>1731</v>
      </c>
      <c r="AQ982" s="663" t="s">
        <v>665</v>
      </c>
      <c r="AR982" s="658">
        <v>0</v>
      </c>
      <c r="AS982" s="658">
        <v>0</v>
      </c>
      <c r="AT982" s="658" t="s">
        <v>1417</v>
      </c>
      <c r="AU982" s="658" t="s">
        <v>2751</v>
      </c>
      <c r="AX982"/>
      <c r="AY982"/>
      <c r="BA982"/>
      <c r="BB982"/>
      <c r="BC982"/>
      <c r="BD982"/>
      <c r="BE982"/>
      <c r="BF982"/>
      <c r="BG982"/>
      <c r="BH982"/>
      <c r="BI982"/>
      <c r="BJ982"/>
      <c r="BR982"/>
      <c r="BS982"/>
      <c r="BT982"/>
      <c r="BU982"/>
      <c r="BX982"/>
      <c r="BY982"/>
      <c r="CA982"/>
    </row>
    <row r="983" spans="2:79" ht="18.75">
      <c r="B983" s="252" t="s">
        <v>1631</v>
      </c>
      <c r="C983" s="251">
        <v>31006657000190</v>
      </c>
      <c r="D983" s="252" t="s">
        <v>13</v>
      </c>
      <c r="E983" s="252" t="s">
        <v>615</v>
      </c>
      <c r="F983" s="252" t="s">
        <v>619</v>
      </c>
      <c r="G983" s="253" t="s">
        <v>34</v>
      </c>
      <c r="H983" s="253" t="s">
        <v>1338</v>
      </c>
      <c r="I983" s="253" t="s">
        <v>34</v>
      </c>
      <c r="J983" s="253" t="s">
        <v>700</v>
      </c>
      <c r="K983" s="253" t="s">
        <v>48</v>
      </c>
      <c r="L983" s="655"/>
      <c r="M983" s="655" t="s">
        <v>34</v>
      </c>
      <c r="N983" s="253" t="s">
        <v>3597</v>
      </c>
      <c r="O983" s="253" t="s">
        <v>1321</v>
      </c>
      <c r="P983" s="656">
        <v>43475</v>
      </c>
      <c r="Q983" s="657">
        <v>19.530753820000001</v>
      </c>
      <c r="R983" s="657">
        <v>22.568836995582345</v>
      </c>
      <c r="S983" s="253">
        <v>33</v>
      </c>
      <c r="T983" s="658">
        <v>4.8544263448174974E-2</v>
      </c>
      <c r="U983" s="659">
        <v>2.4274097958027392</v>
      </c>
      <c r="V983" s="658">
        <v>0.46075908604028082</v>
      </c>
      <c r="W983" s="659">
        <v>3.5733295819638817</v>
      </c>
      <c r="X983" s="658">
        <v>0.65258412619294281</v>
      </c>
      <c r="Y983" s="659">
        <v>3.3797283450055611</v>
      </c>
      <c r="Z983" s="658">
        <v>0.29478543008209401</v>
      </c>
      <c r="AA983" s="659">
        <v>1.3310378768567437</v>
      </c>
      <c r="AB983" s="658">
        <v>0.19529256500979636</v>
      </c>
      <c r="AC983" s="660">
        <v>1.6990671230973273</v>
      </c>
      <c r="AD983" s="682">
        <v>19628666000117</v>
      </c>
      <c r="AE983" s="944" t="s">
        <v>1813</v>
      </c>
      <c r="AF983" s="661" t="s">
        <v>1814</v>
      </c>
      <c r="AG983" s="662" t="s">
        <v>1436</v>
      </c>
      <c r="AH983" s="662" t="s">
        <v>1734</v>
      </c>
      <c r="AI983" s="662">
        <v>10000</v>
      </c>
      <c r="AJ983" s="662">
        <v>5000</v>
      </c>
      <c r="AK983" s="662">
        <v>5000</v>
      </c>
      <c r="AL983" s="658">
        <v>2.5000000000000001E-2</v>
      </c>
      <c r="AM983" s="658">
        <v>0</v>
      </c>
      <c r="AN983" s="659" t="s">
        <v>64</v>
      </c>
      <c r="AO983" s="253" t="s">
        <v>34</v>
      </c>
      <c r="AP983" s="944" t="s">
        <v>1746</v>
      </c>
      <c r="AQ983" s="663" t="s">
        <v>668</v>
      </c>
      <c r="AR983" s="658">
        <v>0</v>
      </c>
      <c r="AS983" s="658">
        <v>0</v>
      </c>
      <c r="AT983" s="658" t="s">
        <v>1417</v>
      </c>
      <c r="AU983" s="658" t="s">
        <v>2751</v>
      </c>
      <c r="AX983"/>
      <c r="AY983"/>
      <c r="BA983"/>
      <c r="BB983"/>
      <c r="BC983"/>
      <c r="BD983"/>
      <c r="BE983"/>
      <c r="BF983"/>
      <c r="BG983"/>
      <c r="BH983"/>
      <c r="BI983"/>
      <c r="BJ983"/>
      <c r="BR983"/>
      <c r="BS983"/>
      <c r="BT983"/>
      <c r="BU983"/>
      <c r="BX983"/>
      <c r="BY983"/>
      <c r="CA983"/>
    </row>
    <row r="984" spans="2:79" ht="18.75">
      <c r="B984" s="252" t="s">
        <v>1632</v>
      </c>
      <c r="C984" s="251">
        <v>36976786000124</v>
      </c>
      <c r="D984" s="252" t="s">
        <v>13</v>
      </c>
      <c r="E984" s="252" t="s">
        <v>615</v>
      </c>
      <c r="F984" s="252" t="s">
        <v>619</v>
      </c>
      <c r="G984" s="253" t="s">
        <v>34</v>
      </c>
      <c r="H984" s="253" t="s">
        <v>1337</v>
      </c>
      <c r="I984" s="253" t="s">
        <v>34</v>
      </c>
      <c r="J984" s="253" t="s">
        <v>611</v>
      </c>
      <c r="K984" s="253" t="s">
        <v>48</v>
      </c>
      <c r="L984" s="655"/>
      <c r="M984" s="655" t="s">
        <v>34</v>
      </c>
      <c r="N984" s="253" t="s">
        <v>3598</v>
      </c>
      <c r="O984" s="253" t="s">
        <v>1321</v>
      </c>
      <c r="P984" s="656">
        <v>44014</v>
      </c>
      <c r="Q984" s="657">
        <v>522.93447500000002</v>
      </c>
      <c r="R984" s="657">
        <v>488.47152299089117</v>
      </c>
      <c r="S984" s="253">
        <v>31</v>
      </c>
      <c r="T984" s="658">
        <v>2.6591894075373546E-2</v>
      </c>
      <c r="U984" s="659">
        <v>1.3297024114172096</v>
      </c>
      <c r="V984" s="658">
        <v>0.21094396186678543</v>
      </c>
      <c r="W984" s="659">
        <v>1.6359358326562627</v>
      </c>
      <c r="X984" s="658">
        <v>0.35450177021981144</v>
      </c>
      <c r="Y984" s="659">
        <v>1.8359620362759319</v>
      </c>
      <c r="Z984" s="658"/>
      <c r="AA984" s="659"/>
      <c r="AB984" s="658">
        <v>3.9252000978847887E-2</v>
      </c>
      <c r="AC984" s="660">
        <v>2.0890668087006636</v>
      </c>
      <c r="AD984" s="682">
        <v>36017837000190</v>
      </c>
      <c r="AE984" s="944" t="s">
        <v>1813</v>
      </c>
      <c r="AF984" s="661" t="s">
        <v>1814</v>
      </c>
      <c r="AG984" s="662" t="s">
        <v>1436</v>
      </c>
      <c r="AH984" s="662" t="s">
        <v>1734</v>
      </c>
      <c r="AI984" s="662">
        <v>5000</v>
      </c>
      <c r="AJ984" s="662">
        <v>5000</v>
      </c>
      <c r="AK984" s="662">
        <v>5000</v>
      </c>
      <c r="AL984" s="658">
        <v>2.5000000000000001E-2</v>
      </c>
      <c r="AM984" s="658">
        <v>0</v>
      </c>
      <c r="AN984" s="659" t="s">
        <v>64</v>
      </c>
      <c r="AO984" s="253" t="s">
        <v>34</v>
      </c>
      <c r="AP984" s="944" t="s">
        <v>1746</v>
      </c>
      <c r="AQ984" s="663" t="s">
        <v>668</v>
      </c>
      <c r="AR984" s="658">
        <v>0</v>
      </c>
      <c r="AS984" s="658">
        <v>0</v>
      </c>
      <c r="AT984" s="658" t="s">
        <v>1417</v>
      </c>
      <c r="AU984" s="658" t="s">
        <v>2751</v>
      </c>
      <c r="AX984"/>
      <c r="AY984"/>
      <c r="BA984"/>
      <c r="BB984"/>
      <c r="BC984"/>
      <c r="BD984"/>
      <c r="BE984"/>
      <c r="BF984"/>
      <c r="BG984"/>
      <c r="BH984"/>
      <c r="BI984"/>
      <c r="BJ984"/>
      <c r="BR984"/>
      <c r="BS984"/>
      <c r="BT984"/>
      <c r="BU984"/>
      <c r="BX984"/>
      <c r="BY984"/>
      <c r="CA984"/>
    </row>
    <row r="985" spans="2:79" ht="18.75">
      <c r="B985" s="252" t="s">
        <v>1633</v>
      </c>
      <c r="C985" s="251">
        <v>31659879000101</v>
      </c>
      <c r="D985" s="252" t="s">
        <v>14</v>
      </c>
      <c r="E985" s="252" t="s">
        <v>607</v>
      </c>
      <c r="F985" s="252" t="s">
        <v>1417</v>
      </c>
      <c r="G985" s="253" t="s">
        <v>1417</v>
      </c>
      <c r="H985" s="253" t="s">
        <v>34</v>
      </c>
      <c r="I985" s="253" t="s">
        <v>34</v>
      </c>
      <c r="J985" s="253" t="s">
        <v>611</v>
      </c>
      <c r="K985" s="253" t="s">
        <v>48</v>
      </c>
      <c r="L985" s="655"/>
      <c r="M985" s="655" t="s">
        <v>34</v>
      </c>
      <c r="N985" s="253" t="s">
        <v>3599</v>
      </c>
      <c r="O985" s="253" t="s">
        <v>1321</v>
      </c>
      <c r="P985" s="656">
        <v>43454</v>
      </c>
      <c r="Q985" s="657">
        <v>5.89380287</v>
      </c>
      <c r="R985" s="657">
        <v>15.16109134534136</v>
      </c>
      <c r="S985" s="253">
        <v>34</v>
      </c>
      <c r="T985" s="658">
        <v>5.2090750096866589E-2</v>
      </c>
      <c r="U985" s="659">
        <v>2.6047484929056059</v>
      </c>
      <c r="V985" s="658">
        <v>-3.4927832446508544E-3</v>
      </c>
      <c r="W985" s="659">
        <v>-2.7087617085878965E-2</v>
      </c>
      <c r="X985" s="658">
        <v>7.7881570757240226E-2</v>
      </c>
      <c r="Y985" s="659">
        <v>0.40334807678723389</v>
      </c>
      <c r="Z985" s="658">
        <v>0.16696816032933381</v>
      </c>
      <c r="AA985" s="659">
        <v>0.75390749660029521</v>
      </c>
      <c r="AB985" s="658">
        <v>0.19567203856458343</v>
      </c>
      <c r="AC985" s="660">
        <v>-0.67682993269233616</v>
      </c>
      <c r="AD985" s="682">
        <v>32102192000133</v>
      </c>
      <c r="AE985" s="944" t="s">
        <v>1813</v>
      </c>
      <c r="AF985" s="661" t="s">
        <v>1814</v>
      </c>
      <c r="AG985" s="662" t="s">
        <v>1436</v>
      </c>
      <c r="AH985" s="662" t="s">
        <v>1730</v>
      </c>
      <c r="AI985" s="662">
        <v>1000</v>
      </c>
      <c r="AJ985" s="662">
        <v>1000</v>
      </c>
      <c r="AK985" s="662">
        <v>1000</v>
      </c>
      <c r="AL985" s="658">
        <v>0.02</v>
      </c>
      <c r="AM985" s="658">
        <v>0</v>
      </c>
      <c r="AN985" s="659" t="s">
        <v>666</v>
      </c>
      <c r="AO985" s="253" t="s">
        <v>34</v>
      </c>
      <c r="AP985" s="944" t="s">
        <v>1731</v>
      </c>
      <c r="AQ985" s="663" t="s">
        <v>687</v>
      </c>
      <c r="AR985" s="658">
        <v>0</v>
      </c>
      <c r="AS985" s="658">
        <v>0</v>
      </c>
      <c r="AT985" s="658" t="s">
        <v>1417</v>
      </c>
      <c r="AU985" s="658" t="s">
        <v>2751</v>
      </c>
      <c r="AX985"/>
      <c r="AY985"/>
      <c r="BA985"/>
      <c r="BB985"/>
      <c r="BC985"/>
      <c r="BD985"/>
      <c r="BE985"/>
      <c r="BF985"/>
      <c r="BG985"/>
      <c r="BH985"/>
      <c r="BI985"/>
      <c r="BJ985"/>
      <c r="BR985"/>
      <c r="BS985"/>
      <c r="BT985"/>
      <c r="BU985"/>
      <c r="BX985"/>
      <c r="BY985"/>
      <c r="CA985"/>
    </row>
    <row r="986" spans="2:79" ht="18.75">
      <c r="B986" s="252" t="s">
        <v>1634</v>
      </c>
      <c r="C986" s="251">
        <v>35591389000171</v>
      </c>
      <c r="D986" s="252" t="s">
        <v>13</v>
      </c>
      <c r="E986" s="252" t="s">
        <v>615</v>
      </c>
      <c r="F986" s="252" t="s">
        <v>619</v>
      </c>
      <c r="G986" s="253" t="s">
        <v>1417</v>
      </c>
      <c r="H986" s="253" t="s">
        <v>865</v>
      </c>
      <c r="I986" s="253" t="s">
        <v>1417</v>
      </c>
      <c r="J986" s="253" t="s">
        <v>611</v>
      </c>
      <c r="K986" s="253" t="s">
        <v>48</v>
      </c>
      <c r="L986" s="655"/>
      <c r="M986" s="655" t="s">
        <v>34</v>
      </c>
      <c r="N986" s="253" t="s">
        <v>3600</v>
      </c>
      <c r="O986" s="253" t="s">
        <v>1321</v>
      </c>
      <c r="P986" s="656">
        <v>43828</v>
      </c>
      <c r="Q986" s="657">
        <v>60.917413250000003</v>
      </c>
      <c r="R986" s="657">
        <v>162.10163118987955</v>
      </c>
      <c r="S986" s="253">
        <v>5</v>
      </c>
      <c r="T986" s="658">
        <v>3.2324299480602114E-2</v>
      </c>
      <c r="U986" s="659">
        <v>1.6163459001791662</v>
      </c>
      <c r="V986" s="658">
        <v>3.7136811777873202E-2</v>
      </c>
      <c r="W986" s="659">
        <v>0.28800749052205954</v>
      </c>
      <c r="X986" s="658">
        <v>5.3633877434254629E-2</v>
      </c>
      <c r="Y986" s="659">
        <v>0.27776945307356571</v>
      </c>
      <c r="Z986" s="658">
        <v>68.717144274597061</v>
      </c>
      <c r="AA986" s="659">
        <v>310.27694209122325</v>
      </c>
      <c r="AB986" s="658">
        <v>6.7460672020520751E-2</v>
      </c>
      <c r="AC986" s="660">
        <v>-1.3608980598501672</v>
      </c>
      <c r="AD986" s="682">
        <v>26094770000134</v>
      </c>
      <c r="AE986" s="944" t="s">
        <v>1813</v>
      </c>
      <c r="AF986" s="661" t="s">
        <v>1814</v>
      </c>
      <c r="AG986" s="662" t="s">
        <v>1436</v>
      </c>
      <c r="AH986" s="662" t="s">
        <v>1730</v>
      </c>
      <c r="AI986" s="662">
        <v>10000</v>
      </c>
      <c r="AJ986" s="662">
        <v>1000</v>
      </c>
      <c r="AK986" s="662">
        <v>1000</v>
      </c>
      <c r="AL986" s="658">
        <v>1.2500000000000001E-2</v>
      </c>
      <c r="AM986" s="658">
        <v>0</v>
      </c>
      <c r="AN986" s="659" t="s">
        <v>64</v>
      </c>
      <c r="AO986" s="253" t="s">
        <v>34</v>
      </c>
      <c r="AP986" s="944" t="s">
        <v>1746</v>
      </c>
      <c r="AQ986" s="663" t="s">
        <v>679</v>
      </c>
      <c r="AR986" s="658">
        <v>0</v>
      </c>
      <c r="AS986" s="658">
        <v>0</v>
      </c>
      <c r="AT986" s="658" t="s">
        <v>1417</v>
      </c>
      <c r="AU986" s="658" t="s">
        <v>2751</v>
      </c>
      <c r="AX986"/>
      <c r="AY986"/>
      <c r="BA986"/>
      <c r="BB986"/>
      <c r="BC986"/>
      <c r="BD986"/>
      <c r="BE986"/>
      <c r="BF986"/>
      <c r="BG986"/>
      <c r="BH986"/>
      <c r="BI986"/>
      <c r="BJ986"/>
      <c r="BR986"/>
      <c r="BS986"/>
      <c r="BT986"/>
      <c r="BU986"/>
      <c r="BX986"/>
      <c r="BY986"/>
      <c r="CA986"/>
    </row>
    <row r="987" spans="2:79" ht="18.75">
      <c r="B987" s="252" t="s">
        <v>1635</v>
      </c>
      <c r="C987" s="251">
        <v>32666469000150</v>
      </c>
      <c r="D987" s="252" t="s">
        <v>14</v>
      </c>
      <c r="E987" s="252" t="s">
        <v>607</v>
      </c>
      <c r="F987" s="252" t="s">
        <v>1417</v>
      </c>
      <c r="G987" s="253" t="s">
        <v>1417</v>
      </c>
      <c r="H987" s="253" t="s">
        <v>34</v>
      </c>
      <c r="I987" s="253" t="s">
        <v>34</v>
      </c>
      <c r="J987" s="253" t="s">
        <v>608</v>
      </c>
      <c r="K987" s="253" t="s">
        <v>48</v>
      </c>
      <c r="L987" s="655"/>
      <c r="M987" s="655" t="s">
        <v>34</v>
      </c>
      <c r="N987" s="253" t="s">
        <v>3601</v>
      </c>
      <c r="O987" s="253" t="s">
        <v>1321</v>
      </c>
      <c r="P987" s="656">
        <v>43589</v>
      </c>
      <c r="Q987" s="657">
        <v>15.48732972</v>
      </c>
      <c r="R987" s="657">
        <v>19.242003585708488</v>
      </c>
      <c r="S987" s="253">
        <v>62</v>
      </c>
      <c r="T987" s="658">
        <v>9.7242374194008718E-3</v>
      </c>
      <c r="U987" s="659">
        <v>0.48625125796305901</v>
      </c>
      <c r="V987" s="658">
        <v>-0.12271711485707149</v>
      </c>
      <c r="W987" s="659">
        <v>-0.95170927718546883</v>
      </c>
      <c r="X987" s="658">
        <v>-0.24799168511831315</v>
      </c>
      <c r="Y987" s="659">
        <v>-1.284347096227485</v>
      </c>
      <c r="Z987" s="658">
        <v>-0.19723315262034846</v>
      </c>
      <c r="AA987" s="659">
        <v>-0.89056232065621721</v>
      </c>
      <c r="AB987" s="658">
        <v>0.23889634112812055</v>
      </c>
      <c r="AC987" s="660">
        <v>-1.0534318906495665</v>
      </c>
      <c r="AD987" s="682">
        <v>7317588000150</v>
      </c>
      <c r="AE987" s="944" t="s">
        <v>1813</v>
      </c>
      <c r="AF987" s="661" t="s">
        <v>1814</v>
      </c>
      <c r="AG987" s="662" t="s">
        <v>1436</v>
      </c>
      <c r="AH987" s="662" t="s">
        <v>1730</v>
      </c>
      <c r="AI987" s="662">
        <v>1000</v>
      </c>
      <c r="AJ987" s="662">
        <v>1000</v>
      </c>
      <c r="AK987" s="662">
        <v>1000</v>
      </c>
      <c r="AL987" s="658">
        <v>0</v>
      </c>
      <c r="AM987" s="658">
        <v>0</v>
      </c>
      <c r="AN987" s="659" t="s">
        <v>666</v>
      </c>
      <c r="AO987" s="253" t="s">
        <v>34</v>
      </c>
      <c r="AP987" s="944" t="s">
        <v>1731</v>
      </c>
      <c r="AQ987" s="663" t="s">
        <v>659</v>
      </c>
      <c r="AR987" s="658">
        <v>0</v>
      </c>
      <c r="AS987" s="658">
        <v>0</v>
      </c>
      <c r="AT987" s="658" t="s">
        <v>1417</v>
      </c>
      <c r="AU987" s="658" t="s">
        <v>2751</v>
      </c>
      <c r="AX987"/>
      <c r="AY987"/>
      <c r="BA987"/>
      <c r="BB987"/>
      <c r="BC987"/>
      <c r="BD987"/>
      <c r="BE987"/>
      <c r="BF987"/>
      <c r="BG987"/>
      <c r="BH987"/>
      <c r="BI987"/>
      <c r="BJ987"/>
      <c r="BR987"/>
      <c r="BS987"/>
      <c r="BT987"/>
      <c r="BU987"/>
      <c r="BX987"/>
      <c r="BY987"/>
      <c r="CA987"/>
    </row>
    <row r="988" spans="2:79" ht="18.75">
      <c r="B988" s="252" t="s">
        <v>1636</v>
      </c>
      <c r="C988" s="251">
        <v>13667312000103</v>
      </c>
      <c r="D988" s="252" t="s">
        <v>13</v>
      </c>
      <c r="E988" s="252" t="s">
        <v>615</v>
      </c>
      <c r="F988" s="252" t="s">
        <v>619</v>
      </c>
      <c r="G988" s="253" t="s">
        <v>34</v>
      </c>
      <c r="H988" s="253" t="s">
        <v>1337</v>
      </c>
      <c r="I988" s="253" t="s">
        <v>34</v>
      </c>
      <c r="J988" s="253" t="s">
        <v>611</v>
      </c>
      <c r="K988" s="253" t="s">
        <v>48</v>
      </c>
      <c r="L988" s="655"/>
      <c r="M988" s="655" t="s">
        <v>34</v>
      </c>
      <c r="N988" s="253" t="s">
        <v>3602</v>
      </c>
      <c r="O988" s="253" t="s">
        <v>1321</v>
      </c>
      <c r="P988" s="656">
        <v>40786</v>
      </c>
      <c r="Q988" s="657">
        <v>329.100663</v>
      </c>
      <c r="R988" s="657">
        <v>252.26911964897957</v>
      </c>
      <c r="S988" s="253">
        <v>31</v>
      </c>
      <c r="T988" s="658">
        <v>5.4949622194129244E-3</v>
      </c>
      <c r="U988" s="659">
        <v>0.27477036773271624</v>
      </c>
      <c r="V988" s="658">
        <v>0.13971575402258174</v>
      </c>
      <c r="W988" s="659">
        <v>1.0835389947614287</v>
      </c>
      <c r="X988" s="658">
        <v>0.23866432737279863</v>
      </c>
      <c r="Y988" s="659">
        <v>1.2360407797063837</v>
      </c>
      <c r="Z988" s="658">
        <v>0.36020013456165478</v>
      </c>
      <c r="AA988" s="659">
        <v>1.6264033884474562</v>
      </c>
      <c r="AB988" s="658">
        <v>3.8151903863451353E-2</v>
      </c>
      <c r="AC988" s="660">
        <v>0.28234094461829906</v>
      </c>
      <c r="AD988" s="682">
        <v>12154412000165</v>
      </c>
      <c r="AE988" s="944" t="s">
        <v>1813</v>
      </c>
      <c r="AF988" s="661" t="s">
        <v>1814</v>
      </c>
      <c r="AG988" s="662" t="s">
        <v>1436</v>
      </c>
      <c r="AH988" s="662" t="s">
        <v>1734</v>
      </c>
      <c r="AI988" s="662">
        <v>5000</v>
      </c>
      <c r="AJ988" s="662">
        <v>1000</v>
      </c>
      <c r="AK988" s="662">
        <v>5000</v>
      </c>
      <c r="AL988" s="658">
        <v>1.9574999999999999E-2</v>
      </c>
      <c r="AM988" s="658">
        <v>0</v>
      </c>
      <c r="AN988" s="659" t="s">
        <v>64</v>
      </c>
      <c r="AO988" s="253" t="s">
        <v>34</v>
      </c>
      <c r="AP988" s="944" t="s">
        <v>1746</v>
      </c>
      <c r="AQ988" s="663" t="s">
        <v>664</v>
      </c>
      <c r="AR988" s="658">
        <v>0</v>
      </c>
      <c r="AS988" s="658">
        <v>0</v>
      </c>
      <c r="AT988" s="658" t="s">
        <v>1417</v>
      </c>
      <c r="AU988" s="658" t="s">
        <v>2751</v>
      </c>
      <c r="AX988"/>
      <c r="AY988"/>
      <c r="BA988"/>
      <c r="BB988"/>
      <c r="BC988"/>
      <c r="BD988"/>
      <c r="BE988"/>
      <c r="BF988"/>
      <c r="BG988"/>
      <c r="BH988"/>
      <c r="BI988"/>
      <c r="BJ988"/>
      <c r="BR988"/>
      <c r="BS988"/>
      <c r="BT988"/>
      <c r="BU988"/>
      <c r="BX988"/>
      <c r="BY988"/>
      <c r="CA988"/>
    </row>
    <row r="989" spans="2:79" ht="18.75">
      <c r="B989" s="252" t="s">
        <v>1637</v>
      </c>
      <c r="C989" s="251">
        <v>21940681000148</v>
      </c>
      <c r="D989" s="252" t="s">
        <v>13</v>
      </c>
      <c r="E989" s="252" t="s">
        <v>615</v>
      </c>
      <c r="F989" s="252" t="s">
        <v>619</v>
      </c>
      <c r="G989" s="253" t="s">
        <v>34</v>
      </c>
      <c r="H989" s="253" t="s">
        <v>865</v>
      </c>
      <c r="I989" s="253" t="s">
        <v>34</v>
      </c>
      <c r="J989" s="253" t="s">
        <v>611</v>
      </c>
      <c r="K989" s="253" t="s">
        <v>48</v>
      </c>
      <c r="L989" s="655"/>
      <c r="M989" s="655" t="s">
        <v>34</v>
      </c>
      <c r="N989" s="253" t="s">
        <v>3603</v>
      </c>
      <c r="O989" s="253" t="s">
        <v>1321</v>
      </c>
      <c r="P989" s="656">
        <v>42299</v>
      </c>
      <c r="Q989" s="657">
        <v>709.51737700000001</v>
      </c>
      <c r="R989" s="657">
        <v>774.10044207755175</v>
      </c>
      <c r="S989" s="253">
        <v>31</v>
      </c>
      <c r="T989" s="658">
        <v>-2.298089901209277E-5</v>
      </c>
      <c r="U989" s="659">
        <v>-1.149138032300389E-3</v>
      </c>
      <c r="V989" s="658">
        <v>0.15531875386262706</v>
      </c>
      <c r="W989" s="659">
        <v>1.204545096616005</v>
      </c>
      <c r="X989" s="658">
        <v>0.28344947357714712</v>
      </c>
      <c r="Y989" s="659">
        <v>1.4679827194300346</v>
      </c>
      <c r="Z989" s="658">
        <v>0.48396782088927459</v>
      </c>
      <c r="AA989" s="659">
        <v>2.1852487777433542</v>
      </c>
      <c r="AB989" s="658">
        <v>5.6467551976191299E-2</v>
      </c>
      <c r="AC989" s="660">
        <v>0.4670796500432543</v>
      </c>
      <c r="AD989" s="682">
        <v>15799713000134</v>
      </c>
      <c r="AE989" s="944" t="s">
        <v>1813</v>
      </c>
      <c r="AF989" s="661" t="s">
        <v>1814</v>
      </c>
      <c r="AG989" s="662" t="s">
        <v>1436</v>
      </c>
      <c r="AH989" s="662" t="s">
        <v>1734</v>
      </c>
      <c r="AI989" s="662">
        <v>5000</v>
      </c>
      <c r="AJ989" s="662">
        <v>1000</v>
      </c>
      <c r="AK989" s="662">
        <v>5000</v>
      </c>
      <c r="AL989" s="658">
        <v>1.9599999999999999E-2</v>
      </c>
      <c r="AM989" s="658">
        <v>0</v>
      </c>
      <c r="AN989" s="659" t="s">
        <v>64</v>
      </c>
      <c r="AO989" s="253" t="s">
        <v>34</v>
      </c>
      <c r="AP989" s="944" t="s">
        <v>1746</v>
      </c>
      <c r="AQ989" s="663" t="s">
        <v>668</v>
      </c>
      <c r="AR989" s="658">
        <v>0</v>
      </c>
      <c r="AS989" s="658">
        <v>0</v>
      </c>
      <c r="AT989" s="658" t="s">
        <v>1417</v>
      </c>
      <c r="AU989" s="658" t="s">
        <v>2751</v>
      </c>
      <c r="AX989"/>
      <c r="AY989"/>
      <c r="BA989"/>
      <c r="BB989"/>
      <c r="BC989"/>
      <c r="BD989"/>
      <c r="BE989"/>
      <c r="BF989"/>
      <c r="BG989"/>
      <c r="BH989"/>
      <c r="BI989"/>
      <c r="BJ989"/>
      <c r="BR989"/>
      <c r="BS989"/>
      <c r="BT989"/>
      <c r="BU989"/>
      <c r="BX989"/>
      <c r="BY989"/>
      <c r="CA989"/>
    </row>
    <row r="990" spans="2:79" ht="18.75">
      <c r="B990" s="252" t="s">
        <v>1638</v>
      </c>
      <c r="C990" s="251">
        <v>31006892000161</v>
      </c>
      <c r="D990" s="252" t="s">
        <v>14</v>
      </c>
      <c r="E990" s="252" t="s">
        <v>614</v>
      </c>
      <c r="F990" s="252" t="s">
        <v>1417</v>
      </c>
      <c r="G990" s="253" t="s">
        <v>1417</v>
      </c>
      <c r="H990" s="253" t="s">
        <v>1338</v>
      </c>
      <c r="I990" s="253" t="s">
        <v>34</v>
      </c>
      <c r="J990" s="253" t="s">
        <v>608</v>
      </c>
      <c r="K990" s="253" t="s">
        <v>48</v>
      </c>
      <c r="L990" s="655"/>
      <c r="M990" s="655" t="s">
        <v>34</v>
      </c>
      <c r="N990" s="253" t="s">
        <v>3604</v>
      </c>
      <c r="O990" s="253" t="s">
        <v>1321</v>
      </c>
      <c r="P990" s="656">
        <v>43457</v>
      </c>
      <c r="Q990" s="657">
        <v>17.100738140000001</v>
      </c>
      <c r="R990" s="657">
        <v>28.979073024112889</v>
      </c>
      <c r="S990" s="253">
        <v>32</v>
      </c>
      <c r="T990" s="658">
        <v>2.7526279632634765E-3</v>
      </c>
      <c r="U990" s="659">
        <v>0.13764254739099366</v>
      </c>
      <c r="V990" s="658">
        <v>-7.2194962613055802E-3</v>
      </c>
      <c r="W990" s="659">
        <v>-5.5989432089344787E-2</v>
      </c>
      <c r="X990" s="658">
        <v>-0.10816947161101731</v>
      </c>
      <c r="Y990" s="659">
        <v>-0.56020889046256284</v>
      </c>
      <c r="Z990" s="658">
        <v>6.4128060067575543E-2</v>
      </c>
      <c r="AA990" s="659">
        <v>0.28955595565057834</v>
      </c>
      <c r="AB990" s="658">
        <v>0.2245215228835111</v>
      </c>
      <c r="AC990" s="660">
        <v>-0.60646036940850356</v>
      </c>
      <c r="AD990" s="682">
        <v>32072964000131</v>
      </c>
      <c r="AE990" s="944" t="s">
        <v>1813</v>
      </c>
      <c r="AF990" s="661" t="s">
        <v>1814</v>
      </c>
      <c r="AG990" s="662" t="s">
        <v>1436</v>
      </c>
      <c r="AH990" s="662" t="s">
        <v>1734</v>
      </c>
      <c r="AI990" s="662">
        <v>20000</v>
      </c>
      <c r="AJ990" s="662">
        <v>1000</v>
      </c>
      <c r="AK990" s="662">
        <v>20000</v>
      </c>
      <c r="AL990" s="658">
        <v>2.5000000000000001E-2</v>
      </c>
      <c r="AM990" s="658">
        <v>0</v>
      </c>
      <c r="AN990" s="659" t="s">
        <v>64</v>
      </c>
      <c r="AO990" s="253" t="s">
        <v>34</v>
      </c>
      <c r="AP990" s="944" t="s">
        <v>1746</v>
      </c>
      <c r="AQ990" s="663" t="s">
        <v>671</v>
      </c>
      <c r="AR990" s="658">
        <v>0</v>
      </c>
      <c r="AS990" s="658">
        <v>0</v>
      </c>
      <c r="AT990" s="658" t="s">
        <v>1417</v>
      </c>
      <c r="AU990" s="658" t="s">
        <v>2751</v>
      </c>
      <c r="AX990"/>
      <c r="AY990"/>
      <c r="BA990"/>
      <c r="BB990"/>
      <c r="BC990"/>
      <c r="BD990"/>
      <c r="BE990"/>
      <c r="BF990"/>
      <c r="BG990"/>
      <c r="BH990"/>
      <c r="BI990"/>
      <c r="BJ990"/>
      <c r="BR990"/>
      <c r="BS990"/>
      <c r="BT990"/>
      <c r="BU990"/>
      <c r="BX990"/>
      <c r="BY990"/>
      <c r="CA990"/>
    </row>
    <row r="991" spans="2:79" ht="18.75">
      <c r="B991" s="252" t="s">
        <v>1639</v>
      </c>
      <c r="C991" s="251">
        <v>31006866000133</v>
      </c>
      <c r="D991" s="252" t="s">
        <v>13</v>
      </c>
      <c r="E991" s="252" t="s">
        <v>615</v>
      </c>
      <c r="F991" s="252" t="s">
        <v>619</v>
      </c>
      <c r="G991" s="253" t="s">
        <v>34</v>
      </c>
      <c r="H991" s="253" t="s">
        <v>1337</v>
      </c>
      <c r="I991" s="253" t="s">
        <v>34</v>
      </c>
      <c r="J991" s="253" t="s">
        <v>611</v>
      </c>
      <c r="K991" s="253" t="s">
        <v>48</v>
      </c>
      <c r="L991" s="655"/>
      <c r="M991" s="655" t="s">
        <v>34</v>
      </c>
      <c r="N991" s="253" t="s">
        <v>3605</v>
      </c>
      <c r="O991" s="253" t="s">
        <v>1321</v>
      </c>
      <c r="P991" s="656">
        <v>43442</v>
      </c>
      <c r="Q991" s="657">
        <v>244.28962734000001</v>
      </c>
      <c r="R991" s="657">
        <v>287.60110074301213</v>
      </c>
      <c r="S991" s="253">
        <v>31</v>
      </c>
      <c r="T991" s="658">
        <v>5.5361946496896852E-3</v>
      </c>
      <c r="U991" s="659">
        <v>0.27683215625414298</v>
      </c>
      <c r="V991" s="658">
        <v>0.15690768210607309</v>
      </c>
      <c r="W991" s="659">
        <v>1.2168677278303295</v>
      </c>
      <c r="X991" s="658">
        <v>0.19522854813774115</v>
      </c>
      <c r="Y991" s="659">
        <v>1.0110872014994805</v>
      </c>
      <c r="Z991" s="658">
        <v>0.2699647315249476</v>
      </c>
      <c r="AA991" s="659">
        <v>1.2189655471611922</v>
      </c>
      <c r="AB991" s="658">
        <v>2.7049072373839952E-2</v>
      </c>
      <c r="AC991" s="660">
        <v>1.0338163273328893</v>
      </c>
      <c r="AD991" s="682">
        <v>32064861000120</v>
      </c>
      <c r="AE991" s="944" t="s">
        <v>1813</v>
      </c>
      <c r="AF991" s="661" t="s">
        <v>1814</v>
      </c>
      <c r="AG991" s="662" t="s">
        <v>1436</v>
      </c>
      <c r="AH991" s="662" t="s">
        <v>1734</v>
      </c>
      <c r="AI991" s="662">
        <v>20000</v>
      </c>
      <c r="AJ991" s="662">
        <v>1000</v>
      </c>
      <c r="AK991" s="662">
        <v>20000</v>
      </c>
      <c r="AL991" s="658">
        <v>2.5000000000000001E-2</v>
      </c>
      <c r="AM991" s="658">
        <v>0</v>
      </c>
      <c r="AN991" s="659" t="s">
        <v>64</v>
      </c>
      <c r="AO991" s="253" t="s">
        <v>34</v>
      </c>
      <c r="AP991" s="944" t="s">
        <v>1746</v>
      </c>
      <c r="AQ991" s="663" t="s">
        <v>668</v>
      </c>
      <c r="AR991" s="658">
        <v>0</v>
      </c>
      <c r="AS991" s="658">
        <v>0</v>
      </c>
      <c r="AT991" s="658" t="s">
        <v>1417</v>
      </c>
      <c r="AU991" s="658" t="s">
        <v>2751</v>
      </c>
      <c r="AX991"/>
      <c r="AY991"/>
      <c r="BA991"/>
      <c r="BB991"/>
      <c r="BC991"/>
      <c r="BD991"/>
      <c r="BE991"/>
      <c r="BF991"/>
      <c r="BG991"/>
      <c r="BH991"/>
      <c r="BI991"/>
      <c r="BJ991"/>
      <c r="BR991"/>
      <c r="BS991"/>
      <c r="BT991"/>
      <c r="BU991"/>
      <c r="BX991"/>
      <c r="BY991"/>
      <c r="CA991"/>
    </row>
    <row r="992" spans="2:79" ht="18.75">
      <c r="B992" s="252" t="s">
        <v>1299</v>
      </c>
      <c r="C992" s="251">
        <v>35535700000165</v>
      </c>
      <c r="D992" s="252" t="s">
        <v>14</v>
      </c>
      <c r="E992" s="252" t="s">
        <v>607</v>
      </c>
      <c r="F992" s="252" t="s">
        <v>1417</v>
      </c>
      <c r="G992" s="253" t="s">
        <v>1417</v>
      </c>
      <c r="H992" s="253" t="s">
        <v>34</v>
      </c>
      <c r="I992" s="253" t="s">
        <v>34</v>
      </c>
      <c r="J992" s="253" t="s">
        <v>611</v>
      </c>
      <c r="K992" s="253" t="s">
        <v>48</v>
      </c>
      <c r="L992" s="655"/>
      <c r="M992" s="655" t="s">
        <v>1414</v>
      </c>
      <c r="N992" s="253" t="s">
        <v>3606</v>
      </c>
      <c r="O992" s="253" t="s">
        <v>1321</v>
      </c>
      <c r="P992" s="656">
        <v>43946</v>
      </c>
      <c r="Q992" s="657">
        <v>491.66124309000003</v>
      </c>
      <c r="R992" s="657">
        <v>980.27621403987928</v>
      </c>
      <c r="S992" s="253">
        <v>10</v>
      </c>
      <c r="T992" s="658">
        <v>6.7182678292069031E-2</v>
      </c>
      <c r="U992" s="659">
        <v>3.3594060309213201</v>
      </c>
      <c r="V992" s="658">
        <v>-0.10473504836130265</v>
      </c>
      <c r="W992" s="659">
        <v>-0.81225277572744881</v>
      </c>
      <c r="X992" s="658">
        <v>-7.3592024851613647E-2</v>
      </c>
      <c r="Y992" s="659">
        <v>-0.38113255038602567</v>
      </c>
      <c r="Z992" s="658"/>
      <c r="AA992" s="659"/>
      <c r="AB992" s="658">
        <v>0.25593959327450477</v>
      </c>
      <c r="AC992" s="660">
        <v>-0.91302386949353942</v>
      </c>
      <c r="AD992" s="682">
        <v>0</v>
      </c>
      <c r="AE992" s="944" t="s">
        <v>1813</v>
      </c>
      <c r="AF992" s="661" t="s">
        <v>1814</v>
      </c>
      <c r="AG992" s="662" t="s">
        <v>1436</v>
      </c>
      <c r="AH992" s="662" t="s">
        <v>1730</v>
      </c>
      <c r="AI992" s="662">
        <v>0</v>
      </c>
      <c r="AJ992" s="662">
        <v>0</v>
      </c>
      <c r="AK992" s="662">
        <v>0</v>
      </c>
      <c r="AL992" s="658">
        <v>7.4999999999999997E-3</v>
      </c>
      <c r="AM992" s="658">
        <v>0</v>
      </c>
      <c r="AN992" s="659" t="s">
        <v>64</v>
      </c>
      <c r="AO992" s="253" t="s">
        <v>34</v>
      </c>
      <c r="AP992" s="944" t="s">
        <v>1746</v>
      </c>
      <c r="AQ992" s="663" t="s">
        <v>679</v>
      </c>
      <c r="AR992" s="658">
        <v>3.5000000000000001E-3</v>
      </c>
      <c r="AS992" s="658">
        <v>3.5000000000000001E-3</v>
      </c>
      <c r="AT992" s="658" t="s">
        <v>1417</v>
      </c>
      <c r="AU992" s="658" t="s">
        <v>2751</v>
      </c>
      <c r="AX992"/>
      <c r="AY992"/>
      <c r="BA992"/>
      <c r="BB992"/>
      <c r="BC992"/>
      <c r="BD992"/>
      <c r="BE992"/>
      <c r="BF992"/>
      <c r="BG992"/>
      <c r="BH992"/>
      <c r="BI992"/>
      <c r="BJ992"/>
      <c r="BR992"/>
      <c r="BS992"/>
      <c r="BT992"/>
      <c r="BU992"/>
      <c r="BX992"/>
      <c r="BY992"/>
      <c r="CA992"/>
    </row>
    <row r="993" spans="2:79" ht="18.75">
      <c r="B993" s="252" t="s">
        <v>1300</v>
      </c>
      <c r="C993" s="251">
        <v>36400318000107</v>
      </c>
      <c r="D993" s="252" t="s">
        <v>14</v>
      </c>
      <c r="E993" s="252" t="s">
        <v>607</v>
      </c>
      <c r="F993" s="252" t="s">
        <v>1417</v>
      </c>
      <c r="G993" s="253" t="s">
        <v>1417</v>
      </c>
      <c r="H993" s="253" t="s">
        <v>34</v>
      </c>
      <c r="I993" s="253" t="s">
        <v>34</v>
      </c>
      <c r="J993" s="253" t="s">
        <v>611</v>
      </c>
      <c r="K993" s="253" t="s">
        <v>49</v>
      </c>
      <c r="L993" s="655"/>
      <c r="M993" s="655" t="s">
        <v>1414</v>
      </c>
      <c r="N993" s="253" t="s">
        <v>3607</v>
      </c>
      <c r="O993" s="253" t="s">
        <v>1321</v>
      </c>
      <c r="P993" s="656">
        <v>44195</v>
      </c>
      <c r="Q993" s="657">
        <v>0</v>
      </c>
      <c r="R993" s="657">
        <v>0</v>
      </c>
      <c r="S993" s="253">
        <v>10</v>
      </c>
      <c r="T993" s="658"/>
      <c r="U993" s="659"/>
      <c r="V993" s="658"/>
      <c r="W993" s="659"/>
      <c r="X993" s="658"/>
      <c r="Y993" s="659"/>
      <c r="Z993" s="658"/>
      <c r="AA993" s="659"/>
      <c r="AB993" s="658"/>
      <c r="AC993" s="660"/>
      <c r="AD993" s="682">
        <v>0</v>
      </c>
      <c r="AE993" s="944" t="s">
        <v>1813</v>
      </c>
      <c r="AF993" s="661" t="s">
        <v>1814</v>
      </c>
      <c r="AG993" s="662" t="s">
        <v>1436</v>
      </c>
      <c r="AH993" s="662" t="s">
        <v>1730</v>
      </c>
      <c r="AI993" s="662">
        <v>0</v>
      </c>
      <c r="AJ993" s="662">
        <v>0</v>
      </c>
      <c r="AK993" s="662">
        <v>0</v>
      </c>
      <c r="AL993" s="658">
        <v>7.4999999999999997E-3</v>
      </c>
      <c r="AM993" s="658">
        <v>0</v>
      </c>
      <c r="AN993" s="659" t="s">
        <v>64</v>
      </c>
      <c r="AO993" s="253" t="s">
        <v>34</v>
      </c>
      <c r="AP993" s="944" t="s">
        <v>1746</v>
      </c>
      <c r="AQ993" s="663" t="s">
        <v>679</v>
      </c>
      <c r="AR993" s="658">
        <v>3.5000000000000001E-3</v>
      </c>
      <c r="AS993" s="658">
        <v>3.5000000000000001E-3</v>
      </c>
      <c r="AT993" s="658" t="s">
        <v>1417</v>
      </c>
      <c r="AU993" s="658" t="s">
        <v>2751</v>
      </c>
      <c r="AX993"/>
      <c r="AY993"/>
      <c r="BA993"/>
      <c r="BB993"/>
      <c r="BC993"/>
      <c r="BD993"/>
      <c r="BE993"/>
      <c r="BF993"/>
      <c r="BG993"/>
      <c r="BH993"/>
      <c r="BI993"/>
      <c r="BJ993"/>
      <c r="BR993"/>
      <c r="BS993"/>
      <c r="BT993"/>
      <c r="BU993"/>
      <c r="BX993"/>
      <c r="BY993"/>
      <c r="CA993"/>
    </row>
    <row r="994" spans="2:79" ht="18.75">
      <c r="B994" s="252" t="s">
        <v>1640</v>
      </c>
      <c r="C994" s="251">
        <v>27146944000128</v>
      </c>
      <c r="D994" s="252" t="s">
        <v>13</v>
      </c>
      <c r="E994" s="252" t="s">
        <v>615</v>
      </c>
      <c r="F994" s="252" t="s">
        <v>619</v>
      </c>
      <c r="G994" s="253" t="s">
        <v>34</v>
      </c>
      <c r="H994" s="253" t="s">
        <v>1337</v>
      </c>
      <c r="I994" s="253" t="s">
        <v>34</v>
      </c>
      <c r="J994" s="253" t="s">
        <v>611</v>
      </c>
      <c r="K994" s="253" t="s">
        <v>48</v>
      </c>
      <c r="L994" s="655"/>
      <c r="M994" s="655" t="s">
        <v>34</v>
      </c>
      <c r="N994" s="253" t="s">
        <v>3608</v>
      </c>
      <c r="O994" s="253" t="s">
        <v>1321</v>
      </c>
      <c r="P994" s="656">
        <v>42824</v>
      </c>
      <c r="Q994" s="657">
        <v>352.053946</v>
      </c>
      <c r="R994" s="657">
        <v>305.89507534426218</v>
      </c>
      <c r="S994" s="253">
        <v>31</v>
      </c>
      <c r="T994" s="658">
        <v>1.4982880895813011E-2</v>
      </c>
      <c r="U994" s="659">
        <v>0.74920473136171439</v>
      </c>
      <c r="V994" s="658">
        <v>0.15240610120821296</v>
      </c>
      <c r="W994" s="659">
        <v>1.1819565721412133</v>
      </c>
      <c r="X994" s="658">
        <v>0.27882291071220244</v>
      </c>
      <c r="Y994" s="659">
        <v>1.4440217846984094</v>
      </c>
      <c r="Z994" s="658">
        <v>0.31343658706601274</v>
      </c>
      <c r="AA994" s="659">
        <v>1.4152530172925633</v>
      </c>
      <c r="AB994" s="658">
        <v>3.0957165027039858E-2</v>
      </c>
      <c r="AC994" s="660">
        <v>0.7578921306563865</v>
      </c>
      <c r="AD994" s="682">
        <v>13396543000111</v>
      </c>
      <c r="AE994" s="944" t="s">
        <v>1813</v>
      </c>
      <c r="AF994" s="661" t="s">
        <v>1814</v>
      </c>
      <c r="AG994" s="662" t="s">
        <v>1436</v>
      </c>
      <c r="AH994" s="662" t="s">
        <v>1734</v>
      </c>
      <c r="AI994" s="662">
        <v>1000</v>
      </c>
      <c r="AJ994" s="662">
        <v>100</v>
      </c>
      <c r="AK994" s="662">
        <v>1000</v>
      </c>
      <c r="AL994" s="658">
        <v>2.2000000000000002E-2</v>
      </c>
      <c r="AM994" s="658">
        <v>0</v>
      </c>
      <c r="AN994" s="659" t="s">
        <v>64</v>
      </c>
      <c r="AO994" s="253" t="s">
        <v>34</v>
      </c>
      <c r="AP994" s="944" t="s">
        <v>1746</v>
      </c>
      <c r="AQ994" s="663" t="s">
        <v>668</v>
      </c>
      <c r="AR994" s="658">
        <v>0</v>
      </c>
      <c r="AS994" s="658">
        <v>0</v>
      </c>
      <c r="AT994" s="658" t="s">
        <v>1417</v>
      </c>
      <c r="AU994" s="658" t="s">
        <v>2751</v>
      </c>
      <c r="AX994"/>
      <c r="AY994"/>
      <c r="BA994"/>
      <c r="BB994"/>
      <c r="BC994"/>
      <c r="BD994"/>
      <c r="BE994"/>
      <c r="BF994"/>
      <c r="BG994"/>
      <c r="BH994"/>
      <c r="BI994"/>
      <c r="BJ994"/>
      <c r="BR994"/>
      <c r="BS994"/>
      <c r="BT994"/>
      <c r="BU994"/>
      <c r="BX994"/>
      <c r="BY994"/>
      <c r="CA994"/>
    </row>
    <row r="995" spans="2:79" ht="18.75">
      <c r="B995" s="252" t="s">
        <v>1641</v>
      </c>
      <c r="C995" s="251">
        <v>33840487000170</v>
      </c>
      <c r="D995" s="252" t="s">
        <v>14</v>
      </c>
      <c r="E995" s="252" t="s">
        <v>607</v>
      </c>
      <c r="F995" s="252" t="s">
        <v>1417</v>
      </c>
      <c r="G995" s="253" t="s">
        <v>1417</v>
      </c>
      <c r="H995" s="253" t="s">
        <v>34</v>
      </c>
      <c r="I995" s="253" t="s">
        <v>34</v>
      </c>
      <c r="J995" s="253" t="s">
        <v>608</v>
      </c>
      <c r="K995" s="253" t="s">
        <v>48</v>
      </c>
      <c r="L995" s="655"/>
      <c r="M995" s="655" t="s">
        <v>34</v>
      </c>
      <c r="N995" s="253" t="s">
        <v>3609</v>
      </c>
      <c r="O995" s="253" t="s">
        <v>1321</v>
      </c>
      <c r="P995" s="656">
        <v>43674</v>
      </c>
      <c r="Q995" s="657">
        <v>8.2314640299999997</v>
      </c>
      <c r="R995" s="657">
        <v>13.348939509598393</v>
      </c>
      <c r="S995" s="253">
        <v>32</v>
      </c>
      <c r="T995" s="658">
        <v>-7.9627299901288584E-2</v>
      </c>
      <c r="U995" s="659">
        <v>-3.9816875170031465</v>
      </c>
      <c r="V995" s="658">
        <v>-0.19185193004053314</v>
      </c>
      <c r="W995" s="659">
        <v>-1.48787120588821</v>
      </c>
      <c r="X995" s="658">
        <v>-0.19938036930402847</v>
      </c>
      <c r="Y995" s="659">
        <v>-1.0325894524980692</v>
      </c>
      <c r="Z995" s="658">
        <v>-0.13963840663081906</v>
      </c>
      <c r="AA995" s="659">
        <v>-0.63050608789512852</v>
      </c>
      <c r="AB995" s="658">
        <v>0.23072237730784531</v>
      </c>
      <c r="AC995" s="660">
        <v>-1.39039759918603</v>
      </c>
      <c r="AD995" s="682">
        <v>28747685000153</v>
      </c>
      <c r="AE995" s="944" t="s">
        <v>1813</v>
      </c>
      <c r="AF995" s="661" t="s">
        <v>1814</v>
      </c>
      <c r="AG995" s="662" t="s">
        <v>1436</v>
      </c>
      <c r="AH995" s="662" t="s">
        <v>1730</v>
      </c>
      <c r="AI995" s="662">
        <v>1000</v>
      </c>
      <c r="AJ995" s="662">
        <v>100</v>
      </c>
      <c r="AK995" s="662">
        <v>1000</v>
      </c>
      <c r="AL995" s="658">
        <v>0</v>
      </c>
      <c r="AM995" s="658">
        <v>0</v>
      </c>
      <c r="AN995" s="659" t="s">
        <v>666</v>
      </c>
      <c r="AO995" s="253" t="s">
        <v>34</v>
      </c>
      <c r="AP995" s="944" t="s">
        <v>1731</v>
      </c>
      <c r="AQ995" s="663" t="s">
        <v>659</v>
      </c>
      <c r="AR995" s="658">
        <v>0</v>
      </c>
      <c r="AS995" s="658">
        <v>0</v>
      </c>
      <c r="AT995" s="658" t="s">
        <v>1417</v>
      </c>
      <c r="AU995" s="658" t="s">
        <v>2751</v>
      </c>
      <c r="AX995"/>
      <c r="AY995"/>
      <c r="BA995"/>
      <c r="BB995"/>
      <c r="BC995"/>
      <c r="BD995"/>
      <c r="BE995"/>
      <c r="BF995"/>
      <c r="BG995"/>
      <c r="BH995"/>
      <c r="BI995"/>
      <c r="BJ995"/>
      <c r="BR995"/>
      <c r="BS995"/>
      <c r="BT995"/>
      <c r="BU995"/>
      <c r="BX995"/>
      <c r="BY995"/>
      <c r="CA995"/>
    </row>
    <row r="996" spans="2:79" ht="18.75">
      <c r="B996" s="252" t="s">
        <v>1642</v>
      </c>
      <c r="C996" s="251">
        <v>27782855000178</v>
      </c>
      <c r="D996" s="252" t="s">
        <v>13</v>
      </c>
      <c r="E996" s="252" t="s">
        <v>615</v>
      </c>
      <c r="F996" s="252" t="s">
        <v>619</v>
      </c>
      <c r="G996" s="253" t="s">
        <v>34</v>
      </c>
      <c r="H996" s="253" t="s">
        <v>1338</v>
      </c>
      <c r="I996" s="253" t="s">
        <v>34</v>
      </c>
      <c r="J996" s="253" t="s">
        <v>611</v>
      </c>
      <c r="K996" s="253" t="s">
        <v>48</v>
      </c>
      <c r="L996" s="655"/>
      <c r="M996" s="655" t="s">
        <v>34</v>
      </c>
      <c r="N996" s="253" t="s">
        <v>3610</v>
      </c>
      <c r="O996" s="253" t="s">
        <v>1321</v>
      </c>
      <c r="P996" s="656">
        <v>42915</v>
      </c>
      <c r="Q996" s="657">
        <v>489.33636000000001</v>
      </c>
      <c r="R996" s="657">
        <v>479.12983337096779</v>
      </c>
      <c r="S996" s="253">
        <v>61</v>
      </c>
      <c r="T996" s="658">
        <v>1.3294971240917164E-2</v>
      </c>
      <c r="U996" s="659">
        <v>0.66480241191776301</v>
      </c>
      <c r="V996" s="658">
        <v>0.17916486360819195</v>
      </c>
      <c r="W996" s="659">
        <v>1.3894790717674681</v>
      </c>
      <c r="X996" s="658">
        <v>0.35373172236789086</v>
      </c>
      <c r="Y996" s="659">
        <v>1.8319739641673911</v>
      </c>
      <c r="Z996" s="658">
        <v>0.38845150456623889</v>
      </c>
      <c r="AA996" s="659">
        <v>1.7539661500762238</v>
      </c>
      <c r="AB996" s="658">
        <v>5.3213434002448635E-2</v>
      </c>
      <c r="AC996" s="660">
        <v>0.94376457943106362</v>
      </c>
      <c r="AD996" s="682">
        <v>0</v>
      </c>
      <c r="AE996" s="944" t="s">
        <v>1813</v>
      </c>
      <c r="AF996" s="661" t="s">
        <v>1814</v>
      </c>
      <c r="AG996" s="662" t="s">
        <v>1436</v>
      </c>
      <c r="AH996" s="662" t="s">
        <v>1730</v>
      </c>
      <c r="AI996" s="662">
        <v>100000</v>
      </c>
      <c r="AJ996" s="662">
        <v>50000</v>
      </c>
      <c r="AK996" s="662">
        <v>100000</v>
      </c>
      <c r="AL996" s="658">
        <v>2.2000000000000002E-2</v>
      </c>
      <c r="AM996" s="658">
        <v>0</v>
      </c>
      <c r="AN996" s="659" t="s">
        <v>64</v>
      </c>
      <c r="AO996" s="253" t="s">
        <v>34</v>
      </c>
      <c r="AP996" s="944" t="s">
        <v>1746</v>
      </c>
      <c r="AQ996" s="663" t="s">
        <v>668</v>
      </c>
      <c r="AR996" s="658">
        <v>0</v>
      </c>
      <c r="AS996" s="658">
        <v>0</v>
      </c>
      <c r="AT996" s="658" t="s">
        <v>1417</v>
      </c>
      <c r="AU996" s="658" t="s">
        <v>2751</v>
      </c>
      <c r="AX996"/>
      <c r="AY996"/>
      <c r="BA996"/>
      <c r="BB996"/>
      <c r="BC996"/>
      <c r="BD996"/>
      <c r="BE996"/>
      <c r="BF996"/>
      <c r="BG996"/>
      <c r="BH996"/>
      <c r="BI996"/>
      <c r="BJ996"/>
      <c r="BR996"/>
      <c r="BS996"/>
      <c r="BT996"/>
      <c r="BU996"/>
      <c r="BX996"/>
      <c r="BY996"/>
      <c r="CA996"/>
    </row>
    <row r="997" spans="2:79" ht="18.75">
      <c r="B997" s="252" t="s">
        <v>1643</v>
      </c>
      <c r="C997" s="251">
        <v>32668773000137</v>
      </c>
      <c r="D997" s="252" t="s">
        <v>13</v>
      </c>
      <c r="E997" s="252" t="s">
        <v>615</v>
      </c>
      <c r="F997" s="252" t="s">
        <v>619</v>
      </c>
      <c r="G997" s="253" t="s">
        <v>34</v>
      </c>
      <c r="H997" s="253" t="s">
        <v>1337</v>
      </c>
      <c r="I997" s="253" t="s">
        <v>34</v>
      </c>
      <c r="J997" s="253" t="s">
        <v>611</v>
      </c>
      <c r="K997" s="253" t="s">
        <v>48</v>
      </c>
      <c r="L997" s="655"/>
      <c r="M997" s="655" t="s">
        <v>34</v>
      </c>
      <c r="N997" s="253" t="s">
        <v>3611</v>
      </c>
      <c r="O997" s="253" t="s">
        <v>1321</v>
      </c>
      <c r="P997" s="656">
        <v>43817</v>
      </c>
      <c r="Q997" s="657">
        <v>0</v>
      </c>
      <c r="R997" s="657">
        <v>13.10798808300699</v>
      </c>
      <c r="S997" s="253">
        <v>30</v>
      </c>
      <c r="T997" s="658"/>
      <c r="U997" s="659"/>
      <c r="V997" s="658">
        <v>7.3888683373573683E-2</v>
      </c>
      <c r="W997" s="659">
        <v>0.57302965057116972</v>
      </c>
      <c r="X997" s="658">
        <v>0.13859270934941748</v>
      </c>
      <c r="Y997" s="659">
        <v>0.71777061285866273</v>
      </c>
      <c r="Z997" s="658">
        <v>0.17704849981809745</v>
      </c>
      <c r="AA997" s="659">
        <v>0.79942302179902236</v>
      </c>
      <c r="AB997" s="658">
        <v>1.6490482282694518E-2</v>
      </c>
      <c r="AC997" s="660">
        <v>-3.3386061807901677</v>
      </c>
      <c r="AD997" s="682">
        <v>21624757000126</v>
      </c>
      <c r="AE997" s="944" t="s">
        <v>1813</v>
      </c>
      <c r="AF997" s="661" t="s">
        <v>1814</v>
      </c>
      <c r="AG997" s="662" t="s">
        <v>1436</v>
      </c>
      <c r="AH997" s="662" t="s">
        <v>1734</v>
      </c>
      <c r="AI997" s="662">
        <v>1000</v>
      </c>
      <c r="AJ997" s="662">
        <v>1000</v>
      </c>
      <c r="AK997" s="662">
        <v>1000</v>
      </c>
      <c r="AL997" s="658">
        <v>2.0499999999999997E-2</v>
      </c>
      <c r="AM997" s="658">
        <v>0</v>
      </c>
      <c r="AN997" s="659" t="s">
        <v>64</v>
      </c>
      <c r="AO997" s="253" t="s">
        <v>34</v>
      </c>
      <c r="AP997" s="944" t="s">
        <v>1746</v>
      </c>
      <c r="AQ997" s="663" t="s">
        <v>664</v>
      </c>
      <c r="AR997" s="658">
        <v>0</v>
      </c>
      <c r="AS997" s="658">
        <v>0</v>
      </c>
      <c r="AT997" s="658" t="s">
        <v>1417</v>
      </c>
      <c r="AU997" s="658" t="s">
        <v>2751</v>
      </c>
      <c r="AX997"/>
      <c r="AY997"/>
      <c r="BA997"/>
      <c r="BB997"/>
      <c r="BC997"/>
      <c r="BD997"/>
      <c r="BE997"/>
      <c r="BF997"/>
      <c r="BG997"/>
      <c r="BH997"/>
      <c r="BI997"/>
      <c r="BJ997"/>
      <c r="BR997"/>
      <c r="BS997"/>
      <c r="BT997"/>
      <c r="BU997"/>
      <c r="BX997"/>
      <c r="BY997"/>
      <c r="CA997"/>
    </row>
    <row r="998" spans="2:79" ht="18.75">
      <c r="B998" s="252" t="s">
        <v>1644</v>
      </c>
      <c r="C998" s="251">
        <v>34674588000180</v>
      </c>
      <c r="D998" s="252" t="s">
        <v>14</v>
      </c>
      <c r="E998" s="252" t="s">
        <v>1417</v>
      </c>
      <c r="F998" s="252" t="s">
        <v>1417</v>
      </c>
      <c r="G998" s="253" t="s">
        <v>1417</v>
      </c>
      <c r="H998" s="253" t="s">
        <v>34</v>
      </c>
      <c r="I998" s="253" t="s">
        <v>1417</v>
      </c>
      <c r="J998" s="253" t="s">
        <v>1417</v>
      </c>
      <c r="K998" s="253" t="s">
        <v>1417</v>
      </c>
      <c r="L998" s="655"/>
      <c r="M998" s="655" t="s">
        <v>34</v>
      </c>
      <c r="N998" s="253" t="s">
        <v>3612</v>
      </c>
      <c r="O998" s="253" t="s">
        <v>1321</v>
      </c>
      <c r="P998" s="656">
        <v>43772</v>
      </c>
      <c r="Q998" s="657">
        <v>26.14422454</v>
      </c>
      <c r="R998" s="657">
        <v>38.715754008875521</v>
      </c>
      <c r="S998" s="253">
        <v>32</v>
      </c>
      <c r="T998" s="658">
        <v>-2.9340890713147494E-2</v>
      </c>
      <c r="U998" s="659">
        <v>-1.4671633778254278</v>
      </c>
      <c r="V998" s="658">
        <v>-8.1221336609650696E-2</v>
      </c>
      <c r="W998" s="659">
        <v>-0.62989665008697859</v>
      </c>
      <c r="X998" s="658">
        <v>-0.19919979445941305</v>
      </c>
      <c r="Y998" s="659">
        <v>-1.031654256718328</v>
      </c>
      <c r="Z998" s="658">
        <v>-0.16658707838715325</v>
      </c>
      <c r="AA998" s="659">
        <v>-0.75218680606587096</v>
      </c>
      <c r="AB998" s="658">
        <v>0.2191681363968517</v>
      </c>
      <c r="AC998" s="660">
        <v>-0.95892244881750988</v>
      </c>
      <c r="AD998" s="682">
        <v>25213366000170</v>
      </c>
      <c r="AE998" s="944" t="s">
        <v>1813</v>
      </c>
      <c r="AF998" s="661" t="s">
        <v>1814</v>
      </c>
      <c r="AG998" s="662" t="s">
        <v>1436</v>
      </c>
      <c r="AH998" s="662" t="s">
        <v>1730</v>
      </c>
      <c r="AI998" s="662">
        <v>5000</v>
      </c>
      <c r="AJ998" s="662">
        <v>5000</v>
      </c>
      <c r="AK998" s="662">
        <v>0</v>
      </c>
      <c r="AL998" s="658">
        <v>0</v>
      </c>
      <c r="AM998" s="658">
        <v>0</v>
      </c>
      <c r="AN998" s="659" t="s">
        <v>666</v>
      </c>
      <c r="AO998" s="253" t="s">
        <v>34</v>
      </c>
      <c r="AP998" s="944" t="s">
        <v>1731</v>
      </c>
      <c r="AQ998" s="663" t="s">
        <v>659</v>
      </c>
      <c r="AR998" s="658">
        <v>0</v>
      </c>
      <c r="AS998" s="658">
        <v>0</v>
      </c>
      <c r="AT998" s="658" t="s">
        <v>1417</v>
      </c>
      <c r="AU998" s="658" t="s">
        <v>2751</v>
      </c>
      <c r="AX998"/>
      <c r="AY998"/>
      <c r="BA998"/>
      <c r="BB998"/>
      <c r="BC998"/>
      <c r="BD998"/>
      <c r="BE998"/>
      <c r="BF998"/>
      <c r="BG998"/>
      <c r="BH998"/>
      <c r="BI998"/>
      <c r="BJ998"/>
      <c r="BR998"/>
      <c r="BS998"/>
      <c r="BT998"/>
      <c r="BU998"/>
      <c r="BX998"/>
      <c r="BY998"/>
      <c r="CA998"/>
    </row>
    <row r="999" spans="2:79" ht="18.75">
      <c r="B999" s="252" t="s">
        <v>1645</v>
      </c>
      <c r="C999" s="251">
        <v>30658551000108</v>
      </c>
      <c r="D999" s="252" t="s">
        <v>13</v>
      </c>
      <c r="E999" s="252" t="s">
        <v>615</v>
      </c>
      <c r="F999" s="252" t="s">
        <v>619</v>
      </c>
      <c r="G999" s="253" t="s">
        <v>34</v>
      </c>
      <c r="H999" s="253" t="s">
        <v>865</v>
      </c>
      <c r="I999" s="253" t="s">
        <v>34</v>
      </c>
      <c r="J999" s="253" t="s">
        <v>611</v>
      </c>
      <c r="K999" s="253" t="s">
        <v>48</v>
      </c>
      <c r="L999" s="655"/>
      <c r="M999" s="655" t="s">
        <v>34</v>
      </c>
      <c r="N999" s="253" t="s">
        <v>3613</v>
      </c>
      <c r="O999" s="253" t="s">
        <v>1321</v>
      </c>
      <c r="P999" s="656">
        <v>43429</v>
      </c>
      <c r="Q999" s="657">
        <v>75.51703775</v>
      </c>
      <c r="R999" s="657">
        <v>80.902242385362911</v>
      </c>
      <c r="S999" s="253">
        <v>31</v>
      </c>
      <c r="T999" s="658">
        <v>7.8659251928583362E-3</v>
      </c>
      <c r="U999" s="659">
        <v>0.39332811973921733</v>
      </c>
      <c r="V999" s="658">
        <v>0.17727864092161849</v>
      </c>
      <c r="W999" s="659">
        <v>1.3748508299632141</v>
      </c>
      <c r="X999" s="658">
        <v>0.28322583040260074</v>
      </c>
      <c r="Y999" s="659">
        <v>1.4668244730893045</v>
      </c>
      <c r="Z999" s="658">
        <v>0.44166110435901018</v>
      </c>
      <c r="AA999" s="659">
        <v>1.9942222330069297</v>
      </c>
      <c r="AB999" s="658">
        <v>5.4254912487332989E-2</v>
      </c>
      <c r="AC999" s="660">
        <v>0.89088212032624614</v>
      </c>
      <c r="AD999" s="682">
        <v>30586677000114</v>
      </c>
      <c r="AE999" s="944" t="s">
        <v>1813</v>
      </c>
      <c r="AF999" s="661" t="s">
        <v>1814</v>
      </c>
      <c r="AG999" s="662" t="s">
        <v>1436</v>
      </c>
      <c r="AH999" s="662" t="s">
        <v>1734</v>
      </c>
      <c r="AI999" s="662">
        <v>25000</v>
      </c>
      <c r="AJ999" s="662">
        <v>5000</v>
      </c>
      <c r="AK999" s="662">
        <v>10000</v>
      </c>
      <c r="AL999" s="658">
        <v>2.5000000000000001E-2</v>
      </c>
      <c r="AM999" s="658">
        <v>0</v>
      </c>
      <c r="AN999" s="659" t="s">
        <v>64</v>
      </c>
      <c r="AO999" s="253" t="s">
        <v>34</v>
      </c>
      <c r="AP999" s="944" t="s">
        <v>1746</v>
      </c>
      <c r="AQ999" s="663" t="s">
        <v>664</v>
      </c>
      <c r="AR999" s="658">
        <v>0</v>
      </c>
      <c r="AS999" s="658">
        <v>0</v>
      </c>
      <c r="AT999" s="658" t="s">
        <v>1417</v>
      </c>
      <c r="AU999" s="658" t="s">
        <v>2751</v>
      </c>
      <c r="AX999"/>
      <c r="AY999"/>
      <c r="BA999"/>
      <c r="BB999"/>
      <c r="BC999"/>
      <c r="BD999"/>
      <c r="BE999"/>
      <c r="BF999"/>
      <c r="BG999"/>
      <c r="BH999"/>
      <c r="BI999"/>
      <c r="BJ999"/>
      <c r="BR999"/>
      <c r="BS999"/>
      <c r="BT999"/>
      <c r="BU999"/>
      <c r="BX999"/>
      <c r="BY999"/>
      <c r="CA999"/>
    </row>
    <row r="1000" spans="2:79" ht="18.75">
      <c r="B1000" s="252" t="s">
        <v>1646</v>
      </c>
      <c r="C1000" s="251">
        <v>32666390000120</v>
      </c>
      <c r="D1000" s="252" t="s">
        <v>13</v>
      </c>
      <c r="E1000" s="252" t="s">
        <v>615</v>
      </c>
      <c r="F1000" s="252" t="s">
        <v>619</v>
      </c>
      <c r="G1000" s="253" t="s">
        <v>34</v>
      </c>
      <c r="H1000" s="253" t="s">
        <v>865</v>
      </c>
      <c r="I1000" s="253" t="s">
        <v>34</v>
      </c>
      <c r="J1000" s="253" t="s">
        <v>611</v>
      </c>
      <c r="K1000" s="253" t="s">
        <v>48</v>
      </c>
      <c r="L1000" s="655"/>
      <c r="M1000" s="655" t="s">
        <v>34</v>
      </c>
      <c r="N1000" s="253" t="s">
        <v>3614</v>
      </c>
      <c r="O1000" s="253" t="s">
        <v>1321</v>
      </c>
      <c r="P1000" s="656">
        <v>43558</v>
      </c>
      <c r="Q1000" s="657">
        <v>1270.97085378</v>
      </c>
      <c r="R1000" s="657">
        <v>1277.1337851902415</v>
      </c>
      <c r="S1000" s="253">
        <v>31</v>
      </c>
      <c r="T1000" s="658">
        <v>7.8310681176148034E-3</v>
      </c>
      <c r="U1000" s="659">
        <v>0.39158512479215185</v>
      </c>
      <c r="V1000" s="658">
        <v>0.17906835179375546</v>
      </c>
      <c r="W1000" s="659">
        <v>1.3887305927206441</v>
      </c>
      <c r="X1000" s="658">
        <v>0.2836015251898174</v>
      </c>
      <c r="Y1000" s="659">
        <v>1.468770193603278</v>
      </c>
      <c r="Z1000" s="658">
        <v>0.44277582488517098</v>
      </c>
      <c r="AA1000" s="659">
        <v>1.999255504977042</v>
      </c>
      <c r="AB1000" s="658">
        <v>5.4467315790473536E-2</v>
      </c>
      <c r="AC1000" s="660">
        <v>0.92026643170350608</v>
      </c>
      <c r="AD1000" s="682">
        <v>32386241000107</v>
      </c>
      <c r="AE1000" s="944" t="s">
        <v>1813</v>
      </c>
      <c r="AF1000" s="661" t="s">
        <v>1814</v>
      </c>
      <c r="AG1000" s="662" t="s">
        <v>1436</v>
      </c>
      <c r="AH1000" s="662" t="s">
        <v>1734</v>
      </c>
      <c r="AI1000" s="662">
        <v>1000</v>
      </c>
      <c r="AJ1000" s="662">
        <v>100</v>
      </c>
      <c r="AK1000" s="662">
        <v>1000</v>
      </c>
      <c r="AL1000" s="658">
        <v>2.5000000000000001E-2</v>
      </c>
      <c r="AM1000" s="658">
        <v>0</v>
      </c>
      <c r="AN1000" s="659" t="s">
        <v>64</v>
      </c>
      <c r="AO1000" s="253" t="s">
        <v>34</v>
      </c>
      <c r="AP1000" s="944" t="s">
        <v>1746</v>
      </c>
      <c r="AQ1000" s="663" t="s">
        <v>664</v>
      </c>
      <c r="AR1000" s="658">
        <v>0</v>
      </c>
      <c r="AS1000" s="658">
        <v>0</v>
      </c>
      <c r="AT1000" s="658" t="s">
        <v>1417</v>
      </c>
      <c r="AU1000" s="658" t="s">
        <v>2751</v>
      </c>
      <c r="AX1000"/>
      <c r="AY1000"/>
      <c r="BA1000"/>
      <c r="BB1000"/>
      <c r="BC1000"/>
      <c r="BD1000"/>
      <c r="BE1000"/>
      <c r="BF1000"/>
      <c r="BG1000"/>
      <c r="BH1000"/>
      <c r="BI1000"/>
      <c r="BJ1000"/>
      <c r="BR1000"/>
      <c r="BS1000"/>
      <c r="BT1000"/>
      <c r="BU1000"/>
      <c r="BX1000"/>
      <c r="BY1000"/>
      <c r="CA1000"/>
    </row>
    <row r="1001" spans="2:79" ht="18.75">
      <c r="B1001" s="252" t="s">
        <v>1647</v>
      </c>
      <c r="C1001" s="251">
        <v>25079446000184</v>
      </c>
      <c r="D1001" s="252" t="s">
        <v>14</v>
      </c>
      <c r="E1001" s="252" t="s">
        <v>614</v>
      </c>
      <c r="F1001" s="252" t="s">
        <v>1417</v>
      </c>
      <c r="G1001" s="253" t="s">
        <v>1417</v>
      </c>
      <c r="H1001" s="253" t="s">
        <v>865</v>
      </c>
      <c r="I1001" s="253" t="s">
        <v>34</v>
      </c>
      <c r="J1001" s="253" t="s">
        <v>608</v>
      </c>
      <c r="K1001" s="253" t="s">
        <v>48</v>
      </c>
      <c r="L1001" s="655"/>
      <c r="M1001" s="655" t="s">
        <v>34</v>
      </c>
      <c r="N1001" s="253" t="s">
        <v>3615</v>
      </c>
      <c r="O1001" s="253" t="s">
        <v>1324</v>
      </c>
      <c r="P1001" s="656">
        <v>43240</v>
      </c>
      <c r="Q1001" s="657">
        <v>11.373402</v>
      </c>
      <c r="R1001" s="657">
        <v>17.799241620967738</v>
      </c>
      <c r="S1001" s="253">
        <v>33</v>
      </c>
      <c r="T1001" s="658">
        <v>-9.656079611122359E-3</v>
      </c>
      <c r="U1001" s="659">
        <v>-0.48284309148315485</v>
      </c>
      <c r="V1001" s="658">
        <v>-3.1809415052770018E-2</v>
      </c>
      <c r="W1001" s="659">
        <v>-0.24669187702810344</v>
      </c>
      <c r="X1001" s="658">
        <v>-0.14098052291010033</v>
      </c>
      <c r="Y1001" s="659">
        <v>-0.73013708156317803</v>
      </c>
      <c r="Z1001" s="658">
        <v>-2.8020832995264811E-2</v>
      </c>
      <c r="AA1001" s="659">
        <v>-0.12652182316944219</v>
      </c>
      <c r="AB1001" s="658">
        <v>0.19463437247097706</v>
      </c>
      <c r="AC1001" s="660">
        <v>-0.82592464249103348</v>
      </c>
      <c r="AD1001" s="682">
        <v>29054790000170</v>
      </c>
      <c r="AE1001" s="944" t="s">
        <v>1813</v>
      </c>
      <c r="AF1001" s="661" t="s">
        <v>1814</v>
      </c>
      <c r="AG1001" s="662" t="s">
        <v>1436</v>
      </c>
      <c r="AH1001" s="662" t="s">
        <v>1730</v>
      </c>
      <c r="AI1001" s="662">
        <v>1000</v>
      </c>
      <c r="AJ1001" s="662">
        <v>1000</v>
      </c>
      <c r="AK1001" s="662">
        <v>1000</v>
      </c>
      <c r="AL1001" s="658">
        <v>0.04</v>
      </c>
      <c r="AM1001" s="658">
        <v>0.2</v>
      </c>
      <c r="AN1001" s="659" t="s">
        <v>64</v>
      </c>
      <c r="AO1001" s="253" t="s">
        <v>34</v>
      </c>
      <c r="AP1001" s="944" t="s">
        <v>1746</v>
      </c>
      <c r="AQ1001" s="663" t="s">
        <v>668</v>
      </c>
      <c r="AR1001" s="658">
        <v>0</v>
      </c>
      <c r="AS1001" s="658">
        <v>0</v>
      </c>
      <c r="AT1001" s="658" t="s">
        <v>1417</v>
      </c>
      <c r="AU1001" s="658" t="s">
        <v>2751</v>
      </c>
      <c r="AX1001"/>
      <c r="AY1001"/>
      <c r="BA1001"/>
      <c r="BB1001"/>
      <c r="BC1001"/>
      <c r="BD1001"/>
      <c r="BE1001"/>
      <c r="BF1001"/>
      <c r="BG1001"/>
      <c r="BH1001"/>
      <c r="BI1001"/>
      <c r="BJ1001"/>
      <c r="BR1001"/>
      <c r="BS1001"/>
      <c r="BT1001"/>
      <c r="BU1001"/>
      <c r="BX1001"/>
      <c r="BY1001"/>
      <c r="CA1001"/>
    </row>
    <row r="1002" spans="2:79" ht="18.75">
      <c r="B1002" s="252" t="s">
        <v>1648</v>
      </c>
      <c r="C1002" s="251">
        <v>34200609000126</v>
      </c>
      <c r="D1002" s="252" t="s">
        <v>14</v>
      </c>
      <c r="E1002" s="252" t="s">
        <v>1417</v>
      </c>
      <c r="F1002" s="252" t="s">
        <v>1417</v>
      </c>
      <c r="G1002" s="253" t="s">
        <v>1417</v>
      </c>
      <c r="H1002" s="253" t="s">
        <v>34</v>
      </c>
      <c r="I1002" s="253" t="s">
        <v>1417</v>
      </c>
      <c r="J1002" s="253" t="s">
        <v>1417</v>
      </c>
      <c r="K1002" s="253" t="s">
        <v>1417</v>
      </c>
      <c r="L1002" s="655"/>
      <c r="M1002" s="655" t="s">
        <v>34</v>
      </c>
      <c r="N1002" s="253" t="s">
        <v>3616</v>
      </c>
      <c r="O1002" s="253" t="s">
        <v>1321</v>
      </c>
      <c r="P1002" s="656">
        <v>43713</v>
      </c>
      <c r="Q1002" s="657">
        <v>4.6394552200000003</v>
      </c>
      <c r="R1002" s="657">
        <v>5.8491096669354832</v>
      </c>
      <c r="S1002" s="253">
        <v>32</v>
      </c>
      <c r="T1002" s="658">
        <v>-1.9114512803391936E-2</v>
      </c>
      <c r="U1002" s="659">
        <v>-0.95580306147779925</v>
      </c>
      <c r="V1002" s="658">
        <v>-7.5035077593181398E-2</v>
      </c>
      <c r="W1002" s="659">
        <v>-0.58192029321203675</v>
      </c>
      <c r="X1002" s="658">
        <v>-0.11222018478203333</v>
      </c>
      <c r="Y1002" s="659">
        <v>-0.58118750390423046</v>
      </c>
      <c r="Z1002" s="658">
        <v>-8.8599486898269464E-2</v>
      </c>
      <c r="AA1002" s="659">
        <v>-0.40005122674763016</v>
      </c>
      <c r="AB1002" s="658">
        <v>0.19336241423114542</v>
      </c>
      <c r="AC1002" s="660">
        <v>-1.0549050489002132</v>
      </c>
      <c r="AD1002" s="682">
        <v>29206165000104</v>
      </c>
      <c r="AE1002" s="944" t="s">
        <v>1813</v>
      </c>
      <c r="AF1002" s="661" t="s">
        <v>1814</v>
      </c>
      <c r="AG1002" s="662" t="s">
        <v>1436</v>
      </c>
      <c r="AH1002" s="662" t="s">
        <v>1734</v>
      </c>
      <c r="AI1002" s="662">
        <v>5000</v>
      </c>
      <c r="AJ1002" s="662">
        <v>1000</v>
      </c>
      <c r="AK1002" s="662">
        <v>5000</v>
      </c>
      <c r="AL1002" s="658">
        <v>3.5000000000000003E-2</v>
      </c>
      <c r="AM1002" s="658">
        <v>0</v>
      </c>
      <c r="AN1002" s="659" t="s">
        <v>666</v>
      </c>
      <c r="AO1002" s="253" t="s">
        <v>34</v>
      </c>
      <c r="AP1002" s="944" t="s">
        <v>1731</v>
      </c>
      <c r="AQ1002" s="663" t="s">
        <v>659</v>
      </c>
      <c r="AR1002" s="658">
        <v>0</v>
      </c>
      <c r="AS1002" s="658">
        <v>0</v>
      </c>
      <c r="AT1002" s="658" t="s">
        <v>1417</v>
      </c>
      <c r="AU1002" s="658" t="s">
        <v>2751</v>
      </c>
      <c r="AX1002"/>
      <c r="AY1002"/>
      <c r="BA1002"/>
      <c r="BB1002"/>
      <c r="BC1002"/>
      <c r="BD1002"/>
      <c r="BE1002"/>
      <c r="BF1002"/>
      <c r="BG1002"/>
      <c r="BH1002"/>
      <c r="BI1002"/>
      <c r="BJ1002"/>
      <c r="BR1002"/>
      <c r="BS1002"/>
      <c r="BT1002"/>
      <c r="BU1002"/>
      <c r="BX1002"/>
      <c r="BY1002"/>
      <c r="CA1002"/>
    </row>
    <row r="1003" spans="2:79" ht="18.75">
      <c r="B1003" s="252" t="s">
        <v>1649</v>
      </c>
      <c r="C1003" s="251">
        <v>35535474000112</v>
      </c>
      <c r="D1003" s="252" t="s">
        <v>14</v>
      </c>
      <c r="E1003" s="252" t="s">
        <v>1417</v>
      </c>
      <c r="F1003" s="252" t="s">
        <v>1417</v>
      </c>
      <c r="G1003" s="253" t="s">
        <v>1417</v>
      </c>
      <c r="H1003" s="253" t="s">
        <v>34</v>
      </c>
      <c r="I1003" s="253" t="s">
        <v>1417</v>
      </c>
      <c r="J1003" s="253" t="s">
        <v>1417</v>
      </c>
      <c r="K1003" s="253" t="s">
        <v>1417</v>
      </c>
      <c r="L1003" s="655"/>
      <c r="M1003" s="655" t="s">
        <v>34</v>
      </c>
      <c r="N1003" s="253" t="s">
        <v>3617</v>
      </c>
      <c r="O1003" s="253" t="s">
        <v>1321</v>
      </c>
      <c r="P1003" s="656">
        <v>43870</v>
      </c>
      <c r="Q1003" s="657">
        <v>5.0736056300000003</v>
      </c>
      <c r="R1003" s="657">
        <v>10.781420343927127</v>
      </c>
      <c r="S1003" s="253">
        <v>17</v>
      </c>
      <c r="T1003" s="658">
        <v>-9.7716384217375163E-2</v>
      </c>
      <c r="U1003" s="659">
        <v>-4.8862150007262732</v>
      </c>
      <c r="V1003" s="658">
        <v>-0.23426235170691179</v>
      </c>
      <c r="W1003" s="659">
        <v>-1.8167771763084746</v>
      </c>
      <c r="X1003" s="658">
        <v>-0.29901976088333693</v>
      </c>
      <c r="Y1003" s="659">
        <v>-1.5486211218006301</v>
      </c>
      <c r="Z1003" s="658">
        <v>-0.26612457413207102</v>
      </c>
      <c r="AA1003" s="659">
        <v>-1.2016261727505007</v>
      </c>
      <c r="AB1003" s="658">
        <v>0.30391411437661597</v>
      </c>
      <c r="AC1003" s="660">
        <v>-1.1950950744709679</v>
      </c>
      <c r="AD1003" s="682">
        <v>20658576000158</v>
      </c>
      <c r="AE1003" s="944" t="s">
        <v>1813</v>
      </c>
      <c r="AF1003" s="661" t="s">
        <v>1814</v>
      </c>
      <c r="AG1003" s="662" t="s">
        <v>1436</v>
      </c>
      <c r="AH1003" s="662" t="s">
        <v>1734</v>
      </c>
      <c r="AI1003" s="662">
        <v>20000</v>
      </c>
      <c r="AJ1003" s="662">
        <v>10000</v>
      </c>
      <c r="AK1003" s="662">
        <v>20000</v>
      </c>
      <c r="AL1003" s="658">
        <v>0.02</v>
      </c>
      <c r="AM1003" s="658">
        <v>0</v>
      </c>
      <c r="AN1003" s="659" t="s">
        <v>666</v>
      </c>
      <c r="AO1003" s="253" t="s">
        <v>34</v>
      </c>
      <c r="AP1003" s="944" t="s">
        <v>1731</v>
      </c>
      <c r="AQ1003" s="663" t="s">
        <v>659</v>
      </c>
      <c r="AR1003" s="658">
        <v>0</v>
      </c>
      <c r="AS1003" s="658">
        <v>0</v>
      </c>
      <c r="AT1003" s="658" t="s">
        <v>1417</v>
      </c>
      <c r="AU1003" s="658" t="s">
        <v>2751</v>
      </c>
      <c r="AX1003"/>
      <c r="AY1003"/>
      <c r="BA1003"/>
      <c r="BB1003"/>
      <c r="BC1003"/>
      <c r="BD1003"/>
      <c r="BE1003"/>
      <c r="BF1003"/>
      <c r="BG1003"/>
      <c r="BH1003"/>
      <c r="BI1003"/>
      <c r="BJ1003"/>
      <c r="BR1003"/>
      <c r="BS1003"/>
      <c r="BT1003"/>
      <c r="BU1003"/>
      <c r="BX1003"/>
      <c r="BY1003"/>
      <c r="CA1003"/>
    </row>
    <row r="1004" spans="2:79" ht="18.75">
      <c r="B1004" s="252" t="s">
        <v>1650</v>
      </c>
      <c r="C1004" s="251">
        <v>25079957000104</v>
      </c>
      <c r="D1004" s="252" t="s">
        <v>13</v>
      </c>
      <c r="E1004" s="252" t="s">
        <v>616</v>
      </c>
      <c r="F1004" s="252" t="s">
        <v>617</v>
      </c>
      <c r="G1004" s="253" t="s">
        <v>34</v>
      </c>
      <c r="H1004" s="253" t="s">
        <v>865</v>
      </c>
      <c r="I1004" s="253" t="s">
        <v>34</v>
      </c>
      <c r="J1004" s="253" t="s">
        <v>608</v>
      </c>
      <c r="K1004" s="253" t="s">
        <v>48</v>
      </c>
      <c r="L1004" s="655"/>
      <c r="M1004" s="655" t="s">
        <v>34</v>
      </c>
      <c r="N1004" s="253" t="s">
        <v>3618</v>
      </c>
      <c r="O1004" s="253" t="s">
        <v>1321</v>
      </c>
      <c r="P1004" s="656">
        <v>42735</v>
      </c>
      <c r="Q1004" s="657">
        <v>6.1287260000000003</v>
      </c>
      <c r="R1004" s="657">
        <v>21.273199831967204</v>
      </c>
      <c r="S1004" s="253">
        <v>31</v>
      </c>
      <c r="T1004" s="658">
        <v>2.5249637004360004E-2</v>
      </c>
      <c r="U1004" s="659">
        <v>1.2625841211965294</v>
      </c>
      <c r="V1004" s="658">
        <v>0.12408210877959336</v>
      </c>
      <c r="W1004" s="659">
        <v>0.96229522830466585</v>
      </c>
      <c r="X1004" s="658">
        <v>0.21148571957693929</v>
      </c>
      <c r="Y1004" s="659">
        <v>1.0952829716957477</v>
      </c>
      <c r="Z1004" s="658">
        <v>0.27027037085330385</v>
      </c>
      <c r="AA1004" s="659">
        <v>1.2203455933954512</v>
      </c>
      <c r="AB1004" s="658">
        <v>6.9792939092108652E-2</v>
      </c>
      <c r="AC1004" s="660">
        <v>-6.9660351468773543E-2</v>
      </c>
      <c r="AD1004" s="682">
        <v>31006911000150</v>
      </c>
      <c r="AE1004" s="944" t="s">
        <v>1813</v>
      </c>
      <c r="AF1004" s="661" t="s">
        <v>1814</v>
      </c>
      <c r="AG1004" s="662" t="s">
        <v>1436</v>
      </c>
      <c r="AH1004" s="662" t="s">
        <v>1734</v>
      </c>
      <c r="AI1004" s="662">
        <v>1000</v>
      </c>
      <c r="AJ1004" s="662">
        <v>100</v>
      </c>
      <c r="AK1004" s="662">
        <v>1000</v>
      </c>
      <c r="AL1004" s="658">
        <v>0.02</v>
      </c>
      <c r="AM1004" s="658">
        <v>0</v>
      </c>
      <c r="AN1004" s="659" t="s">
        <v>64</v>
      </c>
      <c r="AO1004" s="253" t="s">
        <v>34</v>
      </c>
      <c r="AP1004" s="944" t="s">
        <v>1746</v>
      </c>
      <c r="AQ1004" s="663" t="s">
        <v>674</v>
      </c>
      <c r="AR1004" s="658">
        <v>0</v>
      </c>
      <c r="AS1004" s="658">
        <v>0</v>
      </c>
      <c r="AT1004" s="658" t="s">
        <v>1417</v>
      </c>
      <c r="AU1004" s="658" t="s">
        <v>2751</v>
      </c>
      <c r="AX1004"/>
      <c r="AY1004"/>
      <c r="BA1004"/>
      <c r="BB1004"/>
      <c r="BC1004"/>
      <c r="BD1004"/>
      <c r="BE1004"/>
      <c r="BF1004"/>
      <c r="BG1004"/>
      <c r="BH1004"/>
      <c r="BI1004"/>
      <c r="BJ1004"/>
      <c r="BR1004"/>
      <c r="BS1004"/>
      <c r="BT1004"/>
      <c r="BU1004"/>
      <c r="BX1004"/>
      <c r="BY1004"/>
      <c r="CA1004"/>
    </row>
    <row r="1005" spans="2:79" ht="18.75">
      <c r="B1005" s="252" t="s">
        <v>1651</v>
      </c>
      <c r="C1005" s="251">
        <v>26380695000178</v>
      </c>
      <c r="D1005" s="252" t="s">
        <v>13</v>
      </c>
      <c r="E1005" s="252" t="s">
        <v>616</v>
      </c>
      <c r="F1005" s="252" t="s">
        <v>617</v>
      </c>
      <c r="G1005" s="253" t="s">
        <v>34</v>
      </c>
      <c r="H1005" s="253" t="s">
        <v>865</v>
      </c>
      <c r="I1005" s="253" t="s">
        <v>34</v>
      </c>
      <c r="J1005" s="253" t="s">
        <v>608</v>
      </c>
      <c r="K1005" s="253" t="s">
        <v>48</v>
      </c>
      <c r="L1005" s="655"/>
      <c r="M1005" s="655" t="s">
        <v>34</v>
      </c>
      <c r="N1005" s="253" t="s">
        <v>3619</v>
      </c>
      <c r="O1005" s="253" t="s">
        <v>1321</v>
      </c>
      <c r="P1005" s="656">
        <v>42728</v>
      </c>
      <c r="Q1005" s="657">
        <v>369.46040499999998</v>
      </c>
      <c r="R1005" s="657">
        <v>361.45828741224483</v>
      </c>
      <c r="S1005" s="253">
        <v>32</v>
      </c>
      <c r="T1005" s="658">
        <v>1.9866214789626246E-2</v>
      </c>
      <c r="U1005" s="659">
        <v>0.9933912054787386</v>
      </c>
      <c r="V1005" s="658">
        <v>0.12466189117264292</v>
      </c>
      <c r="W1005" s="659">
        <v>0.96679162053859935</v>
      </c>
      <c r="X1005" s="658">
        <v>0.20434449172659663</v>
      </c>
      <c r="Y1005" s="659">
        <v>1.0582986056727066</v>
      </c>
      <c r="Z1005" s="658">
        <v>0.27020372825622196</v>
      </c>
      <c r="AA1005" s="659">
        <v>1.2200446836086161</v>
      </c>
      <c r="AB1005" s="658">
        <v>4.8628100687546735E-2</v>
      </c>
      <c r="AC1005" s="660">
        <v>-8.8056457348785935E-2</v>
      </c>
      <c r="AD1005" s="682">
        <v>30658543000161</v>
      </c>
      <c r="AE1005" s="944" t="s">
        <v>1813</v>
      </c>
      <c r="AF1005" s="661" t="s">
        <v>1814</v>
      </c>
      <c r="AG1005" s="662" t="s">
        <v>1436</v>
      </c>
      <c r="AH1005" s="662" t="s">
        <v>1734</v>
      </c>
      <c r="AI1005" s="662">
        <v>1000</v>
      </c>
      <c r="AJ1005" s="662">
        <v>100</v>
      </c>
      <c r="AK1005" s="662">
        <v>1000</v>
      </c>
      <c r="AL1005" s="658">
        <v>0.02</v>
      </c>
      <c r="AM1005" s="658">
        <v>0</v>
      </c>
      <c r="AN1005" s="659" t="s">
        <v>64</v>
      </c>
      <c r="AO1005" s="253" t="s">
        <v>34</v>
      </c>
      <c r="AP1005" s="944" t="s">
        <v>1746</v>
      </c>
      <c r="AQ1005" s="663" t="s">
        <v>674</v>
      </c>
      <c r="AR1005" s="658">
        <v>0</v>
      </c>
      <c r="AS1005" s="658">
        <v>0</v>
      </c>
      <c r="AT1005" s="658" t="s">
        <v>1417</v>
      </c>
      <c r="AU1005" s="658" t="s">
        <v>2751</v>
      </c>
      <c r="AX1005"/>
      <c r="AY1005"/>
      <c r="BA1005"/>
      <c r="BB1005"/>
      <c r="BC1005"/>
      <c r="BD1005"/>
      <c r="BE1005"/>
      <c r="BF1005"/>
      <c r="BG1005"/>
      <c r="BH1005"/>
      <c r="BI1005"/>
      <c r="BJ1005"/>
      <c r="BR1005"/>
      <c r="BS1005"/>
      <c r="BT1005"/>
      <c r="BU1005"/>
      <c r="BX1005"/>
      <c r="BY1005"/>
      <c r="CA1005"/>
    </row>
    <row r="1006" spans="2:79" ht="18.75">
      <c r="B1006" s="252" t="s">
        <v>1652</v>
      </c>
      <c r="C1006" s="251">
        <v>33019398000167</v>
      </c>
      <c r="D1006" s="252" t="s">
        <v>14</v>
      </c>
      <c r="E1006" s="252" t="s">
        <v>607</v>
      </c>
      <c r="F1006" s="252" t="s">
        <v>1417</v>
      </c>
      <c r="G1006" s="253" t="s">
        <v>1417</v>
      </c>
      <c r="H1006" s="253" t="s">
        <v>34</v>
      </c>
      <c r="I1006" s="253" t="s">
        <v>34</v>
      </c>
      <c r="J1006" s="253" t="s">
        <v>608</v>
      </c>
      <c r="K1006" s="253" t="s">
        <v>48</v>
      </c>
      <c r="L1006" s="655"/>
      <c r="M1006" s="655" t="s">
        <v>34</v>
      </c>
      <c r="N1006" s="253" t="s">
        <v>3620</v>
      </c>
      <c r="O1006" s="253" t="s">
        <v>1321</v>
      </c>
      <c r="P1006" s="656">
        <v>43622</v>
      </c>
      <c r="Q1006" s="657">
        <v>84.105779510000005</v>
      </c>
      <c r="R1006" s="657">
        <v>139.86329048943082</v>
      </c>
      <c r="S1006" s="253">
        <v>92</v>
      </c>
      <c r="T1006" s="658">
        <v>1.2054390441299523E-2</v>
      </c>
      <c r="U1006" s="659">
        <v>0.60276834709583871</v>
      </c>
      <c r="V1006" s="658">
        <v>-0.10997682271217779</v>
      </c>
      <c r="W1006" s="659">
        <v>-0.85290436115993706</v>
      </c>
      <c r="X1006" s="658">
        <v>-0.17222427179541533</v>
      </c>
      <c r="Y1006" s="659">
        <v>-0.891948225097973</v>
      </c>
      <c r="Z1006" s="658">
        <v>-2.7577687350825553E-2</v>
      </c>
      <c r="AA1006" s="659">
        <v>-0.12452089782673283</v>
      </c>
      <c r="AB1006" s="658">
        <v>0.25704587372492554</v>
      </c>
      <c r="AC1006" s="660">
        <v>-0.92948674373448303</v>
      </c>
      <c r="AD1006" s="682">
        <v>0</v>
      </c>
      <c r="AE1006" s="944" t="s">
        <v>1813</v>
      </c>
      <c r="AF1006" s="661" t="s">
        <v>1814</v>
      </c>
      <c r="AG1006" s="662" t="s">
        <v>1436</v>
      </c>
      <c r="AH1006" s="662" t="s">
        <v>1801</v>
      </c>
      <c r="AI1006" s="662">
        <v>500000</v>
      </c>
      <c r="AJ1006" s="662">
        <v>10000</v>
      </c>
      <c r="AK1006" s="662">
        <v>500000</v>
      </c>
      <c r="AL1006" s="658">
        <v>1.7500000000000002E-2</v>
      </c>
      <c r="AM1006" s="658">
        <v>0</v>
      </c>
      <c r="AN1006" s="659" t="s">
        <v>666</v>
      </c>
      <c r="AO1006" s="253" t="s">
        <v>34</v>
      </c>
      <c r="AP1006" s="944" t="s">
        <v>1731</v>
      </c>
      <c r="AQ1006" s="663" t="s">
        <v>659</v>
      </c>
      <c r="AR1006" s="658">
        <v>0</v>
      </c>
      <c r="AS1006" s="658">
        <v>0</v>
      </c>
      <c r="AT1006" s="658" t="s">
        <v>1417</v>
      </c>
      <c r="AU1006" s="658" t="s">
        <v>2751</v>
      </c>
      <c r="AX1006"/>
      <c r="AY1006"/>
      <c r="BA1006"/>
      <c r="BB1006"/>
      <c r="BC1006"/>
      <c r="BD1006"/>
      <c r="BE1006"/>
      <c r="BF1006"/>
      <c r="BG1006"/>
      <c r="BH1006"/>
      <c r="BI1006"/>
      <c r="BJ1006"/>
      <c r="BR1006"/>
      <c r="BS1006"/>
      <c r="BT1006"/>
      <c r="BU1006"/>
      <c r="BX1006"/>
      <c r="BY1006"/>
      <c r="CA1006"/>
    </row>
    <row r="1007" spans="2:79" ht="18.75">
      <c r="B1007" s="252" t="s">
        <v>1653</v>
      </c>
      <c r="C1007" s="251">
        <v>32666342000131</v>
      </c>
      <c r="D1007" s="252" t="s">
        <v>11</v>
      </c>
      <c r="E1007" s="252" t="s">
        <v>4235</v>
      </c>
      <c r="F1007" s="252" t="s">
        <v>1417</v>
      </c>
      <c r="G1007" s="253" t="s">
        <v>738</v>
      </c>
      <c r="H1007" s="253" t="s">
        <v>34</v>
      </c>
      <c r="I1007" s="253" t="s">
        <v>34</v>
      </c>
      <c r="J1007" s="253" t="s">
        <v>611</v>
      </c>
      <c r="K1007" s="253" t="s">
        <v>48</v>
      </c>
      <c r="L1007" s="655"/>
      <c r="M1007" s="655" t="s">
        <v>34</v>
      </c>
      <c r="N1007" s="253" t="s">
        <v>3621</v>
      </c>
      <c r="O1007" s="253" t="s">
        <v>1321</v>
      </c>
      <c r="P1007" s="656">
        <v>43572</v>
      </c>
      <c r="Q1007" s="657">
        <v>20.39496295</v>
      </c>
      <c r="R1007" s="657">
        <v>37.065719729196786</v>
      </c>
      <c r="S1007" s="253">
        <v>12</v>
      </c>
      <c r="T1007" s="658">
        <v>3.8161493130368429E-2</v>
      </c>
      <c r="U1007" s="659">
        <v>1.9082292256016882</v>
      </c>
      <c r="V1007" s="658">
        <v>5.9765981240049948E-2</v>
      </c>
      <c r="W1007" s="659">
        <v>0.46350371643349114</v>
      </c>
      <c r="X1007" s="658">
        <v>0.10184084527187198</v>
      </c>
      <c r="Y1007" s="659">
        <v>0.52743298163355401</v>
      </c>
      <c r="Z1007" s="658">
        <v>0.16247828426494548</v>
      </c>
      <c r="AA1007" s="659">
        <v>0.73363446240579977</v>
      </c>
      <c r="AB1007" s="658">
        <v>5.6574075530818772E-2</v>
      </c>
      <c r="AC1007" s="660">
        <v>-1.222784951546467</v>
      </c>
      <c r="AD1007" s="682">
        <v>29363886000110</v>
      </c>
      <c r="AE1007" s="944" t="s">
        <v>1813</v>
      </c>
      <c r="AF1007" s="661" t="s">
        <v>1814</v>
      </c>
      <c r="AG1007" s="662" t="s">
        <v>1436</v>
      </c>
      <c r="AH1007" s="662" t="s">
        <v>1730</v>
      </c>
      <c r="AI1007" s="662">
        <v>1000</v>
      </c>
      <c r="AJ1007" s="662">
        <v>1000</v>
      </c>
      <c r="AK1007" s="662">
        <v>1000</v>
      </c>
      <c r="AL1007" s="658">
        <v>8.5000000000000006E-3</v>
      </c>
      <c r="AM1007" s="658">
        <v>0</v>
      </c>
      <c r="AN1007" s="659" t="s">
        <v>64</v>
      </c>
      <c r="AO1007" s="253" t="s">
        <v>34</v>
      </c>
      <c r="AP1007" s="944" t="s">
        <v>1746</v>
      </c>
      <c r="AQ1007" s="663" t="s">
        <v>679</v>
      </c>
      <c r="AR1007" s="658">
        <v>0</v>
      </c>
      <c r="AS1007" s="658">
        <v>0</v>
      </c>
      <c r="AT1007" s="658" t="s">
        <v>1417</v>
      </c>
      <c r="AU1007" s="658" t="s">
        <v>2751</v>
      </c>
      <c r="AX1007"/>
      <c r="AY1007"/>
      <c r="BA1007"/>
      <c r="BB1007"/>
      <c r="BC1007"/>
      <c r="BD1007"/>
      <c r="BE1007"/>
      <c r="BF1007"/>
      <c r="BG1007"/>
      <c r="BH1007"/>
      <c r="BI1007"/>
      <c r="BJ1007"/>
      <c r="BR1007"/>
      <c r="BS1007"/>
      <c r="BT1007"/>
      <c r="BU1007"/>
      <c r="BX1007"/>
      <c r="BY1007"/>
      <c r="CA1007"/>
    </row>
    <row r="1008" spans="2:79" ht="18.75">
      <c r="B1008" s="252" t="s">
        <v>1654</v>
      </c>
      <c r="C1008" s="251">
        <v>15674503000110</v>
      </c>
      <c r="D1008" s="252" t="s">
        <v>13</v>
      </c>
      <c r="E1008" s="252" t="s">
        <v>616</v>
      </c>
      <c r="F1008" s="252" t="s">
        <v>617</v>
      </c>
      <c r="G1008" s="253" t="s">
        <v>34</v>
      </c>
      <c r="H1008" s="253" t="s">
        <v>1337</v>
      </c>
      <c r="I1008" s="253" t="s">
        <v>34</v>
      </c>
      <c r="J1008" s="253" t="s">
        <v>608</v>
      </c>
      <c r="K1008" s="253" t="s">
        <v>48</v>
      </c>
      <c r="L1008" s="655"/>
      <c r="M1008" s="655" t="s">
        <v>34</v>
      </c>
      <c r="N1008" s="253" t="s">
        <v>3622</v>
      </c>
      <c r="O1008" s="253" t="s">
        <v>1321</v>
      </c>
      <c r="P1008" s="656">
        <v>41154</v>
      </c>
      <c r="Q1008" s="657">
        <v>90.639515000000003</v>
      </c>
      <c r="R1008" s="657">
        <v>126.17090274796747</v>
      </c>
      <c r="S1008" s="253">
        <v>15</v>
      </c>
      <c r="T1008" s="658">
        <v>1.0034220775316349E-2</v>
      </c>
      <c r="U1008" s="659">
        <v>0.50175168131356152</v>
      </c>
      <c r="V1008" s="658">
        <v>0.11152930410236261</v>
      </c>
      <c r="W1008" s="659">
        <v>0.86494433572597496</v>
      </c>
      <c r="X1008" s="658">
        <v>0.14979093459996795</v>
      </c>
      <c r="Y1008" s="659">
        <v>0.77576613829970398</v>
      </c>
      <c r="Z1008" s="658">
        <v>0.20394750851290966</v>
      </c>
      <c r="AA1008" s="659">
        <v>0.92087949748957154</v>
      </c>
      <c r="AB1008" s="658">
        <v>2.6492038321928368E-2</v>
      </c>
      <c r="AC1008" s="660">
        <v>-0.65735241406513711</v>
      </c>
      <c r="AD1008" s="682">
        <v>11403956000150</v>
      </c>
      <c r="AE1008" s="944" t="s">
        <v>1813</v>
      </c>
      <c r="AF1008" s="661" t="s">
        <v>1814</v>
      </c>
      <c r="AG1008" s="662" t="s">
        <v>1436</v>
      </c>
      <c r="AH1008" s="662" t="s">
        <v>1734</v>
      </c>
      <c r="AI1008" s="662">
        <v>5000</v>
      </c>
      <c r="AJ1008" s="662">
        <v>0</v>
      </c>
      <c r="AK1008" s="662">
        <v>0</v>
      </c>
      <c r="AL1008" s="658">
        <v>2.5000000000000001E-2</v>
      </c>
      <c r="AM1008" s="658">
        <v>0</v>
      </c>
      <c r="AN1008" s="659" t="s">
        <v>64</v>
      </c>
      <c r="AO1008" s="253" t="s">
        <v>34</v>
      </c>
      <c r="AP1008" s="944" t="s">
        <v>1746</v>
      </c>
      <c r="AQ1008" s="663" t="s">
        <v>668</v>
      </c>
      <c r="AR1008" s="658">
        <v>0</v>
      </c>
      <c r="AS1008" s="658">
        <v>0</v>
      </c>
      <c r="AT1008" s="658" t="s">
        <v>1417</v>
      </c>
      <c r="AU1008" s="658" t="s">
        <v>2751</v>
      </c>
      <c r="AX1008"/>
      <c r="AY1008"/>
      <c r="BA1008"/>
      <c r="BB1008"/>
      <c r="BC1008"/>
      <c r="BD1008"/>
      <c r="BE1008"/>
      <c r="BF1008"/>
      <c r="BG1008"/>
      <c r="BH1008"/>
      <c r="BI1008"/>
      <c r="BJ1008"/>
      <c r="BR1008"/>
      <c r="BS1008"/>
      <c r="BT1008"/>
      <c r="BU1008"/>
      <c r="BX1008"/>
      <c r="BY1008"/>
      <c r="CA1008"/>
    </row>
    <row r="1009" spans="2:79" ht="18.75">
      <c r="B1009" s="252" t="s">
        <v>1655</v>
      </c>
      <c r="C1009" s="251">
        <v>34887367000190</v>
      </c>
      <c r="D1009" s="252" t="s">
        <v>13</v>
      </c>
      <c r="E1009" s="252" t="s">
        <v>615</v>
      </c>
      <c r="F1009" s="252" t="s">
        <v>619</v>
      </c>
      <c r="G1009" s="253" t="s">
        <v>34</v>
      </c>
      <c r="H1009" s="253" t="s">
        <v>1337</v>
      </c>
      <c r="I1009" s="253" t="s">
        <v>34</v>
      </c>
      <c r="J1009" s="253" t="s">
        <v>608</v>
      </c>
      <c r="K1009" s="253" t="s">
        <v>48</v>
      </c>
      <c r="L1009" s="655"/>
      <c r="M1009" s="655" t="s">
        <v>34</v>
      </c>
      <c r="N1009" s="253" t="s">
        <v>3623</v>
      </c>
      <c r="O1009" s="253" t="s">
        <v>1321</v>
      </c>
      <c r="P1009" s="656">
        <v>43965</v>
      </c>
      <c r="Q1009" s="657">
        <v>102.28067786</v>
      </c>
      <c r="R1009" s="657">
        <v>150.36977511072587</v>
      </c>
      <c r="S1009" s="253">
        <v>31</v>
      </c>
      <c r="T1009" s="658">
        <v>7.4699498508441486E-3</v>
      </c>
      <c r="U1009" s="659">
        <v>0.37352774878235373</v>
      </c>
      <c r="V1009" s="658">
        <v>0.11322632284626888</v>
      </c>
      <c r="W1009" s="659">
        <v>0.87810524228749487</v>
      </c>
      <c r="X1009" s="658">
        <v>0.14763333389421751</v>
      </c>
      <c r="Y1009" s="659">
        <v>0.76459194026186694</v>
      </c>
      <c r="Z1009" s="658"/>
      <c r="AA1009" s="659"/>
      <c r="AB1009" s="658">
        <v>4.2426893014091083E-2</v>
      </c>
      <c r="AC1009" s="660">
        <v>-0.37046282402294345</v>
      </c>
      <c r="AD1009" s="682">
        <v>35927377000175</v>
      </c>
      <c r="AE1009" s="944" t="s">
        <v>1813</v>
      </c>
      <c r="AF1009" s="661" t="s">
        <v>1814</v>
      </c>
      <c r="AG1009" s="662" t="s">
        <v>1436</v>
      </c>
      <c r="AH1009" s="662" t="s">
        <v>1734</v>
      </c>
      <c r="AI1009" s="662">
        <v>10000</v>
      </c>
      <c r="AJ1009" s="662">
        <v>0</v>
      </c>
      <c r="AK1009" s="662">
        <v>1000</v>
      </c>
      <c r="AL1009" s="658">
        <v>2.5000000000000001E-2</v>
      </c>
      <c r="AM1009" s="658">
        <v>0</v>
      </c>
      <c r="AN1009" s="659" t="s">
        <v>64</v>
      </c>
      <c r="AO1009" s="253" t="s">
        <v>34</v>
      </c>
      <c r="AP1009" s="944" t="s">
        <v>1746</v>
      </c>
      <c r="AQ1009" s="663" t="s">
        <v>668</v>
      </c>
      <c r="AR1009" s="658">
        <v>0</v>
      </c>
      <c r="AS1009" s="658">
        <v>0</v>
      </c>
      <c r="AT1009" s="658" t="s">
        <v>1417</v>
      </c>
      <c r="AU1009" s="658" t="s">
        <v>2751</v>
      </c>
      <c r="AX1009"/>
      <c r="AY1009"/>
      <c r="BA1009"/>
      <c r="BB1009"/>
      <c r="BC1009"/>
      <c r="BD1009"/>
      <c r="BE1009"/>
      <c r="BF1009"/>
      <c r="BG1009"/>
      <c r="BH1009"/>
      <c r="BI1009"/>
      <c r="BJ1009"/>
      <c r="BR1009"/>
      <c r="BS1009"/>
      <c r="BT1009"/>
      <c r="BU1009"/>
      <c r="BX1009"/>
      <c r="BY1009"/>
      <c r="CA1009"/>
    </row>
    <row r="1010" spans="2:79" ht="18.75">
      <c r="B1010" s="252" t="s">
        <v>1656</v>
      </c>
      <c r="C1010" s="251">
        <v>28144844000125</v>
      </c>
      <c r="D1010" s="252" t="s">
        <v>14</v>
      </c>
      <c r="E1010" s="252" t="s">
        <v>614</v>
      </c>
      <c r="F1010" s="252" t="s">
        <v>1417</v>
      </c>
      <c r="G1010" s="253" t="s">
        <v>1417</v>
      </c>
      <c r="H1010" s="253" t="s">
        <v>865</v>
      </c>
      <c r="I1010" s="253" t="s">
        <v>34</v>
      </c>
      <c r="J1010" s="253" t="s">
        <v>608</v>
      </c>
      <c r="K1010" s="253" t="s">
        <v>48</v>
      </c>
      <c r="L1010" s="655"/>
      <c r="M1010" s="655" t="s">
        <v>34</v>
      </c>
      <c r="N1010" s="253" t="s">
        <v>3624</v>
      </c>
      <c r="O1010" s="253" t="s">
        <v>1321</v>
      </c>
      <c r="P1010" s="656">
        <v>42967</v>
      </c>
      <c r="Q1010" s="657">
        <v>37.108788279999999</v>
      </c>
      <c r="R1010" s="657">
        <v>48.26217156899596</v>
      </c>
      <c r="S1010" s="253">
        <v>53</v>
      </c>
      <c r="T1010" s="658">
        <v>-5.0895572309745951E-3</v>
      </c>
      <c r="U1010" s="659">
        <v>-0.25449847626086214</v>
      </c>
      <c r="V1010" s="658">
        <v>8.8424669930100563E-3</v>
      </c>
      <c r="W1010" s="659">
        <v>6.8576073355826883E-2</v>
      </c>
      <c r="X1010" s="658">
        <v>6.6723570527608578E-2</v>
      </c>
      <c r="Y1010" s="659">
        <v>0.34556087643091532</v>
      </c>
      <c r="Z1010" s="658">
        <v>6.9609279016610071E-2</v>
      </c>
      <c r="AA1010" s="659">
        <v>0.31430517758626936</v>
      </c>
      <c r="AB1010" s="658">
        <v>0.16070373022996404</v>
      </c>
      <c r="AC1010" s="660">
        <v>-0.74734694883507291</v>
      </c>
      <c r="AD1010" s="682">
        <v>32346274000123</v>
      </c>
      <c r="AE1010" s="944" t="s">
        <v>1813</v>
      </c>
      <c r="AF1010" s="661" t="s">
        <v>1814</v>
      </c>
      <c r="AG1010" s="662" t="s">
        <v>1436</v>
      </c>
      <c r="AH1010" s="662" t="s">
        <v>1734</v>
      </c>
      <c r="AI1010" s="662">
        <v>50000</v>
      </c>
      <c r="AJ1010" s="662">
        <v>10000</v>
      </c>
      <c r="AK1010" s="662">
        <v>50000</v>
      </c>
      <c r="AL1010" s="658">
        <v>2.5000000000000001E-2</v>
      </c>
      <c r="AM1010" s="658">
        <v>0</v>
      </c>
      <c r="AN1010" s="659" t="s">
        <v>64</v>
      </c>
      <c r="AO1010" s="253" t="s">
        <v>34</v>
      </c>
      <c r="AP1010" s="944" t="s">
        <v>1746</v>
      </c>
      <c r="AQ1010" s="663" t="s">
        <v>671</v>
      </c>
      <c r="AR1010" s="658">
        <v>0</v>
      </c>
      <c r="AS1010" s="658">
        <v>0</v>
      </c>
      <c r="AT1010" s="658" t="s">
        <v>1417</v>
      </c>
      <c r="AU1010" s="658" t="s">
        <v>2751</v>
      </c>
      <c r="AX1010"/>
      <c r="AY1010"/>
      <c r="BA1010"/>
      <c r="BB1010"/>
      <c r="BC1010"/>
      <c r="BD1010"/>
      <c r="BE1010"/>
      <c r="BF1010"/>
      <c r="BG1010"/>
      <c r="BH1010"/>
      <c r="BI1010"/>
      <c r="BJ1010"/>
      <c r="BR1010"/>
      <c r="BS1010"/>
      <c r="BT1010"/>
      <c r="BU1010"/>
      <c r="BX1010"/>
      <c r="BY1010"/>
      <c r="CA1010"/>
    </row>
    <row r="1011" spans="2:79" ht="18.75">
      <c r="B1011" s="252" t="s">
        <v>1657</v>
      </c>
      <c r="C1011" s="251">
        <v>32669614000157</v>
      </c>
      <c r="D1011" s="252" t="s">
        <v>14</v>
      </c>
      <c r="E1011" s="252" t="s">
        <v>614</v>
      </c>
      <c r="F1011" s="252" t="s">
        <v>1417</v>
      </c>
      <c r="G1011" s="253" t="s">
        <v>1417</v>
      </c>
      <c r="H1011" s="253" t="s">
        <v>865</v>
      </c>
      <c r="I1011" s="253" t="s">
        <v>34</v>
      </c>
      <c r="J1011" s="253" t="s">
        <v>608</v>
      </c>
      <c r="K1011" s="253" t="s">
        <v>48</v>
      </c>
      <c r="L1011" s="655"/>
      <c r="M1011" s="655" t="s">
        <v>34</v>
      </c>
      <c r="N1011" s="253" t="s">
        <v>3625</v>
      </c>
      <c r="O1011" s="253" t="s">
        <v>1321</v>
      </c>
      <c r="P1011" s="656">
        <v>43652</v>
      </c>
      <c r="Q1011" s="657">
        <v>88.402072149999995</v>
      </c>
      <c r="R1011" s="657">
        <v>107.73143612646587</v>
      </c>
      <c r="S1011" s="253">
        <v>52</v>
      </c>
      <c r="T1011" s="658">
        <v>-5.1806860947087863E-3</v>
      </c>
      <c r="U1011" s="659">
        <v>-0.25905528855537568</v>
      </c>
      <c r="V1011" s="658">
        <v>7.6063743478598234E-3</v>
      </c>
      <c r="W1011" s="659">
        <v>5.8989791611667917E-2</v>
      </c>
      <c r="X1011" s="658">
        <v>6.5730974697443934E-2</v>
      </c>
      <c r="Y1011" s="659">
        <v>0.3404202299951638</v>
      </c>
      <c r="Z1011" s="658">
        <v>7.1137605138199111E-2</v>
      </c>
      <c r="AA1011" s="659">
        <v>0.32120599339476458</v>
      </c>
      <c r="AB1011" s="658">
        <v>0.16123379756483552</v>
      </c>
      <c r="AC1011" s="660">
        <v>-0.75255645485951006</v>
      </c>
      <c r="AD1011" s="682">
        <v>32346274000123</v>
      </c>
      <c r="AE1011" s="944" t="s">
        <v>1813</v>
      </c>
      <c r="AF1011" s="661" t="s">
        <v>1814</v>
      </c>
      <c r="AG1011" s="662" t="s">
        <v>1436</v>
      </c>
      <c r="AH1011" s="662" t="s">
        <v>1734</v>
      </c>
      <c r="AI1011" s="662">
        <v>50000</v>
      </c>
      <c r="AJ1011" s="662">
        <v>10000</v>
      </c>
      <c r="AK1011" s="662">
        <v>50000</v>
      </c>
      <c r="AL1011" s="658">
        <v>2.5000000000000001E-2</v>
      </c>
      <c r="AM1011" s="658">
        <v>0</v>
      </c>
      <c r="AN1011" s="659" t="s">
        <v>64</v>
      </c>
      <c r="AO1011" s="253" t="s">
        <v>34</v>
      </c>
      <c r="AP1011" s="944" t="s">
        <v>1746</v>
      </c>
      <c r="AQ1011" s="663" t="s">
        <v>671</v>
      </c>
      <c r="AR1011" s="658">
        <v>0</v>
      </c>
      <c r="AS1011" s="658">
        <v>0</v>
      </c>
      <c r="AT1011" s="658" t="s">
        <v>1417</v>
      </c>
      <c r="AU1011" s="658" t="s">
        <v>2751</v>
      </c>
      <c r="AX1011"/>
      <c r="AY1011"/>
      <c r="BA1011"/>
      <c r="BB1011"/>
      <c r="BC1011"/>
      <c r="BD1011"/>
      <c r="BE1011"/>
      <c r="BF1011"/>
      <c r="BG1011"/>
      <c r="BH1011"/>
      <c r="BI1011"/>
      <c r="BJ1011"/>
      <c r="BR1011"/>
      <c r="BS1011"/>
      <c r="BT1011"/>
      <c r="BU1011"/>
      <c r="BX1011"/>
      <c r="BY1011"/>
      <c r="CA1011"/>
    </row>
    <row r="1012" spans="2:79" ht="18.75">
      <c r="B1012" s="252" t="s">
        <v>1658</v>
      </c>
      <c r="C1012" s="251">
        <v>34681782000193</v>
      </c>
      <c r="D1012" s="252" t="s">
        <v>13</v>
      </c>
      <c r="E1012" s="252" t="s">
        <v>615</v>
      </c>
      <c r="F1012" s="252" t="s">
        <v>619</v>
      </c>
      <c r="G1012" s="253" t="s">
        <v>34</v>
      </c>
      <c r="H1012" s="253" t="s">
        <v>1337</v>
      </c>
      <c r="I1012" s="253" t="s">
        <v>34</v>
      </c>
      <c r="J1012" s="253" t="s">
        <v>611</v>
      </c>
      <c r="K1012" s="253" t="s">
        <v>48</v>
      </c>
      <c r="L1012" s="655"/>
      <c r="M1012" s="655" t="s">
        <v>34</v>
      </c>
      <c r="N1012" s="253" t="s">
        <v>3626</v>
      </c>
      <c r="O1012" s="253" t="s">
        <v>1321</v>
      </c>
      <c r="P1012" s="656">
        <v>43818</v>
      </c>
      <c r="Q1012" s="657">
        <v>0.44086079</v>
      </c>
      <c r="R1012" s="657">
        <v>1.5882549503092787</v>
      </c>
      <c r="S1012" s="253">
        <v>31</v>
      </c>
      <c r="T1012" s="658"/>
      <c r="U1012" s="659"/>
      <c r="V1012" s="658">
        <v>2.6701942196457162E-2</v>
      </c>
      <c r="W1012" s="659">
        <v>0.20708184132943736</v>
      </c>
      <c r="X1012" s="658">
        <v>3.6525058840035207E-2</v>
      </c>
      <c r="Y1012" s="659">
        <v>0.18916300858376273</v>
      </c>
      <c r="Z1012" s="658">
        <v>4.0021273963204873E-2</v>
      </c>
      <c r="AA1012" s="659">
        <v>0.18070713844388889</v>
      </c>
      <c r="AB1012" s="658">
        <v>5.3489346123195024E-2</v>
      </c>
      <c r="AC1012" s="660">
        <v>-1.9114454496200164</v>
      </c>
      <c r="AD1012" s="682">
        <v>22354046000141</v>
      </c>
      <c r="AE1012" s="944" t="s">
        <v>1813</v>
      </c>
      <c r="AF1012" s="661" t="s">
        <v>1814</v>
      </c>
      <c r="AG1012" s="662" t="s">
        <v>1436</v>
      </c>
      <c r="AH1012" s="662" t="s">
        <v>1734</v>
      </c>
      <c r="AI1012" s="662">
        <v>5000</v>
      </c>
      <c r="AJ1012" s="662">
        <v>5000</v>
      </c>
      <c r="AK1012" s="662">
        <v>5000</v>
      </c>
      <c r="AL1012" s="658">
        <v>2.3E-2</v>
      </c>
      <c r="AM1012" s="658">
        <v>0</v>
      </c>
      <c r="AN1012" s="659" t="s">
        <v>64</v>
      </c>
      <c r="AO1012" s="253" t="s">
        <v>34</v>
      </c>
      <c r="AP1012" s="944" t="s">
        <v>1746</v>
      </c>
      <c r="AQ1012" s="663" t="s">
        <v>664</v>
      </c>
      <c r="AR1012" s="658">
        <v>0</v>
      </c>
      <c r="AS1012" s="658">
        <v>0</v>
      </c>
      <c r="AT1012" s="658" t="s">
        <v>1417</v>
      </c>
      <c r="AU1012" s="658" t="s">
        <v>2751</v>
      </c>
      <c r="AX1012"/>
      <c r="AY1012"/>
      <c r="BA1012"/>
      <c r="BB1012"/>
      <c r="BC1012"/>
      <c r="BD1012"/>
      <c r="BE1012"/>
      <c r="BF1012"/>
      <c r="BG1012"/>
      <c r="BH1012"/>
      <c r="BI1012"/>
      <c r="BJ1012"/>
      <c r="BR1012"/>
      <c r="BS1012"/>
      <c r="BT1012"/>
      <c r="BU1012"/>
      <c r="BX1012"/>
      <c r="BY1012"/>
      <c r="CA1012"/>
    </row>
    <row r="1013" spans="2:79" ht="18.75">
      <c r="B1013" s="252" t="s">
        <v>1659</v>
      </c>
      <c r="C1013" s="251">
        <v>26135690000180</v>
      </c>
      <c r="D1013" s="252" t="s">
        <v>11</v>
      </c>
      <c r="E1013" s="252" t="s">
        <v>4235</v>
      </c>
      <c r="F1013" s="252" t="s">
        <v>1417</v>
      </c>
      <c r="G1013" s="253" t="s">
        <v>1417</v>
      </c>
      <c r="H1013" s="253" t="s">
        <v>34</v>
      </c>
      <c r="I1013" s="253" t="s">
        <v>34</v>
      </c>
      <c r="J1013" s="253" t="s">
        <v>611</v>
      </c>
      <c r="K1013" s="253" t="s">
        <v>49</v>
      </c>
      <c r="L1013" s="655"/>
      <c r="M1013" s="655" t="s">
        <v>34</v>
      </c>
      <c r="N1013" s="253" t="s">
        <v>3627</v>
      </c>
      <c r="O1013" s="253" t="s">
        <v>1321</v>
      </c>
      <c r="P1013" s="656">
        <v>42783</v>
      </c>
      <c r="Q1013" s="657">
        <v>42.182143000000003</v>
      </c>
      <c r="R1013" s="657">
        <v>70.701152717213091</v>
      </c>
      <c r="S1013" s="253">
        <v>6</v>
      </c>
      <c r="T1013" s="658">
        <v>1.5652715438546405E-2</v>
      </c>
      <c r="U1013" s="659">
        <v>0.78269917159220515</v>
      </c>
      <c r="V1013" s="658">
        <v>2.9432341986414645E-2</v>
      </c>
      <c r="W1013" s="659">
        <v>0.22825693832837116</v>
      </c>
      <c r="X1013" s="658">
        <v>7.0075846116374407E-2</v>
      </c>
      <c r="Y1013" s="659">
        <v>0.36292228681905636</v>
      </c>
      <c r="Z1013" s="658">
        <v>0.13913370047153939</v>
      </c>
      <c r="AA1013" s="659">
        <v>0.6282271997747183</v>
      </c>
      <c r="AB1013" s="658">
        <v>6.8591122191613466E-2</v>
      </c>
      <c r="AC1013" s="660">
        <v>-1.4507936928394625</v>
      </c>
      <c r="AD1013" s="682">
        <v>23720107000100</v>
      </c>
      <c r="AE1013" s="944" t="s">
        <v>1813</v>
      </c>
      <c r="AF1013" s="661" t="s">
        <v>1814</v>
      </c>
      <c r="AG1013" s="662" t="s">
        <v>1436</v>
      </c>
      <c r="AH1013" s="662" t="s">
        <v>1730</v>
      </c>
      <c r="AI1013" s="662">
        <v>5000</v>
      </c>
      <c r="AJ1013" s="662">
        <v>1000</v>
      </c>
      <c r="AK1013" s="662">
        <v>1000</v>
      </c>
      <c r="AL1013" s="658">
        <v>9.300000000000001E-3</v>
      </c>
      <c r="AM1013" s="658">
        <v>0</v>
      </c>
      <c r="AN1013" s="659" t="s">
        <v>64</v>
      </c>
      <c r="AO1013" s="253" t="s">
        <v>34</v>
      </c>
      <c r="AP1013" s="944" t="s">
        <v>1746</v>
      </c>
      <c r="AQ1013" s="663" t="s">
        <v>679</v>
      </c>
      <c r="AR1013" s="658">
        <v>0</v>
      </c>
      <c r="AS1013" s="658">
        <v>0</v>
      </c>
      <c r="AT1013" s="658" t="s">
        <v>1417</v>
      </c>
      <c r="AU1013" s="658" t="s">
        <v>2751</v>
      </c>
      <c r="AX1013"/>
      <c r="AY1013"/>
      <c r="BA1013"/>
      <c r="BB1013"/>
      <c r="BC1013"/>
      <c r="BD1013"/>
      <c r="BE1013"/>
      <c r="BF1013"/>
      <c r="BG1013"/>
      <c r="BH1013"/>
      <c r="BI1013"/>
      <c r="BJ1013"/>
      <c r="BR1013"/>
      <c r="BS1013"/>
      <c r="BT1013"/>
      <c r="BU1013"/>
      <c r="BX1013"/>
      <c r="BY1013"/>
      <c r="CA1013"/>
    </row>
    <row r="1014" spans="2:79" ht="18.75">
      <c r="B1014" s="252" t="s">
        <v>1660</v>
      </c>
      <c r="C1014" s="251">
        <v>28651567000147</v>
      </c>
      <c r="D1014" s="252" t="s">
        <v>13</v>
      </c>
      <c r="E1014" s="252" t="s">
        <v>616</v>
      </c>
      <c r="F1014" s="252" t="s">
        <v>617</v>
      </c>
      <c r="G1014" s="253" t="s">
        <v>34</v>
      </c>
      <c r="H1014" s="253" t="s">
        <v>865</v>
      </c>
      <c r="I1014" s="253" t="s">
        <v>34</v>
      </c>
      <c r="J1014" s="253" t="s">
        <v>608</v>
      </c>
      <c r="K1014" s="253" t="s">
        <v>48</v>
      </c>
      <c r="L1014" s="655"/>
      <c r="M1014" s="655" t="s">
        <v>34</v>
      </c>
      <c r="N1014" s="253" t="s">
        <v>3628</v>
      </c>
      <c r="O1014" s="253" t="s">
        <v>1321</v>
      </c>
      <c r="P1014" s="656">
        <v>43481</v>
      </c>
      <c r="Q1014" s="657">
        <v>0.34120116</v>
      </c>
      <c r="R1014" s="657">
        <v>1.2789175281659393</v>
      </c>
      <c r="S1014" s="253">
        <v>17</v>
      </c>
      <c r="T1014" s="658">
        <v>-0.11375563698154101</v>
      </c>
      <c r="U1014" s="659">
        <v>-5.6882426042279191</v>
      </c>
      <c r="V1014" s="658">
        <v>-3.5466609472015853E-2</v>
      </c>
      <c r="W1014" s="659">
        <v>-0.27505455375270715</v>
      </c>
      <c r="X1014" s="658">
        <v>-4.4914108484318316E-2</v>
      </c>
      <c r="Y1014" s="659">
        <v>-0.23260983441424529</v>
      </c>
      <c r="Z1014" s="658">
        <v>3.7318953113273823E-2</v>
      </c>
      <c r="AA1014" s="659">
        <v>0.16850541122258</v>
      </c>
      <c r="AB1014" s="658">
        <v>8.2065588156640321E-2</v>
      </c>
      <c r="AC1014" s="660">
        <v>-2.0034038945165467</v>
      </c>
      <c r="AD1014" s="682">
        <v>25530044000154</v>
      </c>
      <c r="AE1014" s="944" t="s">
        <v>1813</v>
      </c>
      <c r="AF1014" s="661" t="s">
        <v>1814</v>
      </c>
      <c r="AG1014" s="662" t="s">
        <v>1436</v>
      </c>
      <c r="AH1014" s="662" t="s">
        <v>1734</v>
      </c>
      <c r="AI1014" s="662">
        <v>500</v>
      </c>
      <c r="AJ1014" s="662">
        <v>100</v>
      </c>
      <c r="AK1014" s="662">
        <v>100</v>
      </c>
      <c r="AL1014" s="658">
        <v>0.02</v>
      </c>
      <c r="AM1014" s="658">
        <v>0</v>
      </c>
      <c r="AN1014" s="659" t="s">
        <v>64</v>
      </c>
      <c r="AO1014" s="253" t="s">
        <v>34</v>
      </c>
      <c r="AP1014" s="944" t="s">
        <v>1746</v>
      </c>
      <c r="AQ1014" s="663" t="s">
        <v>668</v>
      </c>
      <c r="AR1014" s="658">
        <v>0</v>
      </c>
      <c r="AS1014" s="658">
        <v>0</v>
      </c>
      <c r="AT1014" s="658" t="s">
        <v>1417</v>
      </c>
      <c r="AU1014" s="658" t="s">
        <v>2751</v>
      </c>
      <c r="AX1014"/>
      <c r="AY1014"/>
      <c r="BA1014"/>
      <c r="BB1014"/>
      <c r="BC1014"/>
      <c r="BD1014"/>
      <c r="BE1014"/>
      <c r="BF1014"/>
      <c r="BG1014"/>
      <c r="BH1014"/>
      <c r="BI1014"/>
      <c r="BJ1014"/>
      <c r="BR1014"/>
      <c r="BS1014"/>
      <c r="BT1014"/>
      <c r="BU1014"/>
      <c r="BX1014"/>
      <c r="BY1014"/>
      <c r="CA1014"/>
    </row>
    <row r="1015" spans="2:79" ht="18.75">
      <c r="B1015" s="252" t="s">
        <v>1661</v>
      </c>
      <c r="C1015" s="251">
        <v>32999290000115</v>
      </c>
      <c r="D1015" s="252" t="s">
        <v>14</v>
      </c>
      <c r="E1015" s="252" t="s">
        <v>614</v>
      </c>
      <c r="F1015" s="252" t="s">
        <v>1417</v>
      </c>
      <c r="G1015" s="253" t="s">
        <v>1417</v>
      </c>
      <c r="H1015" s="253" t="s">
        <v>1338</v>
      </c>
      <c r="I1015" s="253" t="s">
        <v>34</v>
      </c>
      <c r="J1015" s="253" t="s">
        <v>608</v>
      </c>
      <c r="K1015" s="253" t="s">
        <v>48</v>
      </c>
      <c r="L1015" s="655"/>
      <c r="M1015" s="655" t="s">
        <v>34</v>
      </c>
      <c r="N1015" s="253" t="s">
        <v>3629</v>
      </c>
      <c r="O1015" s="253" t="s">
        <v>1324</v>
      </c>
      <c r="P1015" s="656">
        <v>43664</v>
      </c>
      <c r="Q1015" s="657">
        <v>10.766916030000001</v>
      </c>
      <c r="R1015" s="657">
        <v>21.038325543185497</v>
      </c>
      <c r="S1015" s="253">
        <v>29</v>
      </c>
      <c r="T1015" s="658">
        <v>-5.3901939377436037E-2</v>
      </c>
      <c r="U1015" s="659">
        <v>-2.695315292964295</v>
      </c>
      <c r="V1015" s="658">
        <v>-0.15688663881957199</v>
      </c>
      <c r="W1015" s="659">
        <v>-1.2167045306185233</v>
      </c>
      <c r="X1015" s="658">
        <v>-0.35861959752664663</v>
      </c>
      <c r="Y1015" s="659">
        <v>-1.8572882333287761</v>
      </c>
      <c r="Z1015" s="658">
        <v>-0.36107249697720878</v>
      </c>
      <c r="AA1015" s="659">
        <v>-1.6303423464113056</v>
      </c>
      <c r="AB1015" s="658">
        <v>0.29258008079451137</v>
      </c>
      <c r="AC1015" s="660">
        <v>-0.97693099096212421</v>
      </c>
      <c r="AD1015" s="682">
        <v>23960625000109</v>
      </c>
      <c r="AE1015" s="944" t="s">
        <v>1813</v>
      </c>
      <c r="AF1015" s="661" t="s">
        <v>1814</v>
      </c>
      <c r="AG1015" s="662" t="s">
        <v>1436</v>
      </c>
      <c r="AH1015" s="662" t="s">
        <v>1734</v>
      </c>
      <c r="AI1015" s="662">
        <v>5000</v>
      </c>
      <c r="AJ1015" s="662">
        <v>1000</v>
      </c>
      <c r="AK1015" s="662">
        <v>5000</v>
      </c>
      <c r="AL1015" s="658">
        <v>2.5000000000000001E-2</v>
      </c>
      <c r="AM1015" s="658">
        <v>0</v>
      </c>
      <c r="AN1015" s="659" t="s">
        <v>64</v>
      </c>
      <c r="AO1015" s="253" t="s">
        <v>34</v>
      </c>
      <c r="AP1015" s="944" t="s">
        <v>1746</v>
      </c>
      <c r="AQ1015" s="663" t="s">
        <v>668</v>
      </c>
      <c r="AR1015" s="658">
        <v>0</v>
      </c>
      <c r="AS1015" s="658">
        <v>0</v>
      </c>
      <c r="AT1015" s="658" t="s">
        <v>1417</v>
      </c>
      <c r="AU1015" s="658" t="s">
        <v>2751</v>
      </c>
      <c r="AX1015"/>
      <c r="AY1015"/>
      <c r="BA1015"/>
      <c r="BB1015"/>
      <c r="BC1015"/>
      <c r="BD1015"/>
      <c r="BE1015"/>
      <c r="BF1015"/>
      <c r="BG1015"/>
      <c r="BH1015"/>
      <c r="BI1015"/>
      <c r="BJ1015"/>
      <c r="BR1015"/>
      <c r="BS1015"/>
      <c r="BT1015"/>
      <c r="BU1015"/>
      <c r="BX1015"/>
      <c r="BY1015"/>
      <c r="CA1015"/>
    </row>
    <row r="1016" spans="2:79" ht="18.75">
      <c r="B1016" s="252" t="s">
        <v>1662</v>
      </c>
      <c r="C1016" s="251">
        <v>21940710000171</v>
      </c>
      <c r="D1016" s="252" t="s">
        <v>13</v>
      </c>
      <c r="E1016" s="252" t="s">
        <v>616</v>
      </c>
      <c r="F1016" s="252" t="s">
        <v>617</v>
      </c>
      <c r="G1016" s="253" t="s">
        <v>34</v>
      </c>
      <c r="H1016" s="253" t="s">
        <v>1337</v>
      </c>
      <c r="I1016" s="253" t="s">
        <v>34</v>
      </c>
      <c r="J1016" s="253" t="s">
        <v>608</v>
      </c>
      <c r="K1016" s="253" t="s">
        <v>48</v>
      </c>
      <c r="L1016" s="655"/>
      <c r="M1016" s="655" t="s">
        <v>34</v>
      </c>
      <c r="N1016" s="253" t="s">
        <v>3630</v>
      </c>
      <c r="O1016" s="253" t="s">
        <v>1321</v>
      </c>
      <c r="P1016" s="656">
        <v>42165</v>
      </c>
      <c r="Q1016" s="657">
        <v>372.13583499999999</v>
      </c>
      <c r="R1016" s="657">
        <v>344.18767366530602</v>
      </c>
      <c r="S1016" s="253">
        <v>91</v>
      </c>
      <c r="T1016" s="658">
        <v>1.5869915825257319E-2</v>
      </c>
      <c r="U1016" s="659">
        <v>0.79356007067489653</v>
      </c>
      <c r="V1016" s="658">
        <v>0.14100974985438719</v>
      </c>
      <c r="W1016" s="659">
        <v>1.0935743336724104</v>
      </c>
      <c r="X1016" s="658">
        <v>0.21738731657466026</v>
      </c>
      <c r="Y1016" s="659">
        <v>1.1258472987356305</v>
      </c>
      <c r="Z1016" s="658">
        <v>0.43476311858070216</v>
      </c>
      <c r="AA1016" s="659">
        <v>1.9630759163711644</v>
      </c>
      <c r="AB1016" s="658">
        <v>2.4875344102376736E-2</v>
      </c>
      <c r="AC1016" s="660">
        <v>0.48505220100436708</v>
      </c>
      <c r="AD1016" s="682">
        <v>19366052000104</v>
      </c>
      <c r="AE1016" s="944" t="s">
        <v>1813</v>
      </c>
      <c r="AF1016" s="661" t="s">
        <v>1814</v>
      </c>
      <c r="AG1016" s="662" t="s">
        <v>1436</v>
      </c>
      <c r="AH1016" s="662" t="s">
        <v>1734</v>
      </c>
      <c r="AI1016" s="662">
        <v>50000</v>
      </c>
      <c r="AJ1016" s="662">
        <v>5000</v>
      </c>
      <c r="AK1016" s="662">
        <v>5000</v>
      </c>
      <c r="AL1016" s="658">
        <v>0</v>
      </c>
      <c r="AM1016" s="658">
        <v>0</v>
      </c>
      <c r="AN1016" s="659" t="s">
        <v>64</v>
      </c>
      <c r="AO1016" s="253" t="s">
        <v>34</v>
      </c>
      <c r="AP1016" s="944" t="s">
        <v>1746</v>
      </c>
      <c r="AQ1016" s="663" t="s">
        <v>668</v>
      </c>
      <c r="AR1016" s="658">
        <v>0</v>
      </c>
      <c r="AS1016" s="658">
        <v>0</v>
      </c>
      <c r="AT1016" s="658" t="s">
        <v>1417</v>
      </c>
      <c r="AU1016" s="658" t="s">
        <v>2751</v>
      </c>
      <c r="AX1016"/>
      <c r="AY1016"/>
      <c r="BA1016"/>
      <c r="BB1016"/>
      <c r="BC1016"/>
      <c r="BD1016"/>
      <c r="BE1016"/>
      <c r="BF1016"/>
      <c r="BG1016"/>
      <c r="BH1016"/>
      <c r="BI1016"/>
      <c r="BJ1016"/>
      <c r="BR1016"/>
      <c r="BS1016"/>
      <c r="BT1016"/>
      <c r="BU1016"/>
      <c r="BX1016"/>
      <c r="BY1016"/>
      <c r="CA1016"/>
    </row>
    <row r="1017" spans="2:79" ht="18.75">
      <c r="B1017" s="252" t="s">
        <v>1663</v>
      </c>
      <c r="C1017" s="251">
        <v>11702491000139</v>
      </c>
      <c r="D1017" s="252" t="s">
        <v>13</v>
      </c>
      <c r="E1017" s="252" t="s">
        <v>616</v>
      </c>
      <c r="F1017" s="252" t="s">
        <v>617</v>
      </c>
      <c r="G1017" s="253" t="s">
        <v>34</v>
      </c>
      <c r="H1017" s="253" t="s">
        <v>1337</v>
      </c>
      <c r="I1017" s="253" t="s">
        <v>34</v>
      </c>
      <c r="J1017" s="253" t="s">
        <v>608</v>
      </c>
      <c r="K1017" s="253" t="s">
        <v>48</v>
      </c>
      <c r="L1017" s="655"/>
      <c r="M1017" s="655" t="s">
        <v>34</v>
      </c>
      <c r="N1017" s="253" t="s">
        <v>3631</v>
      </c>
      <c r="O1017" s="253" t="s">
        <v>1321</v>
      </c>
      <c r="P1017" s="656">
        <v>40531</v>
      </c>
      <c r="Q1017" s="657">
        <v>16.602739</v>
      </c>
      <c r="R1017" s="657">
        <v>15.305086221311479</v>
      </c>
      <c r="S1017" s="253">
        <v>16</v>
      </c>
      <c r="T1017" s="658">
        <v>1.6194712183608795E-2</v>
      </c>
      <c r="U1017" s="659">
        <v>0.80980120414569534</v>
      </c>
      <c r="V1017" s="658">
        <v>0.12377092977568704</v>
      </c>
      <c r="W1017" s="659">
        <v>0.95988193864064553</v>
      </c>
      <c r="X1017" s="658">
        <v>0.18343611832314255</v>
      </c>
      <c r="Y1017" s="659">
        <v>0.95001429503239321</v>
      </c>
      <c r="Z1017" s="658">
        <v>0.28718120915336875</v>
      </c>
      <c r="AA1017" s="659">
        <v>1.2967027128789943</v>
      </c>
      <c r="AB1017" s="658">
        <v>1.3906693275701602E-2</v>
      </c>
      <c r="AC1017" s="660">
        <v>-0.37197769221959975</v>
      </c>
      <c r="AD1017" s="682">
        <v>7279819000189</v>
      </c>
      <c r="AE1017" s="944" t="s">
        <v>1813</v>
      </c>
      <c r="AF1017" s="661" t="s">
        <v>1814</v>
      </c>
      <c r="AG1017" s="662" t="s">
        <v>1436</v>
      </c>
      <c r="AH1017" s="662" t="s">
        <v>1734</v>
      </c>
      <c r="AI1017" s="662">
        <v>50000</v>
      </c>
      <c r="AJ1017" s="662">
        <v>5000</v>
      </c>
      <c r="AK1017" s="662">
        <v>5000</v>
      </c>
      <c r="AL1017" s="658">
        <v>2.2000000000000002E-2</v>
      </c>
      <c r="AM1017" s="658">
        <v>0</v>
      </c>
      <c r="AN1017" s="659" t="s">
        <v>64</v>
      </c>
      <c r="AO1017" s="253" t="s">
        <v>34</v>
      </c>
      <c r="AP1017" s="944" t="s">
        <v>1746</v>
      </c>
      <c r="AQ1017" s="663" t="s">
        <v>668</v>
      </c>
      <c r="AR1017" s="658">
        <v>0</v>
      </c>
      <c r="AS1017" s="658">
        <v>0</v>
      </c>
      <c r="AT1017" s="658" t="s">
        <v>1417</v>
      </c>
      <c r="AU1017" s="658" t="s">
        <v>2751</v>
      </c>
      <c r="AX1017"/>
      <c r="AY1017"/>
      <c r="BA1017"/>
      <c r="BB1017"/>
      <c r="BC1017"/>
      <c r="BD1017"/>
      <c r="BE1017"/>
      <c r="BF1017"/>
      <c r="BG1017"/>
      <c r="BH1017"/>
      <c r="BI1017"/>
      <c r="BJ1017"/>
      <c r="BR1017"/>
      <c r="BS1017"/>
      <c r="BT1017"/>
      <c r="BU1017"/>
      <c r="BX1017"/>
      <c r="BY1017"/>
      <c r="CA1017"/>
    </row>
    <row r="1018" spans="2:79" ht="18.75">
      <c r="B1018" s="252" t="s">
        <v>1664</v>
      </c>
      <c r="C1018" s="251">
        <v>19391009000107</v>
      </c>
      <c r="D1018" s="252" t="s">
        <v>13</v>
      </c>
      <c r="E1018" s="252" t="s">
        <v>616</v>
      </c>
      <c r="F1018" s="252" t="s">
        <v>617</v>
      </c>
      <c r="G1018" s="253" t="s">
        <v>34</v>
      </c>
      <c r="H1018" s="253" t="s">
        <v>1337</v>
      </c>
      <c r="I1018" s="253" t="s">
        <v>34</v>
      </c>
      <c r="J1018" s="253" t="s">
        <v>608</v>
      </c>
      <c r="K1018" s="253" t="s">
        <v>48</v>
      </c>
      <c r="L1018" s="655"/>
      <c r="M1018" s="655" t="s">
        <v>34</v>
      </c>
      <c r="N1018" s="253" t="s">
        <v>3632</v>
      </c>
      <c r="O1018" s="253" t="s">
        <v>1321</v>
      </c>
      <c r="P1018" s="656">
        <v>41756</v>
      </c>
      <c r="Q1018" s="657">
        <v>88.427992000000003</v>
      </c>
      <c r="R1018" s="657">
        <v>85.194932000000023</v>
      </c>
      <c r="S1018" s="253">
        <v>15</v>
      </c>
      <c r="T1018" s="658">
        <v>1.4221234653700288E-2</v>
      </c>
      <c r="U1018" s="659">
        <v>0.71111933428869989</v>
      </c>
      <c r="V1018" s="658">
        <v>0.15918515734038285</v>
      </c>
      <c r="W1018" s="659">
        <v>1.2345302544597831</v>
      </c>
      <c r="X1018" s="658">
        <v>0.23334593518077607</v>
      </c>
      <c r="Y1018" s="659">
        <v>1.208496866025712</v>
      </c>
      <c r="Z1018" s="658">
        <v>0.30069557066706309</v>
      </c>
      <c r="AA1018" s="659">
        <v>1.3577237987964792</v>
      </c>
      <c r="AB1018" s="658">
        <v>4.3390077652565799E-2</v>
      </c>
      <c r="AC1018" s="660">
        <v>0.69696229022088962</v>
      </c>
      <c r="AD1018" s="682">
        <v>18772290000157</v>
      </c>
      <c r="AE1018" s="944" t="s">
        <v>1813</v>
      </c>
      <c r="AF1018" s="661" t="s">
        <v>1814</v>
      </c>
      <c r="AG1018" s="662" t="s">
        <v>1436</v>
      </c>
      <c r="AH1018" s="662" t="s">
        <v>1734</v>
      </c>
      <c r="AI1018" s="662">
        <v>10000</v>
      </c>
      <c r="AJ1018" s="662">
        <v>5000</v>
      </c>
      <c r="AK1018" s="662">
        <v>10000</v>
      </c>
      <c r="AL1018" s="658">
        <v>2.3E-2</v>
      </c>
      <c r="AM1018" s="658">
        <v>0</v>
      </c>
      <c r="AN1018" s="659" t="s">
        <v>64</v>
      </c>
      <c r="AO1018" s="253" t="s">
        <v>34</v>
      </c>
      <c r="AP1018" s="944" t="s">
        <v>1746</v>
      </c>
      <c r="AQ1018" s="663" t="s">
        <v>674</v>
      </c>
      <c r="AR1018" s="658">
        <v>0</v>
      </c>
      <c r="AS1018" s="658">
        <v>0</v>
      </c>
      <c r="AT1018" s="658" t="s">
        <v>1417</v>
      </c>
      <c r="AU1018" s="658" t="s">
        <v>2751</v>
      </c>
      <c r="AX1018"/>
      <c r="AY1018"/>
      <c r="BA1018"/>
      <c r="BB1018"/>
      <c r="BC1018"/>
      <c r="BD1018"/>
      <c r="BE1018"/>
      <c r="BF1018"/>
      <c r="BG1018"/>
      <c r="BH1018"/>
      <c r="BI1018"/>
      <c r="BJ1018"/>
      <c r="BR1018"/>
      <c r="BS1018"/>
      <c r="BT1018"/>
      <c r="BU1018"/>
      <c r="BX1018"/>
      <c r="BY1018"/>
      <c r="CA1018"/>
    </row>
    <row r="1019" spans="2:79" ht="18.75">
      <c r="B1019" s="252" t="s">
        <v>1665</v>
      </c>
      <c r="C1019" s="251">
        <v>19436830000194</v>
      </c>
      <c r="D1019" s="252" t="s">
        <v>14</v>
      </c>
      <c r="E1019" s="252" t="s">
        <v>614</v>
      </c>
      <c r="F1019" s="252" t="s">
        <v>1417</v>
      </c>
      <c r="G1019" s="253" t="s">
        <v>1417</v>
      </c>
      <c r="H1019" s="253" t="s">
        <v>865</v>
      </c>
      <c r="I1019" s="253" t="s">
        <v>34</v>
      </c>
      <c r="J1019" s="253" t="s">
        <v>608</v>
      </c>
      <c r="K1019" s="253" t="s">
        <v>48</v>
      </c>
      <c r="L1019" s="655"/>
      <c r="M1019" s="655" t="s">
        <v>34</v>
      </c>
      <c r="N1019" s="253" t="s">
        <v>3633</v>
      </c>
      <c r="O1019" s="253" t="s">
        <v>1321</v>
      </c>
      <c r="P1019" s="656">
        <v>41759</v>
      </c>
      <c r="Q1019" s="657">
        <v>230.599232</v>
      </c>
      <c r="R1019" s="657">
        <v>244.39806373577244</v>
      </c>
      <c r="S1019" s="253">
        <v>63</v>
      </c>
      <c r="T1019" s="658">
        <v>5.4583379679991051E-3</v>
      </c>
      <c r="U1019" s="659">
        <v>0.27293900681937666</v>
      </c>
      <c r="V1019" s="658">
        <v>0.16881685563669047</v>
      </c>
      <c r="W1019" s="659">
        <v>1.3092270612933183</v>
      </c>
      <c r="X1019" s="658">
        <v>0.25898457349236836</v>
      </c>
      <c r="Y1019" s="659">
        <v>1.3412791835095037</v>
      </c>
      <c r="Z1019" s="658">
        <v>0.3269379552120284</v>
      </c>
      <c r="AA1019" s="659">
        <v>1.4762154345556191</v>
      </c>
      <c r="AB1019" s="658">
        <v>0.162369685037143</v>
      </c>
      <c r="AC1019" s="660">
        <v>0.24556890764911535</v>
      </c>
      <c r="AD1019" s="682">
        <v>26218464000162</v>
      </c>
      <c r="AE1019" s="944" t="s">
        <v>1813</v>
      </c>
      <c r="AF1019" s="661" t="s">
        <v>1814</v>
      </c>
      <c r="AG1019" s="662" t="s">
        <v>1436</v>
      </c>
      <c r="AH1019" s="662" t="s">
        <v>1730</v>
      </c>
      <c r="AI1019" s="662">
        <v>10000</v>
      </c>
      <c r="AJ1019" s="662">
        <v>10000</v>
      </c>
      <c r="AK1019" s="662">
        <v>10000</v>
      </c>
      <c r="AL1019" s="658">
        <v>2.2000000000000002E-2</v>
      </c>
      <c r="AM1019" s="658">
        <v>0</v>
      </c>
      <c r="AN1019" s="659" t="s">
        <v>2122</v>
      </c>
      <c r="AO1019" s="253" t="s">
        <v>34</v>
      </c>
      <c r="AP1019" s="944" t="s">
        <v>1731</v>
      </c>
      <c r="AQ1019" s="663" t="s">
        <v>659</v>
      </c>
      <c r="AR1019" s="658">
        <v>0</v>
      </c>
      <c r="AS1019" s="658">
        <v>0</v>
      </c>
      <c r="AT1019" s="658" t="s">
        <v>1417</v>
      </c>
      <c r="AU1019" s="658" t="s">
        <v>2751</v>
      </c>
      <c r="AX1019"/>
      <c r="AY1019"/>
      <c r="BA1019"/>
      <c r="BB1019"/>
      <c r="BC1019"/>
      <c r="BD1019"/>
      <c r="BE1019"/>
      <c r="BF1019"/>
      <c r="BG1019"/>
      <c r="BH1019"/>
      <c r="BI1019"/>
      <c r="BJ1019"/>
      <c r="BR1019"/>
      <c r="BS1019"/>
      <c r="BT1019"/>
      <c r="BU1019"/>
      <c r="BX1019"/>
      <c r="BY1019"/>
      <c r="CA1019"/>
    </row>
    <row r="1020" spans="2:79" ht="18.75">
      <c r="B1020" s="252" t="s">
        <v>1666</v>
      </c>
      <c r="C1020" s="251">
        <v>12483948000124</v>
      </c>
      <c r="D1020" s="252" t="s">
        <v>13</v>
      </c>
      <c r="E1020" s="252" t="s">
        <v>615</v>
      </c>
      <c r="F1020" s="252" t="s">
        <v>619</v>
      </c>
      <c r="G1020" s="253" t="s">
        <v>34</v>
      </c>
      <c r="H1020" s="253" t="s">
        <v>1338</v>
      </c>
      <c r="I1020" s="253" t="s">
        <v>34</v>
      </c>
      <c r="J1020" s="253" t="s">
        <v>611</v>
      </c>
      <c r="K1020" s="253" t="s">
        <v>48</v>
      </c>
      <c r="L1020" s="655"/>
      <c r="M1020" s="655" t="s">
        <v>34</v>
      </c>
      <c r="N1020" s="253" t="s">
        <v>3634</v>
      </c>
      <c r="O1020" s="253" t="s">
        <v>1324</v>
      </c>
      <c r="P1020" s="656">
        <v>40584</v>
      </c>
      <c r="Q1020" s="657">
        <v>0</v>
      </c>
      <c r="R1020" s="657">
        <v>76.953733532258028</v>
      </c>
      <c r="S1020" s="253">
        <v>61</v>
      </c>
      <c r="T1020" s="658"/>
      <c r="U1020" s="659"/>
      <c r="V1020" s="658">
        <v>9.3939103735989571E-2</v>
      </c>
      <c r="W1020" s="659">
        <v>0.72852687760918</v>
      </c>
      <c r="X1020" s="658">
        <v>0.18774190390152978</v>
      </c>
      <c r="Y1020" s="659">
        <v>0.97231392657827131</v>
      </c>
      <c r="Z1020" s="658">
        <v>0.32124558250680257</v>
      </c>
      <c r="AA1020" s="659">
        <v>1.4505127949179306</v>
      </c>
      <c r="AB1020" s="658">
        <v>3.711432034683413E-2</v>
      </c>
      <c r="AC1020" s="660">
        <v>-0.94316170641623265</v>
      </c>
      <c r="AD1020" s="682">
        <v>38452255000168</v>
      </c>
      <c r="AE1020" s="944" t="s">
        <v>1813</v>
      </c>
      <c r="AF1020" s="661" t="s">
        <v>1814</v>
      </c>
      <c r="AG1020" s="662" t="s">
        <v>1436</v>
      </c>
      <c r="AH1020" s="662" t="s">
        <v>1734</v>
      </c>
      <c r="AI1020" s="662">
        <v>5000</v>
      </c>
      <c r="AJ1020" s="662">
        <v>1000</v>
      </c>
      <c r="AK1020" s="662">
        <v>5000</v>
      </c>
      <c r="AL1020" s="658">
        <v>2.3E-2</v>
      </c>
      <c r="AM1020" s="658">
        <v>0</v>
      </c>
      <c r="AN1020" s="659" t="s">
        <v>64</v>
      </c>
      <c r="AO1020" s="253" t="s">
        <v>34</v>
      </c>
      <c r="AP1020" s="944" t="s">
        <v>1746</v>
      </c>
      <c r="AQ1020" s="663" t="s">
        <v>668</v>
      </c>
      <c r="AR1020" s="658">
        <v>0</v>
      </c>
      <c r="AS1020" s="658">
        <v>0</v>
      </c>
      <c r="AT1020" s="658" t="s">
        <v>1417</v>
      </c>
      <c r="AU1020" s="658" t="s">
        <v>2751</v>
      </c>
      <c r="AX1020"/>
      <c r="AY1020"/>
      <c r="BA1020"/>
      <c r="BB1020"/>
      <c r="BC1020"/>
      <c r="BD1020"/>
      <c r="BE1020"/>
      <c r="BF1020"/>
      <c r="BG1020"/>
      <c r="BH1020"/>
      <c r="BI1020"/>
      <c r="BJ1020"/>
      <c r="BR1020"/>
      <c r="BS1020"/>
      <c r="BT1020"/>
      <c r="BU1020"/>
      <c r="BX1020"/>
      <c r="BY1020"/>
      <c r="CA1020"/>
    </row>
    <row r="1021" spans="2:79" ht="18.75">
      <c r="B1021" s="252" t="s">
        <v>1667</v>
      </c>
      <c r="C1021" s="251">
        <v>36400100000152</v>
      </c>
      <c r="D1021" s="252" t="s">
        <v>13</v>
      </c>
      <c r="E1021" s="252" t="s">
        <v>615</v>
      </c>
      <c r="F1021" s="252" t="s">
        <v>619</v>
      </c>
      <c r="G1021" s="253" t="s">
        <v>34</v>
      </c>
      <c r="H1021" s="253" t="s">
        <v>1338</v>
      </c>
      <c r="I1021" s="253" t="s">
        <v>34</v>
      </c>
      <c r="J1021" s="253" t="s">
        <v>611</v>
      </c>
      <c r="K1021" s="253" t="s">
        <v>48</v>
      </c>
      <c r="L1021" s="655"/>
      <c r="M1021" s="655" t="s">
        <v>34</v>
      </c>
      <c r="N1021" s="253" t="s">
        <v>3635</v>
      </c>
      <c r="O1021" s="253" t="s">
        <v>1321</v>
      </c>
      <c r="P1021" s="656">
        <v>44013</v>
      </c>
      <c r="Q1021" s="657">
        <v>205.76826439000001</v>
      </c>
      <c r="R1021" s="657">
        <v>234.75267822008064</v>
      </c>
      <c r="S1021" s="253">
        <v>181</v>
      </c>
      <c r="T1021" s="658">
        <v>2.5998692827633896E-2</v>
      </c>
      <c r="U1021" s="659">
        <v>1.3000399463314454</v>
      </c>
      <c r="V1021" s="658">
        <v>0.23352186403874509</v>
      </c>
      <c r="W1021" s="659">
        <v>1.8110344648353727</v>
      </c>
      <c r="X1021" s="658">
        <v>0.49139589321662469</v>
      </c>
      <c r="Y1021" s="659">
        <v>2.5449356830241459</v>
      </c>
      <c r="Z1021" s="658"/>
      <c r="AA1021" s="659"/>
      <c r="AB1021" s="658">
        <v>0.2246388665420119</v>
      </c>
      <c r="AC1021" s="660">
        <v>0.46553811547299001</v>
      </c>
      <c r="AD1021" s="682">
        <v>36181763000123</v>
      </c>
      <c r="AE1021" s="944" t="s">
        <v>1813</v>
      </c>
      <c r="AF1021" s="661" t="s">
        <v>1814</v>
      </c>
      <c r="AG1021" s="662" t="s">
        <v>1436</v>
      </c>
      <c r="AH1021" s="662" t="s">
        <v>1801</v>
      </c>
      <c r="AI1021" s="662">
        <v>0</v>
      </c>
      <c r="AJ1021" s="662">
        <v>0</v>
      </c>
      <c r="AK1021" s="662">
        <v>0</v>
      </c>
      <c r="AL1021" s="658">
        <v>0</v>
      </c>
      <c r="AM1021" s="658">
        <v>0</v>
      </c>
      <c r="AN1021" s="659" t="s">
        <v>64</v>
      </c>
      <c r="AO1021" s="253" t="s">
        <v>34</v>
      </c>
      <c r="AP1021" s="944" t="s">
        <v>1746</v>
      </c>
      <c r="AQ1021" s="663" t="s">
        <v>679</v>
      </c>
      <c r="AR1021" s="658">
        <v>0</v>
      </c>
      <c r="AS1021" s="658">
        <v>0</v>
      </c>
      <c r="AT1021" s="658" t="s">
        <v>1417</v>
      </c>
      <c r="AU1021" s="658" t="s">
        <v>2751</v>
      </c>
      <c r="AX1021"/>
      <c r="AY1021"/>
      <c r="BA1021"/>
      <c r="BB1021"/>
      <c r="BC1021"/>
      <c r="BD1021"/>
      <c r="BE1021"/>
      <c r="BF1021"/>
      <c r="BG1021"/>
      <c r="BH1021"/>
      <c r="BI1021"/>
      <c r="BJ1021"/>
      <c r="BR1021"/>
      <c r="BS1021"/>
      <c r="BT1021"/>
      <c r="BU1021"/>
      <c r="BX1021"/>
      <c r="BY1021"/>
      <c r="CA1021"/>
    </row>
    <row r="1022" spans="2:79" ht="18.75">
      <c r="B1022" s="252" t="s">
        <v>1668</v>
      </c>
      <c r="C1022" s="251">
        <v>14476715000120</v>
      </c>
      <c r="D1022" s="252" t="s">
        <v>14</v>
      </c>
      <c r="E1022" s="252" t="s">
        <v>1417</v>
      </c>
      <c r="F1022" s="252" t="s">
        <v>1417</v>
      </c>
      <c r="G1022" s="253" t="s">
        <v>1417</v>
      </c>
      <c r="H1022" s="253" t="s">
        <v>34</v>
      </c>
      <c r="I1022" s="253" t="s">
        <v>1417</v>
      </c>
      <c r="J1022" s="253" t="s">
        <v>1417</v>
      </c>
      <c r="K1022" s="253" t="s">
        <v>1417</v>
      </c>
      <c r="L1022" s="655"/>
      <c r="M1022" s="655" t="s">
        <v>34</v>
      </c>
      <c r="N1022" s="253" t="s">
        <v>3636</v>
      </c>
      <c r="O1022" s="253" t="s">
        <v>1321</v>
      </c>
      <c r="P1022" s="656">
        <v>41091</v>
      </c>
      <c r="Q1022" s="657">
        <v>17.752559999999999</v>
      </c>
      <c r="R1022" s="657">
        <v>27.761113372950824</v>
      </c>
      <c r="S1022" s="253">
        <v>32</v>
      </c>
      <c r="T1022" s="658">
        <v>-3.0001000028172853E-2</v>
      </c>
      <c r="U1022" s="659">
        <v>-1.5001715172795127</v>
      </c>
      <c r="V1022" s="658">
        <v>-0.14752840083817209</v>
      </c>
      <c r="W1022" s="659">
        <v>-1.1441284933202143</v>
      </c>
      <c r="X1022" s="658">
        <v>-0.2676419274557873</v>
      </c>
      <c r="Y1022" s="659">
        <v>-1.3861155554169968</v>
      </c>
      <c r="Z1022" s="658">
        <v>-9.4804454678746319E-2</v>
      </c>
      <c r="AA1022" s="659">
        <v>-0.42806837514668905</v>
      </c>
      <c r="AB1022" s="658">
        <v>0.18666977030184884</v>
      </c>
      <c r="AC1022" s="660">
        <v>-1.4810770369401487</v>
      </c>
      <c r="AD1022" s="682">
        <v>12282747000169</v>
      </c>
      <c r="AE1022" s="944" t="s">
        <v>1813</v>
      </c>
      <c r="AF1022" s="661" t="s">
        <v>1814</v>
      </c>
      <c r="AG1022" s="662" t="s">
        <v>1436</v>
      </c>
      <c r="AH1022" s="662" t="s">
        <v>1730</v>
      </c>
      <c r="AI1022" s="662">
        <v>50000</v>
      </c>
      <c r="AJ1022" s="662">
        <v>10000</v>
      </c>
      <c r="AK1022" s="662">
        <v>50000</v>
      </c>
      <c r="AL1022" s="658">
        <v>0</v>
      </c>
      <c r="AM1022" s="658">
        <v>0</v>
      </c>
      <c r="AN1022" s="659" t="s">
        <v>666</v>
      </c>
      <c r="AO1022" s="253" t="s">
        <v>34</v>
      </c>
      <c r="AP1022" s="944" t="s">
        <v>1731</v>
      </c>
      <c r="AQ1022" s="663" t="s">
        <v>659</v>
      </c>
      <c r="AR1022" s="658">
        <v>0</v>
      </c>
      <c r="AS1022" s="658">
        <v>0</v>
      </c>
      <c r="AT1022" s="658" t="s">
        <v>1417</v>
      </c>
      <c r="AU1022" s="658" t="s">
        <v>2751</v>
      </c>
      <c r="AX1022"/>
      <c r="AY1022"/>
      <c r="BA1022"/>
      <c r="BB1022"/>
      <c r="BC1022"/>
      <c r="BD1022"/>
      <c r="BE1022"/>
      <c r="BF1022"/>
      <c r="BG1022"/>
      <c r="BH1022"/>
      <c r="BI1022"/>
      <c r="BJ1022"/>
      <c r="BR1022"/>
      <c r="BS1022"/>
      <c r="BT1022"/>
      <c r="BU1022"/>
      <c r="BX1022"/>
      <c r="BY1022"/>
      <c r="CA1022"/>
    </row>
    <row r="1023" spans="2:79" ht="18.75">
      <c r="B1023" s="252" t="s">
        <v>1669</v>
      </c>
      <c r="C1023" s="251">
        <v>34887358000108</v>
      </c>
      <c r="D1023" s="252" t="s">
        <v>14</v>
      </c>
      <c r="E1023" s="252" t="s">
        <v>614</v>
      </c>
      <c r="F1023" s="252" t="s">
        <v>1417</v>
      </c>
      <c r="G1023" s="253" t="s">
        <v>1417</v>
      </c>
      <c r="H1023" s="253" t="s">
        <v>1338</v>
      </c>
      <c r="I1023" s="253" t="s">
        <v>34</v>
      </c>
      <c r="J1023" s="253" t="s">
        <v>608</v>
      </c>
      <c r="K1023" s="253" t="s">
        <v>48</v>
      </c>
      <c r="L1023" s="655"/>
      <c r="M1023" s="655" t="s">
        <v>34</v>
      </c>
      <c r="N1023" s="253" t="s">
        <v>3637</v>
      </c>
      <c r="O1023" s="253" t="s">
        <v>1321</v>
      </c>
      <c r="P1023" s="656">
        <v>43806</v>
      </c>
      <c r="Q1023" s="657">
        <v>13.967662519999999</v>
      </c>
      <c r="R1023" s="657">
        <v>41.44346373197579</v>
      </c>
      <c r="S1023" s="253">
        <v>62</v>
      </c>
      <c r="T1023" s="658">
        <v>-9.1262266621318089E-3</v>
      </c>
      <c r="U1023" s="659">
        <v>-0.45634829792041548</v>
      </c>
      <c r="V1023" s="658">
        <v>5.1710478815626848E-2</v>
      </c>
      <c r="W1023" s="659">
        <v>0.40103079732483493</v>
      </c>
      <c r="X1023" s="658">
        <v>-0.17047787740255105</v>
      </c>
      <c r="Y1023" s="659">
        <v>-0.88290366150192701</v>
      </c>
      <c r="Z1023" s="658">
        <v>-0.12538240606289774</v>
      </c>
      <c r="AA1023" s="659">
        <v>-0.56613629620254002</v>
      </c>
      <c r="AB1023" s="658">
        <v>0.21185872671391415</v>
      </c>
      <c r="AC1023" s="660">
        <v>-0.36455156617388035</v>
      </c>
      <c r="AD1023" s="682">
        <v>34849937000158</v>
      </c>
      <c r="AE1023" s="944" t="s">
        <v>1813</v>
      </c>
      <c r="AF1023" s="661" t="s">
        <v>1814</v>
      </c>
      <c r="AG1023" s="662" t="s">
        <v>1436</v>
      </c>
      <c r="AH1023" s="662" t="s">
        <v>1730</v>
      </c>
      <c r="AI1023" s="662">
        <v>1000</v>
      </c>
      <c r="AJ1023" s="662">
        <v>100</v>
      </c>
      <c r="AK1023" s="662">
        <v>1000</v>
      </c>
      <c r="AL1023" s="658">
        <v>0</v>
      </c>
      <c r="AM1023" s="658">
        <v>0</v>
      </c>
      <c r="AN1023" s="659" t="s">
        <v>666</v>
      </c>
      <c r="AO1023" s="253" t="s">
        <v>34</v>
      </c>
      <c r="AP1023" s="944" t="s">
        <v>1731</v>
      </c>
      <c r="AQ1023" s="663" t="s">
        <v>659</v>
      </c>
      <c r="AR1023" s="658">
        <v>0</v>
      </c>
      <c r="AS1023" s="658">
        <v>0</v>
      </c>
      <c r="AT1023" s="658" t="s">
        <v>1417</v>
      </c>
      <c r="AU1023" s="658" t="s">
        <v>2751</v>
      </c>
      <c r="AX1023"/>
      <c r="AY1023"/>
      <c r="BA1023"/>
      <c r="BB1023"/>
      <c r="BC1023"/>
      <c r="BD1023"/>
      <c r="BE1023"/>
      <c r="BF1023"/>
      <c r="BG1023"/>
      <c r="BH1023"/>
      <c r="BI1023"/>
      <c r="BJ1023"/>
      <c r="BR1023"/>
      <c r="BS1023"/>
      <c r="BT1023"/>
      <c r="BU1023"/>
      <c r="BX1023"/>
      <c r="BY1023"/>
      <c r="CA1023"/>
    </row>
    <row r="1024" spans="2:79" ht="18.75">
      <c r="B1024" s="252" t="s">
        <v>1670</v>
      </c>
      <c r="C1024" s="251">
        <v>31006632000196</v>
      </c>
      <c r="D1024" s="252" t="s">
        <v>14</v>
      </c>
      <c r="E1024" s="252" t="s">
        <v>614</v>
      </c>
      <c r="F1024" s="252" t="s">
        <v>1417</v>
      </c>
      <c r="G1024" s="253" t="s">
        <v>1417</v>
      </c>
      <c r="H1024" s="253" t="s">
        <v>1338</v>
      </c>
      <c r="I1024" s="253" t="s">
        <v>34</v>
      </c>
      <c r="J1024" s="253" t="s">
        <v>608</v>
      </c>
      <c r="K1024" s="253" t="s">
        <v>48</v>
      </c>
      <c r="L1024" s="655"/>
      <c r="M1024" s="655" t="s">
        <v>34</v>
      </c>
      <c r="N1024" s="253" t="s">
        <v>3638</v>
      </c>
      <c r="O1024" s="253" t="s">
        <v>1321</v>
      </c>
      <c r="P1024" s="656">
        <v>43517</v>
      </c>
      <c r="Q1024" s="657">
        <v>37.456111079999999</v>
      </c>
      <c r="R1024" s="657">
        <v>51.180436296437236</v>
      </c>
      <c r="S1024" s="253">
        <v>32</v>
      </c>
      <c r="T1024" s="658">
        <v>-8.3819396608070251E-3</v>
      </c>
      <c r="U1024" s="659">
        <v>-0.41913093319856287</v>
      </c>
      <c r="V1024" s="658">
        <v>3.9847051508776987E-2</v>
      </c>
      <c r="W1024" s="659">
        <v>0.30902624001190832</v>
      </c>
      <c r="X1024" s="658">
        <v>-0.16660573300426129</v>
      </c>
      <c r="Y1024" s="659">
        <v>-0.86284985440857898</v>
      </c>
      <c r="Z1024" s="658">
        <v>-0.11226103182377045</v>
      </c>
      <c r="AA1024" s="659">
        <v>-0.50688965669316211</v>
      </c>
      <c r="AB1024" s="658">
        <v>0.22154888699839737</v>
      </c>
      <c r="AC1024" s="660">
        <v>-0.40215439194987185</v>
      </c>
      <c r="AD1024" s="682">
        <v>31493876000140</v>
      </c>
      <c r="AE1024" s="944" t="s">
        <v>1813</v>
      </c>
      <c r="AF1024" s="661" t="s">
        <v>1814</v>
      </c>
      <c r="AG1024" s="662" t="s">
        <v>1436</v>
      </c>
      <c r="AH1024" s="662" t="s">
        <v>1730</v>
      </c>
      <c r="AI1024" s="662">
        <v>30000</v>
      </c>
      <c r="AJ1024" s="662">
        <v>30000</v>
      </c>
      <c r="AK1024" s="662">
        <v>30000</v>
      </c>
      <c r="AL1024" s="658">
        <v>0</v>
      </c>
      <c r="AM1024" s="658">
        <v>0</v>
      </c>
      <c r="AN1024" s="659" t="s">
        <v>666</v>
      </c>
      <c r="AO1024" s="253" t="s">
        <v>34</v>
      </c>
      <c r="AP1024" s="944" t="s">
        <v>1731</v>
      </c>
      <c r="AQ1024" s="663" t="s">
        <v>659</v>
      </c>
      <c r="AR1024" s="658">
        <v>0</v>
      </c>
      <c r="AS1024" s="658">
        <v>0</v>
      </c>
      <c r="AT1024" s="658" t="s">
        <v>1417</v>
      </c>
      <c r="AU1024" s="658" t="s">
        <v>2751</v>
      </c>
      <c r="AX1024"/>
      <c r="AY1024"/>
      <c r="BA1024"/>
      <c r="BB1024"/>
      <c r="BC1024"/>
      <c r="BD1024"/>
      <c r="BE1024"/>
      <c r="BF1024"/>
      <c r="BG1024"/>
      <c r="BH1024"/>
      <c r="BI1024"/>
      <c r="BJ1024"/>
      <c r="BR1024"/>
      <c r="BS1024"/>
      <c r="BT1024"/>
      <c r="BU1024"/>
      <c r="BX1024"/>
      <c r="BY1024"/>
      <c r="CA1024"/>
    </row>
    <row r="1025" spans="2:79" ht="18.75">
      <c r="B1025" s="252" t="s">
        <v>1671</v>
      </c>
      <c r="C1025" s="251">
        <v>28021609000166</v>
      </c>
      <c r="D1025" s="252" t="s">
        <v>14</v>
      </c>
      <c r="E1025" s="252" t="s">
        <v>614</v>
      </c>
      <c r="F1025" s="252" t="s">
        <v>1417</v>
      </c>
      <c r="G1025" s="253" t="s">
        <v>1417</v>
      </c>
      <c r="H1025" s="253" t="s">
        <v>1338</v>
      </c>
      <c r="I1025" s="253" t="s">
        <v>34</v>
      </c>
      <c r="J1025" s="253" t="s">
        <v>608</v>
      </c>
      <c r="K1025" s="253" t="s">
        <v>48</v>
      </c>
      <c r="L1025" s="655"/>
      <c r="M1025" s="655" t="s">
        <v>34</v>
      </c>
      <c r="N1025" s="253" t="s">
        <v>3639</v>
      </c>
      <c r="O1025" s="253" t="s">
        <v>1321</v>
      </c>
      <c r="P1025" s="656">
        <v>42949</v>
      </c>
      <c r="Q1025" s="657">
        <v>57.639849869999999</v>
      </c>
      <c r="R1025" s="657">
        <v>104.34258371819273</v>
      </c>
      <c r="S1025" s="253">
        <v>32</v>
      </c>
      <c r="T1025" s="658">
        <v>-6.8016886616971917E-2</v>
      </c>
      <c r="U1025" s="659">
        <v>-3.4011198260388684</v>
      </c>
      <c r="V1025" s="658">
        <v>-9.5006788203799375E-2</v>
      </c>
      <c r="W1025" s="659">
        <v>-0.73680710171895392</v>
      </c>
      <c r="X1025" s="658">
        <v>-0.2623573153236034</v>
      </c>
      <c r="Y1025" s="659">
        <v>-1.3587465884154588</v>
      </c>
      <c r="Z1025" s="658">
        <v>0.13091442971875722</v>
      </c>
      <c r="AA1025" s="659">
        <v>0.59111491546322015</v>
      </c>
      <c r="AB1025" s="658">
        <v>0.22018853156958731</v>
      </c>
      <c r="AC1025" s="660">
        <v>-1.0170861127697355</v>
      </c>
      <c r="AD1025" s="682">
        <v>26491334000107</v>
      </c>
      <c r="AE1025" s="944" t="s">
        <v>1813</v>
      </c>
      <c r="AF1025" s="661" t="s">
        <v>1814</v>
      </c>
      <c r="AG1025" s="662" t="s">
        <v>1436</v>
      </c>
      <c r="AH1025" s="662" t="s">
        <v>1730</v>
      </c>
      <c r="AI1025" s="662">
        <v>1000</v>
      </c>
      <c r="AJ1025" s="662">
        <v>100</v>
      </c>
      <c r="AK1025" s="662">
        <v>1000</v>
      </c>
      <c r="AL1025" s="658">
        <v>0</v>
      </c>
      <c r="AM1025" s="658">
        <v>0</v>
      </c>
      <c r="AN1025" s="659" t="s">
        <v>64</v>
      </c>
      <c r="AO1025" s="253" t="s">
        <v>34</v>
      </c>
      <c r="AP1025" s="944" t="s">
        <v>1746</v>
      </c>
      <c r="AQ1025" s="663" t="s">
        <v>668</v>
      </c>
      <c r="AR1025" s="658">
        <v>0</v>
      </c>
      <c r="AS1025" s="658">
        <v>0</v>
      </c>
      <c r="AT1025" s="658" t="s">
        <v>1417</v>
      </c>
      <c r="AU1025" s="658" t="s">
        <v>2751</v>
      </c>
      <c r="AX1025"/>
      <c r="AY1025"/>
      <c r="BA1025"/>
      <c r="BB1025"/>
      <c r="BC1025"/>
      <c r="BD1025"/>
      <c r="BE1025"/>
      <c r="BF1025"/>
      <c r="BG1025"/>
      <c r="BH1025"/>
      <c r="BI1025"/>
      <c r="BJ1025"/>
      <c r="BR1025"/>
      <c r="BS1025"/>
      <c r="BT1025"/>
      <c r="BU1025"/>
      <c r="BX1025"/>
      <c r="BY1025"/>
      <c r="CA1025"/>
    </row>
    <row r="1026" spans="2:79" ht="18.75">
      <c r="B1026" s="252" t="s">
        <v>1672</v>
      </c>
      <c r="C1026" s="251">
        <v>32669660000156</v>
      </c>
      <c r="D1026" s="252" t="s">
        <v>14</v>
      </c>
      <c r="E1026" s="252" t="s">
        <v>614</v>
      </c>
      <c r="F1026" s="252" t="s">
        <v>1417</v>
      </c>
      <c r="G1026" s="253" t="s">
        <v>1417</v>
      </c>
      <c r="H1026" s="253" t="s">
        <v>1338</v>
      </c>
      <c r="I1026" s="253" t="s">
        <v>34</v>
      </c>
      <c r="J1026" s="253" t="s">
        <v>608</v>
      </c>
      <c r="K1026" s="253" t="s">
        <v>48</v>
      </c>
      <c r="L1026" s="655"/>
      <c r="M1026" s="655" t="s">
        <v>34</v>
      </c>
      <c r="N1026" s="253" t="s">
        <v>3640</v>
      </c>
      <c r="O1026" s="253" t="s">
        <v>1321</v>
      </c>
      <c r="P1026" s="656">
        <v>43646</v>
      </c>
      <c r="Q1026" s="657">
        <v>177.08768373000001</v>
      </c>
      <c r="R1026" s="657">
        <v>205.17569159803219</v>
      </c>
      <c r="S1026" s="253">
        <v>32</v>
      </c>
      <c r="T1026" s="658">
        <v>-6.8988401309325598E-2</v>
      </c>
      <c r="U1026" s="659">
        <v>-3.4496994956738449</v>
      </c>
      <c r="V1026" s="658">
        <v>-9.8295142704511118E-2</v>
      </c>
      <c r="W1026" s="659">
        <v>-0.7623093105074098</v>
      </c>
      <c r="X1026" s="658">
        <v>-0.26361300676227295</v>
      </c>
      <c r="Y1026" s="659">
        <v>-1.365249805054531</v>
      </c>
      <c r="Z1026" s="658">
        <v>0.12966582932969994</v>
      </c>
      <c r="AA1026" s="659">
        <v>0.58547713882537733</v>
      </c>
      <c r="AB1026" s="658">
        <v>0.21819571816500127</v>
      </c>
      <c r="AC1026" s="660">
        <v>-1.0414459736531565</v>
      </c>
      <c r="AD1026" s="682">
        <v>31943995000158</v>
      </c>
      <c r="AE1026" s="944" t="s">
        <v>1813</v>
      </c>
      <c r="AF1026" s="661" t="s">
        <v>1814</v>
      </c>
      <c r="AG1026" s="662" t="s">
        <v>1436</v>
      </c>
      <c r="AH1026" s="662" t="s">
        <v>1730</v>
      </c>
      <c r="AI1026" s="662">
        <v>1000</v>
      </c>
      <c r="AJ1026" s="662">
        <v>100</v>
      </c>
      <c r="AK1026" s="662">
        <v>1000</v>
      </c>
      <c r="AL1026" s="658">
        <v>0</v>
      </c>
      <c r="AM1026" s="658">
        <v>0</v>
      </c>
      <c r="AN1026" s="659" t="s">
        <v>64</v>
      </c>
      <c r="AO1026" s="253" t="s">
        <v>34</v>
      </c>
      <c r="AP1026" s="944" t="s">
        <v>1746</v>
      </c>
      <c r="AQ1026" s="663" t="s">
        <v>668</v>
      </c>
      <c r="AR1026" s="658">
        <v>0</v>
      </c>
      <c r="AS1026" s="658">
        <v>0</v>
      </c>
      <c r="AT1026" s="658" t="s">
        <v>1417</v>
      </c>
      <c r="AU1026" s="658" t="s">
        <v>2751</v>
      </c>
      <c r="AX1026"/>
      <c r="AY1026"/>
      <c r="BA1026"/>
      <c r="BB1026"/>
      <c r="BC1026"/>
      <c r="BD1026"/>
      <c r="BE1026"/>
      <c r="BF1026"/>
      <c r="BG1026"/>
      <c r="BH1026"/>
      <c r="BI1026"/>
      <c r="BJ1026"/>
      <c r="BR1026"/>
      <c r="BS1026"/>
      <c r="BT1026"/>
      <c r="BU1026"/>
      <c r="BX1026"/>
      <c r="BY1026"/>
      <c r="CA1026"/>
    </row>
    <row r="1027" spans="2:79" ht="18.75">
      <c r="B1027" s="252" t="s">
        <v>1673</v>
      </c>
      <c r="C1027" s="251">
        <v>27566556000104</v>
      </c>
      <c r="D1027" s="252" t="s">
        <v>13</v>
      </c>
      <c r="E1027" s="252" t="s">
        <v>616</v>
      </c>
      <c r="F1027" s="252" t="s">
        <v>617</v>
      </c>
      <c r="G1027" s="253" t="s">
        <v>34</v>
      </c>
      <c r="H1027" s="253" t="s">
        <v>1338</v>
      </c>
      <c r="I1027" s="253" t="s">
        <v>34</v>
      </c>
      <c r="J1027" s="253" t="s">
        <v>608</v>
      </c>
      <c r="K1027" s="253" t="s">
        <v>48</v>
      </c>
      <c r="L1027" s="655"/>
      <c r="M1027" s="655" t="s">
        <v>34</v>
      </c>
      <c r="N1027" s="253" t="s">
        <v>3641</v>
      </c>
      <c r="O1027" s="253" t="s">
        <v>1321</v>
      </c>
      <c r="P1027" s="656">
        <v>42890</v>
      </c>
      <c r="Q1027" s="657">
        <v>9.5530449999999991</v>
      </c>
      <c r="R1027" s="657">
        <v>11.484871393574306</v>
      </c>
      <c r="S1027" s="253">
        <v>33</v>
      </c>
      <c r="T1027" s="658">
        <v>-2.4986075890547355E-3</v>
      </c>
      <c r="U1027" s="659">
        <v>-0.12494049979795398</v>
      </c>
      <c r="V1027" s="658">
        <v>1.7298541413841351E-2</v>
      </c>
      <c r="W1027" s="659">
        <v>0.13415555250385819</v>
      </c>
      <c r="X1027" s="658">
        <v>-5.9906664192829862E-2</v>
      </c>
      <c r="Y1027" s="659">
        <v>-0.31025616912933474</v>
      </c>
      <c r="Z1027" s="658">
        <v>7.8219264332647365E-2</v>
      </c>
      <c r="AA1027" s="659">
        <v>0.3531816463847256</v>
      </c>
      <c r="AB1027" s="658">
        <v>7.5126614203582839E-2</v>
      </c>
      <c r="AC1027" s="660">
        <v>-1.4860960954583065</v>
      </c>
      <c r="AD1027" s="682">
        <v>26269634000138</v>
      </c>
      <c r="AE1027" s="944" t="s">
        <v>1813</v>
      </c>
      <c r="AF1027" s="661" t="s">
        <v>1814</v>
      </c>
      <c r="AG1027" s="662" t="s">
        <v>1436</v>
      </c>
      <c r="AH1027" s="662" t="s">
        <v>1734</v>
      </c>
      <c r="AI1027" s="662">
        <v>1000</v>
      </c>
      <c r="AJ1027" s="662">
        <v>100</v>
      </c>
      <c r="AK1027" s="662">
        <v>1000</v>
      </c>
      <c r="AL1027" s="658">
        <v>2.5000000000000001E-2</v>
      </c>
      <c r="AM1027" s="658">
        <v>0</v>
      </c>
      <c r="AN1027" s="659" t="s">
        <v>64</v>
      </c>
      <c r="AO1027" s="253" t="s">
        <v>34</v>
      </c>
      <c r="AP1027" s="944" t="s">
        <v>1746</v>
      </c>
      <c r="AQ1027" s="663" t="s">
        <v>674</v>
      </c>
      <c r="AR1027" s="658">
        <v>0</v>
      </c>
      <c r="AS1027" s="658">
        <v>0</v>
      </c>
      <c r="AT1027" s="658" t="s">
        <v>1417</v>
      </c>
      <c r="AU1027" s="658" t="s">
        <v>2751</v>
      </c>
      <c r="AX1027"/>
      <c r="AY1027"/>
      <c r="BA1027"/>
      <c r="BB1027"/>
      <c r="BC1027"/>
      <c r="BD1027"/>
      <c r="BE1027"/>
      <c r="BF1027"/>
      <c r="BG1027"/>
      <c r="BH1027"/>
      <c r="BI1027"/>
      <c r="BJ1027"/>
      <c r="BR1027"/>
      <c r="BS1027"/>
      <c r="BT1027"/>
      <c r="BU1027"/>
      <c r="BX1027"/>
      <c r="BY1027"/>
      <c r="CA1027"/>
    </row>
    <row r="1028" spans="2:79" ht="18.75">
      <c r="B1028" s="252" t="s">
        <v>1674</v>
      </c>
      <c r="C1028" s="251">
        <v>27566566000131</v>
      </c>
      <c r="D1028" s="252" t="s">
        <v>13</v>
      </c>
      <c r="E1028" s="252" t="s">
        <v>615</v>
      </c>
      <c r="F1028" s="252" t="s">
        <v>619</v>
      </c>
      <c r="G1028" s="253" t="s">
        <v>34</v>
      </c>
      <c r="H1028" s="253" t="s">
        <v>1337</v>
      </c>
      <c r="I1028" s="253" t="s">
        <v>34</v>
      </c>
      <c r="J1028" s="253" t="s">
        <v>1417</v>
      </c>
      <c r="K1028" s="253" t="s">
        <v>48</v>
      </c>
      <c r="L1028" s="655"/>
      <c r="M1028" s="655" t="s">
        <v>34</v>
      </c>
      <c r="N1028" s="253" t="s">
        <v>3642</v>
      </c>
      <c r="O1028" s="253" t="s">
        <v>1321</v>
      </c>
      <c r="P1028" s="656">
        <v>42897</v>
      </c>
      <c r="Q1028" s="657">
        <v>32.486797000000003</v>
      </c>
      <c r="R1028" s="657">
        <v>37.802903634538154</v>
      </c>
      <c r="S1028" s="253">
        <v>32</v>
      </c>
      <c r="T1028" s="658">
        <v>1.0386067302512458E-3</v>
      </c>
      <c r="U1028" s="659">
        <v>5.1934543279043392E-2</v>
      </c>
      <c r="V1028" s="658">
        <v>0.14857852177035635</v>
      </c>
      <c r="W1028" s="659">
        <v>1.1522725067652047</v>
      </c>
      <c r="X1028" s="658">
        <v>0.19857966671132399</v>
      </c>
      <c r="Y1028" s="659">
        <v>1.0284426197145782</v>
      </c>
      <c r="Z1028" s="658">
        <v>0.30061195712647892</v>
      </c>
      <c r="AA1028" s="659">
        <v>1.3573462604985225</v>
      </c>
      <c r="AB1028" s="658">
        <v>5.4480755467350504E-2</v>
      </c>
      <c r="AC1028" s="660">
        <v>0.36039537548877654</v>
      </c>
      <c r="AD1028" s="682">
        <v>26277587000174</v>
      </c>
      <c r="AE1028" s="944" t="s">
        <v>1813</v>
      </c>
      <c r="AF1028" s="661" t="s">
        <v>1814</v>
      </c>
      <c r="AG1028" s="662" t="s">
        <v>1436</v>
      </c>
      <c r="AH1028" s="662" t="s">
        <v>1734</v>
      </c>
      <c r="AI1028" s="662">
        <v>1000</v>
      </c>
      <c r="AJ1028" s="662">
        <v>100</v>
      </c>
      <c r="AK1028" s="662">
        <v>1000</v>
      </c>
      <c r="AL1028" s="658">
        <v>2.5000000000000001E-2</v>
      </c>
      <c r="AM1028" s="658">
        <v>0</v>
      </c>
      <c r="AN1028" s="659" t="s">
        <v>64</v>
      </c>
      <c r="AO1028" s="253" t="s">
        <v>34</v>
      </c>
      <c r="AP1028" s="944" t="s">
        <v>1746</v>
      </c>
      <c r="AQ1028" s="663" t="s">
        <v>664</v>
      </c>
      <c r="AR1028" s="658">
        <v>0</v>
      </c>
      <c r="AS1028" s="658">
        <v>0</v>
      </c>
      <c r="AT1028" s="658" t="s">
        <v>1417</v>
      </c>
      <c r="AU1028" s="658" t="s">
        <v>2751</v>
      </c>
      <c r="AX1028"/>
      <c r="AY1028"/>
      <c r="BA1028"/>
      <c r="BB1028"/>
      <c r="BC1028"/>
      <c r="BD1028"/>
      <c r="BE1028"/>
      <c r="BF1028"/>
      <c r="BG1028"/>
      <c r="BH1028"/>
      <c r="BI1028"/>
      <c r="BJ1028"/>
      <c r="BR1028"/>
      <c r="BS1028"/>
      <c r="BT1028"/>
      <c r="BU1028"/>
      <c r="BX1028"/>
      <c r="BY1028"/>
      <c r="CA1028"/>
    </row>
    <row r="1029" spans="2:79" ht="18.75">
      <c r="B1029" s="252" t="s">
        <v>1675</v>
      </c>
      <c r="C1029" s="251">
        <v>36988916000149</v>
      </c>
      <c r="D1029" s="252" t="s">
        <v>14</v>
      </c>
      <c r="E1029" s="252" t="s">
        <v>607</v>
      </c>
      <c r="F1029" s="252" t="s">
        <v>1417</v>
      </c>
      <c r="G1029" s="253" t="s">
        <v>1417</v>
      </c>
      <c r="H1029" s="253" t="s">
        <v>34</v>
      </c>
      <c r="I1029" s="253" t="s">
        <v>34</v>
      </c>
      <c r="J1029" s="253" t="s">
        <v>608</v>
      </c>
      <c r="K1029" s="253" t="s">
        <v>48</v>
      </c>
      <c r="L1029" s="655"/>
      <c r="M1029" s="655" t="s">
        <v>34</v>
      </c>
      <c r="N1029" s="253" t="s">
        <v>3643</v>
      </c>
      <c r="O1029" s="253" t="s">
        <v>1321</v>
      </c>
      <c r="P1029" s="656">
        <v>44044</v>
      </c>
      <c r="Q1029" s="657">
        <v>11.64859221</v>
      </c>
      <c r="R1029" s="657">
        <v>19.361377020564518</v>
      </c>
      <c r="S1029" s="253">
        <v>32</v>
      </c>
      <c r="T1029" s="658">
        <v>-2.354231028758258E-2</v>
      </c>
      <c r="U1029" s="659">
        <v>-1.1772108700117481</v>
      </c>
      <c r="V1029" s="658">
        <v>-0.11955928932948545</v>
      </c>
      <c r="W1029" s="659">
        <v>-0.92721936105733105</v>
      </c>
      <c r="X1029" s="658">
        <v>-0.27433438666410281</v>
      </c>
      <c r="Y1029" s="659">
        <v>-1.4207757519744748</v>
      </c>
      <c r="Z1029" s="658"/>
      <c r="AA1029" s="659"/>
      <c r="AB1029" s="658">
        <v>0.22718071931160655</v>
      </c>
      <c r="AC1029" s="660">
        <v>-1.093856906207876</v>
      </c>
      <c r="AD1029" s="682">
        <v>35727340000101</v>
      </c>
      <c r="AE1029" s="944" t="s">
        <v>1813</v>
      </c>
      <c r="AF1029" s="661" t="s">
        <v>1814</v>
      </c>
      <c r="AG1029" s="662" t="s">
        <v>1436</v>
      </c>
      <c r="AH1029" s="662" t="s">
        <v>1730</v>
      </c>
      <c r="AI1029" s="662">
        <v>1000</v>
      </c>
      <c r="AJ1029" s="662">
        <v>0</v>
      </c>
      <c r="AK1029" s="662">
        <v>1000</v>
      </c>
      <c r="AL1029" s="658">
        <v>0</v>
      </c>
      <c r="AM1029" s="658">
        <v>0</v>
      </c>
      <c r="AN1029" s="659" t="s">
        <v>666</v>
      </c>
      <c r="AO1029" s="253" t="s">
        <v>34</v>
      </c>
      <c r="AP1029" s="944" t="s">
        <v>1731</v>
      </c>
      <c r="AQ1029" s="663" t="s">
        <v>659</v>
      </c>
      <c r="AR1029" s="658">
        <v>0</v>
      </c>
      <c r="AS1029" s="658">
        <v>0</v>
      </c>
      <c r="AT1029" s="658" t="s">
        <v>1417</v>
      </c>
      <c r="AU1029" s="658" t="s">
        <v>2751</v>
      </c>
      <c r="AX1029"/>
      <c r="AY1029"/>
      <c r="BA1029"/>
      <c r="BB1029"/>
      <c r="BC1029"/>
      <c r="BD1029"/>
      <c r="BE1029"/>
      <c r="BF1029"/>
      <c r="BG1029"/>
      <c r="BH1029"/>
      <c r="BI1029"/>
      <c r="BJ1029"/>
      <c r="BR1029"/>
      <c r="BS1029"/>
      <c r="BT1029"/>
      <c r="BU1029"/>
      <c r="BX1029"/>
      <c r="BY1029"/>
      <c r="CA1029"/>
    </row>
    <row r="1030" spans="2:79" ht="18.75">
      <c r="B1030" s="252" t="s">
        <v>1676</v>
      </c>
      <c r="C1030" s="251">
        <v>34674530000137</v>
      </c>
      <c r="D1030" s="252" t="s">
        <v>14</v>
      </c>
      <c r="E1030" s="252" t="s">
        <v>607</v>
      </c>
      <c r="F1030" s="252" t="s">
        <v>1417</v>
      </c>
      <c r="G1030" s="253" t="s">
        <v>1417</v>
      </c>
      <c r="H1030" s="253" t="s">
        <v>34</v>
      </c>
      <c r="I1030" s="253" t="s">
        <v>34</v>
      </c>
      <c r="J1030" s="253" t="s">
        <v>608</v>
      </c>
      <c r="K1030" s="253" t="s">
        <v>48</v>
      </c>
      <c r="L1030" s="655"/>
      <c r="M1030" s="655" t="s">
        <v>34</v>
      </c>
      <c r="N1030" s="253" t="s">
        <v>3644</v>
      </c>
      <c r="O1030" s="253" t="s">
        <v>1321</v>
      </c>
      <c r="P1030" s="656">
        <v>43777</v>
      </c>
      <c r="Q1030" s="657">
        <v>34.396206190000001</v>
      </c>
      <c r="R1030" s="657">
        <v>171.38030087558712</v>
      </c>
      <c r="S1030" s="253">
        <v>90</v>
      </c>
      <c r="T1030" s="658">
        <v>-3.4102841817889473E-2</v>
      </c>
      <c r="U1030" s="659">
        <v>-1.7052802208407674</v>
      </c>
      <c r="V1030" s="658">
        <v>-0.20539519943588136</v>
      </c>
      <c r="W1030" s="659">
        <v>-1.5929034594739224</v>
      </c>
      <c r="X1030" s="658">
        <v>-0.39411448759052048</v>
      </c>
      <c r="Y1030" s="659">
        <v>-2.0411160054683983</v>
      </c>
      <c r="Z1030" s="658">
        <v>-0.29525622545072938</v>
      </c>
      <c r="AA1030" s="659">
        <v>-1.3331636483635916</v>
      </c>
      <c r="AB1030" s="658">
        <v>0.23564591085588782</v>
      </c>
      <c r="AC1030" s="660">
        <v>-1.4188199051208614</v>
      </c>
      <c r="AD1030" s="682">
        <v>34461958000100</v>
      </c>
      <c r="AE1030" s="944" t="s">
        <v>1813</v>
      </c>
      <c r="AF1030" s="661" t="s">
        <v>1814</v>
      </c>
      <c r="AG1030" s="662" t="s">
        <v>1436</v>
      </c>
      <c r="AH1030" s="662" t="s">
        <v>1730</v>
      </c>
      <c r="AI1030" s="662">
        <v>0</v>
      </c>
      <c r="AJ1030" s="662">
        <v>0</v>
      </c>
      <c r="AK1030" s="662">
        <v>0</v>
      </c>
      <c r="AL1030" s="658">
        <v>0</v>
      </c>
      <c r="AM1030" s="658">
        <v>0</v>
      </c>
      <c r="AN1030" s="659" t="s">
        <v>666</v>
      </c>
      <c r="AO1030" s="253" t="s">
        <v>34</v>
      </c>
      <c r="AP1030" s="944" t="s">
        <v>1731</v>
      </c>
      <c r="AQ1030" s="663" t="s">
        <v>659</v>
      </c>
      <c r="AR1030" s="658">
        <v>0</v>
      </c>
      <c r="AS1030" s="658">
        <v>0</v>
      </c>
      <c r="AT1030" s="658" t="s">
        <v>1417</v>
      </c>
      <c r="AU1030" s="658" t="s">
        <v>2751</v>
      </c>
      <c r="AX1030"/>
      <c r="AY1030"/>
      <c r="BA1030"/>
      <c r="BB1030"/>
      <c r="BC1030"/>
      <c r="BD1030"/>
      <c r="BE1030"/>
      <c r="BF1030"/>
      <c r="BG1030"/>
      <c r="BH1030"/>
      <c r="BI1030"/>
      <c r="BJ1030"/>
      <c r="BR1030"/>
      <c r="BS1030"/>
      <c r="BT1030"/>
      <c r="BU1030"/>
      <c r="BX1030"/>
      <c r="BY1030"/>
      <c r="CA1030"/>
    </row>
    <row r="1031" spans="2:79" ht="18.75">
      <c r="B1031" s="252" t="s">
        <v>1677</v>
      </c>
      <c r="C1031" s="251">
        <v>30658954000157</v>
      </c>
      <c r="D1031" s="252" t="s">
        <v>13</v>
      </c>
      <c r="E1031" s="252" t="s">
        <v>615</v>
      </c>
      <c r="F1031" s="252" t="s">
        <v>619</v>
      </c>
      <c r="G1031" s="253" t="s">
        <v>34</v>
      </c>
      <c r="H1031" s="253" t="s">
        <v>1338</v>
      </c>
      <c r="I1031" s="253" t="s">
        <v>34</v>
      </c>
      <c r="J1031" s="253" t="s">
        <v>611</v>
      </c>
      <c r="K1031" s="253" t="s">
        <v>48</v>
      </c>
      <c r="L1031" s="655"/>
      <c r="M1031" s="655" t="s">
        <v>34</v>
      </c>
      <c r="N1031" s="253" t="s">
        <v>3645</v>
      </c>
      <c r="O1031" s="253" t="s">
        <v>1321</v>
      </c>
      <c r="P1031" s="656">
        <v>43377</v>
      </c>
      <c r="Q1031" s="657">
        <v>227.22506455000001</v>
      </c>
      <c r="R1031" s="657">
        <v>266.29149897702814</v>
      </c>
      <c r="S1031" s="253">
        <v>60</v>
      </c>
      <c r="T1031" s="658">
        <v>2.2068268155705173E-2</v>
      </c>
      <c r="U1031" s="659">
        <v>1.1035027929664531</v>
      </c>
      <c r="V1031" s="658">
        <v>0.14477332534420495</v>
      </c>
      <c r="W1031" s="659">
        <v>1.1227620285853748</v>
      </c>
      <c r="X1031" s="658">
        <v>0.15154917396201739</v>
      </c>
      <c r="Y1031" s="659">
        <v>0.78487204690322721</v>
      </c>
      <c r="Z1031" s="658">
        <v>0.22991418235026706</v>
      </c>
      <c r="AA1031" s="659">
        <v>1.038126223027813</v>
      </c>
      <c r="AB1031" s="658">
        <v>6.9356131365174989E-2</v>
      </c>
      <c r="AC1031" s="660">
        <v>0.22823383579558829</v>
      </c>
      <c r="AD1031" s="682">
        <v>30658606000180</v>
      </c>
      <c r="AE1031" s="944" t="s">
        <v>1813</v>
      </c>
      <c r="AF1031" s="661" t="s">
        <v>1814</v>
      </c>
      <c r="AG1031" s="662" t="s">
        <v>1436</v>
      </c>
      <c r="AH1031" s="662" t="s">
        <v>1734</v>
      </c>
      <c r="AI1031" s="662">
        <v>50000</v>
      </c>
      <c r="AJ1031" s="662">
        <v>10000</v>
      </c>
      <c r="AK1031" s="662">
        <v>50000</v>
      </c>
      <c r="AL1031" s="658">
        <v>2.7000000000000003E-2</v>
      </c>
      <c r="AM1031" s="658">
        <v>0</v>
      </c>
      <c r="AN1031" s="659" t="s">
        <v>64</v>
      </c>
      <c r="AO1031" s="253" t="s">
        <v>34</v>
      </c>
      <c r="AP1031" s="944" t="s">
        <v>1746</v>
      </c>
      <c r="AQ1031" s="663" t="s">
        <v>664</v>
      </c>
      <c r="AR1031" s="658">
        <v>0</v>
      </c>
      <c r="AS1031" s="658">
        <v>0</v>
      </c>
      <c r="AT1031" s="658" t="s">
        <v>1417</v>
      </c>
      <c r="AU1031" s="658" t="s">
        <v>2751</v>
      </c>
      <c r="AX1031"/>
      <c r="AY1031"/>
      <c r="BA1031"/>
      <c r="BB1031"/>
      <c r="BC1031"/>
      <c r="BD1031"/>
      <c r="BE1031"/>
      <c r="BF1031"/>
      <c r="BG1031"/>
      <c r="BH1031"/>
      <c r="BI1031"/>
      <c r="BJ1031"/>
      <c r="BR1031"/>
      <c r="BS1031"/>
      <c r="BT1031"/>
      <c r="BU1031"/>
      <c r="BX1031"/>
      <c r="BY1031"/>
      <c r="CA1031"/>
    </row>
    <row r="1032" spans="2:79" ht="18.75">
      <c r="B1032" s="252" t="s">
        <v>1678</v>
      </c>
      <c r="C1032" s="251">
        <v>30658606000180</v>
      </c>
      <c r="D1032" s="252" t="s">
        <v>13</v>
      </c>
      <c r="E1032" s="252" t="s">
        <v>615</v>
      </c>
      <c r="F1032" s="252" t="s">
        <v>619</v>
      </c>
      <c r="G1032" s="253" t="s">
        <v>34</v>
      </c>
      <c r="H1032" s="253" t="s">
        <v>1338</v>
      </c>
      <c r="I1032" s="253" t="s">
        <v>34</v>
      </c>
      <c r="J1032" s="253" t="s">
        <v>611</v>
      </c>
      <c r="K1032" s="253" t="s">
        <v>48</v>
      </c>
      <c r="L1032" s="655"/>
      <c r="M1032" s="655" t="s">
        <v>34</v>
      </c>
      <c r="N1032" s="253" t="s">
        <v>3646</v>
      </c>
      <c r="O1032" s="253" t="s">
        <v>1321</v>
      </c>
      <c r="P1032" s="656">
        <v>43370</v>
      </c>
      <c r="Q1032" s="657">
        <v>749.80760195000005</v>
      </c>
      <c r="R1032" s="657">
        <v>896.1464753574694</v>
      </c>
      <c r="S1032" s="253">
        <v>60</v>
      </c>
      <c r="T1032" s="658">
        <v>2.2429732857640605E-2</v>
      </c>
      <c r="U1032" s="659">
        <v>1.1215774921376891</v>
      </c>
      <c r="V1032" s="658">
        <v>0.14757700388047401</v>
      </c>
      <c r="W1032" s="659">
        <v>1.1445054249838378</v>
      </c>
      <c r="X1032" s="658">
        <v>0.15657809671636702</v>
      </c>
      <c r="Y1032" s="659">
        <v>0.81091680051510673</v>
      </c>
      <c r="Z1032" s="658">
        <v>0.23799534873130113</v>
      </c>
      <c r="AA1032" s="659">
        <v>1.0746149278438624</v>
      </c>
      <c r="AB1032" s="658">
        <v>6.9862821736302802E-2</v>
      </c>
      <c r="AC1032" s="660">
        <v>0.26670973159395522</v>
      </c>
      <c r="AD1032" s="682">
        <v>30592665000100</v>
      </c>
      <c r="AE1032" s="944" t="s">
        <v>1813</v>
      </c>
      <c r="AF1032" s="661" t="s">
        <v>1814</v>
      </c>
      <c r="AG1032" s="662" t="s">
        <v>1436</v>
      </c>
      <c r="AH1032" s="662" t="s">
        <v>1734</v>
      </c>
      <c r="AI1032" s="662">
        <v>50000</v>
      </c>
      <c r="AJ1032" s="662">
        <v>10000</v>
      </c>
      <c r="AK1032" s="662">
        <v>50000</v>
      </c>
      <c r="AL1032" s="658">
        <v>2.5000000000000001E-2</v>
      </c>
      <c r="AM1032" s="658">
        <v>0</v>
      </c>
      <c r="AN1032" s="659" t="s">
        <v>64</v>
      </c>
      <c r="AO1032" s="253" t="s">
        <v>34</v>
      </c>
      <c r="AP1032" s="944" t="s">
        <v>1746</v>
      </c>
      <c r="AQ1032" s="663" t="s">
        <v>664</v>
      </c>
      <c r="AR1032" s="658">
        <v>0</v>
      </c>
      <c r="AS1032" s="658">
        <v>0</v>
      </c>
      <c r="AT1032" s="658" t="s">
        <v>1417</v>
      </c>
      <c r="AU1032" s="658" t="s">
        <v>2751</v>
      </c>
      <c r="AX1032"/>
      <c r="AY1032"/>
      <c r="BA1032"/>
      <c r="BB1032"/>
      <c r="BC1032"/>
      <c r="BD1032"/>
      <c r="BE1032"/>
      <c r="BF1032"/>
      <c r="BG1032"/>
      <c r="BH1032"/>
      <c r="BI1032"/>
      <c r="BJ1032"/>
      <c r="BR1032"/>
      <c r="BS1032"/>
      <c r="BT1032"/>
      <c r="BU1032"/>
      <c r="BX1032"/>
      <c r="BY1032"/>
      <c r="CA1032"/>
    </row>
    <row r="1033" spans="2:79" ht="18.75">
      <c r="B1033" s="252" t="s">
        <v>1679</v>
      </c>
      <c r="C1033" s="251">
        <v>23508793000150</v>
      </c>
      <c r="D1033" s="252" t="s">
        <v>13</v>
      </c>
      <c r="E1033" s="252" t="s">
        <v>615</v>
      </c>
      <c r="F1033" s="252" t="s">
        <v>619</v>
      </c>
      <c r="G1033" s="253" t="s">
        <v>34</v>
      </c>
      <c r="H1033" s="253" t="s">
        <v>1338</v>
      </c>
      <c r="I1033" s="253" t="s">
        <v>34</v>
      </c>
      <c r="J1033" s="253" t="s">
        <v>611</v>
      </c>
      <c r="K1033" s="253" t="s">
        <v>48</v>
      </c>
      <c r="L1033" s="655"/>
      <c r="M1033" s="655" t="s">
        <v>34</v>
      </c>
      <c r="N1033" s="253" t="s">
        <v>3647</v>
      </c>
      <c r="O1033" s="253" t="s">
        <v>1324</v>
      </c>
      <c r="P1033" s="656">
        <v>42537</v>
      </c>
      <c r="Q1033" s="657">
        <v>28.401043999999999</v>
      </c>
      <c r="R1033" s="657">
        <v>32.330453248979587</v>
      </c>
      <c r="S1033" s="253">
        <v>32</v>
      </c>
      <c r="T1033" s="658">
        <v>3.2210189575764492E-2</v>
      </c>
      <c r="U1033" s="659">
        <v>1.6106399427472098</v>
      </c>
      <c r="V1033" s="658">
        <v>0.14833166379345664</v>
      </c>
      <c r="W1033" s="659">
        <v>1.1503580466099415</v>
      </c>
      <c r="X1033" s="658">
        <v>0.16483327743943188</v>
      </c>
      <c r="Y1033" s="659">
        <v>0.85367032019639422</v>
      </c>
      <c r="Z1033" s="658">
        <v>0.28217024943054403</v>
      </c>
      <c r="AA1033" s="659">
        <v>1.2740768416185801</v>
      </c>
      <c r="AB1033" s="658">
        <v>5.8732900613970657E-2</v>
      </c>
      <c r="AC1033" s="660">
        <v>0.33010040614368302</v>
      </c>
      <c r="AD1033" s="682">
        <v>21956674000134</v>
      </c>
      <c r="AE1033" s="944" t="s">
        <v>1813</v>
      </c>
      <c r="AF1033" s="661" t="s">
        <v>1814</v>
      </c>
      <c r="AG1033" s="662" t="s">
        <v>1436</v>
      </c>
      <c r="AH1033" s="662" t="s">
        <v>1801</v>
      </c>
      <c r="AI1033" s="662">
        <v>500000</v>
      </c>
      <c r="AJ1033" s="662">
        <v>100000</v>
      </c>
      <c r="AK1033" s="662">
        <v>500000</v>
      </c>
      <c r="AL1033" s="658">
        <v>0</v>
      </c>
      <c r="AM1033" s="658">
        <v>0</v>
      </c>
      <c r="AN1033" s="659" t="s">
        <v>64</v>
      </c>
      <c r="AO1033" s="253" t="s">
        <v>34</v>
      </c>
      <c r="AP1033" s="944" t="s">
        <v>1746</v>
      </c>
      <c r="AQ1033" s="663" t="s">
        <v>679</v>
      </c>
      <c r="AR1033" s="658">
        <v>0</v>
      </c>
      <c r="AS1033" s="658">
        <v>0</v>
      </c>
      <c r="AT1033" s="658" t="s">
        <v>1417</v>
      </c>
      <c r="AU1033" s="658" t="s">
        <v>2751</v>
      </c>
      <c r="AX1033"/>
      <c r="AY1033"/>
      <c r="BA1033"/>
      <c r="BB1033"/>
      <c r="BC1033"/>
      <c r="BD1033"/>
      <c r="BE1033"/>
      <c r="BF1033"/>
      <c r="BG1033"/>
      <c r="BH1033"/>
      <c r="BI1033"/>
      <c r="BJ1033"/>
      <c r="BR1033"/>
      <c r="BS1033"/>
      <c r="BT1033"/>
      <c r="BU1033"/>
      <c r="BX1033"/>
      <c r="BY1033"/>
      <c r="CA1033"/>
    </row>
    <row r="1034" spans="2:79" ht="18.75">
      <c r="B1034" s="252" t="s">
        <v>1680</v>
      </c>
      <c r="C1034" s="251">
        <v>28651543000198</v>
      </c>
      <c r="D1034" s="252" t="s">
        <v>13</v>
      </c>
      <c r="E1034" s="252" t="s">
        <v>615</v>
      </c>
      <c r="F1034" s="252" t="s">
        <v>619</v>
      </c>
      <c r="G1034" s="253" t="s">
        <v>34</v>
      </c>
      <c r="H1034" s="253" t="s">
        <v>1338</v>
      </c>
      <c r="I1034" s="253" t="s">
        <v>34</v>
      </c>
      <c r="J1034" s="253" t="s">
        <v>1417</v>
      </c>
      <c r="K1034" s="253" t="s">
        <v>48</v>
      </c>
      <c r="L1034" s="655"/>
      <c r="M1034" s="655" t="s">
        <v>34</v>
      </c>
      <c r="N1034" s="253" t="s">
        <v>3648</v>
      </c>
      <c r="O1034" s="253" t="s">
        <v>1321</v>
      </c>
      <c r="P1034" s="656">
        <v>43156</v>
      </c>
      <c r="Q1034" s="657">
        <v>4.4148233100000001</v>
      </c>
      <c r="R1034" s="657">
        <v>9.4902383924899567</v>
      </c>
      <c r="S1034" s="253">
        <v>5</v>
      </c>
      <c r="T1034" s="658">
        <v>2.2506024436687921E-2</v>
      </c>
      <c r="U1034" s="659">
        <v>1.1253923801010097</v>
      </c>
      <c r="V1034" s="658">
        <v>-5.8153159241310703E-2</v>
      </c>
      <c r="W1034" s="659">
        <v>-0.45099578173801946</v>
      </c>
      <c r="X1034" s="658">
        <v>-6.5757289609885139E-2</v>
      </c>
      <c r="Y1034" s="659">
        <v>-0.34055651473134446</v>
      </c>
      <c r="Z1034" s="658">
        <v>-5.2311777097594936E-2</v>
      </c>
      <c r="AA1034" s="659">
        <v>-0.23620216475147776</v>
      </c>
      <c r="AB1034" s="658">
        <v>0.14058637055540835</v>
      </c>
      <c r="AC1034" s="660">
        <v>-1.3308336217013281</v>
      </c>
      <c r="AD1034" s="682">
        <v>22282992000120</v>
      </c>
      <c r="AE1034" s="944" t="s">
        <v>1813</v>
      </c>
      <c r="AF1034" s="661" t="s">
        <v>1814</v>
      </c>
      <c r="AG1034" s="662" t="s">
        <v>1436</v>
      </c>
      <c r="AH1034" s="662" t="s">
        <v>1730</v>
      </c>
      <c r="AI1034" s="662">
        <v>1000</v>
      </c>
      <c r="AJ1034" s="662">
        <v>1000</v>
      </c>
      <c r="AK1034" s="662">
        <v>1000</v>
      </c>
      <c r="AL1034" s="658">
        <v>9.4999999999999998E-3</v>
      </c>
      <c r="AM1034" s="658">
        <v>0</v>
      </c>
      <c r="AN1034" s="659" t="s">
        <v>64</v>
      </c>
      <c r="AO1034" s="253" t="s">
        <v>34</v>
      </c>
      <c r="AP1034" s="944" t="s">
        <v>1746</v>
      </c>
      <c r="AQ1034" s="663" t="s">
        <v>679</v>
      </c>
      <c r="AR1034" s="658">
        <v>0</v>
      </c>
      <c r="AS1034" s="658">
        <v>0</v>
      </c>
      <c r="AT1034" s="658" t="s">
        <v>1417</v>
      </c>
      <c r="AU1034" s="658" t="s">
        <v>2751</v>
      </c>
      <c r="AX1034"/>
      <c r="AY1034"/>
      <c r="BA1034"/>
      <c r="BB1034"/>
      <c r="BC1034"/>
      <c r="BD1034"/>
      <c r="BE1034"/>
      <c r="BF1034"/>
      <c r="BG1034"/>
      <c r="BH1034"/>
      <c r="BI1034"/>
      <c r="BJ1034"/>
      <c r="BR1034"/>
      <c r="BS1034"/>
      <c r="BT1034"/>
      <c r="BU1034"/>
      <c r="BX1034"/>
      <c r="BY1034"/>
      <c r="CA1034"/>
    </row>
    <row r="1035" spans="2:79" ht="18.75">
      <c r="B1035" s="252" t="s">
        <v>550</v>
      </c>
      <c r="C1035" s="251">
        <v>20077065000142</v>
      </c>
      <c r="D1035" s="252" t="s">
        <v>13</v>
      </c>
      <c r="E1035" s="252" t="s">
        <v>616</v>
      </c>
      <c r="F1035" s="252" t="s">
        <v>17</v>
      </c>
      <c r="G1035" s="253" t="s">
        <v>1417</v>
      </c>
      <c r="H1035" s="253" t="s">
        <v>34</v>
      </c>
      <c r="I1035" s="253" t="s">
        <v>34</v>
      </c>
      <c r="J1035" s="253" t="s">
        <v>611</v>
      </c>
      <c r="K1035" s="253" t="s">
        <v>49</v>
      </c>
      <c r="L1035" s="655"/>
      <c r="M1035" s="655" t="s">
        <v>1414</v>
      </c>
      <c r="N1035" s="253" t="s">
        <v>3649</v>
      </c>
      <c r="O1035" s="253" t="s">
        <v>1321</v>
      </c>
      <c r="P1035" s="656">
        <v>41774</v>
      </c>
      <c r="Q1035" s="657">
        <v>0</v>
      </c>
      <c r="R1035" s="657">
        <v>0</v>
      </c>
      <c r="S1035" s="253">
        <v>3</v>
      </c>
      <c r="T1035" s="658"/>
      <c r="U1035" s="659"/>
      <c r="V1035" s="658"/>
      <c r="W1035" s="659"/>
      <c r="X1035" s="658"/>
      <c r="Y1035" s="659"/>
      <c r="Z1035" s="658"/>
      <c r="AA1035" s="659"/>
      <c r="AB1035" s="658"/>
      <c r="AC1035" s="660"/>
      <c r="AD1035" s="682">
        <v>0</v>
      </c>
      <c r="AE1035" s="944" t="s">
        <v>1776</v>
      </c>
      <c r="AF1035" s="661" t="s">
        <v>1729</v>
      </c>
      <c r="AG1035" s="662" t="s">
        <v>1433</v>
      </c>
      <c r="AH1035" s="662" t="s">
        <v>1734</v>
      </c>
      <c r="AI1035" s="662">
        <v>500</v>
      </c>
      <c r="AJ1035" s="662">
        <v>0</v>
      </c>
      <c r="AK1035" s="662">
        <v>0</v>
      </c>
      <c r="AL1035" s="658">
        <v>1.7000000000000001E-3</v>
      </c>
      <c r="AM1035" s="658">
        <v>0</v>
      </c>
      <c r="AN1035" s="659" t="s">
        <v>34</v>
      </c>
      <c r="AO1035" s="253" t="s">
        <v>34</v>
      </c>
      <c r="AP1035" s="944" t="s">
        <v>1740</v>
      </c>
      <c r="AQ1035" s="663" t="s">
        <v>17</v>
      </c>
      <c r="AR1035" s="658">
        <v>5.6666666666666703E-4</v>
      </c>
      <c r="AS1035" s="658">
        <v>5.6666666666666703E-4</v>
      </c>
      <c r="AT1035" s="658" t="s">
        <v>1417</v>
      </c>
      <c r="AU1035" s="658" t="s">
        <v>2751</v>
      </c>
      <c r="AX1035"/>
      <c r="AY1035"/>
      <c r="BA1035"/>
      <c r="BB1035"/>
      <c r="BC1035"/>
      <c r="BD1035"/>
      <c r="BE1035"/>
      <c r="BF1035"/>
      <c r="BG1035"/>
      <c r="BH1035"/>
      <c r="BI1035"/>
      <c r="BJ1035"/>
      <c r="BR1035"/>
      <c r="BS1035"/>
      <c r="BT1035"/>
      <c r="BU1035"/>
      <c r="BX1035"/>
      <c r="BY1035"/>
      <c r="CA1035"/>
    </row>
    <row r="1036" spans="2:79" ht="18.75">
      <c r="B1036" s="252" t="s">
        <v>283</v>
      </c>
      <c r="C1036" s="251">
        <v>9296009000166</v>
      </c>
      <c r="D1036" s="252" t="s">
        <v>14</v>
      </c>
      <c r="E1036" s="252" t="s">
        <v>607</v>
      </c>
      <c r="F1036" s="252" t="s">
        <v>1417</v>
      </c>
      <c r="G1036" s="253" t="s">
        <v>1417</v>
      </c>
      <c r="H1036" s="253" t="s">
        <v>34</v>
      </c>
      <c r="I1036" s="253" t="s">
        <v>34</v>
      </c>
      <c r="J1036" s="253" t="s">
        <v>608</v>
      </c>
      <c r="K1036" s="253" t="s">
        <v>48</v>
      </c>
      <c r="L1036" s="655"/>
      <c r="M1036" s="655" t="s">
        <v>34</v>
      </c>
      <c r="N1036" s="253" t="s">
        <v>3650</v>
      </c>
      <c r="O1036" s="253" t="s">
        <v>1321</v>
      </c>
      <c r="P1036" s="656">
        <v>39607</v>
      </c>
      <c r="Q1036" s="657">
        <v>8.5396219999999996</v>
      </c>
      <c r="R1036" s="657">
        <v>11.255839244979922</v>
      </c>
      <c r="S1036" s="253">
        <v>3</v>
      </c>
      <c r="T1036" s="658">
        <v>-2.2100687602566893E-2</v>
      </c>
      <c r="U1036" s="659">
        <v>-1.1051238966210726</v>
      </c>
      <c r="V1036" s="658">
        <v>-8.1160922919793932E-2</v>
      </c>
      <c r="W1036" s="659">
        <v>-0.62942812318938446</v>
      </c>
      <c r="X1036" s="658">
        <v>6.4934129901568438E-2</v>
      </c>
      <c r="Y1036" s="659">
        <v>0.33629337671281118</v>
      </c>
      <c r="Z1036" s="658">
        <v>0.21932816892235607</v>
      </c>
      <c r="AA1036" s="659">
        <v>0.99032743991448324</v>
      </c>
      <c r="AB1036" s="658">
        <v>0.25452968329709497</v>
      </c>
      <c r="AC1036" s="660">
        <v>-0.82546298586849454</v>
      </c>
      <c r="AD1036" s="682">
        <v>0</v>
      </c>
      <c r="AE1036" s="944" t="s">
        <v>1776</v>
      </c>
      <c r="AF1036" s="661" t="s">
        <v>1729</v>
      </c>
      <c r="AG1036" s="662" t="s">
        <v>1433</v>
      </c>
      <c r="AH1036" s="662" t="s">
        <v>1734</v>
      </c>
      <c r="AI1036" s="662">
        <v>1000</v>
      </c>
      <c r="AJ1036" s="662">
        <v>0</v>
      </c>
      <c r="AK1036" s="662">
        <v>0</v>
      </c>
      <c r="AL1036" s="658">
        <v>2.5000000000000001E-2</v>
      </c>
      <c r="AM1036" s="658">
        <v>0.2</v>
      </c>
      <c r="AN1036" s="659" t="s">
        <v>2160</v>
      </c>
      <c r="AO1036" s="253" t="s">
        <v>34</v>
      </c>
      <c r="AP1036" s="944" t="s">
        <v>1731</v>
      </c>
      <c r="AQ1036" s="663" t="s">
        <v>670</v>
      </c>
      <c r="AR1036" s="658">
        <v>8.3333333333333297E-3</v>
      </c>
      <c r="AS1036" s="658">
        <v>8.3333333333333297E-3</v>
      </c>
      <c r="AT1036" s="658" t="s">
        <v>1417</v>
      </c>
      <c r="AU1036" s="658" t="s">
        <v>2751</v>
      </c>
      <c r="AX1036"/>
      <c r="AY1036"/>
      <c r="BA1036"/>
      <c r="BB1036"/>
      <c r="BC1036"/>
      <c r="BD1036"/>
      <c r="BE1036"/>
      <c r="BF1036"/>
      <c r="BG1036"/>
      <c r="BH1036"/>
      <c r="BI1036"/>
      <c r="BJ1036"/>
      <c r="BR1036"/>
      <c r="BS1036"/>
      <c r="BT1036"/>
      <c r="BU1036"/>
      <c r="BX1036"/>
      <c r="BY1036"/>
      <c r="CA1036"/>
    </row>
    <row r="1037" spans="2:79" ht="18.75">
      <c r="B1037" s="252" t="s">
        <v>1066</v>
      </c>
      <c r="C1037" s="251">
        <v>9296022000115</v>
      </c>
      <c r="D1037" s="252" t="s">
        <v>14</v>
      </c>
      <c r="E1037" s="252" t="s">
        <v>607</v>
      </c>
      <c r="F1037" s="252" t="s">
        <v>1417</v>
      </c>
      <c r="G1037" s="253" t="s">
        <v>1417</v>
      </c>
      <c r="H1037" s="253" t="s">
        <v>34</v>
      </c>
      <c r="I1037" s="253" t="s">
        <v>34</v>
      </c>
      <c r="J1037" s="253" t="s">
        <v>608</v>
      </c>
      <c r="K1037" s="253" t="s">
        <v>48</v>
      </c>
      <c r="L1037" s="655"/>
      <c r="M1037" s="655" t="s">
        <v>34</v>
      </c>
      <c r="N1037" s="253" t="s">
        <v>3651</v>
      </c>
      <c r="O1037" s="253" t="s">
        <v>1321</v>
      </c>
      <c r="P1037" s="656">
        <v>39607</v>
      </c>
      <c r="Q1037" s="657">
        <v>31.083376000000001</v>
      </c>
      <c r="R1037" s="657">
        <v>39.219384967871498</v>
      </c>
      <c r="S1037" s="253">
        <v>3</v>
      </c>
      <c r="T1037" s="658">
        <v>-7.3648060740048038E-3</v>
      </c>
      <c r="U1037" s="659">
        <v>-0.36827013406666237</v>
      </c>
      <c r="V1037" s="658">
        <v>-5.2951363248739503E-2</v>
      </c>
      <c r="W1037" s="659">
        <v>-0.41065424087045455</v>
      </c>
      <c r="X1037" s="658">
        <v>4.5511747641379996E-2</v>
      </c>
      <c r="Y1037" s="659">
        <v>0.23570500317201154</v>
      </c>
      <c r="Z1037" s="658">
        <v>4.5316989394774021E-2</v>
      </c>
      <c r="AA1037" s="659">
        <v>0.20461876061093526</v>
      </c>
      <c r="AB1037" s="658">
        <v>0.26765775051137408</v>
      </c>
      <c r="AC1037" s="660">
        <v>-0.67958156394876468</v>
      </c>
      <c r="AD1037" s="682">
        <v>0</v>
      </c>
      <c r="AE1037" s="944" t="s">
        <v>1776</v>
      </c>
      <c r="AF1037" s="661" t="s">
        <v>1729</v>
      </c>
      <c r="AG1037" s="662" t="s">
        <v>1433</v>
      </c>
      <c r="AH1037" s="662" t="s">
        <v>1734</v>
      </c>
      <c r="AI1037" s="662">
        <v>500</v>
      </c>
      <c r="AJ1037" s="662">
        <v>0</v>
      </c>
      <c r="AK1037" s="662">
        <v>0</v>
      </c>
      <c r="AL1037" s="658">
        <v>3.5000000000000003E-2</v>
      </c>
      <c r="AM1037" s="658">
        <v>0.2</v>
      </c>
      <c r="AN1037" s="659" t="s">
        <v>2160</v>
      </c>
      <c r="AO1037" s="253" t="s">
        <v>34</v>
      </c>
      <c r="AP1037" s="944" t="s">
        <v>1731</v>
      </c>
      <c r="AQ1037" s="663" t="s">
        <v>681</v>
      </c>
      <c r="AR1037" s="658">
        <v>8.3333333333333297E-3</v>
      </c>
      <c r="AS1037" s="658">
        <v>8.3333333333333297E-3</v>
      </c>
      <c r="AT1037" s="658" t="s">
        <v>1417</v>
      </c>
      <c r="AU1037" s="658" t="s">
        <v>2751</v>
      </c>
      <c r="AX1037"/>
      <c r="AY1037"/>
      <c r="BA1037"/>
      <c r="BB1037"/>
      <c r="BC1037"/>
      <c r="BD1037"/>
      <c r="BE1037"/>
      <c r="BF1037"/>
      <c r="BG1037"/>
      <c r="BH1037"/>
      <c r="BI1037"/>
      <c r="BJ1037"/>
      <c r="BR1037"/>
      <c r="BS1037"/>
      <c r="BT1037"/>
      <c r="BU1037"/>
      <c r="BX1037"/>
      <c r="BY1037"/>
      <c r="CA1037"/>
    </row>
    <row r="1038" spans="2:79" ht="18.75">
      <c r="B1038" s="252" t="s">
        <v>284</v>
      </c>
      <c r="C1038" s="251">
        <v>7187591000105</v>
      </c>
      <c r="D1038" s="252" t="s">
        <v>13</v>
      </c>
      <c r="E1038" s="252" t="s">
        <v>615</v>
      </c>
      <c r="F1038" s="252" t="s">
        <v>619</v>
      </c>
      <c r="G1038" s="253" t="s">
        <v>34</v>
      </c>
      <c r="H1038" s="253" t="s">
        <v>865</v>
      </c>
      <c r="I1038" s="253" t="s">
        <v>34</v>
      </c>
      <c r="J1038" s="253" t="s">
        <v>1417</v>
      </c>
      <c r="K1038" s="253" t="s">
        <v>48</v>
      </c>
      <c r="L1038" s="655"/>
      <c r="M1038" s="655" t="s">
        <v>34</v>
      </c>
      <c r="N1038" s="253" t="s">
        <v>3652</v>
      </c>
      <c r="O1038" s="253" t="s">
        <v>1321</v>
      </c>
      <c r="P1038" s="656">
        <v>38570</v>
      </c>
      <c r="Q1038" s="657">
        <v>56.263629999999999</v>
      </c>
      <c r="R1038" s="657">
        <v>68.578289076305225</v>
      </c>
      <c r="S1038" s="253">
        <v>30</v>
      </c>
      <c r="T1038" s="658">
        <v>1.1639364519924422E-2</v>
      </c>
      <c r="U1038" s="659">
        <v>0.58201537000857684</v>
      </c>
      <c r="V1038" s="658">
        <v>0.12149750544587601</v>
      </c>
      <c r="W1038" s="659">
        <v>0.94225082803166227</v>
      </c>
      <c r="X1038" s="658">
        <v>0.10238853366452294</v>
      </c>
      <c r="Y1038" s="659">
        <v>0.53026945575325357</v>
      </c>
      <c r="Z1038" s="658">
        <v>0.1902510199348566</v>
      </c>
      <c r="AA1038" s="659">
        <v>0.85903605742454725</v>
      </c>
      <c r="AB1038" s="658">
        <v>8.413022704610465E-2</v>
      </c>
      <c r="AC1038" s="660">
        <v>-8.8510446986332272E-2</v>
      </c>
      <c r="AD1038" s="682">
        <v>0</v>
      </c>
      <c r="AE1038" s="944" t="s">
        <v>1776</v>
      </c>
      <c r="AF1038" s="661" t="s">
        <v>1729</v>
      </c>
      <c r="AG1038" s="662" t="s">
        <v>1433</v>
      </c>
      <c r="AH1038" s="662" t="s">
        <v>1734</v>
      </c>
      <c r="AI1038" s="662">
        <v>500</v>
      </c>
      <c r="AJ1038" s="662">
        <v>0</v>
      </c>
      <c r="AK1038" s="662">
        <v>0</v>
      </c>
      <c r="AL1038" s="658">
        <v>1.2E-2</v>
      </c>
      <c r="AM1038" s="658">
        <v>0.2</v>
      </c>
      <c r="AN1038" s="659" t="s">
        <v>64</v>
      </c>
      <c r="AO1038" s="253" t="s">
        <v>34</v>
      </c>
      <c r="AP1038" s="944" t="s">
        <v>1746</v>
      </c>
      <c r="AQ1038" s="663" t="s">
        <v>664</v>
      </c>
      <c r="AR1038" s="658">
        <v>6.6666666666666697E-3</v>
      </c>
      <c r="AS1038" s="658">
        <v>6.6666666666666697E-3</v>
      </c>
      <c r="AT1038" s="658" t="s">
        <v>1417</v>
      </c>
      <c r="AU1038" s="658" t="s">
        <v>2751</v>
      </c>
      <c r="AX1038"/>
      <c r="AY1038"/>
      <c r="BA1038"/>
      <c r="BB1038"/>
      <c r="BC1038"/>
      <c r="BD1038"/>
      <c r="BE1038"/>
      <c r="BF1038"/>
      <c r="BG1038"/>
      <c r="BH1038"/>
      <c r="BI1038"/>
      <c r="BJ1038"/>
      <c r="BR1038"/>
      <c r="BS1038"/>
      <c r="BT1038"/>
      <c r="BU1038"/>
      <c r="BX1038"/>
      <c r="BY1038"/>
      <c r="CA1038"/>
    </row>
    <row r="1039" spans="2:79" ht="18.75">
      <c r="B1039" s="252" t="s">
        <v>1067</v>
      </c>
      <c r="C1039" s="251">
        <v>8610270000126</v>
      </c>
      <c r="D1039" s="252" t="s">
        <v>11</v>
      </c>
      <c r="E1039" s="252" t="s">
        <v>620</v>
      </c>
      <c r="F1039" s="252" t="s">
        <v>663</v>
      </c>
      <c r="G1039" s="253" t="s">
        <v>738</v>
      </c>
      <c r="H1039" s="253" t="s">
        <v>34</v>
      </c>
      <c r="I1039" s="253" t="s">
        <v>1304</v>
      </c>
      <c r="J1039" s="253" t="s">
        <v>608</v>
      </c>
      <c r="K1039" s="253" t="s">
        <v>48</v>
      </c>
      <c r="L1039" s="655"/>
      <c r="M1039" s="655" t="s">
        <v>34</v>
      </c>
      <c r="N1039" s="253" t="s">
        <v>3653</v>
      </c>
      <c r="O1039" s="253" t="s">
        <v>1321</v>
      </c>
      <c r="P1039" s="656">
        <v>39143</v>
      </c>
      <c r="Q1039" s="657">
        <v>103.444699</v>
      </c>
      <c r="R1039" s="657">
        <v>106.48508173895583</v>
      </c>
      <c r="S1039" s="253">
        <v>0</v>
      </c>
      <c r="T1039" s="658">
        <v>1.8021059540919149E-2</v>
      </c>
      <c r="U1039" s="659">
        <v>0.90112596943761303</v>
      </c>
      <c r="V1039" s="658">
        <v>0.12563905090916583</v>
      </c>
      <c r="W1039" s="659">
        <v>0.97436979728781725</v>
      </c>
      <c r="X1039" s="658">
        <v>0.1786659793750236</v>
      </c>
      <c r="Y1039" s="659">
        <v>0.92530978083186533</v>
      </c>
      <c r="Z1039" s="658">
        <v>0.20187555479803554</v>
      </c>
      <c r="AA1039" s="659">
        <v>0.91152405250430379</v>
      </c>
      <c r="AB1039" s="658">
        <v>7.6196234205114016E-3</v>
      </c>
      <c r="AC1039" s="660">
        <v>-0.43372990438426595</v>
      </c>
      <c r="AD1039" s="682">
        <v>0</v>
      </c>
      <c r="AE1039" s="944" t="s">
        <v>1776</v>
      </c>
      <c r="AF1039" s="661" t="s">
        <v>1729</v>
      </c>
      <c r="AG1039" s="662" t="s">
        <v>1433</v>
      </c>
      <c r="AH1039" s="662" t="s">
        <v>1734</v>
      </c>
      <c r="AI1039" s="662">
        <v>100</v>
      </c>
      <c r="AJ1039" s="662">
        <v>0</v>
      </c>
      <c r="AK1039" s="662">
        <v>0</v>
      </c>
      <c r="AL1039" s="658">
        <v>4.5000000000000005E-3</v>
      </c>
      <c r="AM1039" s="658">
        <v>0</v>
      </c>
      <c r="AN1039" s="659" t="s">
        <v>34</v>
      </c>
      <c r="AO1039" s="253" t="s">
        <v>34</v>
      </c>
      <c r="AP1039" s="944" t="s">
        <v>1735</v>
      </c>
      <c r="AQ1039" s="663" t="s">
        <v>675</v>
      </c>
      <c r="AR1039" s="658">
        <v>1.5E-3</v>
      </c>
      <c r="AS1039" s="658">
        <v>1.5E-3</v>
      </c>
      <c r="AT1039" s="658" t="s">
        <v>1417</v>
      </c>
      <c r="AU1039" s="658" t="s">
        <v>2751</v>
      </c>
      <c r="AX1039"/>
      <c r="AY1039"/>
      <c r="BA1039"/>
      <c r="BB1039"/>
      <c r="BC1039"/>
      <c r="BD1039"/>
      <c r="BE1039"/>
      <c r="BF1039"/>
      <c r="BG1039"/>
      <c r="BH1039"/>
      <c r="BI1039"/>
      <c r="BJ1039"/>
      <c r="BR1039"/>
      <c r="BS1039"/>
      <c r="BT1039"/>
      <c r="BU1039"/>
      <c r="BX1039"/>
      <c r="BY1039"/>
      <c r="CA1039"/>
    </row>
    <row r="1040" spans="2:79" ht="18.75">
      <c r="B1040" s="252" t="s">
        <v>286</v>
      </c>
      <c r="C1040" s="251">
        <v>13143673000142</v>
      </c>
      <c r="D1040" s="252" t="s">
        <v>13</v>
      </c>
      <c r="E1040" s="252" t="s">
        <v>615</v>
      </c>
      <c r="F1040" s="252" t="s">
        <v>619</v>
      </c>
      <c r="G1040" s="253" t="s">
        <v>34</v>
      </c>
      <c r="H1040" s="253" t="s">
        <v>1337</v>
      </c>
      <c r="I1040" s="253" t="s">
        <v>34</v>
      </c>
      <c r="J1040" s="253" t="s">
        <v>1417</v>
      </c>
      <c r="K1040" s="253" t="s">
        <v>48</v>
      </c>
      <c r="L1040" s="655"/>
      <c r="M1040" s="655" t="s">
        <v>1414</v>
      </c>
      <c r="N1040" s="253" t="s">
        <v>3655</v>
      </c>
      <c r="O1040" s="253" t="s">
        <v>1321</v>
      </c>
      <c r="P1040" s="656">
        <v>40661</v>
      </c>
      <c r="Q1040" s="657">
        <v>18.940275</v>
      </c>
      <c r="R1040" s="657">
        <v>18.709412658536582</v>
      </c>
      <c r="S1040" s="253">
        <v>32</v>
      </c>
      <c r="T1040" s="658">
        <v>-5.7032581290472617E-4</v>
      </c>
      <c r="U1040" s="659">
        <v>-2.8518600689493825E-2</v>
      </c>
      <c r="V1040" s="658">
        <v>9.5908969919778375E-2</v>
      </c>
      <c r="W1040" s="659">
        <v>0.7438038006700689</v>
      </c>
      <c r="X1040" s="658">
        <v>0.16367178554264084</v>
      </c>
      <c r="Y1040" s="659">
        <v>0.8476549622854076</v>
      </c>
      <c r="Z1040" s="658">
        <v>0.22822271775579805</v>
      </c>
      <c r="AA1040" s="659">
        <v>1.0304887918224328</v>
      </c>
      <c r="AB1040" s="658">
        <v>4.6307056566683338E-2</v>
      </c>
      <c r="AC1040" s="660">
        <v>-0.7133888866254936</v>
      </c>
      <c r="AD1040" s="682">
        <v>0</v>
      </c>
      <c r="AE1040" s="944" t="s">
        <v>1820</v>
      </c>
      <c r="AF1040" s="661" t="s">
        <v>1745</v>
      </c>
      <c r="AG1040" s="662" t="s">
        <v>1432</v>
      </c>
      <c r="AH1040" s="662" t="s">
        <v>1730</v>
      </c>
      <c r="AI1040" s="662">
        <v>0</v>
      </c>
      <c r="AJ1040" s="662">
        <v>0</v>
      </c>
      <c r="AK1040" s="662">
        <v>0</v>
      </c>
      <c r="AL1040" s="658">
        <v>6.5000000000000006E-3</v>
      </c>
      <c r="AM1040" s="658">
        <v>0.1</v>
      </c>
      <c r="AN1040" s="659" t="s">
        <v>64</v>
      </c>
      <c r="AO1040" s="253" t="s">
        <v>34</v>
      </c>
      <c r="AP1040" s="944" t="s">
        <v>1746</v>
      </c>
      <c r="AQ1040" s="663" t="s">
        <v>668</v>
      </c>
      <c r="AR1040" s="658">
        <v>0</v>
      </c>
      <c r="AS1040" s="658">
        <v>0</v>
      </c>
      <c r="AT1040" s="658" t="s">
        <v>1417</v>
      </c>
      <c r="AU1040" s="658" t="s">
        <v>2751</v>
      </c>
      <c r="AX1040"/>
      <c r="AY1040"/>
      <c r="BA1040"/>
      <c r="BB1040"/>
      <c r="BC1040"/>
      <c r="BD1040"/>
      <c r="BE1040"/>
      <c r="BF1040"/>
      <c r="BG1040"/>
      <c r="BH1040"/>
      <c r="BI1040"/>
      <c r="BJ1040"/>
      <c r="BR1040"/>
      <c r="BS1040"/>
      <c r="BT1040"/>
      <c r="BU1040"/>
      <c r="BX1040"/>
      <c r="BY1040"/>
      <c r="CA1040"/>
    </row>
    <row r="1041" spans="2:79" ht="18.75">
      <c r="B1041" s="252" t="s">
        <v>1068</v>
      </c>
      <c r="C1041" s="251">
        <v>38049108000141</v>
      </c>
      <c r="D1041" s="252" t="s">
        <v>13</v>
      </c>
      <c r="E1041" s="252" t="s">
        <v>616</v>
      </c>
      <c r="F1041" s="252" t="s">
        <v>617</v>
      </c>
      <c r="G1041" s="253" t="s">
        <v>34</v>
      </c>
      <c r="H1041" s="253" t="s">
        <v>1337</v>
      </c>
      <c r="I1041" s="253" t="s">
        <v>34</v>
      </c>
      <c r="J1041" s="253" t="s">
        <v>608</v>
      </c>
      <c r="K1041" s="253" t="s">
        <v>48</v>
      </c>
      <c r="L1041" s="655"/>
      <c r="M1041" s="655" t="s">
        <v>34</v>
      </c>
      <c r="N1041" s="253" t="s">
        <v>3656</v>
      </c>
      <c r="O1041" s="253" t="s">
        <v>1321</v>
      </c>
      <c r="P1041" s="656">
        <v>44064</v>
      </c>
      <c r="Q1041" s="657">
        <v>576.68999417999999</v>
      </c>
      <c r="R1041" s="657">
        <v>482.35946577610446</v>
      </c>
      <c r="S1041" s="253">
        <v>17</v>
      </c>
      <c r="T1041" s="658">
        <v>1.6160946228014561E-2</v>
      </c>
      <c r="U1041" s="659">
        <v>0.80811276960055933</v>
      </c>
      <c r="V1041" s="658">
        <v>0.10287794802227279</v>
      </c>
      <c r="W1041" s="659">
        <v>0.79785038675849773</v>
      </c>
      <c r="X1041" s="658">
        <v>0.13783083106896221</v>
      </c>
      <c r="Y1041" s="659">
        <v>0.71382485090009273</v>
      </c>
      <c r="Z1041" s="658"/>
      <c r="AA1041" s="659"/>
      <c r="AB1041" s="658">
        <v>1.6824381675806008E-2</v>
      </c>
      <c r="AC1041" s="660">
        <v>-1.5492968435208074</v>
      </c>
      <c r="AD1041" s="682">
        <v>22222949000179</v>
      </c>
      <c r="AE1041" s="944" t="s">
        <v>2026</v>
      </c>
      <c r="AF1041" s="661" t="s">
        <v>1745</v>
      </c>
      <c r="AG1041" s="662" t="s">
        <v>1432</v>
      </c>
      <c r="AH1041" s="662" t="s">
        <v>1801</v>
      </c>
      <c r="AI1041" s="662">
        <v>1000</v>
      </c>
      <c r="AJ1041" s="662">
        <v>1000</v>
      </c>
      <c r="AK1041" s="662">
        <v>1000</v>
      </c>
      <c r="AL1041" s="658">
        <v>1.8500000000000003E-2</v>
      </c>
      <c r="AM1041" s="658">
        <v>0.2</v>
      </c>
      <c r="AN1041" s="659" t="s">
        <v>34</v>
      </c>
      <c r="AO1041" s="253" t="s">
        <v>34</v>
      </c>
      <c r="AP1041" s="944" t="s">
        <v>1746</v>
      </c>
      <c r="AQ1041" s="663" t="s">
        <v>668</v>
      </c>
      <c r="AR1041" s="658">
        <v>4.9333333333333304E-3</v>
      </c>
      <c r="AS1041" s="658">
        <v>4.9333333333333304E-3</v>
      </c>
      <c r="AT1041" s="658" t="s">
        <v>1417</v>
      </c>
      <c r="AU1041" s="658" t="s">
        <v>2751</v>
      </c>
      <c r="AX1041"/>
      <c r="AY1041"/>
      <c r="BA1041"/>
      <c r="BB1041"/>
      <c r="BC1041"/>
      <c r="BD1041"/>
      <c r="BE1041"/>
      <c r="BF1041"/>
      <c r="BG1041"/>
      <c r="BH1041"/>
      <c r="BI1041"/>
      <c r="BJ1041"/>
      <c r="BR1041"/>
      <c r="BS1041"/>
      <c r="BT1041"/>
      <c r="BU1041"/>
      <c r="BX1041"/>
      <c r="BY1041"/>
      <c r="CA1041"/>
    </row>
    <row r="1042" spans="2:79" ht="18.75">
      <c r="B1042" s="252" t="s">
        <v>1069</v>
      </c>
      <c r="C1042" s="251">
        <v>38049303000171</v>
      </c>
      <c r="D1042" s="252" t="s">
        <v>14</v>
      </c>
      <c r="E1042" s="252" t="s">
        <v>614</v>
      </c>
      <c r="F1042" s="252" t="s">
        <v>1417</v>
      </c>
      <c r="G1042" s="253" t="s">
        <v>1417</v>
      </c>
      <c r="H1042" s="253" t="s">
        <v>865</v>
      </c>
      <c r="I1042" s="253" t="s">
        <v>34</v>
      </c>
      <c r="J1042" s="253" t="s">
        <v>608</v>
      </c>
      <c r="K1042" s="253" t="s">
        <v>48</v>
      </c>
      <c r="L1042" s="655"/>
      <c r="M1042" s="655" t="s">
        <v>34</v>
      </c>
      <c r="N1042" s="253" t="s">
        <v>3657</v>
      </c>
      <c r="O1042" s="253" t="s">
        <v>1321</v>
      </c>
      <c r="P1042" s="656">
        <v>44062</v>
      </c>
      <c r="Q1042" s="657">
        <v>428.94212035999999</v>
      </c>
      <c r="R1042" s="657">
        <v>577.9928858012853</v>
      </c>
      <c r="S1042" s="253">
        <v>32</v>
      </c>
      <c r="T1042" s="658">
        <v>-1.9291836404422225E-2</v>
      </c>
      <c r="U1042" s="659">
        <v>-0.96466995975976544</v>
      </c>
      <c r="V1042" s="658">
        <v>-3.2860828493886607E-2</v>
      </c>
      <c r="W1042" s="659">
        <v>-0.25484591428063824</v>
      </c>
      <c r="X1042" s="658">
        <v>-7.0845424263732637E-2</v>
      </c>
      <c r="Y1042" s="659">
        <v>-0.36690792633115576</v>
      </c>
      <c r="Z1042" s="658"/>
      <c r="AA1042" s="659"/>
      <c r="AB1042" s="658">
        <v>0.1526229831029059</v>
      </c>
      <c r="AC1042" s="660">
        <v>-1.0601597128499203</v>
      </c>
      <c r="AD1042" s="682">
        <v>22222944000146</v>
      </c>
      <c r="AE1042" s="944" t="s">
        <v>2026</v>
      </c>
      <c r="AF1042" s="661" t="s">
        <v>1745</v>
      </c>
      <c r="AG1042" s="662" t="s">
        <v>1432</v>
      </c>
      <c r="AH1042" s="662" t="s">
        <v>1801</v>
      </c>
      <c r="AI1042" s="662">
        <v>1000</v>
      </c>
      <c r="AJ1042" s="662">
        <v>1000</v>
      </c>
      <c r="AK1042" s="662">
        <v>1000</v>
      </c>
      <c r="AL1042" s="658">
        <v>1.8500000000000003E-2</v>
      </c>
      <c r="AM1042" s="658">
        <v>0.2</v>
      </c>
      <c r="AN1042" s="659" t="s">
        <v>34</v>
      </c>
      <c r="AO1042" s="253" t="s">
        <v>34</v>
      </c>
      <c r="AP1042" s="944" t="s">
        <v>1746</v>
      </c>
      <c r="AQ1042" s="663" t="s">
        <v>668</v>
      </c>
      <c r="AR1042" s="658">
        <v>4.9333333333333304E-3</v>
      </c>
      <c r="AS1042" s="658">
        <v>4.9333333333333304E-3</v>
      </c>
      <c r="AT1042" s="658" t="s">
        <v>1417</v>
      </c>
      <c r="AU1042" s="658" t="s">
        <v>2751</v>
      </c>
      <c r="AX1042"/>
      <c r="AY1042"/>
      <c r="BA1042"/>
      <c r="BB1042"/>
      <c r="BC1042"/>
      <c r="BD1042"/>
      <c r="BE1042"/>
      <c r="BF1042"/>
      <c r="BG1042"/>
      <c r="BH1042"/>
      <c r="BI1042"/>
      <c r="BJ1042"/>
      <c r="BR1042"/>
      <c r="BS1042"/>
      <c r="BT1042"/>
      <c r="BU1042"/>
      <c r="BX1042"/>
      <c r="BY1042"/>
      <c r="CA1042"/>
    </row>
    <row r="1043" spans="2:79" ht="18.75">
      <c r="B1043" s="252" t="s">
        <v>1070</v>
      </c>
      <c r="C1043" s="251">
        <v>7899238000140</v>
      </c>
      <c r="D1043" s="252" t="s">
        <v>14</v>
      </c>
      <c r="E1043" s="252" t="s">
        <v>607</v>
      </c>
      <c r="F1043" s="252" t="s">
        <v>1417</v>
      </c>
      <c r="G1043" s="253" t="s">
        <v>1417</v>
      </c>
      <c r="H1043" s="253" t="s">
        <v>34</v>
      </c>
      <c r="I1043" s="253" t="s">
        <v>34</v>
      </c>
      <c r="J1043" s="253" t="s">
        <v>608</v>
      </c>
      <c r="K1043" s="253" t="s">
        <v>48</v>
      </c>
      <c r="L1043" s="655"/>
      <c r="M1043" s="655" t="s">
        <v>34</v>
      </c>
      <c r="N1043" s="253" t="s">
        <v>3658</v>
      </c>
      <c r="O1043" s="253" t="s">
        <v>1321</v>
      </c>
      <c r="P1043" s="656">
        <v>38799</v>
      </c>
      <c r="Q1043" s="657">
        <v>214.71016900000001</v>
      </c>
      <c r="R1043" s="657">
        <v>257.54995229718884</v>
      </c>
      <c r="S1043" s="253">
        <v>3</v>
      </c>
      <c r="T1043" s="658">
        <v>-3.9337978601028945E-2</v>
      </c>
      <c r="U1043" s="659">
        <v>-1.9670582643644197</v>
      </c>
      <c r="V1043" s="658">
        <v>-0.12161974524463848</v>
      </c>
      <c r="W1043" s="659">
        <v>-0.94319883557453055</v>
      </c>
      <c r="X1043" s="658">
        <v>-0.19792907243088387</v>
      </c>
      <c r="Y1043" s="659">
        <v>-1.0250731967659545</v>
      </c>
      <c r="Z1043" s="658">
        <v>-0.20609408959446718</v>
      </c>
      <c r="AA1043" s="659">
        <v>-0.93057190570832737</v>
      </c>
      <c r="AB1043" s="658">
        <v>0.25701145294594419</v>
      </c>
      <c r="AC1043" s="660">
        <v>-0.97491240884166552</v>
      </c>
      <c r="AD1043" s="682">
        <v>0</v>
      </c>
      <c r="AE1043" s="944" t="s">
        <v>1777</v>
      </c>
      <c r="AF1043" s="661" t="s">
        <v>1742</v>
      </c>
      <c r="AG1043" s="662" t="s">
        <v>741</v>
      </c>
      <c r="AH1043" s="662" t="s">
        <v>1734</v>
      </c>
      <c r="AI1043" s="662">
        <v>5000</v>
      </c>
      <c r="AJ1043" s="662">
        <v>0</v>
      </c>
      <c r="AK1043" s="662">
        <v>5000</v>
      </c>
      <c r="AL1043" s="658">
        <v>2.5000000000000001E-2</v>
      </c>
      <c r="AM1043" s="658">
        <v>0.2</v>
      </c>
      <c r="AN1043" s="659" t="s">
        <v>2160</v>
      </c>
      <c r="AO1043" s="253" t="s">
        <v>34</v>
      </c>
      <c r="AP1043" s="944" t="s">
        <v>1731</v>
      </c>
      <c r="AQ1043" s="663" t="s">
        <v>670</v>
      </c>
      <c r="AR1043" s="658">
        <v>8.3333333333333297E-3</v>
      </c>
      <c r="AS1043" s="658">
        <v>8.3333333333333297E-3</v>
      </c>
      <c r="AT1043" s="658" t="s">
        <v>1417</v>
      </c>
      <c r="AU1043" s="658" t="s">
        <v>2751</v>
      </c>
      <c r="AX1043"/>
      <c r="AY1043"/>
      <c r="BA1043"/>
      <c r="BB1043"/>
      <c r="BC1043"/>
      <c r="BD1043"/>
      <c r="BE1043"/>
      <c r="BF1043"/>
      <c r="BG1043"/>
      <c r="BH1043"/>
      <c r="BI1043"/>
      <c r="BJ1043"/>
      <c r="BR1043"/>
      <c r="BS1043"/>
      <c r="BT1043"/>
      <c r="BU1043"/>
      <c r="BX1043"/>
      <c r="BY1043"/>
      <c r="CA1043"/>
    </row>
    <row r="1044" spans="2:79" ht="18.75">
      <c r="B1044" s="252" t="s">
        <v>1071</v>
      </c>
      <c r="C1044" s="251">
        <v>44479850000190</v>
      </c>
      <c r="D1044" s="252" t="s">
        <v>14</v>
      </c>
      <c r="E1044" s="252" t="s">
        <v>607</v>
      </c>
      <c r="F1044" s="252" t="s">
        <v>1417</v>
      </c>
      <c r="G1044" s="253" t="s">
        <v>1417</v>
      </c>
      <c r="H1044" s="253" t="s">
        <v>34</v>
      </c>
      <c r="I1044" s="253" t="s">
        <v>34</v>
      </c>
      <c r="J1044" s="253" t="s">
        <v>611</v>
      </c>
      <c r="K1044" s="253" t="s">
        <v>1417</v>
      </c>
      <c r="L1044" s="655"/>
      <c r="M1044" s="655" t="s">
        <v>34</v>
      </c>
      <c r="N1044" s="253" t="s">
        <v>3659</v>
      </c>
      <c r="O1044" s="253" t="s">
        <v>1321</v>
      </c>
      <c r="P1044" s="656">
        <v>44597</v>
      </c>
      <c r="Q1044" s="657">
        <v>1.12351837</v>
      </c>
      <c r="R1044" s="657">
        <v>1.0205600917791413</v>
      </c>
      <c r="S1044" s="253">
        <v>12</v>
      </c>
      <c r="T1044" s="658">
        <v>7.4700743751944687E-2</v>
      </c>
      <c r="U1044" s="659">
        <v>3.7353397550424239</v>
      </c>
      <c r="V1044" s="658">
        <v>8.8949817052501601E-2</v>
      </c>
      <c r="W1044" s="659">
        <v>0.68983341232730944</v>
      </c>
      <c r="X1044" s="658"/>
      <c r="Y1044" s="659"/>
      <c r="Z1044" s="658"/>
      <c r="AA1044" s="659"/>
      <c r="AB1044" s="658">
        <v>0.18862315168156096</v>
      </c>
      <c r="AC1044" s="660">
        <v>-0.21203172589230154</v>
      </c>
      <c r="AD1044" s="682">
        <v>44839365000180</v>
      </c>
      <c r="AE1044" s="944" t="s">
        <v>1747</v>
      </c>
      <c r="AF1044" s="661" t="s">
        <v>1745</v>
      </c>
      <c r="AG1044" s="662" t="s">
        <v>1432</v>
      </c>
      <c r="AH1044" s="662" t="s">
        <v>1730</v>
      </c>
      <c r="AI1044" s="662">
        <v>5000</v>
      </c>
      <c r="AJ1044" s="662">
        <v>5000</v>
      </c>
      <c r="AK1044" s="662">
        <v>5000</v>
      </c>
      <c r="AL1044" s="658">
        <v>0</v>
      </c>
      <c r="AM1044" s="658">
        <v>0</v>
      </c>
      <c r="AN1044" s="659" t="s">
        <v>2127</v>
      </c>
      <c r="AO1044" s="253" t="s">
        <v>34</v>
      </c>
      <c r="AP1044" s="944" t="s">
        <v>1731</v>
      </c>
      <c r="AQ1044" s="663" t="s">
        <v>687</v>
      </c>
      <c r="AR1044" s="658">
        <v>6.6666666666666697E-3</v>
      </c>
      <c r="AS1044" s="658">
        <v>6.6666666666666697E-3</v>
      </c>
      <c r="AT1044" s="658" t="s">
        <v>1417</v>
      </c>
      <c r="AU1044" s="658" t="s">
        <v>2751</v>
      </c>
      <c r="AX1044"/>
      <c r="AY1044"/>
      <c r="BA1044"/>
      <c r="BB1044"/>
      <c r="BC1044"/>
      <c r="BD1044"/>
      <c r="BE1044"/>
      <c r="BF1044"/>
      <c r="BG1044"/>
      <c r="BH1044"/>
      <c r="BI1044"/>
      <c r="BJ1044"/>
      <c r="BR1044"/>
      <c r="BS1044"/>
      <c r="BT1044"/>
      <c r="BU1044"/>
      <c r="BX1044"/>
      <c r="BY1044"/>
      <c r="CA1044"/>
    </row>
    <row r="1045" spans="2:79" ht="18.75">
      <c r="B1045" s="252" t="s">
        <v>287</v>
      </c>
      <c r="C1045" s="251">
        <v>37970369000137</v>
      </c>
      <c r="D1045" s="252" t="s">
        <v>11</v>
      </c>
      <c r="E1045" s="252" t="s">
        <v>620</v>
      </c>
      <c r="F1045" s="252" t="s">
        <v>663</v>
      </c>
      <c r="G1045" s="253" t="s">
        <v>738</v>
      </c>
      <c r="H1045" s="253" t="s">
        <v>34</v>
      </c>
      <c r="I1045" s="253" t="s">
        <v>1304</v>
      </c>
      <c r="J1045" s="253" t="s">
        <v>608</v>
      </c>
      <c r="K1045" s="253" t="s">
        <v>48</v>
      </c>
      <c r="L1045" s="655"/>
      <c r="M1045" s="655" t="s">
        <v>34</v>
      </c>
      <c r="N1045" s="253" t="s">
        <v>3660</v>
      </c>
      <c r="O1045" s="253" t="s">
        <v>1321</v>
      </c>
      <c r="P1045" s="656">
        <v>44064</v>
      </c>
      <c r="Q1045" s="657">
        <v>102.03263004</v>
      </c>
      <c r="R1045" s="657">
        <v>91.964186965573816</v>
      </c>
      <c r="S1045" s="253">
        <v>91</v>
      </c>
      <c r="T1045" s="658">
        <v>2.5445343128195574E-2</v>
      </c>
      <c r="U1045" s="659">
        <v>1.27237022007522</v>
      </c>
      <c r="V1045" s="658">
        <v>0.1681919869296149</v>
      </c>
      <c r="W1045" s="659">
        <v>1.3043810107139893</v>
      </c>
      <c r="X1045" s="658">
        <v>0.28873423134361831</v>
      </c>
      <c r="Y1045" s="659">
        <v>1.4953524406704652</v>
      </c>
      <c r="Z1045" s="658"/>
      <c r="AA1045" s="659"/>
      <c r="AB1045" s="658">
        <v>2.8547687539578629E-3</v>
      </c>
      <c r="AC1045" s="660">
        <v>13.748251037290798</v>
      </c>
      <c r="AD1045" s="682">
        <v>0</v>
      </c>
      <c r="AE1045" s="944" t="s">
        <v>1862</v>
      </c>
      <c r="AF1045" s="661" t="s">
        <v>1745</v>
      </c>
      <c r="AG1045" s="662" t="s">
        <v>1432</v>
      </c>
      <c r="AH1045" s="662" t="s">
        <v>1730</v>
      </c>
      <c r="AI1045" s="662">
        <v>5</v>
      </c>
      <c r="AJ1045" s="662">
        <v>0</v>
      </c>
      <c r="AK1045" s="662">
        <v>0</v>
      </c>
      <c r="AL1045" s="658">
        <v>5.0000000000000001E-3</v>
      </c>
      <c r="AM1045" s="658">
        <v>0.2</v>
      </c>
      <c r="AN1045" s="659" t="s">
        <v>34</v>
      </c>
      <c r="AO1045" s="253" t="s">
        <v>34</v>
      </c>
      <c r="AP1045" s="944" t="s">
        <v>1746</v>
      </c>
      <c r="AQ1045" s="663" t="s">
        <v>668</v>
      </c>
      <c r="AR1045" s="658">
        <v>3.3335000000000001E-3</v>
      </c>
      <c r="AS1045" s="658">
        <v>3.3335000000000001E-3</v>
      </c>
      <c r="AT1045" s="658" t="s">
        <v>1417</v>
      </c>
      <c r="AU1045" s="658" t="s">
        <v>2751</v>
      </c>
      <c r="AX1045"/>
      <c r="AY1045"/>
      <c r="BA1045"/>
      <c r="BB1045"/>
      <c r="BC1045"/>
      <c r="BD1045"/>
      <c r="BE1045"/>
      <c r="BF1045"/>
      <c r="BG1045"/>
      <c r="BH1045"/>
      <c r="BI1045"/>
      <c r="BJ1045"/>
      <c r="BR1045"/>
      <c r="BS1045"/>
      <c r="BT1045"/>
      <c r="BU1045"/>
      <c r="BX1045"/>
      <c r="BY1045"/>
      <c r="CA1045"/>
    </row>
    <row r="1046" spans="2:79" ht="18.75">
      <c r="B1046" s="252" t="s">
        <v>1072</v>
      </c>
      <c r="C1046" s="251">
        <v>31340883000102</v>
      </c>
      <c r="D1046" s="252" t="s">
        <v>14</v>
      </c>
      <c r="E1046" s="252" t="s">
        <v>614</v>
      </c>
      <c r="F1046" s="252" t="s">
        <v>1417</v>
      </c>
      <c r="G1046" s="253" t="s">
        <v>1417</v>
      </c>
      <c r="H1046" s="253" t="s">
        <v>865</v>
      </c>
      <c r="I1046" s="253" t="s">
        <v>34</v>
      </c>
      <c r="J1046" s="253" t="s">
        <v>608</v>
      </c>
      <c r="K1046" s="253" t="s">
        <v>48</v>
      </c>
      <c r="L1046" s="655"/>
      <c r="M1046" s="655" t="s">
        <v>34</v>
      </c>
      <c r="N1046" s="253" t="s">
        <v>3661</v>
      </c>
      <c r="O1046" s="253" t="s">
        <v>1321</v>
      </c>
      <c r="P1046" s="656">
        <v>43455</v>
      </c>
      <c r="Q1046" s="657">
        <v>16.23236661</v>
      </c>
      <c r="R1046" s="657">
        <v>31.357775600040164</v>
      </c>
      <c r="S1046" s="253">
        <v>32</v>
      </c>
      <c r="T1046" s="658">
        <v>-1.0367739161004641E-2</v>
      </c>
      <c r="U1046" s="659">
        <v>-0.51842895147884849</v>
      </c>
      <c r="V1046" s="658">
        <v>-3.3364320447096363E-2</v>
      </c>
      <c r="W1046" s="659">
        <v>-0.2587506504978811</v>
      </c>
      <c r="X1046" s="658">
        <v>-0.14303260546627106</v>
      </c>
      <c r="Y1046" s="659">
        <v>-0.74076480188767024</v>
      </c>
      <c r="Z1046" s="658">
        <v>-3.5599510907096454E-2</v>
      </c>
      <c r="AA1046" s="659">
        <v>-0.16074165335011378</v>
      </c>
      <c r="AB1046" s="658">
        <v>0.16631270952821903</v>
      </c>
      <c r="AC1046" s="660">
        <v>-0.97592198668584107</v>
      </c>
      <c r="AD1046" s="682">
        <v>32075594000196</v>
      </c>
      <c r="AE1046" s="944" t="s">
        <v>1797</v>
      </c>
      <c r="AF1046" s="661" t="s">
        <v>1745</v>
      </c>
      <c r="AG1046" s="662" t="s">
        <v>1432</v>
      </c>
      <c r="AH1046" s="662" t="s">
        <v>1730</v>
      </c>
      <c r="AI1046" s="662">
        <v>1000</v>
      </c>
      <c r="AJ1046" s="662">
        <v>1000</v>
      </c>
      <c r="AK1046" s="662">
        <v>1000</v>
      </c>
      <c r="AL1046" s="658">
        <v>0</v>
      </c>
      <c r="AM1046" s="658">
        <v>0</v>
      </c>
      <c r="AN1046" s="659" t="s">
        <v>34</v>
      </c>
      <c r="AO1046" s="253" t="s">
        <v>34</v>
      </c>
      <c r="AP1046" s="944" t="s">
        <v>1746</v>
      </c>
      <c r="AQ1046" s="663" t="s">
        <v>668</v>
      </c>
      <c r="AR1046" s="658">
        <v>3.8E-3</v>
      </c>
      <c r="AS1046" s="658">
        <v>3.8E-3</v>
      </c>
      <c r="AT1046" s="658" t="s">
        <v>1417</v>
      </c>
      <c r="AU1046" s="658" t="s">
        <v>2751</v>
      </c>
      <c r="AX1046"/>
      <c r="AY1046"/>
      <c r="BA1046"/>
      <c r="BB1046"/>
      <c r="BC1046"/>
      <c r="BD1046"/>
      <c r="BE1046"/>
      <c r="BF1046"/>
      <c r="BG1046"/>
      <c r="BH1046"/>
      <c r="BI1046"/>
      <c r="BJ1046"/>
      <c r="BR1046"/>
      <c r="BS1046"/>
      <c r="BT1046"/>
      <c r="BU1046"/>
      <c r="BX1046"/>
      <c r="BY1046"/>
      <c r="CA1046"/>
    </row>
    <row r="1047" spans="2:79" ht="18.75">
      <c r="B1047" s="252" t="s">
        <v>288</v>
      </c>
      <c r="C1047" s="251">
        <v>28386218000145</v>
      </c>
      <c r="D1047" s="252" t="s">
        <v>14</v>
      </c>
      <c r="E1047" s="252" t="s">
        <v>614</v>
      </c>
      <c r="F1047" s="252" t="s">
        <v>1417</v>
      </c>
      <c r="G1047" s="253" t="s">
        <v>1417</v>
      </c>
      <c r="H1047" s="253" t="s">
        <v>865</v>
      </c>
      <c r="I1047" s="253" t="s">
        <v>34</v>
      </c>
      <c r="J1047" s="253" t="s">
        <v>608</v>
      </c>
      <c r="K1047" s="253" t="s">
        <v>48</v>
      </c>
      <c r="L1047" s="655"/>
      <c r="M1047" s="655" t="s">
        <v>34</v>
      </c>
      <c r="N1047" s="253" t="s">
        <v>3662</v>
      </c>
      <c r="O1047" s="253" t="s">
        <v>1321</v>
      </c>
      <c r="P1047" s="656">
        <v>42993</v>
      </c>
      <c r="Q1047" s="657">
        <v>24.702029169999999</v>
      </c>
      <c r="R1047" s="657">
        <v>28.731005033846124</v>
      </c>
      <c r="S1047" s="253">
        <v>32</v>
      </c>
      <c r="T1047" s="658">
        <v>-1.003804334635694E-2</v>
      </c>
      <c r="U1047" s="659">
        <v>-0.50194282534850987</v>
      </c>
      <c r="V1047" s="658">
        <v>-3.2115145502783715E-2</v>
      </c>
      <c r="W1047" s="659">
        <v>-0.24906291146722803</v>
      </c>
      <c r="X1047" s="658">
        <v>-0.14347737567989682</v>
      </c>
      <c r="Y1047" s="659">
        <v>-0.74306826352222544</v>
      </c>
      <c r="Z1047" s="658">
        <v>-2.9918524069172392E-2</v>
      </c>
      <c r="AA1047" s="659">
        <v>-0.13509042405735078</v>
      </c>
      <c r="AB1047" s="658">
        <v>0.16214808075193046</v>
      </c>
      <c r="AC1047" s="660">
        <v>-0.99328375767811594</v>
      </c>
      <c r="AD1047" s="682">
        <v>28069937000132</v>
      </c>
      <c r="AE1047" s="944" t="s">
        <v>1956</v>
      </c>
      <c r="AF1047" s="661" t="s">
        <v>1729</v>
      </c>
      <c r="AG1047" s="662" t="s">
        <v>1433</v>
      </c>
      <c r="AH1047" s="662" t="s">
        <v>1730</v>
      </c>
      <c r="AI1047" s="662">
        <v>5000</v>
      </c>
      <c r="AJ1047" s="662">
        <v>1000</v>
      </c>
      <c r="AK1047" s="662">
        <v>1000</v>
      </c>
      <c r="AL1047" s="658">
        <v>1.9E-2</v>
      </c>
      <c r="AM1047" s="658">
        <v>0.2</v>
      </c>
      <c r="AN1047" s="659" t="s">
        <v>2141</v>
      </c>
      <c r="AO1047" s="253" t="s">
        <v>34</v>
      </c>
      <c r="AP1047" s="944" t="s">
        <v>1746</v>
      </c>
      <c r="AQ1047" s="663" t="s">
        <v>668</v>
      </c>
      <c r="AR1047" s="658">
        <v>3.8E-3</v>
      </c>
      <c r="AS1047" s="658">
        <v>3.8E-3</v>
      </c>
      <c r="AT1047" s="658" t="s">
        <v>1417</v>
      </c>
      <c r="AU1047" s="658" t="s">
        <v>2751</v>
      </c>
      <c r="AX1047"/>
      <c r="AY1047"/>
      <c r="BA1047"/>
      <c r="BB1047"/>
      <c r="BC1047"/>
      <c r="BD1047"/>
      <c r="BE1047"/>
      <c r="BF1047"/>
      <c r="BG1047"/>
      <c r="BH1047"/>
      <c r="BI1047"/>
      <c r="BJ1047"/>
      <c r="BR1047"/>
      <c r="BS1047"/>
      <c r="BT1047"/>
      <c r="BU1047"/>
      <c r="BX1047"/>
      <c r="BY1047"/>
      <c r="CA1047"/>
    </row>
    <row r="1048" spans="2:79" ht="18.75">
      <c r="B1048" s="252" t="s">
        <v>289</v>
      </c>
      <c r="C1048" s="251">
        <v>33953430000187</v>
      </c>
      <c r="D1048" s="252" t="s">
        <v>14</v>
      </c>
      <c r="E1048" s="252" t="s">
        <v>614</v>
      </c>
      <c r="F1048" s="252" t="s">
        <v>1417</v>
      </c>
      <c r="G1048" s="253" t="s">
        <v>1417</v>
      </c>
      <c r="H1048" s="253" t="s">
        <v>1338</v>
      </c>
      <c r="I1048" s="253" t="s">
        <v>34</v>
      </c>
      <c r="J1048" s="253" t="s">
        <v>608</v>
      </c>
      <c r="K1048" s="253" t="s">
        <v>48</v>
      </c>
      <c r="L1048" s="655"/>
      <c r="M1048" s="655" t="s">
        <v>34</v>
      </c>
      <c r="N1048" s="253" t="s">
        <v>3663</v>
      </c>
      <c r="O1048" s="253" t="s">
        <v>1321</v>
      </c>
      <c r="P1048" s="656">
        <v>43622</v>
      </c>
      <c r="Q1048" s="657">
        <v>144.23775112000001</v>
      </c>
      <c r="R1048" s="657">
        <v>171.53387852682735</v>
      </c>
      <c r="S1048" s="253">
        <v>32</v>
      </c>
      <c r="T1048" s="658">
        <v>-1.9062834168989906E-2</v>
      </c>
      <c r="U1048" s="659">
        <v>-0.95321892043886636</v>
      </c>
      <c r="V1048" s="658">
        <v>-7.4561948450083015E-2</v>
      </c>
      <c r="W1048" s="659">
        <v>-0.578251030001946</v>
      </c>
      <c r="X1048" s="658">
        <v>-0.11493293118994907</v>
      </c>
      <c r="Y1048" s="659">
        <v>-0.59523679741238134</v>
      </c>
      <c r="Z1048" s="658">
        <v>-8.0215004843273485E-2</v>
      </c>
      <c r="AA1048" s="659">
        <v>-0.36219296764059977</v>
      </c>
      <c r="AB1048" s="658">
        <v>0.19554454706556579</v>
      </c>
      <c r="AC1048" s="660">
        <v>-1.0407135404733949</v>
      </c>
      <c r="AD1048" s="682">
        <v>28069983000131</v>
      </c>
      <c r="AE1048" s="944" t="s">
        <v>1956</v>
      </c>
      <c r="AF1048" s="661" t="s">
        <v>1783</v>
      </c>
      <c r="AG1048" s="662" t="s">
        <v>736</v>
      </c>
      <c r="AH1048" s="662" t="s">
        <v>1734</v>
      </c>
      <c r="AI1048" s="662">
        <v>5000</v>
      </c>
      <c r="AJ1048" s="662">
        <v>1000</v>
      </c>
      <c r="AK1048" s="662">
        <v>5000</v>
      </c>
      <c r="AL1048" s="658">
        <v>0.02</v>
      </c>
      <c r="AM1048" s="658">
        <v>0.2</v>
      </c>
      <c r="AN1048" s="659" t="s">
        <v>666</v>
      </c>
      <c r="AO1048" s="253" t="s">
        <v>34</v>
      </c>
      <c r="AP1048" s="944" t="s">
        <v>1731</v>
      </c>
      <c r="AQ1048" s="663" t="s">
        <v>659</v>
      </c>
      <c r="AR1048" s="658">
        <v>3.8E-3</v>
      </c>
      <c r="AS1048" s="658">
        <v>3.8E-3</v>
      </c>
      <c r="AT1048" s="658" t="s">
        <v>1417</v>
      </c>
      <c r="AU1048" s="658" t="s">
        <v>2751</v>
      </c>
      <c r="AX1048"/>
      <c r="AY1048"/>
      <c r="BA1048"/>
      <c r="BB1048"/>
      <c r="BC1048"/>
      <c r="BD1048"/>
      <c r="BE1048"/>
      <c r="BF1048"/>
      <c r="BG1048"/>
      <c r="BH1048"/>
      <c r="BI1048"/>
      <c r="BJ1048"/>
      <c r="BR1048"/>
      <c r="BS1048"/>
      <c r="BT1048"/>
      <c r="BU1048"/>
      <c r="BX1048"/>
      <c r="BY1048"/>
      <c r="CA1048"/>
    </row>
    <row r="1049" spans="2:79" ht="18.75">
      <c r="B1049" s="252" t="s">
        <v>290</v>
      </c>
      <c r="C1049" s="251">
        <v>28407875000121</v>
      </c>
      <c r="D1049" s="252" t="s">
        <v>14</v>
      </c>
      <c r="E1049" s="252" t="s">
        <v>607</v>
      </c>
      <c r="F1049" s="252" t="s">
        <v>1417</v>
      </c>
      <c r="G1049" s="253" t="s">
        <v>1417</v>
      </c>
      <c r="H1049" s="253" t="s">
        <v>34</v>
      </c>
      <c r="I1049" s="253" t="s">
        <v>34</v>
      </c>
      <c r="J1049" s="253" t="s">
        <v>608</v>
      </c>
      <c r="K1049" s="253" t="s">
        <v>48</v>
      </c>
      <c r="L1049" s="655"/>
      <c r="M1049" s="655" t="s">
        <v>34</v>
      </c>
      <c r="N1049" s="253" t="s">
        <v>3664</v>
      </c>
      <c r="O1049" s="253" t="s">
        <v>1321</v>
      </c>
      <c r="P1049" s="656">
        <v>43013</v>
      </c>
      <c r="Q1049" s="657">
        <v>15.91831796</v>
      </c>
      <c r="R1049" s="657">
        <v>29.344374227670681</v>
      </c>
      <c r="S1049" s="253">
        <v>32</v>
      </c>
      <c r="T1049" s="658">
        <v>-2.0582458889777389E-2</v>
      </c>
      <c r="U1049" s="659">
        <v>-1.0292063115571102</v>
      </c>
      <c r="V1049" s="658">
        <v>-8.5135576874321162E-2</v>
      </c>
      <c r="W1049" s="659">
        <v>-0.66025279704625606</v>
      </c>
      <c r="X1049" s="658">
        <v>-0.13157491907911023</v>
      </c>
      <c r="Y1049" s="659">
        <v>-0.6814255291462693</v>
      </c>
      <c r="Z1049" s="658">
        <v>-0.10732863821376137</v>
      </c>
      <c r="AA1049" s="659">
        <v>-0.4846185331961157</v>
      </c>
      <c r="AB1049" s="658">
        <v>0.19648307004196267</v>
      </c>
      <c r="AC1049" s="660">
        <v>-1.0895569082638459</v>
      </c>
      <c r="AD1049" s="682">
        <v>28069983000131</v>
      </c>
      <c r="AE1049" s="944" t="s">
        <v>1956</v>
      </c>
      <c r="AF1049" s="661" t="s">
        <v>1729</v>
      </c>
      <c r="AG1049" s="662" t="s">
        <v>1433</v>
      </c>
      <c r="AH1049" s="662" t="s">
        <v>1734</v>
      </c>
      <c r="AI1049" s="662">
        <v>5000</v>
      </c>
      <c r="AJ1049" s="662">
        <v>1000</v>
      </c>
      <c r="AK1049" s="662">
        <v>5000</v>
      </c>
      <c r="AL1049" s="658">
        <v>2.8999999999999998E-2</v>
      </c>
      <c r="AM1049" s="658">
        <v>0</v>
      </c>
      <c r="AN1049" s="659" t="s">
        <v>34</v>
      </c>
      <c r="AO1049" s="253" t="s">
        <v>34</v>
      </c>
      <c r="AP1049" s="944" t="s">
        <v>1731</v>
      </c>
      <c r="AQ1049" s="663" t="s">
        <v>659</v>
      </c>
      <c r="AR1049" s="658">
        <v>5.7999999999999996E-3</v>
      </c>
      <c r="AS1049" s="658">
        <v>5.7999999999999996E-3</v>
      </c>
      <c r="AT1049" s="658" t="s">
        <v>1417</v>
      </c>
      <c r="AU1049" s="658" t="s">
        <v>2751</v>
      </c>
      <c r="AX1049"/>
      <c r="AY1049"/>
      <c r="BA1049"/>
      <c r="BB1049"/>
      <c r="BC1049"/>
      <c r="BD1049"/>
      <c r="BE1049"/>
      <c r="BF1049"/>
      <c r="BG1049"/>
      <c r="BH1049"/>
      <c r="BI1049"/>
      <c r="BJ1049"/>
      <c r="BR1049"/>
      <c r="BS1049"/>
      <c r="BT1049"/>
      <c r="BU1049"/>
      <c r="BX1049"/>
      <c r="BY1049"/>
      <c r="CA1049"/>
    </row>
    <row r="1050" spans="2:79" ht="18.75">
      <c r="B1050" s="252" t="s">
        <v>2651</v>
      </c>
      <c r="C1050" s="251">
        <v>29275420000162</v>
      </c>
      <c r="D1050" s="252" t="s">
        <v>14</v>
      </c>
      <c r="E1050" s="252" t="s">
        <v>607</v>
      </c>
      <c r="F1050" s="252" t="s">
        <v>1417</v>
      </c>
      <c r="G1050" s="253" t="s">
        <v>1417</v>
      </c>
      <c r="H1050" s="253" t="s">
        <v>1417</v>
      </c>
      <c r="I1050" s="253" t="s">
        <v>1417</v>
      </c>
      <c r="J1050" s="253" t="s">
        <v>608</v>
      </c>
      <c r="K1050" s="253" t="s">
        <v>48</v>
      </c>
      <c r="L1050" s="655"/>
      <c r="M1050" s="655" t="s">
        <v>34</v>
      </c>
      <c r="N1050" s="253" t="s">
        <v>3665</v>
      </c>
      <c r="O1050" s="253" t="s">
        <v>1321</v>
      </c>
      <c r="P1050" s="656">
        <v>43627</v>
      </c>
      <c r="Q1050" s="657"/>
      <c r="R1050" s="657"/>
      <c r="S1050" s="253">
        <v>7</v>
      </c>
      <c r="T1050" s="658"/>
      <c r="U1050" s="659"/>
      <c r="V1050" s="658"/>
      <c r="W1050" s="659"/>
      <c r="X1050" s="658"/>
      <c r="Y1050" s="659"/>
      <c r="Z1050" s="658"/>
      <c r="AA1050" s="659"/>
      <c r="AB1050" s="658"/>
      <c r="AC1050" s="660"/>
      <c r="AD1050" s="682">
        <v>29259946000159</v>
      </c>
      <c r="AE1050" s="944" t="s">
        <v>1956</v>
      </c>
      <c r="AF1050" s="661" t="s">
        <v>1783</v>
      </c>
      <c r="AG1050" s="662" t="s">
        <v>736</v>
      </c>
      <c r="AH1050" s="662" t="s">
        <v>2119</v>
      </c>
      <c r="AI1050" s="662">
        <v>200000</v>
      </c>
      <c r="AJ1050" s="662">
        <v>1</v>
      </c>
      <c r="AK1050" s="662">
        <v>200000</v>
      </c>
      <c r="AL1050" s="658">
        <v>2.9000000000000001E-2</v>
      </c>
      <c r="AM1050" s="658">
        <v>0</v>
      </c>
      <c r="AN1050" s="659" t="s">
        <v>666</v>
      </c>
      <c r="AO1050" s="253" t="s">
        <v>4397</v>
      </c>
      <c r="AP1050" s="944" t="s">
        <v>1731</v>
      </c>
      <c r="AQ1050" s="663" t="s">
        <v>2120</v>
      </c>
      <c r="AR1050" s="658">
        <v>0</v>
      </c>
      <c r="AS1050" s="658">
        <v>0</v>
      </c>
      <c r="AT1050" s="658" t="s">
        <v>1417</v>
      </c>
      <c r="AU1050" s="658" t="s">
        <v>2751</v>
      </c>
      <c r="AX1050"/>
      <c r="AY1050"/>
      <c r="BA1050"/>
      <c r="BB1050"/>
      <c r="BC1050"/>
      <c r="BD1050"/>
      <c r="BE1050"/>
      <c r="BF1050"/>
      <c r="BG1050"/>
      <c r="BH1050"/>
      <c r="BI1050"/>
      <c r="BJ1050"/>
      <c r="BR1050"/>
      <c r="BS1050"/>
      <c r="BT1050"/>
      <c r="BU1050"/>
      <c r="BX1050"/>
      <c r="BY1050"/>
      <c r="CA1050"/>
    </row>
    <row r="1051" spans="2:79" ht="18.75">
      <c r="B1051" s="252" t="s">
        <v>2654</v>
      </c>
      <c r="C1051" s="251">
        <v>33206211000134</v>
      </c>
      <c r="D1051" s="252" t="s">
        <v>14</v>
      </c>
      <c r="E1051" s="252" t="s">
        <v>607</v>
      </c>
      <c r="F1051" s="252" t="s">
        <v>1417</v>
      </c>
      <c r="G1051" s="253" t="s">
        <v>1417</v>
      </c>
      <c r="H1051" s="253" t="s">
        <v>1417</v>
      </c>
      <c r="I1051" s="253" t="s">
        <v>1417</v>
      </c>
      <c r="J1051" s="253" t="s">
        <v>608</v>
      </c>
      <c r="K1051" s="253" t="s">
        <v>48</v>
      </c>
      <c r="L1051" s="655"/>
      <c r="M1051" s="655" t="s">
        <v>34</v>
      </c>
      <c r="N1051" s="253" t="s">
        <v>3666</v>
      </c>
      <c r="O1051" s="253" t="s">
        <v>1321</v>
      </c>
      <c r="P1051" s="656">
        <v>43755</v>
      </c>
      <c r="Q1051" s="657"/>
      <c r="R1051" s="657"/>
      <c r="S1051" s="253">
        <v>7</v>
      </c>
      <c r="T1051" s="658"/>
      <c r="U1051" s="659"/>
      <c r="V1051" s="658"/>
      <c r="W1051" s="659"/>
      <c r="X1051" s="658"/>
      <c r="Y1051" s="659"/>
      <c r="Z1051" s="658"/>
      <c r="AA1051" s="659"/>
      <c r="AB1051" s="658"/>
      <c r="AC1051" s="660"/>
      <c r="AD1051" s="682">
        <v>29259946000159</v>
      </c>
      <c r="AE1051" s="944" t="s">
        <v>1956</v>
      </c>
      <c r="AF1051" s="661" t="s">
        <v>1745</v>
      </c>
      <c r="AG1051" s="662" t="s">
        <v>1432</v>
      </c>
      <c r="AH1051" s="662" t="s">
        <v>2119</v>
      </c>
      <c r="AI1051" s="662">
        <v>0</v>
      </c>
      <c r="AJ1051" s="662">
        <v>0</v>
      </c>
      <c r="AK1051" s="662">
        <v>0</v>
      </c>
      <c r="AL1051" s="658">
        <v>2.9000000000000001E-2</v>
      </c>
      <c r="AM1051" s="658">
        <v>0</v>
      </c>
      <c r="AN1051" s="659" t="s">
        <v>34</v>
      </c>
      <c r="AO1051" s="253" t="s">
        <v>4400</v>
      </c>
      <c r="AP1051" s="944" t="s">
        <v>1731</v>
      </c>
      <c r="AQ1051" s="663" t="s">
        <v>2120</v>
      </c>
      <c r="AR1051" s="658">
        <v>0</v>
      </c>
      <c r="AS1051" s="658">
        <v>0</v>
      </c>
      <c r="AT1051" s="658" t="s">
        <v>1417</v>
      </c>
      <c r="AU1051" s="658" t="s">
        <v>2751</v>
      </c>
      <c r="AX1051"/>
      <c r="AY1051"/>
      <c r="BA1051"/>
      <c r="BB1051"/>
      <c r="BC1051"/>
      <c r="BD1051"/>
      <c r="BE1051"/>
      <c r="BF1051"/>
      <c r="BG1051"/>
      <c r="BH1051"/>
      <c r="BI1051"/>
      <c r="BJ1051"/>
      <c r="BR1051"/>
      <c r="BS1051"/>
      <c r="BT1051"/>
      <c r="BU1051"/>
      <c r="BX1051"/>
      <c r="BY1051"/>
      <c r="CA1051"/>
    </row>
    <row r="1052" spans="2:79" ht="18.75">
      <c r="B1052" s="252" t="s">
        <v>291</v>
      </c>
      <c r="C1052" s="251">
        <v>32862291000113</v>
      </c>
      <c r="D1052" s="252" t="s">
        <v>14</v>
      </c>
      <c r="E1052" s="252" t="s">
        <v>607</v>
      </c>
      <c r="F1052" s="252" t="s">
        <v>1417</v>
      </c>
      <c r="G1052" s="253" t="s">
        <v>1417</v>
      </c>
      <c r="H1052" s="253" t="s">
        <v>34</v>
      </c>
      <c r="I1052" s="253" t="s">
        <v>34</v>
      </c>
      <c r="J1052" s="253" t="s">
        <v>608</v>
      </c>
      <c r="K1052" s="253" t="s">
        <v>48</v>
      </c>
      <c r="L1052" s="655"/>
      <c r="M1052" s="655" t="s">
        <v>1414</v>
      </c>
      <c r="N1052" s="253" t="s">
        <v>3667</v>
      </c>
      <c r="O1052" s="253" t="s">
        <v>1321</v>
      </c>
      <c r="P1052" s="656">
        <v>43602</v>
      </c>
      <c r="Q1052" s="657">
        <v>0</v>
      </c>
      <c r="R1052" s="657">
        <v>1.7848776858536592</v>
      </c>
      <c r="S1052" s="253">
        <v>366</v>
      </c>
      <c r="T1052" s="658"/>
      <c r="U1052" s="659"/>
      <c r="V1052" s="658">
        <v>1.467316239661276E-2</v>
      </c>
      <c r="W1052" s="659">
        <v>0.11379492416171835</v>
      </c>
      <c r="X1052" s="658">
        <v>-0.17705783188428326</v>
      </c>
      <c r="Y1052" s="659">
        <v>-0.9169811969156243</v>
      </c>
      <c r="Z1052" s="658">
        <v>-0.28464671552455767</v>
      </c>
      <c r="AA1052" s="659">
        <v>-1.2852587720517283</v>
      </c>
      <c r="AB1052" s="658">
        <v>0.1934690957359721</v>
      </c>
      <c r="AC1052" s="660">
        <v>-0.59064082878704949</v>
      </c>
      <c r="AD1052" s="682">
        <v>0</v>
      </c>
      <c r="AE1052" s="944" t="s">
        <v>1995</v>
      </c>
      <c r="AF1052" s="661" t="s">
        <v>1769</v>
      </c>
      <c r="AG1052" s="662" t="s">
        <v>719</v>
      </c>
      <c r="AH1052" s="662" t="s">
        <v>1734</v>
      </c>
      <c r="AI1052" s="662">
        <v>100000</v>
      </c>
      <c r="AJ1052" s="662">
        <v>10000</v>
      </c>
      <c r="AK1052" s="662">
        <v>10000</v>
      </c>
      <c r="AL1052" s="658">
        <v>5.9999999999999995E-4</v>
      </c>
      <c r="AM1052" s="658">
        <v>0.3</v>
      </c>
      <c r="AN1052" s="659" t="s">
        <v>2122</v>
      </c>
      <c r="AO1052" s="253" t="s">
        <v>34</v>
      </c>
      <c r="AP1052" s="944" t="s">
        <v>1731</v>
      </c>
      <c r="AQ1052" s="663" t="s">
        <v>659</v>
      </c>
      <c r="AR1052" s="658">
        <v>0</v>
      </c>
      <c r="AS1052" s="658">
        <v>0</v>
      </c>
      <c r="AT1052" s="658" t="s">
        <v>1417</v>
      </c>
      <c r="AU1052" s="658" t="s">
        <v>2751</v>
      </c>
      <c r="AX1052"/>
      <c r="AY1052"/>
      <c r="BA1052"/>
      <c r="BB1052"/>
      <c r="BC1052"/>
      <c r="BD1052"/>
      <c r="BE1052"/>
      <c r="BF1052"/>
      <c r="BG1052"/>
      <c r="BH1052"/>
      <c r="BI1052"/>
      <c r="BJ1052"/>
      <c r="BR1052"/>
      <c r="BS1052"/>
      <c r="BT1052"/>
      <c r="BU1052"/>
      <c r="BX1052"/>
      <c r="BY1052"/>
      <c r="CA1052"/>
    </row>
    <row r="1053" spans="2:79" ht="18.75">
      <c r="B1053" s="252" t="s">
        <v>1073</v>
      </c>
      <c r="C1053" s="251">
        <v>9577098000119</v>
      </c>
      <c r="D1053" s="252" t="s">
        <v>14</v>
      </c>
      <c r="E1053" s="252" t="s">
        <v>607</v>
      </c>
      <c r="F1053" s="252" t="s">
        <v>1417</v>
      </c>
      <c r="G1053" s="253" t="s">
        <v>1417</v>
      </c>
      <c r="H1053" s="253" t="s">
        <v>34</v>
      </c>
      <c r="I1053" s="253" t="s">
        <v>34</v>
      </c>
      <c r="J1053" s="253" t="s">
        <v>608</v>
      </c>
      <c r="K1053" s="253" t="s">
        <v>48</v>
      </c>
      <c r="L1053" s="655"/>
      <c r="M1053" s="655" t="s">
        <v>34</v>
      </c>
      <c r="N1053" s="253" t="s">
        <v>3668</v>
      </c>
      <c r="O1053" s="253" t="s">
        <v>1321</v>
      </c>
      <c r="P1053" s="656">
        <v>39794</v>
      </c>
      <c r="Q1053" s="657">
        <v>15.318020000000001</v>
      </c>
      <c r="R1053" s="657">
        <v>23.925945699186993</v>
      </c>
      <c r="S1053" s="253">
        <v>3</v>
      </c>
      <c r="T1053" s="658">
        <v>-1.6534707549033523E-2</v>
      </c>
      <c r="U1053" s="659">
        <v>-0.82680234953212395</v>
      </c>
      <c r="V1053" s="658">
        <v>-7.1155573714161258E-2</v>
      </c>
      <c r="W1053" s="659">
        <v>-0.55183353769435095</v>
      </c>
      <c r="X1053" s="658">
        <v>-7.1407547865133369E-2</v>
      </c>
      <c r="Y1053" s="659">
        <v>-0.3698191602898086</v>
      </c>
      <c r="Z1053" s="658">
        <v>8.6747514861471586E-3</v>
      </c>
      <c r="AA1053" s="659">
        <v>3.9168905997713874E-2</v>
      </c>
      <c r="AB1053" s="658">
        <v>0.22049716810667214</v>
      </c>
      <c r="AC1053" s="660">
        <v>-0.90749230422834937</v>
      </c>
      <c r="AD1053" s="682">
        <v>0</v>
      </c>
      <c r="AE1053" s="944" t="s">
        <v>1812</v>
      </c>
      <c r="AF1053" s="661" t="s">
        <v>1783</v>
      </c>
      <c r="AG1053" s="662" t="s">
        <v>736</v>
      </c>
      <c r="AH1053" s="662" t="s">
        <v>1734</v>
      </c>
      <c r="AI1053" s="662">
        <v>500</v>
      </c>
      <c r="AJ1053" s="662">
        <v>500</v>
      </c>
      <c r="AK1053" s="662">
        <v>500</v>
      </c>
      <c r="AL1053" s="658">
        <v>0.02</v>
      </c>
      <c r="AM1053" s="658">
        <v>0.2</v>
      </c>
      <c r="AN1053" s="659" t="s">
        <v>666</v>
      </c>
      <c r="AO1053" s="253" t="s">
        <v>34</v>
      </c>
      <c r="AP1053" s="944" t="s">
        <v>1731</v>
      </c>
      <c r="AQ1053" s="663" t="s">
        <v>659</v>
      </c>
      <c r="AR1053" s="658">
        <v>6.0000000000000001E-3</v>
      </c>
      <c r="AS1053" s="658">
        <v>6.0000000000000001E-3</v>
      </c>
      <c r="AT1053" s="658" t="s">
        <v>1417</v>
      </c>
      <c r="AU1053" s="658" t="s">
        <v>2751</v>
      </c>
      <c r="AX1053"/>
      <c r="AY1053"/>
      <c r="BA1053"/>
      <c r="BB1053"/>
      <c r="BC1053"/>
      <c r="BD1053"/>
      <c r="BE1053"/>
      <c r="BF1053"/>
      <c r="BG1053"/>
      <c r="BH1053"/>
      <c r="BI1053"/>
      <c r="BJ1053"/>
      <c r="BR1053"/>
      <c r="BS1053"/>
      <c r="BT1053"/>
      <c r="BU1053"/>
      <c r="BX1053"/>
      <c r="BY1053"/>
      <c r="CA1053"/>
    </row>
    <row r="1054" spans="2:79" ht="18.75">
      <c r="B1054" s="252" t="s">
        <v>1074</v>
      </c>
      <c r="C1054" s="251">
        <v>13554383000191</v>
      </c>
      <c r="D1054" s="252" t="s">
        <v>11</v>
      </c>
      <c r="E1054" s="252" t="s">
        <v>621</v>
      </c>
      <c r="F1054" s="252" t="s">
        <v>672</v>
      </c>
      <c r="G1054" s="253" t="s">
        <v>865</v>
      </c>
      <c r="H1054" s="253" t="s">
        <v>34</v>
      </c>
      <c r="I1054" s="253" t="s">
        <v>1417</v>
      </c>
      <c r="J1054" s="253" t="s">
        <v>608</v>
      </c>
      <c r="K1054" s="253" t="s">
        <v>48</v>
      </c>
      <c r="L1054" s="655"/>
      <c r="M1054" s="655" t="s">
        <v>1414</v>
      </c>
      <c r="N1054" s="253" t="s">
        <v>3669</v>
      </c>
      <c r="O1054" s="253" t="s">
        <v>1321</v>
      </c>
      <c r="P1054" s="656">
        <v>40724</v>
      </c>
      <c r="Q1054" s="657">
        <v>0</v>
      </c>
      <c r="R1054" s="657">
        <v>0</v>
      </c>
      <c r="S1054" s="253">
        <v>1</v>
      </c>
      <c r="T1054" s="658"/>
      <c r="U1054" s="659"/>
      <c r="V1054" s="658"/>
      <c r="W1054" s="659"/>
      <c r="X1054" s="658"/>
      <c r="Y1054" s="659"/>
      <c r="Z1054" s="658"/>
      <c r="AA1054" s="659"/>
      <c r="AB1054" s="658"/>
      <c r="AC1054" s="660"/>
      <c r="AD1054" s="682">
        <v>0</v>
      </c>
      <c r="AE1054" s="944" t="s">
        <v>1752</v>
      </c>
      <c r="AF1054" s="661" t="s">
        <v>1783</v>
      </c>
      <c r="AG1054" s="662" t="s">
        <v>736</v>
      </c>
      <c r="AH1054" s="662" t="s">
        <v>1734</v>
      </c>
      <c r="AI1054" s="662">
        <v>5000</v>
      </c>
      <c r="AJ1054" s="662">
        <v>100</v>
      </c>
      <c r="AK1054" s="662">
        <v>1000</v>
      </c>
      <c r="AL1054" s="658">
        <v>3.0000000000000001E-3</v>
      </c>
      <c r="AM1054" s="658">
        <v>0</v>
      </c>
      <c r="AN1054" s="659" t="s">
        <v>150</v>
      </c>
      <c r="AO1054" s="253" t="s">
        <v>34</v>
      </c>
      <c r="AP1054" s="944" t="s">
        <v>1735</v>
      </c>
      <c r="AQ1054" s="663" t="s">
        <v>669</v>
      </c>
      <c r="AR1054" s="658">
        <v>8.9999999999999998E-4</v>
      </c>
      <c r="AS1054" s="658">
        <v>8.9999999999999998E-4</v>
      </c>
      <c r="AT1054" s="658" t="s">
        <v>1417</v>
      </c>
      <c r="AU1054" s="658" t="s">
        <v>2751</v>
      </c>
      <c r="AX1054"/>
      <c r="AY1054"/>
      <c r="BA1054"/>
      <c r="BB1054"/>
      <c r="BC1054"/>
      <c r="BD1054"/>
      <c r="BE1054"/>
      <c r="BF1054"/>
      <c r="BG1054"/>
      <c r="BH1054"/>
      <c r="BI1054"/>
      <c r="BJ1054"/>
      <c r="BR1054"/>
      <c r="BS1054"/>
      <c r="BT1054"/>
      <c r="BU1054"/>
      <c r="BX1054"/>
      <c r="BY1054"/>
      <c r="CA1054"/>
    </row>
    <row r="1055" spans="2:79" ht="18.75">
      <c r="B1055" s="252" t="s">
        <v>1075</v>
      </c>
      <c r="C1055" s="251">
        <v>18908578000106</v>
      </c>
      <c r="D1055" s="252" t="s">
        <v>13</v>
      </c>
      <c r="E1055" s="252" t="s">
        <v>615</v>
      </c>
      <c r="F1055" s="252" t="s">
        <v>619</v>
      </c>
      <c r="G1055" s="253" t="s">
        <v>34</v>
      </c>
      <c r="H1055" s="253" t="s">
        <v>1337</v>
      </c>
      <c r="I1055" s="253" t="s">
        <v>34</v>
      </c>
      <c r="J1055" s="253" t="s">
        <v>1417</v>
      </c>
      <c r="K1055" s="253" t="s">
        <v>48</v>
      </c>
      <c r="L1055" s="655"/>
      <c r="M1055" s="655" t="s">
        <v>34</v>
      </c>
      <c r="N1055" s="253" t="s">
        <v>3670</v>
      </c>
      <c r="O1055" s="253" t="s">
        <v>1321</v>
      </c>
      <c r="P1055" s="656">
        <v>41607</v>
      </c>
      <c r="Q1055" s="657">
        <v>0</v>
      </c>
      <c r="R1055" s="657">
        <v>0</v>
      </c>
      <c r="S1055" s="253">
        <v>2</v>
      </c>
      <c r="T1055" s="658"/>
      <c r="U1055" s="659"/>
      <c r="V1055" s="658"/>
      <c r="W1055" s="659"/>
      <c r="X1055" s="658"/>
      <c r="Y1055" s="659"/>
      <c r="Z1055" s="658"/>
      <c r="AA1055" s="659"/>
      <c r="AB1055" s="658"/>
      <c r="AC1055" s="660"/>
      <c r="AD1055" s="682">
        <v>0</v>
      </c>
      <c r="AE1055" s="944" t="s">
        <v>1752</v>
      </c>
      <c r="AF1055" s="661" t="s">
        <v>1783</v>
      </c>
      <c r="AG1055" s="662" t="s">
        <v>736</v>
      </c>
      <c r="AH1055" s="662" t="s">
        <v>1734</v>
      </c>
      <c r="AI1055" s="662">
        <v>500</v>
      </c>
      <c r="AJ1055" s="662">
        <v>100</v>
      </c>
      <c r="AK1055" s="662">
        <v>100</v>
      </c>
      <c r="AL1055" s="658">
        <v>1.4999999999999999E-2</v>
      </c>
      <c r="AM1055" s="658">
        <v>0.2</v>
      </c>
      <c r="AN1055" s="659" t="s">
        <v>64</v>
      </c>
      <c r="AO1055" s="253" t="s">
        <v>34</v>
      </c>
      <c r="AP1055" s="944" t="s">
        <v>1746</v>
      </c>
      <c r="AQ1055" s="663" t="s">
        <v>664</v>
      </c>
      <c r="AR1055" s="658">
        <v>5.2500000000000003E-3</v>
      </c>
      <c r="AS1055" s="658">
        <v>5.2500000000000003E-3</v>
      </c>
      <c r="AT1055" s="658" t="s">
        <v>1417</v>
      </c>
      <c r="AU1055" s="658" t="s">
        <v>2751</v>
      </c>
      <c r="AX1055"/>
      <c r="AY1055"/>
      <c r="BA1055"/>
      <c r="BB1055"/>
      <c r="BC1055"/>
      <c r="BD1055"/>
      <c r="BE1055"/>
      <c r="BF1055"/>
      <c r="BG1055"/>
      <c r="BH1055"/>
      <c r="BI1055"/>
      <c r="BJ1055"/>
      <c r="BR1055"/>
      <c r="BS1055"/>
      <c r="BT1055"/>
      <c r="BU1055"/>
      <c r="BX1055"/>
      <c r="BY1055"/>
      <c r="CA1055"/>
    </row>
    <row r="1056" spans="2:79" ht="18.75">
      <c r="B1056" s="252" t="s">
        <v>292</v>
      </c>
      <c r="C1056" s="251">
        <v>24140256000162</v>
      </c>
      <c r="D1056" s="252" t="s">
        <v>13</v>
      </c>
      <c r="E1056" s="252" t="s">
        <v>616</v>
      </c>
      <c r="F1056" s="252" t="s">
        <v>617</v>
      </c>
      <c r="G1056" s="253" t="s">
        <v>34</v>
      </c>
      <c r="H1056" s="253" t="s">
        <v>865</v>
      </c>
      <c r="I1056" s="253" t="s">
        <v>34</v>
      </c>
      <c r="J1056" s="253" t="s">
        <v>608</v>
      </c>
      <c r="K1056" s="253" t="s">
        <v>48</v>
      </c>
      <c r="L1056" s="655"/>
      <c r="M1056" s="655" t="s">
        <v>34</v>
      </c>
      <c r="N1056" s="253" t="s">
        <v>3671</v>
      </c>
      <c r="O1056" s="253" t="s">
        <v>1321</v>
      </c>
      <c r="P1056" s="656">
        <v>42502</v>
      </c>
      <c r="Q1056" s="657">
        <v>802.97870899999998</v>
      </c>
      <c r="R1056" s="657">
        <v>670.95696297580662</v>
      </c>
      <c r="S1056" s="253">
        <v>31</v>
      </c>
      <c r="T1056" s="658">
        <v>3.9520776973096527E-3</v>
      </c>
      <c r="U1056" s="659">
        <v>0.19761989233732305</v>
      </c>
      <c r="V1056" s="658">
        <v>0.10817373296090027</v>
      </c>
      <c r="W1056" s="659">
        <v>0.83892084104632048</v>
      </c>
      <c r="X1056" s="658">
        <v>0.2375161703039248</v>
      </c>
      <c r="Y1056" s="659">
        <v>1.2300944827701876</v>
      </c>
      <c r="Z1056" s="658">
        <v>0.34828999762732593</v>
      </c>
      <c r="AA1056" s="659">
        <v>1.5726258209003514</v>
      </c>
      <c r="AB1056" s="658">
        <v>5.6206302858411245E-2</v>
      </c>
      <c r="AC1056" s="660">
        <v>-0.36953465055707424</v>
      </c>
      <c r="AD1056" s="682">
        <v>24119428000116</v>
      </c>
      <c r="AE1056" s="944" t="s">
        <v>1914</v>
      </c>
      <c r="AF1056" s="661" t="s">
        <v>1767</v>
      </c>
      <c r="AG1056" s="662" t="s">
        <v>59</v>
      </c>
      <c r="AH1056" s="662" t="s">
        <v>1734</v>
      </c>
      <c r="AI1056" s="662">
        <v>1000</v>
      </c>
      <c r="AJ1056" s="662">
        <v>500</v>
      </c>
      <c r="AK1056" s="662">
        <v>1000</v>
      </c>
      <c r="AL1056" s="658">
        <v>0.02</v>
      </c>
      <c r="AM1056" s="658">
        <v>0.2</v>
      </c>
      <c r="AN1056" s="659" t="s">
        <v>64</v>
      </c>
      <c r="AO1056" s="253" t="s">
        <v>34</v>
      </c>
      <c r="AP1056" s="944" t="s">
        <v>1746</v>
      </c>
      <c r="AQ1056" s="663" t="s">
        <v>674</v>
      </c>
      <c r="AR1056" s="658">
        <v>4.9333333333333304E-3</v>
      </c>
      <c r="AS1056" s="658">
        <v>4.9333333333333304E-3</v>
      </c>
      <c r="AT1056" s="658" t="s">
        <v>1417</v>
      </c>
      <c r="AU1056" s="658" t="s">
        <v>2751</v>
      </c>
      <c r="AX1056"/>
      <c r="AY1056"/>
      <c r="BA1056"/>
      <c r="BB1056"/>
      <c r="BC1056"/>
      <c r="BD1056"/>
      <c r="BE1056"/>
      <c r="BF1056"/>
      <c r="BG1056"/>
      <c r="BH1056"/>
      <c r="BI1056"/>
      <c r="BJ1056"/>
      <c r="BR1056"/>
      <c r="BS1056"/>
      <c r="BT1056"/>
      <c r="BU1056"/>
      <c r="BX1056"/>
      <c r="BY1056"/>
      <c r="CA1056"/>
    </row>
    <row r="1057" spans="2:79" ht="18.75">
      <c r="B1057" s="252" t="s">
        <v>293</v>
      </c>
      <c r="C1057" s="251">
        <v>20658576000158</v>
      </c>
      <c r="D1057" s="252" t="s">
        <v>14</v>
      </c>
      <c r="E1057" s="252" t="s">
        <v>607</v>
      </c>
      <c r="F1057" s="252" t="s">
        <v>1417</v>
      </c>
      <c r="G1057" s="253" t="s">
        <v>1417</v>
      </c>
      <c r="H1057" s="253" t="s">
        <v>34</v>
      </c>
      <c r="I1057" s="253" t="s">
        <v>34</v>
      </c>
      <c r="J1057" s="253" t="s">
        <v>608</v>
      </c>
      <c r="K1057" s="253" t="s">
        <v>48</v>
      </c>
      <c r="L1057" s="655"/>
      <c r="M1057" s="655" t="s">
        <v>34</v>
      </c>
      <c r="N1057" s="253" t="s">
        <v>3672</v>
      </c>
      <c r="O1057" s="253" t="s">
        <v>1321</v>
      </c>
      <c r="P1057" s="656">
        <v>41857</v>
      </c>
      <c r="Q1057" s="657">
        <v>501.24152199999997</v>
      </c>
      <c r="R1057" s="657">
        <v>875.21412339430799</v>
      </c>
      <c r="S1057" s="253">
        <v>17</v>
      </c>
      <c r="T1057" s="658">
        <v>-9.9670388794960485E-2</v>
      </c>
      <c r="U1057" s="659">
        <v>-4.9839231440939793</v>
      </c>
      <c r="V1057" s="658">
        <v>-0.23676538053461116</v>
      </c>
      <c r="W1057" s="659">
        <v>-1.8361889409931207</v>
      </c>
      <c r="X1057" s="658">
        <v>-0.30119100165718149</v>
      </c>
      <c r="Y1057" s="659">
        <v>-1.5598659616498676</v>
      </c>
      <c r="Z1057" s="658">
        <v>-0.26524652780738278</v>
      </c>
      <c r="AA1057" s="659">
        <v>-1.1976615503623811</v>
      </c>
      <c r="AB1057" s="658">
        <v>0.31100533988631979</v>
      </c>
      <c r="AC1057" s="660">
        <v>-1.1758939255354117</v>
      </c>
      <c r="AD1057" s="682">
        <v>26491395000166</v>
      </c>
      <c r="AE1057" s="944" t="s">
        <v>1914</v>
      </c>
      <c r="AF1057" s="661" t="s">
        <v>1767</v>
      </c>
      <c r="AG1057" s="662" t="s">
        <v>59</v>
      </c>
      <c r="AH1057" s="662" t="s">
        <v>1734</v>
      </c>
      <c r="AI1057" s="662">
        <v>1000</v>
      </c>
      <c r="AJ1057" s="662">
        <v>500</v>
      </c>
      <c r="AK1057" s="662">
        <v>1000</v>
      </c>
      <c r="AL1057" s="658">
        <v>0.02</v>
      </c>
      <c r="AM1057" s="658">
        <v>0.2</v>
      </c>
      <c r="AN1057" s="659" t="s">
        <v>666</v>
      </c>
      <c r="AO1057" s="253" t="s">
        <v>34</v>
      </c>
      <c r="AP1057" s="944" t="s">
        <v>1731</v>
      </c>
      <c r="AQ1057" s="663" t="s">
        <v>659</v>
      </c>
      <c r="AR1057" s="658">
        <v>4.9333333333333304E-3</v>
      </c>
      <c r="AS1057" s="658">
        <v>4.9333333333333304E-3</v>
      </c>
      <c r="AT1057" s="658" t="s">
        <v>1417</v>
      </c>
      <c r="AU1057" s="658" t="s">
        <v>2751</v>
      </c>
      <c r="AX1057"/>
      <c r="AY1057"/>
      <c r="BA1057"/>
      <c r="BB1057"/>
      <c r="BC1057"/>
      <c r="BD1057"/>
      <c r="BE1057"/>
      <c r="BF1057"/>
      <c r="BG1057"/>
      <c r="BH1057"/>
      <c r="BI1057"/>
      <c r="BJ1057"/>
      <c r="BR1057"/>
      <c r="BS1057"/>
      <c r="BT1057"/>
      <c r="BU1057"/>
      <c r="BX1057"/>
      <c r="BY1057"/>
      <c r="CA1057"/>
    </row>
    <row r="1058" spans="2:79" ht="18.75">
      <c r="B1058" s="252" t="s">
        <v>294</v>
      </c>
      <c r="C1058" s="251">
        <v>30995144000196</v>
      </c>
      <c r="D1058" s="252" t="s">
        <v>14</v>
      </c>
      <c r="E1058" s="252" t="s">
        <v>614</v>
      </c>
      <c r="F1058" s="252" t="s">
        <v>1417</v>
      </c>
      <c r="G1058" s="253" t="s">
        <v>1417</v>
      </c>
      <c r="H1058" s="253" t="s">
        <v>865</v>
      </c>
      <c r="I1058" s="253" t="s">
        <v>34</v>
      </c>
      <c r="J1058" s="253" t="s">
        <v>608</v>
      </c>
      <c r="K1058" s="253" t="s">
        <v>48</v>
      </c>
      <c r="L1058" s="655"/>
      <c r="M1058" s="655" t="s">
        <v>34</v>
      </c>
      <c r="N1058" s="253" t="s">
        <v>3673</v>
      </c>
      <c r="O1058" s="253" t="s">
        <v>1321</v>
      </c>
      <c r="P1058" s="656">
        <v>43512</v>
      </c>
      <c r="Q1058" s="657">
        <v>82.566961039999995</v>
      </c>
      <c r="R1058" s="657">
        <v>104.20426948504036</v>
      </c>
      <c r="S1058" s="253">
        <v>32</v>
      </c>
      <c r="T1058" s="658">
        <v>-5.0866809900055543E-2</v>
      </c>
      <c r="U1058" s="659">
        <v>-2.5435465256250094</v>
      </c>
      <c r="V1058" s="658">
        <v>-4.0077161227809577E-2</v>
      </c>
      <c r="W1058" s="659">
        <v>-0.31081081223420121</v>
      </c>
      <c r="X1058" s="658">
        <v>5.497914592503883E-2</v>
      </c>
      <c r="Y1058" s="659">
        <v>0.28473658860055212</v>
      </c>
      <c r="Z1058" s="658">
        <v>0.20598669517143198</v>
      </c>
      <c r="AA1058" s="659">
        <v>0.9300869901384391</v>
      </c>
      <c r="AB1058" s="658">
        <v>0.1702852871622359</v>
      </c>
      <c r="AC1058" s="660">
        <v>-0.99257589126632229</v>
      </c>
      <c r="AD1058" s="682">
        <v>30995158000100</v>
      </c>
      <c r="AE1058" s="944" t="s">
        <v>1914</v>
      </c>
      <c r="AF1058" s="661" t="s">
        <v>1767</v>
      </c>
      <c r="AG1058" s="662" t="s">
        <v>59</v>
      </c>
      <c r="AH1058" s="662" t="s">
        <v>1734</v>
      </c>
      <c r="AI1058" s="662">
        <v>1000</v>
      </c>
      <c r="AJ1058" s="662">
        <v>500</v>
      </c>
      <c r="AK1058" s="662">
        <v>1000</v>
      </c>
      <c r="AL1058" s="658">
        <v>0.02</v>
      </c>
      <c r="AM1058" s="658">
        <v>0.2</v>
      </c>
      <c r="AN1058" s="659" t="s">
        <v>64</v>
      </c>
      <c r="AO1058" s="253" t="s">
        <v>34</v>
      </c>
      <c r="AP1058" s="944" t="s">
        <v>1746</v>
      </c>
      <c r="AQ1058" s="663" t="s">
        <v>668</v>
      </c>
      <c r="AR1058" s="658">
        <v>5.3333333333333297E-3</v>
      </c>
      <c r="AS1058" s="658">
        <v>5.3333333333333297E-3</v>
      </c>
      <c r="AT1058" s="658" t="s">
        <v>1417</v>
      </c>
      <c r="AU1058" s="658" t="s">
        <v>2751</v>
      </c>
      <c r="AX1058"/>
      <c r="AY1058"/>
      <c r="BA1058"/>
      <c r="BB1058"/>
      <c r="BC1058"/>
      <c r="BD1058"/>
      <c r="BE1058"/>
      <c r="BF1058"/>
      <c r="BG1058"/>
      <c r="BH1058"/>
      <c r="BI1058"/>
      <c r="BJ1058"/>
      <c r="BR1058"/>
      <c r="BS1058"/>
      <c r="BT1058"/>
      <c r="BU1058"/>
      <c r="BX1058"/>
      <c r="BY1058"/>
      <c r="CA1058"/>
    </row>
    <row r="1059" spans="2:79" ht="18.75">
      <c r="B1059" s="252" t="s">
        <v>1076</v>
      </c>
      <c r="C1059" s="251">
        <v>17321731000131</v>
      </c>
      <c r="D1059" s="252" t="s">
        <v>14</v>
      </c>
      <c r="E1059" s="252" t="s">
        <v>607</v>
      </c>
      <c r="F1059" s="252" t="s">
        <v>1417</v>
      </c>
      <c r="G1059" s="253" t="s">
        <v>1417</v>
      </c>
      <c r="H1059" s="253" t="s">
        <v>34</v>
      </c>
      <c r="I1059" s="253" t="s">
        <v>34</v>
      </c>
      <c r="J1059" s="253" t="s">
        <v>608</v>
      </c>
      <c r="K1059" s="253" t="s">
        <v>48</v>
      </c>
      <c r="L1059" s="655"/>
      <c r="M1059" s="655" t="s">
        <v>1414</v>
      </c>
      <c r="N1059" s="253" t="s">
        <v>3674</v>
      </c>
      <c r="O1059" s="253" t="s">
        <v>1321</v>
      </c>
      <c r="P1059" s="656">
        <v>41466</v>
      </c>
      <c r="Q1059" s="657">
        <v>24.766511999999999</v>
      </c>
      <c r="R1059" s="657">
        <v>33.511270148594392</v>
      </c>
      <c r="S1059" s="253">
        <v>32</v>
      </c>
      <c r="T1059" s="658">
        <v>-7.0435418858957544E-2</v>
      </c>
      <c r="U1059" s="659">
        <v>-3.5220562341466608</v>
      </c>
      <c r="V1059" s="658">
        <v>-0.17916354138083523</v>
      </c>
      <c r="W1059" s="659">
        <v>-1.3894688174843277</v>
      </c>
      <c r="X1059" s="658">
        <v>-0.16565796456961379</v>
      </c>
      <c r="Y1059" s="659">
        <v>-0.85794136872142845</v>
      </c>
      <c r="Z1059" s="658">
        <v>-0.18535124143936499</v>
      </c>
      <c r="AA1059" s="659">
        <v>-0.83691220020442869</v>
      </c>
      <c r="AB1059" s="658">
        <v>0.23327356501250565</v>
      </c>
      <c r="AC1059" s="660">
        <v>-1.3207988260954735</v>
      </c>
      <c r="AD1059" s="682">
        <v>0</v>
      </c>
      <c r="AE1059" s="944" t="s">
        <v>1817</v>
      </c>
      <c r="AF1059" s="661" t="s">
        <v>1729</v>
      </c>
      <c r="AG1059" s="662" t="s">
        <v>1433</v>
      </c>
      <c r="AH1059" s="662" t="s">
        <v>1730</v>
      </c>
      <c r="AI1059" s="662">
        <v>10</v>
      </c>
      <c r="AJ1059" s="662">
        <v>0</v>
      </c>
      <c r="AK1059" s="662">
        <v>5000</v>
      </c>
      <c r="AL1059" s="658">
        <v>0.02</v>
      </c>
      <c r="AM1059" s="658">
        <v>0.2</v>
      </c>
      <c r="AN1059" s="659" t="s">
        <v>34</v>
      </c>
      <c r="AO1059" s="253" t="s">
        <v>34</v>
      </c>
      <c r="AP1059" s="944" t="s">
        <v>1731</v>
      </c>
      <c r="AQ1059" s="663" t="s">
        <v>665</v>
      </c>
      <c r="AR1059" s="658">
        <v>3.06705E-3</v>
      </c>
      <c r="AS1059" s="658">
        <v>3.06705E-3</v>
      </c>
      <c r="AT1059" s="658" t="s">
        <v>1417</v>
      </c>
      <c r="AU1059" s="658" t="s">
        <v>2751</v>
      </c>
      <c r="AX1059"/>
      <c r="AY1059"/>
      <c r="BA1059"/>
      <c r="BB1059"/>
      <c r="BC1059"/>
      <c r="BD1059"/>
      <c r="BE1059"/>
      <c r="BF1059"/>
      <c r="BG1059"/>
      <c r="BH1059"/>
      <c r="BI1059"/>
      <c r="BJ1059"/>
      <c r="BR1059"/>
      <c r="BS1059"/>
      <c r="BT1059"/>
      <c r="BU1059"/>
      <c r="BX1059"/>
      <c r="BY1059"/>
      <c r="CA1059"/>
    </row>
    <row r="1060" spans="2:79" ht="18.75">
      <c r="B1060" s="252" t="s">
        <v>1077</v>
      </c>
      <c r="C1060" s="251">
        <v>19186860000190</v>
      </c>
      <c r="D1060" s="252" t="s">
        <v>14</v>
      </c>
      <c r="E1060" s="252" t="s">
        <v>607</v>
      </c>
      <c r="F1060" s="252" t="s">
        <v>1417</v>
      </c>
      <c r="G1060" s="253" t="s">
        <v>1417</v>
      </c>
      <c r="H1060" s="253" t="s">
        <v>34</v>
      </c>
      <c r="I1060" s="253" t="s">
        <v>34</v>
      </c>
      <c r="J1060" s="253" t="s">
        <v>611</v>
      </c>
      <c r="K1060" s="253" t="s">
        <v>1417</v>
      </c>
      <c r="L1060" s="655"/>
      <c r="M1060" s="655" t="s">
        <v>34</v>
      </c>
      <c r="N1060" s="253" t="s">
        <v>3675</v>
      </c>
      <c r="O1060" s="253" t="s">
        <v>1321</v>
      </c>
      <c r="P1060" s="656">
        <v>41607</v>
      </c>
      <c r="Q1060" s="657">
        <v>77.988270999999997</v>
      </c>
      <c r="R1060" s="657">
        <v>86.452029346774196</v>
      </c>
      <c r="S1060" s="253">
        <v>32</v>
      </c>
      <c r="T1060" s="658">
        <v>-5.5010033899292821E-2</v>
      </c>
      <c r="U1060" s="659">
        <v>-2.75072450727655</v>
      </c>
      <c r="V1060" s="658">
        <v>-0.1401684190074145</v>
      </c>
      <c r="W1060" s="659">
        <v>-1.0870495520787524</v>
      </c>
      <c r="X1060" s="658">
        <v>-0.20781281403048579</v>
      </c>
      <c r="Y1060" s="659">
        <v>-1.0762610211369827</v>
      </c>
      <c r="Z1060" s="658">
        <v>-0.19953875657487774</v>
      </c>
      <c r="AA1060" s="659">
        <v>-0.90097276119818881</v>
      </c>
      <c r="AB1060" s="658">
        <v>0.22158253932325847</v>
      </c>
      <c r="AC1060" s="660">
        <v>-1.2145015093522551</v>
      </c>
      <c r="AD1060" s="682">
        <v>18981190000130</v>
      </c>
      <c r="AE1060" s="944" t="s">
        <v>1817</v>
      </c>
      <c r="AF1060" s="661" t="s">
        <v>1729</v>
      </c>
      <c r="AG1060" s="662" t="s">
        <v>1433</v>
      </c>
      <c r="AH1060" s="662" t="s">
        <v>1730</v>
      </c>
      <c r="AI1060" s="662">
        <v>5000</v>
      </c>
      <c r="AJ1060" s="662">
        <v>1000</v>
      </c>
      <c r="AK1060" s="662">
        <v>5000</v>
      </c>
      <c r="AL1060" s="658">
        <v>0.02</v>
      </c>
      <c r="AM1060" s="658">
        <v>0.1</v>
      </c>
      <c r="AN1060" s="659" t="s">
        <v>635</v>
      </c>
      <c r="AO1060" s="253" t="s">
        <v>34</v>
      </c>
      <c r="AP1060" s="944" t="s">
        <v>1731</v>
      </c>
      <c r="AQ1060" s="663" t="s">
        <v>665</v>
      </c>
      <c r="AR1060" s="658">
        <v>6.0000000000000001E-3</v>
      </c>
      <c r="AS1060" s="658">
        <v>6.0000000000000001E-3</v>
      </c>
      <c r="AT1060" s="658" t="s">
        <v>1417</v>
      </c>
      <c r="AU1060" s="658" t="s">
        <v>2751</v>
      </c>
      <c r="AX1060"/>
      <c r="AY1060"/>
      <c r="BA1060"/>
      <c r="BB1060"/>
      <c r="BC1060"/>
      <c r="BD1060"/>
      <c r="BE1060"/>
      <c r="BF1060"/>
      <c r="BG1060"/>
      <c r="BH1060"/>
      <c r="BI1060"/>
      <c r="BJ1060"/>
      <c r="BR1060"/>
      <c r="BS1060"/>
      <c r="BT1060"/>
      <c r="BU1060"/>
      <c r="BX1060"/>
      <c r="BY1060"/>
      <c r="CA1060"/>
    </row>
    <row r="1061" spans="2:79" ht="18.75">
      <c r="B1061" s="252" t="s">
        <v>1078</v>
      </c>
      <c r="C1061" s="251">
        <v>6118222000190</v>
      </c>
      <c r="D1061" s="252" t="s">
        <v>14</v>
      </c>
      <c r="E1061" s="252" t="s">
        <v>607</v>
      </c>
      <c r="F1061" s="252" t="s">
        <v>1417</v>
      </c>
      <c r="G1061" s="253" t="s">
        <v>1417</v>
      </c>
      <c r="H1061" s="253" t="s">
        <v>34</v>
      </c>
      <c r="I1061" s="253" t="s">
        <v>34</v>
      </c>
      <c r="J1061" s="253" t="s">
        <v>608</v>
      </c>
      <c r="K1061" s="253" t="s">
        <v>48</v>
      </c>
      <c r="L1061" s="655"/>
      <c r="M1061" s="655" t="s">
        <v>34</v>
      </c>
      <c r="N1061" s="253" t="s">
        <v>3676</v>
      </c>
      <c r="O1061" s="253" t="s">
        <v>1321</v>
      </c>
      <c r="P1061" s="656">
        <v>39829</v>
      </c>
      <c r="Q1061" s="657">
        <v>42.477938000000002</v>
      </c>
      <c r="R1061" s="657">
        <v>50.951374650602382</v>
      </c>
      <c r="S1061" s="253">
        <v>29</v>
      </c>
      <c r="T1061" s="658">
        <v>-5.2257493457440796E-2</v>
      </c>
      <c r="U1061" s="659">
        <v>-2.6130863363106251</v>
      </c>
      <c r="V1061" s="658">
        <v>-0.1409213421518607</v>
      </c>
      <c r="W1061" s="659">
        <v>-1.0928887045263282</v>
      </c>
      <c r="X1061" s="658">
        <v>-0.20965594328795312</v>
      </c>
      <c r="Y1061" s="659">
        <v>-1.0858065738786833</v>
      </c>
      <c r="Z1061" s="658">
        <v>-0.20966082047961521</v>
      </c>
      <c r="AA1061" s="659">
        <v>-0.94667668369333391</v>
      </c>
      <c r="AB1061" s="658">
        <v>0.21778087868945628</v>
      </c>
      <c r="AC1061" s="660">
        <v>-1.2391595314640191</v>
      </c>
      <c r="AD1061" s="682">
        <v>29599351000142</v>
      </c>
      <c r="AE1061" s="944" t="s">
        <v>1817</v>
      </c>
      <c r="AF1061" s="661" t="s">
        <v>1729</v>
      </c>
      <c r="AG1061" s="662" t="s">
        <v>1433</v>
      </c>
      <c r="AH1061" s="662" t="s">
        <v>1734</v>
      </c>
      <c r="AI1061" s="662">
        <v>5000</v>
      </c>
      <c r="AJ1061" s="662">
        <v>1000</v>
      </c>
      <c r="AK1061" s="662">
        <v>5000</v>
      </c>
      <c r="AL1061" s="658">
        <v>0.02</v>
      </c>
      <c r="AM1061" s="658">
        <v>0.2</v>
      </c>
      <c r="AN1061" s="659" t="s">
        <v>666</v>
      </c>
      <c r="AO1061" s="253" t="s">
        <v>34</v>
      </c>
      <c r="AP1061" s="944" t="s">
        <v>1731</v>
      </c>
      <c r="AQ1061" s="663" t="s">
        <v>665</v>
      </c>
      <c r="AR1061" s="658">
        <v>5.3333333333333297E-3</v>
      </c>
      <c r="AS1061" s="658">
        <v>5.3333333333333297E-3</v>
      </c>
      <c r="AT1061" s="658" t="s">
        <v>1417</v>
      </c>
      <c r="AU1061" s="658" t="s">
        <v>2751</v>
      </c>
      <c r="AX1061"/>
      <c r="AY1061"/>
      <c r="BA1061"/>
      <c r="BB1061"/>
      <c r="BC1061"/>
      <c r="BD1061"/>
      <c r="BE1061"/>
      <c r="BF1061"/>
      <c r="BG1061"/>
      <c r="BH1061"/>
      <c r="BI1061"/>
      <c r="BJ1061"/>
      <c r="BR1061"/>
      <c r="BS1061"/>
      <c r="BT1061"/>
      <c r="BU1061"/>
      <c r="BX1061"/>
      <c r="BY1061"/>
      <c r="CA1061"/>
    </row>
    <row r="1062" spans="2:79" ht="18.75">
      <c r="B1062" s="252" t="s">
        <v>295</v>
      </c>
      <c r="C1062" s="251">
        <v>35471548000102</v>
      </c>
      <c r="D1062" s="252" t="s">
        <v>14</v>
      </c>
      <c r="E1062" s="252" t="s">
        <v>607</v>
      </c>
      <c r="F1062" s="252" t="s">
        <v>1417</v>
      </c>
      <c r="G1062" s="253" t="s">
        <v>1417</v>
      </c>
      <c r="H1062" s="253" t="s">
        <v>34</v>
      </c>
      <c r="I1062" s="253" t="s">
        <v>34</v>
      </c>
      <c r="J1062" s="253" t="s">
        <v>608</v>
      </c>
      <c r="K1062" s="253" t="s">
        <v>48</v>
      </c>
      <c r="L1062" s="655"/>
      <c r="M1062" s="655" t="s">
        <v>34</v>
      </c>
      <c r="N1062" s="253" t="s">
        <v>3677</v>
      </c>
      <c r="O1062" s="253" t="s">
        <v>1324</v>
      </c>
      <c r="P1062" s="656">
        <v>43842</v>
      </c>
      <c r="Q1062" s="657">
        <v>12.57121514</v>
      </c>
      <c r="R1062" s="657">
        <v>9.8865887029317303</v>
      </c>
      <c r="S1062" s="253">
        <v>17</v>
      </c>
      <c r="T1062" s="658">
        <v>3.3297680045212941E-2</v>
      </c>
      <c r="U1062" s="659">
        <v>1.6650188709845177</v>
      </c>
      <c r="V1062" s="658">
        <v>-7.7771670149635264E-2</v>
      </c>
      <c r="W1062" s="659">
        <v>-0.60314341703537011</v>
      </c>
      <c r="X1062" s="658">
        <v>-0.17394831296003244</v>
      </c>
      <c r="Y1062" s="659">
        <v>-0.90087702149086923</v>
      </c>
      <c r="Z1062" s="658">
        <v>-0.12473661183664908</v>
      </c>
      <c r="AA1062" s="659">
        <v>-0.5632203563762298</v>
      </c>
      <c r="AB1062" s="658">
        <v>0.26438088043226426</v>
      </c>
      <c r="AC1062" s="660">
        <v>-0.78188551024734632</v>
      </c>
      <c r="AD1062" s="682">
        <v>9352724000179</v>
      </c>
      <c r="AE1062" s="944" t="s">
        <v>2000</v>
      </c>
      <c r="AF1062" s="661" t="s">
        <v>1745</v>
      </c>
      <c r="AG1062" s="662" t="s">
        <v>1432</v>
      </c>
      <c r="AH1062" s="662" t="s">
        <v>1734</v>
      </c>
      <c r="AI1062" s="662">
        <v>1000</v>
      </c>
      <c r="AJ1062" s="662">
        <v>100</v>
      </c>
      <c r="AK1062" s="662">
        <v>1000</v>
      </c>
      <c r="AL1062" s="658">
        <v>1.2500000000000001E-2</v>
      </c>
      <c r="AM1062" s="658">
        <v>0.15</v>
      </c>
      <c r="AN1062" s="659" t="s">
        <v>34</v>
      </c>
      <c r="AO1062" s="253" t="s">
        <v>34</v>
      </c>
      <c r="AP1062" s="944" t="s">
        <v>1731</v>
      </c>
      <c r="AQ1062" s="663" t="s">
        <v>659</v>
      </c>
      <c r="AR1062" s="658">
        <v>8.0000000000000002E-3</v>
      </c>
      <c r="AS1062" s="658">
        <v>8.0000000000000002E-3</v>
      </c>
      <c r="AT1062" s="658" t="s">
        <v>1417</v>
      </c>
      <c r="AU1062" s="658" t="s">
        <v>2751</v>
      </c>
      <c r="AX1062"/>
      <c r="AY1062"/>
      <c r="BA1062"/>
      <c r="BB1062"/>
      <c r="BC1062"/>
      <c r="BD1062"/>
      <c r="BE1062"/>
      <c r="BF1062"/>
      <c r="BG1062"/>
      <c r="BH1062"/>
      <c r="BI1062"/>
      <c r="BJ1062"/>
      <c r="BR1062"/>
      <c r="BS1062"/>
      <c r="BT1062"/>
      <c r="BU1062"/>
      <c r="BX1062"/>
      <c r="BY1062"/>
      <c r="CA1062"/>
    </row>
    <row r="1063" spans="2:79" ht="18.75">
      <c r="B1063" s="252" t="s">
        <v>296</v>
      </c>
      <c r="C1063" s="251">
        <v>31964159000150</v>
      </c>
      <c r="D1063" s="252" t="s">
        <v>11</v>
      </c>
      <c r="E1063" s="252" t="s">
        <v>620</v>
      </c>
      <c r="F1063" s="252" t="s">
        <v>663</v>
      </c>
      <c r="G1063" s="253" t="s">
        <v>738</v>
      </c>
      <c r="H1063" s="253" t="s">
        <v>34</v>
      </c>
      <c r="I1063" s="253" t="s">
        <v>1417</v>
      </c>
      <c r="J1063" s="253" t="s">
        <v>608</v>
      </c>
      <c r="K1063" s="253" t="s">
        <v>48</v>
      </c>
      <c r="L1063" s="655"/>
      <c r="M1063" s="655" t="s">
        <v>34</v>
      </c>
      <c r="N1063" s="253" t="s">
        <v>3678</v>
      </c>
      <c r="O1063" s="253" t="s">
        <v>1321</v>
      </c>
      <c r="P1063" s="656">
        <v>43444</v>
      </c>
      <c r="Q1063" s="657">
        <v>0</v>
      </c>
      <c r="R1063" s="657">
        <v>0</v>
      </c>
      <c r="S1063" s="253">
        <v>31</v>
      </c>
      <c r="T1063" s="658"/>
      <c r="U1063" s="659"/>
      <c r="V1063" s="658"/>
      <c r="W1063" s="659"/>
      <c r="X1063" s="658"/>
      <c r="Y1063" s="659"/>
      <c r="Z1063" s="658"/>
      <c r="AA1063" s="659"/>
      <c r="AB1063" s="658"/>
      <c r="AC1063" s="660"/>
      <c r="AD1063" s="682">
        <v>0</v>
      </c>
      <c r="AE1063" s="944" t="s">
        <v>2000</v>
      </c>
      <c r="AF1063" s="661" t="s">
        <v>1745</v>
      </c>
      <c r="AG1063" s="662" t="s">
        <v>1432</v>
      </c>
      <c r="AH1063" s="662" t="s">
        <v>1730</v>
      </c>
      <c r="AI1063" s="662">
        <v>0</v>
      </c>
      <c r="AJ1063" s="662">
        <v>0</v>
      </c>
      <c r="AK1063" s="662">
        <v>0</v>
      </c>
      <c r="AL1063" s="658">
        <v>0.01</v>
      </c>
      <c r="AM1063" s="658">
        <v>0.1</v>
      </c>
      <c r="AN1063" s="659" t="s">
        <v>64</v>
      </c>
      <c r="AO1063" s="253" t="s">
        <v>34</v>
      </c>
      <c r="AP1063" s="944" t="s">
        <v>1746</v>
      </c>
      <c r="AQ1063" s="663" t="s">
        <v>664</v>
      </c>
      <c r="AR1063" s="658">
        <v>2.6670000000000001E-3</v>
      </c>
      <c r="AS1063" s="658">
        <v>2.6670000000000001E-3</v>
      </c>
      <c r="AT1063" s="658" t="s">
        <v>1417</v>
      </c>
      <c r="AU1063" s="658" t="s">
        <v>2751</v>
      </c>
      <c r="AX1063"/>
      <c r="AY1063"/>
      <c r="BA1063"/>
      <c r="BB1063"/>
      <c r="BC1063"/>
      <c r="BD1063"/>
      <c r="BE1063"/>
      <c r="BF1063"/>
      <c r="BG1063"/>
      <c r="BH1063"/>
      <c r="BI1063"/>
      <c r="BJ1063"/>
      <c r="BR1063"/>
      <c r="BS1063"/>
      <c r="BT1063"/>
      <c r="BU1063"/>
      <c r="BX1063"/>
      <c r="BY1063"/>
      <c r="CA1063"/>
    </row>
    <row r="1064" spans="2:79" ht="18.75">
      <c r="B1064" s="252" t="s">
        <v>297</v>
      </c>
      <c r="C1064" s="251">
        <v>33254944000144</v>
      </c>
      <c r="D1064" s="252" t="s">
        <v>14</v>
      </c>
      <c r="E1064" s="252" t="s">
        <v>607</v>
      </c>
      <c r="F1064" s="252" t="s">
        <v>1417</v>
      </c>
      <c r="G1064" s="253" t="s">
        <v>1417</v>
      </c>
      <c r="H1064" s="253" t="s">
        <v>34</v>
      </c>
      <c r="I1064" s="253" t="s">
        <v>34</v>
      </c>
      <c r="J1064" s="253" t="s">
        <v>608</v>
      </c>
      <c r="K1064" s="253" t="s">
        <v>48</v>
      </c>
      <c r="L1064" s="655"/>
      <c r="M1064" s="655" t="s">
        <v>34</v>
      </c>
      <c r="N1064" s="253" t="s">
        <v>3679</v>
      </c>
      <c r="O1064" s="253" t="s">
        <v>1321</v>
      </c>
      <c r="P1064" s="656">
        <v>43617</v>
      </c>
      <c r="Q1064" s="657">
        <v>39.829894920000001</v>
      </c>
      <c r="R1064" s="657">
        <v>37.973640968902458</v>
      </c>
      <c r="S1064" s="253">
        <v>3</v>
      </c>
      <c r="T1064" s="658">
        <v>-4.0287096874167982E-2</v>
      </c>
      <c r="U1064" s="659">
        <v>-2.0145180223243417</v>
      </c>
      <c r="V1064" s="658">
        <v>-8.8999060670471142E-2</v>
      </c>
      <c r="W1064" s="659">
        <v>-0.69021531185386187</v>
      </c>
      <c r="X1064" s="658">
        <v>-0.18636053421162069</v>
      </c>
      <c r="Y1064" s="659">
        <v>-0.96515982320901939</v>
      </c>
      <c r="Z1064" s="658">
        <v>-0.1750769372037535</v>
      </c>
      <c r="AA1064" s="659">
        <v>-0.79052087044250618</v>
      </c>
      <c r="AB1064" s="658">
        <v>0.21590418878710821</v>
      </c>
      <c r="AC1064" s="660">
        <v>-1.0094429910860212</v>
      </c>
      <c r="AD1064" s="682">
        <v>0</v>
      </c>
      <c r="AE1064" s="944" t="s">
        <v>1830</v>
      </c>
      <c r="AF1064" s="661" t="s">
        <v>1769</v>
      </c>
      <c r="AG1064" s="662" t="s">
        <v>719</v>
      </c>
      <c r="AH1064" s="662" t="s">
        <v>1734</v>
      </c>
      <c r="AI1064" s="662">
        <v>1000</v>
      </c>
      <c r="AJ1064" s="662">
        <v>1000</v>
      </c>
      <c r="AK1064" s="662">
        <v>0</v>
      </c>
      <c r="AL1064" s="658">
        <v>1.4999999999999999E-2</v>
      </c>
      <c r="AM1064" s="658">
        <v>0</v>
      </c>
      <c r="AN1064" s="659" t="s">
        <v>666</v>
      </c>
      <c r="AO1064" s="253" t="s">
        <v>34</v>
      </c>
      <c r="AP1064" s="944" t="s">
        <v>1731</v>
      </c>
      <c r="AQ1064" s="663" t="s">
        <v>659</v>
      </c>
      <c r="AR1064" s="658">
        <v>4.0000000000000001E-3</v>
      </c>
      <c r="AS1064" s="658">
        <v>4.0000000000000001E-3</v>
      </c>
      <c r="AT1064" s="658" t="s">
        <v>1417</v>
      </c>
      <c r="AU1064" s="658" t="s">
        <v>2751</v>
      </c>
      <c r="AX1064"/>
      <c r="AY1064"/>
      <c r="BA1064"/>
      <c r="BB1064"/>
      <c r="BC1064"/>
      <c r="BD1064"/>
      <c r="BE1064"/>
      <c r="BF1064"/>
      <c r="BG1064"/>
      <c r="BH1064"/>
      <c r="BI1064"/>
      <c r="BJ1064"/>
      <c r="BR1064"/>
      <c r="BS1064"/>
      <c r="BT1064"/>
      <c r="BU1064"/>
      <c r="BX1064"/>
      <c r="BY1064"/>
      <c r="CA1064"/>
    </row>
    <row r="1065" spans="2:79" ht="18.75">
      <c r="B1065" s="252" t="s">
        <v>561</v>
      </c>
      <c r="C1065" s="251">
        <v>16961689000150</v>
      </c>
      <c r="D1065" s="252" t="s">
        <v>14</v>
      </c>
      <c r="E1065" s="252" t="s">
        <v>607</v>
      </c>
      <c r="F1065" s="252" t="s">
        <v>1417</v>
      </c>
      <c r="G1065" s="253" t="s">
        <v>1417</v>
      </c>
      <c r="H1065" s="253" t="s">
        <v>34</v>
      </c>
      <c r="I1065" s="253" t="s">
        <v>34</v>
      </c>
      <c r="J1065" s="253" t="s">
        <v>608</v>
      </c>
      <c r="K1065" s="253" t="s">
        <v>48</v>
      </c>
      <c r="L1065" s="655"/>
      <c r="M1065" s="655" t="s">
        <v>1414</v>
      </c>
      <c r="N1065" s="253" t="s">
        <v>3680</v>
      </c>
      <c r="O1065" s="253" t="s">
        <v>1321</v>
      </c>
      <c r="P1065" s="656">
        <v>41321</v>
      </c>
      <c r="Q1065" s="657">
        <v>9.2194029999999998</v>
      </c>
      <c r="R1065" s="657">
        <v>9.7447125081300836</v>
      </c>
      <c r="S1065" s="253">
        <v>3</v>
      </c>
      <c r="T1065" s="658">
        <v>-4.1690740787715064E-2</v>
      </c>
      <c r="U1065" s="659">
        <v>-2.0847059033125985</v>
      </c>
      <c r="V1065" s="658">
        <v>-9.3471457372133027E-2</v>
      </c>
      <c r="W1065" s="659">
        <v>-0.72490013505218065</v>
      </c>
      <c r="X1065" s="658">
        <v>-0.16544973547137876</v>
      </c>
      <c r="Y1065" s="659">
        <v>-0.85686295176748639</v>
      </c>
      <c r="Z1065" s="658">
        <v>-0.11083832084783907</v>
      </c>
      <c r="AA1065" s="659">
        <v>-0.50046572252430876</v>
      </c>
      <c r="AB1065" s="658">
        <v>0.21649282928585969</v>
      </c>
      <c r="AC1065" s="660">
        <v>-1.0273567376462225</v>
      </c>
      <c r="AD1065" s="682">
        <v>0</v>
      </c>
      <c r="AE1065" s="944" t="s">
        <v>1830</v>
      </c>
      <c r="AF1065" s="661" t="s">
        <v>1729</v>
      </c>
      <c r="AG1065" s="662" t="s">
        <v>1433</v>
      </c>
      <c r="AH1065" s="662" t="s">
        <v>1734</v>
      </c>
      <c r="AI1065" s="662">
        <v>1000</v>
      </c>
      <c r="AJ1065" s="662">
        <v>1000</v>
      </c>
      <c r="AK1065" s="662">
        <v>1000</v>
      </c>
      <c r="AL1065" s="658">
        <v>0.03</v>
      </c>
      <c r="AM1065" s="658">
        <v>0.15</v>
      </c>
      <c r="AN1065" s="659" t="s">
        <v>2127</v>
      </c>
      <c r="AO1065" s="253" t="s">
        <v>34</v>
      </c>
      <c r="AP1065" s="944" t="s">
        <v>1731</v>
      </c>
      <c r="AQ1065" s="663" t="s">
        <v>659</v>
      </c>
      <c r="AR1065" s="658">
        <v>1.73333333333333E-3</v>
      </c>
      <c r="AS1065" s="658">
        <v>1.73333333333333E-3</v>
      </c>
      <c r="AT1065" s="658" t="s">
        <v>1417</v>
      </c>
      <c r="AU1065" s="658" t="s">
        <v>2751</v>
      </c>
      <c r="AX1065"/>
      <c r="AY1065"/>
      <c r="BA1065"/>
      <c r="BB1065"/>
      <c r="BC1065"/>
      <c r="BD1065"/>
      <c r="BE1065"/>
      <c r="BF1065"/>
      <c r="BG1065"/>
      <c r="BH1065"/>
      <c r="BI1065"/>
      <c r="BJ1065"/>
      <c r="BR1065"/>
      <c r="BS1065"/>
      <c r="BT1065"/>
      <c r="BU1065"/>
      <c r="BX1065"/>
      <c r="BY1065"/>
      <c r="CA1065"/>
    </row>
    <row r="1066" spans="2:79" ht="18.75">
      <c r="B1066" s="252" t="s">
        <v>470</v>
      </c>
      <c r="C1066" s="251">
        <v>14115118000170</v>
      </c>
      <c r="D1066" s="252" t="s">
        <v>11</v>
      </c>
      <c r="E1066" s="252" t="s">
        <v>621</v>
      </c>
      <c r="F1066" s="252" t="s">
        <v>672</v>
      </c>
      <c r="G1066" s="253" t="s">
        <v>865</v>
      </c>
      <c r="H1066" s="253" t="s">
        <v>34</v>
      </c>
      <c r="I1066" s="253" t="s">
        <v>1417</v>
      </c>
      <c r="J1066" s="253" t="s">
        <v>608</v>
      </c>
      <c r="K1066" s="253" t="s">
        <v>48</v>
      </c>
      <c r="L1066" s="655"/>
      <c r="M1066" s="655" t="s">
        <v>1414</v>
      </c>
      <c r="N1066" s="253" t="s">
        <v>3681</v>
      </c>
      <c r="O1066" s="253" t="s">
        <v>1321</v>
      </c>
      <c r="P1066" s="656">
        <v>40896</v>
      </c>
      <c r="Q1066" s="657">
        <v>98.954299000000006</v>
      </c>
      <c r="R1066" s="657">
        <v>157.11810316803277</v>
      </c>
      <c r="S1066" s="253">
        <v>3</v>
      </c>
      <c r="T1066" s="658">
        <v>1.4926554669147718E-2</v>
      </c>
      <c r="U1066" s="659">
        <v>0.74638819188503858</v>
      </c>
      <c r="V1066" s="658">
        <v>7.8020006299177602E-2</v>
      </c>
      <c r="W1066" s="659">
        <v>0.60506934087782049</v>
      </c>
      <c r="X1066" s="658">
        <v>8.2350230925775758E-2</v>
      </c>
      <c r="Y1066" s="659">
        <v>0.42649123462636823</v>
      </c>
      <c r="Z1066" s="658">
        <v>0.11439907008676098</v>
      </c>
      <c r="AA1066" s="659">
        <v>0.51654349171959768</v>
      </c>
      <c r="AB1066" s="658">
        <v>5.7669706430244792E-2</v>
      </c>
      <c r="AC1066" s="660">
        <v>-0.88302691828692548</v>
      </c>
      <c r="AD1066" s="682">
        <v>0</v>
      </c>
      <c r="AE1066" s="944" t="s">
        <v>1830</v>
      </c>
      <c r="AF1066" s="661" t="s">
        <v>1769</v>
      </c>
      <c r="AG1066" s="662" t="s">
        <v>719</v>
      </c>
      <c r="AH1066" s="662" t="s">
        <v>1734</v>
      </c>
      <c r="AI1066" s="662">
        <v>1000</v>
      </c>
      <c r="AJ1066" s="662">
        <v>500</v>
      </c>
      <c r="AK1066" s="662">
        <v>500</v>
      </c>
      <c r="AL1066" s="658">
        <v>5.0000000000000001E-3</v>
      </c>
      <c r="AM1066" s="658">
        <v>0.2</v>
      </c>
      <c r="AN1066" s="659" t="s">
        <v>150</v>
      </c>
      <c r="AO1066" s="253" t="s">
        <v>34</v>
      </c>
      <c r="AP1066" s="944" t="s">
        <v>1735</v>
      </c>
      <c r="AQ1066" s="663" t="s">
        <v>673</v>
      </c>
      <c r="AR1066" s="658">
        <v>1.73333333333333E-3</v>
      </c>
      <c r="AS1066" s="658">
        <v>1.73333333333333E-3</v>
      </c>
      <c r="AT1066" s="658" t="s">
        <v>1417</v>
      </c>
      <c r="AU1066" s="658" t="s">
        <v>2751</v>
      </c>
      <c r="AX1066"/>
      <c r="AY1066"/>
      <c r="BA1066"/>
      <c r="BB1066"/>
      <c r="BC1066"/>
      <c r="BD1066"/>
      <c r="BE1066"/>
      <c r="BF1066"/>
      <c r="BG1066"/>
      <c r="BH1066"/>
      <c r="BI1066"/>
      <c r="BJ1066"/>
      <c r="BR1066"/>
      <c r="BS1066"/>
      <c r="BT1066"/>
      <c r="BU1066"/>
      <c r="BX1066"/>
      <c r="BY1066"/>
      <c r="CA1066"/>
    </row>
    <row r="1067" spans="2:79" ht="18.75">
      <c r="B1067" s="252" t="s">
        <v>1079</v>
      </c>
      <c r="C1067" s="251">
        <v>15559416000111</v>
      </c>
      <c r="D1067" s="252" t="s">
        <v>14</v>
      </c>
      <c r="E1067" s="252" t="s">
        <v>607</v>
      </c>
      <c r="F1067" s="252" t="s">
        <v>1417</v>
      </c>
      <c r="G1067" s="253" t="s">
        <v>1417</v>
      </c>
      <c r="H1067" s="253" t="s">
        <v>34</v>
      </c>
      <c r="I1067" s="253" t="s">
        <v>34</v>
      </c>
      <c r="J1067" s="253" t="s">
        <v>608</v>
      </c>
      <c r="K1067" s="253" t="s">
        <v>48</v>
      </c>
      <c r="L1067" s="655"/>
      <c r="M1067" s="655" t="s">
        <v>1414</v>
      </c>
      <c r="N1067" s="253" t="s">
        <v>3682</v>
      </c>
      <c r="O1067" s="253" t="s">
        <v>1321</v>
      </c>
      <c r="P1067" s="656">
        <v>41067</v>
      </c>
      <c r="Q1067" s="657">
        <v>15.306274999999999</v>
      </c>
      <c r="R1067" s="657">
        <v>19.673535959349586</v>
      </c>
      <c r="S1067" s="253">
        <v>34</v>
      </c>
      <c r="T1067" s="658">
        <v>-2.3723403050010194E-2</v>
      </c>
      <c r="U1067" s="659">
        <v>-1.1862662416301692</v>
      </c>
      <c r="V1067" s="658">
        <v>-0.10116835270808611</v>
      </c>
      <c r="W1067" s="659">
        <v>-0.78459194499477725</v>
      </c>
      <c r="X1067" s="658">
        <v>-0.24830079963011642</v>
      </c>
      <c r="Y1067" s="659">
        <v>-1.2859479979893602</v>
      </c>
      <c r="Z1067" s="658">
        <v>-0.20097527276689275</v>
      </c>
      <c r="AA1067" s="659">
        <v>-0.90745902974191406</v>
      </c>
      <c r="AB1067" s="658">
        <v>0.21356490897494254</v>
      </c>
      <c r="AC1067" s="660">
        <v>-1.0774816109039402</v>
      </c>
      <c r="AD1067" s="682">
        <v>0</v>
      </c>
      <c r="AE1067" s="944" t="s">
        <v>1856</v>
      </c>
      <c r="AF1067" s="661" t="s">
        <v>1745</v>
      </c>
      <c r="AG1067" s="662" t="s">
        <v>1432</v>
      </c>
      <c r="AH1067" s="662" t="s">
        <v>1730</v>
      </c>
      <c r="AI1067" s="662">
        <v>5000</v>
      </c>
      <c r="AJ1067" s="662">
        <v>0</v>
      </c>
      <c r="AK1067" s="662">
        <v>0</v>
      </c>
      <c r="AL1067" s="658">
        <v>1.15E-2</v>
      </c>
      <c r="AM1067" s="658">
        <v>0.2</v>
      </c>
      <c r="AN1067" s="659" t="s">
        <v>2127</v>
      </c>
      <c r="AO1067" s="253" t="s">
        <v>34</v>
      </c>
      <c r="AP1067" s="944" t="s">
        <v>1731</v>
      </c>
      <c r="AQ1067" s="663" t="s">
        <v>659</v>
      </c>
      <c r="AR1067" s="658">
        <v>0</v>
      </c>
      <c r="AS1067" s="658">
        <v>0</v>
      </c>
      <c r="AT1067" s="658" t="s">
        <v>1417</v>
      </c>
      <c r="AU1067" s="658" t="s">
        <v>2751</v>
      </c>
      <c r="AX1067"/>
      <c r="AY1067"/>
      <c r="BA1067"/>
      <c r="BB1067"/>
      <c r="BC1067"/>
      <c r="BD1067"/>
      <c r="BE1067"/>
      <c r="BF1067"/>
      <c r="BG1067"/>
      <c r="BH1067"/>
      <c r="BI1067"/>
      <c r="BJ1067"/>
      <c r="BR1067"/>
      <c r="BS1067"/>
      <c r="BT1067"/>
      <c r="BU1067"/>
      <c r="BX1067"/>
      <c r="BY1067"/>
      <c r="CA1067"/>
    </row>
    <row r="1068" spans="2:79" ht="18.75">
      <c r="B1068" s="252" t="s">
        <v>298</v>
      </c>
      <c r="C1068" s="251">
        <v>33159760000103</v>
      </c>
      <c r="D1068" s="252" t="s">
        <v>13</v>
      </c>
      <c r="E1068" s="252" t="s">
        <v>615</v>
      </c>
      <c r="F1068" s="252" t="s">
        <v>619</v>
      </c>
      <c r="G1068" s="253" t="s">
        <v>34</v>
      </c>
      <c r="H1068" s="253" t="s">
        <v>1337</v>
      </c>
      <c r="I1068" s="253" t="s">
        <v>34</v>
      </c>
      <c r="J1068" s="253" t="s">
        <v>1417</v>
      </c>
      <c r="K1068" s="253" t="s">
        <v>48</v>
      </c>
      <c r="L1068" s="655"/>
      <c r="M1068" s="655" t="s">
        <v>1414</v>
      </c>
      <c r="N1068" s="253" t="s">
        <v>3683</v>
      </c>
      <c r="O1068" s="253" t="s">
        <v>1324</v>
      </c>
      <c r="P1068" s="656">
        <v>43639</v>
      </c>
      <c r="Q1068" s="657">
        <v>0</v>
      </c>
      <c r="R1068" s="657">
        <v>55.60975519102039</v>
      </c>
      <c r="S1068" s="253">
        <v>16</v>
      </c>
      <c r="T1068" s="658"/>
      <c r="U1068" s="659"/>
      <c r="V1068" s="658">
        <v>7.0904115301140491E-2</v>
      </c>
      <c r="W1068" s="659">
        <v>0.5498833997304905</v>
      </c>
      <c r="X1068" s="658">
        <v>8.97617504696957E-2</v>
      </c>
      <c r="Y1068" s="659">
        <v>0.46487543932389863</v>
      </c>
      <c r="Z1068" s="658">
        <v>0.15937604942000339</v>
      </c>
      <c r="AA1068" s="659">
        <v>0.71962701271477258</v>
      </c>
      <c r="AB1068" s="658">
        <v>3.274860787030541E-2</v>
      </c>
      <c r="AC1068" s="660">
        <v>-1.7722827906304706</v>
      </c>
      <c r="AD1068" s="682">
        <v>0</v>
      </c>
      <c r="AE1068" s="944" t="s">
        <v>1856</v>
      </c>
      <c r="AF1068" s="661" t="s">
        <v>1745</v>
      </c>
      <c r="AG1068" s="662" t="s">
        <v>1432</v>
      </c>
      <c r="AH1068" s="662" t="s">
        <v>1730</v>
      </c>
      <c r="AI1068" s="662">
        <v>25000</v>
      </c>
      <c r="AJ1068" s="662">
        <v>0</v>
      </c>
      <c r="AK1068" s="662">
        <v>0</v>
      </c>
      <c r="AL1068" s="658">
        <v>1E-3</v>
      </c>
      <c r="AM1068" s="658">
        <v>0</v>
      </c>
      <c r="AN1068" s="659" t="s">
        <v>34</v>
      </c>
      <c r="AO1068" s="253" t="s">
        <v>34</v>
      </c>
      <c r="AP1068" s="944" t="s">
        <v>1746</v>
      </c>
      <c r="AQ1068" s="663" t="s">
        <v>668</v>
      </c>
      <c r="AR1068" s="658">
        <v>2.0000000000000001E-4</v>
      </c>
      <c r="AS1068" s="658">
        <v>2.0000000000000001E-4</v>
      </c>
      <c r="AT1068" s="658" t="s">
        <v>1417</v>
      </c>
      <c r="AU1068" s="658" t="s">
        <v>2751</v>
      </c>
      <c r="AX1068"/>
      <c r="AY1068"/>
      <c r="BA1068"/>
      <c r="BB1068"/>
      <c r="BC1068"/>
      <c r="BD1068"/>
      <c r="BE1068"/>
      <c r="BF1068"/>
      <c r="BG1068"/>
      <c r="BH1068"/>
      <c r="BI1068"/>
      <c r="BJ1068"/>
      <c r="BR1068"/>
      <c r="BS1068"/>
      <c r="BT1068"/>
      <c r="BU1068"/>
      <c r="BX1068"/>
      <c r="BY1068"/>
      <c r="CA1068"/>
    </row>
    <row r="1069" spans="2:79" ht="18.75">
      <c r="B1069" s="252" t="s">
        <v>1080</v>
      </c>
      <c r="C1069" s="251">
        <v>19620324000150</v>
      </c>
      <c r="D1069" s="252" t="s">
        <v>11</v>
      </c>
      <c r="E1069" s="252" t="s">
        <v>621</v>
      </c>
      <c r="F1069" s="252" t="s">
        <v>672</v>
      </c>
      <c r="G1069" s="253" t="s">
        <v>738</v>
      </c>
      <c r="H1069" s="253" t="s">
        <v>34</v>
      </c>
      <c r="I1069" s="253" t="s">
        <v>1417</v>
      </c>
      <c r="J1069" s="253" t="s">
        <v>608</v>
      </c>
      <c r="K1069" s="253" t="s">
        <v>48</v>
      </c>
      <c r="L1069" s="655"/>
      <c r="M1069" s="655" t="s">
        <v>34</v>
      </c>
      <c r="N1069" s="253" t="s">
        <v>3685</v>
      </c>
      <c r="O1069" s="253" t="s">
        <v>1321</v>
      </c>
      <c r="P1069" s="656">
        <v>41712</v>
      </c>
      <c r="Q1069" s="657">
        <v>22.194645000000001</v>
      </c>
      <c r="R1069" s="657">
        <v>496.2868896758539</v>
      </c>
      <c r="S1069" s="253">
        <v>4</v>
      </c>
      <c r="T1069" s="658">
        <v>1.5986671731094582E-2</v>
      </c>
      <c r="U1069" s="659">
        <v>0.79939833887418155</v>
      </c>
      <c r="V1069" s="658">
        <v>0.47692072933449392</v>
      </c>
      <c r="W1069" s="659">
        <v>3.6986681370267136</v>
      </c>
      <c r="X1069" s="658">
        <v>0.47692072933449392</v>
      </c>
      <c r="Y1069" s="659">
        <v>2.4699689167369536</v>
      </c>
      <c r="Z1069" s="658">
        <v>0.47692072933449392</v>
      </c>
      <c r="AA1069" s="659">
        <v>2.1534292072222527</v>
      </c>
      <c r="AB1069" s="658">
        <v>1.488605527620515</v>
      </c>
      <c r="AC1069" s="660">
        <v>0.23376026316651841</v>
      </c>
      <c r="AD1069" s="682">
        <v>0</v>
      </c>
      <c r="AE1069" s="944" t="s">
        <v>1862</v>
      </c>
      <c r="AF1069" s="661" t="s">
        <v>1745</v>
      </c>
      <c r="AG1069" s="662" t="s">
        <v>1432</v>
      </c>
      <c r="AH1069" s="662" t="s">
        <v>1730</v>
      </c>
      <c r="AI1069" s="662">
        <v>5000</v>
      </c>
      <c r="AJ1069" s="662">
        <v>0</v>
      </c>
      <c r="AK1069" s="662">
        <v>0</v>
      </c>
      <c r="AL1069" s="658">
        <v>6.9999999999999993E-3</v>
      </c>
      <c r="AM1069" s="658">
        <v>0.2</v>
      </c>
      <c r="AN1069" s="659" t="s">
        <v>636</v>
      </c>
      <c r="AO1069" s="253" t="s">
        <v>34</v>
      </c>
      <c r="AP1069" s="944" t="s">
        <v>1735</v>
      </c>
      <c r="AQ1069" s="663" t="s">
        <v>676</v>
      </c>
      <c r="AR1069" s="658">
        <v>2.3333333333333301E-3</v>
      </c>
      <c r="AS1069" s="658">
        <v>2.3333333333333301E-3</v>
      </c>
      <c r="AT1069" s="658" t="s">
        <v>1417</v>
      </c>
      <c r="AU1069" s="658" t="s">
        <v>2751</v>
      </c>
      <c r="AX1069"/>
      <c r="AY1069"/>
      <c r="BA1069"/>
      <c r="BB1069"/>
      <c r="BC1069"/>
      <c r="BD1069"/>
      <c r="BE1069"/>
      <c r="BF1069"/>
      <c r="BG1069"/>
      <c r="BH1069"/>
      <c r="BI1069"/>
      <c r="BJ1069"/>
      <c r="BR1069"/>
      <c r="BS1069"/>
      <c r="BT1069"/>
      <c r="BU1069"/>
      <c r="BX1069"/>
      <c r="BY1069"/>
      <c r="CA1069"/>
    </row>
    <row r="1070" spans="2:79" ht="18.75">
      <c r="B1070" s="252" t="s">
        <v>1382</v>
      </c>
      <c r="C1070" s="251">
        <v>23600995000127</v>
      </c>
      <c r="D1070" s="252" t="s">
        <v>11</v>
      </c>
      <c r="E1070" s="252" t="s">
        <v>620</v>
      </c>
      <c r="F1070" s="252" t="s">
        <v>663</v>
      </c>
      <c r="G1070" s="253" t="s">
        <v>738</v>
      </c>
      <c r="H1070" s="253" t="s">
        <v>34</v>
      </c>
      <c r="I1070" s="253" t="s">
        <v>1417</v>
      </c>
      <c r="J1070" s="253" t="s">
        <v>608</v>
      </c>
      <c r="K1070" s="253" t="s">
        <v>48</v>
      </c>
      <c r="L1070" s="655"/>
      <c r="M1070" s="655" t="s">
        <v>34</v>
      </c>
      <c r="N1070" s="253" t="s">
        <v>3686</v>
      </c>
      <c r="O1070" s="253" t="s">
        <v>1321</v>
      </c>
      <c r="P1070" s="656">
        <v>42458</v>
      </c>
      <c r="Q1070" s="657">
        <v>81.032926000000003</v>
      </c>
      <c r="R1070" s="657">
        <v>64.062561665322576</v>
      </c>
      <c r="S1070" s="253">
        <v>5</v>
      </c>
      <c r="T1070" s="658">
        <v>1.2255683112618154E-2</v>
      </c>
      <c r="U1070" s="659">
        <v>0.61283379597640086</v>
      </c>
      <c r="V1070" s="658">
        <v>0.12768821860136748</v>
      </c>
      <c r="W1070" s="659">
        <v>0.99026172813583668</v>
      </c>
      <c r="X1070" s="658">
        <v>0.20638043752467516</v>
      </c>
      <c r="Y1070" s="659">
        <v>1.0688427538468328</v>
      </c>
      <c r="Z1070" s="658">
        <v>0.2215287879837442</v>
      </c>
      <c r="AA1070" s="659">
        <v>1.0002638445815146</v>
      </c>
      <c r="AB1070" s="658">
        <v>6.8133599038044173E-3</v>
      </c>
      <c r="AC1070" s="660">
        <v>-0.18429832904023288</v>
      </c>
      <c r="AD1070" s="682">
        <v>0</v>
      </c>
      <c r="AE1070" s="944" t="s">
        <v>1862</v>
      </c>
      <c r="AF1070" s="661" t="s">
        <v>1745</v>
      </c>
      <c r="AG1070" s="662" t="s">
        <v>1432</v>
      </c>
      <c r="AH1070" s="662" t="s">
        <v>1734</v>
      </c>
      <c r="AI1070" s="662">
        <v>100</v>
      </c>
      <c r="AJ1070" s="662">
        <v>100</v>
      </c>
      <c r="AK1070" s="662">
        <v>100</v>
      </c>
      <c r="AL1070" s="658">
        <v>8.0000000000000002E-3</v>
      </c>
      <c r="AM1070" s="658">
        <v>0.2</v>
      </c>
      <c r="AN1070" s="659" t="s">
        <v>34</v>
      </c>
      <c r="AO1070" s="253" t="s">
        <v>34</v>
      </c>
      <c r="AP1070" s="944" t="s">
        <v>1735</v>
      </c>
      <c r="AQ1070" s="663" t="s">
        <v>675</v>
      </c>
      <c r="AR1070" s="658">
        <v>2.6664000000000002E-3</v>
      </c>
      <c r="AS1070" s="658">
        <v>2.6664000000000002E-3</v>
      </c>
      <c r="AT1070" s="658" t="s">
        <v>1417</v>
      </c>
      <c r="AU1070" s="658" t="s">
        <v>2751</v>
      </c>
      <c r="AX1070"/>
      <c r="AY1070"/>
      <c r="BA1070"/>
      <c r="BB1070"/>
      <c r="BC1070"/>
      <c r="BD1070"/>
      <c r="BE1070"/>
      <c r="BF1070"/>
      <c r="BG1070"/>
      <c r="BH1070"/>
      <c r="BI1070"/>
      <c r="BJ1070"/>
      <c r="BR1070"/>
      <c r="BS1070"/>
      <c r="BT1070"/>
      <c r="BU1070"/>
      <c r="BX1070"/>
      <c r="BY1070"/>
      <c r="CA1070"/>
    </row>
    <row r="1071" spans="2:79" ht="18.75">
      <c r="B1071" s="252" t="s">
        <v>1081</v>
      </c>
      <c r="C1071" s="251">
        <v>40141547000121</v>
      </c>
      <c r="D1071" s="252" t="s">
        <v>11</v>
      </c>
      <c r="E1071" s="252" t="s">
        <v>620</v>
      </c>
      <c r="F1071" s="252" t="s">
        <v>663</v>
      </c>
      <c r="G1071" s="253" t="s">
        <v>738</v>
      </c>
      <c r="H1071" s="253" t="s">
        <v>34</v>
      </c>
      <c r="I1071" s="253" t="s">
        <v>1417</v>
      </c>
      <c r="J1071" s="253" t="s">
        <v>608</v>
      </c>
      <c r="K1071" s="253" t="s">
        <v>48</v>
      </c>
      <c r="L1071" s="655"/>
      <c r="M1071" s="655" t="s">
        <v>34</v>
      </c>
      <c r="N1071" s="253" t="s">
        <v>3687</v>
      </c>
      <c r="O1071" s="253" t="s">
        <v>1321</v>
      </c>
      <c r="P1071" s="656">
        <v>44200</v>
      </c>
      <c r="Q1071" s="657">
        <v>18.686116810000001</v>
      </c>
      <c r="R1071" s="657">
        <v>18.130928254354835</v>
      </c>
      <c r="S1071" s="253">
        <v>31</v>
      </c>
      <c r="T1071" s="658">
        <v>1.3643350551137523E-2</v>
      </c>
      <c r="U1071" s="659">
        <v>0.68222278850225304</v>
      </c>
      <c r="V1071" s="658">
        <v>0.14306905836289596</v>
      </c>
      <c r="W1071" s="659">
        <v>1.1095449096953018</v>
      </c>
      <c r="X1071" s="658">
        <v>0.25739400266400292</v>
      </c>
      <c r="Y1071" s="659">
        <v>1.3330416289972196</v>
      </c>
      <c r="Z1071" s="658"/>
      <c r="AA1071" s="659"/>
      <c r="AB1071" s="658">
        <v>5.1695087326315545E-2</v>
      </c>
      <c r="AC1071" s="660">
        <v>0.27323967608266636</v>
      </c>
      <c r="AD1071" s="682">
        <v>36776025000129</v>
      </c>
      <c r="AE1071" s="944" t="s">
        <v>1862</v>
      </c>
      <c r="AF1071" s="661" t="s">
        <v>1745</v>
      </c>
      <c r="AG1071" s="662" t="s">
        <v>1432</v>
      </c>
      <c r="AH1071" s="662" t="s">
        <v>1730</v>
      </c>
      <c r="AI1071" s="662">
        <v>5000</v>
      </c>
      <c r="AJ1071" s="662">
        <v>0</v>
      </c>
      <c r="AK1071" s="662">
        <v>0</v>
      </c>
      <c r="AL1071" s="658">
        <v>1.4999999999999999E-2</v>
      </c>
      <c r="AM1071" s="658">
        <v>0.25</v>
      </c>
      <c r="AN1071" s="659" t="s">
        <v>34</v>
      </c>
      <c r="AO1071" s="253" t="s">
        <v>34</v>
      </c>
      <c r="AP1071" s="944" t="s">
        <v>1746</v>
      </c>
      <c r="AQ1071" s="663" t="s">
        <v>668</v>
      </c>
      <c r="AR1071" s="658">
        <v>5.0000000000000001E-3</v>
      </c>
      <c r="AS1071" s="658">
        <v>5.0000000000000001E-3</v>
      </c>
      <c r="AT1071" s="658" t="s">
        <v>1417</v>
      </c>
      <c r="AU1071" s="658" t="s">
        <v>2751</v>
      </c>
      <c r="AX1071"/>
      <c r="AY1071"/>
      <c r="BA1071"/>
      <c r="BB1071"/>
      <c r="BC1071"/>
      <c r="BD1071"/>
      <c r="BE1071"/>
      <c r="BF1071"/>
      <c r="BG1071"/>
      <c r="BH1071"/>
      <c r="BI1071"/>
      <c r="BJ1071"/>
      <c r="BR1071"/>
      <c r="BS1071"/>
      <c r="BT1071"/>
      <c r="BU1071"/>
      <c r="BX1071"/>
      <c r="BY1071"/>
      <c r="CA1071"/>
    </row>
    <row r="1072" spans="2:79" ht="18.75">
      <c r="B1072" s="252" t="s">
        <v>1082</v>
      </c>
      <c r="C1072" s="251">
        <v>39345935000145</v>
      </c>
      <c r="D1072" s="252" t="s">
        <v>14</v>
      </c>
      <c r="E1072" s="252" t="s">
        <v>607</v>
      </c>
      <c r="F1072" s="252" t="s">
        <v>1417</v>
      </c>
      <c r="G1072" s="253" t="s">
        <v>1417</v>
      </c>
      <c r="H1072" s="253" t="s">
        <v>34</v>
      </c>
      <c r="I1072" s="253" t="s">
        <v>34</v>
      </c>
      <c r="J1072" s="253" t="s">
        <v>611</v>
      </c>
      <c r="K1072" s="253" t="s">
        <v>49</v>
      </c>
      <c r="L1072" s="655"/>
      <c r="M1072" s="655" t="s">
        <v>34</v>
      </c>
      <c r="N1072" s="253" t="s">
        <v>3688</v>
      </c>
      <c r="O1072" s="253" t="s">
        <v>1321</v>
      </c>
      <c r="P1072" s="656">
        <v>44196</v>
      </c>
      <c r="Q1072" s="657">
        <v>7.9789997100000001</v>
      </c>
      <c r="R1072" s="657">
        <v>9.7382049330522094</v>
      </c>
      <c r="S1072" s="253">
        <v>9</v>
      </c>
      <c r="T1072" s="658">
        <v>0.10963133780762457</v>
      </c>
      <c r="U1072" s="659">
        <v>5.4820109404954191</v>
      </c>
      <c r="V1072" s="658">
        <v>-0.3269412595175929</v>
      </c>
      <c r="W1072" s="659">
        <v>-2.5355308437620518</v>
      </c>
      <c r="X1072" s="658">
        <v>-0.61352055393326299</v>
      </c>
      <c r="Y1072" s="659">
        <v>-3.1774183942664611</v>
      </c>
      <c r="Z1072" s="658"/>
      <c r="AA1072" s="659"/>
      <c r="AB1072" s="658">
        <v>0.5516895197005941</v>
      </c>
      <c r="AC1072" s="660">
        <v>-0.82634371813296981</v>
      </c>
      <c r="AD1072" s="682">
        <v>39330087000109</v>
      </c>
      <c r="AE1072" s="944" t="s">
        <v>1747</v>
      </c>
      <c r="AF1072" s="661" t="s">
        <v>1745</v>
      </c>
      <c r="AG1072" s="662" t="s">
        <v>1432</v>
      </c>
      <c r="AH1072" s="662" t="s">
        <v>1730</v>
      </c>
      <c r="AI1072" s="662">
        <v>5000</v>
      </c>
      <c r="AJ1072" s="662">
        <v>5000</v>
      </c>
      <c r="AK1072" s="662">
        <v>5000</v>
      </c>
      <c r="AL1072" s="658">
        <v>0.01</v>
      </c>
      <c r="AM1072" s="658">
        <v>0</v>
      </c>
      <c r="AN1072" s="659" t="s">
        <v>34</v>
      </c>
      <c r="AO1072" s="253" t="s">
        <v>34</v>
      </c>
      <c r="AP1072" s="944" t="s">
        <v>1731</v>
      </c>
      <c r="AQ1072" s="663" t="s">
        <v>687</v>
      </c>
      <c r="AR1072" s="658">
        <v>6.0000000000000001E-3</v>
      </c>
      <c r="AS1072" s="658">
        <v>6.0000000000000001E-3</v>
      </c>
      <c r="AT1072" s="658" t="s">
        <v>1417</v>
      </c>
      <c r="AU1072" s="658" t="s">
        <v>2751</v>
      </c>
      <c r="AX1072"/>
      <c r="AY1072"/>
      <c r="BA1072"/>
      <c r="BB1072"/>
      <c r="BC1072"/>
      <c r="BD1072"/>
      <c r="BE1072"/>
      <c r="BF1072"/>
      <c r="BG1072"/>
      <c r="BH1072"/>
      <c r="BI1072"/>
      <c r="BJ1072"/>
      <c r="BR1072"/>
      <c r="BS1072"/>
      <c r="BT1072"/>
      <c r="BU1072"/>
      <c r="BX1072"/>
      <c r="BY1072"/>
      <c r="CA1072"/>
    </row>
    <row r="1073" spans="2:79" ht="18.75">
      <c r="B1073" s="252" t="s">
        <v>300</v>
      </c>
      <c r="C1073" s="251">
        <v>8869576000100</v>
      </c>
      <c r="D1073" s="252" t="s">
        <v>14</v>
      </c>
      <c r="E1073" s="252" t="s">
        <v>607</v>
      </c>
      <c r="F1073" s="252" t="s">
        <v>1417</v>
      </c>
      <c r="G1073" s="253" t="s">
        <v>1417</v>
      </c>
      <c r="H1073" s="253" t="s">
        <v>34</v>
      </c>
      <c r="I1073" s="253" t="s">
        <v>34</v>
      </c>
      <c r="J1073" s="253" t="s">
        <v>608</v>
      </c>
      <c r="K1073" s="253" t="s">
        <v>48</v>
      </c>
      <c r="L1073" s="655"/>
      <c r="M1073" s="655" t="s">
        <v>34</v>
      </c>
      <c r="N1073" s="253" t="s">
        <v>3689</v>
      </c>
      <c r="O1073" s="253" t="s">
        <v>1321</v>
      </c>
      <c r="P1073" s="656">
        <v>39262</v>
      </c>
      <c r="Q1073" s="657">
        <v>8.3920209999999997</v>
      </c>
      <c r="R1073" s="657">
        <v>181.45046156854826</v>
      </c>
      <c r="S1073" s="253">
        <v>32</v>
      </c>
      <c r="T1073" s="658">
        <v>-8.1566693575748639E-2</v>
      </c>
      <c r="U1073" s="659">
        <v>-4.0786650560346756</v>
      </c>
      <c r="V1073" s="658">
        <v>-0.18960125274295569</v>
      </c>
      <c r="W1073" s="659">
        <v>-1.4704165055674769</v>
      </c>
      <c r="X1073" s="658">
        <v>-0.25561509749745925</v>
      </c>
      <c r="Y1073" s="659">
        <v>-1.3238286923456362</v>
      </c>
      <c r="Z1073" s="658">
        <v>-0.28758240742263641</v>
      </c>
      <c r="AA1073" s="659">
        <v>-1.2985142342027447</v>
      </c>
      <c r="AB1073" s="658">
        <v>0.2745995671177745</v>
      </c>
      <c r="AC1073" s="660">
        <v>-1.1600351942766227</v>
      </c>
      <c r="AD1073" s="682">
        <v>0</v>
      </c>
      <c r="AE1073" s="944" t="s">
        <v>1788</v>
      </c>
      <c r="AF1073" s="661" t="s">
        <v>1729</v>
      </c>
      <c r="AG1073" s="662" t="s">
        <v>1433</v>
      </c>
      <c r="AH1073" s="662" t="s">
        <v>1730</v>
      </c>
      <c r="AI1073" s="662">
        <v>5000</v>
      </c>
      <c r="AJ1073" s="662">
        <v>5000</v>
      </c>
      <c r="AK1073" s="662">
        <v>5000</v>
      </c>
      <c r="AL1073" s="658">
        <v>2.0499999999999997E-2</v>
      </c>
      <c r="AM1073" s="658">
        <v>0.2</v>
      </c>
      <c r="AN1073" s="659" t="s">
        <v>2141</v>
      </c>
      <c r="AO1073" s="253" t="s">
        <v>34</v>
      </c>
      <c r="AP1073" s="944" t="s">
        <v>1731</v>
      </c>
      <c r="AQ1073" s="663" t="s">
        <v>665</v>
      </c>
      <c r="AR1073" s="658">
        <v>5.3333333333333297E-3</v>
      </c>
      <c r="AS1073" s="658">
        <v>5.3333333333333297E-3</v>
      </c>
      <c r="AT1073" s="658" t="s">
        <v>1417</v>
      </c>
      <c r="AU1073" s="658" t="s">
        <v>2751</v>
      </c>
      <c r="AX1073"/>
      <c r="AY1073"/>
      <c r="BA1073"/>
      <c r="BB1073"/>
      <c r="BC1073"/>
      <c r="BD1073"/>
      <c r="BE1073"/>
      <c r="BF1073"/>
      <c r="BG1073"/>
      <c r="BH1073"/>
      <c r="BI1073"/>
      <c r="BJ1073"/>
      <c r="BR1073"/>
      <c r="BS1073"/>
      <c r="BT1073"/>
      <c r="BU1073"/>
      <c r="BX1073"/>
      <c r="BY1073"/>
      <c r="CA1073"/>
    </row>
    <row r="1074" spans="2:79" ht="18.75">
      <c r="B1074" s="252" t="s">
        <v>1083</v>
      </c>
      <c r="C1074" s="251">
        <v>11175798000129</v>
      </c>
      <c r="D1074" s="252" t="s">
        <v>14</v>
      </c>
      <c r="E1074" s="252" t="s">
        <v>607</v>
      </c>
      <c r="F1074" s="252" t="s">
        <v>1417</v>
      </c>
      <c r="G1074" s="253" t="s">
        <v>1417</v>
      </c>
      <c r="H1074" s="253" t="s">
        <v>34</v>
      </c>
      <c r="I1074" s="253" t="s">
        <v>34</v>
      </c>
      <c r="J1074" s="253" t="s">
        <v>611</v>
      </c>
      <c r="K1074" s="253" t="s">
        <v>1417</v>
      </c>
      <c r="L1074" s="655"/>
      <c r="M1074" s="655" t="s">
        <v>34</v>
      </c>
      <c r="N1074" s="253" t="s">
        <v>3690</v>
      </c>
      <c r="O1074" s="253" t="s">
        <v>1321</v>
      </c>
      <c r="P1074" s="656">
        <v>40310</v>
      </c>
      <c r="Q1074" s="657">
        <v>32.322859999999999</v>
      </c>
      <c r="R1074" s="657">
        <v>47.582247142857106</v>
      </c>
      <c r="S1074" s="253">
        <v>5</v>
      </c>
      <c r="T1074" s="658">
        <v>8.9051035719127647E-3</v>
      </c>
      <c r="U1074" s="659">
        <v>0.44529124777382273</v>
      </c>
      <c r="V1074" s="658">
        <v>-0.1478717953589912</v>
      </c>
      <c r="W1074" s="659">
        <v>-1.146791624307109</v>
      </c>
      <c r="X1074" s="658">
        <v>-0.19345663060832297</v>
      </c>
      <c r="Y1074" s="659">
        <v>-1.0019104537686965</v>
      </c>
      <c r="Z1074" s="658">
        <v>0.22075970147712654</v>
      </c>
      <c r="AA1074" s="659">
        <v>0.9967912059555063</v>
      </c>
      <c r="AB1074" s="658">
        <v>0.25650241948596109</v>
      </c>
      <c r="AC1074" s="660">
        <v>-1.0791933478075058</v>
      </c>
      <c r="AD1074" s="682">
        <v>0</v>
      </c>
      <c r="AE1074" s="944" t="s">
        <v>1788</v>
      </c>
      <c r="AF1074" s="661" t="s">
        <v>1729</v>
      </c>
      <c r="AG1074" s="662" t="s">
        <v>1433</v>
      </c>
      <c r="AH1074" s="662" t="s">
        <v>1730</v>
      </c>
      <c r="AI1074" s="662">
        <v>5000</v>
      </c>
      <c r="AJ1074" s="662">
        <v>5000</v>
      </c>
      <c r="AK1074" s="662">
        <v>5000</v>
      </c>
      <c r="AL1074" s="658">
        <v>0</v>
      </c>
      <c r="AM1074" s="658">
        <v>0.2</v>
      </c>
      <c r="AN1074" s="659" t="s">
        <v>2127</v>
      </c>
      <c r="AO1074" s="253" t="s">
        <v>34</v>
      </c>
      <c r="AP1074" s="944" t="s">
        <v>1731</v>
      </c>
      <c r="AQ1074" s="663" t="s">
        <v>687</v>
      </c>
      <c r="AR1074" s="658">
        <v>5.3333333333333297E-3</v>
      </c>
      <c r="AS1074" s="658">
        <v>5.3333333333333297E-3</v>
      </c>
      <c r="AT1074" s="658" t="s">
        <v>1417</v>
      </c>
      <c r="AU1074" s="658" t="s">
        <v>2751</v>
      </c>
      <c r="AX1074"/>
      <c r="AY1074"/>
      <c r="BA1074"/>
      <c r="BB1074"/>
      <c r="BC1074"/>
      <c r="BD1074"/>
      <c r="BE1074"/>
      <c r="BF1074"/>
      <c r="BG1074"/>
      <c r="BH1074"/>
      <c r="BI1074"/>
      <c r="BJ1074"/>
      <c r="BR1074"/>
      <c r="BS1074"/>
      <c r="BT1074"/>
      <c r="BU1074"/>
      <c r="BX1074"/>
      <c r="BY1074"/>
      <c r="CA1074"/>
    </row>
    <row r="1075" spans="2:79" ht="18.75">
      <c r="B1075" s="252" t="s">
        <v>562</v>
      </c>
      <c r="C1075" s="251">
        <v>39959357000137</v>
      </c>
      <c r="D1075" s="252" t="s">
        <v>14</v>
      </c>
      <c r="E1075" s="252" t="s">
        <v>607</v>
      </c>
      <c r="F1075" s="252" t="s">
        <v>1417</v>
      </c>
      <c r="G1075" s="253" t="s">
        <v>1417</v>
      </c>
      <c r="H1075" s="253" t="s">
        <v>34</v>
      </c>
      <c r="I1075" s="253" t="s">
        <v>34</v>
      </c>
      <c r="J1075" s="253" t="s">
        <v>608</v>
      </c>
      <c r="K1075" s="253" t="s">
        <v>48</v>
      </c>
      <c r="L1075" s="655"/>
      <c r="M1075" s="655" t="s">
        <v>34</v>
      </c>
      <c r="N1075" s="253" t="s">
        <v>3691</v>
      </c>
      <c r="O1075" s="253" t="s">
        <v>1321</v>
      </c>
      <c r="P1075" s="656">
        <v>44365</v>
      </c>
      <c r="Q1075" s="657">
        <v>4.2462804600000004</v>
      </c>
      <c r="R1075" s="657">
        <v>6.1810127519298224</v>
      </c>
      <c r="S1075" s="253">
        <v>32</v>
      </c>
      <c r="T1075" s="658">
        <v>-8.4288309274939244E-2</v>
      </c>
      <c r="U1075" s="659">
        <v>-4.2147568646101368</v>
      </c>
      <c r="V1075" s="658">
        <v>-0.19510683038098853</v>
      </c>
      <c r="W1075" s="659">
        <v>-1.5131139672905902</v>
      </c>
      <c r="X1075" s="658"/>
      <c r="Y1075" s="659"/>
      <c r="Z1075" s="658"/>
      <c r="AA1075" s="659"/>
      <c r="AB1075" s="658">
        <v>0.28836928720956312</v>
      </c>
      <c r="AC1075" s="660">
        <v>-1.1237352734873025</v>
      </c>
      <c r="AD1075" s="682">
        <v>0</v>
      </c>
      <c r="AE1075" s="944" t="s">
        <v>1788</v>
      </c>
      <c r="AF1075" s="661" t="s">
        <v>1729</v>
      </c>
      <c r="AG1075" s="662" t="s">
        <v>741</v>
      </c>
      <c r="AH1075" s="662" t="s">
        <v>1734</v>
      </c>
      <c r="AI1075" s="662">
        <v>100</v>
      </c>
      <c r="AJ1075" s="662">
        <v>100</v>
      </c>
      <c r="AK1075" s="662">
        <v>500</v>
      </c>
      <c r="AL1075" s="658">
        <v>2.0499999999999997E-2</v>
      </c>
      <c r="AM1075" s="658">
        <v>0.2</v>
      </c>
      <c r="AN1075" s="659" t="s">
        <v>2141</v>
      </c>
      <c r="AO1075" s="253" t="s">
        <v>34</v>
      </c>
      <c r="AP1075" s="944" t="s">
        <v>1731</v>
      </c>
      <c r="AQ1075" s="663" t="s">
        <v>665</v>
      </c>
      <c r="AR1075" s="658">
        <v>5.3340000000000002E-3</v>
      </c>
      <c r="AS1075" s="658">
        <v>5.3340000000000002E-3</v>
      </c>
      <c r="AT1075" s="658" t="s">
        <v>1417</v>
      </c>
      <c r="AU1075" s="658" t="s">
        <v>2751</v>
      </c>
      <c r="AX1075"/>
      <c r="AY1075"/>
      <c r="BA1075"/>
      <c r="BB1075"/>
      <c r="BC1075"/>
      <c r="BD1075"/>
      <c r="BE1075"/>
      <c r="BF1075"/>
      <c r="BG1075"/>
      <c r="BH1075"/>
      <c r="BI1075"/>
      <c r="BJ1075"/>
      <c r="BR1075"/>
      <c r="BS1075"/>
      <c r="BT1075"/>
      <c r="BU1075"/>
      <c r="BX1075"/>
      <c r="BY1075"/>
      <c r="CA1075"/>
    </row>
    <row r="1076" spans="2:79" ht="18.75">
      <c r="B1076" s="252" t="s">
        <v>301</v>
      </c>
      <c r="C1076" s="251">
        <v>9586692000176</v>
      </c>
      <c r="D1076" s="252" t="s">
        <v>13</v>
      </c>
      <c r="E1076" s="252" t="s">
        <v>616</v>
      </c>
      <c r="F1076" s="252" t="s">
        <v>610</v>
      </c>
      <c r="G1076" s="253" t="s">
        <v>34</v>
      </c>
      <c r="H1076" s="253" t="s">
        <v>1338</v>
      </c>
      <c r="I1076" s="253" t="s">
        <v>34</v>
      </c>
      <c r="J1076" s="253" t="s">
        <v>1417</v>
      </c>
      <c r="K1076" s="253" t="s">
        <v>48</v>
      </c>
      <c r="L1076" s="655"/>
      <c r="M1076" s="655" t="s">
        <v>34</v>
      </c>
      <c r="N1076" s="253" t="s">
        <v>3692</v>
      </c>
      <c r="O1076" s="253" t="s">
        <v>1321</v>
      </c>
      <c r="P1076" s="656">
        <v>39612</v>
      </c>
      <c r="Q1076" s="657">
        <v>7.0756579999999998</v>
      </c>
      <c r="R1076" s="657">
        <v>8.7645355080645171</v>
      </c>
      <c r="S1076" s="253">
        <v>6</v>
      </c>
      <c r="T1076" s="658">
        <v>-1.0636959557322023E-2</v>
      </c>
      <c r="U1076" s="659">
        <v>-0.53189106174339873</v>
      </c>
      <c r="V1076" s="658">
        <v>8.1733927997927225E-2</v>
      </c>
      <c r="W1076" s="659">
        <v>0.63387195524466855</v>
      </c>
      <c r="X1076" s="658">
        <v>1.7042127968318388E-2</v>
      </c>
      <c r="Y1076" s="659">
        <v>8.826105423334854E-2</v>
      </c>
      <c r="Z1076" s="658">
        <v>6.992023768091693E-2</v>
      </c>
      <c r="AA1076" s="659">
        <v>0.31570924209588214</v>
      </c>
      <c r="AB1076" s="658">
        <v>7.9434667079211541E-2</v>
      </c>
      <c r="AC1076" s="660">
        <v>-0.59432465930503309</v>
      </c>
      <c r="AD1076" s="682">
        <v>9573796000146</v>
      </c>
      <c r="AE1076" s="944" t="s">
        <v>1799</v>
      </c>
      <c r="AF1076" s="661" t="s">
        <v>1745</v>
      </c>
      <c r="AG1076" s="662" t="s">
        <v>1432</v>
      </c>
      <c r="AH1076" s="662" t="s">
        <v>1734</v>
      </c>
      <c r="AI1076" s="662">
        <v>1000</v>
      </c>
      <c r="AJ1076" s="662">
        <v>500</v>
      </c>
      <c r="AK1076" s="662">
        <v>1000</v>
      </c>
      <c r="AL1076" s="658">
        <v>0.02</v>
      </c>
      <c r="AM1076" s="658">
        <v>0.25</v>
      </c>
      <c r="AN1076" s="659" t="s">
        <v>64</v>
      </c>
      <c r="AO1076" s="253" t="s">
        <v>34</v>
      </c>
      <c r="AP1076" s="944" t="s">
        <v>1746</v>
      </c>
      <c r="AQ1076" s="663" t="s">
        <v>668</v>
      </c>
      <c r="AR1076" s="658">
        <v>5.3333333333333297E-3</v>
      </c>
      <c r="AS1076" s="658">
        <v>5.3333333333333297E-3</v>
      </c>
      <c r="AT1076" s="658" t="s">
        <v>1417</v>
      </c>
      <c r="AU1076" s="658" t="s">
        <v>2751</v>
      </c>
      <c r="AX1076"/>
      <c r="AY1076"/>
      <c r="BA1076"/>
      <c r="BB1076"/>
      <c r="BC1076"/>
      <c r="BD1076"/>
      <c r="BE1076"/>
      <c r="BF1076"/>
      <c r="BG1076"/>
      <c r="BH1076"/>
      <c r="BI1076"/>
      <c r="BJ1076"/>
      <c r="BR1076"/>
      <c r="BS1076"/>
      <c r="BT1076"/>
      <c r="BU1076"/>
      <c r="BX1076"/>
      <c r="BY1076"/>
      <c r="CA1076"/>
    </row>
    <row r="1077" spans="2:79" ht="18.75">
      <c r="B1077" s="252" t="s">
        <v>302</v>
      </c>
      <c r="C1077" s="251">
        <v>34791444000104</v>
      </c>
      <c r="D1077" s="252" t="s">
        <v>14</v>
      </c>
      <c r="E1077" s="252" t="s">
        <v>607</v>
      </c>
      <c r="F1077" s="252" t="s">
        <v>1417</v>
      </c>
      <c r="G1077" s="253" t="s">
        <v>1417</v>
      </c>
      <c r="H1077" s="253" t="s">
        <v>34</v>
      </c>
      <c r="I1077" s="253" t="s">
        <v>34</v>
      </c>
      <c r="J1077" s="253" t="s">
        <v>608</v>
      </c>
      <c r="K1077" s="253" t="s">
        <v>48</v>
      </c>
      <c r="L1077" s="655"/>
      <c r="M1077" s="655" t="s">
        <v>1414</v>
      </c>
      <c r="N1077" s="253" t="s">
        <v>3693</v>
      </c>
      <c r="O1077" s="253" t="s">
        <v>1321</v>
      </c>
      <c r="P1077" s="656">
        <v>43776</v>
      </c>
      <c r="Q1077" s="657">
        <v>32.017081089999998</v>
      </c>
      <c r="R1077" s="657">
        <v>43.64339429764226</v>
      </c>
      <c r="S1077" s="253">
        <v>32</v>
      </c>
      <c r="T1077" s="658">
        <v>-4.4039124981884781E-2</v>
      </c>
      <c r="U1077" s="659">
        <v>-2.2021346249023623</v>
      </c>
      <c r="V1077" s="658">
        <v>-4.3185673640255384E-2</v>
      </c>
      <c r="W1077" s="659">
        <v>-0.33491828986367861</v>
      </c>
      <c r="X1077" s="658">
        <v>2.8892934942769122E-2</v>
      </c>
      <c r="Y1077" s="659">
        <v>0.14963629557793931</v>
      </c>
      <c r="Z1077" s="658">
        <v>9.4950522647782698E-2</v>
      </c>
      <c r="AA1077" s="659">
        <v>0.42872791248993158</v>
      </c>
      <c r="AB1077" s="658">
        <v>0.19278881879299339</v>
      </c>
      <c r="AC1077" s="660">
        <v>-0.89284007321953418</v>
      </c>
      <c r="AD1077" s="682">
        <v>34791421000108</v>
      </c>
      <c r="AE1077" s="944" t="s">
        <v>1831</v>
      </c>
      <c r="AF1077" s="661" t="s">
        <v>1769</v>
      </c>
      <c r="AG1077" s="662" t="s">
        <v>719</v>
      </c>
      <c r="AH1077" s="662" t="s">
        <v>1734</v>
      </c>
      <c r="AI1077" s="662">
        <v>10000</v>
      </c>
      <c r="AJ1077" s="662">
        <v>5000</v>
      </c>
      <c r="AK1077" s="662">
        <v>5000</v>
      </c>
      <c r="AL1077" s="658">
        <v>2.3E-2</v>
      </c>
      <c r="AM1077" s="658">
        <v>0.2</v>
      </c>
      <c r="AN1077" s="659" t="s">
        <v>666</v>
      </c>
      <c r="AO1077" s="253" t="s">
        <v>34</v>
      </c>
      <c r="AP1077" s="944" t="s">
        <v>1731</v>
      </c>
      <c r="AQ1077" s="663" t="s">
        <v>659</v>
      </c>
      <c r="AR1077" s="658">
        <v>3.3333333333333301E-3</v>
      </c>
      <c r="AS1077" s="658">
        <v>3.3333333333333301E-3</v>
      </c>
      <c r="AT1077" s="658" t="s">
        <v>1417</v>
      </c>
      <c r="AU1077" s="658" t="s">
        <v>2751</v>
      </c>
      <c r="AX1077"/>
      <c r="AY1077"/>
      <c r="BA1077"/>
      <c r="BB1077"/>
      <c r="BC1077"/>
      <c r="BD1077"/>
      <c r="BE1077"/>
      <c r="BF1077"/>
      <c r="BG1077"/>
      <c r="BH1077"/>
      <c r="BI1077"/>
      <c r="BJ1077"/>
      <c r="BR1077"/>
      <c r="BS1077"/>
      <c r="BT1077"/>
      <c r="BU1077"/>
      <c r="BX1077"/>
      <c r="BY1077"/>
      <c r="CA1077"/>
    </row>
    <row r="1078" spans="2:79" ht="18.75">
      <c r="B1078" s="252" t="s">
        <v>563</v>
      </c>
      <c r="C1078" s="251">
        <v>34633411000136</v>
      </c>
      <c r="D1078" s="252" t="s">
        <v>14</v>
      </c>
      <c r="E1078" s="252" t="s">
        <v>607</v>
      </c>
      <c r="F1078" s="252" t="s">
        <v>1417</v>
      </c>
      <c r="G1078" s="253" t="s">
        <v>1417</v>
      </c>
      <c r="H1078" s="253" t="s">
        <v>34</v>
      </c>
      <c r="I1078" s="253" t="s">
        <v>34</v>
      </c>
      <c r="J1078" s="253" t="s">
        <v>608</v>
      </c>
      <c r="K1078" s="253" t="s">
        <v>48</v>
      </c>
      <c r="L1078" s="655"/>
      <c r="M1078" s="655" t="s">
        <v>1414</v>
      </c>
      <c r="N1078" s="253" t="s">
        <v>3694</v>
      </c>
      <c r="O1078" s="253" t="s">
        <v>1324</v>
      </c>
      <c r="P1078" s="656">
        <v>43727</v>
      </c>
      <c r="Q1078" s="657">
        <v>233.22313274000001</v>
      </c>
      <c r="R1078" s="657">
        <v>162.11650727522263</v>
      </c>
      <c r="S1078" s="253">
        <v>62</v>
      </c>
      <c r="T1078" s="658">
        <v>-2.8794788406652061E-2</v>
      </c>
      <c r="U1078" s="659">
        <v>-1.439856050571144</v>
      </c>
      <c r="V1078" s="658">
        <v>0.11505954665958962</v>
      </c>
      <c r="W1078" s="659">
        <v>0.89232246139606586</v>
      </c>
      <c r="X1078" s="658">
        <v>0.18438038148068125</v>
      </c>
      <c r="Y1078" s="659">
        <v>0.95490462691541922</v>
      </c>
      <c r="Z1078" s="658">
        <v>0.2706198517547882</v>
      </c>
      <c r="AA1078" s="659">
        <v>1.2219235964771644</v>
      </c>
      <c r="AB1078" s="658">
        <v>0.11646661489448613</v>
      </c>
      <c r="AC1078" s="660">
        <v>-0.11921324235084349</v>
      </c>
      <c r="AD1078" s="682">
        <v>34546288000116</v>
      </c>
      <c r="AE1078" s="944" t="s">
        <v>1831</v>
      </c>
      <c r="AF1078" s="661" t="s">
        <v>1769</v>
      </c>
      <c r="AG1078" s="662" t="s">
        <v>1432</v>
      </c>
      <c r="AH1078" s="662" t="s">
        <v>1730</v>
      </c>
      <c r="AI1078" s="662">
        <v>50000</v>
      </c>
      <c r="AJ1078" s="662">
        <v>10000</v>
      </c>
      <c r="AK1078" s="662">
        <v>10000</v>
      </c>
      <c r="AL1078" s="658">
        <v>0.02</v>
      </c>
      <c r="AM1078" s="658">
        <v>0</v>
      </c>
      <c r="AN1078" s="659" t="s">
        <v>2122</v>
      </c>
      <c r="AO1078" s="253" t="s">
        <v>34</v>
      </c>
      <c r="AP1078" s="944" t="s">
        <v>1731</v>
      </c>
      <c r="AQ1078" s="663" t="s">
        <v>659</v>
      </c>
      <c r="AR1078" s="658">
        <v>3.3333333333333301E-3</v>
      </c>
      <c r="AS1078" s="658">
        <v>3.3333333333333301E-3</v>
      </c>
      <c r="AT1078" s="658" t="s">
        <v>1417</v>
      </c>
      <c r="AU1078" s="658" t="s">
        <v>2751</v>
      </c>
      <c r="AX1078"/>
      <c r="AY1078"/>
      <c r="BA1078"/>
      <c r="BB1078"/>
      <c r="BC1078"/>
      <c r="BD1078"/>
      <c r="BE1078"/>
      <c r="BF1078"/>
      <c r="BG1078"/>
      <c r="BH1078"/>
      <c r="BI1078"/>
      <c r="BJ1078"/>
      <c r="BR1078"/>
      <c r="BS1078"/>
      <c r="BT1078"/>
      <c r="BU1078"/>
      <c r="BX1078"/>
      <c r="BY1078"/>
      <c r="CA1078"/>
    </row>
    <row r="1079" spans="2:79" ht="18.75">
      <c r="B1079" s="252" t="s">
        <v>1084</v>
      </c>
      <c r="C1079" s="251">
        <v>27954376000191</v>
      </c>
      <c r="D1079" s="252" t="s">
        <v>11</v>
      </c>
      <c r="E1079" s="252" t="s">
        <v>621</v>
      </c>
      <c r="F1079" s="252" t="s">
        <v>692</v>
      </c>
      <c r="G1079" s="253" t="s">
        <v>738</v>
      </c>
      <c r="H1079" s="253" t="s">
        <v>34</v>
      </c>
      <c r="I1079" s="253" t="s">
        <v>1417</v>
      </c>
      <c r="J1079" s="253" t="s">
        <v>608</v>
      </c>
      <c r="K1079" s="253" t="s">
        <v>48</v>
      </c>
      <c r="L1079" s="655"/>
      <c r="M1079" s="655" t="s">
        <v>1414</v>
      </c>
      <c r="N1079" s="253" t="s">
        <v>3695</v>
      </c>
      <c r="O1079" s="253" t="s">
        <v>1321</v>
      </c>
      <c r="P1079" s="656">
        <v>43060</v>
      </c>
      <c r="Q1079" s="657">
        <v>0</v>
      </c>
      <c r="R1079" s="657">
        <v>0</v>
      </c>
      <c r="S1079" s="253">
        <v>31</v>
      </c>
      <c r="T1079" s="658"/>
      <c r="U1079" s="659"/>
      <c r="V1079" s="658"/>
      <c r="W1079" s="659"/>
      <c r="X1079" s="658"/>
      <c r="Y1079" s="659"/>
      <c r="Z1079" s="658"/>
      <c r="AA1079" s="659"/>
      <c r="AB1079" s="658"/>
      <c r="AC1079" s="660"/>
      <c r="AD1079" s="682">
        <v>36729801000130</v>
      </c>
      <c r="AE1079" s="944" t="s">
        <v>2611</v>
      </c>
      <c r="AF1079" s="661" t="s">
        <v>1745</v>
      </c>
      <c r="AG1079" s="662" t="s">
        <v>1432</v>
      </c>
      <c r="AH1079" s="662" t="s">
        <v>1730</v>
      </c>
      <c r="AI1079" s="662">
        <v>1000</v>
      </c>
      <c r="AJ1079" s="662">
        <v>1000</v>
      </c>
      <c r="AK1079" s="662">
        <v>1000</v>
      </c>
      <c r="AL1079" s="658">
        <v>2.5000000000000001E-3</v>
      </c>
      <c r="AM1079" s="658">
        <v>0</v>
      </c>
      <c r="AN1079" s="659" t="s">
        <v>34</v>
      </c>
      <c r="AO1079" s="253" t="s">
        <v>34</v>
      </c>
      <c r="AP1079" s="944" t="s">
        <v>1735</v>
      </c>
      <c r="AQ1079" s="663" t="s">
        <v>675</v>
      </c>
      <c r="AR1079" s="658">
        <v>0</v>
      </c>
      <c r="AS1079" s="658">
        <v>0</v>
      </c>
      <c r="AT1079" s="658" t="s">
        <v>1417</v>
      </c>
      <c r="AU1079" s="658" t="s">
        <v>2751</v>
      </c>
      <c r="AX1079"/>
      <c r="AY1079"/>
      <c r="BA1079"/>
      <c r="BB1079"/>
      <c r="BC1079"/>
      <c r="BD1079"/>
      <c r="BE1079"/>
      <c r="BF1079"/>
      <c r="BG1079"/>
      <c r="BH1079"/>
      <c r="BI1079"/>
      <c r="BJ1079"/>
      <c r="BR1079"/>
      <c r="BS1079"/>
      <c r="BT1079"/>
      <c r="BU1079"/>
      <c r="BX1079"/>
      <c r="BY1079"/>
      <c r="CA1079"/>
    </row>
    <row r="1080" spans="2:79" ht="18.75">
      <c r="B1080" s="252" t="s">
        <v>303</v>
      </c>
      <c r="C1080" s="251">
        <v>14113340000133</v>
      </c>
      <c r="D1080" s="252" t="s">
        <v>14</v>
      </c>
      <c r="E1080" s="252" t="s">
        <v>607</v>
      </c>
      <c r="F1080" s="252" t="s">
        <v>1417</v>
      </c>
      <c r="G1080" s="253" t="s">
        <v>1417</v>
      </c>
      <c r="H1080" s="253" t="s">
        <v>34</v>
      </c>
      <c r="I1080" s="253" t="s">
        <v>34</v>
      </c>
      <c r="J1080" s="253" t="s">
        <v>608</v>
      </c>
      <c r="K1080" s="253" t="s">
        <v>48</v>
      </c>
      <c r="L1080" s="655"/>
      <c r="M1080" s="655" t="s">
        <v>1414</v>
      </c>
      <c r="N1080" s="253" t="s">
        <v>3696</v>
      </c>
      <c r="O1080" s="253" t="s">
        <v>1324</v>
      </c>
      <c r="P1080" s="656">
        <v>40814</v>
      </c>
      <c r="Q1080" s="657">
        <v>669.79000799999994</v>
      </c>
      <c r="R1080" s="657">
        <v>765.5823354653055</v>
      </c>
      <c r="S1080" s="253">
        <v>32</v>
      </c>
      <c r="T1080" s="658">
        <v>-4.5138573104687274E-2</v>
      </c>
      <c r="U1080" s="659">
        <v>-2.2571114842405802</v>
      </c>
      <c r="V1080" s="658">
        <v>-4.2014781426892189E-2</v>
      </c>
      <c r="W1080" s="659">
        <v>-0.32583765768503048</v>
      </c>
      <c r="X1080" s="658">
        <v>4.5402807859078687E-2</v>
      </c>
      <c r="Y1080" s="659">
        <v>0.23514080484820246</v>
      </c>
      <c r="Z1080" s="658">
        <v>9.3596095015459291E-2</v>
      </c>
      <c r="AA1080" s="659">
        <v>0.42261229653299032</v>
      </c>
      <c r="AB1080" s="658">
        <v>0.19963444526031662</v>
      </c>
      <c r="AC1080" s="660">
        <v>-0.85635868424788186</v>
      </c>
      <c r="AD1080" s="682">
        <v>32812291000109</v>
      </c>
      <c r="AE1080" s="944" t="s">
        <v>1831</v>
      </c>
      <c r="AF1080" s="661" t="s">
        <v>1769</v>
      </c>
      <c r="AG1080" s="662" t="s">
        <v>719</v>
      </c>
      <c r="AH1080" s="662" t="s">
        <v>1734</v>
      </c>
      <c r="AI1080" s="662">
        <v>5000</v>
      </c>
      <c r="AJ1080" s="662">
        <v>5000</v>
      </c>
      <c r="AK1080" s="662">
        <v>5000</v>
      </c>
      <c r="AL1080" s="658">
        <v>1.8000000000000002E-2</v>
      </c>
      <c r="AM1080" s="658">
        <v>0.2</v>
      </c>
      <c r="AN1080" s="659" t="s">
        <v>666</v>
      </c>
      <c r="AO1080" s="253" t="s">
        <v>34</v>
      </c>
      <c r="AP1080" s="944" t="s">
        <v>1731</v>
      </c>
      <c r="AQ1080" s="663" t="s">
        <v>659</v>
      </c>
      <c r="AR1080" s="658">
        <v>3.15E-3</v>
      </c>
      <c r="AS1080" s="658">
        <v>3.15E-3</v>
      </c>
      <c r="AT1080" s="658" t="s">
        <v>1417</v>
      </c>
      <c r="AU1080" s="658" t="s">
        <v>2751</v>
      </c>
      <c r="AX1080"/>
      <c r="AY1080"/>
      <c r="BA1080"/>
      <c r="BB1080"/>
      <c r="BC1080"/>
      <c r="BD1080"/>
      <c r="BE1080"/>
      <c r="BF1080"/>
      <c r="BG1080"/>
      <c r="BH1080"/>
      <c r="BI1080"/>
      <c r="BJ1080"/>
      <c r="BR1080"/>
      <c r="BS1080"/>
      <c r="BT1080"/>
      <c r="BU1080"/>
      <c r="BX1080"/>
      <c r="BY1080"/>
      <c r="CA1080"/>
    </row>
    <row r="1081" spans="2:79" ht="18.75">
      <c r="B1081" s="252" t="s">
        <v>304</v>
      </c>
      <c r="C1081" s="251">
        <v>26680221000141</v>
      </c>
      <c r="D1081" s="252" t="s">
        <v>14</v>
      </c>
      <c r="E1081" s="252" t="s">
        <v>614</v>
      </c>
      <c r="F1081" s="252" t="s">
        <v>1417</v>
      </c>
      <c r="G1081" s="253" t="s">
        <v>1417</v>
      </c>
      <c r="H1081" s="253" t="s">
        <v>865</v>
      </c>
      <c r="I1081" s="253" t="s">
        <v>34</v>
      </c>
      <c r="J1081" s="253" t="s">
        <v>608</v>
      </c>
      <c r="K1081" s="253" t="s">
        <v>48</v>
      </c>
      <c r="L1081" s="655"/>
      <c r="M1081" s="655" t="s">
        <v>1414</v>
      </c>
      <c r="N1081" s="253" t="s">
        <v>3697</v>
      </c>
      <c r="O1081" s="253" t="s">
        <v>1324</v>
      </c>
      <c r="P1081" s="656">
        <v>42722</v>
      </c>
      <c r="Q1081" s="657">
        <v>423.46415000000002</v>
      </c>
      <c r="R1081" s="657">
        <v>446.40033777868837</v>
      </c>
      <c r="S1081" s="253">
        <v>62</v>
      </c>
      <c r="T1081" s="658">
        <v>-2.7367619999546178E-2</v>
      </c>
      <c r="U1081" s="659">
        <v>-1.3684918496214795</v>
      </c>
      <c r="V1081" s="658">
        <v>0.12086331311920206</v>
      </c>
      <c r="W1081" s="659">
        <v>0.93733246989132957</v>
      </c>
      <c r="X1081" s="658">
        <v>0.18540757837655297</v>
      </c>
      <c r="Y1081" s="659">
        <v>0.96022447201360184</v>
      </c>
      <c r="Z1081" s="658">
        <v>0.28963896283705526</v>
      </c>
      <c r="AA1081" s="659">
        <v>1.3078001515958939</v>
      </c>
      <c r="AB1081" s="658">
        <v>0.11894055067377336</v>
      </c>
      <c r="AC1081" s="660">
        <v>-6.7938110945437849E-2</v>
      </c>
      <c r="AD1081" s="682">
        <v>32812459000186</v>
      </c>
      <c r="AE1081" s="944" t="s">
        <v>1831</v>
      </c>
      <c r="AF1081" s="661" t="s">
        <v>1769</v>
      </c>
      <c r="AG1081" s="662" t="s">
        <v>719</v>
      </c>
      <c r="AH1081" s="662" t="s">
        <v>1730</v>
      </c>
      <c r="AI1081" s="662">
        <v>50000</v>
      </c>
      <c r="AJ1081" s="662">
        <v>10000</v>
      </c>
      <c r="AK1081" s="662">
        <v>10000</v>
      </c>
      <c r="AL1081" s="658">
        <v>0.02</v>
      </c>
      <c r="AM1081" s="658">
        <v>0.2</v>
      </c>
      <c r="AN1081" s="659" t="s">
        <v>64</v>
      </c>
      <c r="AO1081" s="253" t="s">
        <v>34</v>
      </c>
      <c r="AP1081" s="944" t="s">
        <v>1746</v>
      </c>
      <c r="AQ1081" s="663" t="s">
        <v>668</v>
      </c>
      <c r="AR1081" s="658">
        <v>3.3333333333333301E-3</v>
      </c>
      <c r="AS1081" s="658">
        <v>3.3333333333333301E-3</v>
      </c>
      <c r="AT1081" s="658" t="s">
        <v>1417</v>
      </c>
      <c r="AU1081" s="658" t="s">
        <v>2751</v>
      </c>
      <c r="AX1081"/>
      <c r="AY1081"/>
      <c r="BA1081"/>
      <c r="BB1081"/>
      <c r="BC1081"/>
      <c r="BD1081"/>
      <c r="BE1081"/>
      <c r="BF1081"/>
      <c r="BG1081"/>
      <c r="BH1081"/>
      <c r="BI1081"/>
      <c r="BJ1081"/>
      <c r="BR1081"/>
      <c r="BS1081"/>
      <c r="BT1081"/>
      <c r="BU1081"/>
      <c r="BX1081"/>
      <c r="BY1081"/>
      <c r="CA1081"/>
    </row>
    <row r="1082" spans="2:79" ht="18.75">
      <c r="B1082" s="252" t="s">
        <v>305</v>
      </c>
      <c r="C1082" s="251">
        <v>12430199000177</v>
      </c>
      <c r="D1082" s="252" t="s">
        <v>13</v>
      </c>
      <c r="E1082" s="252" t="s">
        <v>616</v>
      </c>
      <c r="F1082" s="252" t="s">
        <v>617</v>
      </c>
      <c r="G1082" s="253" t="s">
        <v>34</v>
      </c>
      <c r="H1082" s="253" t="s">
        <v>1337</v>
      </c>
      <c r="I1082" s="253" t="s">
        <v>34</v>
      </c>
      <c r="J1082" s="253" t="s">
        <v>1417</v>
      </c>
      <c r="K1082" s="253" t="s">
        <v>48</v>
      </c>
      <c r="L1082" s="655"/>
      <c r="M1082" s="655" t="s">
        <v>34</v>
      </c>
      <c r="N1082" s="253" t="s">
        <v>3698</v>
      </c>
      <c r="O1082" s="253" t="s">
        <v>1321</v>
      </c>
      <c r="P1082" s="656">
        <v>40446</v>
      </c>
      <c r="Q1082" s="657">
        <v>293.61486200000002</v>
      </c>
      <c r="R1082" s="657">
        <v>323.85223601639348</v>
      </c>
      <c r="S1082" s="253">
        <v>32</v>
      </c>
      <c r="T1082" s="658">
        <v>7.9415308921473304E-3</v>
      </c>
      <c r="U1082" s="659">
        <v>0.39710871093653871</v>
      </c>
      <c r="V1082" s="658">
        <v>0.16119995723888358</v>
      </c>
      <c r="W1082" s="659">
        <v>1.2501556524110697</v>
      </c>
      <c r="X1082" s="658">
        <v>0.26494452361727006</v>
      </c>
      <c r="Y1082" s="659">
        <v>1.372145720961863</v>
      </c>
      <c r="Z1082" s="658">
        <v>0.30217501740265451</v>
      </c>
      <c r="AA1082" s="659">
        <v>1.3644039106368637</v>
      </c>
      <c r="AB1082" s="658">
        <v>4.4933385249994823E-2</v>
      </c>
      <c r="AC1082" s="660">
        <v>0.71786373567522266</v>
      </c>
      <c r="AD1082" s="682">
        <v>32812338000134</v>
      </c>
      <c r="AE1082" s="944" t="s">
        <v>1831</v>
      </c>
      <c r="AF1082" s="661" t="s">
        <v>1769</v>
      </c>
      <c r="AG1082" s="662" t="s">
        <v>719</v>
      </c>
      <c r="AH1082" s="662" t="s">
        <v>1734</v>
      </c>
      <c r="AI1082" s="662">
        <v>50000</v>
      </c>
      <c r="AJ1082" s="662">
        <v>10000</v>
      </c>
      <c r="AK1082" s="662">
        <v>10000</v>
      </c>
      <c r="AL1082" s="658">
        <v>0.02</v>
      </c>
      <c r="AM1082" s="658">
        <v>0.2</v>
      </c>
      <c r="AN1082" s="659" t="s">
        <v>64</v>
      </c>
      <c r="AO1082" s="253" t="s">
        <v>34</v>
      </c>
      <c r="AP1082" s="944" t="s">
        <v>1746</v>
      </c>
      <c r="AQ1082" s="663" t="s">
        <v>674</v>
      </c>
      <c r="AR1082" s="658">
        <v>4.7999999999999996E-3</v>
      </c>
      <c r="AS1082" s="658">
        <v>4.7999999999999996E-3</v>
      </c>
      <c r="AT1082" s="658" t="s">
        <v>1417</v>
      </c>
      <c r="AU1082" s="658" t="s">
        <v>2751</v>
      </c>
      <c r="AX1082"/>
      <c r="AY1082"/>
      <c r="BA1082"/>
      <c r="BB1082"/>
      <c r="BC1082"/>
      <c r="BD1082"/>
      <c r="BE1082"/>
      <c r="BF1082"/>
      <c r="BG1082"/>
      <c r="BH1082"/>
      <c r="BI1082"/>
      <c r="BJ1082"/>
      <c r="BR1082"/>
      <c r="BS1082"/>
      <c r="BT1082"/>
      <c r="BU1082"/>
      <c r="BX1082"/>
      <c r="BY1082"/>
      <c r="CA1082"/>
    </row>
    <row r="1083" spans="2:79" ht="18.75">
      <c r="B1083" s="252" t="s">
        <v>4522</v>
      </c>
      <c r="C1083" s="251">
        <v>27328750000143</v>
      </c>
      <c r="D1083" s="252" t="s">
        <v>13</v>
      </c>
      <c r="E1083" s="252" t="s">
        <v>615</v>
      </c>
      <c r="F1083" s="252" t="s">
        <v>619</v>
      </c>
      <c r="G1083" s="253" t="s">
        <v>34</v>
      </c>
      <c r="H1083" s="253" t="s">
        <v>1337</v>
      </c>
      <c r="I1083" s="253" t="s">
        <v>34</v>
      </c>
      <c r="J1083" s="253" t="s">
        <v>608</v>
      </c>
      <c r="K1083" s="253" t="s">
        <v>48</v>
      </c>
      <c r="L1083" s="655"/>
      <c r="M1083" s="655" t="s">
        <v>34</v>
      </c>
      <c r="N1083" s="253" t="s">
        <v>4523</v>
      </c>
      <c r="O1083" s="253" t="s">
        <v>1321</v>
      </c>
      <c r="P1083" s="656">
        <v>42873</v>
      </c>
      <c r="Q1083" s="657">
        <v>48.006320000000002</v>
      </c>
      <c r="R1083" s="657">
        <v>47.982327999999995</v>
      </c>
      <c r="S1083" s="253">
        <v>3</v>
      </c>
      <c r="T1083" s="658">
        <v>5.3309983537472849E-3</v>
      </c>
      <c r="U1083" s="659">
        <v>0.2665715103311746</v>
      </c>
      <c r="V1083" s="658">
        <v>5.3309983537472849E-3</v>
      </c>
      <c r="W1083" s="659">
        <v>4.1343545240864928E-2</v>
      </c>
      <c r="X1083" s="658">
        <v>5.3309983537472849E-3</v>
      </c>
      <c r="Y1083" s="659">
        <v>2.7609200898660358E-2</v>
      </c>
      <c r="Z1083" s="658">
        <v>5.3309983537472849E-3</v>
      </c>
      <c r="AA1083" s="659">
        <v>2.4070934334585337E-2</v>
      </c>
      <c r="AB1083" s="658">
        <v>4.5998917975997561E-2</v>
      </c>
      <c r="AC1083" s="660">
        <v>-2.6873004090562049</v>
      </c>
      <c r="AD1083" s="682">
        <v>27328766000156</v>
      </c>
      <c r="AE1083" s="944" t="s">
        <v>1831</v>
      </c>
      <c r="AF1083" s="661" t="s">
        <v>1769</v>
      </c>
      <c r="AG1083" s="662" t="s">
        <v>719</v>
      </c>
      <c r="AH1083" s="662" t="s">
        <v>2119</v>
      </c>
      <c r="AI1083" s="662">
        <v>0</v>
      </c>
      <c r="AJ1083" s="662">
        <v>0</v>
      </c>
      <c r="AK1083" s="662">
        <v>0</v>
      </c>
      <c r="AL1083" s="658">
        <v>0.02</v>
      </c>
      <c r="AM1083" s="658">
        <v>0</v>
      </c>
      <c r="AN1083" s="659" t="s">
        <v>64</v>
      </c>
      <c r="AO1083" s="253" t="s">
        <v>4397</v>
      </c>
      <c r="AP1083" s="944" t="s">
        <v>1746</v>
      </c>
      <c r="AQ1083" s="663" t="s">
        <v>2177</v>
      </c>
      <c r="AR1083" s="658">
        <v>0</v>
      </c>
      <c r="AS1083" s="658">
        <v>0</v>
      </c>
      <c r="AT1083" s="658" t="s">
        <v>1417</v>
      </c>
      <c r="AU1083" s="658" t="s">
        <v>2751</v>
      </c>
      <c r="AX1083"/>
      <c r="AY1083"/>
      <c r="BA1083"/>
      <c r="BB1083"/>
      <c r="BC1083"/>
      <c r="BD1083"/>
      <c r="BE1083"/>
      <c r="BF1083"/>
      <c r="BG1083"/>
      <c r="BH1083"/>
      <c r="BI1083"/>
      <c r="BJ1083"/>
      <c r="BR1083"/>
      <c r="BS1083"/>
      <c r="BT1083"/>
      <c r="BU1083"/>
      <c r="BX1083"/>
      <c r="BY1083"/>
      <c r="CA1083"/>
    </row>
    <row r="1084" spans="2:79" ht="18.75">
      <c r="B1084" s="252" t="s">
        <v>4524</v>
      </c>
      <c r="C1084" s="251">
        <v>37821575000185</v>
      </c>
      <c r="D1084" s="252" t="s">
        <v>11</v>
      </c>
      <c r="E1084" s="252" t="s">
        <v>1417</v>
      </c>
      <c r="F1084" s="252" t="s">
        <v>1417</v>
      </c>
      <c r="G1084" s="253" t="s">
        <v>1417</v>
      </c>
      <c r="H1084" s="253" t="s">
        <v>1417</v>
      </c>
      <c r="I1084" s="253" t="s">
        <v>1417</v>
      </c>
      <c r="J1084" s="253" t="s">
        <v>1417</v>
      </c>
      <c r="K1084" s="253" t="s">
        <v>1417</v>
      </c>
      <c r="L1084" s="655"/>
      <c r="M1084" s="655" t="s">
        <v>34</v>
      </c>
      <c r="N1084" s="253" t="s">
        <v>4525</v>
      </c>
      <c r="O1084" s="253" t="s">
        <v>1321</v>
      </c>
      <c r="P1084" s="656">
        <v>44155</v>
      </c>
      <c r="Q1084" s="657">
        <v>20.558377409999999</v>
      </c>
      <c r="R1084" s="657">
        <v>20.354753355</v>
      </c>
      <c r="S1084" s="253">
        <v>24</v>
      </c>
      <c r="T1084" s="658">
        <v>5.3277284310087047E-3</v>
      </c>
      <c r="U1084" s="659">
        <v>0.26640800094977013</v>
      </c>
      <c r="V1084" s="658">
        <v>5.3277284310087047E-3</v>
      </c>
      <c r="W1084" s="659">
        <v>4.1318185976107029E-2</v>
      </c>
      <c r="X1084" s="658">
        <v>5.3277284310087047E-3</v>
      </c>
      <c r="Y1084" s="659">
        <v>2.7592265993071973E-2</v>
      </c>
      <c r="Z1084" s="658"/>
      <c r="AA1084" s="659"/>
      <c r="AB1084" s="658">
        <v>4.5998085099091687E-2</v>
      </c>
      <c r="AC1084" s="660">
        <v>-2.6874201556321018</v>
      </c>
      <c r="AD1084" s="682">
        <v>27328766000156</v>
      </c>
      <c r="AE1084" s="944" t="s">
        <v>1831</v>
      </c>
      <c r="AF1084" s="661" t="s">
        <v>1769</v>
      </c>
      <c r="AG1084" s="662" t="s">
        <v>719</v>
      </c>
      <c r="AH1084" s="662" t="s">
        <v>2119</v>
      </c>
      <c r="AI1084" s="662">
        <v>0</v>
      </c>
      <c r="AJ1084" s="662">
        <v>0</v>
      </c>
      <c r="AK1084" s="662">
        <v>0</v>
      </c>
      <c r="AL1084" s="658">
        <v>0.02</v>
      </c>
      <c r="AM1084" s="658">
        <v>0</v>
      </c>
      <c r="AN1084" s="659" t="s">
        <v>2122</v>
      </c>
      <c r="AO1084" s="253" t="s">
        <v>4397</v>
      </c>
      <c r="AP1084" s="944" t="s">
        <v>1746</v>
      </c>
      <c r="AQ1084" s="663" t="s">
        <v>2177</v>
      </c>
      <c r="AR1084" s="658">
        <v>0</v>
      </c>
      <c r="AS1084" s="658">
        <v>0</v>
      </c>
      <c r="AT1084" s="658" t="s">
        <v>1417</v>
      </c>
      <c r="AU1084" s="658" t="s">
        <v>2751</v>
      </c>
      <c r="AX1084"/>
      <c r="AY1084"/>
      <c r="BA1084"/>
      <c r="BB1084"/>
      <c r="BC1084"/>
      <c r="BD1084"/>
      <c r="BE1084"/>
      <c r="BF1084"/>
      <c r="BG1084"/>
      <c r="BH1084"/>
      <c r="BI1084"/>
      <c r="BJ1084"/>
      <c r="BR1084"/>
      <c r="BS1084"/>
      <c r="BT1084"/>
      <c r="BU1084"/>
      <c r="BX1084"/>
      <c r="BY1084"/>
      <c r="CA1084"/>
    </row>
    <row r="1085" spans="2:79" ht="18.75">
      <c r="B1085" s="252" t="s">
        <v>306</v>
      </c>
      <c r="C1085" s="251">
        <v>17759778000181</v>
      </c>
      <c r="D1085" s="252" t="s">
        <v>14</v>
      </c>
      <c r="E1085" s="252" t="s">
        <v>607</v>
      </c>
      <c r="F1085" s="252" t="s">
        <v>1417</v>
      </c>
      <c r="G1085" s="253" t="s">
        <v>1417</v>
      </c>
      <c r="H1085" s="253" t="s">
        <v>34</v>
      </c>
      <c r="I1085" s="253" t="s">
        <v>34</v>
      </c>
      <c r="J1085" s="253" t="s">
        <v>608</v>
      </c>
      <c r="K1085" s="253" t="s">
        <v>48</v>
      </c>
      <c r="L1085" s="655"/>
      <c r="M1085" s="655" t="s">
        <v>34</v>
      </c>
      <c r="N1085" s="253" t="s">
        <v>3700</v>
      </c>
      <c r="O1085" s="253" t="s">
        <v>1321</v>
      </c>
      <c r="P1085" s="656">
        <v>41388</v>
      </c>
      <c r="Q1085" s="657">
        <v>40.066249999999997</v>
      </c>
      <c r="R1085" s="657">
        <v>57.621058379032235</v>
      </c>
      <c r="S1085" s="253">
        <v>32</v>
      </c>
      <c r="T1085" s="658">
        <v>-1.2606461370068045E-2</v>
      </c>
      <c r="U1085" s="659">
        <v>-0.63037412963904893</v>
      </c>
      <c r="V1085" s="658">
        <v>-2.5190154053563729E-3</v>
      </c>
      <c r="W1085" s="659">
        <v>-1.9535745551408943E-2</v>
      </c>
      <c r="X1085" s="658">
        <v>1.9863079519539362E-2</v>
      </c>
      <c r="Y1085" s="659">
        <v>0.10287074137540154</v>
      </c>
      <c r="Z1085" s="658">
        <v>-7.5982825550256927E-2</v>
      </c>
      <c r="AA1085" s="659">
        <v>-0.34308350575476276</v>
      </c>
      <c r="AB1085" s="658">
        <v>0.18132284679866076</v>
      </c>
      <c r="AC1085" s="660">
        <v>-0.72502129308679986</v>
      </c>
      <c r="AD1085" s="682">
        <v>0</v>
      </c>
      <c r="AE1085" s="944" t="s">
        <v>1915</v>
      </c>
      <c r="AF1085" s="661" t="s">
        <v>1745</v>
      </c>
      <c r="AG1085" s="662" t="s">
        <v>1432</v>
      </c>
      <c r="AH1085" s="662" t="s">
        <v>1734</v>
      </c>
      <c r="AI1085" s="662">
        <v>1000</v>
      </c>
      <c r="AJ1085" s="662">
        <v>1000</v>
      </c>
      <c r="AK1085" s="662">
        <v>100</v>
      </c>
      <c r="AL1085" s="658">
        <v>0.02</v>
      </c>
      <c r="AM1085" s="658">
        <v>0.2</v>
      </c>
      <c r="AN1085" s="659" t="s">
        <v>34</v>
      </c>
      <c r="AO1085" s="253" t="s">
        <v>34</v>
      </c>
      <c r="AP1085" s="944" t="s">
        <v>1731</v>
      </c>
      <c r="AQ1085" s="663" t="s">
        <v>659</v>
      </c>
      <c r="AR1085" s="658">
        <v>6.0000000000000001E-3</v>
      </c>
      <c r="AS1085" s="658">
        <v>6.0000000000000001E-3</v>
      </c>
      <c r="AT1085" s="658" t="s">
        <v>1417</v>
      </c>
      <c r="AU1085" s="658" t="s">
        <v>2751</v>
      </c>
      <c r="AX1085"/>
      <c r="AY1085"/>
      <c r="BA1085"/>
      <c r="BB1085"/>
      <c r="BC1085"/>
      <c r="BD1085"/>
      <c r="BE1085"/>
      <c r="BF1085"/>
      <c r="BG1085"/>
      <c r="BH1085"/>
      <c r="BI1085"/>
      <c r="BJ1085"/>
      <c r="BR1085"/>
      <c r="BS1085"/>
      <c r="BT1085"/>
      <c r="BU1085"/>
      <c r="BX1085"/>
      <c r="BY1085"/>
      <c r="CA1085"/>
    </row>
    <row r="1086" spans="2:79" ht="18.75">
      <c r="B1086" s="252" t="s">
        <v>1085</v>
      </c>
      <c r="C1086" s="251">
        <v>30910057000199</v>
      </c>
      <c r="D1086" s="252" t="s">
        <v>13</v>
      </c>
      <c r="E1086" s="252" t="s">
        <v>616</v>
      </c>
      <c r="F1086" s="252" t="s">
        <v>617</v>
      </c>
      <c r="G1086" s="253" t="s">
        <v>34</v>
      </c>
      <c r="H1086" s="253" t="s">
        <v>1338</v>
      </c>
      <c r="I1086" s="253" t="s">
        <v>34</v>
      </c>
      <c r="J1086" s="253" t="s">
        <v>608</v>
      </c>
      <c r="K1086" s="253" t="s">
        <v>48</v>
      </c>
      <c r="L1086" s="655"/>
      <c r="M1086" s="655" t="s">
        <v>34</v>
      </c>
      <c r="N1086" s="253" t="s">
        <v>3701</v>
      </c>
      <c r="O1086" s="253" t="s">
        <v>1321</v>
      </c>
      <c r="P1086" s="656">
        <v>43334</v>
      </c>
      <c r="Q1086" s="657">
        <v>5.20254102</v>
      </c>
      <c r="R1086" s="657">
        <v>12.328487878299587</v>
      </c>
      <c r="S1086" s="253">
        <v>32</v>
      </c>
      <c r="T1086" s="658">
        <v>-1.5387363724120084E-2</v>
      </c>
      <c r="U1086" s="659">
        <v>-0.76943051109189387</v>
      </c>
      <c r="V1086" s="658">
        <v>4.8676056297031423E-2</v>
      </c>
      <c r="W1086" s="659">
        <v>0.37749790979556663</v>
      </c>
      <c r="X1086" s="658">
        <v>9.2350048349677083E-2</v>
      </c>
      <c r="Y1086" s="659">
        <v>0.4782802148297382</v>
      </c>
      <c r="Z1086" s="658">
        <v>-0.13766404217089423</v>
      </c>
      <c r="AA1086" s="659">
        <v>-0.62159128542966102</v>
      </c>
      <c r="AB1086" s="658">
        <v>0.16915929323197523</v>
      </c>
      <c r="AC1086" s="660">
        <v>-0.47451045470899583</v>
      </c>
      <c r="AD1086" s="682">
        <v>0</v>
      </c>
      <c r="AE1086" s="944" t="s">
        <v>1915</v>
      </c>
      <c r="AF1086" s="661" t="s">
        <v>1745</v>
      </c>
      <c r="AG1086" s="662" t="s">
        <v>1432</v>
      </c>
      <c r="AH1086" s="662" t="s">
        <v>1734</v>
      </c>
      <c r="AI1086" s="662">
        <v>1000</v>
      </c>
      <c r="AJ1086" s="662">
        <v>1000</v>
      </c>
      <c r="AK1086" s="662">
        <v>100</v>
      </c>
      <c r="AL1086" s="658">
        <v>0.02</v>
      </c>
      <c r="AM1086" s="658">
        <v>0.2</v>
      </c>
      <c r="AN1086" s="659" t="s">
        <v>64</v>
      </c>
      <c r="AO1086" s="253" t="s">
        <v>34</v>
      </c>
      <c r="AP1086" s="944" t="s">
        <v>1746</v>
      </c>
      <c r="AQ1086" s="663" t="s">
        <v>674</v>
      </c>
      <c r="AR1086" s="658">
        <v>5.3333333333333297E-3</v>
      </c>
      <c r="AS1086" s="658">
        <v>5.3333333333333297E-3</v>
      </c>
      <c r="AT1086" s="658" t="s">
        <v>1417</v>
      </c>
      <c r="AU1086" s="658" t="s">
        <v>2751</v>
      </c>
      <c r="AX1086"/>
      <c r="AY1086"/>
      <c r="BA1086"/>
      <c r="BB1086"/>
      <c r="BC1086"/>
      <c r="BD1086"/>
      <c r="BE1086"/>
      <c r="BF1086"/>
      <c r="BG1086"/>
      <c r="BH1086"/>
      <c r="BI1086"/>
      <c r="BJ1086"/>
      <c r="BR1086"/>
      <c r="BS1086"/>
      <c r="BT1086"/>
      <c r="BU1086"/>
      <c r="BX1086"/>
      <c r="BY1086"/>
      <c r="CA1086"/>
    </row>
    <row r="1087" spans="2:79" ht="18.75">
      <c r="B1087" s="252" t="s">
        <v>525</v>
      </c>
      <c r="C1087" s="251">
        <v>41287460000120</v>
      </c>
      <c r="D1087" s="252" t="s">
        <v>13</v>
      </c>
      <c r="E1087" s="252" t="s">
        <v>616</v>
      </c>
      <c r="F1087" s="252" t="s">
        <v>617</v>
      </c>
      <c r="G1087" s="253" t="s">
        <v>34</v>
      </c>
      <c r="H1087" s="253" t="s">
        <v>1338</v>
      </c>
      <c r="I1087" s="253" t="s">
        <v>34</v>
      </c>
      <c r="J1087" s="253" t="s">
        <v>608</v>
      </c>
      <c r="K1087" s="253" t="s">
        <v>48</v>
      </c>
      <c r="L1087" s="655"/>
      <c r="M1087" s="655" t="s">
        <v>34</v>
      </c>
      <c r="N1087" s="253" t="s">
        <v>3702</v>
      </c>
      <c r="O1087" s="253" t="s">
        <v>1321</v>
      </c>
      <c r="P1087" s="656">
        <v>44301</v>
      </c>
      <c r="Q1087" s="657">
        <v>0</v>
      </c>
      <c r="R1087" s="657">
        <v>0</v>
      </c>
      <c r="S1087" s="253">
        <v>17</v>
      </c>
      <c r="T1087" s="658"/>
      <c r="U1087" s="659"/>
      <c r="V1087" s="658"/>
      <c r="W1087" s="659"/>
      <c r="X1087" s="658"/>
      <c r="Y1087" s="659"/>
      <c r="Z1087" s="658"/>
      <c r="AA1087" s="659"/>
      <c r="AB1087" s="658"/>
      <c r="AC1087" s="660"/>
      <c r="AD1087" s="682">
        <v>0</v>
      </c>
      <c r="AE1087" s="944" t="s">
        <v>1915</v>
      </c>
      <c r="AF1087" s="661" t="s">
        <v>1745</v>
      </c>
      <c r="AG1087" s="662" t="s">
        <v>1432</v>
      </c>
      <c r="AH1087" s="662" t="s">
        <v>1734</v>
      </c>
      <c r="AI1087" s="662">
        <v>100</v>
      </c>
      <c r="AJ1087" s="662">
        <v>100</v>
      </c>
      <c r="AK1087" s="662">
        <v>0</v>
      </c>
      <c r="AL1087" s="658">
        <v>0.02</v>
      </c>
      <c r="AM1087" s="658">
        <v>0.2</v>
      </c>
      <c r="AN1087" s="659" t="s">
        <v>34</v>
      </c>
      <c r="AO1087" s="253" t="s">
        <v>34</v>
      </c>
      <c r="AP1087" s="944" t="s">
        <v>1731</v>
      </c>
      <c r="AQ1087" s="663" t="s">
        <v>659</v>
      </c>
      <c r="AR1087" s="658">
        <v>5.3333333333333297E-3</v>
      </c>
      <c r="AS1087" s="658">
        <v>5.3333333333333297E-3</v>
      </c>
      <c r="AT1087" s="658" t="s">
        <v>1417</v>
      </c>
      <c r="AU1087" s="658" t="s">
        <v>2751</v>
      </c>
      <c r="AX1087"/>
      <c r="AY1087"/>
      <c r="BA1087"/>
      <c r="BB1087"/>
      <c r="BC1087"/>
      <c r="BD1087"/>
      <c r="BE1087"/>
      <c r="BF1087"/>
      <c r="BG1087"/>
      <c r="BH1087"/>
      <c r="BI1087"/>
      <c r="BJ1087"/>
      <c r="BR1087"/>
      <c r="BS1087"/>
      <c r="BT1087"/>
      <c r="BU1087"/>
      <c r="BX1087"/>
      <c r="BY1087"/>
      <c r="CA1087"/>
    </row>
    <row r="1088" spans="2:79" ht="18.75">
      <c r="B1088" s="252" t="s">
        <v>1086</v>
      </c>
      <c r="C1088" s="251">
        <v>39731692000183</v>
      </c>
      <c r="D1088" s="252" t="s">
        <v>14</v>
      </c>
      <c r="E1088" s="252" t="s">
        <v>607</v>
      </c>
      <c r="F1088" s="252" t="s">
        <v>1417</v>
      </c>
      <c r="G1088" s="253" t="s">
        <v>1417</v>
      </c>
      <c r="H1088" s="253" t="s">
        <v>34</v>
      </c>
      <c r="I1088" s="253" t="s">
        <v>34</v>
      </c>
      <c r="J1088" s="253" t="s">
        <v>608</v>
      </c>
      <c r="K1088" s="253" t="s">
        <v>48</v>
      </c>
      <c r="L1088" s="655"/>
      <c r="M1088" s="655" t="s">
        <v>1414</v>
      </c>
      <c r="N1088" s="253" t="s">
        <v>3703</v>
      </c>
      <c r="O1088" s="253" t="s">
        <v>1321</v>
      </c>
      <c r="P1088" s="656">
        <v>44154</v>
      </c>
      <c r="Q1088" s="657">
        <v>7.60578384</v>
      </c>
      <c r="R1088" s="657">
        <v>7.7922075512449815</v>
      </c>
      <c r="S1088" s="253">
        <v>3</v>
      </c>
      <c r="T1088" s="658">
        <v>-2.3059632035489663E-2</v>
      </c>
      <c r="U1088" s="659">
        <v>-1.15307500237</v>
      </c>
      <c r="V1088" s="658">
        <v>-0.1580952624893045</v>
      </c>
      <c r="W1088" s="659">
        <v>-1.2260777819408843</v>
      </c>
      <c r="X1088" s="658">
        <v>-0.28759734526289704</v>
      </c>
      <c r="Y1088" s="659">
        <v>-1.4894645160982394</v>
      </c>
      <c r="Z1088" s="658"/>
      <c r="AA1088" s="659"/>
      <c r="AB1088" s="658">
        <v>0.24266999075126586</v>
      </c>
      <c r="AC1088" s="660">
        <v>-1.1828375278190246</v>
      </c>
      <c r="AD1088" s="682">
        <v>0</v>
      </c>
      <c r="AE1088" s="944" t="s">
        <v>2035</v>
      </c>
      <c r="AF1088" s="661" t="s">
        <v>1745</v>
      </c>
      <c r="AG1088" s="662" t="s">
        <v>1432</v>
      </c>
      <c r="AH1088" s="662" t="s">
        <v>1734</v>
      </c>
      <c r="AI1088" s="662">
        <v>1000</v>
      </c>
      <c r="AJ1088" s="662">
        <v>1000</v>
      </c>
      <c r="AK1088" s="662">
        <v>1000</v>
      </c>
      <c r="AL1088" s="658">
        <v>1.46E-2</v>
      </c>
      <c r="AM1088" s="658">
        <v>0.2</v>
      </c>
      <c r="AN1088" s="659" t="s">
        <v>34</v>
      </c>
      <c r="AO1088" s="253" t="s">
        <v>34</v>
      </c>
      <c r="AP1088" s="944" t="s">
        <v>1746</v>
      </c>
      <c r="AQ1088" s="663" t="s">
        <v>668</v>
      </c>
      <c r="AR1088" s="658">
        <v>0</v>
      </c>
      <c r="AS1088" s="658">
        <v>0</v>
      </c>
      <c r="AT1088" s="658" t="s">
        <v>1417</v>
      </c>
      <c r="AU1088" s="658" t="s">
        <v>2751</v>
      </c>
      <c r="AX1088"/>
      <c r="AY1088"/>
      <c r="BA1088"/>
      <c r="BB1088"/>
      <c r="BC1088"/>
      <c r="BD1088"/>
      <c r="BE1088"/>
      <c r="BF1088"/>
      <c r="BG1088"/>
      <c r="BH1088"/>
      <c r="BI1088"/>
      <c r="BJ1088"/>
      <c r="BR1088"/>
      <c r="BS1088"/>
      <c r="BT1088"/>
      <c r="BU1088"/>
      <c r="BX1088"/>
      <c r="BY1088"/>
      <c r="CA1088"/>
    </row>
    <row r="1089" spans="2:79" ht="18.75">
      <c r="B1089" s="252" t="s">
        <v>1087</v>
      </c>
      <c r="C1089" s="251">
        <v>31922843000179</v>
      </c>
      <c r="D1089" s="252" t="s">
        <v>13</v>
      </c>
      <c r="E1089" s="252" t="s">
        <v>616</v>
      </c>
      <c r="F1089" s="252" t="s">
        <v>617</v>
      </c>
      <c r="G1089" s="253" t="s">
        <v>34</v>
      </c>
      <c r="H1089" s="253" t="s">
        <v>865</v>
      </c>
      <c r="I1089" s="253" t="s">
        <v>34</v>
      </c>
      <c r="J1089" s="253" t="s">
        <v>608</v>
      </c>
      <c r="K1089" s="253" t="s">
        <v>48</v>
      </c>
      <c r="L1089" s="655"/>
      <c r="M1089" s="655" t="s">
        <v>1414</v>
      </c>
      <c r="N1089" s="253" t="s">
        <v>3705</v>
      </c>
      <c r="O1089" s="253" t="s">
        <v>1321</v>
      </c>
      <c r="P1089" s="656">
        <v>43434</v>
      </c>
      <c r="Q1089" s="657">
        <v>26.343752160000001</v>
      </c>
      <c r="R1089" s="657">
        <v>25.937814836626515</v>
      </c>
      <c r="S1089" s="253">
        <v>32</v>
      </c>
      <c r="T1089" s="658">
        <v>1.9693046786006363E-2</v>
      </c>
      <c r="U1089" s="659">
        <v>0.98473210389909949</v>
      </c>
      <c r="V1089" s="658">
        <v>0.12934409171067895</v>
      </c>
      <c r="W1089" s="659">
        <v>1.003103537542855</v>
      </c>
      <c r="X1089" s="658">
        <v>0.20191431888660727</v>
      </c>
      <c r="Y1089" s="659">
        <v>1.0457127585751229</v>
      </c>
      <c r="Z1089" s="658">
        <v>0.26767031611470227</v>
      </c>
      <c r="AA1089" s="659">
        <v>1.2086056259960591</v>
      </c>
      <c r="AB1089" s="658">
        <v>4.8575969140450273E-2</v>
      </c>
      <c r="AC1089" s="660">
        <v>8.2382764764514435E-3</v>
      </c>
      <c r="AD1089" s="682">
        <v>30658578000109</v>
      </c>
      <c r="AE1089" s="944" t="s">
        <v>1793</v>
      </c>
      <c r="AF1089" s="661" t="s">
        <v>1767</v>
      </c>
      <c r="AG1089" s="662" t="s">
        <v>59</v>
      </c>
      <c r="AH1089" s="662" t="s">
        <v>1734</v>
      </c>
      <c r="AI1089" s="662">
        <v>1000</v>
      </c>
      <c r="AJ1089" s="662">
        <v>1000</v>
      </c>
      <c r="AK1089" s="662">
        <v>1000</v>
      </c>
      <c r="AL1089" s="658">
        <v>0.02</v>
      </c>
      <c r="AM1089" s="658">
        <v>0.2</v>
      </c>
      <c r="AN1089" s="659" t="s">
        <v>64</v>
      </c>
      <c r="AO1089" s="253" t="s">
        <v>34</v>
      </c>
      <c r="AP1089" s="944" t="s">
        <v>1746</v>
      </c>
      <c r="AQ1089" s="663" t="s">
        <v>674</v>
      </c>
      <c r="AR1089" s="658">
        <v>0</v>
      </c>
      <c r="AS1089" s="658">
        <v>0</v>
      </c>
      <c r="AT1089" s="658" t="s">
        <v>1417</v>
      </c>
      <c r="AU1089" s="658" t="s">
        <v>2751</v>
      </c>
      <c r="AX1089"/>
      <c r="AY1089"/>
      <c r="BA1089"/>
      <c r="BB1089"/>
      <c r="BC1089"/>
      <c r="BD1089"/>
      <c r="BE1089"/>
      <c r="BF1089"/>
      <c r="BG1089"/>
      <c r="BH1089"/>
      <c r="BI1089"/>
      <c r="BJ1089"/>
      <c r="BR1089"/>
      <c r="BS1089"/>
      <c r="BT1089"/>
      <c r="BU1089"/>
      <c r="BX1089"/>
      <c r="BY1089"/>
      <c r="CA1089"/>
    </row>
    <row r="1090" spans="2:79" ht="18.75">
      <c r="B1090" s="252" t="s">
        <v>1088</v>
      </c>
      <c r="C1090" s="251">
        <v>16816153000141</v>
      </c>
      <c r="D1090" s="252" t="s">
        <v>14</v>
      </c>
      <c r="E1090" s="252" t="s">
        <v>607</v>
      </c>
      <c r="F1090" s="252" t="s">
        <v>1417</v>
      </c>
      <c r="G1090" s="253" t="s">
        <v>1417</v>
      </c>
      <c r="H1090" s="253" t="s">
        <v>34</v>
      </c>
      <c r="I1090" s="253" t="s">
        <v>34</v>
      </c>
      <c r="J1090" s="253" t="s">
        <v>608</v>
      </c>
      <c r="K1090" s="253" t="s">
        <v>48</v>
      </c>
      <c r="L1090" s="655"/>
      <c r="M1090" s="655" t="s">
        <v>1414</v>
      </c>
      <c r="N1090" s="253" t="s">
        <v>3706</v>
      </c>
      <c r="O1090" s="253" t="s">
        <v>1321</v>
      </c>
      <c r="P1090" s="656">
        <v>41215</v>
      </c>
      <c r="Q1090" s="657">
        <v>337.398031</v>
      </c>
      <c r="R1090" s="657">
        <v>402.91478271887547</v>
      </c>
      <c r="S1090" s="253">
        <v>184</v>
      </c>
      <c r="T1090" s="658">
        <v>-2.0109563940145514E-2</v>
      </c>
      <c r="U1090" s="659">
        <v>-1.0055596486646441</v>
      </c>
      <c r="V1090" s="658">
        <v>-0.36251664326947586</v>
      </c>
      <c r="W1090" s="659">
        <v>-2.8114289757832776</v>
      </c>
      <c r="X1090" s="658">
        <v>-0.34622582175994487</v>
      </c>
      <c r="Y1090" s="659">
        <v>-1.7931009606399206</v>
      </c>
      <c r="Z1090" s="658">
        <v>-0.28748618842626505</v>
      </c>
      <c r="AA1090" s="659">
        <v>-1.2980797787800062</v>
      </c>
      <c r="AB1090" s="658">
        <v>0.3312045437987311</v>
      </c>
      <c r="AC1090" s="660">
        <v>-1.4838581230785248</v>
      </c>
      <c r="AD1090" s="682">
        <v>29994412000176</v>
      </c>
      <c r="AE1090" s="944" t="s">
        <v>1865</v>
      </c>
      <c r="AF1090" s="661" t="s">
        <v>1767</v>
      </c>
      <c r="AG1090" s="662" t="s">
        <v>59</v>
      </c>
      <c r="AH1090" s="662" t="s">
        <v>1730</v>
      </c>
      <c r="AI1090" s="662">
        <v>25000</v>
      </c>
      <c r="AJ1090" s="662">
        <v>1000</v>
      </c>
      <c r="AK1090" s="662">
        <v>1000</v>
      </c>
      <c r="AL1090" s="658">
        <v>0</v>
      </c>
      <c r="AM1090" s="658">
        <v>0.3</v>
      </c>
      <c r="AN1090" s="659" t="s">
        <v>1428</v>
      </c>
      <c r="AO1090" s="253" t="s">
        <v>34</v>
      </c>
      <c r="AP1090" s="944" t="s">
        <v>1731</v>
      </c>
      <c r="AQ1090" s="663" t="s">
        <v>659</v>
      </c>
      <c r="AR1090" s="658">
        <v>0</v>
      </c>
      <c r="AS1090" s="658">
        <v>0</v>
      </c>
      <c r="AT1090" s="658" t="s">
        <v>1417</v>
      </c>
      <c r="AU1090" s="658" t="s">
        <v>2751</v>
      </c>
      <c r="AX1090"/>
      <c r="AY1090"/>
      <c r="BA1090"/>
      <c r="BB1090"/>
      <c r="BC1090"/>
      <c r="BD1090"/>
      <c r="BE1090"/>
      <c r="BF1090"/>
      <c r="BG1090"/>
      <c r="BH1090"/>
      <c r="BI1090"/>
      <c r="BJ1090"/>
      <c r="BR1090"/>
      <c r="BS1090"/>
      <c r="BT1090"/>
      <c r="BU1090"/>
      <c r="BX1090"/>
      <c r="BY1090"/>
      <c r="CA1090"/>
    </row>
    <row r="1091" spans="2:79" ht="18.75">
      <c r="B1091" s="252" t="s">
        <v>307</v>
      </c>
      <c r="C1091" s="251">
        <v>29994491000115</v>
      </c>
      <c r="D1091" s="252" t="s">
        <v>14</v>
      </c>
      <c r="E1091" s="252" t="s">
        <v>607</v>
      </c>
      <c r="F1091" s="252" t="s">
        <v>1417</v>
      </c>
      <c r="G1091" s="253" t="s">
        <v>1417</v>
      </c>
      <c r="H1091" s="253" t="s">
        <v>34</v>
      </c>
      <c r="I1091" s="253" t="s">
        <v>34</v>
      </c>
      <c r="J1091" s="253" t="s">
        <v>608</v>
      </c>
      <c r="K1091" s="253" t="s">
        <v>48</v>
      </c>
      <c r="L1091" s="655"/>
      <c r="M1091" s="655" t="s">
        <v>34</v>
      </c>
      <c r="N1091" s="253" t="s">
        <v>3707</v>
      </c>
      <c r="O1091" s="253" t="s">
        <v>1324</v>
      </c>
      <c r="P1091" s="656">
        <v>43453</v>
      </c>
      <c r="Q1091" s="657">
        <v>0</v>
      </c>
      <c r="R1091" s="657">
        <v>0</v>
      </c>
      <c r="S1091" s="253">
        <v>63</v>
      </c>
      <c r="T1091" s="658"/>
      <c r="U1091" s="659"/>
      <c r="V1091" s="658"/>
      <c r="W1091" s="659"/>
      <c r="X1091" s="658"/>
      <c r="Y1091" s="659"/>
      <c r="Z1091" s="658"/>
      <c r="AA1091" s="659"/>
      <c r="AB1091" s="658"/>
      <c r="AC1091" s="660"/>
      <c r="AD1091" s="682">
        <v>29994412000176</v>
      </c>
      <c r="AE1091" s="944" t="s">
        <v>1865</v>
      </c>
      <c r="AF1091" s="661" t="s">
        <v>1767</v>
      </c>
      <c r="AG1091" s="662" t="s">
        <v>59</v>
      </c>
      <c r="AH1091" s="662" t="s">
        <v>1734</v>
      </c>
      <c r="AI1091" s="662">
        <v>25000</v>
      </c>
      <c r="AJ1091" s="662">
        <v>1000</v>
      </c>
      <c r="AK1091" s="662">
        <v>1000</v>
      </c>
      <c r="AL1091" s="658">
        <v>0.02</v>
      </c>
      <c r="AM1091" s="658">
        <v>0.2</v>
      </c>
      <c r="AN1091" s="659" t="s">
        <v>666</v>
      </c>
      <c r="AO1091" s="253" t="s">
        <v>34</v>
      </c>
      <c r="AP1091" s="944" t="s">
        <v>1731</v>
      </c>
      <c r="AQ1091" s="663" t="s">
        <v>659</v>
      </c>
      <c r="AR1091" s="658">
        <v>5.3333333333333297E-3</v>
      </c>
      <c r="AS1091" s="658">
        <v>5.3333333333333297E-3</v>
      </c>
      <c r="AT1091" s="658" t="s">
        <v>1417</v>
      </c>
      <c r="AU1091" s="658" t="s">
        <v>2751</v>
      </c>
      <c r="AX1091"/>
      <c r="AY1091"/>
      <c r="BA1091"/>
      <c r="BB1091"/>
      <c r="BC1091"/>
      <c r="BD1091"/>
      <c r="BE1091"/>
      <c r="BF1091"/>
      <c r="BG1091"/>
      <c r="BH1091"/>
      <c r="BI1091"/>
      <c r="BJ1091"/>
      <c r="BR1091"/>
      <c r="BS1091"/>
      <c r="BT1091"/>
      <c r="BU1091"/>
      <c r="BX1091"/>
      <c r="BY1091"/>
      <c r="CA1091"/>
    </row>
    <row r="1092" spans="2:79" ht="18.75">
      <c r="B1092" s="252" t="s">
        <v>1089</v>
      </c>
      <c r="C1092" s="251">
        <v>8771538000101</v>
      </c>
      <c r="D1092" s="252" t="s">
        <v>13</v>
      </c>
      <c r="E1092" s="252" t="s">
        <v>616</v>
      </c>
      <c r="F1092" s="252" t="s">
        <v>619</v>
      </c>
      <c r="G1092" s="253" t="s">
        <v>34</v>
      </c>
      <c r="H1092" s="253" t="s">
        <v>865</v>
      </c>
      <c r="I1092" s="253" t="s">
        <v>34</v>
      </c>
      <c r="J1092" s="253" t="s">
        <v>1417</v>
      </c>
      <c r="K1092" s="253" t="s">
        <v>48</v>
      </c>
      <c r="L1092" s="655"/>
      <c r="M1092" s="655" t="s">
        <v>34</v>
      </c>
      <c r="N1092" s="253" t="s">
        <v>3708</v>
      </c>
      <c r="O1092" s="253" t="s">
        <v>1321</v>
      </c>
      <c r="P1092" s="656">
        <v>39324</v>
      </c>
      <c r="Q1092" s="657">
        <v>463.67230799999999</v>
      </c>
      <c r="R1092" s="657">
        <v>420.91408921862347</v>
      </c>
      <c r="S1092" s="253">
        <v>31</v>
      </c>
      <c r="T1092" s="658">
        <v>1.9793277570049783E-2</v>
      </c>
      <c r="U1092" s="659">
        <v>0.989744049075438</v>
      </c>
      <c r="V1092" s="658">
        <v>0.1740094013882012</v>
      </c>
      <c r="W1092" s="659">
        <v>1.3494968636731939</v>
      </c>
      <c r="X1092" s="658">
        <v>0.21788919215867364</v>
      </c>
      <c r="Y1092" s="659">
        <v>1.1284465086594937</v>
      </c>
      <c r="Z1092" s="658">
        <v>0.32365238658469297</v>
      </c>
      <c r="AA1092" s="659">
        <v>1.461380182050847</v>
      </c>
      <c r="AB1092" s="658">
        <v>6.5151720254357504E-2</v>
      </c>
      <c r="AC1092" s="660">
        <v>0.69170072202964983</v>
      </c>
      <c r="AD1092" s="682">
        <v>8817456000150</v>
      </c>
      <c r="AE1092" s="944" t="s">
        <v>1793</v>
      </c>
      <c r="AF1092" s="661" t="s">
        <v>1767</v>
      </c>
      <c r="AG1092" s="662" t="s">
        <v>59</v>
      </c>
      <c r="AH1092" s="662" t="s">
        <v>1734</v>
      </c>
      <c r="AI1092" s="662">
        <v>25000</v>
      </c>
      <c r="AJ1092" s="662">
        <v>1000</v>
      </c>
      <c r="AK1092" s="662">
        <v>1000</v>
      </c>
      <c r="AL1092" s="658">
        <v>2.2000000000000002E-2</v>
      </c>
      <c r="AM1092" s="658">
        <v>0.2</v>
      </c>
      <c r="AN1092" s="659" t="s">
        <v>64</v>
      </c>
      <c r="AO1092" s="253" t="s">
        <v>34</v>
      </c>
      <c r="AP1092" s="944" t="s">
        <v>1746</v>
      </c>
      <c r="AQ1092" s="663" t="s">
        <v>664</v>
      </c>
      <c r="AR1092" s="658">
        <v>5.3333333333333297E-3</v>
      </c>
      <c r="AS1092" s="658">
        <v>5.3333333333333297E-3</v>
      </c>
      <c r="AT1092" s="658" t="s">
        <v>1417</v>
      </c>
      <c r="AU1092" s="658" t="s">
        <v>2751</v>
      </c>
      <c r="AX1092"/>
      <c r="AY1092"/>
      <c r="BA1092"/>
      <c r="BB1092"/>
      <c r="BC1092"/>
      <c r="BD1092"/>
      <c r="BE1092"/>
      <c r="BF1092"/>
      <c r="BG1092"/>
      <c r="BH1092"/>
      <c r="BI1092"/>
      <c r="BJ1092"/>
      <c r="BR1092"/>
      <c r="BS1092"/>
      <c r="BT1092"/>
      <c r="BU1092"/>
      <c r="BX1092"/>
      <c r="BY1092"/>
      <c r="CA1092"/>
    </row>
    <row r="1093" spans="2:79" ht="18.75">
      <c r="B1093" s="252" t="s">
        <v>308</v>
      </c>
      <c r="C1093" s="251">
        <v>26218614000138</v>
      </c>
      <c r="D1093" s="252" t="s">
        <v>14</v>
      </c>
      <c r="E1093" s="252" t="s">
        <v>607</v>
      </c>
      <c r="F1093" s="252" t="s">
        <v>1417</v>
      </c>
      <c r="G1093" s="253" t="s">
        <v>1417</v>
      </c>
      <c r="H1093" s="253" t="s">
        <v>34</v>
      </c>
      <c r="I1093" s="253" t="s">
        <v>34</v>
      </c>
      <c r="J1093" s="253" t="s">
        <v>608</v>
      </c>
      <c r="K1093" s="253" t="s">
        <v>48</v>
      </c>
      <c r="L1093" s="655"/>
      <c r="M1093" s="655" t="s">
        <v>34</v>
      </c>
      <c r="N1093" s="253" t="s">
        <v>3709</v>
      </c>
      <c r="O1093" s="253" t="s">
        <v>1321</v>
      </c>
      <c r="P1093" s="656">
        <v>42778</v>
      </c>
      <c r="Q1093" s="657">
        <v>62.378236999999999</v>
      </c>
      <c r="R1093" s="657">
        <v>89.447473963562729</v>
      </c>
      <c r="S1093" s="253">
        <v>32</v>
      </c>
      <c r="T1093" s="658">
        <v>-4.188411776969525E-2</v>
      </c>
      <c r="U1093" s="659">
        <v>-2.0943755356645775</v>
      </c>
      <c r="V1093" s="658">
        <v>-0.1722747228776087</v>
      </c>
      <c r="W1093" s="659">
        <v>-1.3360438939436825</v>
      </c>
      <c r="X1093" s="658">
        <v>-0.27500921458096184</v>
      </c>
      <c r="Y1093" s="659">
        <v>-1.4242706807462102</v>
      </c>
      <c r="Z1093" s="658">
        <v>-0.24217926522491806</v>
      </c>
      <c r="AA1093" s="659">
        <v>-1.0935064698208823</v>
      </c>
      <c r="AB1093" s="658">
        <v>0.26789572577661247</v>
      </c>
      <c r="AC1093" s="660">
        <v>-1.1243876006277578</v>
      </c>
      <c r="AD1093" s="682">
        <v>39150853000145</v>
      </c>
      <c r="AE1093" s="944" t="s">
        <v>1858</v>
      </c>
      <c r="AF1093" s="661" t="s">
        <v>1767</v>
      </c>
      <c r="AG1093" s="662" t="s">
        <v>59</v>
      </c>
      <c r="AH1093" s="662" t="s">
        <v>1734</v>
      </c>
      <c r="AI1093" s="662">
        <v>25000</v>
      </c>
      <c r="AJ1093" s="662">
        <v>1000</v>
      </c>
      <c r="AK1093" s="662">
        <v>1000</v>
      </c>
      <c r="AL1093" s="658">
        <v>0</v>
      </c>
      <c r="AM1093" s="658">
        <v>0</v>
      </c>
      <c r="AN1093" s="659" t="s">
        <v>666</v>
      </c>
      <c r="AO1093" s="253" t="s">
        <v>34</v>
      </c>
      <c r="AP1093" s="944" t="s">
        <v>1731</v>
      </c>
      <c r="AQ1093" s="663" t="s">
        <v>665</v>
      </c>
      <c r="AR1093" s="658">
        <v>5.3333333333333297E-3</v>
      </c>
      <c r="AS1093" s="658">
        <v>5.3333333333333297E-3</v>
      </c>
      <c r="AT1093" s="658" t="s">
        <v>1417</v>
      </c>
      <c r="AU1093" s="658" t="s">
        <v>2751</v>
      </c>
      <c r="AX1093"/>
      <c r="AY1093"/>
      <c r="BA1093"/>
      <c r="BB1093"/>
      <c r="BC1093"/>
      <c r="BD1093"/>
      <c r="BE1093"/>
      <c r="BF1093"/>
      <c r="BG1093"/>
      <c r="BH1093"/>
      <c r="BI1093"/>
      <c r="BJ1093"/>
      <c r="BR1093"/>
      <c r="BS1093"/>
      <c r="BT1093"/>
      <c r="BU1093"/>
      <c r="BX1093"/>
      <c r="BY1093"/>
      <c r="CA1093"/>
    </row>
    <row r="1094" spans="2:79" ht="18.75">
      <c r="B1094" s="252" t="s">
        <v>309</v>
      </c>
      <c r="C1094" s="251">
        <v>11961199000130</v>
      </c>
      <c r="D1094" s="252" t="s">
        <v>14</v>
      </c>
      <c r="E1094" s="252" t="s">
        <v>607</v>
      </c>
      <c r="F1094" s="252" t="s">
        <v>1417</v>
      </c>
      <c r="G1094" s="253" t="s">
        <v>1417</v>
      </c>
      <c r="H1094" s="253" t="s">
        <v>34</v>
      </c>
      <c r="I1094" s="253" t="s">
        <v>34</v>
      </c>
      <c r="J1094" s="253" t="s">
        <v>608</v>
      </c>
      <c r="K1094" s="253" t="s">
        <v>48</v>
      </c>
      <c r="L1094" s="655"/>
      <c r="M1094" s="655" t="s">
        <v>1414</v>
      </c>
      <c r="N1094" s="253" t="s">
        <v>3710</v>
      </c>
      <c r="O1094" s="253" t="s">
        <v>1321</v>
      </c>
      <c r="P1094" s="656">
        <v>40627</v>
      </c>
      <c r="Q1094" s="657">
        <v>185.618854</v>
      </c>
      <c r="R1094" s="657">
        <v>290.41966199190261</v>
      </c>
      <c r="S1094" s="253">
        <v>32</v>
      </c>
      <c r="T1094" s="658">
        <v>-4.1134591772303275E-2</v>
      </c>
      <c r="U1094" s="659">
        <v>-2.0568961999193669</v>
      </c>
      <c r="V1094" s="658">
        <v>-0.16779876601233801</v>
      </c>
      <c r="W1094" s="659">
        <v>-1.3013314605726609</v>
      </c>
      <c r="X1094" s="658">
        <v>-0.26695220177902679</v>
      </c>
      <c r="Y1094" s="659">
        <v>-1.3825434712573272</v>
      </c>
      <c r="Z1094" s="658">
        <v>-0.22917685071787763</v>
      </c>
      <c r="AA1094" s="659">
        <v>-1.034796966455527</v>
      </c>
      <c r="AB1094" s="658">
        <v>0.26337987386560391</v>
      </c>
      <c r="AC1094" s="660">
        <v>-1.1266717957748991</v>
      </c>
      <c r="AD1094" s="682">
        <v>20889133000178</v>
      </c>
      <c r="AE1094" s="944" t="s">
        <v>1858</v>
      </c>
      <c r="AF1094" s="661" t="s">
        <v>1767</v>
      </c>
      <c r="AG1094" s="662" t="s">
        <v>59</v>
      </c>
      <c r="AH1094" s="662" t="s">
        <v>1734</v>
      </c>
      <c r="AI1094" s="662">
        <v>25000</v>
      </c>
      <c r="AJ1094" s="662">
        <v>1000</v>
      </c>
      <c r="AK1094" s="662">
        <v>1000</v>
      </c>
      <c r="AL1094" s="658">
        <v>0.02</v>
      </c>
      <c r="AM1094" s="658">
        <v>0.2</v>
      </c>
      <c r="AN1094" s="659" t="s">
        <v>666</v>
      </c>
      <c r="AO1094" s="253" t="s">
        <v>34</v>
      </c>
      <c r="AP1094" s="944" t="s">
        <v>1731</v>
      </c>
      <c r="AQ1094" s="663" t="s">
        <v>665</v>
      </c>
      <c r="AR1094" s="658">
        <v>0</v>
      </c>
      <c r="AS1094" s="658">
        <v>0</v>
      </c>
      <c r="AT1094" s="658" t="s">
        <v>1417</v>
      </c>
      <c r="AU1094" s="658" t="s">
        <v>2751</v>
      </c>
      <c r="AX1094"/>
      <c r="AY1094"/>
      <c r="BA1094"/>
      <c r="BB1094"/>
      <c r="BC1094"/>
      <c r="BD1094"/>
      <c r="BE1094"/>
      <c r="BF1094"/>
      <c r="BG1094"/>
      <c r="BH1094"/>
      <c r="BI1094"/>
      <c r="BJ1094"/>
      <c r="BR1094"/>
      <c r="BS1094"/>
      <c r="BT1094"/>
      <c r="BU1094"/>
      <c r="BX1094"/>
      <c r="BY1094"/>
      <c r="CA1094"/>
    </row>
    <row r="1095" spans="2:79" ht="18.75">
      <c r="B1095" s="252" t="s">
        <v>39</v>
      </c>
      <c r="C1095" s="251">
        <v>26324209000102</v>
      </c>
      <c r="D1095" s="252" t="s">
        <v>13</v>
      </c>
      <c r="E1095" s="252" t="s">
        <v>616</v>
      </c>
      <c r="F1095" s="252" t="s">
        <v>617</v>
      </c>
      <c r="G1095" s="253" t="s">
        <v>34</v>
      </c>
      <c r="H1095" s="253" t="s">
        <v>1338</v>
      </c>
      <c r="I1095" s="253" t="s">
        <v>34</v>
      </c>
      <c r="J1095" s="253" t="s">
        <v>608</v>
      </c>
      <c r="K1095" s="253" t="s">
        <v>48</v>
      </c>
      <c r="L1095" s="655"/>
      <c r="M1095" s="655" t="s">
        <v>34</v>
      </c>
      <c r="N1095" s="253" t="s">
        <v>3711</v>
      </c>
      <c r="O1095" s="253" t="s">
        <v>1321</v>
      </c>
      <c r="P1095" s="656">
        <v>42875</v>
      </c>
      <c r="Q1095" s="657">
        <v>423.14217400000001</v>
      </c>
      <c r="R1095" s="657">
        <v>384.39964550602383</v>
      </c>
      <c r="S1095" s="253">
        <v>31</v>
      </c>
      <c r="T1095" s="658">
        <v>2.0587483590655209E-2</v>
      </c>
      <c r="U1095" s="659">
        <v>1.0294575669530195</v>
      </c>
      <c r="V1095" s="658">
        <v>0.20188865745253515</v>
      </c>
      <c r="W1095" s="659">
        <v>1.5657091391032247</v>
      </c>
      <c r="X1095" s="658">
        <v>0.24365563435162629</v>
      </c>
      <c r="Y1095" s="659">
        <v>1.2618907214960808</v>
      </c>
      <c r="Z1095" s="658">
        <v>0.40302336797858662</v>
      </c>
      <c r="AA1095" s="659">
        <v>1.8197621500101973</v>
      </c>
      <c r="AB1095" s="658">
        <v>9.2152817691480704E-2</v>
      </c>
      <c r="AC1095" s="660">
        <v>0.79156286083361238</v>
      </c>
      <c r="AD1095" s="682">
        <v>36182250000137</v>
      </c>
      <c r="AE1095" s="944" t="s">
        <v>1793</v>
      </c>
      <c r="AF1095" s="661" t="s">
        <v>1767</v>
      </c>
      <c r="AG1095" s="662" t="s">
        <v>59</v>
      </c>
      <c r="AH1095" s="662" t="s">
        <v>1730</v>
      </c>
      <c r="AI1095" s="662">
        <v>25000</v>
      </c>
      <c r="AJ1095" s="662">
        <v>0</v>
      </c>
      <c r="AK1095" s="662">
        <v>0</v>
      </c>
      <c r="AL1095" s="658">
        <v>0</v>
      </c>
      <c r="AM1095" s="658">
        <v>0</v>
      </c>
      <c r="AN1095" s="659" t="s">
        <v>64</v>
      </c>
      <c r="AO1095" s="253" t="s">
        <v>34</v>
      </c>
      <c r="AP1095" s="944" t="s">
        <v>1746</v>
      </c>
      <c r="AQ1095" s="663" t="s">
        <v>664</v>
      </c>
      <c r="AR1095" s="658">
        <v>5.3333333333333297E-3</v>
      </c>
      <c r="AS1095" s="658">
        <v>5.3333333333333297E-3</v>
      </c>
      <c r="AT1095" s="658" t="s">
        <v>1417</v>
      </c>
      <c r="AU1095" s="658" t="s">
        <v>2751</v>
      </c>
      <c r="AX1095"/>
      <c r="AY1095"/>
      <c r="BA1095"/>
      <c r="BB1095"/>
      <c r="BC1095"/>
      <c r="BD1095"/>
      <c r="BE1095"/>
      <c r="BF1095"/>
      <c r="BG1095"/>
      <c r="BH1095"/>
      <c r="BI1095"/>
      <c r="BJ1095"/>
      <c r="BR1095"/>
      <c r="BS1095"/>
      <c r="BT1095"/>
      <c r="BU1095"/>
      <c r="BX1095"/>
      <c r="BY1095"/>
      <c r="CA1095"/>
    </row>
    <row r="1096" spans="2:79" ht="18.75">
      <c r="B1096" s="252" t="s">
        <v>310</v>
      </c>
      <c r="C1096" s="251">
        <v>35726805000100</v>
      </c>
      <c r="D1096" s="252" t="s">
        <v>11</v>
      </c>
      <c r="E1096" s="252" t="s">
        <v>620</v>
      </c>
      <c r="F1096" s="252" t="s">
        <v>663</v>
      </c>
      <c r="G1096" s="253" t="s">
        <v>738</v>
      </c>
      <c r="H1096" s="253" t="s">
        <v>34</v>
      </c>
      <c r="I1096" s="253" t="s">
        <v>1304</v>
      </c>
      <c r="J1096" s="253" t="s">
        <v>608</v>
      </c>
      <c r="K1096" s="253" t="s">
        <v>48</v>
      </c>
      <c r="L1096" s="655"/>
      <c r="M1096" s="655" t="s">
        <v>1414</v>
      </c>
      <c r="N1096" s="253" t="s">
        <v>3712</v>
      </c>
      <c r="O1096" s="253" t="s">
        <v>1321</v>
      </c>
      <c r="P1096" s="656">
        <v>43837</v>
      </c>
      <c r="Q1096" s="657">
        <v>2.5858467200000002</v>
      </c>
      <c r="R1096" s="657">
        <v>95.638287644186036</v>
      </c>
      <c r="S1096" s="253">
        <v>0</v>
      </c>
      <c r="T1096" s="658">
        <v>0</v>
      </c>
      <c r="U1096" s="659">
        <v>0</v>
      </c>
      <c r="V1096" s="658">
        <v>0.10449208474764005</v>
      </c>
      <c r="W1096" s="659">
        <v>0.81036851756663308</v>
      </c>
      <c r="X1096" s="658">
        <v>0.16937617828323082</v>
      </c>
      <c r="Y1096" s="659">
        <v>0.87719796994158195</v>
      </c>
      <c r="Z1096" s="658">
        <v>0.18576829236128711</v>
      </c>
      <c r="AA1096" s="659">
        <v>0.83879530064633923</v>
      </c>
      <c r="AB1096" s="658">
        <v>1.6624251645626345E-3</v>
      </c>
      <c r="AC1096" s="660">
        <v>-14.708526567318479</v>
      </c>
      <c r="AD1096" s="682">
        <v>0</v>
      </c>
      <c r="AE1096" s="944" t="s">
        <v>1998</v>
      </c>
      <c r="AF1096" s="661" t="s">
        <v>1745</v>
      </c>
      <c r="AG1096" s="662" t="s">
        <v>1432</v>
      </c>
      <c r="AH1096" s="662" t="s">
        <v>1734</v>
      </c>
      <c r="AI1096" s="662">
        <v>30</v>
      </c>
      <c r="AJ1096" s="662">
        <v>30</v>
      </c>
      <c r="AK1096" s="662">
        <v>30</v>
      </c>
      <c r="AL1096" s="658">
        <v>2.2000000000000001E-3</v>
      </c>
      <c r="AM1096" s="658">
        <v>0</v>
      </c>
      <c r="AN1096" s="659" t="s">
        <v>64</v>
      </c>
      <c r="AO1096" s="253" t="s">
        <v>34</v>
      </c>
      <c r="AP1096" s="944" t="s">
        <v>1735</v>
      </c>
      <c r="AQ1096" s="663" t="s">
        <v>669</v>
      </c>
      <c r="AR1096" s="658">
        <v>0</v>
      </c>
      <c r="AS1096" s="658">
        <v>0</v>
      </c>
      <c r="AT1096" s="658" t="s">
        <v>1417</v>
      </c>
      <c r="AU1096" s="658" t="s">
        <v>2751</v>
      </c>
      <c r="AX1096"/>
      <c r="AY1096"/>
      <c r="BA1096"/>
      <c r="BB1096"/>
      <c r="BC1096"/>
      <c r="BD1096"/>
      <c r="BE1096"/>
      <c r="BF1096"/>
      <c r="BG1096"/>
      <c r="BH1096"/>
      <c r="BI1096"/>
      <c r="BJ1096"/>
      <c r="BR1096"/>
      <c r="BS1096"/>
      <c r="BT1096"/>
      <c r="BU1096"/>
      <c r="BX1096"/>
      <c r="BY1096"/>
      <c r="CA1096"/>
    </row>
    <row r="1097" spans="2:79" ht="18.75">
      <c r="B1097" s="252" t="s">
        <v>311</v>
      </c>
      <c r="C1097" s="251">
        <v>35726270000169</v>
      </c>
      <c r="D1097" s="252" t="s">
        <v>13</v>
      </c>
      <c r="E1097" s="252" t="s">
        <v>615</v>
      </c>
      <c r="F1097" s="252" t="s">
        <v>619</v>
      </c>
      <c r="G1097" s="253" t="s">
        <v>34</v>
      </c>
      <c r="H1097" s="253" t="s">
        <v>1337</v>
      </c>
      <c r="I1097" s="253" t="s">
        <v>34</v>
      </c>
      <c r="J1097" s="253" t="s">
        <v>1417</v>
      </c>
      <c r="K1097" s="253" t="s">
        <v>48</v>
      </c>
      <c r="L1097" s="655"/>
      <c r="M1097" s="655" t="s">
        <v>34</v>
      </c>
      <c r="N1097" s="253" t="s">
        <v>3713</v>
      </c>
      <c r="O1097" s="253" t="s">
        <v>1321</v>
      </c>
      <c r="P1097" s="656">
        <v>43860</v>
      </c>
      <c r="Q1097" s="657">
        <v>1.6682982900000001</v>
      </c>
      <c r="R1097" s="657">
        <v>16.590028764460094</v>
      </c>
      <c r="S1097" s="253">
        <v>4</v>
      </c>
      <c r="T1097" s="658">
        <v>0</v>
      </c>
      <c r="U1097" s="659">
        <v>0</v>
      </c>
      <c r="V1097" s="658">
        <v>9.9378397355037063E-2</v>
      </c>
      <c r="W1097" s="659">
        <v>0.77071028621206672</v>
      </c>
      <c r="X1097" s="658">
        <v>0.15614041204036799</v>
      </c>
      <c r="Y1097" s="659">
        <v>0.8086500348273199</v>
      </c>
      <c r="Z1097" s="658">
        <v>0.14410209999999779</v>
      </c>
      <c r="AA1097" s="659">
        <v>0.65066089996774901</v>
      </c>
      <c r="AB1097" s="658">
        <v>9.1107770563082485E-3</v>
      </c>
      <c r="AC1097" s="660">
        <v>-3.2451142102396529</v>
      </c>
      <c r="AD1097" s="682">
        <v>0</v>
      </c>
      <c r="AE1097" s="944" t="s">
        <v>1998</v>
      </c>
      <c r="AF1097" s="661" t="s">
        <v>1745</v>
      </c>
      <c r="AG1097" s="662" t="s">
        <v>1432</v>
      </c>
      <c r="AH1097" s="662" t="s">
        <v>1734</v>
      </c>
      <c r="AI1097" s="662">
        <v>30</v>
      </c>
      <c r="AJ1097" s="662">
        <v>30</v>
      </c>
      <c r="AK1097" s="662">
        <v>30</v>
      </c>
      <c r="AL1097" s="658">
        <v>1.4999999999999999E-2</v>
      </c>
      <c r="AM1097" s="658">
        <v>0.2</v>
      </c>
      <c r="AN1097" s="659" t="s">
        <v>34</v>
      </c>
      <c r="AO1097" s="253" t="s">
        <v>34</v>
      </c>
      <c r="AP1097" s="944" t="s">
        <v>1746</v>
      </c>
      <c r="AQ1097" s="663" t="s">
        <v>664</v>
      </c>
      <c r="AR1097" s="658">
        <v>5.3333333333333297E-3</v>
      </c>
      <c r="AS1097" s="658">
        <v>5.3333333333333297E-3</v>
      </c>
      <c r="AT1097" s="658" t="s">
        <v>1417</v>
      </c>
      <c r="AU1097" s="658" t="s">
        <v>2751</v>
      </c>
      <c r="AX1097"/>
      <c r="AY1097"/>
      <c r="BA1097"/>
      <c r="BB1097"/>
      <c r="BC1097"/>
      <c r="BD1097"/>
      <c r="BE1097"/>
      <c r="BF1097"/>
      <c r="BG1097"/>
      <c r="BH1097"/>
      <c r="BI1097"/>
      <c r="BJ1097"/>
      <c r="BR1097"/>
      <c r="BS1097"/>
      <c r="BT1097"/>
      <c r="BU1097"/>
      <c r="BX1097"/>
      <c r="BY1097"/>
      <c r="CA1097"/>
    </row>
    <row r="1098" spans="2:79" ht="18.75">
      <c r="B1098" s="252" t="s">
        <v>1090</v>
      </c>
      <c r="C1098" s="251">
        <v>28911598000190</v>
      </c>
      <c r="D1098" s="252" t="s">
        <v>13</v>
      </c>
      <c r="E1098" s="252" t="s">
        <v>616</v>
      </c>
      <c r="F1098" s="252" t="s">
        <v>617</v>
      </c>
      <c r="G1098" s="253" t="s">
        <v>34</v>
      </c>
      <c r="H1098" s="253" t="s">
        <v>1337</v>
      </c>
      <c r="I1098" s="253" t="s">
        <v>34</v>
      </c>
      <c r="J1098" s="253" t="s">
        <v>608</v>
      </c>
      <c r="K1098" s="253" t="s">
        <v>48</v>
      </c>
      <c r="L1098" s="655"/>
      <c r="M1098" s="655" t="s">
        <v>34</v>
      </c>
      <c r="N1098" s="253" t="s">
        <v>3714</v>
      </c>
      <c r="O1098" s="253" t="s">
        <v>1321</v>
      </c>
      <c r="P1098" s="656">
        <v>43058</v>
      </c>
      <c r="Q1098" s="657">
        <v>23.493333140000001</v>
      </c>
      <c r="R1098" s="657">
        <v>30.949129720843388</v>
      </c>
      <c r="S1098" s="253">
        <v>18</v>
      </c>
      <c r="T1098" s="658">
        <v>-1.3273024201478911E-3</v>
      </c>
      <c r="U1098" s="659">
        <v>-6.6370497105169318E-2</v>
      </c>
      <c r="V1098" s="658">
        <v>7.79848149103195E-2</v>
      </c>
      <c r="W1098" s="659">
        <v>0.60479642074526763</v>
      </c>
      <c r="X1098" s="658">
        <v>9.6538606653345793E-2</v>
      </c>
      <c r="Y1098" s="659">
        <v>0.49997272719010188</v>
      </c>
      <c r="Z1098" s="658">
        <v>0.17398499360293251</v>
      </c>
      <c r="AA1098" s="659">
        <v>0.785590442599857</v>
      </c>
      <c r="AB1098" s="658">
        <v>6.1489701166729416E-2</v>
      </c>
      <c r="AC1098" s="660">
        <v>-0.82874194490380093</v>
      </c>
      <c r="AD1098" s="682">
        <v>0</v>
      </c>
      <c r="AE1098" s="944" t="s">
        <v>1946</v>
      </c>
      <c r="AF1098" s="661" t="s">
        <v>1729</v>
      </c>
      <c r="AG1098" s="662" t="s">
        <v>1433</v>
      </c>
      <c r="AH1098" s="662" t="s">
        <v>1734</v>
      </c>
      <c r="AI1098" s="662">
        <v>1000</v>
      </c>
      <c r="AJ1098" s="662">
        <v>500</v>
      </c>
      <c r="AK1098" s="662">
        <v>1000</v>
      </c>
      <c r="AL1098" s="658">
        <v>0.02</v>
      </c>
      <c r="AM1098" s="658">
        <v>0.2</v>
      </c>
      <c r="AN1098" s="659" t="s">
        <v>64</v>
      </c>
      <c r="AO1098" s="253" t="s">
        <v>34</v>
      </c>
      <c r="AP1098" s="944" t="s">
        <v>1746</v>
      </c>
      <c r="AQ1098" s="663" t="s">
        <v>674</v>
      </c>
      <c r="AR1098" s="658">
        <v>5.4000000000000003E-3</v>
      </c>
      <c r="AS1098" s="658">
        <v>5.4000000000000003E-3</v>
      </c>
      <c r="AT1098" s="658" t="s">
        <v>1417</v>
      </c>
      <c r="AU1098" s="658" t="s">
        <v>2751</v>
      </c>
      <c r="AX1098"/>
      <c r="AY1098"/>
      <c r="BA1098"/>
      <c r="BB1098"/>
      <c r="BC1098"/>
      <c r="BD1098"/>
      <c r="BE1098"/>
      <c r="BF1098"/>
      <c r="BG1098"/>
      <c r="BH1098"/>
      <c r="BI1098"/>
      <c r="BJ1098"/>
      <c r="BR1098"/>
      <c r="BS1098"/>
      <c r="BT1098"/>
      <c r="BU1098"/>
      <c r="BX1098"/>
      <c r="BY1098"/>
      <c r="CA1098"/>
    </row>
    <row r="1099" spans="2:79" ht="18.75">
      <c r="B1099" s="252" t="s">
        <v>312</v>
      </c>
      <c r="C1099" s="251">
        <v>26587503000107</v>
      </c>
      <c r="D1099" s="252" t="s">
        <v>14</v>
      </c>
      <c r="E1099" s="252" t="s">
        <v>607</v>
      </c>
      <c r="F1099" s="252" t="s">
        <v>1417</v>
      </c>
      <c r="G1099" s="253" t="s">
        <v>1417</v>
      </c>
      <c r="H1099" s="253" t="s">
        <v>34</v>
      </c>
      <c r="I1099" s="253" t="s">
        <v>34</v>
      </c>
      <c r="J1099" s="253" t="s">
        <v>608</v>
      </c>
      <c r="K1099" s="253" t="s">
        <v>48</v>
      </c>
      <c r="L1099" s="655"/>
      <c r="M1099" s="655" t="s">
        <v>34</v>
      </c>
      <c r="N1099" s="253" t="s">
        <v>3715</v>
      </c>
      <c r="O1099" s="253" t="s">
        <v>1321</v>
      </c>
      <c r="P1099" s="656">
        <v>42755</v>
      </c>
      <c r="Q1099" s="657">
        <v>16.022065999999999</v>
      </c>
      <c r="R1099" s="657">
        <v>10.995500963855418</v>
      </c>
      <c r="S1099" s="253">
        <v>3</v>
      </c>
      <c r="T1099" s="658">
        <v>-3.3571157894978554E-2</v>
      </c>
      <c r="U1099" s="659">
        <v>-1.6786938711658437</v>
      </c>
      <c r="V1099" s="658">
        <v>-4.2948579500845407E-2</v>
      </c>
      <c r="W1099" s="659">
        <v>-0.33307955129566719</v>
      </c>
      <c r="X1099" s="658">
        <v>-1.1301840362895721E-2</v>
      </c>
      <c r="Y1099" s="659">
        <v>-5.8532147338676226E-2</v>
      </c>
      <c r="Z1099" s="658">
        <v>5.471291338454809E-2</v>
      </c>
      <c r="AA1099" s="659">
        <v>0.24704396023824846</v>
      </c>
      <c r="AB1099" s="658">
        <v>0.22502885102305217</v>
      </c>
      <c r="AC1099" s="660">
        <v>-0.76386866913356333</v>
      </c>
      <c r="AD1099" s="682">
        <v>0</v>
      </c>
      <c r="AE1099" s="944" t="s">
        <v>1946</v>
      </c>
      <c r="AF1099" s="661" t="s">
        <v>1729</v>
      </c>
      <c r="AG1099" s="662" t="s">
        <v>1433</v>
      </c>
      <c r="AH1099" s="662" t="s">
        <v>1734</v>
      </c>
      <c r="AI1099" s="662">
        <v>10000</v>
      </c>
      <c r="AJ1099" s="662">
        <v>5000</v>
      </c>
      <c r="AK1099" s="662">
        <v>10000</v>
      </c>
      <c r="AL1099" s="658">
        <v>0.02</v>
      </c>
      <c r="AM1099" s="658">
        <v>0.2</v>
      </c>
      <c r="AN1099" s="659" t="s">
        <v>666</v>
      </c>
      <c r="AO1099" s="253" t="s">
        <v>34</v>
      </c>
      <c r="AP1099" s="944" t="s">
        <v>1731</v>
      </c>
      <c r="AQ1099" s="663" t="s">
        <v>670</v>
      </c>
      <c r="AR1099" s="658">
        <v>5.0000000000000001E-3</v>
      </c>
      <c r="AS1099" s="658">
        <v>5.0000000000000001E-3</v>
      </c>
      <c r="AT1099" s="658" t="s">
        <v>1417</v>
      </c>
      <c r="AU1099" s="658" t="s">
        <v>2751</v>
      </c>
      <c r="AX1099"/>
      <c r="AY1099"/>
      <c r="BA1099"/>
      <c r="BB1099"/>
      <c r="BC1099"/>
      <c r="BD1099"/>
      <c r="BE1099"/>
      <c r="BF1099"/>
      <c r="BG1099"/>
      <c r="BH1099"/>
      <c r="BI1099"/>
      <c r="BJ1099"/>
      <c r="BR1099"/>
      <c r="BS1099"/>
      <c r="BT1099"/>
      <c r="BU1099"/>
      <c r="BX1099"/>
      <c r="BY1099"/>
      <c r="CA1099"/>
    </row>
    <row r="1100" spans="2:79" ht="18.75">
      <c r="B1100" s="252" t="s">
        <v>521</v>
      </c>
      <c r="C1100" s="251">
        <v>39806561000118</v>
      </c>
      <c r="D1100" s="252" t="s">
        <v>11</v>
      </c>
      <c r="E1100" s="252" t="s">
        <v>620</v>
      </c>
      <c r="F1100" s="252" t="s">
        <v>685</v>
      </c>
      <c r="G1100" s="253" t="s">
        <v>738</v>
      </c>
      <c r="H1100" s="253" t="s">
        <v>34</v>
      </c>
      <c r="I1100" s="253" t="s">
        <v>1319</v>
      </c>
      <c r="J1100" s="253" t="s">
        <v>608</v>
      </c>
      <c r="K1100" s="253" t="s">
        <v>48</v>
      </c>
      <c r="L1100" s="655"/>
      <c r="M1100" s="655" t="s">
        <v>34</v>
      </c>
      <c r="N1100" s="253" t="s">
        <v>3716</v>
      </c>
      <c r="O1100" s="253" t="s">
        <v>1321</v>
      </c>
      <c r="P1100" s="656">
        <v>44132</v>
      </c>
      <c r="Q1100" s="657">
        <v>88.241386590000005</v>
      </c>
      <c r="R1100" s="657">
        <v>64.285265820766142</v>
      </c>
      <c r="S1100" s="253">
        <v>91</v>
      </c>
      <c r="T1100" s="658">
        <v>2.4407195121580516E-2</v>
      </c>
      <c r="U1100" s="659">
        <v>1.2204586148359975</v>
      </c>
      <c r="V1100" s="658">
        <v>0.15878837972589932</v>
      </c>
      <c r="W1100" s="659">
        <v>1.2314531210287754</v>
      </c>
      <c r="X1100" s="658">
        <v>0.24867132999999986</v>
      </c>
      <c r="Y1100" s="659">
        <v>1.2878669720243037</v>
      </c>
      <c r="Z1100" s="658"/>
      <c r="AA1100" s="659"/>
      <c r="AB1100" s="658">
        <v>1.2554251651094722E-3</v>
      </c>
      <c r="AC1100" s="660">
        <v>23.772400863502327</v>
      </c>
      <c r="AD1100" s="682">
        <v>0</v>
      </c>
      <c r="AE1100" s="944" t="s">
        <v>1946</v>
      </c>
      <c r="AF1100" s="661" t="s">
        <v>1742</v>
      </c>
      <c r="AG1100" s="662" t="s">
        <v>741</v>
      </c>
      <c r="AH1100" s="662" t="s">
        <v>1730</v>
      </c>
      <c r="AI1100" s="662">
        <v>1000</v>
      </c>
      <c r="AJ1100" s="662">
        <v>500</v>
      </c>
      <c r="AK1100" s="662">
        <v>500</v>
      </c>
      <c r="AL1100" s="658">
        <v>0</v>
      </c>
      <c r="AM1100" s="658">
        <v>0</v>
      </c>
      <c r="AN1100" s="659" t="s">
        <v>64</v>
      </c>
      <c r="AO1100" s="253" t="s">
        <v>34</v>
      </c>
      <c r="AP1100" s="944" t="s">
        <v>1746</v>
      </c>
      <c r="AQ1100" s="663" t="s">
        <v>668</v>
      </c>
      <c r="AR1100" s="658">
        <v>1.7836900000000001E-3</v>
      </c>
      <c r="AS1100" s="658">
        <v>1.7836900000000001E-3</v>
      </c>
      <c r="AT1100" s="658" t="s">
        <v>1417</v>
      </c>
      <c r="AU1100" s="658" t="s">
        <v>2751</v>
      </c>
      <c r="AX1100"/>
      <c r="AY1100"/>
      <c r="BA1100"/>
      <c r="BB1100"/>
      <c r="BC1100"/>
      <c r="BD1100"/>
      <c r="BE1100"/>
      <c r="BF1100"/>
      <c r="BG1100"/>
      <c r="BH1100"/>
      <c r="BI1100"/>
      <c r="BJ1100"/>
      <c r="BR1100"/>
      <c r="BS1100"/>
      <c r="BT1100"/>
      <c r="BU1100"/>
      <c r="BX1100"/>
      <c r="BY1100"/>
      <c r="CA1100"/>
    </row>
    <row r="1101" spans="2:79" ht="18.75">
      <c r="B1101" s="252" t="s">
        <v>522</v>
      </c>
      <c r="C1101" s="251">
        <v>41128407000186</v>
      </c>
      <c r="D1101" s="252" t="s">
        <v>13</v>
      </c>
      <c r="E1101" s="252" t="s">
        <v>615</v>
      </c>
      <c r="F1101" s="252" t="s">
        <v>619</v>
      </c>
      <c r="G1101" s="253" t="s">
        <v>34</v>
      </c>
      <c r="H1101" s="253" t="s">
        <v>1337</v>
      </c>
      <c r="I1101" s="253" t="s">
        <v>34</v>
      </c>
      <c r="J1101" s="253" t="s">
        <v>1417</v>
      </c>
      <c r="K1101" s="253" t="s">
        <v>48</v>
      </c>
      <c r="L1101" s="655"/>
      <c r="M1101" s="655" t="s">
        <v>34</v>
      </c>
      <c r="N1101" s="253" t="s">
        <v>3717</v>
      </c>
      <c r="O1101" s="253" t="s">
        <v>1321</v>
      </c>
      <c r="P1101" s="656">
        <v>44331</v>
      </c>
      <c r="Q1101" s="657">
        <v>19.808090409999998</v>
      </c>
      <c r="R1101" s="657">
        <v>25.755746179919015</v>
      </c>
      <c r="S1101" s="253">
        <v>31</v>
      </c>
      <c r="T1101" s="658">
        <v>-9.6895782506722927E-4</v>
      </c>
      <c r="U1101" s="659">
        <v>-4.8451815914334062E-2</v>
      </c>
      <c r="V1101" s="658">
        <v>7.0530766057101513E-2</v>
      </c>
      <c r="W1101" s="659">
        <v>0.54698796057682464</v>
      </c>
      <c r="X1101" s="658"/>
      <c r="Y1101" s="659"/>
      <c r="Z1101" s="658"/>
      <c r="AA1101" s="659"/>
      <c r="AB1101" s="658">
        <v>5.011910839114115E-2</v>
      </c>
      <c r="AC1101" s="660">
        <v>-1.165486483395058</v>
      </c>
      <c r="AD1101" s="682">
        <v>0</v>
      </c>
      <c r="AE1101" s="944" t="s">
        <v>1946</v>
      </c>
      <c r="AF1101" s="661" t="s">
        <v>1729</v>
      </c>
      <c r="AG1101" s="662" t="s">
        <v>1433</v>
      </c>
      <c r="AH1101" s="662" t="s">
        <v>1734</v>
      </c>
      <c r="AI1101" s="662">
        <v>500</v>
      </c>
      <c r="AJ1101" s="662">
        <v>0</v>
      </c>
      <c r="AK1101" s="662">
        <v>500</v>
      </c>
      <c r="AL1101" s="658">
        <v>2.5000000000000001E-2</v>
      </c>
      <c r="AM1101" s="658">
        <v>0.2</v>
      </c>
      <c r="AN1101" s="659" t="s">
        <v>64</v>
      </c>
      <c r="AO1101" s="253" t="s">
        <v>34</v>
      </c>
      <c r="AP1101" s="944" t="s">
        <v>1746</v>
      </c>
      <c r="AQ1101" s="663" t="s">
        <v>668</v>
      </c>
      <c r="AR1101" s="658">
        <v>5.3340000000000002E-3</v>
      </c>
      <c r="AS1101" s="658">
        <v>5.3340000000000002E-3</v>
      </c>
      <c r="AT1101" s="658" t="s">
        <v>1417</v>
      </c>
      <c r="AU1101" s="658" t="s">
        <v>2751</v>
      </c>
      <c r="AX1101"/>
      <c r="AY1101"/>
      <c r="BA1101"/>
      <c r="BB1101"/>
      <c r="BC1101"/>
      <c r="BD1101"/>
      <c r="BE1101"/>
      <c r="BF1101"/>
      <c r="BG1101"/>
      <c r="BH1101"/>
      <c r="BI1101"/>
      <c r="BJ1101"/>
      <c r="BR1101"/>
      <c r="BS1101"/>
      <c r="BT1101"/>
      <c r="BU1101"/>
      <c r="BX1101"/>
      <c r="BY1101"/>
      <c r="CA1101"/>
    </row>
    <row r="1102" spans="2:79" ht="18.75">
      <c r="B1102" s="252" t="s">
        <v>1301</v>
      </c>
      <c r="C1102" s="251">
        <v>42102422000118</v>
      </c>
      <c r="D1102" s="252" t="s">
        <v>11</v>
      </c>
      <c r="E1102" s="252" t="s">
        <v>620</v>
      </c>
      <c r="F1102" s="252" t="s">
        <v>663</v>
      </c>
      <c r="G1102" s="253" t="s">
        <v>738</v>
      </c>
      <c r="H1102" s="253" t="s">
        <v>34</v>
      </c>
      <c r="I1102" s="253" t="s">
        <v>1304</v>
      </c>
      <c r="J1102" s="253" t="s">
        <v>608</v>
      </c>
      <c r="K1102" s="253" t="s">
        <v>48</v>
      </c>
      <c r="L1102" s="655"/>
      <c r="M1102" s="655" t="s">
        <v>1414</v>
      </c>
      <c r="N1102" s="253" t="s">
        <v>3718</v>
      </c>
      <c r="O1102" s="253" t="s">
        <v>1321</v>
      </c>
      <c r="P1102" s="656">
        <v>44323</v>
      </c>
      <c r="Q1102" s="657">
        <v>112.63553057999999</v>
      </c>
      <c r="R1102" s="657">
        <v>75.462943843127732</v>
      </c>
      <c r="S1102" s="253">
        <v>5</v>
      </c>
      <c r="T1102" s="658">
        <v>1.9187916027514351E-2</v>
      </c>
      <c r="U1102" s="659">
        <v>0.95947351999589947</v>
      </c>
      <c r="V1102" s="658">
        <v>0.13524427122515248</v>
      </c>
      <c r="W1102" s="659">
        <v>1.0488612591738125</v>
      </c>
      <c r="X1102" s="658"/>
      <c r="Y1102" s="659"/>
      <c r="Z1102" s="658"/>
      <c r="AA1102" s="659"/>
      <c r="AB1102" s="658">
        <v>1.2669862453198885E-2</v>
      </c>
      <c r="AC1102" s="660">
        <v>0.49727152142629716</v>
      </c>
      <c r="AD1102" s="682">
        <v>0</v>
      </c>
      <c r="AE1102" s="944" t="s">
        <v>1946</v>
      </c>
      <c r="AF1102" s="661" t="s">
        <v>2028</v>
      </c>
      <c r="AG1102" s="662" t="s">
        <v>928</v>
      </c>
      <c r="AH1102" s="662" t="s">
        <v>1801</v>
      </c>
      <c r="AI1102" s="662">
        <v>0</v>
      </c>
      <c r="AJ1102" s="662">
        <v>0</v>
      </c>
      <c r="AK1102" s="662">
        <v>0</v>
      </c>
      <c r="AL1102" s="658">
        <v>0</v>
      </c>
      <c r="AM1102" s="658">
        <v>0</v>
      </c>
      <c r="AN1102" s="659" t="s">
        <v>64</v>
      </c>
      <c r="AO1102" s="253" t="s">
        <v>34</v>
      </c>
      <c r="AP1102" s="944" t="s">
        <v>1735</v>
      </c>
      <c r="AQ1102" s="663" t="s">
        <v>677</v>
      </c>
      <c r="AR1102" s="658">
        <v>0</v>
      </c>
      <c r="AS1102" s="658">
        <v>0</v>
      </c>
      <c r="AT1102" s="658" t="s">
        <v>1417</v>
      </c>
      <c r="AU1102" s="658" t="s">
        <v>2751</v>
      </c>
      <c r="AX1102"/>
      <c r="AY1102"/>
      <c r="BA1102"/>
      <c r="BB1102"/>
      <c r="BC1102"/>
      <c r="BD1102"/>
      <c r="BE1102"/>
      <c r="BF1102"/>
      <c r="BG1102"/>
      <c r="BH1102"/>
      <c r="BI1102"/>
      <c r="BJ1102"/>
      <c r="BR1102"/>
      <c r="BS1102"/>
      <c r="BT1102"/>
      <c r="BU1102"/>
      <c r="BX1102"/>
      <c r="BY1102"/>
      <c r="CA1102"/>
    </row>
    <row r="1103" spans="2:79" ht="18.75">
      <c r="B1103" s="252" t="s">
        <v>568</v>
      </c>
      <c r="C1103" s="251">
        <v>42747231000103</v>
      </c>
      <c r="D1103" s="252" t="s">
        <v>14</v>
      </c>
      <c r="E1103" s="252" t="s">
        <v>614</v>
      </c>
      <c r="F1103" s="252" t="s">
        <v>610</v>
      </c>
      <c r="G1103" s="253" t="s">
        <v>1417</v>
      </c>
      <c r="H1103" s="253" t="s">
        <v>1337</v>
      </c>
      <c r="I1103" s="253" t="s">
        <v>34</v>
      </c>
      <c r="J1103" s="253" t="s">
        <v>608</v>
      </c>
      <c r="K1103" s="253" t="s">
        <v>48</v>
      </c>
      <c r="L1103" s="655"/>
      <c r="M1103" s="655" t="s">
        <v>34</v>
      </c>
      <c r="N1103" s="253" t="s">
        <v>3719</v>
      </c>
      <c r="O1103" s="253" t="s">
        <v>1321</v>
      </c>
      <c r="P1103" s="656">
        <v>44406</v>
      </c>
      <c r="Q1103" s="657">
        <v>20.29783621</v>
      </c>
      <c r="R1103" s="657">
        <v>20.383554069610387</v>
      </c>
      <c r="S1103" s="253">
        <v>32</v>
      </c>
      <c r="T1103" s="658">
        <v>-3.1846369343378367E-2</v>
      </c>
      <c r="U1103" s="659">
        <v>-1.5924474575126129</v>
      </c>
      <c r="V1103" s="658">
        <v>-4.0832449121648073E-2</v>
      </c>
      <c r="W1103" s="659">
        <v>-0.3166683040465631</v>
      </c>
      <c r="X1103" s="658"/>
      <c r="Y1103" s="659"/>
      <c r="Z1103" s="658"/>
      <c r="AA1103" s="659"/>
      <c r="AB1103" s="658">
        <v>0.11744454644399643</v>
      </c>
      <c r="AC1103" s="660">
        <v>-1.4455874172871406</v>
      </c>
      <c r="AD1103" s="682">
        <v>0</v>
      </c>
      <c r="AE1103" s="944" t="s">
        <v>2058</v>
      </c>
      <c r="AF1103" s="661" t="s">
        <v>1745</v>
      </c>
      <c r="AG1103" s="662" t="s">
        <v>1432</v>
      </c>
      <c r="AH1103" s="662" t="s">
        <v>1801</v>
      </c>
      <c r="AI1103" s="662">
        <v>0</v>
      </c>
      <c r="AJ1103" s="662">
        <v>0</v>
      </c>
      <c r="AK1103" s="662">
        <v>0</v>
      </c>
      <c r="AL1103" s="658">
        <v>0</v>
      </c>
      <c r="AM1103" s="658">
        <v>0</v>
      </c>
      <c r="AN1103" s="659" t="s">
        <v>34</v>
      </c>
      <c r="AO1103" s="253" t="s">
        <v>34</v>
      </c>
      <c r="AP1103" s="944" t="s">
        <v>1731</v>
      </c>
      <c r="AQ1103" s="663" t="s">
        <v>659</v>
      </c>
      <c r="AR1103" s="658">
        <v>6.6666666666666697E-3</v>
      </c>
      <c r="AS1103" s="658">
        <v>6.6666666666666697E-3</v>
      </c>
      <c r="AT1103" s="658" t="s">
        <v>1417</v>
      </c>
      <c r="AU1103" s="658" t="s">
        <v>2751</v>
      </c>
      <c r="AX1103"/>
      <c r="AY1103"/>
      <c r="BA1103"/>
      <c r="BB1103"/>
      <c r="BC1103"/>
      <c r="BD1103"/>
      <c r="BE1103"/>
      <c r="BF1103"/>
      <c r="BG1103"/>
      <c r="BH1103"/>
      <c r="BI1103"/>
      <c r="BJ1103"/>
      <c r="BR1103"/>
      <c r="BS1103"/>
      <c r="BT1103"/>
      <c r="BU1103"/>
      <c r="BX1103"/>
      <c r="BY1103"/>
      <c r="CA1103"/>
    </row>
    <row r="1104" spans="2:79" ht="18.75">
      <c r="B1104" s="252" t="s">
        <v>584</v>
      </c>
      <c r="C1104" s="251">
        <v>11145210000194</v>
      </c>
      <c r="D1104" s="252" t="s">
        <v>14</v>
      </c>
      <c r="E1104" s="252" t="s">
        <v>607</v>
      </c>
      <c r="F1104" s="252" t="s">
        <v>1417</v>
      </c>
      <c r="G1104" s="253" t="s">
        <v>1417</v>
      </c>
      <c r="H1104" s="253" t="s">
        <v>34</v>
      </c>
      <c r="I1104" s="253" t="s">
        <v>34</v>
      </c>
      <c r="J1104" s="253" t="s">
        <v>611</v>
      </c>
      <c r="K1104" s="253" t="s">
        <v>1417</v>
      </c>
      <c r="L1104" s="655"/>
      <c r="M1104" s="655" t="s">
        <v>34</v>
      </c>
      <c r="N1104" s="253" t="s">
        <v>3721</v>
      </c>
      <c r="O1104" s="253" t="s">
        <v>1321</v>
      </c>
      <c r="P1104" s="656">
        <v>40068</v>
      </c>
      <c r="Q1104" s="657">
        <v>10.971423</v>
      </c>
      <c r="R1104" s="657">
        <v>11.368083951612901</v>
      </c>
      <c r="S1104" s="253">
        <v>50</v>
      </c>
      <c r="T1104" s="658">
        <v>2.1890338065674975E-2</v>
      </c>
      <c r="U1104" s="659">
        <v>1.094605567777972</v>
      </c>
      <c r="V1104" s="658">
        <v>-0.13725796305334326</v>
      </c>
      <c r="W1104" s="659">
        <v>-1.0644780636962607</v>
      </c>
      <c r="X1104" s="658">
        <v>-0.16851540533157661</v>
      </c>
      <c r="Y1104" s="659">
        <v>-0.8727400332150308</v>
      </c>
      <c r="Z1104" s="658">
        <v>0.25514673824157974</v>
      </c>
      <c r="AA1104" s="659">
        <v>1.1520582026778547</v>
      </c>
      <c r="AB1104" s="658">
        <v>0.23341671115217225</v>
      </c>
      <c r="AC1104" s="660">
        <v>-1.1404576441255125</v>
      </c>
      <c r="AD1104" s="682">
        <v>0</v>
      </c>
      <c r="AE1104" s="944" t="s">
        <v>1819</v>
      </c>
      <c r="AF1104" s="661" t="s">
        <v>1729</v>
      </c>
      <c r="AG1104" s="662" t="s">
        <v>1433</v>
      </c>
      <c r="AH1104" s="662" t="s">
        <v>1730</v>
      </c>
      <c r="AI1104" s="662">
        <v>100000</v>
      </c>
      <c r="AJ1104" s="662">
        <v>20000</v>
      </c>
      <c r="AK1104" s="662">
        <v>100000</v>
      </c>
      <c r="AL1104" s="658">
        <v>1.4999999999999999E-2</v>
      </c>
      <c r="AM1104" s="658">
        <v>0.15</v>
      </c>
      <c r="AN1104" s="659" t="s">
        <v>2127</v>
      </c>
      <c r="AO1104" s="253" t="s">
        <v>34</v>
      </c>
      <c r="AP1104" s="944" t="s">
        <v>1731</v>
      </c>
      <c r="AQ1104" s="663" t="s">
        <v>687</v>
      </c>
      <c r="AR1104" s="658">
        <v>4.2671999999999996E-3</v>
      </c>
      <c r="AS1104" s="658">
        <v>4.2671999999999996E-3</v>
      </c>
      <c r="AT1104" s="658" t="s">
        <v>1417</v>
      </c>
      <c r="AU1104" s="658" t="s">
        <v>2751</v>
      </c>
      <c r="AX1104"/>
      <c r="AY1104"/>
      <c r="BA1104"/>
      <c r="BB1104"/>
      <c r="BC1104"/>
      <c r="BD1104"/>
      <c r="BE1104"/>
      <c r="BF1104"/>
      <c r="BG1104"/>
      <c r="BH1104"/>
      <c r="BI1104"/>
      <c r="BJ1104"/>
      <c r="BR1104"/>
      <c r="BS1104"/>
      <c r="BT1104"/>
      <c r="BU1104"/>
      <c r="BX1104"/>
      <c r="BY1104"/>
      <c r="CA1104"/>
    </row>
    <row r="1105" spans="2:79" ht="18.75">
      <c r="B1105" s="252" t="s">
        <v>1091</v>
      </c>
      <c r="C1105" s="251">
        <v>17703320000100</v>
      </c>
      <c r="D1105" s="252" t="s">
        <v>14</v>
      </c>
      <c r="E1105" s="252" t="s">
        <v>607</v>
      </c>
      <c r="F1105" s="252" t="s">
        <v>1417</v>
      </c>
      <c r="G1105" s="253" t="s">
        <v>1417</v>
      </c>
      <c r="H1105" s="253" t="s">
        <v>34</v>
      </c>
      <c r="I1105" s="253" t="s">
        <v>34</v>
      </c>
      <c r="J1105" s="253" t="s">
        <v>611</v>
      </c>
      <c r="K1105" s="253" t="s">
        <v>1417</v>
      </c>
      <c r="L1105" s="655"/>
      <c r="M1105" s="655" t="s">
        <v>34</v>
      </c>
      <c r="N1105" s="253" t="s">
        <v>3722</v>
      </c>
      <c r="O1105" s="253" t="s">
        <v>1321</v>
      </c>
      <c r="P1105" s="656">
        <v>41416</v>
      </c>
      <c r="Q1105" s="657">
        <v>4.7009629999999998</v>
      </c>
      <c r="R1105" s="657">
        <v>4.3905494738955859</v>
      </c>
      <c r="S1105" s="253">
        <v>20</v>
      </c>
      <c r="T1105" s="658">
        <v>1.8808136464385727E-2</v>
      </c>
      <c r="U1105" s="659">
        <v>0.94048300358259984</v>
      </c>
      <c r="V1105" s="658">
        <v>-0.14591378308827174</v>
      </c>
      <c r="W1105" s="659">
        <v>-1.1316066320176712</v>
      </c>
      <c r="X1105" s="658">
        <v>-0.16076839778820196</v>
      </c>
      <c r="Y1105" s="659">
        <v>-0.83261833865886559</v>
      </c>
      <c r="Z1105" s="658">
        <v>0.29132102783794322</v>
      </c>
      <c r="AA1105" s="659">
        <v>1.3153951410324256</v>
      </c>
      <c r="AB1105" s="658">
        <v>0.2312756130727566</v>
      </c>
      <c r="AC1105" s="660">
        <v>-1.1884421746126475</v>
      </c>
      <c r="AD1105" s="682">
        <v>17703461000123</v>
      </c>
      <c r="AE1105" s="944" t="s">
        <v>1819</v>
      </c>
      <c r="AF1105" s="661" t="s">
        <v>1729</v>
      </c>
      <c r="AG1105" s="662" t="s">
        <v>1433</v>
      </c>
      <c r="AH1105" s="662" t="s">
        <v>1734</v>
      </c>
      <c r="AI1105" s="662">
        <v>20000</v>
      </c>
      <c r="AJ1105" s="662">
        <v>5000</v>
      </c>
      <c r="AK1105" s="662">
        <v>5000</v>
      </c>
      <c r="AL1105" s="658">
        <v>0.02</v>
      </c>
      <c r="AM1105" s="658">
        <v>0.2</v>
      </c>
      <c r="AN1105" s="659" t="s">
        <v>2127</v>
      </c>
      <c r="AO1105" s="253" t="s">
        <v>34</v>
      </c>
      <c r="AP1105" s="944" t="s">
        <v>1731</v>
      </c>
      <c r="AQ1105" s="663" t="s">
        <v>659</v>
      </c>
      <c r="AR1105" s="658">
        <v>5.3340000000000002E-3</v>
      </c>
      <c r="AS1105" s="658">
        <v>5.3340000000000002E-3</v>
      </c>
      <c r="AT1105" s="658" t="s">
        <v>1417</v>
      </c>
      <c r="AU1105" s="658" t="s">
        <v>2751</v>
      </c>
      <c r="AX1105"/>
      <c r="AY1105"/>
      <c r="BA1105"/>
      <c r="BB1105"/>
      <c r="BC1105"/>
      <c r="BD1105"/>
      <c r="BE1105"/>
      <c r="BF1105"/>
      <c r="BG1105"/>
      <c r="BH1105"/>
      <c r="BI1105"/>
      <c r="BJ1105"/>
      <c r="BR1105"/>
      <c r="BS1105"/>
      <c r="BT1105"/>
      <c r="BU1105"/>
      <c r="BX1105"/>
      <c r="BY1105"/>
      <c r="CA1105"/>
    </row>
    <row r="1106" spans="2:79" ht="18.75">
      <c r="B1106" s="252" t="s">
        <v>1092</v>
      </c>
      <c r="C1106" s="251">
        <v>39471486000181</v>
      </c>
      <c r="D1106" s="252" t="s">
        <v>14</v>
      </c>
      <c r="E1106" s="252" t="s">
        <v>607</v>
      </c>
      <c r="F1106" s="252" t="s">
        <v>1417</v>
      </c>
      <c r="G1106" s="253" t="s">
        <v>1417</v>
      </c>
      <c r="H1106" s="253" t="s">
        <v>34</v>
      </c>
      <c r="I1106" s="253" t="s">
        <v>34</v>
      </c>
      <c r="J1106" s="253" t="s">
        <v>608</v>
      </c>
      <c r="K1106" s="253" t="s">
        <v>48</v>
      </c>
      <c r="L1106" s="655"/>
      <c r="M1106" s="655" t="s">
        <v>1414</v>
      </c>
      <c r="N1106" s="253" t="s">
        <v>3723</v>
      </c>
      <c r="O1106" s="253" t="s">
        <v>1321</v>
      </c>
      <c r="P1106" s="656">
        <v>44097</v>
      </c>
      <c r="Q1106" s="657">
        <v>24.18791186</v>
      </c>
      <c r="R1106" s="657">
        <v>16.110716036519825</v>
      </c>
      <c r="S1106" s="253">
        <v>32</v>
      </c>
      <c r="T1106" s="658">
        <v>-1.922540075623691E-2</v>
      </c>
      <c r="U1106" s="659">
        <v>-0.96134790825994809</v>
      </c>
      <c r="V1106" s="658">
        <v>1.4784609260930281E-2</v>
      </c>
      <c r="W1106" s="659">
        <v>0.11465922915135041</v>
      </c>
      <c r="X1106" s="658">
        <v>-0.12097288000000006</v>
      </c>
      <c r="Y1106" s="659">
        <v>-0.62651764746124772</v>
      </c>
      <c r="Z1106" s="658"/>
      <c r="AA1106" s="659"/>
      <c r="AB1106" s="658">
        <v>0.20358215691190334</v>
      </c>
      <c r="AC1106" s="660">
        <v>-0.56075297519938616</v>
      </c>
      <c r="AD1106" s="682">
        <v>39471368000173</v>
      </c>
      <c r="AE1106" s="944" t="s">
        <v>2044</v>
      </c>
      <c r="AF1106" s="661" t="s">
        <v>1783</v>
      </c>
      <c r="AG1106" s="662" t="s">
        <v>736</v>
      </c>
      <c r="AH1106" s="662" t="s">
        <v>1734</v>
      </c>
      <c r="AI1106" s="662">
        <v>10000</v>
      </c>
      <c r="AJ1106" s="662">
        <v>1000</v>
      </c>
      <c r="AK1106" s="662">
        <v>1000</v>
      </c>
      <c r="AL1106" s="658">
        <v>0</v>
      </c>
      <c r="AM1106" s="658">
        <v>0</v>
      </c>
      <c r="AN1106" s="659" t="s">
        <v>666</v>
      </c>
      <c r="AO1106" s="253" t="s">
        <v>34</v>
      </c>
      <c r="AP1106" s="944" t="s">
        <v>1731</v>
      </c>
      <c r="AQ1106" s="663" t="s">
        <v>659</v>
      </c>
      <c r="AR1106" s="658">
        <v>3.5999999999999999E-3</v>
      </c>
      <c r="AS1106" s="658">
        <v>3.5999999999999999E-3</v>
      </c>
      <c r="AT1106" s="658" t="s">
        <v>1417</v>
      </c>
      <c r="AU1106" s="658" t="s">
        <v>2751</v>
      </c>
      <c r="AX1106"/>
      <c r="AY1106"/>
      <c r="BA1106"/>
      <c r="BB1106"/>
      <c r="BC1106"/>
      <c r="BD1106"/>
      <c r="BE1106"/>
      <c r="BF1106"/>
      <c r="BG1106"/>
      <c r="BH1106"/>
      <c r="BI1106"/>
      <c r="BJ1106"/>
      <c r="BR1106"/>
      <c r="BS1106"/>
      <c r="BT1106"/>
      <c r="BU1106"/>
      <c r="BX1106"/>
      <c r="BY1106"/>
      <c r="CA1106"/>
    </row>
    <row r="1107" spans="2:79" ht="18.75">
      <c r="B1107" s="252" t="s">
        <v>1094</v>
      </c>
      <c r="C1107" s="251">
        <v>39435574000128</v>
      </c>
      <c r="D1107" s="252" t="s">
        <v>14</v>
      </c>
      <c r="E1107" s="252" t="s">
        <v>607</v>
      </c>
      <c r="F1107" s="252" t="s">
        <v>1417</v>
      </c>
      <c r="G1107" s="253" t="s">
        <v>1417</v>
      </c>
      <c r="H1107" s="253" t="s">
        <v>34</v>
      </c>
      <c r="I1107" s="253" t="s">
        <v>34</v>
      </c>
      <c r="J1107" s="253" t="s">
        <v>608</v>
      </c>
      <c r="K1107" s="253" t="s">
        <v>48</v>
      </c>
      <c r="L1107" s="655"/>
      <c r="M1107" s="655" t="s">
        <v>1414</v>
      </c>
      <c r="N1107" s="253" t="s">
        <v>3725</v>
      </c>
      <c r="O1107" s="253" t="s">
        <v>1321</v>
      </c>
      <c r="P1107" s="656">
        <v>44092</v>
      </c>
      <c r="Q1107" s="657">
        <v>18.33755519</v>
      </c>
      <c r="R1107" s="657">
        <v>15.779787480969167</v>
      </c>
      <c r="S1107" s="253">
        <v>32</v>
      </c>
      <c r="T1107" s="658">
        <v>-1.8215874778404473E-4</v>
      </c>
      <c r="U1107" s="659">
        <v>-9.108675203903507E-3</v>
      </c>
      <c r="V1107" s="658">
        <v>2.1900256793613737E-2</v>
      </c>
      <c r="W1107" s="659">
        <v>0.16984328214937036</v>
      </c>
      <c r="X1107" s="658">
        <v>-7.7127100000000004E-2</v>
      </c>
      <c r="Y1107" s="659">
        <v>-0.39944067833640384</v>
      </c>
      <c r="Z1107" s="658"/>
      <c r="AA1107" s="659"/>
      <c r="AB1107" s="658">
        <v>0.19313881491116106</v>
      </c>
      <c r="AC1107" s="660">
        <v>-0.55423169445464382</v>
      </c>
      <c r="AD1107" s="682">
        <v>39433090000140</v>
      </c>
      <c r="AE1107" s="944" t="s">
        <v>2044</v>
      </c>
      <c r="AF1107" s="661" t="s">
        <v>1783</v>
      </c>
      <c r="AG1107" s="662" t="s">
        <v>736</v>
      </c>
      <c r="AH1107" s="662" t="s">
        <v>1730</v>
      </c>
      <c r="AI1107" s="662">
        <v>10000</v>
      </c>
      <c r="AJ1107" s="662">
        <v>0</v>
      </c>
      <c r="AK1107" s="662">
        <v>0</v>
      </c>
      <c r="AL1107" s="658">
        <v>0</v>
      </c>
      <c r="AM1107" s="658">
        <v>0</v>
      </c>
      <c r="AN1107" s="659" t="s">
        <v>666</v>
      </c>
      <c r="AO1107" s="253" t="s">
        <v>34</v>
      </c>
      <c r="AP1107" s="944" t="s">
        <v>1731</v>
      </c>
      <c r="AQ1107" s="663" t="s">
        <v>659</v>
      </c>
      <c r="AR1107" s="658">
        <v>3.5999999999999999E-3</v>
      </c>
      <c r="AS1107" s="658">
        <v>3.5999999999999999E-3</v>
      </c>
      <c r="AT1107" s="658" t="s">
        <v>1417</v>
      </c>
      <c r="AU1107" s="658" t="s">
        <v>2751</v>
      </c>
      <c r="AX1107"/>
      <c r="AY1107"/>
      <c r="BA1107"/>
      <c r="BB1107"/>
      <c r="BC1107"/>
      <c r="BD1107"/>
      <c r="BE1107"/>
      <c r="BF1107"/>
      <c r="BG1107"/>
      <c r="BH1107"/>
      <c r="BI1107"/>
      <c r="BJ1107"/>
      <c r="BR1107"/>
      <c r="BS1107"/>
      <c r="BT1107"/>
      <c r="BU1107"/>
      <c r="BX1107"/>
      <c r="BY1107"/>
      <c r="CA1107"/>
    </row>
    <row r="1108" spans="2:79" ht="18.75">
      <c r="B1108" s="252" t="s">
        <v>1681</v>
      </c>
      <c r="C1108" s="251">
        <v>21312739000109</v>
      </c>
      <c r="D1108" s="252" t="s">
        <v>14</v>
      </c>
      <c r="E1108" s="252" t="s">
        <v>607</v>
      </c>
      <c r="F1108" s="252" t="s">
        <v>1417</v>
      </c>
      <c r="G1108" s="253" t="s">
        <v>1417</v>
      </c>
      <c r="H1108" s="253" t="s">
        <v>34</v>
      </c>
      <c r="I1108" s="253" t="s">
        <v>34</v>
      </c>
      <c r="J1108" s="253" t="s">
        <v>608</v>
      </c>
      <c r="K1108" s="253" t="s">
        <v>48</v>
      </c>
      <c r="L1108" s="655"/>
      <c r="M1108" s="655" t="s">
        <v>34</v>
      </c>
      <c r="N1108" s="253" t="s">
        <v>3726</v>
      </c>
      <c r="O1108" s="253" t="s">
        <v>1321</v>
      </c>
      <c r="P1108" s="656">
        <v>41997</v>
      </c>
      <c r="Q1108" s="657">
        <v>0</v>
      </c>
      <c r="R1108" s="657">
        <v>14.147728586206901</v>
      </c>
      <c r="S1108" s="253">
        <v>32</v>
      </c>
      <c r="T1108" s="658"/>
      <c r="U1108" s="659"/>
      <c r="V1108" s="658">
        <v>1.2654837212635384E-2</v>
      </c>
      <c r="W1108" s="659">
        <v>9.8142186528458644E-2</v>
      </c>
      <c r="X1108" s="658">
        <v>-0.28246893926742955</v>
      </c>
      <c r="Y1108" s="659">
        <v>-1.462904539519138</v>
      </c>
      <c r="Z1108" s="658">
        <v>-0.29819277325157478</v>
      </c>
      <c r="AA1108" s="659">
        <v>-1.3464229751526975</v>
      </c>
      <c r="AB1108" s="658">
        <v>0.32684097116811034</v>
      </c>
      <c r="AC1108" s="660">
        <v>-0.35579710774491546</v>
      </c>
      <c r="AD1108" s="682">
        <v>21293631000116</v>
      </c>
      <c r="AE1108" s="944" t="s">
        <v>1766</v>
      </c>
      <c r="AF1108" s="661" t="s">
        <v>1767</v>
      </c>
      <c r="AG1108" s="662" t="s">
        <v>59</v>
      </c>
      <c r="AH1108" s="662" t="s">
        <v>1734</v>
      </c>
      <c r="AI1108" s="662">
        <v>5000</v>
      </c>
      <c r="AJ1108" s="662">
        <v>1000</v>
      </c>
      <c r="AK1108" s="662">
        <v>5000</v>
      </c>
      <c r="AL1108" s="658">
        <v>1.8600000000000002E-2</v>
      </c>
      <c r="AM1108" s="658">
        <v>0.2</v>
      </c>
      <c r="AN1108" s="659" t="s">
        <v>2122</v>
      </c>
      <c r="AO1108" s="253" t="s">
        <v>34</v>
      </c>
      <c r="AP1108" s="944" t="s">
        <v>1731</v>
      </c>
      <c r="AQ1108" s="663" t="s">
        <v>659</v>
      </c>
      <c r="AR1108" s="658">
        <v>6.6674166666666696E-3</v>
      </c>
      <c r="AS1108" s="658">
        <v>6.6674166666666696E-3</v>
      </c>
      <c r="AT1108" s="658" t="s">
        <v>1417</v>
      </c>
      <c r="AU1108" s="658" t="s">
        <v>2751</v>
      </c>
      <c r="AX1108"/>
      <c r="AY1108"/>
      <c r="BA1108"/>
      <c r="BB1108"/>
      <c r="BC1108"/>
      <c r="BD1108"/>
      <c r="BE1108"/>
      <c r="BF1108"/>
      <c r="BG1108"/>
      <c r="BH1108"/>
      <c r="BI1108"/>
      <c r="BJ1108"/>
      <c r="BR1108"/>
      <c r="BS1108"/>
      <c r="BT1108"/>
      <c r="BU1108"/>
      <c r="BX1108"/>
      <c r="BY1108"/>
      <c r="CA1108"/>
    </row>
    <row r="1109" spans="2:79" ht="18.75">
      <c r="B1109" s="252" t="s">
        <v>1095</v>
      </c>
      <c r="C1109" s="251">
        <v>6301947000119</v>
      </c>
      <c r="D1109" s="252" t="s">
        <v>13</v>
      </c>
      <c r="E1109" s="252" t="s">
        <v>615</v>
      </c>
      <c r="F1109" s="252" t="s">
        <v>619</v>
      </c>
      <c r="G1109" s="253" t="s">
        <v>34</v>
      </c>
      <c r="H1109" s="253" t="s">
        <v>1337</v>
      </c>
      <c r="I1109" s="253" t="s">
        <v>34</v>
      </c>
      <c r="J1109" s="253" t="s">
        <v>1417</v>
      </c>
      <c r="K1109" s="253" t="s">
        <v>48</v>
      </c>
      <c r="L1109" s="655"/>
      <c r="M1109" s="655" t="s">
        <v>1414</v>
      </c>
      <c r="N1109" s="253" t="s">
        <v>3727</v>
      </c>
      <c r="O1109" s="253" t="s">
        <v>1321</v>
      </c>
      <c r="P1109" s="656">
        <v>38149</v>
      </c>
      <c r="Q1109" s="657">
        <v>278.83976899999999</v>
      </c>
      <c r="R1109" s="657">
        <v>229.09951233064533</v>
      </c>
      <c r="S1109" s="253">
        <v>1</v>
      </c>
      <c r="T1109" s="658">
        <v>2.3462645800313542E-2</v>
      </c>
      <c r="U1109" s="659">
        <v>1.173227322975734</v>
      </c>
      <c r="V1109" s="658">
        <v>0.15500500056337274</v>
      </c>
      <c r="W1109" s="659">
        <v>1.202111842493337</v>
      </c>
      <c r="X1109" s="658">
        <v>0.20342272378998194</v>
      </c>
      <c r="Y1109" s="659">
        <v>1.0535247763718498</v>
      </c>
      <c r="Z1109" s="658">
        <v>0.25837917641603547</v>
      </c>
      <c r="AA1109" s="659">
        <v>1.1666535564699334</v>
      </c>
      <c r="AB1109" s="658">
        <v>1.6705314570720883E-2</v>
      </c>
      <c r="AC1109" s="660">
        <v>1.5600479120735156</v>
      </c>
      <c r="AD1109" s="682">
        <v>28087314000192</v>
      </c>
      <c r="AE1109" s="944" t="s">
        <v>1766</v>
      </c>
      <c r="AF1109" s="661" t="s">
        <v>1767</v>
      </c>
      <c r="AG1109" s="662" t="s">
        <v>59</v>
      </c>
      <c r="AH1109" s="662" t="s">
        <v>1734</v>
      </c>
      <c r="AI1109" s="662">
        <v>100</v>
      </c>
      <c r="AJ1109" s="662">
        <v>100</v>
      </c>
      <c r="AK1109" s="662">
        <v>100</v>
      </c>
      <c r="AL1109" s="658">
        <v>0.01</v>
      </c>
      <c r="AM1109" s="658">
        <v>0.2</v>
      </c>
      <c r="AN1109" s="659" t="s">
        <v>64</v>
      </c>
      <c r="AO1109" s="253" t="s">
        <v>34</v>
      </c>
      <c r="AP1109" s="944" t="s">
        <v>1746</v>
      </c>
      <c r="AQ1109" s="663" t="s">
        <v>664</v>
      </c>
      <c r="AR1109" s="658">
        <v>1.9997999999999999E-3</v>
      </c>
      <c r="AS1109" s="658">
        <v>1.9997999999999999E-3</v>
      </c>
      <c r="AT1109" s="658" t="s">
        <v>1417</v>
      </c>
      <c r="AU1109" s="658" t="s">
        <v>2751</v>
      </c>
      <c r="AX1109"/>
      <c r="AY1109"/>
      <c r="BA1109"/>
      <c r="BB1109"/>
      <c r="BC1109"/>
      <c r="BD1109"/>
      <c r="BE1109"/>
      <c r="BF1109"/>
      <c r="BG1109"/>
      <c r="BH1109"/>
      <c r="BI1109"/>
      <c r="BJ1109"/>
      <c r="BR1109"/>
      <c r="BS1109"/>
      <c r="BT1109"/>
      <c r="BU1109"/>
      <c r="BX1109"/>
      <c r="BY1109"/>
      <c r="CA1109"/>
    </row>
    <row r="1110" spans="2:79" ht="18.75">
      <c r="B1110" s="252" t="s">
        <v>1096</v>
      </c>
      <c r="C1110" s="251">
        <v>14146726000141</v>
      </c>
      <c r="D1110" s="252" t="s">
        <v>13</v>
      </c>
      <c r="E1110" s="252" t="s">
        <v>615</v>
      </c>
      <c r="F1110" s="252" t="s">
        <v>619</v>
      </c>
      <c r="G1110" s="253" t="s">
        <v>34</v>
      </c>
      <c r="H1110" s="253" t="s">
        <v>865</v>
      </c>
      <c r="I1110" s="253" t="s">
        <v>34</v>
      </c>
      <c r="J1110" s="253" t="s">
        <v>1417</v>
      </c>
      <c r="K1110" s="253" t="s">
        <v>48</v>
      </c>
      <c r="L1110" s="655"/>
      <c r="M1110" s="655" t="s">
        <v>34</v>
      </c>
      <c r="N1110" s="253" t="s">
        <v>3728</v>
      </c>
      <c r="O1110" s="253" t="s">
        <v>1321</v>
      </c>
      <c r="P1110" s="656">
        <v>40932</v>
      </c>
      <c r="Q1110" s="657">
        <v>0</v>
      </c>
      <c r="R1110" s="657">
        <v>0</v>
      </c>
      <c r="S1110" s="253">
        <v>31</v>
      </c>
      <c r="T1110" s="658"/>
      <c r="U1110" s="659"/>
      <c r="V1110" s="658"/>
      <c r="W1110" s="659"/>
      <c r="X1110" s="658"/>
      <c r="Y1110" s="659"/>
      <c r="Z1110" s="658"/>
      <c r="AA1110" s="659"/>
      <c r="AB1110" s="658"/>
      <c r="AC1110" s="660"/>
      <c r="AD1110" s="682">
        <v>14146709000104</v>
      </c>
      <c r="AE1110" s="944" t="s">
        <v>1766</v>
      </c>
      <c r="AF1110" s="661" t="s">
        <v>1767</v>
      </c>
      <c r="AG1110" s="662" t="s">
        <v>59</v>
      </c>
      <c r="AH1110" s="662" t="s">
        <v>1734</v>
      </c>
      <c r="AI1110" s="662">
        <v>500</v>
      </c>
      <c r="AJ1110" s="662">
        <v>100</v>
      </c>
      <c r="AK1110" s="662">
        <v>100</v>
      </c>
      <c r="AL1110" s="658">
        <v>1.9E-2</v>
      </c>
      <c r="AM1110" s="658">
        <v>0.2</v>
      </c>
      <c r="AN1110" s="659" t="s">
        <v>64</v>
      </c>
      <c r="AO1110" s="253" t="s">
        <v>34</v>
      </c>
      <c r="AP1110" s="944" t="s">
        <v>1746</v>
      </c>
      <c r="AQ1110" s="663" t="s">
        <v>664</v>
      </c>
      <c r="AR1110" s="658">
        <v>4.00013333333333E-3</v>
      </c>
      <c r="AS1110" s="658">
        <v>4.00013333333333E-3</v>
      </c>
      <c r="AT1110" s="658" t="s">
        <v>1417</v>
      </c>
      <c r="AU1110" s="658" t="s">
        <v>2751</v>
      </c>
      <c r="AX1110"/>
      <c r="AY1110"/>
      <c r="BA1110"/>
      <c r="BB1110"/>
      <c r="BC1110"/>
      <c r="BD1110"/>
      <c r="BE1110"/>
      <c r="BF1110"/>
      <c r="BG1110"/>
      <c r="BH1110"/>
      <c r="BI1110"/>
      <c r="BJ1110"/>
      <c r="BR1110"/>
      <c r="BS1110"/>
      <c r="BT1110"/>
      <c r="BU1110"/>
      <c r="BX1110"/>
      <c r="BY1110"/>
      <c r="CA1110"/>
    </row>
    <row r="1111" spans="2:79" ht="18.75">
      <c r="B1111" s="252" t="s">
        <v>1097</v>
      </c>
      <c r="C1111" s="251">
        <v>14806166000104</v>
      </c>
      <c r="D1111" s="252" t="s">
        <v>13</v>
      </c>
      <c r="E1111" s="252" t="s">
        <v>615</v>
      </c>
      <c r="F1111" s="252" t="s">
        <v>619</v>
      </c>
      <c r="G1111" s="253" t="s">
        <v>34</v>
      </c>
      <c r="H1111" s="253" t="s">
        <v>865</v>
      </c>
      <c r="I1111" s="253" t="s">
        <v>34</v>
      </c>
      <c r="J1111" s="253" t="s">
        <v>1417</v>
      </c>
      <c r="K1111" s="253" t="s">
        <v>48</v>
      </c>
      <c r="L1111" s="655"/>
      <c r="M1111" s="655" t="s">
        <v>34</v>
      </c>
      <c r="N1111" s="253" t="s">
        <v>3729</v>
      </c>
      <c r="O1111" s="253" t="s">
        <v>1324</v>
      </c>
      <c r="P1111" s="656">
        <v>40996</v>
      </c>
      <c r="Q1111" s="657">
        <v>46.995662000000003</v>
      </c>
      <c r="R1111" s="657">
        <v>30.931048693877532</v>
      </c>
      <c r="S1111" s="253">
        <v>5</v>
      </c>
      <c r="T1111" s="658">
        <v>3.6202563619158301E-2</v>
      </c>
      <c r="U1111" s="659">
        <v>1.8102748156048196</v>
      </c>
      <c r="V1111" s="658">
        <v>0.24948419659591781</v>
      </c>
      <c r="W1111" s="659">
        <v>1.9348273033312453</v>
      </c>
      <c r="X1111" s="658">
        <v>0.2470999841831325</v>
      </c>
      <c r="Y1111" s="659">
        <v>1.2797289837038486</v>
      </c>
      <c r="Z1111" s="658">
        <v>0.3568792408782917</v>
      </c>
      <c r="AA1111" s="659">
        <v>1.6114086335291429</v>
      </c>
      <c r="AB1111" s="658">
        <v>6.7186484748429323E-2</v>
      </c>
      <c r="AC1111" s="660">
        <v>1.7941151051506297</v>
      </c>
      <c r="AD1111" s="682">
        <v>14146709000104</v>
      </c>
      <c r="AE1111" s="944" t="s">
        <v>1766</v>
      </c>
      <c r="AF1111" s="661" t="s">
        <v>1767</v>
      </c>
      <c r="AG1111" s="662" t="s">
        <v>59</v>
      </c>
      <c r="AH1111" s="662" t="s">
        <v>1734</v>
      </c>
      <c r="AI1111" s="662">
        <v>500</v>
      </c>
      <c r="AJ1111" s="662">
        <v>100</v>
      </c>
      <c r="AK1111" s="662">
        <v>100</v>
      </c>
      <c r="AL1111" s="658">
        <v>1.8600000000000002E-2</v>
      </c>
      <c r="AM1111" s="658">
        <v>0.2</v>
      </c>
      <c r="AN1111" s="659" t="s">
        <v>64</v>
      </c>
      <c r="AO1111" s="253" t="s">
        <v>34</v>
      </c>
      <c r="AP1111" s="944" t="s">
        <v>1746</v>
      </c>
      <c r="AQ1111" s="663" t="s">
        <v>664</v>
      </c>
      <c r="AR1111" s="658">
        <v>6.6674166666666696E-3</v>
      </c>
      <c r="AS1111" s="658">
        <v>6.6674166666666696E-3</v>
      </c>
      <c r="AT1111" s="658" t="s">
        <v>1417</v>
      </c>
      <c r="AU1111" s="658" t="s">
        <v>2751</v>
      </c>
      <c r="AX1111"/>
      <c r="AY1111"/>
      <c r="BA1111"/>
      <c r="BB1111"/>
      <c r="BC1111"/>
      <c r="BD1111"/>
      <c r="BE1111"/>
      <c r="BF1111"/>
      <c r="BG1111"/>
      <c r="BH1111"/>
      <c r="BI1111"/>
      <c r="BJ1111"/>
      <c r="BR1111"/>
      <c r="BS1111"/>
      <c r="BT1111"/>
      <c r="BU1111"/>
      <c r="BX1111"/>
      <c r="BY1111"/>
      <c r="CA1111"/>
    </row>
    <row r="1112" spans="2:79" ht="18.75">
      <c r="B1112" s="252" t="s">
        <v>313</v>
      </c>
      <c r="C1112" s="251">
        <v>30995398000104</v>
      </c>
      <c r="D1112" s="252" t="s">
        <v>14</v>
      </c>
      <c r="E1112" s="252" t="s">
        <v>614</v>
      </c>
      <c r="F1112" s="252" t="s">
        <v>1417</v>
      </c>
      <c r="G1112" s="253" t="s">
        <v>1417</v>
      </c>
      <c r="H1112" s="253" t="s">
        <v>1338</v>
      </c>
      <c r="I1112" s="253" t="s">
        <v>34</v>
      </c>
      <c r="J1112" s="253" t="s">
        <v>608</v>
      </c>
      <c r="K1112" s="253" t="s">
        <v>48</v>
      </c>
      <c r="L1112" s="655"/>
      <c r="M1112" s="655" t="s">
        <v>34</v>
      </c>
      <c r="N1112" s="253" t="s">
        <v>3730</v>
      </c>
      <c r="O1112" s="253" t="s">
        <v>1324</v>
      </c>
      <c r="P1112" s="656">
        <v>43464</v>
      </c>
      <c r="Q1112" s="657">
        <v>17.214063450000001</v>
      </c>
      <c r="R1112" s="657">
        <v>18.303111564779119</v>
      </c>
      <c r="S1112" s="253">
        <v>32</v>
      </c>
      <c r="T1112" s="658">
        <v>-7.3244873539980437E-3</v>
      </c>
      <c r="U1112" s="659">
        <v>-0.36625403475962226</v>
      </c>
      <c r="V1112" s="658">
        <v>-4.6138901186585368E-3</v>
      </c>
      <c r="W1112" s="659">
        <v>-3.5782148520652417E-2</v>
      </c>
      <c r="X1112" s="658">
        <v>-0.21869843920880983</v>
      </c>
      <c r="Y1112" s="659">
        <v>-1.1326375931245927</v>
      </c>
      <c r="Z1112" s="658">
        <v>-0.13688693557110354</v>
      </c>
      <c r="AA1112" s="659">
        <v>-0.61808243386128914</v>
      </c>
      <c r="AB1112" s="658">
        <v>0.22403854623396599</v>
      </c>
      <c r="AC1112" s="660">
        <v>-0.59613759243898579</v>
      </c>
      <c r="AD1112" s="682">
        <v>30994058000169</v>
      </c>
      <c r="AE1112" s="944" t="s">
        <v>1766</v>
      </c>
      <c r="AF1112" s="661" t="s">
        <v>1767</v>
      </c>
      <c r="AG1112" s="662" t="s">
        <v>59</v>
      </c>
      <c r="AH1112" s="662" t="s">
        <v>1734</v>
      </c>
      <c r="AI1112" s="662">
        <v>500</v>
      </c>
      <c r="AJ1112" s="662">
        <v>1000</v>
      </c>
      <c r="AK1112" s="662">
        <v>100</v>
      </c>
      <c r="AL1112" s="658">
        <v>0</v>
      </c>
      <c r="AM1112" s="658">
        <v>0</v>
      </c>
      <c r="AN1112" s="659" t="s">
        <v>2122</v>
      </c>
      <c r="AO1112" s="253" t="s">
        <v>34</v>
      </c>
      <c r="AP1112" s="944" t="s">
        <v>1746</v>
      </c>
      <c r="AQ1112" s="663" t="s">
        <v>668</v>
      </c>
      <c r="AR1112" s="658">
        <v>6.6674166666666696E-3</v>
      </c>
      <c r="AS1112" s="658">
        <v>6.6674166666666696E-3</v>
      </c>
      <c r="AT1112" s="658" t="s">
        <v>1417</v>
      </c>
      <c r="AU1112" s="658" t="s">
        <v>2751</v>
      </c>
      <c r="AX1112"/>
      <c r="AY1112"/>
      <c r="BA1112"/>
      <c r="BB1112"/>
      <c r="BC1112"/>
      <c r="BD1112"/>
      <c r="BE1112"/>
      <c r="BF1112"/>
      <c r="BG1112"/>
      <c r="BH1112"/>
      <c r="BI1112"/>
      <c r="BJ1112"/>
      <c r="BR1112"/>
      <c r="BS1112"/>
      <c r="BT1112"/>
      <c r="BU1112"/>
      <c r="BX1112"/>
      <c r="BY1112"/>
      <c r="CA1112"/>
    </row>
    <row r="1113" spans="2:79" ht="18.75">
      <c r="B1113" s="252" t="s">
        <v>22</v>
      </c>
      <c r="C1113" s="251">
        <v>39958357000112</v>
      </c>
      <c r="D1113" s="252" t="s">
        <v>13</v>
      </c>
      <c r="E1113" s="252" t="s">
        <v>616</v>
      </c>
      <c r="F1113" s="252" t="s">
        <v>619</v>
      </c>
      <c r="G1113" s="253" t="s">
        <v>34</v>
      </c>
      <c r="H1113" s="253" t="s">
        <v>865</v>
      </c>
      <c r="I1113" s="253" t="s">
        <v>34</v>
      </c>
      <c r="J1113" s="253" t="s">
        <v>611</v>
      </c>
      <c r="K1113" s="253" t="s">
        <v>48</v>
      </c>
      <c r="L1113" s="655"/>
      <c r="M1113" s="655" t="s">
        <v>34</v>
      </c>
      <c r="N1113" s="253" t="s">
        <v>3732</v>
      </c>
      <c r="O1113" s="253" t="s">
        <v>1321</v>
      </c>
      <c r="P1113" s="656">
        <v>44191</v>
      </c>
      <c r="Q1113" s="657">
        <v>160.87814277999999</v>
      </c>
      <c r="R1113" s="657">
        <v>161.5026590757831</v>
      </c>
      <c r="S1113" s="253">
        <v>31</v>
      </c>
      <c r="T1113" s="658">
        <v>-2.487118623038076E-3</v>
      </c>
      <c r="U1113" s="659">
        <v>-0.12436600496228185</v>
      </c>
      <c r="V1113" s="658">
        <v>0.11873139680858347</v>
      </c>
      <c r="W1113" s="659">
        <v>0.92079879784923602</v>
      </c>
      <c r="X1113" s="658">
        <v>0.13931114047165405</v>
      </c>
      <c r="Y1113" s="659">
        <v>0.72149136230735411</v>
      </c>
      <c r="Z1113" s="658"/>
      <c r="AA1113" s="659"/>
      <c r="AB1113" s="658">
        <v>4.1788784701938898E-2</v>
      </c>
      <c r="AC1113" s="660">
        <v>-0.24438405450281134</v>
      </c>
      <c r="AD1113" s="682">
        <v>39913857000138</v>
      </c>
      <c r="AE1113" s="944" t="s">
        <v>2038</v>
      </c>
      <c r="AF1113" s="661" t="s">
        <v>1745</v>
      </c>
      <c r="AG1113" s="662" t="s">
        <v>1432</v>
      </c>
      <c r="AH1113" s="662" t="s">
        <v>1734</v>
      </c>
      <c r="AI1113" s="662">
        <v>1000</v>
      </c>
      <c r="AJ1113" s="662">
        <v>500</v>
      </c>
      <c r="AK1113" s="662">
        <v>500</v>
      </c>
      <c r="AL1113" s="658">
        <v>1.95E-2</v>
      </c>
      <c r="AM1113" s="658">
        <v>0.2</v>
      </c>
      <c r="AN1113" s="659" t="s">
        <v>34</v>
      </c>
      <c r="AO1113" s="253" t="s">
        <v>34</v>
      </c>
      <c r="AP1113" s="944" t="s">
        <v>1746</v>
      </c>
      <c r="AQ1113" s="663" t="s">
        <v>668</v>
      </c>
      <c r="AR1113" s="658">
        <v>5.2006500000000002E-3</v>
      </c>
      <c r="AS1113" s="658">
        <v>5.2006500000000002E-3</v>
      </c>
      <c r="AT1113" s="658" t="s">
        <v>1417</v>
      </c>
      <c r="AU1113" s="658" t="s">
        <v>2751</v>
      </c>
      <c r="AX1113"/>
      <c r="AY1113"/>
      <c r="BA1113"/>
      <c r="BB1113"/>
      <c r="BC1113"/>
      <c r="BD1113"/>
      <c r="BE1113"/>
      <c r="BF1113"/>
      <c r="BG1113"/>
      <c r="BH1113"/>
      <c r="BI1113"/>
      <c r="BJ1113"/>
      <c r="BR1113"/>
      <c r="BS1113"/>
      <c r="BT1113"/>
      <c r="BU1113"/>
      <c r="BX1113"/>
      <c r="BY1113"/>
      <c r="CA1113"/>
    </row>
    <row r="1114" spans="2:79" ht="18.75">
      <c r="B1114" s="252" t="s">
        <v>23</v>
      </c>
      <c r="C1114" s="251">
        <v>39958195000112</v>
      </c>
      <c r="D1114" s="252" t="s">
        <v>13</v>
      </c>
      <c r="E1114" s="252" t="s">
        <v>616</v>
      </c>
      <c r="F1114" s="252" t="s">
        <v>619</v>
      </c>
      <c r="G1114" s="253" t="s">
        <v>34</v>
      </c>
      <c r="H1114" s="253" t="s">
        <v>1338</v>
      </c>
      <c r="I1114" s="253" t="s">
        <v>34</v>
      </c>
      <c r="J1114" s="253" t="s">
        <v>611</v>
      </c>
      <c r="K1114" s="253" t="s">
        <v>48</v>
      </c>
      <c r="L1114" s="655"/>
      <c r="M1114" s="655" t="s">
        <v>34</v>
      </c>
      <c r="N1114" s="253" t="s">
        <v>3733</v>
      </c>
      <c r="O1114" s="253" t="s">
        <v>1321</v>
      </c>
      <c r="P1114" s="656">
        <v>44185</v>
      </c>
      <c r="Q1114" s="657">
        <v>612.41951504999997</v>
      </c>
      <c r="R1114" s="657">
        <v>557.0023018849397</v>
      </c>
      <c r="S1114" s="253">
        <v>31</v>
      </c>
      <c r="T1114" s="658">
        <v>-9.3483488490843092E-3</v>
      </c>
      <c r="U1114" s="659">
        <v>-0.46745530695041648</v>
      </c>
      <c r="V1114" s="658">
        <v>0.12371028084667768</v>
      </c>
      <c r="W1114" s="659">
        <v>0.95941158739048116</v>
      </c>
      <c r="X1114" s="658">
        <v>0.13384657302980707</v>
      </c>
      <c r="Y1114" s="659">
        <v>0.69319040809299382</v>
      </c>
      <c r="Z1114" s="658"/>
      <c r="AA1114" s="659"/>
      <c r="AB1114" s="658">
        <v>5.1771229594586535E-2</v>
      </c>
      <c r="AC1114" s="660">
        <v>-0.10109144868867338</v>
      </c>
      <c r="AD1114" s="682">
        <v>39913737000130</v>
      </c>
      <c r="AE1114" s="944" t="s">
        <v>2038</v>
      </c>
      <c r="AF1114" s="661" t="s">
        <v>1745</v>
      </c>
      <c r="AG1114" s="662" t="s">
        <v>1432</v>
      </c>
      <c r="AH1114" s="662" t="s">
        <v>1730</v>
      </c>
      <c r="AI1114" s="662">
        <v>5000</v>
      </c>
      <c r="AJ1114" s="662">
        <v>1000</v>
      </c>
      <c r="AK1114" s="662">
        <v>1000</v>
      </c>
      <c r="AL1114" s="658">
        <v>1.95E-2</v>
      </c>
      <c r="AM1114" s="658">
        <v>0.2</v>
      </c>
      <c r="AN1114" s="659" t="s">
        <v>34</v>
      </c>
      <c r="AO1114" s="253" t="s">
        <v>34</v>
      </c>
      <c r="AP1114" s="944" t="s">
        <v>1746</v>
      </c>
      <c r="AQ1114" s="663" t="s">
        <v>668</v>
      </c>
      <c r="AR1114" s="658">
        <v>5.2006500000000002E-3</v>
      </c>
      <c r="AS1114" s="658">
        <v>5.2006500000000002E-3</v>
      </c>
      <c r="AT1114" s="658" t="s">
        <v>1417</v>
      </c>
      <c r="AU1114" s="658" t="s">
        <v>2751</v>
      </c>
      <c r="AX1114"/>
      <c r="AY1114"/>
      <c r="BA1114"/>
      <c r="BB1114"/>
      <c r="BC1114"/>
      <c r="BD1114"/>
      <c r="BE1114"/>
      <c r="BF1114"/>
      <c r="BG1114"/>
      <c r="BH1114"/>
      <c r="BI1114"/>
      <c r="BJ1114"/>
      <c r="BR1114"/>
      <c r="BS1114"/>
      <c r="BT1114"/>
      <c r="BU1114"/>
      <c r="BX1114"/>
      <c r="BY1114"/>
      <c r="CA1114"/>
    </row>
    <row r="1115" spans="2:79" ht="18.75">
      <c r="B1115" s="252" t="s">
        <v>495</v>
      </c>
      <c r="C1115" s="251">
        <v>29853005000149</v>
      </c>
      <c r="D1115" s="252" t="s">
        <v>11</v>
      </c>
      <c r="E1115" s="252" t="s">
        <v>4235</v>
      </c>
      <c r="F1115" s="252" t="s">
        <v>1417</v>
      </c>
      <c r="G1115" s="253" t="s">
        <v>738</v>
      </c>
      <c r="H1115" s="253" t="s">
        <v>34</v>
      </c>
      <c r="I1115" s="253" t="s">
        <v>34</v>
      </c>
      <c r="J1115" s="253" t="s">
        <v>611</v>
      </c>
      <c r="K1115" s="253" t="s">
        <v>48</v>
      </c>
      <c r="L1115" s="655"/>
      <c r="M1115" s="655" t="s">
        <v>34</v>
      </c>
      <c r="N1115" s="253" t="s">
        <v>3735</v>
      </c>
      <c r="O1115" s="253" t="s">
        <v>1321</v>
      </c>
      <c r="P1115" s="656">
        <v>43238</v>
      </c>
      <c r="Q1115" s="657">
        <v>256.06478069999997</v>
      </c>
      <c r="R1115" s="657">
        <v>333.28921708318575</v>
      </c>
      <c r="S1115" s="253">
        <v>12</v>
      </c>
      <c r="T1115" s="658">
        <v>4.0477513270551713E-2</v>
      </c>
      <c r="U1115" s="659">
        <v>2.0240396134049599</v>
      </c>
      <c r="V1115" s="658">
        <v>6.1324459670512921E-2</v>
      </c>
      <c r="W1115" s="659">
        <v>0.47559019990641638</v>
      </c>
      <c r="X1115" s="658">
        <v>0.10355127668967756</v>
      </c>
      <c r="Y1115" s="659">
        <v>0.53629129324874714</v>
      </c>
      <c r="Z1115" s="658">
        <v>0.1638904330658455</v>
      </c>
      <c r="AA1115" s="659">
        <v>0.74001070542850378</v>
      </c>
      <c r="AB1115" s="658">
        <v>4.5964652167376115E-2</v>
      </c>
      <c r="AC1115" s="660">
        <v>-1.4711184918803548</v>
      </c>
      <c r="AD1115" s="682">
        <v>29363886000110</v>
      </c>
      <c r="AE1115" s="944" t="s">
        <v>1940</v>
      </c>
      <c r="AF1115" s="661" t="s">
        <v>1729</v>
      </c>
      <c r="AG1115" s="662" t="s">
        <v>1433</v>
      </c>
      <c r="AH1115" s="662" t="s">
        <v>1730</v>
      </c>
      <c r="AI1115" s="662">
        <v>0</v>
      </c>
      <c r="AJ1115" s="662">
        <v>1000</v>
      </c>
      <c r="AK1115" s="662">
        <v>1000</v>
      </c>
      <c r="AL1115" s="658">
        <v>8.5000000000000006E-3</v>
      </c>
      <c r="AM1115" s="658">
        <v>0</v>
      </c>
      <c r="AN1115" s="659" t="s">
        <v>34</v>
      </c>
      <c r="AO1115" s="253" t="s">
        <v>34</v>
      </c>
      <c r="AP1115" s="944" t="s">
        <v>1746</v>
      </c>
      <c r="AQ1115" s="663" t="s">
        <v>679</v>
      </c>
      <c r="AR1115" s="658">
        <v>5.6666666666666697E-3</v>
      </c>
      <c r="AS1115" s="658">
        <v>5.6666666666666697E-3</v>
      </c>
      <c r="AT1115" s="658" t="s">
        <v>1417</v>
      </c>
      <c r="AU1115" s="658" t="s">
        <v>2751</v>
      </c>
      <c r="AX1115"/>
      <c r="AY1115"/>
      <c r="BA1115"/>
      <c r="BB1115"/>
      <c r="BC1115"/>
      <c r="BD1115"/>
      <c r="BE1115"/>
      <c r="BF1115"/>
      <c r="BG1115"/>
      <c r="BH1115"/>
      <c r="BI1115"/>
      <c r="BJ1115"/>
      <c r="BR1115"/>
      <c r="BS1115"/>
      <c r="BT1115"/>
      <c r="BU1115"/>
      <c r="BX1115"/>
      <c r="BY1115"/>
      <c r="CA1115"/>
    </row>
    <row r="1116" spans="2:79" ht="18.75">
      <c r="B1116" s="252" t="s">
        <v>315</v>
      </c>
      <c r="C1116" s="251">
        <v>40660810000199</v>
      </c>
      <c r="D1116" s="252" t="s">
        <v>11</v>
      </c>
      <c r="E1116" s="252" t="s">
        <v>4235</v>
      </c>
      <c r="F1116" s="252" t="s">
        <v>1417</v>
      </c>
      <c r="G1116" s="253" t="s">
        <v>738</v>
      </c>
      <c r="H1116" s="253" t="s">
        <v>34</v>
      </c>
      <c r="I1116" s="253" t="s">
        <v>34</v>
      </c>
      <c r="J1116" s="253" t="s">
        <v>611</v>
      </c>
      <c r="K1116" s="253" t="s">
        <v>49</v>
      </c>
      <c r="L1116" s="655"/>
      <c r="M1116" s="655" t="s">
        <v>34</v>
      </c>
      <c r="N1116" s="253" t="s">
        <v>3736</v>
      </c>
      <c r="O1116" s="253" t="s">
        <v>1321</v>
      </c>
      <c r="P1116" s="656">
        <v>44277</v>
      </c>
      <c r="Q1116" s="657">
        <v>14.855168239999999</v>
      </c>
      <c r="R1116" s="657">
        <v>15.38659153729839</v>
      </c>
      <c r="S1116" s="253">
        <v>12</v>
      </c>
      <c r="T1116" s="658">
        <v>1.3736151957921328E-2</v>
      </c>
      <c r="U1116" s="659">
        <v>0.68686323472370558</v>
      </c>
      <c r="V1116" s="658">
        <v>-2.2343827310505104E-2</v>
      </c>
      <c r="W1116" s="659">
        <v>-0.17328330904784453</v>
      </c>
      <c r="X1116" s="658"/>
      <c r="Y1116" s="659"/>
      <c r="Z1116" s="658"/>
      <c r="AA1116" s="659"/>
      <c r="AB1116" s="658">
        <v>0.17226511134405961</v>
      </c>
      <c r="AC1116" s="660">
        <v>-0.87822621526149469</v>
      </c>
      <c r="AD1116" s="682">
        <v>38281496000191</v>
      </c>
      <c r="AE1116" s="944" t="s">
        <v>1940</v>
      </c>
      <c r="AF1116" s="661" t="s">
        <v>1729</v>
      </c>
      <c r="AG1116" s="662" t="s">
        <v>1433</v>
      </c>
      <c r="AH1116" s="662" t="s">
        <v>1730</v>
      </c>
      <c r="AI1116" s="662">
        <v>500</v>
      </c>
      <c r="AJ1116" s="662">
        <v>0</v>
      </c>
      <c r="AK1116" s="662">
        <v>500</v>
      </c>
      <c r="AL1116" s="658">
        <v>8.5000000000000006E-3</v>
      </c>
      <c r="AM1116" s="658">
        <v>0</v>
      </c>
      <c r="AN1116" s="659" t="s">
        <v>34</v>
      </c>
      <c r="AO1116" s="253" t="s">
        <v>34</v>
      </c>
      <c r="AP1116" s="944" t="s">
        <v>1746</v>
      </c>
      <c r="AQ1116" s="663" t="s">
        <v>679</v>
      </c>
      <c r="AR1116" s="658">
        <v>5.6666666666666697E-3</v>
      </c>
      <c r="AS1116" s="658">
        <v>5.6666666666666697E-3</v>
      </c>
      <c r="AT1116" s="658" t="s">
        <v>1417</v>
      </c>
      <c r="AU1116" s="658" t="s">
        <v>2751</v>
      </c>
      <c r="AX1116"/>
      <c r="AY1116"/>
      <c r="BA1116"/>
      <c r="BB1116"/>
      <c r="BC1116"/>
      <c r="BD1116"/>
      <c r="BE1116"/>
      <c r="BF1116"/>
      <c r="BG1116"/>
      <c r="BH1116"/>
      <c r="BI1116"/>
      <c r="BJ1116"/>
      <c r="BR1116"/>
      <c r="BS1116"/>
      <c r="BT1116"/>
      <c r="BU1116"/>
      <c r="BX1116"/>
      <c r="BY1116"/>
      <c r="CA1116"/>
    </row>
    <row r="1117" spans="2:79" ht="18.75">
      <c r="B1117" s="252" t="s">
        <v>4526</v>
      </c>
      <c r="C1117" s="251">
        <v>41128181000113</v>
      </c>
      <c r="D1117" s="252" t="s">
        <v>13</v>
      </c>
      <c r="E1117" s="252" t="s">
        <v>615</v>
      </c>
      <c r="F1117" s="252" t="s">
        <v>619</v>
      </c>
      <c r="G1117" s="253" t="s">
        <v>34</v>
      </c>
      <c r="H1117" s="253" t="s">
        <v>34</v>
      </c>
      <c r="I1117" s="253" t="s">
        <v>34</v>
      </c>
      <c r="J1117" s="253" t="s">
        <v>608</v>
      </c>
      <c r="K1117" s="253" t="s">
        <v>48</v>
      </c>
      <c r="L1117" s="655"/>
      <c r="M1117" s="655" t="s">
        <v>34</v>
      </c>
      <c r="N1117" s="253" t="s">
        <v>4527</v>
      </c>
      <c r="O1117" s="253" t="s">
        <v>1321</v>
      </c>
      <c r="P1117" s="656">
        <v>44721</v>
      </c>
      <c r="Q1117" s="657">
        <v>5.1308366599999999</v>
      </c>
      <c r="R1117" s="657">
        <v>5.1129180224999997</v>
      </c>
      <c r="S1117" s="253">
        <v>3</v>
      </c>
      <c r="T1117" s="658">
        <v>-5.0562983733293265E-4</v>
      </c>
      <c r="U1117" s="659">
        <v>-2.5283539866712088E-2</v>
      </c>
      <c r="V1117" s="658"/>
      <c r="W1117" s="659"/>
      <c r="X1117" s="658"/>
      <c r="Y1117" s="659"/>
      <c r="Z1117" s="658"/>
      <c r="AA1117" s="659"/>
      <c r="AB1117" s="658">
        <v>3.2498041323562224E-2</v>
      </c>
      <c r="AC1117" s="660"/>
      <c r="AD1117" s="682">
        <v>44156954000163</v>
      </c>
      <c r="AE1117" s="944" t="s">
        <v>1825</v>
      </c>
      <c r="AF1117" s="661" t="s">
        <v>1729</v>
      </c>
      <c r="AG1117" s="662" t="s">
        <v>1433</v>
      </c>
      <c r="AH1117" s="662" t="s">
        <v>2119</v>
      </c>
      <c r="AI1117" s="662">
        <v>0</v>
      </c>
      <c r="AJ1117" s="662">
        <v>0</v>
      </c>
      <c r="AK1117" s="662">
        <v>0</v>
      </c>
      <c r="AL1117" s="658">
        <v>0.01</v>
      </c>
      <c r="AM1117" s="658">
        <v>0</v>
      </c>
      <c r="AN1117" s="659" t="s">
        <v>64</v>
      </c>
      <c r="AO1117" s="253" t="s">
        <v>4400</v>
      </c>
      <c r="AP1117" s="944" t="s">
        <v>1746</v>
      </c>
      <c r="AQ1117" s="663" t="s">
        <v>2177</v>
      </c>
      <c r="AR1117" s="658">
        <v>0</v>
      </c>
      <c r="AS1117" s="658">
        <v>0</v>
      </c>
      <c r="AT1117" s="658" t="s">
        <v>1417</v>
      </c>
      <c r="AU1117" s="658" t="s">
        <v>2751</v>
      </c>
      <c r="AX1117"/>
      <c r="AY1117"/>
      <c r="BA1117"/>
      <c r="BB1117"/>
      <c r="BC1117"/>
      <c r="BD1117"/>
      <c r="BE1117"/>
      <c r="BF1117"/>
      <c r="BG1117"/>
      <c r="BH1117"/>
      <c r="BI1117"/>
      <c r="BJ1117"/>
      <c r="BR1117"/>
      <c r="BS1117"/>
      <c r="BT1117"/>
      <c r="BU1117"/>
      <c r="BX1117"/>
      <c r="BY1117"/>
      <c r="CA1117"/>
    </row>
    <row r="1118" spans="2:79" ht="18.75">
      <c r="B1118" s="252" t="s">
        <v>316</v>
      </c>
      <c r="C1118" s="251">
        <v>11403956000150</v>
      </c>
      <c r="D1118" s="252" t="s">
        <v>13</v>
      </c>
      <c r="E1118" s="252" t="s">
        <v>616</v>
      </c>
      <c r="F1118" s="252" t="s">
        <v>617</v>
      </c>
      <c r="G1118" s="253" t="s">
        <v>34</v>
      </c>
      <c r="H1118" s="253" t="s">
        <v>1337</v>
      </c>
      <c r="I1118" s="253" t="s">
        <v>34</v>
      </c>
      <c r="J1118" s="253" t="s">
        <v>608</v>
      </c>
      <c r="K1118" s="253" t="s">
        <v>48</v>
      </c>
      <c r="L1118" s="655"/>
      <c r="M1118" s="655" t="s">
        <v>34</v>
      </c>
      <c r="N1118" s="253" t="s">
        <v>3737</v>
      </c>
      <c r="O1118" s="253" t="s">
        <v>1321</v>
      </c>
      <c r="P1118" s="656">
        <v>40261</v>
      </c>
      <c r="Q1118" s="657">
        <v>500.118202</v>
      </c>
      <c r="R1118" s="657">
        <v>643.12460988353428</v>
      </c>
      <c r="S1118" s="253">
        <v>15</v>
      </c>
      <c r="T1118" s="658">
        <v>9.9782846043214857E-3</v>
      </c>
      <c r="U1118" s="659">
        <v>0.49895464620028629</v>
      </c>
      <c r="V1118" s="658">
        <v>0.1119775566958634</v>
      </c>
      <c r="W1118" s="659">
        <v>0.86842067358034847</v>
      </c>
      <c r="X1118" s="658">
        <v>0.1504767749745739</v>
      </c>
      <c r="Y1118" s="659">
        <v>0.77931810050835815</v>
      </c>
      <c r="Z1118" s="658">
        <v>0.20518570913292278</v>
      </c>
      <c r="AA1118" s="659">
        <v>0.92647031628928622</v>
      </c>
      <c r="AB1118" s="658">
        <v>2.6734272842705013E-2</v>
      </c>
      <c r="AC1118" s="660">
        <v>-0.63462929591348749</v>
      </c>
      <c r="AD1118" s="682">
        <v>11490618000101</v>
      </c>
      <c r="AE1118" s="944" t="s">
        <v>1825</v>
      </c>
      <c r="AF1118" s="661" t="s">
        <v>1729</v>
      </c>
      <c r="AG1118" s="662" t="s">
        <v>1433</v>
      </c>
      <c r="AH1118" s="662" t="s">
        <v>1734</v>
      </c>
      <c r="AI1118" s="662">
        <v>5000</v>
      </c>
      <c r="AJ1118" s="662">
        <v>0</v>
      </c>
      <c r="AK1118" s="662">
        <v>0</v>
      </c>
      <c r="AL1118" s="658">
        <v>0.02</v>
      </c>
      <c r="AM1118" s="658">
        <v>0.2</v>
      </c>
      <c r="AN1118" s="659" t="s">
        <v>64</v>
      </c>
      <c r="AO1118" s="253" t="s">
        <v>34</v>
      </c>
      <c r="AP1118" s="944" t="s">
        <v>1746</v>
      </c>
      <c r="AQ1118" s="663" t="s">
        <v>668</v>
      </c>
      <c r="AR1118" s="658">
        <v>5.0000000000000001E-3</v>
      </c>
      <c r="AS1118" s="658">
        <v>5.0000000000000001E-3</v>
      </c>
      <c r="AT1118" s="658" t="s">
        <v>1417</v>
      </c>
      <c r="AU1118" s="658" t="s">
        <v>2751</v>
      </c>
      <c r="AX1118"/>
      <c r="AY1118"/>
      <c r="BA1118"/>
      <c r="BB1118"/>
      <c r="BC1118"/>
      <c r="BD1118"/>
      <c r="BE1118"/>
      <c r="BF1118"/>
      <c r="BG1118"/>
      <c r="BH1118"/>
      <c r="BI1118"/>
      <c r="BJ1118"/>
      <c r="BR1118"/>
      <c r="BS1118"/>
      <c r="BT1118"/>
      <c r="BU1118"/>
      <c r="BX1118"/>
      <c r="BY1118"/>
      <c r="CA1118"/>
    </row>
    <row r="1119" spans="2:79" ht="18.75">
      <c r="B1119" s="252" t="s">
        <v>317</v>
      </c>
      <c r="C1119" s="251">
        <v>11628883000103</v>
      </c>
      <c r="D1119" s="252" t="s">
        <v>14</v>
      </c>
      <c r="E1119" s="252" t="s">
        <v>607</v>
      </c>
      <c r="F1119" s="252" t="s">
        <v>1417</v>
      </c>
      <c r="G1119" s="253" t="s">
        <v>1417</v>
      </c>
      <c r="H1119" s="253" t="s">
        <v>34</v>
      </c>
      <c r="I1119" s="253" t="s">
        <v>34</v>
      </c>
      <c r="J1119" s="253" t="s">
        <v>608</v>
      </c>
      <c r="K1119" s="253" t="s">
        <v>48</v>
      </c>
      <c r="L1119" s="655"/>
      <c r="M1119" s="655" t="s">
        <v>34</v>
      </c>
      <c r="N1119" s="253" t="s">
        <v>3739</v>
      </c>
      <c r="O1119" s="253" t="s">
        <v>1321</v>
      </c>
      <c r="P1119" s="656">
        <v>40271</v>
      </c>
      <c r="Q1119" s="657">
        <v>901.05565000000001</v>
      </c>
      <c r="R1119" s="657">
        <v>990.48126203212917</v>
      </c>
      <c r="S1119" s="253">
        <v>17</v>
      </c>
      <c r="T1119" s="658">
        <v>-3.2571751437910246E-2</v>
      </c>
      <c r="U1119" s="659">
        <v>-1.6287195003224988</v>
      </c>
      <c r="V1119" s="658">
        <v>-6.0593637357865826E-2</v>
      </c>
      <c r="W1119" s="659">
        <v>-0.4699224462623508</v>
      </c>
      <c r="X1119" s="658">
        <v>-5.7537576973986315E-2</v>
      </c>
      <c r="Y1119" s="659">
        <v>-0.29798668401018763</v>
      </c>
      <c r="Z1119" s="658">
        <v>4.1867895163971047E-2</v>
      </c>
      <c r="AA1119" s="659">
        <v>0.18904514470743441</v>
      </c>
      <c r="AB1119" s="658">
        <v>0.19645440941863193</v>
      </c>
      <c r="AC1119" s="660">
        <v>-0.96479151252218343</v>
      </c>
      <c r="AD1119" s="682">
        <v>11616482000125</v>
      </c>
      <c r="AE1119" s="944" t="s">
        <v>1825</v>
      </c>
      <c r="AF1119" s="661" t="s">
        <v>1769</v>
      </c>
      <c r="AG1119" s="662" t="s">
        <v>719</v>
      </c>
      <c r="AH1119" s="662" t="s">
        <v>1734</v>
      </c>
      <c r="AI1119" s="662">
        <v>5000</v>
      </c>
      <c r="AJ1119" s="662">
        <v>0</v>
      </c>
      <c r="AK1119" s="662">
        <v>0</v>
      </c>
      <c r="AL1119" s="658">
        <v>0.02</v>
      </c>
      <c r="AM1119" s="658">
        <v>0.2</v>
      </c>
      <c r="AN1119" s="659" t="s">
        <v>666</v>
      </c>
      <c r="AO1119" s="253" t="s">
        <v>34</v>
      </c>
      <c r="AP1119" s="944" t="s">
        <v>1731</v>
      </c>
      <c r="AQ1119" s="663" t="s">
        <v>665</v>
      </c>
      <c r="AR1119" s="658">
        <v>5.3333333333333297E-3</v>
      </c>
      <c r="AS1119" s="658">
        <v>5.3333333333333297E-3</v>
      </c>
      <c r="AT1119" s="658" t="s">
        <v>1417</v>
      </c>
      <c r="AU1119" s="658" t="s">
        <v>2751</v>
      </c>
      <c r="AX1119"/>
      <c r="AY1119"/>
      <c r="BA1119"/>
      <c r="BB1119"/>
      <c r="BC1119"/>
      <c r="BD1119"/>
      <c r="BE1119"/>
      <c r="BF1119"/>
      <c r="BG1119"/>
      <c r="BH1119"/>
      <c r="BI1119"/>
      <c r="BJ1119"/>
      <c r="BR1119"/>
      <c r="BS1119"/>
      <c r="BT1119"/>
      <c r="BU1119"/>
      <c r="BX1119"/>
      <c r="BY1119"/>
      <c r="CA1119"/>
    </row>
    <row r="1120" spans="2:79" ht="18.75">
      <c r="B1120" s="252" t="s">
        <v>693</v>
      </c>
      <c r="C1120" s="251">
        <v>23711486000171</v>
      </c>
      <c r="D1120" s="252" t="s">
        <v>13</v>
      </c>
      <c r="E1120" s="252" t="s">
        <v>616</v>
      </c>
      <c r="F1120" s="252" t="s">
        <v>17</v>
      </c>
      <c r="G1120" s="253" t="s">
        <v>1417</v>
      </c>
      <c r="H1120" s="253" t="s">
        <v>34</v>
      </c>
      <c r="I1120" s="253" t="s">
        <v>34</v>
      </c>
      <c r="J1120" s="253" t="s">
        <v>611</v>
      </c>
      <c r="K1120" s="253" t="s">
        <v>49</v>
      </c>
      <c r="L1120" s="655"/>
      <c r="M1120" s="655" t="s">
        <v>1414</v>
      </c>
      <c r="N1120" s="253" t="s">
        <v>3740</v>
      </c>
      <c r="O1120" s="253" t="s">
        <v>1321</v>
      </c>
      <c r="P1120" s="656">
        <v>42417</v>
      </c>
      <c r="Q1120" s="657">
        <v>70.242129000000006</v>
      </c>
      <c r="R1120" s="657">
        <v>68.481153217741891</v>
      </c>
      <c r="S1120" s="253">
        <v>1</v>
      </c>
      <c r="T1120" s="658">
        <v>-1.1097441650481543E-2</v>
      </c>
      <c r="U1120" s="659">
        <v>-0.55491703153528749</v>
      </c>
      <c r="V1120" s="658">
        <v>2.9933079793622364E-2</v>
      </c>
      <c r="W1120" s="659">
        <v>0.23214031528937729</v>
      </c>
      <c r="X1120" s="658">
        <v>-4.7756244477491383E-2</v>
      </c>
      <c r="Y1120" s="659">
        <v>-0.24732923562390258</v>
      </c>
      <c r="Z1120" s="658">
        <v>0.18034672719546818</v>
      </c>
      <c r="AA1120" s="659">
        <v>0.81431543206686952</v>
      </c>
      <c r="AB1120" s="658">
        <v>0.18289663620918259</v>
      </c>
      <c r="AC1120" s="660">
        <v>-0.54134855460067233</v>
      </c>
      <c r="AD1120" s="682">
        <v>0</v>
      </c>
      <c r="AE1120" s="944" t="s">
        <v>1825</v>
      </c>
      <c r="AF1120" s="661" t="s">
        <v>1729</v>
      </c>
      <c r="AG1120" s="662" t="s">
        <v>1433</v>
      </c>
      <c r="AH1120" s="662" t="s">
        <v>1734</v>
      </c>
      <c r="AI1120" s="662">
        <v>5000</v>
      </c>
      <c r="AJ1120" s="662">
        <v>0</v>
      </c>
      <c r="AK1120" s="662">
        <v>0</v>
      </c>
      <c r="AL1120" s="658">
        <v>7.4999999999999997E-3</v>
      </c>
      <c r="AM1120" s="658">
        <v>0</v>
      </c>
      <c r="AN1120" s="659" t="s">
        <v>34</v>
      </c>
      <c r="AO1120" s="253" t="s">
        <v>34</v>
      </c>
      <c r="AP1120" s="944" t="s">
        <v>1740</v>
      </c>
      <c r="AQ1120" s="663" t="s">
        <v>17</v>
      </c>
      <c r="AR1120" s="658">
        <v>1.75E-3</v>
      </c>
      <c r="AS1120" s="658">
        <v>1.75E-3</v>
      </c>
      <c r="AT1120" s="658" t="s">
        <v>1417</v>
      </c>
      <c r="AU1120" s="658" t="s">
        <v>2751</v>
      </c>
      <c r="AX1120"/>
      <c r="AY1120"/>
      <c r="BA1120"/>
      <c r="BB1120"/>
      <c r="BC1120"/>
      <c r="BD1120"/>
      <c r="BE1120"/>
      <c r="BF1120"/>
      <c r="BG1120"/>
      <c r="BH1120"/>
      <c r="BI1120"/>
      <c r="BJ1120"/>
      <c r="BR1120"/>
      <c r="BS1120"/>
      <c r="BT1120"/>
      <c r="BU1120"/>
      <c r="BX1120"/>
      <c r="BY1120"/>
      <c r="CA1120"/>
    </row>
    <row r="1121" spans="2:79" ht="18.75">
      <c r="B1121" s="252" t="s">
        <v>2634</v>
      </c>
      <c r="C1121" s="251">
        <v>17685620000104</v>
      </c>
      <c r="D1121" s="252" t="s">
        <v>13</v>
      </c>
      <c r="E1121" s="252" t="s">
        <v>615</v>
      </c>
      <c r="F1121" s="252" t="s">
        <v>619</v>
      </c>
      <c r="G1121" s="253" t="s">
        <v>34</v>
      </c>
      <c r="H1121" s="253" t="s">
        <v>1337</v>
      </c>
      <c r="I1121" s="253" t="s">
        <v>34</v>
      </c>
      <c r="J1121" s="253" t="s">
        <v>608</v>
      </c>
      <c r="K1121" s="253" t="s">
        <v>48</v>
      </c>
      <c r="L1121" s="655"/>
      <c r="M1121" s="655" t="s">
        <v>34</v>
      </c>
      <c r="N1121" s="253" t="s">
        <v>3741</v>
      </c>
      <c r="O1121" s="253" t="s">
        <v>1321</v>
      </c>
      <c r="P1121" s="656">
        <v>41527</v>
      </c>
      <c r="Q1121" s="657"/>
      <c r="R1121" s="657"/>
      <c r="S1121" s="253">
        <v>4</v>
      </c>
      <c r="T1121" s="658"/>
      <c r="U1121" s="659"/>
      <c r="V1121" s="658"/>
      <c r="W1121" s="659"/>
      <c r="X1121" s="658"/>
      <c r="Y1121" s="659"/>
      <c r="Z1121" s="658"/>
      <c r="AA1121" s="659"/>
      <c r="AB1121" s="658"/>
      <c r="AC1121" s="660"/>
      <c r="AD1121" s="682">
        <v>17906106000151</v>
      </c>
      <c r="AE1121" s="944" t="s">
        <v>1825</v>
      </c>
      <c r="AF1121" s="661" t="s">
        <v>1729</v>
      </c>
      <c r="AG1121" s="662" t="s">
        <v>1433</v>
      </c>
      <c r="AH1121" s="662" t="s">
        <v>2119</v>
      </c>
      <c r="AI1121" s="662">
        <v>0</v>
      </c>
      <c r="AJ1121" s="662">
        <v>0</v>
      </c>
      <c r="AK1121" s="662">
        <v>0</v>
      </c>
      <c r="AL1121" s="658">
        <v>1.95E-2</v>
      </c>
      <c r="AM1121" s="658">
        <v>0</v>
      </c>
      <c r="AN1121" s="659" t="s">
        <v>64</v>
      </c>
      <c r="AO1121" s="253" t="s">
        <v>4397</v>
      </c>
      <c r="AP1121" s="944" t="s">
        <v>1746</v>
      </c>
      <c r="AQ1121" s="663" t="s">
        <v>2177</v>
      </c>
      <c r="AR1121" s="658">
        <v>0</v>
      </c>
      <c r="AS1121" s="658">
        <v>0</v>
      </c>
      <c r="AT1121" s="658" t="s">
        <v>1417</v>
      </c>
      <c r="AU1121" s="658" t="s">
        <v>2751</v>
      </c>
      <c r="AX1121"/>
      <c r="AY1121"/>
      <c r="BA1121"/>
      <c r="BB1121"/>
      <c r="BC1121"/>
      <c r="BD1121"/>
      <c r="BE1121"/>
      <c r="BF1121"/>
      <c r="BG1121"/>
      <c r="BH1121"/>
      <c r="BI1121"/>
      <c r="BJ1121"/>
      <c r="BR1121"/>
      <c r="BS1121"/>
      <c r="BT1121"/>
      <c r="BU1121"/>
      <c r="BX1121"/>
      <c r="BY1121"/>
      <c r="CA1121"/>
    </row>
    <row r="1122" spans="2:79" ht="18.75">
      <c r="B1122" s="252" t="s">
        <v>1100</v>
      </c>
      <c r="C1122" s="251">
        <v>15578417000103</v>
      </c>
      <c r="D1122" s="252" t="s">
        <v>13</v>
      </c>
      <c r="E1122" s="252" t="s">
        <v>615</v>
      </c>
      <c r="F1122" s="252" t="s">
        <v>619</v>
      </c>
      <c r="G1122" s="253" t="s">
        <v>34</v>
      </c>
      <c r="H1122" s="253" t="s">
        <v>1337</v>
      </c>
      <c r="I1122" s="253" t="s">
        <v>34</v>
      </c>
      <c r="J1122" s="253" t="s">
        <v>611</v>
      </c>
      <c r="K1122" s="253" t="s">
        <v>48</v>
      </c>
      <c r="L1122" s="655"/>
      <c r="M1122" s="655" t="s">
        <v>1414</v>
      </c>
      <c r="N1122" s="253" t="s">
        <v>3742</v>
      </c>
      <c r="O1122" s="253" t="s">
        <v>1321</v>
      </c>
      <c r="P1122" s="656">
        <v>41098</v>
      </c>
      <c r="Q1122" s="657">
        <v>371.51601599999998</v>
      </c>
      <c r="R1122" s="657">
        <v>618.05508368951644</v>
      </c>
      <c r="S1122" s="253">
        <v>1</v>
      </c>
      <c r="T1122" s="658">
        <v>1.4672479983656617E-2</v>
      </c>
      <c r="U1122" s="659">
        <v>0.7336834285078988</v>
      </c>
      <c r="V1122" s="658">
        <v>0.11277448138762192</v>
      </c>
      <c r="W1122" s="659">
        <v>0.87460107167109646</v>
      </c>
      <c r="X1122" s="658">
        <v>0.16224448554006221</v>
      </c>
      <c r="Y1122" s="659">
        <v>0.84026298616781014</v>
      </c>
      <c r="Z1122" s="658">
        <v>0.19446634976088695</v>
      </c>
      <c r="AA1122" s="659">
        <v>0.87806943929938353</v>
      </c>
      <c r="AB1122" s="658">
        <v>1.4660486402044053E-2</v>
      </c>
      <c r="AC1122" s="660">
        <v>-1.1029257567410584</v>
      </c>
      <c r="AD1122" s="682">
        <v>11616552000145</v>
      </c>
      <c r="AE1122" s="944" t="s">
        <v>1825</v>
      </c>
      <c r="AF1122" s="661" t="s">
        <v>1729</v>
      </c>
      <c r="AG1122" s="662" t="s">
        <v>1433</v>
      </c>
      <c r="AH1122" s="662" t="s">
        <v>1734</v>
      </c>
      <c r="AI1122" s="662">
        <v>1000</v>
      </c>
      <c r="AJ1122" s="662">
        <v>0</v>
      </c>
      <c r="AK1122" s="662">
        <v>0</v>
      </c>
      <c r="AL1122" s="658">
        <v>0.02</v>
      </c>
      <c r="AM1122" s="658">
        <v>0.2</v>
      </c>
      <c r="AN1122" s="659" t="s">
        <v>64</v>
      </c>
      <c r="AO1122" s="253" t="s">
        <v>34</v>
      </c>
      <c r="AP1122" s="944" t="s">
        <v>1746</v>
      </c>
      <c r="AQ1122" s="663" t="s">
        <v>668</v>
      </c>
      <c r="AR1122" s="658">
        <v>2.5000000000000001E-3</v>
      </c>
      <c r="AS1122" s="658">
        <v>2.5000000000000001E-3</v>
      </c>
      <c r="AT1122" s="658" t="s">
        <v>1417</v>
      </c>
      <c r="AU1122" s="658" t="s">
        <v>2751</v>
      </c>
      <c r="AX1122"/>
      <c r="AY1122"/>
      <c r="BA1122"/>
      <c r="BB1122"/>
      <c r="BC1122"/>
      <c r="BD1122"/>
      <c r="BE1122"/>
      <c r="BF1122"/>
      <c r="BG1122"/>
      <c r="BH1122"/>
      <c r="BI1122"/>
      <c r="BJ1122"/>
      <c r="BR1122"/>
      <c r="BS1122"/>
      <c r="BT1122"/>
      <c r="BU1122"/>
      <c r="BX1122"/>
      <c r="BY1122"/>
      <c r="CA1122"/>
    </row>
    <row r="1123" spans="2:79" ht="18.75">
      <c r="B1123" s="252" t="s">
        <v>1682</v>
      </c>
      <c r="C1123" s="251">
        <v>11628865000113</v>
      </c>
      <c r="D1123" s="252" t="s">
        <v>13</v>
      </c>
      <c r="E1123" s="252" t="s">
        <v>615</v>
      </c>
      <c r="F1123" s="252" t="s">
        <v>619</v>
      </c>
      <c r="G1123" s="253" t="s">
        <v>34</v>
      </c>
      <c r="H1123" s="253" t="s">
        <v>1338</v>
      </c>
      <c r="I1123" s="253" t="s">
        <v>34</v>
      </c>
      <c r="J1123" s="253" t="s">
        <v>611</v>
      </c>
      <c r="K1123" s="253" t="s">
        <v>48</v>
      </c>
      <c r="L1123" s="655"/>
      <c r="M1123" s="655" t="s">
        <v>34</v>
      </c>
      <c r="N1123" s="253" t="s">
        <v>3743</v>
      </c>
      <c r="O1123" s="253" t="s">
        <v>1324</v>
      </c>
      <c r="P1123" s="656">
        <v>40271</v>
      </c>
      <c r="Q1123" s="657">
        <v>0</v>
      </c>
      <c r="R1123" s="657">
        <v>5.5579414228187902</v>
      </c>
      <c r="S1123" s="253">
        <v>1</v>
      </c>
      <c r="T1123" s="658"/>
      <c r="U1123" s="659"/>
      <c r="V1123" s="658">
        <v>6.4575931049088986E-2</v>
      </c>
      <c r="W1123" s="659">
        <v>0.5008063686461881</v>
      </c>
      <c r="X1123" s="658">
        <v>0.11262041918753374</v>
      </c>
      <c r="Y1123" s="659">
        <v>0.58326031491912211</v>
      </c>
      <c r="Z1123" s="658">
        <v>0.14521324566916749</v>
      </c>
      <c r="AA1123" s="659">
        <v>0.6556780304682569</v>
      </c>
      <c r="AB1123" s="658">
        <v>9.7220975529622427E-3</v>
      </c>
      <c r="AC1123" s="660">
        <v>-6.6207912487040383</v>
      </c>
      <c r="AD1123" s="682">
        <v>11616552000145</v>
      </c>
      <c r="AE1123" s="944" t="s">
        <v>1825</v>
      </c>
      <c r="AF1123" s="661" t="s">
        <v>1729</v>
      </c>
      <c r="AG1123" s="662" t="s">
        <v>1433</v>
      </c>
      <c r="AH1123" s="662" t="s">
        <v>1734</v>
      </c>
      <c r="AI1123" s="662">
        <v>30000</v>
      </c>
      <c r="AJ1123" s="662">
        <v>0</v>
      </c>
      <c r="AK1123" s="662">
        <v>0</v>
      </c>
      <c r="AL1123" s="658">
        <v>7.4999999999999997E-3</v>
      </c>
      <c r="AM1123" s="658">
        <v>0.2</v>
      </c>
      <c r="AN1123" s="659" t="s">
        <v>64</v>
      </c>
      <c r="AO1123" s="253" t="s">
        <v>34</v>
      </c>
      <c r="AP1123" s="944" t="s">
        <v>1746</v>
      </c>
      <c r="AQ1123" s="663" t="s">
        <v>668</v>
      </c>
      <c r="AR1123" s="658">
        <v>1.8749999999999999E-3</v>
      </c>
      <c r="AS1123" s="658">
        <v>1.8749999999999999E-3</v>
      </c>
      <c r="AT1123" s="658" t="s">
        <v>1417</v>
      </c>
      <c r="AU1123" s="658" t="s">
        <v>2751</v>
      </c>
      <c r="AX1123"/>
      <c r="AY1123"/>
      <c r="BA1123"/>
      <c r="BB1123"/>
      <c r="BC1123"/>
      <c r="BD1123"/>
      <c r="BE1123"/>
      <c r="BF1123"/>
      <c r="BG1123"/>
      <c r="BH1123"/>
      <c r="BI1123"/>
      <c r="BJ1123"/>
      <c r="BR1123"/>
      <c r="BS1123"/>
      <c r="BT1123"/>
      <c r="BU1123"/>
      <c r="BX1123"/>
      <c r="BY1123"/>
      <c r="CA1123"/>
    </row>
    <row r="1124" spans="2:79" ht="18.75">
      <c r="B1124" s="252" t="s">
        <v>28</v>
      </c>
      <c r="C1124" s="251">
        <v>18525868000170</v>
      </c>
      <c r="D1124" s="252" t="s">
        <v>14</v>
      </c>
      <c r="E1124" s="252" t="s">
        <v>614</v>
      </c>
      <c r="F1124" s="252" t="s">
        <v>1417</v>
      </c>
      <c r="G1124" s="253" t="s">
        <v>1417</v>
      </c>
      <c r="H1124" s="253" t="s">
        <v>865</v>
      </c>
      <c r="I1124" s="253" t="s">
        <v>34</v>
      </c>
      <c r="J1124" s="253" t="s">
        <v>608</v>
      </c>
      <c r="K1124" s="253" t="s">
        <v>48</v>
      </c>
      <c r="L1124" s="655"/>
      <c r="M1124" s="655" t="s">
        <v>34</v>
      </c>
      <c r="N1124" s="253" t="s">
        <v>3744</v>
      </c>
      <c r="O1124" s="253" t="s">
        <v>1321</v>
      </c>
      <c r="P1124" s="656">
        <v>41521</v>
      </c>
      <c r="Q1124" s="657">
        <v>44.574592000000003</v>
      </c>
      <c r="R1124" s="657">
        <v>105.71424142971888</v>
      </c>
      <c r="S1124" s="253">
        <v>32</v>
      </c>
      <c r="T1124" s="658">
        <v>-2.8555939925750451E-2</v>
      </c>
      <c r="U1124" s="659">
        <v>-1.4279126590956066</v>
      </c>
      <c r="V1124" s="658">
        <v>-8.7300027031676053E-2</v>
      </c>
      <c r="W1124" s="659">
        <v>-0.67703877915771127</v>
      </c>
      <c r="X1124" s="658">
        <v>-0.15828279837556924</v>
      </c>
      <c r="Y1124" s="659">
        <v>-0.81974543775302866</v>
      </c>
      <c r="Z1124" s="658">
        <v>-4.5938660616474558E-2</v>
      </c>
      <c r="AA1124" s="659">
        <v>-0.20742577838927248</v>
      </c>
      <c r="AB1124" s="658">
        <v>0.17824326417919054</v>
      </c>
      <c r="AC1124" s="660">
        <v>-1.2131955587453294</v>
      </c>
      <c r="AD1124" s="682">
        <v>18525753000186</v>
      </c>
      <c r="AE1124" s="944" t="s">
        <v>1825</v>
      </c>
      <c r="AF1124" s="661" t="s">
        <v>1729</v>
      </c>
      <c r="AG1124" s="662" t="s">
        <v>1433</v>
      </c>
      <c r="AH1124" s="662" t="s">
        <v>1734</v>
      </c>
      <c r="AI1124" s="662">
        <v>5000</v>
      </c>
      <c r="AJ1124" s="662">
        <v>0</v>
      </c>
      <c r="AK1124" s="662">
        <v>0</v>
      </c>
      <c r="AL1124" s="658">
        <v>0.02</v>
      </c>
      <c r="AM1124" s="658">
        <v>0.2</v>
      </c>
      <c r="AN1124" s="659" t="s">
        <v>2127</v>
      </c>
      <c r="AO1124" s="253" t="s">
        <v>34</v>
      </c>
      <c r="AP1124" s="944" t="s">
        <v>1746</v>
      </c>
      <c r="AQ1124" s="663" t="s">
        <v>674</v>
      </c>
      <c r="AR1124" s="658">
        <v>4.6666666666666697E-3</v>
      </c>
      <c r="AS1124" s="658">
        <v>4.6666666666666697E-3</v>
      </c>
      <c r="AT1124" s="658" t="s">
        <v>1417</v>
      </c>
      <c r="AU1124" s="658" t="s">
        <v>2751</v>
      </c>
      <c r="AX1124"/>
      <c r="AY1124"/>
      <c r="BA1124"/>
      <c r="BB1124"/>
      <c r="BC1124"/>
      <c r="BD1124"/>
      <c r="BE1124"/>
      <c r="BF1124"/>
      <c r="BG1124"/>
      <c r="BH1124"/>
      <c r="BI1124"/>
      <c r="BJ1124"/>
      <c r="BR1124"/>
      <c r="BS1124"/>
      <c r="BT1124"/>
      <c r="BU1124"/>
      <c r="BX1124"/>
      <c r="BY1124"/>
      <c r="CA1124"/>
    </row>
    <row r="1125" spans="2:79" ht="18.75">
      <c r="B1125" s="252" t="s">
        <v>1101</v>
      </c>
      <c r="C1125" s="251">
        <v>17164789000119</v>
      </c>
      <c r="D1125" s="252" t="s">
        <v>13</v>
      </c>
      <c r="E1125" s="252" t="s">
        <v>616</v>
      </c>
      <c r="F1125" s="252" t="s">
        <v>617</v>
      </c>
      <c r="G1125" s="253" t="s">
        <v>34</v>
      </c>
      <c r="H1125" s="253" t="s">
        <v>1337</v>
      </c>
      <c r="I1125" s="253" t="s">
        <v>34</v>
      </c>
      <c r="J1125" s="253" t="s">
        <v>608</v>
      </c>
      <c r="K1125" s="253" t="s">
        <v>48</v>
      </c>
      <c r="L1125" s="655"/>
      <c r="M1125" s="655" t="s">
        <v>34</v>
      </c>
      <c r="N1125" s="253" t="s">
        <v>3745</v>
      </c>
      <c r="O1125" s="253" t="s">
        <v>1324</v>
      </c>
      <c r="P1125" s="656">
        <v>41264</v>
      </c>
      <c r="Q1125" s="657">
        <v>93.355262999999994</v>
      </c>
      <c r="R1125" s="657">
        <v>138.18921433467744</v>
      </c>
      <c r="S1125" s="253">
        <v>32</v>
      </c>
      <c r="T1125" s="658">
        <v>1.9251543709180474E-2</v>
      </c>
      <c r="U1125" s="659">
        <v>0.96265516179638644</v>
      </c>
      <c r="V1125" s="658">
        <v>7.0589096079104019E-2</v>
      </c>
      <c r="W1125" s="659">
        <v>0.54744032798411635</v>
      </c>
      <c r="X1125" s="658">
        <v>4.4386086917180601E-2</v>
      </c>
      <c r="Y1125" s="659">
        <v>0.22987521463787952</v>
      </c>
      <c r="Z1125" s="658">
        <v>0.11731402996484097</v>
      </c>
      <c r="AA1125" s="659">
        <v>0.5297053430572356</v>
      </c>
      <c r="AB1125" s="658">
        <v>5.2322635450673165E-2</v>
      </c>
      <c r="AC1125" s="660">
        <v>-1.1152881131665848</v>
      </c>
      <c r="AD1125" s="682">
        <v>17102710000125</v>
      </c>
      <c r="AE1125" s="944" t="s">
        <v>1825</v>
      </c>
      <c r="AF1125" s="661" t="s">
        <v>1729</v>
      </c>
      <c r="AG1125" s="662" t="s">
        <v>1433</v>
      </c>
      <c r="AH1125" s="662" t="s">
        <v>1734</v>
      </c>
      <c r="AI1125" s="662">
        <v>5000</v>
      </c>
      <c r="AJ1125" s="662">
        <v>0</v>
      </c>
      <c r="AK1125" s="662">
        <v>0</v>
      </c>
      <c r="AL1125" s="658">
        <v>0.02</v>
      </c>
      <c r="AM1125" s="658">
        <v>0</v>
      </c>
      <c r="AN1125" s="659" t="s">
        <v>2127</v>
      </c>
      <c r="AO1125" s="253" t="s">
        <v>34</v>
      </c>
      <c r="AP1125" s="944" t="s">
        <v>1746</v>
      </c>
      <c r="AQ1125" s="663" t="s">
        <v>674</v>
      </c>
      <c r="AR1125" s="658">
        <v>4.6666666666666697E-3</v>
      </c>
      <c r="AS1125" s="658">
        <v>4.6666666666666697E-3</v>
      </c>
      <c r="AT1125" s="658" t="s">
        <v>1417</v>
      </c>
      <c r="AU1125" s="658" t="s">
        <v>2751</v>
      </c>
      <c r="AX1125"/>
      <c r="AY1125"/>
      <c r="BA1125"/>
      <c r="BB1125"/>
      <c r="BC1125"/>
      <c r="BD1125"/>
      <c r="BE1125"/>
      <c r="BF1125"/>
      <c r="BG1125"/>
      <c r="BH1125"/>
      <c r="BI1125"/>
      <c r="BJ1125"/>
      <c r="BR1125"/>
      <c r="BS1125"/>
      <c r="BT1125"/>
      <c r="BU1125"/>
      <c r="BX1125"/>
      <c r="BY1125"/>
      <c r="CA1125"/>
    </row>
    <row r="1126" spans="2:79" ht="18.75">
      <c r="B1126" s="252" t="s">
        <v>1102</v>
      </c>
      <c r="C1126" s="251">
        <v>35342982000184</v>
      </c>
      <c r="D1126" s="252" t="s">
        <v>13</v>
      </c>
      <c r="E1126" s="252" t="s">
        <v>615</v>
      </c>
      <c r="F1126" s="252" t="s">
        <v>619</v>
      </c>
      <c r="G1126" s="253" t="s">
        <v>34</v>
      </c>
      <c r="H1126" s="253" t="s">
        <v>1337</v>
      </c>
      <c r="I1126" s="253" t="s">
        <v>34</v>
      </c>
      <c r="J1126" s="253" t="s">
        <v>608</v>
      </c>
      <c r="K1126" s="253" t="s">
        <v>48</v>
      </c>
      <c r="L1126" s="655"/>
      <c r="M1126" s="655" t="s">
        <v>34</v>
      </c>
      <c r="N1126" s="253" t="s">
        <v>3747</v>
      </c>
      <c r="O1126" s="253" t="s">
        <v>1321</v>
      </c>
      <c r="P1126" s="656">
        <v>43846</v>
      </c>
      <c r="Q1126" s="657">
        <v>194.77183529000001</v>
      </c>
      <c r="R1126" s="657">
        <v>238.13481658923692</v>
      </c>
      <c r="S1126" s="253">
        <v>32</v>
      </c>
      <c r="T1126" s="658">
        <v>7.3805220900622359E-3</v>
      </c>
      <c r="U1126" s="659">
        <v>0.36905599852559129</v>
      </c>
      <c r="V1126" s="658">
        <v>0.11387530137837643</v>
      </c>
      <c r="W1126" s="659">
        <v>0.88313827203579298</v>
      </c>
      <c r="X1126" s="658">
        <v>0.14931162315134405</v>
      </c>
      <c r="Y1126" s="659">
        <v>0.77328378786551499</v>
      </c>
      <c r="Z1126" s="658">
        <v>0.25464082199344329</v>
      </c>
      <c r="AA1126" s="659">
        <v>1.1497738506710431</v>
      </c>
      <c r="AB1126" s="658">
        <v>4.2144331516719646E-2</v>
      </c>
      <c r="AC1126" s="660">
        <v>-0.35754768259721609</v>
      </c>
      <c r="AD1126" s="682">
        <v>35618031000195</v>
      </c>
      <c r="AE1126" s="944" t="s">
        <v>1797</v>
      </c>
      <c r="AF1126" s="661" t="s">
        <v>1745</v>
      </c>
      <c r="AG1126" s="662" t="s">
        <v>1432</v>
      </c>
      <c r="AH1126" s="662" t="s">
        <v>1734</v>
      </c>
      <c r="AI1126" s="662">
        <v>1000</v>
      </c>
      <c r="AJ1126" s="662">
        <v>1000</v>
      </c>
      <c r="AK1126" s="662">
        <v>0</v>
      </c>
      <c r="AL1126" s="658">
        <v>0</v>
      </c>
      <c r="AM1126" s="658">
        <v>0</v>
      </c>
      <c r="AN1126" s="659" t="s">
        <v>34</v>
      </c>
      <c r="AO1126" s="253" t="s">
        <v>34</v>
      </c>
      <c r="AP1126" s="944" t="s">
        <v>1746</v>
      </c>
      <c r="AQ1126" s="663" t="s">
        <v>668</v>
      </c>
      <c r="AR1126" s="658">
        <v>5.0000000000000001E-3</v>
      </c>
      <c r="AS1126" s="658">
        <v>5.0000000000000001E-3</v>
      </c>
      <c r="AT1126" s="658" t="s">
        <v>1417</v>
      </c>
      <c r="AU1126" s="658" t="s">
        <v>2751</v>
      </c>
      <c r="AX1126"/>
      <c r="AY1126"/>
      <c r="BA1126"/>
      <c r="BB1126"/>
      <c r="BC1126"/>
      <c r="BD1126"/>
      <c r="BE1126"/>
      <c r="BF1126"/>
      <c r="BG1126"/>
      <c r="BH1126"/>
      <c r="BI1126"/>
      <c r="BJ1126"/>
      <c r="BR1126"/>
      <c r="BS1126"/>
      <c r="BT1126"/>
      <c r="BU1126"/>
      <c r="BX1126"/>
      <c r="BY1126"/>
      <c r="CA1126"/>
    </row>
    <row r="1127" spans="2:79" ht="18.75">
      <c r="B1127" s="252" t="s">
        <v>569</v>
      </c>
      <c r="C1127" s="251">
        <v>12823624000198</v>
      </c>
      <c r="D1127" s="252" t="s">
        <v>14</v>
      </c>
      <c r="E1127" s="252" t="s">
        <v>614</v>
      </c>
      <c r="F1127" s="252" t="s">
        <v>1417</v>
      </c>
      <c r="G1127" s="253" t="s">
        <v>1417</v>
      </c>
      <c r="H1127" s="253" t="s">
        <v>865</v>
      </c>
      <c r="I1127" s="253" t="s">
        <v>34</v>
      </c>
      <c r="J1127" s="253" t="s">
        <v>608</v>
      </c>
      <c r="K1127" s="253" t="s">
        <v>48</v>
      </c>
      <c r="L1127" s="655"/>
      <c r="M1127" s="655" t="s">
        <v>1414</v>
      </c>
      <c r="N1127" s="253" t="s">
        <v>3748</v>
      </c>
      <c r="O1127" s="253" t="s">
        <v>1321</v>
      </c>
      <c r="P1127" s="656">
        <v>40534</v>
      </c>
      <c r="Q1127" s="657">
        <v>292.27945199999999</v>
      </c>
      <c r="R1127" s="657">
        <v>338.90785501209695</v>
      </c>
      <c r="S1127" s="253">
        <v>52</v>
      </c>
      <c r="T1127" s="658">
        <v>-4.9732742589573276E-3</v>
      </c>
      <c r="U1127" s="659">
        <v>-0.24868385666814521</v>
      </c>
      <c r="V1127" s="658">
        <v>8.1973848395171522E-3</v>
      </c>
      <c r="W1127" s="659">
        <v>6.3573261231853612E-2</v>
      </c>
      <c r="X1127" s="658">
        <v>6.8587643201720505E-2</v>
      </c>
      <c r="Y1127" s="659">
        <v>0.35521489497194209</v>
      </c>
      <c r="Z1127" s="658">
        <v>7.7501602346349507E-2</v>
      </c>
      <c r="AA1127" s="659">
        <v>0.34994120371333348</v>
      </c>
      <c r="AB1127" s="658">
        <v>0.16262753821525042</v>
      </c>
      <c r="AC1127" s="660">
        <v>-0.74247280585071407</v>
      </c>
      <c r="AD1127" s="682">
        <v>15174615000101</v>
      </c>
      <c r="AE1127" s="944" t="s">
        <v>1836</v>
      </c>
      <c r="AF1127" s="661" t="s">
        <v>1729</v>
      </c>
      <c r="AG1127" s="662" t="s">
        <v>1433</v>
      </c>
      <c r="AH1127" s="662" t="s">
        <v>1730</v>
      </c>
      <c r="AI1127" s="662">
        <v>50000</v>
      </c>
      <c r="AJ1127" s="662">
        <v>10000</v>
      </c>
      <c r="AK1127" s="662">
        <v>10000</v>
      </c>
      <c r="AL1127" s="658">
        <v>0.02</v>
      </c>
      <c r="AM1127" s="658">
        <v>0.15</v>
      </c>
      <c r="AN1127" s="659" t="s">
        <v>2127</v>
      </c>
      <c r="AO1127" s="253" t="s">
        <v>34</v>
      </c>
      <c r="AP1127" s="944" t="s">
        <v>1731</v>
      </c>
      <c r="AQ1127" s="663" t="s">
        <v>659</v>
      </c>
      <c r="AR1127" s="658">
        <v>3.3333333333333301E-3</v>
      </c>
      <c r="AS1127" s="658">
        <v>3.3333333333333301E-3</v>
      </c>
      <c r="AT1127" s="658" t="s">
        <v>1417</v>
      </c>
      <c r="AU1127" s="658" t="s">
        <v>2751</v>
      </c>
      <c r="AX1127"/>
      <c r="AY1127"/>
      <c r="BA1127"/>
      <c r="BB1127"/>
      <c r="BC1127"/>
      <c r="BD1127"/>
      <c r="BE1127"/>
      <c r="BF1127"/>
      <c r="BG1127"/>
      <c r="BH1127"/>
      <c r="BI1127"/>
      <c r="BJ1127"/>
      <c r="BR1127"/>
      <c r="BS1127"/>
      <c r="BT1127"/>
      <c r="BU1127"/>
      <c r="BX1127"/>
      <c r="BY1127"/>
      <c r="CA1127"/>
    </row>
    <row r="1128" spans="2:79" ht="18.75">
      <c r="B1128" s="252" t="s">
        <v>318</v>
      </c>
      <c r="C1128" s="251">
        <v>33146540000137</v>
      </c>
      <c r="D1128" s="252" t="s">
        <v>14</v>
      </c>
      <c r="E1128" s="252" t="s">
        <v>614</v>
      </c>
      <c r="F1128" s="252" t="s">
        <v>1417</v>
      </c>
      <c r="G1128" s="253" t="s">
        <v>1417</v>
      </c>
      <c r="H1128" s="253" t="s">
        <v>865</v>
      </c>
      <c r="I1128" s="253" t="s">
        <v>34</v>
      </c>
      <c r="J1128" s="253" t="s">
        <v>608</v>
      </c>
      <c r="K1128" s="253" t="s">
        <v>48</v>
      </c>
      <c r="L1128" s="655"/>
      <c r="M1128" s="655" t="s">
        <v>1414</v>
      </c>
      <c r="N1128" s="253" t="s">
        <v>3749</v>
      </c>
      <c r="O1128" s="253" t="s">
        <v>1321</v>
      </c>
      <c r="P1128" s="656">
        <v>43612</v>
      </c>
      <c r="Q1128" s="657">
        <v>0</v>
      </c>
      <c r="R1128" s="657">
        <v>0</v>
      </c>
      <c r="S1128" s="253">
        <v>53</v>
      </c>
      <c r="T1128" s="658"/>
      <c r="U1128" s="659"/>
      <c r="V1128" s="658"/>
      <c r="W1128" s="659"/>
      <c r="X1128" s="658"/>
      <c r="Y1128" s="659"/>
      <c r="Z1128" s="658"/>
      <c r="AA1128" s="659"/>
      <c r="AB1128" s="658"/>
      <c r="AC1128" s="660"/>
      <c r="AD1128" s="682">
        <v>32786258000151</v>
      </c>
      <c r="AE1128" s="944" t="s">
        <v>1797</v>
      </c>
      <c r="AF1128" s="661" t="s">
        <v>1745</v>
      </c>
      <c r="AG1128" s="662" t="s">
        <v>1432</v>
      </c>
      <c r="AH1128" s="662" t="s">
        <v>1730</v>
      </c>
      <c r="AI1128" s="662">
        <v>5000</v>
      </c>
      <c r="AJ1128" s="662">
        <v>5000</v>
      </c>
      <c r="AK1128" s="662">
        <v>0</v>
      </c>
      <c r="AL1128" s="658">
        <v>0</v>
      </c>
      <c r="AM1128" s="658">
        <v>0</v>
      </c>
      <c r="AN1128" s="659" t="s">
        <v>34</v>
      </c>
      <c r="AO1128" s="253" t="s">
        <v>34</v>
      </c>
      <c r="AP1128" s="944" t="s">
        <v>1731</v>
      </c>
      <c r="AQ1128" s="663" t="s">
        <v>659</v>
      </c>
      <c r="AR1128" s="658">
        <v>3.3333333333333301E-3</v>
      </c>
      <c r="AS1128" s="658">
        <v>3.3333333333333301E-3</v>
      </c>
      <c r="AT1128" s="658" t="s">
        <v>1417</v>
      </c>
      <c r="AU1128" s="658" t="s">
        <v>2751</v>
      </c>
      <c r="AX1128"/>
      <c r="AY1128"/>
      <c r="BA1128"/>
      <c r="BB1128"/>
      <c r="BC1128"/>
      <c r="BD1128"/>
      <c r="BE1128"/>
      <c r="BF1128"/>
      <c r="BG1128"/>
      <c r="BH1128"/>
      <c r="BI1128"/>
      <c r="BJ1128"/>
      <c r="BR1128"/>
      <c r="BS1128"/>
      <c r="BT1128"/>
      <c r="BU1128"/>
      <c r="BX1128"/>
      <c r="BY1128"/>
      <c r="CA1128"/>
    </row>
    <row r="1129" spans="2:79" ht="18.75">
      <c r="B1129" s="252" t="s">
        <v>570</v>
      </c>
      <c r="C1129" s="251">
        <v>19496576000110</v>
      </c>
      <c r="D1129" s="252" t="s">
        <v>14</v>
      </c>
      <c r="E1129" s="252" t="s">
        <v>614</v>
      </c>
      <c r="F1129" s="252" t="s">
        <v>1417</v>
      </c>
      <c r="G1129" s="253" t="s">
        <v>1417</v>
      </c>
      <c r="H1129" s="253" t="s">
        <v>865</v>
      </c>
      <c r="I1129" s="253" t="s">
        <v>34</v>
      </c>
      <c r="J1129" s="253" t="s">
        <v>608</v>
      </c>
      <c r="K1129" s="253" t="s">
        <v>48</v>
      </c>
      <c r="L1129" s="655"/>
      <c r="M1129" s="655" t="s">
        <v>1414</v>
      </c>
      <c r="N1129" s="253" t="s">
        <v>3750</v>
      </c>
      <c r="O1129" s="253" t="s">
        <v>1321</v>
      </c>
      <c r="P1129" s="656">
        <v>41707</v>
      </c>
      <c r="Q1129" s="657">
        <v>173.45602299999999</v>
      </c>
      <c r="R1129" s="657">
        <v>194.20389502008032</v>
      </c>
      <c r="S1129" s="253">
        <v>51</v>
      </c>
      <c r="T1129" s="658">
        <v>-4.9874781733563189E-3</v>
      </c>
      <c r="U1129" s="659">
        <v>-0.24939410991954461</v>
      </c>
      <c r="V1129" s="658">
        <v>7.4207652321429673E-3</v>
      </c>
      <c r="W1129" s="659">
        <v>5.7550335366598419E-2</v>
      </c>
      <c r="X1129" s="658">
        <v>6.7576702436987768E-2</v>
      </c>
      <c r="Y1129" s="659">
        <v>0.34997924025624855</v>
      </c>
      <c r="Z1129" s="658">
        <v>7.1665485261976469E-2</v>
      </c>
      <c r="AA1129" s="659">
        <v>0.32358951838442168</v>
      </c>
      <c r="AB1129" s="658">
        <v>0.16397734576599735</v>
      </c>
      <c r="AC1129" s="660">
        <v>-0.74109715367672857</v>
      </c>
      <c r="AD1129" s="682">
        <v>19418024000193</v>
      </c>
      <c r="AE1129" s="944" t="s">
        <v>1836</v>
      </c>
      <c r="AF1129" s="661" t="s">
        <v>1729</v>
      </c>
      <c r="AG1129" s="662" t="s">
        <v>1433</v>
      </c>
      <c r="AH1129" s="662" t="s">
        <v>1734</v>
      </c>
      <c r="AI1129" s="662">
        <v>50000</v>
      </c>
      <c r="AJ1129" s="662">
        <v>10000</v>
      </c>
      <c r="AK1129" s="662">
        <v>10000</v>
      </c>
      <c r="AL1129" s="658">
        <v>0.02</v>
      </c>
      <c r="AM1129" s="658">
        <v>0.15</v>
      </c>
      <c r="AN1129" s="659" t="s">
        <v>34</v>
      </c>
      <c r="AO1129" s="253" t="s">
        <v>34</v>
      </c>
      <c r="AP1129" s="944" t="s">
        <v>1746</v>
      </c>
      <c r="AQ1129" s="663" t="s">
        <v>668</v>
      </c>
      <c r="AR1129" s="658">
        <v>3.3333333333333301E-3</v>
      </c>
      <c r="AS1129" s="658">
        <v>3.3333333333333301E-3</v>
      </c>
      <c r="AT1129" s="658" t="s">
        <v>1417</v>
      </c>
      <c r="AU1129" s="658" t="s">
        <v>2751</v>
      </c>
      <c r="AX1129"/>
      <c r="AY1129"/>
      <c r="BA1129"/>
      <c r="BB1129"/>
      <c r="BC1129"/>
      <c r="BD1129"/>
      <c r="BE1129"/>
      <c r="BF1129"/>
      <c r="BG1129"/>
      <c r="BH1129"/>
      <c r="BI1129"/>
      <c r="BJ1129"/>
      <c r="BR1129"/>
      <c r="BS1129"/>
      <c r="BT1129"/>
      <c r="BU1129"/>
      <c r="BX1129"/>
      <c r="BY1129"/>
      <c r="CA1129"/>
    </row>
    <row r="1130" spans="2:79" ht="18.75">
      <c r="B1130" s="252" t="s">
        <v>319</v>
      </c>
      <c r="C1130" s="251">
        <v>36014054000153</v>
      </c>
      <c r="D1130" s="252" t="s">
        <v>14</v>
      </c>
      <c r="E1130" s="252" t="s">
        <v>607</v>
      </c>
      <c r="F1130" s="252" t="s">
        <v>1417</v>
      </c>
      <c r="G1130" s="253" t="s">
        <v>1417</v>
      </c>
      <c r="H1130" s="253" t="s">
        <v>34</v>
      </c>
      <c r="I1130" s="253" t="s">
        <v>34</v>
      </c>
      <c r="J1130" s="253" t="s">
        <v>608</v>
      </c>
      <c r="K1130" s="253" t="s">
        <v>48</v>
      </c>
      <c r="L1130" s="655"/>
      <c r="M1130" s="655" t="s">
        <v>1414</v>
      </c>
      <c r="N1130" s="253" t="s">
        <v>3751</v>
      </c>
      <c r="O1130" s="253" t="s">
        <v>1321</v>
      </c>
      <c r="P1130" s="656">
        <v>43873</v>
      </c>
      <c r="Q1130" s="657">
        <v>16.525272730000001</v>
      </c>
      <c r="R1130" s="657">
        <v>13.316877431895161</v>
      </c>
      <c r="S1130" s="253">
        <v>32</v>
      </c>
      <c r="T1130" s="658">
        <v>-2.2212776639501941E-2</v>
      </c>
      <c r="U1130" s="659">
        <v>-1.110728802472589</v>
      </c>
      <c r="V1130" s="658">
        <v>-4.7801671139280355E-2</v>
      </c>
      <c r="W1130" s="659">
        <v>-0.37071678177251799</v>
      </c>
      <c r="X1130" s="658">
        <v>-1.8572950345007833E-2</v>
      </c>
      <c r="Y1130" s="659">
        <v>-9.6189171957953484E-2</v>
      </c>
      <c r="Z1130" s="658">
        <v>6.0253700000002519E-2</v>
      </c>
      <c r="AA1130" s="659">
        <v>0.27206214668897261</v>
      </c>
      <c r="AB1130" s="658">
        <v>0.23494535258591318</v>
      </c>
      <c r="AC1130" s="660">
        <v>-0.75228379127626122</v>
      </c>
      <c r="AD1130" s="682">
        <v>35916259000161</v>
      </c>
      <c r="AE1130" s="944" t="s">
        <v>1797</v>
      </c>
      <c r="AF1130" s="661" t="s">
        <v>1745</v>
      </c>
      <c r="AG1130" s="662" t="s">
        <v>1432</v>
      </c>
      <c r="AH1130" s="662" t="s">
        <v>1734</v>
      </c>
      <c r="AI1130" s="662">
        <v>1000</v>
      </c>
      <c r="AJ1130" s="662">
        <v>1000</v>
      </c>
      <c r="AK1130" s="662">
        <v>0</v>
      </c>
      <c r="AL1130" s="658">
        <v>0</v>
      </c>
      <c r="AM1130" s="658">
        <v>0</v>
      </c>
      <c r="AN1130" s="659" t="s">
        <v>34</v>
      </c>
      <c r="AO1130" s="253" t="s">
        <v>34</v>
      </c>
      <c r="AP1130" s="944" t="s">
        <v>1731</v>
      </c>
      <c r="AQ1130" s="663" t="s">
        <v>659</v>
      </c>
      <c r="AR1130" s="658">
        <v>3.3333333333333301E-3</v>
      </c>
      <c r="AS1130" s="658">
        <v>3.3333333333333301E-3</v>
      </c>
      <c r="AT1130" s="658" t="s">
        <v>1417</v>
      </c>
      <c r="AU1130" s="658" t="s">
        <v>2751</v>
      </c>
      <c r="AX1130"/>
      <c r="AY1130"/>
      <c r="BA1130"/>
      <c r="BB1130"/>
      <c r="BC1130"/>
      <c r="BD1130"/>
      <c r="BE1130"/>
      <c r="BF1130"/>
      <c r="BG1130"/>
      <c r="BH1130"/>
      <c r="BI1130"/>
      <c r="BJ1130"/>
      <c r="BR1130"/>
      <c r="BS1130"/>
      <c r="BT1130"/>
      <c r="BU1130"/>
      <c r="BX1130"/>
      <c r="BY1130"/>
      <c r="CA1130"/>
    </row>
    <row r="1131" spans="2:79" ht="18.75">
      <c r="B1131" s="252" t="s">
        <v>1683</v>
      </c>
      <c r="C1131" s="251">
        <v>17157131000180</v>
      </c>
      <c r="D1131" s="252" t="s">
        <v>14</v>
      </c>
      <c r="E1131" s="252" t="s">
        <v>607</v>
      </c>
      <c r="F1131" s="252" t="s">
        <v>1417</v>
      </c>
      <c r="G1131" s="253" t="s">
        <v>1417</v>
      </c>
      <c r="H1131" s="253" t="s">
        <v>34</v>
      </c>
      <c r="I1131" s="253" t="s">
        <v>34</v>
      </c>
      <c r="J1131" s="253" t="s">
        <v>608</v>
      </c>
      <c r="K1131" s="253" t="s">
        <v>48</v>
      </c>
      <c r="L1131" s="655"/>
      <c r="M1131" s="655" t="s">
        <v>34</v>
      </c>
      <c r="N1131" s="253" t="s">
        <v>3752</v>
      </c>
      <c r="O1131" s="253" t="s">
        <v>1321</v>
      </c>
      <c r="P1131" s="656">
        <v>41266</v>
      </c>
      <c r="Q1131" s="657">
        <v>418.79901999999998</v>
      </c>
      <c r="R1131" s="657">
        <v>418.29774858870957</v>
      </c>
      <c r="S1131" s="253">
        <v>32</v>
      </c>
      <c r="T1131" s="658">
        <v>-2.3887551097432347E-2</v>
      </c>
      <c r="U1131" s="659">
        <v>-1.1944743088655454</v>
      </c>
      <c r="V1131" s="658">
        <v>-5.1006024648993842E-2</v>
      </c>
      <c r="W1131" s="659">
        <v>-0.39556753682920281</v>
      </c>
      <c r="X1131" s="658">
        <v>-1.6502339544222533E-2</v>
      </c>
      <c r="Y1131" s="659">
        <v>-8.5465493992149449E-2</v>
      </c>
      <c r="Z1131" s="658">
        <v>-4.3707997959847478E-2</v>
      </c>
      <c r="AA1131" s="659">
        <v>-0.19735371856720571</v>
      </c>
      <c r="AB1131" s="658">
        <v>0.23725445710351215</v>
      </c>
      <c r="AC1131" s="660">
        <v>-0.75846808651215991</v>
      </c>
      <c r="AD1131" s="682">
        <v>27227810000131</v>
      </c>
      <c r="AE1131" s="944" t="s">
        <v>1836</v>
      </c>
      <c r="AF1131" s="661" t="s">
        <v>1729</v>
      </c>
      <c r="AG1131" s="662" t="s">
        <v>1433</v>
      </c>
      <c r="AH1131" s="662" t="s">
        <v>1734</v>
      </c>
      <c r="AI1131" s="662">
        <v>50000</v>
      </c>
      <c r="AJ1131" s="662">
        <v>10000</v>
      </c>
      <c r="AK1131" s="662">
        <v>10000</v>
      </c>
      <c r="AL1131" s="658">
        <v>0.02</v>
      </c>
      <c r="AM1131" s="658">
        <v>0.2</v>
      </c>
      <c r="AN1131" s="659" t="s">
        <v>2127</v>
      </c>
      <c r="AO1131" s="253" t="s">
        <v>34</v>
      </c>
      <c r="AP1131" s="944" t="s">
        <v>1731</v>
      </c>
      <c r="AQ1131" s="663" t="s">
        <v>665</v>
      </c>
      <c r="AR1131" s="658">
        <v>3.3333333333333301E-3</v>
      </c>
      <c r="AS1131" s="658">
        <v>3.3333333333333301E-3</v>
      </c>
      <c r="AT1131" s="658" t="s">
        <v>1417</v>
      </c>
      <c r="AU1131" s="658" t="s">
        <v>2751</v>
      </c>
      <c r="AX1131"/>
      <c r="AY1131"/>
      <c r="BA1131"/>
      <c r="BB1131"/>
      <c r="BC1131"/>
      <c r="BD1131"/>
      <c r="BE1131"/>
      <c r="BF1131"/>
      <c r="BG1131"/>
      <c r="BH1131"/>
      <c r="BI1131"/>
      <c r="BJ1131"/>
      <c r="BR1131"/>
      <c r="BS1131"/>
      <c r="BT1131"/>
      <c r="BU1131"/>
      <c r="BX1131"/>
      <c r="BY1131"/>
      <c r="CA1131"/>
    </row>
    <row r="1132" spans="2:79" ht="18.75">
      <c r="B1132" s="252" t="s">
        <v>1103</v>
      </c>
      <c r="C1132" s="251">
        <v>39846732000132</v>
      </c>
      <c r="D1132" s="252" t="s">
        <v>14</v>
      </c>
      <c r="E1132" s="252" t="s">
        <v>607</v>
      </c>
      <c r="F1132" s="252" t="s">
        <v>1417</v>
      </c>
      <c r="G1132" s="253" t="s">
        <v>1417</v>
      </c>
      <c r="H1132" s="253" t="s">
        <v>34</v>
      </c>
      <c r="I1132" s="253" t="s">
        <v>34</v>
      </c>
      <c r="J1132" s="253" t="s">
        <v>608</v>
      </c>
      <c r="K1132" s="253" t="s">
        <v>48</v>
      </c>
      <c r="L1132" s="655"/>
      <c r="M1132" s="655" t="s">
        <v>1414</v>
      </c>
      <c r="N1132" s="253" t="s">
        <v>3753</v>
      </c>
      <c r="O1132" s="253" t="s">
        <v>1321</v>
      </c>
      <c r="P1132" s="656">
        <v>44164</v>
      </c>
      <c r="Q1132" s="657">
        <v>15.707865010000001</v>
      </c>
      <c r="R1132" s="657">
        <v>16.119156050325198</v>
      </c>
      <c r="S1132" s="253">
        <v>32</v>
      </c>
      <c r="T1132" s="658">
        <v>-3.0161515097856695E-2</v>
      </c>
      <c r="U1132" s="659">
        <v>-1.5081979209129819</v>
      </c>
      <c r="V1132" s="658">
        <v>-0.11003185185433229</v>
      </c>
      <c r="W1132" s="659">
        <v>-0.85333112922048826</v>
      </c>
      <c r="X1132" s="658">
        <v>-0.24717038345878872</v>
      </c>
      <c r="Y1132" s="659">
        <v>-1.2800935810298535</v>
      </c>
      <c r="Z1132" s="658"/>
      <c r="AA1132" s="659"/>
      <c r="AB1132" s="658">
        <v>0.2147288684950005</v>
      </c>
      <c r="AC1132" s="660">
        <v>-1.1129186446892896</v>
      </c>
      <c r="AD1132" s="682">
        <v>0</v>
      </c>
      <c r="AE1132" s="944" t="s">
        <v>2039</v>
      </c>
      <c r="AF1132" s="661" t="s">
        <v>1745</v>
      </c>
      <c r="AG1132" s="662" t="s">
        <v>1432</v>
      </c>
      <c r="AH1132" s="662" t="s">
        <v>1730</v>
      </c>
      <c r="AI1132" s="662">
        <v>5000</v>
      </c>
      <c r="AJ1132" s="662">
        <v>5000</v>
      </c>
      <c r="AK1132" s="662">
        <v>5000</v>
      </c>
      <c r="AL1132" s="658">
        <v>0.01</v>
      </c>
      <c r="AM1132" s="658">
        <v>0.1</v>
      </c>
      <c r="AN1132" s="659" t="s">
        <v>34</v>
      </c>
      <c r="AO1132" s="253" t="s">
        <v>34</v>
      </c>
      <c r="AP1132" s="944" t="s">
        <v>1731</v>
      </c>
      <c r="AQ1132" s="663" t="s">
        <v>659</v>
      </c>
      <c r="AR1132" s="658">
        <v>3.3333333333333301E-3</v>
      </c>
      <c r="AS1132" s="658">
        <v>3.3333333333333301E-3</v>
      </c>
      <c r="AT1132" s="658" t="s">
        <v>1417</v>
      </c>
      <c r="AU1132" s="658" t="s">
        <v>2751</v>
      </c>
      <c r="AX1132"/>
      <c r="AY1132"/>
      <c r="BA1132"/>
      <c r="BB1132"/>
      <c r="BC1132"/>
      <c r="BD1132"/>
      <c r="BE1132"/>
      <c r="BF1132"/>
      <c r="BG1132"/>
      <c r="BH1132"/>
      <c r="BI1132"/>
      <c r="BJ1132"/>
      <c r="BR1132"/>
      <c r="BS1132"/>
      <c r="BT1132"/>
      <c r="BU1132"/>
      <c r="BX1132"/>
      <c r="BY1132"/>
      <c r="CA1132"/>
    </row>
    <row r="1133" spans="2:79" ht="18.75">
      <c r="B1133" s="252" t="s">
        <v>1104</v>
      </c>
      <c r="C1133" s="251">
        <v>27181717000133</v>
      </c>
      <c r="D1133" s="252" t="s">
        <v>14</v>
      </c>
      <c r="E1133" s="252" t="s">
        <v>607</v>
      </c>
      <c r="F1133" s="252" t="s">
        <v>860</v>
      </c>
      <c r="G1133" s="253" t="s">
        <v>1417</v>
      </c>
      <c r="H1133" s="253" t="s">
        <v>34</v>
      </c>
      <c r="I1133" s="253" t="s">
        <v>34</v>
      </c>
      <c r="J1133" s="253" t="s">
        <v>611</v>
      </c>
      <c r="K1133" s="253" t="s">
        <v>1417</v>
      </c>
      <c r="L1133" s="655"/>
      <c r="M1133" s="655" t="s">
        <v>34</v>
      </c>
      <c r="N1133" s="253" t="s">
        <v>3754</v>
      </c>
      <c r="O1133" s="253" t="s">
        <v>1321</v>
      </c>
      <c r="P1133" s="656">
        <v>42783</v>
      </c>
      <c r="Q1133" s="657">
        <v>14.69283706</v>
      </c>
      <c r="R1133" s="657">
        <v>19.916698155742999</v>
      </c>
      <c r="S1133" s="253">
        <v>6</v>
      </c>
      <c r="T1133" s="658">
        <v>-4.4664669269790958E-2</v>
      </c>
      <c r="U1133" s="659">
        <v>-2.2334143729985092</v>
      </c>
      <c r="V1133" s="658">
        <v>5.6946529898540543E-3</v>
      </c>
      <c r="W1133" s="659">
        <v>4.4163799703964168E-2</v>
      </c>
      <c r="X1133" s="658">
        <v>-1.6520993563570507E-2</v>
      </c>
      <c r="Y1133" s="659">
        <v>-8.5562103019871938E-2</v>
      </c>
      <c r="Z1133" s="658">
        <v>0.3993469357729349</v>
      </c>
      <c r="AA1133" s="659">
        <v>1.8031620401741866</v>
      </c>
      <c r="AB1133" s="658">
        <v>0.20795321978300108</v>
      </c>
      <c r="AC1133" s="660">
        <v>-0.5926777983314937</v>
      </c>
      <c r="AD1133" s="682">
        <v>0</v>
      </c>
      <c r="AE1133" s="944" t="s">
        <v>1969</v>
      </c>
      <c r="AF1133" s="661" t="s">
        <v>1745</v>
      </c>
      <c r="AG1133" s="662" t="s">
        <v>1432</v>
      </c>
      <c r="AH1133" s="662" t="s">
        <v>1730</v>
      </c>
      <c r="AI1133" s="662">
        <v>5000</v>
      </c>
      <c r="AJ1133" s="662">
        <v>200</v>
      </c>
      <c r="AK1133" s="662">
        <v>200</v>
      </c>
      <c r="AL1133" s="658">
        <v>0</v>
      </c>
      <c r="AM1133" s="658">
        <v>0</v>
      </c>
      <c r="AN1133" s="659" t="s">
        <v>2127</v>
      </c>
      <c r="AO1133" s="253" t="s">
        <v>34</v>
      </c>
      <c r="AP1133" s="944" t="s">
        <v>1731</v>
      </c>
      <c r="AQ1133" s="663" t="s">
        <v>687</v>
      </c>
      <c r="AR1133" s="658">
        <v>5.8333333333333301E-3</v>
      </c>
      <c r="AS1133" s="658">
        <v>5.8333333333333301E-3</v>
      </c>
      <c r="AT1133" s="658" t="s">
        <v>1417</v>
      </c>
      <c r="AU1133" s="658" t="s">
        <v>2751</v>
      </c>
      <c r="AX1133"/>
      <c r="AY1133"/>
      <c r="BA1133"/>
      <c r="BB1133"/>
      <c r="BC1133"/>
      <c r="BD1133"/>
      <c r="BE1133"/>
      <c r="BF1133"/>
      <c r="BG1133"/>
      <c r="BH1133"/>
      <c r="BI1133"/>
      <c r="BJ1133"/>
      <c r="BR1133"/>
      <c r="BS1133"/>
      <c r="BT1133"/>
      <c r="BU1133"/>
      <c r="BX1133"/>
      <c r="BY1133"/>
      <c r="CA1133"/>
    </row>
    <row r="1134" spans="2:79" ht="18.75">
      <c r="B1134" s="252" t="s">
        <v>1105</v>
      </c>
      <c r="C1134" s="251">
        <v>24597757000172</v>
      </c>
      <c r="D1134" s="252" t="s">
        <v>14</v>
      </c>
      <c r="E1134" s="252" t="s">
        <v>607</v>
      </c>
      <c r="F1134" s="252" t="s">
        <v>1417</v>
      </c>
      <c r="G1134" s="253" t="s">
        <v>1417</v>
      </c>
      <c r="H1134" s="253" t="s">
        <v>34</v>
      </c>
      <c r="I1134" s="253" t="s">
        <v>34</v>
      </c>
      <c r="J1134" s="253" t="s">
        <v>611</v>
      </c>
      <c r="K1134" s="253" t="s">
        <v>1417</v>
      </c>
      <c r="L1134" s="655"/>
      <c r="M1134" s="655" t="s">
        <v>34</v>
      </c>
      <c r="N1134" s="253" t="s">
        <v>3755</v>
      </c>
      <c r="O1134" s="253" t="s">
        <v>1321</v>
      </c>
      <c r="P1134" s="656">
        <v>42462</v>
      </c>
      <c r="Q1134" s="657">
        <v>11.588708</v>
      </c>
      <c r="R1134" s="657">
        <v>13.503964294478527</v>
      </c>
      <c r="S1134" s="253">
        <v>6</v>
      </c>
      <c r="T1134" s="658">
        <v>6.2021621688679307E-3</v>
      </c>
      <c r="U1134" s="659">
        <v>0.31013322964390716</v>
      </c>
      <c r="V1134" s="658">
        <v>-3.9484214398604389E-2</v>
      </c>
      <c r="W1134" s="659">
        <v>-0.30621232571592266</v>
      </c>
      <c r="X1134" s="658">
        <v>-6.0212142755608156E-2</v>
      </c>
      <c r="Y1134" s="659">
        <v>-0.31183824033820151</v>
      </c>
      <c r="Z1134" s="658">
        <v>0.3328504172397706</v>
      </c>
      <c r="AA1134" s="659">
        <v>1.5029118384525499</v>
      </c>
      <c r="AB1134" s="658">
        <v>0.17774136369497434</v>
      </c>
      <c r="AC1134" s="660">
        <v>-0.94760229326492484</v>
      </c>
      <c r="AD1134" s="682">
        <v>0</v>
      </c>
      <c r="AE1134" s="944" t="s">
        <v>1969</v>
      </c>
      <c r="AF1134" s="661" t="s">
        <v>1745</v>
      </c>
      <c r="AG1134" s="662" t="s">
        <v>1432</v>
      </c>
      <c r="AH1134" s="662" t="s">
        <v>1730</v>
      </c>
      <c r="AI1134" s="662">
        <v>5000</v>
      </c>
      <c r="AJ1134" s="662">
        <v>200</v>
      </c>
      <c r="AK1134" s="662">
        <v>200</v>
      </c>
      <c r="AL1134" s="658">
        <v>0</v>
      </c>
      <c r="AM1134" s="658">
        <v>0</v>
      </c>
      <c r="AN1134" s="659" t="s">
        <v>2127</v>
      </c>
      <c r="AO1134" s="253" t="s">
        <v>34</v>
      </c>
      <c r="AP1134" s="944" t="s">
        <v>1746</v>
      </c>
      <c r="AQ1134" s="663" t="s">
        <v>679</v>
      </c>
      <c r="AR1134" s="658">
        <v>5.8333333333333301E-3</v>
      </c>
      <c r="AS1134" s="658">
        <v>5.8333333333333301E-3</v>
      </c>
      <c r="AT1134" s="658" t="s">
        <v>1417</v>
      </c>
      <c r="AU1134" s="658" t="s">
        <v>2751</v>
      </c>
      <c r="AX1134"/>
      <c r="AY1134"/>
      <c r="BA1134"/>
      <c r="BB1134"/>
      <c r="BC1134"/>
      <c r="BD1134"/>
      <c r="BE1134"/>
      <c r="BF1134"/>
      <c r="BG1134"/>
      <c r="BH1134"/>
      <c r="BI1134"/>
      <c r="BJ1134"/>
      <c r="BR1134"/>
      <c r="BS1134"/>
      <c r="BT1134"/>
      <c r="BU1134"/>
      <c r="BX1134"/>
      <c r="BY1134"/>
      <c r="CA1134"/>
    </row>
    <row r="1135" spans="2:79" ht="18.75">
      <c r="B1135" s="252" t="s">
        <v>1106</v>
      </c>
      <c r="C1135" s="251">
        <v>27181765000121</v>
      </c>
      <c r="D1135" s="252" t="s">
        <v>14</v>
      </c>
      <c r="E1135" s="252" t="s">
        <v>607</v>
      </c>
      <c r="F1135" s="252" t="s">
        <v>1417</v>
      </c>
      <c r="G1135" s="253" t="s">
        <v>1417</v>
      </c>
      <c r="H1135" s="253" t="s">
        <v>34</v>
      </c>
      <c r="I1135" s="253" t="s">
        <v>34</v>
      </c>
      <c r="J1135" s="253" t="s">
        <v>611</v>
      </c>
      <c r="K1135" s="253" t="s">
        <v>1417</v>
      </c>
      <c r="L1135" s="655"/>
      <c r="M1135" s="655" t="s">
        <v>34</v>
      </c>
      <c r="N1135" s="253" t="s">
        <v>3756</v>
      </c>
      <c r="O1135" s="253" t="s">
        <v>1321</v>
      </c>
      <c r="P1135" s="656">
        <v>42783</v>
      </c>
      <c r="Q1135" s="657">
        <v>14.006779079999999</v>
      </c>
      <c r="R1135" s="657">
        <v>19.086788509919355</v>
      </c>
      <c r="S1135" s="253">
        <v>6</v>
      </c>
      <c r="T1135" s="658">
        <v>0.10045903344570584</v>
      </c>
      <c r="U1135" s="659">
        <v>5.0233585709528183</v>
      </c>
      <c r="V1135" s="658">
        <v>-0.18149409669899208</v>
      </c>
      <c r="W1135" s="659">
        <v>-1.407542996622805</v>
      </c>
      <c r="X1135" s="658">
        <v>-0.34410381603218265</v>
      </c>
      <c r="Y1135" s="659">
        <v>-1.7821111087288404</v>
      </c>
      <c r="Z1135" s="658">
        <v>0.1689475608389075</v>
      </c>
      <c r="AA1135" s="659">
        <v>0.7628450382249895</v>
      </c>
      <c r="AB1135" s="658">
        <v>0.33051921284521607</v>
      </c>
      <c r="AC1135" s="660">
        <v>-0.93924345115501717</v>
      </c>
      <c r="AD1135" s="682">
        <v>0</v>
      </c>
      <c r="AE1135" s="944" t="s">
        <v>1969</v>
      </c>
      <c r="AF1135" s="661" t="s">
        <v>1745</v>
      </c>
      <c r="AG1135" s="662" t="s">
        <v>1432</v>
      </c>
      <c r="AH1135" s="662" t="s">
        <v>1730</v>
      </c>
      <c r="AI1135" s="662">
        <v>5000</v>
      </c>
      <c r="AJ1135" s="662">
        <v>200</v>
      </c>
      <c r="AK1135" s="662">
        <v>200</v>
      </c>
      <c r="AL1135" s="658">
        <v>0</v>
      </c>
      <c r="AM1135" s="658">
        <v>0</v>
      </c>
      <c r="AN1135" s="659" t="s">
        <v>2127</v>
      </c>
      <c r="AO1135" s="253" t="s">
        <v>34</v>
      </c>
      <c r="AP1135" s="944" t="s">
        <v>1731</v>
      </c>
      <c r="AQ1135" s="663" t="s">
        <v>687</v>
      </c>
      <c r="AR1135" s="658">
        <v>5.8333333333333301E-3</v>
      </c>
      <c r="AS1135" s="658">
        <v>5.8333333333333301E-3</v>
      </c>
      <c r="AT1135" s="658" t="s">
        <v>1417</v>
      </c>
      <c r="AU1135" s="658" t="s">
        <v>2751</v>
      </c>
      <c r="AX1135"/>
      <c r="AY1135"/>
      <c r="BA1135"/>
      <c r="BB1135"/>
      <c r="BC1135"/>
      <c r="BD1135"/>
      <c r="BE1135"/>
      <c r="BF1135"/>
      <c r="BG1135"/>
      <c r="BH1135"/>
      <c r="BI1135"/>
      <c r="BJ1135"/>
      <c r="BR1135"/>
      <c r="BS1135"/>
      <c r="BT1135"/>
      <c r="BU1135"/>
      <c r="BX1135"/>
      <c r="BY1135"/>
      <c r="CA1135"/>
    </row>
    <row r="1136" spans="2:79" ht="18.75">
      <c r="B1136" s="252" t="s">
        <v>1107</v>
      </c>
      <c r="C1136" s="251">
        <v>31392506000117</v>
      </c>
      <c r="D1136" s="252" t="s">
        <v>14</v>
      </c>
      <c r="E1136" s="252" t="s">
        <v>607</v>
      </c>
      <c r="F1136" s="252" t="s">
        <v>1417</v>
      </c>
      <c r="G1136" s="253" t="s">
        <v>1417</v>
      </c>
      <c r="H1136" s="253" t="s">
        <v>34</v>
      </c>
      <c r="I1136" s="253" t="s">
        <v>34</v>
      </c>
      <c r="J1136" s="253" t="s">
        <v>611</v>
      </c>
      <c r="K1136" s="253" t="s">
        <v>48</v>
      </c>
      <c r="L1136" s="655"/>
      <c r="M1136" s="655" t="s">
        <v>34</v>
      </c>
      <c r="N1136" s="253" t="s">
        <v>3757</v>
      </c>
      <c r="O1136" s="253" t="s">
        <v>1321</v>
      </c>
      <c r="P1136" s="656">
        <v>43376</v>
      </c>
      <c r="Q1136" s="657">
        <v>0</v>
      </c>
      <c r="R1136" s="657">
        <v>163.88484389055</v>
      </c>
      <c r="S1136" s="253">
        <v>5</v>
      </c>
      <c r="T1136" s="658"/>
      <c r="U1136" s="659"/>
      <c r="V1136" s="658">
        <v>-0.18020461253649389</v>
      </c>
      <c r="W1136" s="659">
        <v>-1.3975426471062555</v>
      </c>
      <c r="X1136" s="658">
        <v>-0.18304600872518395</v>
      </c>
      <c r="Y1136" s="659">
        <v>-0.94799392032059759</v>
      </c>
      <c r="Z1136" s="658">
        <v>8.3536184685299775E-2</v>
      </c>
      <c r="AA1136" s="659">
        <v>0.37718901464454768</v>
      </c>
      <c r="AB1136" s="658">
        <v>0.30211150215935134</v>
      </c>
      <c r="AC1136" s="660">
        <v>-1.0232927901573876</v>
      </c>
      <c r="AD1136" s="682">
        <v>0</v>
      </c>
      <c r="AE1136" s="944" t="s">
        <v>1926</v>
      </c>
      <c r="AF1136" s="661" t="s">
        <v>1729</v>
      </c>
      <c r="AG1136" s="662" t="s">
        <v>1433</v>
      </c>
      <c r="AH1136" s="662" t="s">
        <v>1730</v>
      </c>
      <c r="AI1136" s="662">
        <v>50000</v>
      </c>
      <c r="AJ1136" s="662">
        <v>5000</v>
      </c>
      <c r="AK1136" s="662">
        <v>25000</v>
      </c>
      <c r="AL1136" s="658">
        <v>1.4999999999999999E-2</v>
      </c>
      <c r="AM1136" s="658">
        <v>0.2</v>
      </c>
      <c r="AN1136" s="659" t="s">
        <v>2127</v>
      </c>
      <c r="AO1136" s="253" t="s">
        <v>34</v>
      </c>
      <c r="AP1136" s="944" t="s">
        <v>1731</v>
      </c>
      <c r="AQ1136" s="663" t="s">
        <v>687</v>
      </c>
      <c r="AR1136" s="658">
        <v>4.0000000000000001E-3</v>
      </c>
      <c r="AS1136" s="658">
        <v>4.0000000000000001E-3</v>
      </c>
      <c r="AT1136" s="658" t="s">
        <v>1417</v>
      </c>
      <c r="AU1136" s="658" t="s">
        <v>2751</v>
      </c>
      <c r="AX1136"/>
      <c r="AY1136"/>
      <c r="BA1136"/>
      <c r="BB1136"/>
      <c r="BC1136"/>
      <c r="BD1136"/>
      <c r="BE1136"/>
      <c r="BF1136"/>
      <c r="BG1136"/>
      <c r="BH1136"/>
      <c r="BI1136"/>
      <c r="BJ1136"/>
      <c r="BR1136"/>
      <c r="BS1136"/>
      <c r="BT1136"/>
      <c r="BU1136"/>
      <c r="BX1136"/>
      <c r="BY1136"/>
      <c r="CA1136"/>
    </row>
    <row r="1137" spans="2:79" ht="18.75">
      <c r="B1137" s="252" t="s">
        <v>1108</v>
      </c>
      <c r="C1137" s="251">
        <v>23915589000153</v>
      </c>
      <c r="D1137" s="252" t="s">
        <v>14</v>
      </c>
      <c r="E1137" s="252" t="s">
        <v>614</v>
      </c>
      <c r="F1137" s="252" t="s">
        <v>1417</v>
      </c>
      <c r="G1137" s="253" t="s">
        <v>1417</v>
      </c>
      <c r="H1137" s="253" t="s">
        <v>1338</v>
      </c>
      <c r="I1137" s="253" t="s">
        <v>34</v>
      </c>
      <c r="J1137" s="253" t="s">
        <v>611</v>
      </c>
      <c r="K1137" s="253" t="s">
        <v>49</v>
      </c>
      <c r="L1137" s="655"/>
      <c r="M1137" s="655" t="s">
        <v>34</v>
      </c>
      <c r="N1137" s="253" t="s">
        <v>3758</v>
      </c>
      <c r="O1137" s="253" t="s">
        <v>1321</v>
      </c>
      <c r="P1137" s="656">
        <v>42445</v>
      </c>
      <c r="Q1137" s="657">
        <v>62.042777999999998</v>
      </c>
      <c r="R1137" s="657">
        <v>76.333245850202445</v>
      </c>
      <c r="S1137" s="253">
        <v>5</v>
      </c>
      <c r="T1137" s="658">
        <v>3.4680376529802714E-2</v>
      </c>
      <c r="U1137" s="659">
        <v>1.7341592956795682</v>
      </c>
      <c r="V1137" s="658">
        <v>-0.2070740445389182</v>
      </c>
      <c r="W1137" s="659">
        <v>-1.6059234238153144</v>
      </c>
      <c r="X1137" s="658">
        <v>-0.31381669475438667</v>
      </c>
      <c r="Y1137" s="659">
        <v>-1.6252543324717303</v>
      </c>
      <c r="Z1137" s="658">
        <v>0.1478810424476189</v>
      </c>
      <c r="AA1137" s="659">
        <v>0.66772387194314364</v>
      </c>
      <c r="AB1137" s="658">
        <v>0.29165793332859286</v>
      </c>
      <c r="AC1137" s="660">
        <v>-1.152096053588695</v>
      </c>
      <c r="AD1137" s="682">
        <v>23729562000176</v>
      </c>
      <c r="AE1137" s="944" t="s">
        <v>1926</v>
      </c>
      <c r="AF1137" s="661" t="s">
        <v>1729</v>
      </c>
      <c r="AG1137" s="662" t="s">
        <v>1433</v>
      </c>
      <c r="AH1137" s="662" t="s">
        <v>1801</v>
      </c>
      <c r="AI1137" s="662">
        <v>50000</v>
      </c>
      <c r="AJ1137" s="662">
        <v>5000</v>
      </c>
      <c r="AK1137" s="662">
        <v>25000</v>
      </c>
      <c r="AL1137" s="658">
        <v>1.4999999999999999E-2</v>
      </c>
      <c r="AM1137" s="658">
        <v>0.2</v>
      </c>
      <c r="AN1137" s="659" t="s">
        <v>2122</v>
      </c>
      <c r="AO1137" s="253" t="s">
        <v>34</v>
      </c>
      <c r="AP1137" s="944" t="s">
        <v>1731</v>
      </c>
      <c r="AQ1137" s="663" t="s">
        <v>687</v>
      </c>
      <c r="AR1137" s="658">
        <v>4.0000000000000001E-3</v>
      </c>
      <c r="AS1137" s="658">
        <v>4.0000000000000001E-3</v>
      </c>
      <c r="AT1137" s="658" t="s">
        <v>1417</v>
      </c>
      <c r="AU1137" s="658" t="s">
        <v>2751</v>
      </c>
      <c r="AX1137"/>
      <c r="AY1137"/>
      <c r="BA1137"/>
      <c r="BB1137"/>
      <c r="BC1137"/>
      <c r="BD1137"/>
      <c r="BE1137"/>
      <c r="BF1137"/>
      <c r="BG1137"/>
      <c r="BH1137"/>
      <c r="BI1137"/>
      <c r="BJ1137"/>
      <c r="BR1137"/>
      <c r="BS1137"/>
      <c r="BT1137"/>
      <c r="BU1137"/>
      <c r="BX1137"/>
      <c r="BY1137"/>
      <c r="CA1137"/>
    </row>
    <row r="1138" spans="2:79" ht="18.75">
      <c r="B1138" s="252" t="s">
        <v>4528</v>
      </c>
      <c r="C1138" s="251">
        <v>30869348000180</v>
      </c>
      <c r="D1138" s="252" t="s">
        <v>13</v>
      </c>
      <c r="E1138" s="252" t="s">
        <v>615</v>
      </c>
      <c r="F1138" s="252" t="s">
        <v>619</v>
      </c>
      <c r="G1138" s="253" t="s">
        <v>34</v>
      </c>
      <c r="H1138" s="253" t="s">
        <v>1337</v>
      </c>
      <c r="I1138" s="253" t="s">
        <v>34</v>
      </c>
      <c r="J1138" s="253" t="s">
        <v>608</v>
      </c>
      <c r="K1138" s="253" t="s">
        <v>48</v>
      </c>
      <c r="L1138" s="655"/>
      <c r="M1138" s="655" t="s">
        <v>34</v>
      </c>
      <c r="N1138" s="253" t="s">
        <v>4529</v>
      </c>
      <c r="O1138" s="253" t="s">
        <v>1321</v>
      </c>
      <c r="P1138" s="656">
        <v>43369</v>
      </c>
      <c r="Q1138" s="657">
        <v>304.05144209999997</v>
      </c>
      <c r="R1138" s="657">
        <v>303.42464255749996</v>
      </c>
      <c r="S1138" s="253">
        <v>3</v>
      </c>
      <c r="T1138" s="658">
        <v>6.6589247215054215E-4</v>
      </c>
      <c r="U1138" s="659">
        <v>3.3297320734408983E-2</v>
      </c>
      <c r="V1138" s="658">
        <v>6.6589247215054215E-4</v>
      </c>
      <c r="W1138" s="659">
        <v>5.1642025979159404E-3</v>
      </c>
      <c r="X1138" s="658">
        <v>6.6589247215054215E-4</v>
      </c>
      <c r="Y1138" s="659">
        <v>3.4486521699236381E-3</v>
      </c>
      <c r="Z1138" s="658">
        <v>6.6589247215054215E-4</v>
      </c>
      <c r="AA1138" s="659">
        <v>3.0066889740762116E-3</v>
      </c>
      <c r="AB1138" s="658">
        <v>9.6663905931867397E-3</v>
      </c>
      <c r="AC1138" s="660">
        <v>-13.270518684094279</v>
      </c>
      <c r="AD1138" s="682">
        <v>35717624000109</v>
      </c>
      <c r="AE1138" s="944" t="s">
        <v>1750</v>
      </c>
      <c r="AF1138" s="661" t="s">
        <v>1729</v>
      </c>
      <c r="AG1138" s="662" t="s">
        <v>1433</v>
      </c>
      <c r="AH1138" s="662" t="s">
        <v>2119</v>
      </c>
      <c r="AI1138" s="662">
        <v>5000</v>
      </c>
      <c r="AJ1138" s="662">
        <v>0</v>
      </c>
      <c r="AK1138" s="662">
        <v>5000</v>
      </c>
      <c r="AL1138" s="658">
        <v>0</v>
      </c>
      <c r="AM1138" s="658">
        <v>0</v>
      </c>
      <c r="AN1138" s="659" t="s">
        <v>64</v>
      </c>
      <c r="AO1138" s="253" t="s">
        <v>4397</v>
      </c>
      <c r="AP1138" s="944" t="s">
        <v>1746</v>
      </c>
      <c r="AQ1138" s="663" t="s">
        <v>2177</v>
      </c>
      <c r="AR1138" s="658">
        <v>0</v>
      </c>
      <c r="AS1138" s="658">
        <v>0</v>
      </c>
      <c r="AT1138" s="658" t="s">
        <v>1417</v>
      </c>
      <c r="AU1138" s="658" t="s">
        <v>2751</v>
      </c>
      <c r="AX1138"/>
      <c r="AY1138"/>
      <c r="BA1138"/>
      <c r="BB1138"/>
      <c r="BC1138"/>
      <c r="BD1138"/>
      <c r="BE1138"/>
      <c r="BF1138"/>
      <c r="BG1138"/>
      <c r="BH1138"/>
      <c r="BI1138"/>
      <c r="BJ1138"/>
      <c r="BR1138"/>
      <c r="BS1138"/>
      <c r="BT1138"/>
      <c r="BU1138"/>
      <c r="BX1138"/>
      <c r="BY1138"/>
      <c r="CA1138"/>
    </row>
    <row r="1139" spans="2:79" ht="18.75">
      <c r="B1139" s="252" t="s">
        <v>27</v>
      </c>
      <c r="C1139" s="251">
        <v>18471807000178</v>
      </c>
      <c r="D1139" s="252" t="s">
        <v>14</v>
      </c>
      <c r="E1139" s="252" t="s">
        <v>614</v>
      </c>
      <c r="F1139" s="252" t="s">
        <v>1417</v>
      </c>
      <c r="G1139" s="253" t="s">
        <v>1417</v>
      </c>
      <c r="H1139" s="253" t="s">
        <v>1338</v>
      </c>
      <c r="I1139" s="253" t="s">
        <v>34</v>
      </c>
      <c r="J1139" s="253" t="s">
        <v>608</v>
      </c>
      <c r="K1139" s="253" t="s">
        <v>48</v>
      </c>
      <c r="L1139" s="655"/>
      <c r="M1139" s="655" t="s">
        <v>34</v>
      </c>
      <c r="N1139" s="253" t="s">
        <v>3759</v>
      </c>
      <c r="O1139" s="253" t="s">
        <v>1321</v>
      </c>
      <c r="P1139" s="656">
        <v>41580</v>
      </c>
      <c r="Q1139" s="657">
        <v>95.877719999999997</v>
      </c>
      <c r="R1139" s="657">
        <v>157.64554488306445</v>
      </c>
      <c r="S1139" s="253">
        <v>17</v>
      </c>
      <c r="T1139" s="658">
        <v>-7.580673255869752E-3</v>
      </c>
      <c r="U1139" s="659">
        <v>-0.37906436750705058</v>
      </c>
      <c r="V1139" s="658">
        <v>-0.23519095792574807</v>
      </c>
      <c r="W1139" s="659">
        <v>-1.8239788054728168</v>
      </c>
      <c r="X1139" s="658">
        <v>-0.30600639810578334</v>
      </c>
      <c r="Y1139" s="659">
        <v>-1.584804864109421</v>
      </c>
      <c r="Z1139" s="658">
        <v>-0.22049539485290603</v>
      </c>
      <c r="AA1139" s="659">
        <v>-0.99559778833020618</v>
      </c>
      <c r="AB1139" s="658">
        <v>0.21498672608714148</v>
      </c>
      <c r="AC1139" s="660">
        <v>-1.693755116885403</v>
      </c>
      <c r="AD1139" s="682">
        <v>6964937000163</v>
      </c>
      <c r="AE1139" s="944" t="s">
        <v>1750</v>
      </c>
      <c r="AF1139" s="661" t="s">
        <v>1729</v>
      </c>
      <c r="AG1139" s="662" t="s">
        <v>1433</v>
      </c>
      <c r="AH1139" s="662" t="s">
        <v>1734</v>
      </c>
      <c r="AI1139" s="662">
        <v>50000</v>
      </c>
      <c r="AJ1139" s="662">
        <v>5000</v>
      </c>
      <c r="AK1139" s="662">
        <v>25000</v>
      </c>
      <c r="AL1139" s="658">
        <v>0.02</v>
      </c>
      <c r="AM1139" s="658">
        <v>0.2</v>
      </c>
      <c r="AN1139" s="659" t="s">
        <v>34</v>
      </c>
      <c r="AO1139" s="253" t="s">
        <v>34</v>
      </c>
      <c r="AP1139" s="944" t="s">
        <v>1746</v>
      </c>
      <c r="AQ1139" s="663" t="s">
        <v>668</v>
      </c>
      <c r="AR1139" s="658">
        <v>5.3333333333333297E-3</v>
      </c>
      <c r="AS1139" s="658">
        <v>5.3333333333333297E-3</v>
      </c>
      <c r="AT1139" s="658" t="s">
        <v>1417</v>
      </c>
      <c r="AU1139" s="658" t="s">
        <v>2751</v>
      </c>
      <c r="AX1139"/>
      <c r="AY1139"/>
      <c r="BA1139"/>
      <c r="BB1139"/>
      <c r="BC1139"/>
      <c r="BD1139"/>
      <c r="BE1139"/>
      <c r="BF1139"/>
      <c r="BG1139"/>
      <c r="BH1139"/>
      <c r="BI1139"/>
      <c r="BJ1139"/>
      <c r="BR1139"/>
      <c r="BS1139"/>
      <c r="BT1139"/>
      <c r="BU1139"/>
      <c r="BX1139"/>
      <c r="BY1139"/>
      <c r="CA1139"/>
    </row>
    <row r="1140" spans="2:79" ht="18.75">
      <c r="B1140" s="252" t="s">
        <v>320</v>
      </c>
      <c r="C1140" s="251">
        <v>947958000194</v>
      </c>
      <c r="D1140" s="252" t="s">
        <v>13</v>
      </c>
      <c r="E1140" s="252" t="s">
        <v>615</v>
      </c>
      <c r="F1140" s="252" t="s">
        <v>619</v>
      </c>
      <c r="G1140" s="253" t="s">
        <v>34</v>
      </c>
      <c r="H1140" s="253" t="s">
        <v>1337</v>
      </c>
      <c r="I1140" s="253" t="s">
        <v>34</v>
      </c>
      <c r="J1140" s="253" t="s">
        <v>611</v>
      </c>
      <c r="K1140" s="253" t="s">
        <v>48</v>
      </c>
      <c r="L1140" s="655"/>
      <c r="M1140" s="655" t="s">
        <v>34</v>
      </c>
      <c r="N1140" s="253" t="s">
        <v>3760</v>
      </c>
      <c r="O1140" s="253" t="s">
        <v>1321</v>
      </c>
      <c r="P1140" s="656">
        <v>35221</v>
      </c>
      <c r="Q1140" s="657">
        <v>76.238826000000003</v>
      </c>
      <c r="R1140" s="657">
        <v>96.368891489959978</v>
      </c>
      <c r="S1140" s="253">
        <v>1</v>
      </c>
      <c r="T1140" s="658">
        <v>1.3911131610141458E-2</v>
      </c>
      <c r="U1140" s="659">
        <v>0.69561292607124769</v>
      </c>
      <c r="V1140" s="658">
        <v>0.12099565153189085</v>
      </c>
      <c r="W1140" s="659">
        <v>0.93835879531652067</v>
      </c>
      <c r="X1140" s="658">
        <v>0.18939628970468503</v>
      </c>
      <c r="Y1140" s="659">
        <v>0.98088197837125268</v>
      </c>
      <c r="Z1140" s="658">
        <v>0.20739342911955294</v>
      </c>
      <c r="AA1140" s="659">
        <v>0.93643878360084931</v>
      </c>
      <c r="AB1140" s="658">
        <v>1.0375843420768452E-2</v>
      </c>
      <c r="AC1140" s="660">
        <v>-0.76603487471564446</v>
      </c>
      <c r="AD1140" s="682">
        <v>0</v>
      </c>
      <c r="AE1140" s="944" t="s">
        <v>1750</v>
      </c>
      <c r="AF1140" s="661" t="s">
        <v>1729</v>
      </c>
      <c r="AG1140" s="662" t="s">
        <v>1433</v>
      </c>
      <c r="AH1140" s="662" t="s">
        <v>1734</v>
      </c>
      <c r="AI1140" s="662">
        <v>50000</v>
      </c>
      <c r="AJ1140" s="662">
        <v>5000</v>
      </c>
      <c r="AK1140" s="662">
        <v>25000</v>
      </c>
      <c r="AL1140" s="658">
        <v>1.4999999999999999E-2</v>
      </c>
      <c r="AM1140" s="658">
        <v>0.2</v>
      </c>
      <c r="AN1140" s="659" t="s">
        <v>2127</v>
      </c>
      <c r="AO1140" s="253" t="s">
        <v>34</v>
      </c>
      <c r="AP1140" s="944" t="s">
        <v>1746</v>
      </c>
      <c r="AQ1140" s="663" t="s">
        <v>664</v>
      </c>
      <c r="AR1140" s="658">
        <v>4.0000000000000001E-3</v>
      </c>
      <c r="AS1140" s="658">
        <v>4.0000000000000001E-3</v>
      </c>
      <c r="AT1140" s="658" t="s">
        <v>1417</v>
      </c>
      <c r="AU1140" s="658" t="s">
        <v>2751</v>
      </c>
      <c r="AX1140"/>
      <c r="AY1140"/>
      <c r="BA1140"/>
      <c r="BB1140"/>
      <c r="BC1140"/>
      <c r="BD1140"/>
      <c r="BE1140"/>
      <c r="BF1140"/>
      <c r="BG1140"/>
      <c r="BH1140"/>
      <c r="BI1140"/>
      <c r="BJ1140"/>
      <c r="BR1140"/>
      <c r="BS1140"/>
      <c r="BT1140"/>
      <c r="BU1140"/>
      <c r="BX1140"/>
      <c r="BY1140"/>
      <c r="CA1140"/>
    </row>
    <row r="1141" spans="2:79" ht="18.75">
      <c r="B1141" s="252" t="s">
        <v>321</v>
      </c>
      <c r="C1141" s="251">
        <v>3840166000104</v>
      </c>
      <c r="D1141" s="252" t="s">
        <v>14</v>
      </c>
      <c r="E1141" s="252" t="s">
        <v>607</v>
      </c>
      <c r="F1141" s="252" t="s">
        <v>1417</v>
      </c>
      <c r="G1141" s="253" t="s">
        <v>1417</v>
      </c>
      <c r="H1141" s="253" t="s">
        <v>34</v>
      </c>
      <c r="I1141" s="253" t="s">
        <v>34</v>
      </c>
      <c r="J1141" s="253" t="s">
        <v>608</v>
      </c>
      <c r="K1141" s="253" t="s">
        <v>48</v>
      </c>
      <c r="L1141" s="655"/>
      <c r="M1141" s="655" t="s">
        <v>34</v>
      </c>
      <c r="N1141" s="253" t="s">
        <v>3761</v>
      </c>
      <c r="O1141" s="253" t="s">
        <v>1321</v>
      </c>
      <c r="P1141" s="656">
        <v>36671</v>
      </c>
      <c r="Q1141" s="657">
        <v>25.816201</v>
      </c>
      <c r="R1141" s="657">
        <v>28.885023802419358</v>
      </c>
      <c r="S1141" s="253">
        <v>3</v>
      </c>
      <c r="T1141" s="658">
        <v>-2.5407335191764968E-3</v>
      </c>
      <c r="U1141" s="659">
        <v>-0.12704696693065717</v>
      </c>
      <c r="V1141" s="658">
        <v>-0.1850708966514214</v>
      </c>
      <c r="W1141" s="659">
        <v>-1.4352821893289589</v>
      </c>
      <c r="X1141" s="658">
        <v>-0.18877352865229546</v>
      </c>
      <c r="Y1141" s="659">
        <v>-0.97765670350407907</v>
      </c>
      <c r="Z1141" s="658">
        <v>-0.142404991218957</v>
      </c>
      <c r="AA1141" s="659">
        <v>-0.64299798369647199</v>
      </c>
      <c r="AB1141" s="658">
        <v>0.22198747591387549</v>
      </c>
      <c r="AC1141" s="660">
        <v>-1.4145609107247028</v>
      </c>
      <c r="AD1141" s="682">
        <v>9720835000190</v>
      </c>
      <c r="AE1141" s="944" t="s">
        <v>1763</v>
      </c>
      <c r="AF1141" s="661" t="s">
        <v>1729</v>
      </c>
      <c r="AG1141" s="662" t="s">
        <v>1433</v>
      </c>
      <c r="AH1141" s="662" t="s">
        <v>1730</v>
      </c>
      <c r="AI1141" s="662">
        <v>100000</v>
      </c>
      <c r="AJ1141" s="662">
        <v>5000</v>
      </c>
      <c r="AK1141" s="662">
        <v>25000</v>
      </c>
      <c r="AL1141" s="658">
        <v>1.9900000000000001E-2</v>
      </c>
      <c r="AM1141" s="658">
        <v>0.2</v>
      </c>
      <c r="AN1141" s="659" t="s">
        <v>2127</v>
      </c>
      <c r="AO1141" s="253" t="s">
        <v>34</v>
      </c>
      <c r="AP1141" s="944" t="s">
        <v>1746</v>
      </c>
      <c r="AQ1141" s="663" t="s">
        <v>668</v>
      </c>
      <c r="AR1141" s="658">
        <v>4.0000000000000001E-3</v>
      </c>
      <c r="AS1141" s="658">
        <v>4.0000000000000001E-3</v>
      </c>
      <c r="AT1141" s="658" t="s">
        <v>1417</v>
      </c>
      <c r="AU1141" s="658" t="s">
        <v>2751</v>
      </c>
      <c r="AX1141"/>
      <c r="AY1141"/>
      <c r="BA1141"/>
      <c r="BB1141"/>
      <c r="BC1141"/>
      <c r="BD1141"/>
      <c r="BE1141"/>
      <c r="BF1141"/>
      <c r="BG1141"/>
      <c r="BH1141"/>
      <c r="BI1141"/>
      <c r="BJ1141"/>
      <c r="BR1141"/>
      <c r="BS1141"/>
      <c r="BT1141"/>
      <c r="BU1141"/>
      <c r="BX1141"/>
      <c r="BY1141"/>
      <c r="CA1141"/>
    </row>
    <row r="1142" spans="2:79" ht="18.75">
      <c r="B1142" s="252" t="s">
        <v>322</v>
      </c>
      <c r="C1142" s="251">
        <v>13106983000197</v>
      </c>
      <c r="D1142" s="252" t="s">
        <v>14</v>
      </c>
      <c r="E1142" s="252" t="s">
        <v>607</v>
      </c>
      <c r="F1142" s="252" t="s">
        <v>1417</v>
      </c>
      <c r="G1142" s="253" t="s">
        <v>1417</v>
      </c>
      <c r="H1142" s="253" t="s">
        <v>34</v>
      </c>
      <c r="I1142" s="253" t="s">
        <v>34</v>
      </c>
      <c r="J1142" s="253" t="s">
        <v>608</v>
      </c>
      <c r="K1142" s="253" t="s">
        <v>48</v>
      </c>
      <c r="L1142" s="655"/>
      <c r="M1142" s="655" t="s">
        <v>34</v>
      </c>
      <c r="N1142" s="253" t="s">
        <v>3762</v>
      </c>
      <c r="O1142" s="253" t="s">
        <v>1321</v>
      </c>
      <c r="P1142" s="656">
        <v>40634</v>
      </c>
      <c r="Q1142" s="657">
        <v>115.874629</v>
      </c>
      <c r="R1142" s="657">
        <v>154.44125115322586</v>
      </c>
      <c r="S1142" s="253">
        <v>3</v>
      </c>
      <c r="T1142" s="658">
        <v>-7.6177958494830778E-3</v>
      </c>
      <c r="U1142" s="659">
        <v>-0.38092064754884775</v>
      </c>
      <c r="V1142" s="658">
        <v>-0.19542944097322013</v>
      </c>
      <c r="W1142" s="659">
        <v>-1.515615912466719</v>
      </c>
      <c r="X1142" s="658">
        <v>-0.25439090953236609</v>
      </c>
      <c r="Y1142" s="659">
        <v>-1.3174886319623458</v>
      </c>
      <c r="Z1142" s="658">
        <v>-0.22806606173489508</v>
      </c>
      <c r="AA1142" s="659">
        <v>-1.0297814464919617</v>
      </c>
      <c r="AB1142" s="658">
        <v>0.23873414510252344</v>
      </c>
      <c r="AC1142" s="660">
        <v>-1.3587220641634972</v>
      </c>
      <c r="AD1142" s="682">
        <v>6964937000163</v>
      </c>
      <c r="AE1142" s="944" t="s">
        <v>1763</v>
      </c>
      <c r="AF1142" s="661" t="s">
        <v>1729</v>
      </c>
      <c r="AG1142" s="662" t="s">
        <v>1433</v>
      </c>
      <c r="AH1142" s="662" t="s">
        <v>1734</v>
      </c>
      <c r="AI1142" s="662">
        <v>50000</v>
      </c>
      <c r="AJ1142" s="662">
        <v>5000</v>
      </c>
      <c r="AK1142" s="662">
        <v>25000</v>
      </c>
      <c r="AL1142" s="658">
        <v>0.02</v>
      </c>
      <c r="AM1142" s="658">
        <v>0.2</v>
      </c>
      <c r="AN1142" s="659" t="s">
        <v>666</v>
      </c>
      <c r="AO1142" s="253" t="s">
        <v>34</v>
      </c>
      <c r="AP1142" s="944" t="s">
        <v>1731</v>
      </c>
      <c r="AQ1142" s="663" t="s">
        <v>659</v>
      </c>
      <c r="AR1142" s="658">
        <v>5.3333333333333297E-3</v>
      </c>
      <c r="AS1142" s="658">
        <v>5.3333333333333297E-3</v>
      </c>
      <c r="AT1142" s="658" t="s">
        <v>1417</v>
      </c>
      <c r="AU1142" s="658" t="s">
        <v>2751</v>
      </c>
      <c r="AX1142"/>
      <c r="AY1142"/>
      <c r="BA1142"/>
      <c r="BB1142"/>
      <c r="BC1142"/>
      <c r="BD1142"/>
      <c r="BE1142"/>
      <c r="BF1142"/>
      <c r="BG1142"/>
      <c r="BH1142"/>
      <c r="BI1142"/>
      <c r="BJ1142"/>
      <c r="BR1142"/>
      <c r="BS1142"/>
      <c r="BT1142"/>
      <c r="BU1142"/>
      <c r="BX1142"/>
      <c r="BY1142"/>
      <c r="CA1142"/>
    </row>
    <row r="1143" spans="2:79" ht="18.75">
      <c r="B1143" s="252" t="s">
        <v>323</v>
      </c>
      <c r="C1143" s="251">
        <v>5448587000110</v>
      </c>
      <c r="D1143" s="252" t="s">
        <v>13</v>
      </c>
      <c r="E1143" s="252" t="s">
        <v>615</v>
      </c>
      <c r="F1143" s="252" t="s">
        <v>619</v>
      </c>
      <c r="G1143" s="253" t="s">
        <v>1417</v>
      </c>
      <c r="H1143" s="253" t="s">
        <v>1337</v>
      </c>
      <c r="I1143" s="253" t="s">
        <v>34</v>
      </c>
      <c r="J1143" s="253" t="s">
        <v>608</v>
      </c>
      <c r="K1143" s="253" t="s">
        <v>48</v>
      </c>
      <c r="L1143" s="655"/>
      <c r="M1143" s="655" t="s">
        <v>34</v>
      </c>
      <c r="N1143" s="253" t="s">
        <v>3763</v>
      </c>
      <c r="O1143" s="253" t="s">
        <v>1321</v>
      </c>
      <c r="P1143" s="656">
        <v>37751</v>
      </c>
      <c r="Q1143" s="657">
        <v>1178.056243</v>
      </c>
      <c r="R1143" s="657">
        <v>1180.1812578674705</v>
      </c>
      <c r="S1143" s="253">
        <v>3</v>
      </c>
      <c r="T1143" s="658">
        <v>8.2284549394919804E-3</v>
      </c>
      <c r="U1143" s="659">
        <v>0.41145607545921448</v>
      </c>
      <c r="V1143" s="658">
        <v>0.12694103635300569</v>
      </c>
      <c r="W1143" s="659">
        <v>0.98446709811750199</v>
      </c>
      <c r="X1143" s="658">
        <v>0.22053546598109697</v>
      </c>
      <c r="Y1143" s="659">
        <v>1.1421515411408478</v>
      </c>
      <c r="Z1143" s="658">
        <v>0.25456137530485057</v>
      </c>
      <c r="AA1143" s="659">
        <v>1.1494151268641091</v>
      </c>
      <c r="AB1143" s="658">
        <v>2.3540685655652559E-2</v>
      </c>
      <c r="AC1143" s="660">
        <v>-8.5081340581162609E-2</v>
      </c>
      <c r="AD1143" s="682">
        <v>0</v>
      </c>
      <c r="AE1143" s="944" t="s">
        <v>1750</v>
      </c>
      <c r="AF1143" s="661" t="s">
        <v>1729</v>
      </c>
      <c r="AG1143" s="662" t="s">
        <v>1433</v>
      </c>
      <c r="AH1143" s="662" t="s">
        <v>1734</v>
      </c>
      <c r="AI1143" s="662">
        <v>50000</v>
      </c>
      <c r="AJ1143" s="662">
        <v>5000</v>
      </c>
      <c r="AK1143" s="662">
        <v>25000</v>
      </c>
      <c r="AL1143" s="658">
        <v>0.02</v>
      </c>
      <c r="AM1143" s="658">
        <v>0.2</v>
      </c>
      <c r="AN1143" s="659" t="s">
        <v>64</v>
      </c>
      <c r="AO1143" s="253" t="s">
        <v>34</v>
      </c>
      <c r="AP1143" s="944" t="s">
        <v>1746</v>
      </c>
      <c r="AQ1143" s="663" t="s">
        <v>664</v>
      </c>
      <c r="AR1143" s="658">
        <v>5.3333333333333297E-3</v>
      </c>
      <c r="AS1143" s="658">
        <v>5.3333333333333297E-3</v>
      </c>
      <c r="AT1143" s="658" t="s">
        <v>1417</v>
      </c>
      <c r="AU1143" s="658" t="s">
        <v>2751</v>
      </c>
      <c r="AX1143"/>
      <c r="AY1143"/>
      <c r="BA1143"/>
      <c r="BB1143"/>
      <c r="BC1143"/>
      <c r="BD1143"/>
      <c r="BE1143"/>
      <c r="BF1143"/>
      <c r="BG1143"/>
      <c r="BH1143"/>
      <c r="BI1143"/>
      <c r="BJ1143"/>
      <c r="BR1143"/>
      <c r="BS1143"/>
      <c r="BT1143"/>
      <c r="BU1143"/>
      <c r="BX1143"/>
      <c r="BY1143"/>
      <c r="CA1143"/>
    </row>
    <row r="1144" spans="2:79" ht="18.75">
      <c r="B1144" s="252" t="s">
        <v>1109</v>
      </c>
      <c r="C1144" s="251">
        <v>30606457000105</v>
      </c>
      <c r="D1144" s="252" t="s">
        <v>11</v>
      </c>
      <c r="E1144" s="252" t="s">
        <v>620</v>
      </c>
      <c r="F1144" s="252" t="s">
        <v>663</v>
      </c>
      <c r="G1144" s="253" t="s">
        <v>738</v>
      </c>
      <c r="H1144" s="253" t="s">
        <v>34</v>
      </c>
      <c r="I1144" s="253" t="s">
        <v>1417</v>
      </c>
      <c r="J1144" s="253" t="s">
        <v>608</v>
      </c>
      <c r="K1144" s="253" t="s">
        <v>48</v>
      </c>
      <c r="L1144" s="655"/>
      <c r="M1144" s="655" t="s">
        <v>1414</v>
      </c>
      <c r="N1144" s="253" t="s">
        <v>3764</v>
      </c>
      <c r="O1144" s="253" t="s">
        <v>1321</v>
      </c>
      <c r="P1144" s="656">
        <v>43524</v>
      </c>
      <c r="Q1144" s="657">
        <v>0</v>
      </c>
      <c r="R1144" s="657">
        <v>0</v>
      </c>
      <c r="S1144" s="253">
        <v>6</v>
      </c>
      <c r="T1144" s="658"/>
      <c r="U1144" s="659"/>
      <c r="V1144" s="658"/>
      <c r="W1144" s="659"/>
      <c r="X1144" s="658"/>
      <c r="Y1144" s="659"/>
      <c r="Z1144" s="658"/>
      <c r="AA1144" s="659"/>
      <c r="AB1144" s="658"/>
      <c r="AC1144" s="660"/>
      <c r="AD1144" s="682">
        <v>0</v>
      </c>
      <c r="AE1144" s="944" t="s">
        <v>1851</v>
      </c>
      <c r="AF1144" s="661" t="s">
        <v>1745</v>
      </c>
      <c r="AG1144" s="662" t="s">
        <v>1432</v>
      </c>
      <c r="AH1144" s="662" t="s">
        <v>1734</v>
      </c>
      <c r="AI1144" s="662">
        <v>0</v>
      </c>
      <c r="AJ1144" s="662">
        <v>0</v>
      </c>
      <c r="AK1144" s="662">
        <v>0</v>
      </c>
      <c r="AL1144" s="658">
        <v>5.0000000000000001E-3</v>
      </c>
      <c r="AM1144" s="658">
        <v>0.2</v>
      </c>
      <c r="AN1144" s="659" t="s">
        <v>64</v>
      </c>
      <c r="AO1144" s="253" t="s">
        <v>34</v>
      </c>
      <c r="AP1144" s="944" t="s">
        <v>1746</v>
      </c>
      <c r="AQ1144" s="663" t="s">
        <v>668</v>
      </c>
      <c r="AR1144" s="658">
        <v>1E-3</v>
      </c>
      <c r="AS1144" s="658">
        <v>1E-3</v>
      </c>
      <c r="AT1144" s="658" t="s">
        <v>1417</v>
      </c>
      <c r="AU1144" s="658" t="s">
        <v>2751</v>
      </c>
      <c r="AX1144"/>
      <c r="AY1144"/>
      <c r="BA1144"/>
      <c r="BB1144"/>
      <c r="BC1144"/>
      <c r="BD1144"/>
      <c r="BE1144"/>
      <c r="BF1144"/>
      <c r="BG1144"/>
      <c r="BH1144"/>
      <c r="BI1144"/>
      <c r="BJ1144"/>
      <c r="BR1144"/>
      <c r="BS1144"/>
      <c r="BT1144"/>
      <c r="BU1144"/>
      <c r="BX1144"/>
      <c r="BY1144"/>
      <c r="CA1144"/>
    </row>
    <row r="1145" spans="2:79" ht="18.75">
      <c r="B1145" s="252" t="s">
        <v>1110</v>
      </c>
      <c r="C1145" s="251">
        <v>24552346000160</v>
      </c>
      <c r="D1145" s="252" t="s">
        <v>11</v>
      </c>
      <c r="E1145" s="252" t="s">
        <v>621</v>
      </c>
      <c r="F1145" s="252" t="s">
        <v>692</v>
      </c>
      <c r="G1145" s="253" t="s">
        <v>738</v>
      </c>
      <c r="H1145" s="253" t="s">
        <v>34</v>
      </c>
      <c r="I1145" s="253" t="s">
        <v>1417</v>
      </c>
      <c r="J1145" s="253" t="s">
        <v>608</v>
      </c>
      <c r="K1145" s="253" t="s">
        <v>48</v>
      </c>
      <c r="L1145" s="655"/>
      <c r="M1145" s="655" t="s">
        <v>34</v>
      </c>
      <c r="N1145" s="253" t="s">
        <v>3765</v>
      </c>
      <c r="O1145" s="253" t="s">
        <v>1321</v>
      </c>
      <c r="P1145" s="656">
        <v>42641</v>
      </c>
      <c r="Q1145" s="657">
        <v>29.904236000000001</v>
      </c>
      <c r="R1145" s="657">
        <v>41.621338429718861</v>
      </c>
      <c r="S1145" s="253">
        <v>31</v>
      </c>
      <c r="T1145" s="658">
        <v>7.3496313496368426E-3</v>
      </c>
      <c r="U1145" s="659">
        <v>0.36751133638465161</v>
      </c>
      <c r="V1145" s="658">
        <v>5.9941939996254412E-2</v>
      </c>
      <c r="W1145" s="659">
        <v>0.46486833114821002</v>
      </c>
      <c r="X1145" s="658">
        <v>0.12182105811205868</v>
      </c>
      <c r="Y1145" s="659">
        <v>0.6309103556070329</v>
      </c>
      <c r="Z1145" s="658">
        <v>0.17994567312181653</v>
      </c>
      <c r="AA1145" s="659">
        <v>0.81250456182626984</v>
      </c>
      <c r="AB1145" s="658">
        <v>4.3020403919709148E-2</v>
      </c>
      <c r="AC1145" s="660">
        <v>-1.6039358807349955</v>
      </c>
      <c r="AD1145" s="682">
        <v>0</v>
      </c>
      <c r="AE1145" s="944" t="s">
        <v>1851</v>
      </c>
      <c r="AF1145" s="661" t="s">
        <v>1745</v>
      </c>
      <c r="AG1145" s="662" t="s">
        <v>1432</v>
      </c>
      <c r="AH1145" s="662" t="s">
        <v>1734</v>
      </c>
      <c r="AI1145" s="662">
        <v>0</v>
      </c>
      <c r="AJ1145" s="662">
        <v>0</v>
      </c>
      <c r="AK1145" s="662">
        <v>0</v>
      </c>
      <c r="AL1145" s="658">
        <v>9.0000000000000011E-3</v>
      </c>
      <c r="AM1145" s="658">
        <v>0.2</v>
      </c>
      <c r="AN1145" s="659" t="s">
        <v>2127</v>
      </c>
      <c r="AO1145" s="253" t="s">
        <v>34</v>
      </c>
      <c r="AP1145" s="944" t="s">
        <v>1735</v>
      </c>
      <c r="AQ1145" s="663" t="s">
        <v>675</v>
      </c>
      <c r="AR1145" s="658">
        <v>1.8E-3</v>
      </c>
      <c r="AS1145" s="658">
        <v>1.8E-3</v>
      </c>
      <c r="AT1145" s="658" t="s">
        <v>1417</v>
      </c>
      <c r="AU1145" s="658" t="s">
        <v>2751</v>
      </c>
      <c r="AX1145"/>
      <c r="AY1145"/>
      <c r="BA1145"/>
      <c r="BB1145"/>
      <c r="BC1145"/>
      <c r="BD1145"/>
      <c r="BE1145"/>
      <c r="BF1145"/>
      <c r="BG1145"/>
      <c r="BH1145"/>
      <c r="BI1145"/>
      <c r="BJ1145"/>
      <c r="BR1145"/>
      <c r="BS1145"/>
      <c r="BT1145"/>
      <c r="BU1145"/>
      <c r="BX1145"/>
      <c r="BY1145"/>
      <c r="CA1145"/>
    </row>
    <row r="1146" spans="2:79" ht="18.75">
      <c r="B1146" s="252" t="s">
        <v>1386</v>
      </c>
      <c r="C1146" s="251">
        <v>13966590000153</v>
      </c>
      <c r="D1146" s="252" t="s">
        <v>11</v>
      </c>
      <c r="E1146" s="252" t="s">
        <v>621</v>
      </c>
      <c r="F1146" s="252" t="s">
        <v>672</v>
      </c>
      <c r="G1146" s="253" t="s">
        <v>738</v>
      </c>
      <c r="H1146" s="253" t="s">
        <v>34</v>
      </c>
      <c r="I1146" s="253" t="s">
        <v>1417</v>
      </c>
      <c r="J1146" s="253" t="s">
        <v>608</v>
      </c>
      <c r="K1146" s="253" t="s">
        <v>48</v>
      </c>
      <c r="L1146" s="655"/>
      <c r="M1146" s="655" t="s">
        <v>1414</v>
      </c>
      <c r="N1146" s="253" t="s">
        <v>3766</v>
      </c>
      <c r="O1146" s="253" t="s">
        <v>1321</v>
      </c>
      <c r="P1146" s="656">
        <v>40876</v>
      </c>
      <c r="Q1146" s="657">
        <v>33.853292000000003</v>
      </c>
      <c r="R1146" s="657">
        <v>37.162856758064507</v>
      </c>
      <c r="S1146" s="253">
        <v>1</v>
      </c>
      <c r="T1146" s="658">
        <v>2.6974058955566038E-2</v>
      </c>
      <c r="U1146" s="659">
        <v>1.3488122033451766</v>
      </c>
      <c r="V1146" s="658">
        <v>0.10944839680145968</v>
      </c>
      <c r="W1146" s="659">
        <v>0.84880625437082824</v>
      </c>
      <c r="X1146" s="658">
        <v>0.16928633350753675</v>
      </c>
      <c r="Y1146" s="659">
        <v>0.87673266451523735</v>
      </c>
      <c r="Z1146" s="658">
        <v>0.22410667776213389</v>
      </c>
      <c r="AA1146" s="659">
        <v>1.0119037310455197</v>
      </c>
      <c r="AB1146" s="658">
        <v>2.7749334825500144E-2</v>
      </c>
      <c r="AC1146" s="660">
        <v>-0.70255783671662453</v>
      </c>
      <c r="AD1146" s="682">
        <v>0</v>
      </c>
      <c r="AE1146" s="944" t="s">
        <v>1851</v>
      </c>
      <c r="AF1146" s="661" t="s">
        <v>1745</v>
      </c>
      <c r="AG1146" s="662" t="s">
        <v>1434</v>
      </c>
      <c r="AH1146" s="662" t="s">
        <v>1734</v>
      </c>
      <c r="AI1146" s="662">
        <v>0</v>
      </c>
      <c r="AJ1146" s="662">
        <v>0</v>
      </c>
      <c r="AK1146" s="662">
        <v>0</v>
      </c>
      <c r="AL1146" s="658">
        <v>2E-3</v>
      </c>
      <c r="AM1146" s="658">
        <v>0</v>
      </c>
      <c r="AN1146" s="659" t="s">
        <v>2141</v>
      </c>
      <c r="AO1146" s="253" t="s">
        <v>34</v>
      </c>
      <c r="AP1146" s="944" t="s">
        <v>1735</v>
      </c>
      <c r="AQ1146" s="663" t="s">
        <v>676</v>
      </c>
      <c r="AR1146" s="658">
        <v>4.0000000000000002E-4</v>
      </c>
      <c r="AS1146" s="658">
        <v>4.0000000000000002E-4</v>
      </c>
      <c r="AT1146" s="658" t="s">
        <v>1417</v>
      </c>
      <c r="AU1146" s="658" t="s">
        <v>2751</v>
      </c>
      <c r="AX1146"/>
      <c r="AY1146"/>
      <c r="BA1146"/>
      <c r="BB1146"/>
      <c r="BC1146"/>
      <c r="BD1146"/>
      <c r="BE1146"/>
      <c r="BF1146"/>
      <c r="BG1146"/>
      <c r="BH1146"/>
      <c r="BI1146"/>
      <c r="BJ1146"/>
      <c r="BR1146"/>
      <c r="BS1146"/>
      <c r="BT1146"/>
      <c r="BU1146"/>
      <c r="BX1146"/>
      <c r="BY1146"/>
      <c r="CA1146"/>
    </row>
    <row r="1147" spans="2:79" ht="18.75">
      <c r="B1147" s="252" t="s">
        <v>1111</v>
      </c>
      <c r="C1147" s="251">
        <v>36014016000109</v>
      </c>
      <c r="D1147" s="252" t="s">
        <v>11</v>
      </c>
      <c r="E1147" s="252" t="s">
        <v>620</v>
      </c>
      <c r="F1147" s="252" t="s">
        <v>685</v>
      </c>
      <c r="G1147" s="253" t="s">
        <v>738</v>
      </c>
      <c r="H1147" s="253" t="s">
        <v>34</v>
      </c>
      <c r="I1147" s="253" t="s">
        <v>1319</v>
      </c>
      <c r="J1147" s="253" t="s">
        <v>608</v>
      </c>
      <c r="K1147" s="253" t="s">
        <v>48</v>
      </c>
      <c r="L1147" s="655"/>
      <c r="M1147" s="655" t="s">
        <v>34</v>
      </c>
      <c r="N1147" s="253" t="s">
        <v>3767</v>
      </c>
      <c r="O1147" s="253" t="s">
        <v>1321</v>
      </c>
      <c r="P1147" s="656">
        <v>43951</v>
      </c>
      <c r="Q1147" s="657">
        <v>0</v>
      </c>
      <c r="R1147" s="657">
        <v>0</v>
      </c>
      <c r="S1147" s="253">
        <v>34</v>
      </c>
      <c r="T1147" s="658"/>
      <c r="U1147" s="659"/>
      <c r="V1147" s="658"/>
      <c r="W1147" s="659"/>
      <c r="X1147" s="658"/>
      <c r="Y1147" s="659"/>
      <c r="Z1147" s="658"/>
      <c r="AA1147" s="659"/>
      <c r="AB1147" s="658"/>
      <c r="AC1147" s="660"/>
      <c r="AD1147" s="682">
        <v>0</v>
      </c>
      <c r="AE1147" s="944" t="s">
        <v>1851</v>
      </c>
      <c r="AF1147" s="661" t="s">
        <v>1745</v>
      </c>
      <c r="AG1147" s="662" t="s">
        <v>1432</v>
      </c>
      <c r="AH1147" s="662" t="s">
        <v>1730</v>
      </c>
      <c r="AI1147" s="662">
        <v>0</v>
      </c>
      <c r="AJ1147" s="662">
        <v>0</v>
      </c>
      <c r="AK1147" s="662">
        <v>0</v>
      </c>
      <c r="AL1147" s="658">
        <v>6.9999999999999993E-3</v>
      </c>
      <c r="AM1147" s="658">
        <v>0.2</v>
      </c>
      <c r="AN1147" s="659" t="s">
        <v>64</v>
      </c>
      <c r="AO1147" s="253" t="s">
        <v>34</v>
      </c>
      <c r="AP1147" s="944" t="s">
        <v>1746</v>
      </c>
      <c r="AQ1147" s="663" t="s">
        <v>671</v>
      </c>
      <c r="AR1147" s="658">
        <v>1.4E-3</v>
      </c>
      <c r="AS1147" s="658">
        <v>1.4E-3</v>
      </c>
      <c r="AT1147" s="658" t="s">
        <v>1417</v>
      </c>
      <c r="AU1147" s="658" t="s">
        <v>2751</v>
      </c>
      <c r="AX1147"/>
      <c r="AY1147"/>
      <c r="BA1147"/>
      <c r="BB1147"/>
      <c r="BC1147"/>
      <c r="BD1147"/>
      <c r="BE1147"/>
      <c r="BF1147"/>
      <c r="BG1147"/>
      <c r="BH1147"/>
      <c r="BI1147"/>
      <c r="BJ1147"/>
      <c r="BR1147"/>
      <c r="BS1147"/>
      <c r="BT1147"/>
      <c r="BU1147"/>
      <c r="BX1147"/>
      <c r="BY1147"/>
      <c r="CA1147"/>
    </row>
    <row r="1148" spans="2:79" ht="18.75">
      <c r="B1148" s="252" t="s">
        <v>1112</v>
      </c>
      <c r="C1148" s="251">
        <v>9601190000177</v>
      </c>
      <c r="D1148" s="252" t="s">
        <v>13</v>
      </c>
      <c r="E1148" s="252" t="s">
        <v>616</v>
      </c>
      <c r="F1148" s="252" t="s">
        <v>699</v>
      </c>
      <c r="G1148" s="253" t="s">
        <v>1417</v>
      </c>
      <c r="H1148" s="253" t="s">
        <v>34</v>
      </c>
      <c r="I1148" s="253" t="s">
        <v>34</v>
      </c>
      <c r="J1148" s="253" t="s">
        <v>611</v>
      </c>
      <c r="K1148" s="253" t="s">
        <v>1417</v>
      </c>
      <c r="L1148" s="655"/>
      <c r="M1148" s="655" t="s">
        <v>1414</v>
      </c>
      <c r="N1148" s="253" t="s">
        <v>3768</v>
      </c>
      <c r="O1148" s="253" t="s">
        <v>1321</v>
      </c>
      <c r="P1148" s="656">
        <v>39659</v>
      </c>
      <c r="Q1148" s="657">
        <v>104.143542</v>
      </c>
      <c r="R1148" s="657">
        <v>130.53399662500013</v>
      </c>
      <c r="S1148" s="253">
        <v>4</v>
      </c>
      <c r="T1148" s="658">
        <v>-1.3662125965242855E-2</v>
      </c>
      <c r="U1148" s="659">
        <v>-0.68316163525534446</v>
      </c>
      <c r="V1148" s="658">
        <v>-6.369568844756468E-2</v>
      </c>
      <c r="W1148" s="659">
        <v>-0.49397981433043303</v>
      </c>
      <c r="X1148" s="658">
        <v>-7.3087342908652597E-2</v>
      </c>
      <c r="Y1148" s="659">
        <v>-0.37851880635000595</v>
      </c>
      <c r="Z1148" s="658">
        <v>0.19490277319330507</v>
      </c>
      <c r="AA1148" s="659">
        <v>0.88004001199266269</v>
      </c>
      <c r="AB1148" s="658">
        <v>0.18798443310953636</v>
      </c>
      <c r="AC1148" s="660">
        <v>-1.0247635653006659</v>
      </c>
      <c r="AD1148" s="682">
        <v>0</v>
      </c>
      <c r="AE1148" s="944" t="s">
        <v>1851</v>
      </c>
      <c r="AF1148" s="661" t="s">
        <v>1745</v>
      </c>
      <c r="AG1148" s="662" t="s">
        <v>1434</v>
      </c>
      <c r="AH1148" s="662" t="s">
        <v>1734</v>
      </c>
      <c r="AI1148" s="662">
        <v>0</v>
      </c>
      <c r="AJ1148" s="662">
        <v>0</v>
      </c>
      <c r="AK1148" s="662">
        <v>0</v>
      </c>
      <c r="AL1148" s="658">
        <v>6.0000000000000001E-3</v>
      </c>
      <c r="AM1148" s="658">
        <v>0</v>
      </c>
      <c r="AN1148" s="659" t="s">
        <v>2350</v>
      </c>
      <c r="AO1148" s="253" t="s">
        <v>34</v>
      </c>
      <c r="AP1148" s="944" t="s">
        <v>1746</v>
      </c>
      <c r="AQ1148" s="663" t="s">
        <v>671</v>
      </c>
      <c r="AR1148" s="658">
        <v>1.1999999999999999E-3</v>
      </c>
      <c r="AS1148" s="658">
        <v>1.1999999999999999E-3</v>
      </c>
      <c r="AT1148" s="658" t="s">
        <v>1417</v>
      </c>
      <c r="AU1148" s="658" t="s">
        <v>2751</v>
      </c>
      <c r="AX1148"/>
      <c r="AY1148"/>
      <c r="BA1148"/>
      <c r="BB1148"/>
      <c r="BC1148"/>
      <c r="BD1148"/>
      <c r="BE1148"/>
      <c r="BF1148"/>
      <c r="BG1148"/>
      <c r="BH1148"/>
      <c r="BI1148"/>
      <c r="BJ1148"/>
      <c r="BR1148"/>
      <c r="BS1148"/>
      <c r="BT1148"/>
      <c r="BU1148"/>
      <c r="BX1148"/>
      <c r="BY1148"/>
      <c r="CA1148"/>
    </row>
    <row r="1149" spans="2:79" ht="18.75">
      <c r="B1149" s="252" t="s">
        <v>324</v>
      </c>
      <c r="C1149" s="251">
        <v>17400251000166</v>
      </c>
      <c r="D1149" s="252" t="s">
        <v>14</v>
      </c>
      <c r="E1149" s="252" t="s">
        <v>607</v>
      </c>
      <c r="F1149" s="252" t="s">
        <v>1417</v>
      </c>
      <c r="G1149" s="253" t="s">
        <v>1417</v>
      </c>
      <c r="H1149" s="253" t="s">
        <v>34</v>
      </c>
      <c r="I1149" s="253" t="s">
        <v>34</v>
      </c>
      <c r="J1149" s="253" t="s">
        <v>608</v>
      </c>
      <c r="K1149" s="253" t="s">
        <v>48</v>
      </c>
      <c r="L1149" s="655"/>
      <c r="M1149" s="655" t="s">
        <v>1414</v>
      </c>
      <c r="N1149" s="253" t="s">
        <v>3769</v>
      </c>
      <c r="O1149" s="253" t="s">
        <v>1321</v>
      </c>
      <c r="P1149" s="656">
        <v>41313</v>
      </c>
      <c r="Q1149" s="657">
        <v>163.370904</v>
      </c>
      <c r="R1149" s="657">
        <v>144.06715902409638</v>
      </c>
      <c r="S1149" s="253">
        <v>32</v>
      </c>
      <c r="T1149" s="658">
        <v>5.4137490345211869E-3</v>
      </c>
      <c r="U1149" s="659">
        <v>0.27070937954273161</v>
      </c>
      <c r="V1149" s="658">
        <v>0.12737275909303469</v>
      </c>
      <c r="W1149" s="659">
        <v>0.98781524183271308</v>
      </c>
      <c r="X1149" s="658">
        <v>0.55597275983401495</v>
      </c>
      <c r="Y1149" s="659">
        <v>2.8793787958403914</v>
      </c>
      <c r="Z1149" s="658">
        <v>0.52220570218440976</v>
      </c>
      <c r="AA1149" s="659">
        <v>2.3579034042640847</v>
      </c>
      <c r="AB1149" s="658">
        <v>0.2416523827477248</v>
      </c>
      <c r="AC1149" s="660">
        <v>-6.5016960970497662E-3</v>
      </c>
      <c r="AD1149" s="682">
        <v>38251507000190</v>
      </c>
      <c r="AE1149" s="944" t="s">
        <v>1871</v>
      </c>
      <c r="AF1149" s="661" t="s">
        <v>1745</v>
      </c>
      <c r="AG1149" s="662" t="s">
        <v>1432</v>
      </c>
      <c r="AH1149" s="662" t="s">
        <v>1730</v>
      </c>
      <c r="AI1149" s="662">
        <v>10000</v>
      </c>
      <c r="AJ1149" s="662">
        <v>1000</v>
      </c>
      <c r="AK1149" s="662">
        <v>5000</v>
      </c>
      <c r="AL1149" s="658">
        <v>1.8000000000000002E-2</v>
      </c>
      <c r="AM1149" s="658">
        <v>0.15</v>
      </c>
      <c r="AN1149" s="659" t="s">
        <v>2127</v>
      </c>
      <c r="AO1149" s="253" t="s">
        <v>34</v>
      </c>
      <c r="AP1149" s="944" t="s">
        <v>1731</v>
      </c>
      <c r="AQ1149" s="663" t="s">
        <v>659</v>
      </c>
      <c r="AR1149" s="658">
        <v>3.5999999999999999E-3</v>
      </c>
      <c r="AS1149" s="658">
        <v>3.5999999999999999E-3</v>
      </c>
      <c r="AT1149" s="658" t="s">
        <v>1417</v>
      </c>
      <c r="AU1149" s="658" t="s">
        <v>2751</v>
      </c>
      <c r="AX1149"/>
      <c r="AY1149"/>
      <c r="BA1149"/>
      <c r="BB1149"/>
      <c r="BC1149"/>
      <c r="BD1149"/>
      <c r="BE1149"/>
      <c r="BF1149"/>
      <c r="BG1149"/>
      <c r="BH1149"/>
      <c r="BI1149"/>
      <c r="BJ1149"/>
      <c r="BR1149"/>
      <c r="BS1149"/>
      <c r="BT1149"/>
      <c r="BU1149"/>
      <c r="BX1149"/>
      <c r="BY1149"/>
      <c r="CA1149"/>
    </row>
    <row r="1150" spans="2:79" ht="18.75">
      <c r="B1150" s="252" t="s">
        <v>1113</v>
      </c>
      <c r="C1150" s="251">
        <v>20331359000159</v>
      </c>
      <c r="D1150" s="252" t="s">
        <v>14</v>
      </c>
      <c r="E1150" s="252" t="s">
        <v>607</v>
      </c>
      <c r="F1150" s="252" t="s">
        <v>1417</v>
      </c>
      <c r="G1150" s="253" t="s">
        <v>1417</v>
      </c>
      <c r="H1150" s="253" t="s">
        <v>34</v>
      </c>
      <c r="I1150" s="253" t="s">
        <v>34</v>
      </c>
      <c r="J1150" s="253" t="s">
        <v>608</v>
      </c>
      <c r="K1150" s="253" t="s">
        <v>48</v>
      </c>
      <c r="L1150" s="655"/>
      <c r="M1150" s="655" t="s">
        <v>34</v>
      </c>
      <c r="N1150" s="253" t="s">
        <v>3770</v>
      </c>
      <c r="O1150" s="253" t="s">
        <v>1321</v>
      </c>
      <c r="P1150" s="656">
        <v>41879</v>
      </c>
      <c r="Q1150" s="657">
        <v>63.867398000000001</v>
      </c>
      <c r="R1150" s="657">
        <v>71.482515707818933</v>
      </c>
      <c r="S1150" s="253">
        <v>32</v>
      </c>
      <c r="T1150" s="658">
        <v>4.7623386081274699E-3</v>
      </c>
      <c r="U1150" s="659">
        <v>0.23813621975415528</v>
      </c>
      <c r="V1150" s="658">
        <v>-0.12411544850061462</v>
      </c>
      <c r="W1150" s="659">
        <v>-0.96255378817898873</v>
      </c>
      <c r="X1150" s="658">
        <v>-0.3048738541684064</v>
      </c>
      <c r="Y1150" s="659">
        <v>-1.578939427465341</v>
      </c>
      <c r="Z1150" s="658">
        <v>-0.26800362026274649</v>
      </c>
      <c r="AA1150" s="659">
        <v>-1.2101105865547841</v>
      </c>
      <c r="AB1150" s="658">
        <v>0.27809048407941733</v>
      </c>
      <c r="AC1150" s="660">
        <v>-0.90998927484024972</v>
      </c>
      <c r="AD1150" s="682">
        <v>43310020000171</v>
      </c>
      <c r="AE1150" s="944" t="s">
        <v>1907</v>
      </c>
      <c r="AF1150" s="661" t="s">
        <v>1769</v>
      </c>
      <c r="AG1150" s="662" t="s">
        <v>719</v>
      </c>
      <c r="AH1150" s="662" t="s">
        <v>1730</v>
      </c>
      <c r="AI1150" s="662">
        <v>1000</v>
      </c>
      <c r="AJ1150" s="662">
        <v>100</v>
      </c>
      <c r="AK1150" s="662">
        <v>1000</v>
      </c>
      <c r="AL1150" s="658">
        <v>1.9699999999999999E-2</v>
      </c>
      <c r="AM1150" s="658">
        <v>0.2</v>
      </c>
      <c r="AN1150" s="659" t="s">
        <v>2141</v>
      </c>
      <c r="AO1150" s="253" t="s">
        <v>34</v>
      </c>
      <c r="AP1150" s="944" t="s">
        <v>1731</v>
      </c>
      <c r="AQ1150" s="663" t="s">
        <v>659</v>
      </c>
      <c r="AR1150" s="658">
        <v>4.0000000000000001E-3</v>
      </c>
      <c r="AS1150" s="658">
        <v>4.0000000000000001E-3</v>
      </c>
      <c r="AT1150" s="658" t="s">
        <v>1417</v>
      </c>
      <c r="AU1150" s="658" t="s">
        <v>2751</v>
      </c>
      <c r="AX1150"/>
      <c r="AY1150"/>
      <c r="BA1150"/>
      <c r="BB1150"/>
      <c r="BC1150"/>
      <c r="BD1150"/>
      <c r="BE1150"/>
      <c r="BF1150"/>
      <c r="BG1150"/>
      <c r="BH1150"/>
      <c r="BI1150"/>
      <c r="BJ1150"/>
      <c r="BR1150"/>
      <c r="BS1150"/>
      <c r="BT1150"/>
      <c r="BU1150"/>
      <c r="BX1150"/>
      <c r="BY1150"/>
      <c r="CA1150"/>
    </row>
    <row r="1151" spans="2:79" ht="18.75">
      <c r="B1151" s="252" t="s">
        <v>1114</v>
      </c>
      <c r="C1151" s="251">
        <v>28788359000194</v>
      </c>
      <c r="D1151" s="252" t="s">
        <v>14</v>
      </c>
      <c r="E1151" s="252" t="s">
        <v>607</v>
      </c>
      <c r="F1151" s="252" t="s">
        <v>1417</v>
      </c>
      <c r="G1151" s="253" t="s">
        <v>1417</v>
      </c>
      <c r="H1151" s="253" t="s">
        <v>34</v>
      </c>
      <c r="I1151" s="253" t="s">
        <v>34</v>
      </c>
      <c r="J1151" s="253" t="s">
        <v>608</v>
      </c>
      <c r="K1151" s="253" t="s">
        <v>48</v>
      </c>
      <c r="L1151" s="655"/>
      <c r="M1151" s="655" t="s">
        <v>34</v>
      </c>
      <c r="N1151" s="253" t="s">
        <v>3771</v>
      </c>
      <c r="O1151" s="253" t="s">
        <v>1321</v>
      </c>
      <c r="P1151" s="656">
        <v>43071</v>
      </c>
      <c r="Q1151" s="657">
        <v>7.3888396299999997</v>
      </c>
      <c r="R1151" s="657">
        <v>9.2408342931174072</v>
      </c>
      <c r="S1151" s="253">
        <v>32</v>
      </c>
      <c r="T1151" s="658">
        <v>3.7945301462554148E-3</v>
      </c>
      <c r="U1151" s="659">
        <v>0.18974187665495373</v>
      </c>
      <c r="V1151" s="658">
        <v>-0.1280921588909093</v>
      </c>
      <c r="W1151" s="659">
        <v>-0.99339441033288556</v>
      </c>
      <c r="X1151" s="658">
        <v>-0.29399869103679521</v>
      </c>
      <c r="Y1151" s="659">
        <v>-1.5226170383399904</v>
      </c>
      <c r="Z1151" s="658">
        <v>-0.34487954243265484</v>
      </c>
      <c r="AA1151" s="659">
        <v>-1.5572266709485851</v>
      </c>
      <c r="AB1151" s="658">
        <v>0.27492369719479914</v>
      </c>
      <c r="AC1151" s="660">
        <v>-0.93493602392365949</v>
      </c>
      <c r="AD1151" s="682">
        <v>28788379000165</v>
      </c>
      <c r="AE1151" s="944" t="s">
        <v>1907</v>
      </c>
      <c r="AF1151" s="661" t="s">
        <v>1769</v>
      </c>
      <c r="AG1151" s="662" t="s">
        <v>719</v>
      </c>
      <c r="AH1151" s="662" t="s">
        <v>1734</v>
      </c>
      <c r="AI1151" s="662">
        <v>1000</v>
      </c>
      <c r="AJ1151" s="662">
        <v>1000</v>
      </c>
      <c r="AK1151" s="662">
        <v>1000</v>
      </c>
      <c r="AL1151" s="658">
        <v>2.5000000000000001E-2</v>
      </c>
      <c r="AM1151" s="658">
        <v>0.2</v>
      </c>
      <c r="AN1151" s="659" t="s">
        <v>666</v>
      </c>
      <c r="AO1151" s="253" t="s">
        <v>34</v>
      </c>
      <c r="AP1151" s="944" t="s">
        <v>1731</v>
      </c>
      <c r="AQ1151" s="663" t="s">
        <v>659</v>
      </c>
      <c r="AR1151" s="658">
        <v>3.9399999999999999E-3</v>
      </c>
      <c r="AS1151" s="658">
        <v>3.9399999999999999E-3</v>
      </c>
      <c r="AT1151" s="658" t="s">
        <v>1417</v>
      </c>
      <c r="AU1151" s="658" t="s">
        <v>2751</v>
      </c>
      <c r="AX1151"/>
      <c r="AY1151"/>
      <c r="BA1151"/>
      <c r="BB1151"/>
      <c r="BC1151"/>
      <c r="BD1151"/>
      <c r="BE1151"/>
      <c r="BF1151"/>
      <c r="BG1151"/>
      <c r="BH1151"/>
      <c r="BI1151"/>
      <c r="BJ1151"/>
      <c r="BR1151"/>
      <c r="BS1151"/>
      <c r="BT1151"/>
      <c r="BU1151"/>
      <c r="BX1151"/>
      <c r="BY1151"/>
      <c r="CA1151"/>
    </row>
    <row r="1152" spans="2:79" ht="18.75">
      <c r="B1152" s="252" t="s">
        <v>1684</v>
      </c>
      <c r="C1152" s="251">
        <v>27599239000186</v>
      </c>
      <c r="D1152" s="252" t="s">
        <v>11</v>
      </c>
      <c r="E1152" s="252" t="s">
        <v>621</v>
      </c>
      <c r="F1152" s="252" t="s">
        <v>692</v>
      </c>
      <c r="G1152" s="253" t="s">
        <v>738</v>
      </c>
      <c r="H1152" s="253" t="s">
        <v>34</v>
      </c>
      <c r="I1152" s="253" t="s">
        <v>1417</v>
      </c>
      <c r="J1152" s="253" t="s">
        <v>608</v>
      </c>
      <c r="K1152" s="253" t="s">
        <v>48</v>
      </c>
      <c r="L1152" s="655"/>
      <c r="M1152" s="655" t="s">
        <v>34</v>
      </c>
      <c r="N1152" s="253" t="s">
        <v>3772</v>
      </c>
      <c r="O1152" s="253" t="s">
        <v>1321</v>
      </c>
      <c r="P1152" s="656">
        <v>42890</v>
      </c>
      <c r="Q1152" s="657">
        <v>6.8690090000000001</v>
      </c>
      <c r="R1152" s="657">
        <v>11.335585829959527</v>
      </c>
      <c r="S1152" s="253">
        <v>46</v>
      </c>
      <c r="T1152" s="658">
        <v>-1.7819013064993561E-3</v>
      </c>
      <c r="U1152" s="659">
        <v>-8.9102282727349741E-2</v>
      </c>
      <c r="V1152" s="658">
        <v>6.4584098679017155E-2</v>
      </c>
      <c r="W1152" s="659">
        <v>0.50086971114885626</v>
      </c>
      <c r="X1152" s="658">
        <v>0.14339996203403405</v>
      </c>
      <c r="Y1152" s="659">
        <v>0.74266733882499292</v>
      </c>
      <c r="Z1152" s="658">
        <v>0.20048195986028627</v>
      </c>
      <c r="AA1152" s="659">
        <v>0.90523158531342707</v>
      </c>
      <c r="AB1152" s="658">
        <v>2.7036768113643733E-2</v>
      </c>
      <c r="AC1152" s="660">
        <v>-2.3804550343165056</v>
      </c>
      <c r="AD1152" s="682">
        <v>24601713000179</v>
      </c>
      <c r="AE1152" s="944" t="s">
        <v>1826</v>
      </c>
      <c r="AF1152" s="661" t="s">
        <v>1729</v>
      </c>
      <c r="AG1152" s="662" t="s">
        <v>1433</v>
      </c>
      <c r="AH1152" s="662" t="s">
        <v>1734</v>
      </c>
      <c r="AI1152" s="662">
        <v>100</v>
      </c>
      <c r="AJ1152" s="662">
        <v>100</v>
      </c>
      <c r="AK1152" s="662">
        <v>100</v>
      </c>
      <c r="AL1152" s="658">
        <v>1.1000000000000001E-2</v>
      </c>
      <c r="AM1152" s="658">
        <v>0.2</v>
      </c>
      <c r="AN1152" s="659" t="s">
        <v>2141</v>
      </c>
      <c r="AO1152" s="253" t="s">
        <v>34</v>
      </c>
      <c r="AP1152" s="944" t="s">
        <v>1746</v>
      </c>
      <c r="AQ1152" s="663" t="s">
        <v>671</v>
      </c>
      <c r="AR1152" s="658">
        <v>3.0000000000000001E-3</v>
      </c>
      <c r="AS1152" s="658">
        <v>3.0000000000000001E-3</v>
      </c>
      <c r="AT1152" s="658" t="s">
        <v>1417</v>
      </c>
      <c r="AU1152" s="658" t="s">
        <v>2751</v>
      </c>
      <c r="AX1152"/>
      <c r="AY1152"/>
      <c r="BA1152"/>
      <c r="BB1152"/>
      <c r="BC1152"/>
      <c r="BD1152"/>
      <c r="BE1152"/>
      <c r="BF1152"/>
      <c r="BG1152"/>
      <c r="BH1152"/>
      <c r="BI1152"/>
      <c r="BJ1152"/>
      <c r="BR1152"/>
      <c r="BS1152"/>
      <c r="BT1152"/>
      <c r="BU1152"/>
      <c r="BX1152"/>
      <c r="BY1152"/>
      <c r="CA1152"/>
    </row>
    <row r="1153" spans="2:79" ht="18.75">
      <c r="B1153" s="252" t="s">
        <v>325</v>
      </c>
      <c r="C1153" s="251">
        <v>18628896000113</v>
      </c>
      <c r="D1153" s="252" t="s">
        <v>14</v>
      </c>
      <c r="E1153" s="252" t="s">
        <v>607</v>
      </c>
      <c r="F1153" s="252" t="s">
        <v>1417</v>
      </c>
      <c r="G1153" s="253" t="s">
        <v>1417</v>
      </c>
      <c r="H1153" s="253" t="s">
        <v>34</v>
      </c>
      <c r="I1153" s="253" t="s">
        <v>34</v>
      </c>
      <c r="J1153" s="253" t="s">
        <v>611</v>
      </c>
      <c r="K1153" s="253" t="s">
        <v>48</v>
      </c>
      <c r="L1153" s="655"/>
      <c r="M1153" s="655" t="s">
        <v>34</v>
      </c>
      <c r="N1153" s="253" t="s">
        <v>3773</v>
      </c>
      <c r="O1153" s="253" t="s">
        <v>1321</v>
      </c>
      <c r="P1153" s="656">
        <v>42811</v>
      </c>
      <c r="Q1153" s="657">
        <v>5.4954200000000002</v>
      </c>
      <c r="R1153" s="657">
        <v>3.781388927710843</v>
      </c>
      <c r="S1153" s="253">
        <v>3</v>
      </c>
      <c r="T1153" s="658">
        <v>3.3233321970669305E-3</v>
      </c>
      <c r="U1153" s="659">
        <v>0.16618007065817764</v>
      </c>
      <c r="V1153" s="658">
        <v>9.4935088879971596E-2</v>
      </c>
      <c r="W1153" s="659">
        <v>0.73625105123052537</v>
      </c>
      <c r="X1153" s="658">
        <v>-0.23616963163656846</v>
      </c>
      <c r="Y1153" s="659">
        <v>-1.2231207690081634</v>
      </c>
      <c r="Z1153" s="658">
        <v>-0.14652697465863274</v>
      </c>
      <c r="AA1153" s="659">
        <v>-0.6616098807785521</v>
      </c>
      <c r="AB1153" s="658">
        <v>6.3456162100268138E-2</v>
      </c>
      <c r="AC1153" s="660">
        <v>-0.5359419706643912</v>
      </c>
      <c r="AD1153" s="682">
        <v>0</v>
      </c>
      <c r="AE1153" s="944" t="s">
        <v>1860</v>
      </c>
      <c r="AF1153" s="661" t="s">
        <v>1742</v>
      </c>
      <c r="AG1153" s="662" t="s">
        <v>741</v>
      </c>
      <c r="AH1153" s="662" t="s">
        <v>1734</v>
      </c>
      <c r="AI1153" s="662">
        <v>1000</v>
      </c>
      <c r="AJ1153" s="662">
        <v>1000</v>
      </c>
      <c r="AK1153" s="662">
        <v>1000</v>
      </c>
      <c r="AL1153" s="658">
        <v>0.02</v>
      </c>
      <c r="AM1153" s="658">
        <v>0.2</v>
      </c>
      <c r="AN1153" s="659" t="s">
        <v>2122</v>
      </c>
      <c r="AO1153" s="253" t="s">
        <v>34</v>
      </c>
      <c r="AP1153" s="944" t="s">
        <v>1731</v>
      </c>
      <c r="AQ1153" s="663" t="s">
        <v>668</v>
      </c>
      <c r="AR1153" s="658">
        <v>6.6666666666666697E-3</v>
      </c>
      <c r="AS1153" s="658">
        <v>6.6666666666666697E-3</v>
      </c>
      <c r="AT1153" s="658" t="s">
        <v>1417</v>
      </c>
      <c r="AU1153" s="658" t="s">
        <v>2751</v>
      </c>
      <c r="AX1153"/>
      <c r="AY1153"/>
      <c r="BA1153"/>
      <c r="BB1153"/>
      <c r="BC1153"/>
      <c r="BD1153"/>
      <c r="BE1153"/>
      <c r="BF1153"/>
      <c r="BG1153"/>
      <c r="BH1153"/>
      <c r="BI1153"/>
      <c r="BJ1153"/>
      <c r="BR1153"/>
      <c r="BS1153"/>
      <c r="BT1153"/>
      <c r="BU1153"/>
      <c r="BX1153"/>
      <c r="BY1153"/>
      <c r="CA1153"/>
    </row>
    <row r="1154" spans="2:79" ht="18.75">
      <c r="B1154" s="252" t="s">
        <v>1115</v>
      </c>
      <c r="C1154" s="251">
        <v>14171578000115</v>
      </c>
      <c r="D1154" s="252" t="s">
        <v>11</v>
      </c>
      <c r="E1154" s="252" t="s">
        <v>620</v>
      </c>
      <c r="F1154" s="252" t="s">
        <v>685</v>
      </c>
      <c r="G1154" s="253" t="s">
        <v>738</v>
      </c>
      <c r="H1154" s="253" t="s">
        <v>34</v>
      </c>
      <c r="I1154" s="253" t="s">
        <v>1319</v>
      </c>
      <c r="J1154" s="253" t="s">
        <v>608</v>
      </c>
      <c r="K1154" s="253" t="s">
        <v>48</v>
      </c>
      <c r="L1154" s="655"/>
      <c r="M1154" s="655" t="s">
        <v>34</v>
      </c>
      <c r="N1154" s="253" t="s">
        <v>3774</v>
      </c>
      <c r="O1154" s="253" t="s">
        <v>1321</v>
      </c>
      <c r="P1154" s="656">
        <v>41085</v>
      </c>
      <c r="Q1154" s="657">
        <v>368.41270200000002</v>
      </c>
      <c r="R1154" s="657">
        <v>275.82837067083341</v>
      </c>
      <c r="S1154" s="253">
        <v>71</v>
      </c>
      <c r="T1154" s="658">
        <v>2.2800182447648254E-2</v>
      </c>
      <c r="U1154" s="659">
        <v>1.1401014721048726</v>
      </c>
      <c r="V1154" s="658">
        <v>0.15586009092791264</v>
      </c>
      <c r="W1154" s="659">
        <v>1.2087433334122064</v>
      </c>
      <c r="X1154" s="658">
        <v>0.26779432719481577</v>
      </c>
      <c r="Y1154" s="659">
        <v>1.3869048325340649</v>
      </c>
      <c r="Z1154" s="658">
        <v>0.33174355224674179</v>
      </c>
      <c r="AA1154" s="659">
        <v>1.4979140363906305</v>
      </c>
      <c r="AB1154" s="658">
        <v>3.083595235544453E-3</v>
      </c>
      <c r="AC1154" s="660">
        <v>8.7288309343790544</v>
      </c>
      <c r="AD1154" s="682">
        <v>0</v>
      </c>
      <c r="AE1154" s="944" t="s">
        <v>1860</v>
      </c>
      <c r="AF1154" s="661" t="s">
        <v>1861</v>
      </c>
      <c r="AG1154" s="662" t="s">
        <v>1432</v>
      </c>
      <c r="AH1154" s="662" t="s">
        <v>1730</v>
      </c>
      <c r="AI1154" s="662">
        <v>1000</v>
      </c>
      <c r="AJ1154" s="662">
        <v>1000</v>
      </c>
      <c r="AK1154" s="662">
        <v>1000</v>
      </c>
      <c r="AL1154" s="658">
        <v>0.02</v>
      </c>
      <c r="AM1154" s="658">
        <v>0.2</v>
      </c>
      <c r="AN1154" s="659" t="s">
        <v>64</v>
      </c>
      <c r="AO1154" s="253" t="s">
        <v>34</v>
      </c>
      <c r="AP1154" s="944" t="s">
        <v>1746</v>
      </c>
      <c r="AQ1154" s="663" t="s">
        <v>668</v>
      </c>
      <c r="AR1154" s="658">
        <v>4.6666666666666697E-3</v>
      </c>
      <c r="AS1154" s="658">
        <v>4.6666666666666697E-3</v>
      </c>
      <c r="AT1154" s="658" t="s">
        <v>1417</v>
      </c>
      <c r="AU1154" s="658" t="s">
        <v>2751</v>
      </c>
      <c r="AX1154"/>
      <c r="AY1154"/>
      <c r="BA1154"/>
      <c r="BB1154"/>
      <c r="BC1154"/>
      <c r="BD1154"/>
      <c r="BE1154"/>
      <c r="BF1154"/>
      <c r="BG1154"/>
      <c r="BH1154"/>
      <c r="BI1154"/>
      <c r="BJ1154"/>
      <c r="BR1154"/>
      <c r="BS1154"/>
      <c r="BT1154"/>
      <c r="BU1154"/>
      <c r="BX1154"/>
      <c r="BY1154"/>
      <c r="CA1154"/>
    </row>
    <row r="1155" spans="2:79" ht="18.75">
      <c r="B1155" s="252" t="s">
        <v>326</v>
      </c>
      <c r="C1155" s="251">
        <v>23970201000117</v>
      </c>
      <c r="D1155" s="252" t="s">
        <v>11</v>
      </c>
      <c r="E1155" s="252" t="s">
        <v>620</v>
      </c>
      <c r="F1155" s="252" t="s">
        <v>663</v>
      </c>
      <c r="G1155" s="253" t="s">
        <v>738</v>
      </c>
      <c r="H1155" s="253" t="s">
        <v>34</v>
      </c>
      <c r="I1155" s="253" t="s">
        <v>1417</v>
      </c>
      <c r="J1155" s="253" t="s">
        <v>608</v>
      </c>
      <c r="K1155" s="253" t="s">
        <v>48</v>
      </c>
      <c r="L1155" s="655"/>
      <c r="M1155" s="655" t="s">
        <v>1414</v>
      </c>
      <c r="N1155" s="253" t="s">
        <v>3775</v>
      </c>
      <c r="O1155" s="253" t="s">
        <v>1321</v>
      </c>
      <c r="P1155" s="656">
        <v>42475</v>
      </c>
      <c r="Q1155" s="657">
        <v>104.524857</v>
      </c>
      <c r="R1155" s="657">
        <v>108.69316924193545</v>
      </c>
      <c r="S1155" s="253">
        <v>3</v>
      </c>
      <c r="T1155" s="658">
        <v>2.0822346220371379E-2</v>
      </c>
      <c r="U1155" s="659">
        <v>1.0412016497250172</v>
      </c>
      <c r="V1155" s="658">
        <v>0.13453017727226246</v>
      </c>
      <c r="W1155" s="659">
        <v>1.0433232391467036</v>
      </c>
      <c r="X1155" s="658">
        <v>0.21112072907224544</v>
      </c>
      <c r="Y1155" s="659">
        <v>1.0933926885814953</v>
      </c>
      <c r="Z1155" s="658">
        <v>0.24500788258656736</v>
      </c>
      <c r="AA1155" s="659">
        <v>1.1062784607786489</v>
      </c>
      <c r="AB1155" s="658">
        <v>9.4882782054485392E-4</v>
      </c>
      <c r="AC1155" s="660">
        <v>5.8875464067508672</v>
      </c>
      <c r="AD1155" s="682">
        <v>0</v>
      </c>
      <c r="AE1155" s="944" t="s">
        <v>1860</v>
      </c>
      <c r="AF1155" s="661" t="s">
        <v>1742</v>
      </c>
      <c r="AG1155" s="662" t="s">
        <v>741</v>
      </c>
      <c r="AH1155" s="662" t="s">
        <v>1734</v>
      </c>
      <c r="AI1155" s="662">
        <v>0</v>
      </c>
      <c r="AJ1155" s="662">
        <v>100</v>
      </c>
      <c r="AK1155" s="662">
        <v>100</v>
      </c>
      <c r="AL1155" s="658">
        <v>0.01</v>
      </c>
      <c r="AM1155" s="658">
        <v>0</v>
      </c>
      <c r="AN1155" s="659" t="s">
        <v>64</v>
      </c>
      <c r="AO1155" s="253" t="s">
        <v>34</v>
      </c>
      <c r="AP1155" s="944" t="s">
        <v>1735</v>
      </c>
      <c r="AQ1155" s="663" t="s">
        <v>675</v>
      </c>
      <c r="AR1155" s="658">
        <v>1.6000000000000001E-3</v>
      </c>
      <c r="AS1155" s="658">
        <v>1.6000000000000001E-3</v>
      </c>
      <c r="AT1155" s="658" t="s">
        <v>1417</v>
      </c>
      <c r="AU1155" s="658" t="s">
        <v>2751</v>
      </c>
      <c r="AX1155"/>
      <c r="AY1155"/>
      <c r="BA1155"/>
      <c r="BB1155"/>
      <c r="BC1155"/>
      <c r="BD1155"/>
      <c r="BE1155"/>
      <c r="BF1155"/>
      <c r="BG1155"/>
      <c r="BH1155"/>
      <c r="BI1155"/>
      <c r="BJ1155"/>
      <c r="BR1155"/>
      <c r="BS1155"/>
      <c r="BT1155"/>
      <c r="BU1155"/>
      <c r="BX1155"/>
      <c r="BY1155"/>
      <c r="CA1155"/>
    </row>
    <row r="1156" spans="2:79" ht="18.75">
      <c r="B1156" s="252" t="s">
        <v>1116</v>
      </c>
      <c r="C1156" s="251">
        <v>14083797000142</v>
      </c>
      <c r="D1156" s="252" t="s">
        <v>14</v>
      </c>
      <c r="E1156" s="252" t="s">
        <v>607</v>
      </c>
      <c r="F1156" s="252" t="s">
        <v>1417</v>
      </c>
      <c r="G1156" s="253" t="s">
        <v>1417</v>
      </c>
      <c r="H1156" s="253" t="s">
        <v>34</v>
      </c>
      <c r="I1156" s="253" t="s">
        <v>34</v>
      </c>
      <c r="J1156" s="253" t="s">
        <v>608</v>
      </c>
      <c r="K1156" s="253" t="s">
        <v>48</v>
      </c>
      <c r="L1156" s="655"/>
      <c r="M1156" s="655" t="s">
        <v>34</v>
      </c>
      <c r="N1156" s="253" t="s">
        <v>3776</v>
      </c>
      <c r="O1156" s="253" t="s">
        <v>1321</v>
      </c>
      <c r="P1156" s="656">
        <v>40818</v>
      </c>
      <c r="Q1156" s="657">
        <v>112.798738</v>
      </c>
      <c r="R1156" s="657">
        <v>145.27364638554207</v>
      </c>
      <c r="S1156" s="253">
        <v>17</v>
      </c>
      <c r="T1156" s="658">
        <v>-2.1040903432029245E-2</v>
      </c>
      <c r="U1156" s="659">
        <v>-1.0521303955507317</v>
      </c>
      <c r="V1156" s="658">
        <v>-6.0479334537585916E-2</v>
      </c>
      <c r="W1156" s="659">
        <v>-0.46903599244867084</v>
      </c>
      <c r="X1156" s="658">
        <v>-0.21659849144656551</v>
      </c>
      <c r="Y1156" s="659">
        <v>-1.1217619792531792</v>
      </c>
      <c r="Z1156" s="658">
        <v>-0.12501111974377732</v>
      </c>
      <c r="AA1156" s="659">
        <v>-0.56445983561976842</v>
      </c>
      <c r="AB1156" s="658">
        <v>0.23481484279765036</v>
      </c>
      <c r="AC1156" s="660">
        <v>-0.80669195238057456</v>
      </c>
      <c r="AD1156" s="682">
        <v>14126355000136</v>
      </c>
      <c r="AE1156" s="944" t="s">
        <v>1850</v>
      </c>
      <c r="AF1156" s="661" t="s">
        <v>1729</v>
      </c>
      <c r="AG1156" s="662" t="s">
        <v>1433</v>
      </c>
      <c r="AH1156" s="662" t="s">
        <v>1734</v>
      </c>
      <c r="AI1156" s="662">
        <v>1000</v>
      </c>
      <c r="AJ1156" s="662">
        <v>5000</v>
      </c>
      <c r="AK1156" s="662">
        <v>1000</v>
      </c>
      <c r="AL1156" s="658">
        <v>2.9300000000000003E-2</v>
      </c>
      <c r="AM1156" s="658">
        <v>0</v>
      </c>
      <c r="AN1156" s="659" t="s">
        <v>2127</v>
      </c>
      <c r="AO1156" s="253" t="s">
        <v>34</v>
      </c>
      <c r="AP1156" s="944" t="s">
        <v>1731</v>
      </c>
      <c r="AQ1156" s="663" t="s">
        <v>659</v>
      </c>
      <c r="AR1156" s="658">
        <v>4.8833333333333298E-3</v>
      </c>
      <c r="AS1156" s="658">
        <v>4.8833333333333298E-3</v>
      </c>
      <c r="AT1156" s="658" t="s">
        <v>1417</v>
      </c>
      <c r="AU1156" s="658" t="s">
        <v>2751</v>
      </c>
      <c r="AX1156"/>
      <c r="AY1156"/>
      <c r="BA1156"/>
      <c r="BB1156"/>
      <c r="BC1156"/>
      <c r="BD1156"/>
      <c r="BE1156"/>
      <c r="BF1156"/>
      <c r="BG1156"/>
      <c r="BH1156"/>
      <c r="BI1156"/>
      <c r="BJ1156"/>
      <c r="BR1156"/>
      <c r="BS1156"/>
      <c r="BT1156"/>
      <c r="BU1156"/>
      <c r="BX1156"/>
      <c r="BY1156"/>
      <c r="CA1156"/>
    </row>
    <row r="1157" spans="2:79" ht="18.75">
      <c r="B1157" s="252" t="s">
        <v>1117</v>
      </c>
      <c r="C1157" s="251">
        <v>28235674000194</v>
      </c>
      <c r="D1157" s="252" t="s">
        <v>14</v>
      </c>
      <c r="E1157" s="252" t="s">
        <v>614</v>
      </c>
      <c r="F1157" s="252" t="s">
        <v>1417</v>
      </c>
      <c r="G1157" s="253" t="s">
        <v>1417</v>
      </c>
      <c r="H1157" s="253" t="s">
        <v>1338</v>
      </c>
      <c r="I1157" s="253" t="s">
        <v>34</v>
      </c>
      <c r="J1157" s="253" t="s">
        <v>608</v>
      </c>
      <c r="K1157" s="253" t="s">
        <v>48</v>
      </c>
      <c r="L1157" s="655"/>
      <c r="M1157" s="655" t="s">
        <v>34</v>
      </c>
      <c r="N1157" s="253" t="s">
        <v>3777</v>
      </c>
      <c r="O1157" s="253" t="s">
        <v>1321</v>
      </c>
      <c r="P1157" s="656">
        <v>43009</v>
      </c>
      <c r="Q1157" s="657">
        <v>11.052971729999999</v>
      </c>
      <c r="R1157" s="657">
        <v>12.476181802298376</v>
      </c>
      <c r="S1157" s="253">
        <v>33</v>
      </c>
      <c r="T1157" s="658">
        <v>-1.8637929103136885E-2</v>
      </c>
      <c r="U1157" s="659">
        <v>-0.93197194611328094</v>
      </c>
      <c r="V1157" s="658">
        <v>6.4397563027219773E-2</v>
      </c>
      <c r="W1157" s="659">
        <v>0.4994230693291869</v>
      </c>
      <c r="X1157" s="658">
        <v>-0.1216843254172455</v>
      </c>
      <c r="Y1157" s="659">
        <v>-0.63020221799564935</v>
      </c>
      <c r="Z1157" s="658">
        <v>1.2916151229080741E-2</v>
      </c>
      <c r="AA1157" s="659">
        <v>5.8320000769130714E-2</v>
      </c>
      <c r="AB1157" s="658">
        <v>0.19068298754712654</v>
      </c>
      <c r="AC1157" s="660">
        <v>-0.33850081357476219</v>
      </c>
      <c r="AD1157" s="682">
        <v>17002861000101</v>
      </c>
      <c r="AE1157" s="944" t="s">
        <v>1797</v>
      </c>
      <c r="AF1157" s="661" t="s">
        <v>1745</v>
      </c>
      <c r="AG1157" s="662" t="s">
        <v>1432</v>
      </c>
      <c r="AH1157" s="662" t="s">
        <v>1734</v>
      </c>
      <c r="AI1157" s="662">
        <v>1000</v>
      </c>
      <c r="AJ1157" s="662">
        <v>1000</v>
      </c>
      <c r="AK1157" s="662">
        <v>1000</v>
      </c>
      <c r="AL1157" s="658">
        <v>0</v>
      </c>
      <c r="AM1157" s="658">
        <v>0</v>
      </c>
      <c r="AN1157" s="659" t="s">
        <v>34</v>
      </c>
      <c r="AO1157" s="253" t="s">
        <v>34</v>
      </c>
      <c r="AP1157" s="944" t="s">
        <v>1746</v>
      </c>
      <c r="AQ1157" s="663" t="s">
        <v>668</v>
      </c>
      <c r="AR1157" s="658">
        <v>4.8250000000000003E-3</v>
      </c>
      <c r="AS1157" s="658">
        <v>4.8250000000000003E-3</v>
      </c>
      <c r="AT1157" s="658" t="s">
        <v>1417</v>
      </c>
      <c r="AU1157" s="658" t="s">
        <v>2751</v>
      </c>
      <c r="AX1157"/>
      <c r="AY1157"/>
      <c r="BA1157"/>
      <c r="BB1157"/>
      <c r="BC1157"/>
      <c r="BD1157"/>
      <c r="BE1157"/>
      <c r="BF1157"/>
      <c r="BG1157"/>
      <c r="BH1157"/>
      <c r="BI1157"/>
      <c r="BJ1157"/>
      <c r="BR1157"/>
      <c r="BS1157"/>
      <c r="BT1157"/>
      <c r="BU1157"/>
      <c r="BX1157"/>
      <c r="BY1157"/>
      <c r="CA1157"/>
    </row>
    <row r="1158" spans="2:79" ht="18.75">
      <c r="B1158" s="252" t="s">
        <v>1118</v>
      </c>
      <c r="C1158" s="251">
        <v>17002861000101</v>
      </c>
      <c r="D1158" s="252" t="s">
        <v>14</v>
      </c>
      <c r="E1158" s="252" t="s">
        <v>614</v>
      </c>
      <c r="F1158" s="252" t="s">
        <v>1417</v>
      </c>
      <c r="G1158" s="253" t="s">
        <v>1417</v>
      </c>
      <c r="H1158" s="253" t="s">
        <v>1338</v>
      </c>
      <c r="I1158" s="253" t="s">
        <v>34</v>
      </c>
      <c r="J1158" s="253" t="s">
        <v>608</v>
      </c>
      <c r="K1158" s="253" t="s">
        <v>48</v>
      </c>
      <c r="L1158" s="655"/>
      <c r="M1158" s="655" t="s">
        <v>34</v>
      </c>
      <c r="N1158" s="253" t="s">
        <v>3778</v>
      </c>
      <c r="O1158" s="253" t="s">
        <v>1321</v>
      </c>
      <c r="P1158" s="656">
        <v>41259</v>
      </c>
      <c r="Q1158" s="657">
        <v>155.10292000000001</v>
      </c>
      <c r="R1158" s="657">
        <v>202.22397961044169</v>
      </c>
      <c r="S1158" s="253">
        <v>32</v>
      </c>
      <c r="T1158" s="658">
        <v>-1.8814670918609222E-2</v>
      </c>
      <c r="U1158" s="659">
        <v>-0.94080975276088885</v>
      </c>
      <c r="V1158" s="658">
        <v>6.5617710351686842E-2</v>
      </c>
      <c r="W1158" s="659">
        <v>0.50888569016720786</v>
      </c>
      <c r="X1158" s="658">
        <v>-0.12101070956653481</v>
      </c>
      <c r="Y1158" s="659">
        <v>-0.62671356650549825</v>
      </c>
      <c r="Z1158" s="658">
        <v>5.2149599076847242E-3</v>
      </c>
      <c r="AA1158" s="659">
        <v>2.3546988606202988E-2</v>
      </c>
      <c r="AB1158" s="658">
        <v>0.19174258266604599</v>
      </c>
      <c r="AC1158" s="660">
        <v>-0.3302667472952287</v>
      </c>
      <c r="AD1158" s="682">
        <v>17039320000158</v>
      </c>
      <c r="AE1158" s="944" t="s">
        <v>1850</v>
      </c>
      <c r="AF1158" s="661" t="s">
        <v>1729</v>
      </c>
      <c r="AG1158" s="662" t="s">
        <v>1433</v>
      </c>
      <c r="AH1158" s="662" t="s">
        <v>1734</v>
      </c>
      <c r="AI1158" s="662">
        <v>50000</v>
      </c>
      <c r="AJ1158" s="662">
        <v>5000</v>
      </c>
      <c r="AK1158" s="662">
        <v>5000</v>
      </c>
      <c r="AL1158" s="658">
        <v>1.9299999999999998E-2</v>
      </c>
      <c r="AM1158" s="658">
        <v>0.2</v>
      </c>
      <c r="AN1158" s="659" t="s">
        <v>2127</v>
      </c>
      <c r="AO1158" s="253" t="s">
        <v>34</v>
      </c>
      <c r="AP1158" s="944" t="s">
        <v>1746</v>
      </c>
      <c r="AQ1158" s="663" t="s">
        <v>668</v>
      </c>
      <c r="AR1158" s="658">
        <v>4.8250000000000003E-3</v>
      </c>
      <c r="AS1158" s="658">
        <v>4.8250000000000003E-3</v>
      </c>
      <c r="AT1158" s="658" t="s">
        <v>1417</v>
      </c>
      <c r="AU1158" s="658" t="s">
        <v>2751</v>
      </c>
      <c r="AX1158"/>
      <c r="AY1158"/>
      <c r="BA1158"/>
      <c r="BB1158"/>
      <c r="BC1158"/>
      <c r="BD1158"/>
      <c r="BE1158"/>
      <c r="BF1158"/>
      <c r="BG1158"/>
      <c r="BH1158"/>
      <c r="BI1158"/>
      <c r="BJ1158"/>
      <c r="BR1158"/>
      <c r="BS1158"/>
      <c r="BT1158"/>
      <c r="BU1158"/>
      <c r="BX1158"/>
      <c r="BY1158"/>
      <c r="CA1158"/>
    </row>
    <row r="1159" spans="2:79" ht="18.75">
      <c r="B1159" s="252" t="s">
        <v>1119</v>
      </c>
      <c r="C1159" s="251">
        <v>29177015000101</v>
      </c>
      <c r="D1159" s="252" t="s">
        <v>13</v>
      </c>
      <c r="E1159" s="252" t="s">
        <v>615</v>
      </c>
      <c r="F1159" s="252" t="s">
        <v>619</v>
      </c>
      <c r="G1159" s="253" t="s">
        <v>34</v>
      </c>
      <c r="H1159" s="253" t="s">
        <v>1337</v>
      </c>
      <c r="I1159" s="253" t="s">
        <v>34</v>
      </c>
      <c r="J1159" s="253" t="s">
        <v>611</v>
      </c>
      <c r="K1159" s="253" t="s">
        <v>48</v>
      </c>
      <c r="L1159" s="655"/>
      <c r="M1159" s="655" t="s">
        <v>34</v>
      </c>
      <c r="N1159" s="253" t="s">
        <v>3779</v>
      </c>
      <c r="O1159" s="253" t="s">
        <v>1321</v>
      </c>
      <c r="P1159" s="656">
        <v>43217</v>
      </c>
      <c r="Q1159" s="657">
        <v>6.0342397600000002</v>
      </c>
      <c r="R1159" s="657">
        <v>7.1824467769477955</v>
      </c>
      <c r="S1159" s="253">
        <v>31</v>
      </c>
      <c r="T1159" s="658">
        <v>2.6178887604336953E-2</v>
      </c>
      <c r="U1159" s="659">
        <v>1.3090504150264428</v>
      </c>
      <c r="V1159" s="658">
        <v>7.7045881650504411E-2</v>
      </c>
      <c r="W1159" s="659">
        <v>0.59751470217598102</v>
      </c>
      <c r="X1159" s="658">
        <v>8.9236425182963597E-2</v>
      </c>
      <c r="Y1159" s="659">
        <v>0.46215478356373735</v>
      </c>
      <c r="Z1159" s="658">
        <v>9.3543967136448858E-2</v>
      </c>
      <c r="AA1159" s="659">
        <v>0.42237692471904492</v>
      </c>
      <c r="AB1159" s="658">
        <v>5.3975709436651011E-2</v>
      </c>
      <c r="AC1159" s="660">
        <v>-0.96150709898856346</v>
      </c>
      <c r="AD1159" s="682">
        <v>22354046000141</v>
      </c>
      <c r="AE1159" s="944" t="s">
        <v>1797</v>
      </c>
      <c r="AF1159" s="661" t="s">
        <v>1745</v>
      </c>
      <c r="AG1159" s="662" t="s">
        <v>1432</v>
      </c>
      <c r="AH1159" s="662" t="s">
        <v>1734</v>
      </c>
      <c r="AI1159" s="662">
        <v>5000</v>
      </c>
      <c r="AJ1159" s="662">
        <v>5000</v>
      </c>
      <c r="AK1159" s="662">
        <v>5000</v>
      </c>
      <c r="AL1159" s="658">
        <v>0</v>
      </c>
      <c r="AM1159" s="658">
        <v>0</v>
      </c>
      <c r="AN1159" s="659" t="s">
        <v>34</v>
      </c>
      <c r="AO1159" s="253" t="s">
        <v>34</v>
      </c>
      <c r="AP1159" s="944" t="s">
        <v>1746</v>
      </c>
      <c r="AQ1159" s="663" t="s">
        <v>668</v>
      </c>
      <c r="AR1159" s="658">
        <v>4.8250000000000003E-3</v>
      </c>
      <c r="AS1159" s="658">
        <v>4.8250000000000003E-3</v>
      </c>
      <c r="AT1159" s="658" t="s">
        <v>1417</v>
      </c>
      <c r="AU1159" s="658" t="s">
        <v>2751</v>
      </c>
      <c r="AX1159"/>
      <c r="AY1159"/>
      <c r="BA1159"/>
      <c r="BB1159"/>
      <c r="BC1159"/>
      <c r="BD1159"/>
      <c r="BE1159"/>
      <c r="BF1159"/>
      <c r="BG1159"/>
      <c r="BH1159"/>
      <c r="BI1159"/>
      <c r="BJ1159"/>
      <c r="BR1159"/>
      <c r="BS1159"/>
      <c r="BT1159"/>
      <c r="BU1159"/>
      <c r="BX1159"/>
      <c r="BY1159"/>
      <c r="CA1159"/>
    </row>
    <row r="1160" spans="2:79" ht="18.75">
      <c r="B1160" s="252" t="s">
        <v>327</v>
      </c>
      <c r="C1160" s="251">
        <v>22354046000141</v>
      </c>
      <c r="D1160" s="252" t="s">
        <v>13</v>
      </c>
      <c r="E1160" s="252" t="s">
        <v>615</v>
      </c>
      <c r="F1160" s="252" t="s">
        <v>619</v>
      </c>
      <c r="G1160" s="253" t="s">
        <v>34</v>
      </c>
      <c r="H1160" s="253" t="s">
        <v>1337</v>
      </c>
      <c r="I1160" s="253" t="s">
        <v>34</v>
      </c>
      <c r="J1160" s="253" t="s">
        <v>611</v>
      </c>
      <c r="K1160" s="253" t="s">
        <v>48</v>
      </c>
      <c r="L1160" s="655"/>
      <c r="M1160" s="655" t="s">
        <v>34</v>
      </c>
      <c r="N1160" s="253" t="s">
        <v>3780</v>
      </c>
      <c r="O1160" s="253" t="s">
        <v>1321</v>
      </c>
      <c r="P1160" s="656">
        <v>42249</v>
      </c>
      <c r="Q1160" s="657">
        <v>76.852020999999993</v>
      </c>
      <c r="R1160" s="657">
        <v>129.91489416465868</v>
      </c>
      <c r="S1160" s="253">
        <v>31</v>
      </c>
      <c r="T1160" s="658">
        <v>2.6478988210145715E-2</v>
      </c>
      <c r="U1160" s="659">
        <v>1.3240566608425777</v>
      </c>
      <c r="V1160" s="658">
        <v>7.8064914547238962E-2</v>
      </c>
      <c r="W1160" s="659">
        <v>0.60541761826644658</v>
      </c>
      <c r="X1160" s="658">
        <v>9.0417195170085618E-2</v>
      </c>
      <c r="Y1160" s="659">
        <v>0.46826998256143448</v>
      </c>
      <c r="Z1160" s="658">
        <v>9.5117323552842192E-2</v>
      </c>
      <c r="AA1160" s="659">
        <v>0.4294810647826563</v>
      </c>
      <c r="AB1160" s="658">
        <v>5.4575072516928565E-2</v>
      </c>
      <c r="AC1160" s="660">
        <v>-0.93227535123782579</v>
      </c>
      <c r="AD1160" s="682">
        <v>18237547000170</v>
      </c>
      <c r="AE1160" s="944" t="s">
        <v>1850</v>
      </c>
      <c r="AF1160" s="661" t="s">
        <v>1729</v>
      </c>
      <c r="AG1160" s="662" t="s">
        <v>1433</v>
      </c>
      <c r="AH1160" s="662" t="s">
        <v>1734</v>
      </c>
      <c r="AI1160" s="662">
        <v>50000</v>
      </c>
      <c r="AJ1160" s="662">
        <v>5000</v>
      </c>
      <c r="AK1160" s="662">
        <v>5000</v>
      </c>
      <c r="AL1160" s="658">
        <v>1.9299999999999998E-2</v>
      </c>
      <c r="AM1160" s="658">
        <v>0.2</v>
      </c>
      <c r="AN1160" s="659" t="s">
        <v>64</v>
      </c>
      <c r="AO1160" s="253" t="s">
        <v>34</v>
      </c>
      <c r="AP1160" s="944" t="s">
        <v>1746</v>
      </c>
      <c r="AQ1160" s="663" t="s">
        <v>664</v>
      </c>
      <c r="AR1160" s="658">
        <v>4.8250000000000003E-3</v>
      </c>
      <c r="AS1160" s="658">
        <v>4.8250000000000003E-3</v>
      </c>
      <c r="AT1160" s="658" t="s">
        <v>1417</v>
      </c>
      <c r="AU1160" s="658" t="s">
        <v>2751</v>
      </c>
      <c r="AX1160"/>
      <c r="AY1160"/>
      <c r="BA1160"/>
      <c r="BB1160"/>
      <c r="BC1160"/>
      <c r="BD1160"/>
      <c r="BE1160"/>
      <c r="BF1160"/>
      <c r="BG1160"/>
      <c r="BH1160"/>
      <c r="BI1160"/>
      <c r="BJ1160"/>
      <c r="BR1160"/>
      <c r="BS1160"/>
      <c r="BT1160"/>
      <c r="BU1160"/>
      <c r="BX1160"/>
      <c r="BY1160"/>
      <c r="CA1160"/>
    </row>
    <row r="1161" spans="2:79" ht="18.75">
      <c r="B1161" s="252" t="s">
        <v>328</v>
      </c>
      <c r="C1161" s="251">
        <v>34799112000176</v>
      </c>
      <c r="D1161" s="252" t="s">
        <v>13</v>
      </c>
      <c r="E1161" s="252" t="s">
        <v>615</v>
      </c>
      <c r="F1161" s="252" t="s">
        <v>619</v>
      </c>
      <c r="G1161" s="253" t="s">
        <v>34</v>
      </c>
      <c r="H1161" s="253" t="s">
        <v>865</v>
      </c>
      <c r="I1161" s="253" t="s">
        <v>34</v>
      </c>
      <c r="J1161" s="253" t="s">
        <v>1417</v>
      </c>
      <c r="K1161" s="253" t="s">
        <v>48</v>
      </c>
      <c r="L1161" s="655"/>
      <c r="M1161" s="655" t="s">
        <v>34</v>
      </c>
      <c r="N1161" s="253" t="s">
        <v>3781</v>
      </c>
      <c r="O1161" s="253" t="s">
        <v>1321</v>
      </c>
      <c r="P1161" s="656">
        <v>43803</v>
      </c>
      <c r="Q1161" s="657">
        <v>0</v>
      </c>
      <c r="R1161" s="657">
        <v>0</v>
      </c>
      <c r="S1161" s="253">
        <v>31</v>
      </c>
      <c r="T1161" s="658"/>
      <c r="U1161" s="659"/>
      <c r="V1161" s="658"/>
      <c r="W1161" s="659"/>
      <c r="X1161" s="658"/>
      <c r="Y1161" s="659"/>
      <c r="Z1161" s="658"/>
      <c r="AA1161" s="659"/>
      <c r="AB1161" s="658"/>
      <c r="AC1161" s="660"/>
      <c r="AD1161" s="682">
        <v>34799086000186</v>
      </c>
      <c r="AE1161" s="944" t="s">
        <v>2620</v>
      </c>
      <c r="AF1161" s="661" t="s">
        <v>1769</v>
      </c>
      <c r="AG1161" s="662" t="s">
        <v>719</v>
      </c>
      <c r="AH1161" s="662" t="s">
        <v>1734</v>
      </c>
      <c r="AI1161" s="662">
        <v>5000</v>
      </c>
      <c r="AJ1161" s="662">
        <v>1000</v>
      </c>
      <c r="AK1161" s="662">
        <v>1000</v>
      </c>
      <c r="AL1161" s="658">
        <v>1.9E-2</v>
      </c>
      <c r="AM1161" s="658">
        <v>0.2</v>
      </c>
      <c r="AN1161" s="659" t="s">
        <v>2122</v>
      </c>
      <c r="AO1161" s="253" t="s">
        <v>34</v>
      </c>
      <c r="AP1161" s="944" t="s">
        <v>1746</v>
      </c>
      <c r="AQ1161" s="663" t="s">
        <v>668</v>
      </c>
      <c r="AR1161" s="658">
        <v>6.3333333333333297E-3</v>
      </c>
      <c r="AS1161" s="658">
        <v>6.3333333333333297E-3</v>
      </c>
      <c r="AT1161" s="658" t="s">
        <v>1417</v>
      </c>
      <c r="AU1161" s="658" t="s">
        <v>2751</v>
      </c>
      <c r="AX1161"/>
      <c r="AY1161"/>
      <c r="BA1161"/>
      <c r="BB1161"/>
      <c r="BC1161"/>
      <c r="BD1161"/>
      <c r="BE1161"/>
      <c r="BF1161"/>
      <c r="BG1161"/>
      <c r="BH1161"/>
      <c r="BI1161"/>
      <c r="BJ1161"/>
      <c r="BR1161"/>
      <c r="BS1161"/>
      <c r="BT1161"/>
      <c r="BU1161"/>
      <c r="BX1161"/>
      <c r="BY1161"/>
      <c r="CA1161"/>
    </row>
    <row r="1162" spans="2:79" ht="18.75">
      <c r="B1162" s="252" t="s">
        <v>329</v>
      </c>
      <c r="C1162" s="251">
        <v>24140265000153</v>
      </c>
      <c r="D1162" s="252" t="s">
        <v>13</v>
      </c>
      <c r="E1162" s="252" t="s">
        <v>616</v>
      </c>
      <c r="F1162" s="252" t="s">
        <v>610</v>
      </c>
      <c r="G1162" s="253" t="s">
        <v>34</v>
      </c>
      <c r="H1162" s="253" t="s">
        <v>1337</v>
      </c>
      <c r="I1162" s="253" t="s">
        <v>34</v>
      </c>
      <c r="J1162" s="253" t="s">
        <v>1417</v>
      </c>
      <c r="K1162" s="253" t="s">
        <v>48</v>
      </c>
      <c r="L1162" s="655"/>
      <c r="M1162" s="655" t="s">
        <v>34</v>
      </c>
      <c r="N1162" s="253" t="s">
        <v>3782</v>
      </c>
      <c r="O1162" s="253" t="s">
        <v>1321</v>
      </c>
      <c r="P1162" s="656">
        <v>42447</v>
      </c>
      <c r="Q1162" s="657">
        <v>123.326441</v>
      </c>
      <c r="R1162" s="657">
        <v>167.42453698387104</v>
      </c>
      <c r="S1162" s="253">
        <v>4</v>
      </c>
      <c r="T1162" s="658">
        <v>1.4512317422833876E-2</v>
      </c>
      <c r="U1162" s="659">
        <v>0.72567465174528445</v>
      </c>
      <c r="V1162" s="658">
        <v>6.8465768336168464E-2</v>
      </c>
      <c r="W1162" s="659">
        <v>0.53097326294750224</v>
      </c>
      <c r="X1162" s="658">
        <v>0.13789587710126971</v>
      </c>
      <c r="Y1162" s="659">
        <v>0.71416172381853527</v>
      </c>
      <c r="Z1162" s="658">
        <v>0.13641968418292927</v>
      </c>
      <c r="AA1162" s="659">
        <v>0.61597266440795939</v>
      </c>
      <c r="AB1162" s="658">
        <v>4.7699733642998794E-2</v>
      </c>
      <c r="AC1162" s="660">
        <v>-1.2678926377924684</v>
      </c>
      <c r="AD1162" s="682">
        <v>28078762000120</v>
      </c>
      <c r="AE1162" s="944" t="s">
        <v>1928</v>
      </c>
      <c r="AF1162" s="661" t="s">
        <v>1745</v>
      </c>
      <c r="AG1162" s="662" t="s">
        <v>1432</v>
      </c>
      <c r="AH1162" s="662" t="s">
        <v>1734</v>
      </c>
      <c r="AI1162" s="662">
        <v>500</v>
      </c>
      <c r="AJ1162" s="662">
        <v>100</v>
      </c>
      <c r="AK1162" s="662">
        <v>500</v>
      </c>
      <c r="AL1162" s="658">
        <v>1.3999999999999999E-2</v>
      </c>
      <c r="AM1162" s="658">
        <v>0.2</v>
      </c>
      <c r="AN1162" s="659" t="s">
        <v>34</v>
      </c>
      <c r="AO1162" s="253" t="s">
        <v>34</v>
      </c>
      <c r="AP1162" s="944" t="s">
        <v>1746</v>
      </c>
      <c r="AQ1162" s="663" t="s">
        <v>664</v>
      </c>
      <c r="AR1162" s="658">
        <v>4.6666666666666697E-3</v>
      </c>
      <c r="AS1162" s="658">
        <v>4.6666666666666697E-3</v>
      </c>
      <c r="AT1162" s="658" t="s">
        <v>1417</v>
      </c>
      <c r="AU1162" s="658" t="s">
        <v>2751</v>
      </c>
      <c r="AX1162"/>
      <c r="AY1162"/>
      <c r="BA1162"/>
      <c r="BB1162"/>
      <c r="BC1162"/>
      <c r="BD1162"/>
      <c r="BE1162"/>
      <c r="BF1162"/>
      <c r="BG1162"/>
      <c r="BH1162"/>
      <c r="BI1162"/>
      <c r="BJ1162"/>
      <c r="BR1162"/>
      <c r="BS1162"/>
      <c r="BT1162"/>
      <c r="BU1162"/>
      <c r="BX1162"/>
      <c r="BY1162"/>
      <c r="CA1162"/>
    </row>
    <row r="1163" spans="2:79" ht="18.75">
      <c r="B1163" s="252" t="s">
        <v>330</v>
      </c>
      <c r="C1163" s="251">
        <v>26344639000188</v>
      </c>
      <c r="D1163" s="252" t="s">
        <v>13</v>
      </c>
      <c r="E1163" s="252" t="s">
        <v>616</v>
      </c>
      <c r="F1163" s="252" t="s">
        <v>610</v>
      </c>
      <c r="G1163" s="253" t="s">
        <v>34</v>
      </c>
      <c r="H1163" s="253" t="s">
        <v>1337</v>
      </c>
      <c r="I1163" s="253" t="s">
        <v>34</v>
      </c>
      <c r="J1163" s="253" t="s">
        <v>1417</v>
      </c>
      <c r="K1163" s="253" t="s">
        <v>48</v>
      </c>
      <c r="L1163" s="655"/>
      <c r="M1163" s="655" t="s">
        <v>1414</v>
      </c>
      <c r="N1163" s="253" t="s">
        <v>3783</v>
      </c>
      <c r="O1163" s="253" t="s">
        <v>1324</v>
      </c>
      <c r="P1163" s="656">
        <v>42834</v>
      </c>
      <c r="Q1163" s="657">
        <v>10.444649999999999</v>
      </c>
      <c r="R1163" s="657">
        <v>21.277369210526302</v>
      </c>
      <c r="S1163" s="253">
        <v>4</v>
      </c>
      <c r="T1163" s="658">
        <v>1.5040583814191821E-2</v>
      </c>
      <c r="U1163" s="659">
        <v>0.75209011100021006</v>
      </c>
      <c r="V1163" s="658">
        <v>7.2451985710982214E-2</v>
      </c>
      <c r="W1163" s="659">
        <v>0.56188761471421944</v>
      </c>
      <c r="X1163" s="658">
        <v>0.14781164967947369</v>
      </c>
      <c r="Y1163" s="659">
        <v>0.765515436389957</v>
      </c>
      <c r="Z1163" s="658">
        <v>0.15135426457061474</v>
      </c>
      <c r="AA1163" s="659">
        <v>0.68340643196368744</v>
      </c>
      <c r="AB1163" s="658">
        <v>4.8106511550975561E-2</v>
      </c>
      <c r="AC1163" s="660">
        <v>-1.1743092964856756</v>
      </c>
      <c r="AD1163" s="682">
        <v>28078762000120</v>
      </c>
      <c r="AE1163" s="944" t="s">
        <v>1928</v>
      </c>
      <c r="AF1163" s="661" t="s">
        <v>1745</v>
      </c>
      <c r="AG1163" s="662" t="s">
        <v>1432</v>
      </c>
      <c r="AH1163" s="662" t="s">
        <v>1734</v>
      </c>
      <c r="AI1163" s="662">
        <v>50000</v>
      </c>
      <c r="AJ1163" s="662">
        <v>10000</v>
      </c>
      <c r="AK1163" s="662">
        <v>50000</v>
      </c>
      <c r="AL1163" s="658">
        <v>9.0000000000000011E-3</v>
      </c>
      <c r="AM1163" s="658">
        <v>0.2</v>
      </c>
      <c r="AN1163" s="659" t="s">
        <v>34</v>
      </c>
      <c r="AO1163" s="253" t="s">
        <v>34</v>
      </c>
      <c r="AP1163" s="944" t="s">
        <v>1746</v>
      </c>
      <c r="AQ1163" s="663" t="s">
        <v>664</v>
      </c>
      <c r="AR1163" s="658">
        <v>0</v>
      </c>
      <c r="AS1163" s="658">
        <v>0</v>
      </c>
      <c r="AT1163" s="658" t="s">
        <v>1417</v>
      </c>
      <c r="AU1163" s="658" t="s">
        <v>2751</v>
      </c>
      <c r="AX1163"/>
      <c r="AY1163"/>
      <c r="BA1163"/>
      <c r="BB1163"/>
      <c r="BC1163"/>
      <c r="BD1163"/>
      <c r="BE1163"/>
      <c r="BF1163"/>
      <c r="BG1163"/>
      <c r="BH1163"/>
      <c r="BI1163"/>
      <c r="BJ1163"/>
      <c r="BR1163"/>
      <c r="BS1163"/>
      <c r="BT1163"/>
      <c r="BU1163"/>
      <c r="BX1163"/>
      <c r="BY1163"/>
      <c r="CA1163"/>
    </row>
    <row r="1164" spans="2:79" ht="18.75">
      <c r="B1164" s="252" t="s">
        <v>331</v>
      </c>
      <c r="C1164" s="251">
        <v>34096132000180</v>
      </c>
      <c r="D1164" s="252" t="s">
        <v>14</v>
      </c>
      <c r="E1164" s="252" t="s">
        <v>614</v>
      </c>
      <c r="F1164" s="252" t="s">
        <v>1417</v>
      </c>
      <c r="G1164" s="253" t="s">
        <v>1417</v>
      </c>
      <c r="H1164" s="253" t="s">
        <v>865</v>
      </c>
      <c r="I1164" s="253" t="s">
        <v>34</v>
      </c>
      <c r="J1164" s="253" t="s">
        <v>608</v>
      </c>
      <c r="K1164" s="253" t="s">
        <v>48</v>
      </c>
      <c r="L1164" s="655"/>
      <c r="M1164" s="655" t="s">
        <v>34</v>
      </c>
      <c r="N1164" s="253" t="s">
        <v>3784</v>
      </c>
      <c r="O1164" s="253" t="s">
        <v>1321</v>
      </c>
      <c r="P1164" s="656">
        <v>43670</v>
      </c>
      <c r="Q1164" s="657">
        <v>0</v>
      </c>
      <c r="R1164" s="657">
        <v>0</v>
      </c>
      <c r="S1164" s="253">
        <v>32</v>
      </c>
      <c r="T1164" s="658"/>
      <c r="U1164" s="659"/>
      <c r="V1164" s="658"/>
      <c r="W1164" s="659"/>
      <c r="X1164" s="658"/>
      <c r="Y1164" s="659"/>
      <c r="Z1164" s="658"/>
      <c r="AA1164" s="659"/>
      <c r="AB1164" s="658"/>
      <c r="AC1164" s="660"/>
      <c r="AD1164" s="682">
        <v>33601025000108</v>
      </c>
      <c r="AE1164" s="944" t="s">
        <v>1928</v>
      </c>
      <c r="AF1164" s="661" t="s">
        <v>1745</v>
      </c>
      <c r="AG1164" s="662" t="s">
        <v>1432</v>
      </c>
      <c r="AH1164" s="662" t="s">
        <v>1734</v>
      </c>
      <c r="AI1164" s="662">
        <v>500</v>
      </c>
      <c r="AJ1164" s="662">
        <v>100</v>
      </c>
      <c r="AK1164" s="662">
        <v>500</v>
      </c>
      <c r="AL1164" s="658">
        <v>1.3999999999999999E-2</v>
      </c>
      <c r="AM1164" s="658">
        <v>0.2</v>
      </c>
      <c r="AN1164" s="659" t="s">
        <v>34</v>
      </c>
      <c r="AO1164" s="253" t="s">
        <v>34</v>
      </c>
      <c r="AP1164" s="944" t="s">
        <v>1746</v>
      </c>
      <c r="AQ1164" s="663" t="s">
        <v>668</v>
      </c>
      <c r="AR1164" s="658">
        <v>4.6666666666666697E-3</v>
      </c>
      <c r="AS1164" s="658">
        <v>4.6666666666666697E-3</v>
      </c>
      <c r="AT1164" s="658" t="s">
        <v>1417</v>
      </c>
      <c r="AU1164" s="658" t="s">
        <v>2751</v>
      </c>
      <c r="AX1164"/>
      <c r="AY1164"/>
      <c r="BA1164"/>
      <c r="BB1164"/>
      <c r="BC1164"/>
      <c r="BD1164"/>
      <c r="BE1164"/>
      <c r="BF1164"/>
      <c r="BG1164"/>
      <c r="BH1164"/>
      <c r="BI1164"/>
      <c r="BJ1164"/>
      <c r="BR1164"/>
      <c r="BS1164"/>
      <c r="BT1164"/>
      <c r="BU1164"/>
      <c r="BX1164"/>
      <c r="BY1164"/>
      <c r="CA1164"/>
    </row>
    <row r="1165" spans="2:79" ht="18.75">
      <c r="B1165" s="252" t="s">
        <v>1685</v>
      </c>
      <c r="C1165" s="251">
        <v>23339998000159</v>
      </c>
      <c r="D1165" s="252" t="s">
        <v>13</v>
      </c>
      <c r="E1165" s="252" t="s">
        <v>615</v>
      </c>
      <c r="F1165" s="252" t="s">
        <v>619</v>
      </c>
      <c r="G1165" s="253" t="s">
        <v>34</v>
      </c>
      <c r="H1165" s="253" t="s">
        <v>1337</v>
      </c>
      <c r="I1165" s="253" t="s">
        <v>1417</v>
      </c>
      <c r="J1165" s="253" t="s">
        <v>608</v>
      </c>
      <c r="K1165" s="253" t="s">
        <v>48</v>
      </c>
      <c r="L1165" s="655"/>
      <c r="M1165" s="655" t="s">
        <v>34</v>
      </c>
      <c r="N1165" s="253" t="s">
        <v>3785</v>
      </c>
      <c r="O1165" s="253" t="s">
        <v>1321</v>
      </c>
      <c r="P1165" s="656">
        <v>42361</v>
      </c>
      <c r="Q1165" s="657">
        <v>22.167028999999999</v>
      </c>
      <c r="R1165" s="657">
        <v>23.152633232931709</v>
      </c>
      <c r="S1165" s="253">
        <v>3</v>
      </c>
      <c r="T1165" s="658">
        <v>5.0142270964945723E-3</v>
      </c>
      <c r="U1165" s="659">
        <v>0.25073166442013539</v>
      </c>
      <c r="V1165" s="658">
        <v>0.1467093005520943</v>
      </c>
      <c r="W1165" s="659">
        <v>1.1377761166194302</v>
      </c>
      <c r="X1165" s="658">
        <v>0.14359737895349589</v>
      </c>
      <c r="Y1165" s="659">
        <v>0.74368975958533423</v>
      </c>
      <c r="Z1165" s="658">
        <v>0.19172619421692061</v>
      </c>
      <c r="AA1165" s="659">
        <v>0.86569687795372108</v>
      </c>
      <c r="AB1165" s="658">
        <v>3.2382882962491637E-2</v>
      </c>
      <c r="AC1165" s="660">
        <v>0.54860436996555251</v>
      </c>
      <c r="AD1165" s="682">
        <v>22918586000100</v>
      </c>
      <c r="AE1165" s="944" t="s">
        <v>1901</v>
      </c>
      <c r="AF1165" s="661" t="s">
        <v>1733</v>
      </c>
      <c r="AG1165" s="662" t="s">
        <v>59</v>
      </c>
      <c r="AH1165" s="662" t="s">
        <v>1734</v>
      </c>
      <c r="AI1165" s="662">
        <v>50000</v>
      </c>
      <c r="AJ1165" s="662">
        <v>50000</v>
      </c>
      <c r="AK1165" s="662">
        <v>50000</v>
      </c>
      <c r="AL1165" s="658">
        <v>0.01</v>
      </c>
      <c r="AM1165" s="658">
        <v>0.2</v>
      </c>
      <c r="AN1165" s="659" t="s">
        <v>64</v>
      </c>
      <c r="AO1165" s="253" t="s">
        <v>34</v>
      </c>
      <c r="AP1165" s="944" t="s">
        <v>1746</v>
      </c>
      <c r="AQ1165" s="663" t="s">
        <v>664</v>
      </c>
      <c r="AR1165" s="658">
        <v>0</v>
      </c>
      <c r="AS1165" s="658">
        <v>0</v>
      </c>
      <c r="AT1165" s="658" t="s">
        <v>1417</v>
      </c>
      <c r="AU1165" s="658" t="s">
        <v>2751</v>
      </c>
      <c r="AX1165"/>
      <c r="AY1165"/>
      <c r="BA1165"/>
      <c r="BB1165"/>
      <c r="BC1165"/>
      <c r="BD1165"/>
      <c r="BE1165"/>
      <c r="BF1165"/>
      <c r="BG1165"/>
      <c r="BH1165"/>
      <c r="BI1165"/>
      <c r="BJ1165"/>
      <c r="BR1165"/>
      <c r="BS1165"/>
      <c r="BT1165"/>
      <c r="BU1165"/>
      <c r="BX1165"/>
      <c r="BY1165"/>
      <c r="CA1165"/>
    </row>
    <row r="1166" spans="2:79" ht="18.75">
      <c r="B1166" s="252" t="s">
        <v>1120</v>
      </c>
      <c r="C1166" s="251">
        <v>32525986000100</v>
      </c>
      <c r="D1166" s="252" t="s">
        <v>11</v>
      </c>
      <c r="E1166" s="252" t="s">
        <v>620</v>
      </c>
      <c r="F1166" s="252" t="s">
        <v>663</v>
      </c>
      <c r="G1166" s="253" t="s">
        <v>738</v>
      </c>
      <c r="H1166" s="253" t="s">
        <v>34</v>
      </c>
      <c r="I1166" s="253" t="s">
        <v>1304</v>
      </c>
      <c r="J1166" s="253" t="s">
        <v>608</v>
      </c>
      <c r="K1166" s="253" t="s">
        <v>48</v>
      </c>
      <c r="L1166" s="655"/>
      <c r="M1166" s="655" t="s">
        <v>34</v>
      </c>
      <c r="N1166" s="253" t="s">
        <v>3786</v>
      </c>
      <c r="O1166" s="253" t="s">
        <v>1321</v>
      </c>
      <c r="P1166" s="656">
        <v>43775</v>
      </c>
      <c r="Q1166" s="657">
        <v>0</v>
      </c>
      <c r="R1166" s="657">
        <v>0</v>
      </c>
      <c r="S1166" s="253">
        <v>31</v>
      </c>
      <c r="T1166" s="658"/>
      <c r="U1166" s="659"/>
      <c r="V1166" s="658"/>
      <c r="W1166" s="659"/>
      <c r="X1166" s="658"/>
      <c r="Y1166" s="659"/>
      <c r="Z1166" s="658"/>
      <c r="AA1166" s="659"/>
      <c r="AB1166" s="658"/>
      <c r="AC1166" s="660"/>
      <c r="AD1166" s="682">
        <v>0</v>
      </c>
      <c r="AE1166" s="944" t="s">
        <v>2619</v>
      </c>
      <c r="AF1166" s="661" t="s">
        <v>2028</v>
      </c>
      <c r="AG1166" s="662" t="s">
        <v>928</v>
      </c>
      <c r="AH1166" s="662" t="s">
        <v>1730</v>
      </c>
      <c r="AI1166" s="662">
        <v>20000</v>
      </c>
      <c r="AJ1166" s="662">
        <v>10000</v>
      </c>
      <c r="AK1166" s="662">
        <v>1000</v>
      </c>
      <c r="AL1166" s="658">
        <v>4.7499999999999999E-3</v>
      </c>
      <c r="AM1166" s="658">
        <v>0</v>
      </c>
      <c r="AN1166" s="659" t="s">
        <v>34</v>
      </c>
      <c r="AO1166" s="253" t="s">
        <v>34</v>
      </c>
      <c r="AP1166" s="944" t="s">
        <v>1746</v>
      </c>
      <c r="AQ1166" s="663" t="s">
        <v>668</v>
      </c>
      <c r="AR1166" s="658">
        <v>3.2000000000000002E-3</v>
      </c>
      <c r="AS1166" s="658">
        <v>3.2000000000000002E-3</v>
      </c>
      <c r="AT1166" s="658" t="s">
        <v>1417</v>
      </c>
      <c r="AU1166" s="658" t="s">
        <v>2751</v>
      </c>
      <c r="AX1166"/>
      <c r="AY1166"/>
      <c r="BA1166"/>
      <c r="BB1166"/>
      <c r="BC1166"/>
      <c r="BD1166"/>
      <c r="BE1166"/>
      <c r="BF1166"/>
      <c r="BG1166"/>
      <c r="BH1166"/>
      <c r="BI1166"/>
      <c r="BJ1166"/>
      <c r="BR1166"/>
      <c r="BS1166"/>
      <c r="BT1166"/>
      <c r="BU1166"/>
      <c r="BX1166"/>
      <c r="BY1166"/>
      <c r="CA1166"/>
    </row>
    <row r="1167" spans="2:79" ht="18.75">
      <c r="B1167" s="252" t="s">
        <v>1121</v>
      </c>
      <c r="C1167" s="251">
        <v>31594537000150</v>
      </c>
      <c r="D1167" s="252" t="s">
        <v>13</v>
      </c>
      <c r="E1167" s="252" t="s">
        <v>616</v>
      </c>
      <c r="F1167" s="252" t="s">
        <v>617</v>
      </c>
      <c r="G1167" s="253" t="s">
        <v>34</v>
      </c>
      <c r="H1167" s="253" t="s">
        <v>1338</v>
      </c>
      <c r="I1167" s="253" t="s">
        <v>34</v>
      </c>
      <c r="J1167" s="253" t="s">
        <v>608</v>
      </c>
      <c r="K1167" s="253" t="s">
        <v>48</v>
      </c>
      <c r="L1167" s="655"/>
      <c r="M1167" s="655" t="s">
        <v>34</v>
      </c>
      <c r="N1167" s="253" t="s">
        <v>3787</v>
      </c>
      <c r="O1167" s="253" t="s">
        <v>1321</v>
      </c>
      <c r="P1167" s="656">
        <v>43351</v>
      </c>
      <c r="Q1167" s="657">
        <v>459.72078245</v>
      </c>
      <c r="R1167" s="657">
        <v>448.12900844923394</v>
      </c>
      <c r="S1167" s="253">
        <v>31</v>
      </c>
      <c r="T1167" s="658">
        <v>3.1666032910521835E-2</v>
      </c>
      <c r="U1167" s="659">
        <v>1.5834299054361785</v>
      </c>
      <c r="V1167" s="658">
        <v>4.7296255478369575E-2</v>
      </c>
      <c r="W1167" s="659">
        <v>0.36679712660556063</v>
      </c>
      <c r="X1167" s="658">
        <v>0.11191705972839916</v>
      </c>
      <c r="Y1167" s="659">
        <v>0.57961762150174945</v>
      </c>
      <c r="Z1167" s="658">
        <v>0.17791772073690892</v>
      </c>
      <c r="AA1167" s="659">
        <v>0.80334779503483689</v>
      </c>
      <c r="AB1167" s="658">
        <v>7.7651097249672521E-2</v>
      </c>
      <c r="AC1167" s="660">
        <v>-1.0514681293671366</v>
      </c>
      <c r="AD1167" s="682">
        <v>41054588000143</v>
      </c>
      <c r="AE1167" s="944" t="s">
        <v>1972</v>
      </c>
      <c r="AF1167" s="661" t="s">
        <v>1729</v>
      </c>
      <c r="AG1167" s="662" t="s">
        <v>1433</v>
      </c>
      <c r="AH1167" s="662" t="s">
        <v>1734</v>
      </c>
      <c r="AI1167" s="662">
        <v>500</v>
      </c>
      <c r="AJ1167" s="662">
        <v>100</v>
      </c>
      <c r="AK1167" s="662">
        <v>500</v>
      </c>
      <c r="AL1167" s="658">
        <v>2.5000000000000001E-2</v>
      </c>
      <c r="AM1167" s="658">
        <v>0.2</v>
      </c>
      <c r="AN1167" s="659" t="s">
        <v>2127</v>
      </c>
      <c r="AO1167" s="253" t="s">
        <v>34</v>
      </c>
      <c r="AP1167" s="944" t="s">
        <v>1746</v>
      </c>
      <c r="AQ1167" s="663" t="s">
        <v>668</v>
      </c>
      <c r="AR1167" s="658">
        <v>5.0673000000000003E-3</v>
      </c>
      <c r="AS1167" s="658">
        <v>5.0673000000000003E-3</v>
      </c>
      <c r="AT1167" s="658" t="s">
        <v>1417</v>
      </c>
      <c r="AU1167" s="658" t="s">
        <v>2751</v>
      </c>
      <c r="AX1167"/>
      <c r="AY1167"/>
      <c r="BA1167"/>
      <c r="BB1167"/>
      <c r="BC1167"/>
      <c r="BD1167"/>
      <c r="BE1167"/>
      <c r="BF1167"/>
      <c r="BG1167"/>
      <c r="BH1167"/>
      <c r="BI1167"/>
      <c r="BJ1167"/>
      <c r="BR1167"/>
      <c r="BS1167"/>
      <c r="BT1167"/>
      <c r="BU1167"/>
      <c r="BX1167"/>
      <c r="BY1167"/>
      <c r="CA1167"/>
    </row>
    <row r="1168" spans="2:79" ht="18.75">
      <c r="B1168" s="252" t="s">
        <v>1122</v>
      </c>
      <c r="C1168" s="251">
        <v>32320734000144</v>
      </c>
      <c r="D1168" s="252" t="s">
        <v>14</v>
      </c>
      <c r="E1168" s="252" t="s">
        <v>607</v>
      </c>
      <c r="F1168" s="252" t="s">
        <v>1417</v>
      </c>
      <c r="G1168" s="253" t="s">
        <v>1417</v>
      </c>
      <c r="H1168" s="253" t="s">
        <v>34</v>
      </c>
      <c r="I1168" s="253" t="s">
        <v>34</v>
      </c>
      <c r="J1168" s="253" t="s">
        <v>608</v>
      </c>
      <c r="K1168" s="253" t="s">
        <v>48</v>
      </c>
      <c r="L1168" s="655"/>
      <c r="M1168" s="655" t="s">
        <v>34</v>
      </c>
      <c r="N1168" s="253" t="s">
        <v>3788</v>
      </c>
      <c r="O1168" s="253" t="s">
        <v>1321</v>
      </c>
      <c r="P1168" s="656">
        <v>43642</v>
      </c>
      <c r="Q1168" s="657">
        <v>26.926506199999999</v>
      </c>
      <c r="R1168" s="657">
        <v>36.683698064291519</v>
      </c>
      <c r="S1168" s="253">
        <v>422</v>
      </c>
      <c r="T1168" s="658">
        <v>-1.3889804054549537E-2</v>
      </c>
      <c r="U1168" s="659">
        <v>-0.69454646190664815</v>
      </c>
      <c r="V1168" s="658">
        <v>-0.31675625771190941</v>
      </c>
      <c r="W1168" s="659">
        <v>-2.456542996647904</v>
      </c>
      <c r="X1168" s="658">
        <v>-0.49908507633555554</v>
      </c>
      <c r="Y1168" s="659">
        <v>-2.5847579053153842</v>
      </c>
      <c r="Z1168" s="658">
        <v>-0.50573701977850316</v>
      </c>
      <c r="AA1168" s="659">
        <v>-2.2835427411265568</v>
      </c>
      <c r="AB1168" s="658">
        <v>0.36829610968340565</v>
      </c>
      <c r="AC1168" s="660">
        <v>-1.2101680018880192</v>
      </c>
      <c r="AD1168" s="682">
        <v>20030712000160</v>
      </c>
      <c r="AE1168" s="944" t="s">
        <v>1992</v>
      </c>
      <c r="AF1168" s="661" t="s">
        <v>1767</v>
      </c>
      <c r="AG1168" s="662" t="s">
        <v>59</v>
      </c>
      <c r="AH1168" s="662" t="s">
        <v>1730</v>
      </c>
      <c r="AI1168" s="662">
        <v>100000</v>
      </c>
      <c r="AJ1168" s="662">
        <v>0</v>
      </c>
      <c r="AK1168" s="662">
        <v>0</v>
      </c>
      <c r="AL1168" s="658">
        <v>0</v>
      </c>
      <c r="AM1168" s="658">
        <v>0</v>
      </c>
      <c r="AN1168" s="659" t="s">
        <v>2141</v>
      </c>
      <c r="AO1168" s="253" t="s">
        <v>34</v>
      </c>
      <c r="AP1168" s="944" t="s">
        <v>1731</v>
      </c>
      <c r="AQ1168" s="663" t="s">
        <v>659</v>
      </c>
      <c r="AR1168" s="658">
        <v>5.3333333333333297E-3</v>
      </c>
      <c r="AS1168" s="658">
        <v>5.3333333333333297E-3</v>
      </c>
      <c r="AT1168" s="658" t="s">
        <v>1417</v>
      </c>
      <c r="AU1168" s="658" t="s">
        <v>2751</v>
      </c>
      <c r="AX1168"/>
      <c r="AY1168"/>
      <c r="BA1168"/>
      <c r="BB1168"/>
      <c r="BC1168"/>
      <c r="BD1168"/>
      <c r="BE1168"/>
      <c r="BF1168"/>
      <c r="BG1168"/>
      <c r="BH1168"/>
      <c r="BI1168"/>
      <c r="BJ1168"/>
      <c r="BR1168"/>
      <c r="BS1168"/>
      <c r="BT1168"/>
      <c r="BU1168"/>
      <c r="BX1168"/>
      <c r="BY1168"/>
      <c r="CA1168"/>
    </row>
    <row r="1169" spans="2:79" ht="18.75">
      <c r="B1169" s="252" t="s">
        <v>332</v>
      </c>
      <c r="C1169" s="251">
        <v>1745808000160</v>
      </c>
      <c r="D1169" s="252" t="s">
        <v>14</v>
      </c>
      <c r="E1169" s="252" t="s">
        <v>607</v>
      </c>
      <c r="F1169" s="252" t="s">
        <v>1417</v>
      </c>
      <c r="G1169" s="253" t="s">
        <v>1417</v>
      </c>
      <c r="H1169" s="253" t="s">
        <v>34</v>
      </c>
      <c r="I1169" s="253" t="s">
        <v>34</v>
      </c>
      <c r="J1169" s="253" t="s">
        <v>608</v>
      </c>
      <c r="K1169" s="253" t="s">
        <v>48</v>
      </c>
      <c r="L1169" s="655"/>
      <c r="M1169" s="655" t="s">
        <v>34</v>
      </c>
      <c r="N1169" s="253" t="s">
        <v>3789</v>
      </c>
      <c r="O1169" s="253" t="s">
        <v>1321</v>
      </c>
      <c r="P1169" s="656">
        <v>35495</v>
      </c>
      <c r="Q1169" s="657">
        <v>120.07229599999999</v>
      </c>
      <c r="R1169" s="657">
        <v>145.67293243319835</v>
      </c>
      <c r="S1169" s="253">
        <v>32</v>
      </c>
      <c r="T1169" s="658">
        <v>-4.8393594815610674E-2</v>
      </c>
      <c r="U1169" s="659">
        <v>-2.4198757539071973</v>
      </c>
      <c r="V1169" s="658">
        <v>-0.14928146383238516</v>
      </c>
      <c r="W1169" s="659">
        <v>-1.1577240404207658</v>
      </c>
      <c r="X1169" s="658">
        <v>-0.19462209888883741</v>
      </c>
      <c r="Y1169" s="659">
        <v>-1.0079464053414673</v>
      </c>
      <c r="Z1169" s="658">
        <v>-0.13779737386428026</v>
      </c>
      <c r="AA1169" s="659">
        <v>-0.62219331496020069</v>
      </c>
      <c r="AB1169" s="658">
        <v>0.26169657949382347</v>
      </c>
      <c r="AC1169" s="660">
        <v>-1.0631601445357834</v>
      </c>
      <c r="AD1169" s="682">
        <v>0</v>
      </c>
      <c r="AE1169" s="944" t="s">
        <v>1751</v>
      </c>
      <c r="AF1169" s="661" t="s">
        <v>1745</v>
      </c>
      <c r="AG1169" s="662" t="s">
        <v>1432</v>
      </c>
      <c r="AH1169" s="662" t="s">
        <v>1734</v>
      </c>
      <c r="AI1169" s="662">
        <v>20000</v>
      </c>
      <c r="AJ1169" s="662">
        <v>5000</v>
      </c>
      <c r="AK1169" s="662">
        <v>5000</v>
      </c>
      <c r="AL1169" s="658">
        <v>0.02</v>
      </c>
      <c r="AM1169" s="658">
        <v>0.15</v>
      </c>
      <c r="AN1169" s="659" t="s">
        <v>2122</v>
      </c>
      <c r="AO1169" s="253" t="s">
        <v>34</v>
      </c>
      <c r="AP1169" s="944" t="s">
        <v>1731</v>
      </c>
      <c r="AQ1169" s="663" t="s">
        <v>659</v>
      </c>
      <c r="AR1169" s="658">
        <v>5.3333334000000001E-3</v>
      </c>
      <c r="AS1169" s="658">
        <v>5.3333334000000001E-3</v>
      </c>
      <c r="AT1169" s="658" t="s">
        <v>1417</v>
      </c>
      <c r="AU1169" s="658" t="s">
        <v>2751</v>
      </c>
      <c r="AX1169"/>
      <c r="AY1169"/>
      <c r="BA1169"/>
      <c r="BB1169"/>
      <c r="BC1169"/>
      <c r="BD1169"/>
      <c r="BE1169"/>
      <c r="BF1169"/>
      <c r="BG1169"/>
      <c r="BH1169"/>
      <c r="BI1169"/>
      <c r="BJ1169"/>
      <c r="BR1169"/>
      <c r="BS1169"/>
      <c r="BT1169"/>
      <c r="BU1169"/>
      <c r="BX1169"/>
      <c r="BY1169"/>
      <c r="CA1169"/>
    </row>
    <row r="1170" spans="2:79" ht="18.75">
      <c r="B1170" s="252" t="s">
        <v>333</v>
      </c>
      <c r="C1170" s="251">
        <v>9068336000160</v>
      </c>
      <c r="D1170" s="252" t="s">
        <v>13</v>
      </c>
      <c r="E1170" s="252" t="s">
        <v>616</v>
      </c>
      <c r="F1170" s="252" t="s">
        <v>617</v>
      </c>
      <c r="G1170" s="253" t="s">
        <v>34</v>
      </c>
      <c r="H1170" s="253" t="s">
        <v>1338</v>
      </c>
      <c r="I1170" s="253" t="s">
        <v>34</v>
      </c>
      <c r="J1170" s="253" t="s">
        <v>608</v>
      </c>
      <c r="K1170" s="253" t="s">
        <v>48</v>
      </c>
      <c r="L1170" s="655"/>
      <c r="M1170" s="655" t="s">
        <v>34</v>
      </c>
      <c r="N1170" s="253" t="s">
        <v>3790</v>
      </c>
      <c r="O1170" s="253" t="s">
        <v>1321</v>
      </c>
      <c r="P1170" s="656">
        <v>39372</v>
      </c>
      <c r="Q1170" s="657">
        <v>0</v>
      </c>
      <c r="R1170" s="657">
        <v>26.670700248780495</v>
      </c>
      <c r="S1170" s="253">
        <v>16</v>
      </c>
      <c r="T1170" s="658"/>
      <c r="U1170" s="659"/>
      <c r="V1170" s="658">
        <v>9.3242761436416188E-2</v>
      </c>
      <c r="W1170" s="659">
        <v>0.72312652715787973</v>
      </c>
      <c r="X1170" s="658">
        <v>-6.0223637882038772E-2</v>
      </c>
      <c r="Y1170" s="659">
        <v>-0.31189777351265008</v>
      </c>
      <c r="Z1170" s="658">
        <v>-0.17778840211653335</v>
      </c>
      <c r="AA1170" s="659">
        <v>-0.80276388564062151</v>
      </c>
      <c r="AB1170" s="658">
        <v>8.2851303102668472E-2</v>
      </c>
      <c r="AC1170" s="660">
        <v>-0.43090629445057338</v>
      </c>
      <c r="AD1170" s="682">
        <v>11952800000129</v>
      </c>
      <c r="AE1170" s="944" t="s">
        <v>1792</v>
      </c>
      <c r="AF1170" s="661" t="s">
        <v>1769</v>
      </c>
      <c r="AG1170" s="662" t="s">
        <v>719</v>
      </c>
      <c r="AH1170" s="662" t="s">
        <v>1734</v>
      </c>
      <c r="AI1170" s="662">
        <v>5000</v>
      </c>
      <c r="AJ1170" s="662">
        <v>1000</v>
      </c>
      <c r="AK1170" s="662">
        <v>1000</v>
      </c>
      <c r="AL1170" s="658">
        <v>1.3500000000000002E-2</v>
      </c>
      <c r="AM1170" s="658">
        <v>0.2</v>
      </c>
      <c r="AN1170" s="659" t="s">
        <v>666</v>
      </c>
      <c r="AO1170" s="253" t="s">
        <v>34</v>
      </c>
      <c r="AP1170" s="944" t="s">
        <v>1746</v>
      </c>
      <c r="AQ1170" s="663" t="s">
        <v>668</v>
      </c>
      <c r="AR1170" s="658">
        <v>4.0499999999999998E-3</v>
      </c>
      <c r="AS1170" s="658">
        <v>4.0499999999999998E-3</v>
      </c>
      <c r="AT1170" s="658" t="s">
        <v>1417</v>
      </c>
      <c r="AU1170" s="658" t="s">
        <v>2751</v>
      </c>
      <c r="AX1170"/>
      <c r="AY1170"/>
      <c r="BA1170"/>
      <c r="BB1170"/>
      <c r="BC1170"/>
      <c r="BD1170"/>
      <c r="BE1170"/>
      <c r="BF1170"/>
      <c r="BG1170"/>
      <c r="BH1170"/>
      <c r="BI1170"/>
      <c r="BJ1170"/>
      <c r="BR1170"/>
      <c r="BS1170"/>
      <c r="BT1170"/>
      <c r="BU1170"/>
      <c r="BX1170"/>
      <c r="BY1170"/>
      <c r="CA1170"/>
    </row>
    <row r="1171" spans="2:79" ht="18.75">
      <c r="B1171" s="252" t="s">
        <v>334</v>
      </c>
      <c r="C1171" s="251">
        <v>9401978000130</v>
      </c>
      <c r="D1171" s="252" t="s">
        <v>14</v>
      </c>
      <c r="E1171" s="252" t="s">
        <v>607</v>
      </c>
      <c r="F1171" s="252" t="s">
        <v>1417</v>
      </c>
      <c r="G1171" s="253" t="s">
        <v>1417</v>
      </c>
      <c r="H1171" s="253" t="s">
        <v>34</v>
      </c>
      <c r="I1171" s="253" t="s">
        <v>34</v>
      </c>
      <c r="J1171" s="253" t="s">
        <v>608</v>
      </c>
      <c r="K1171" s="253" t="s">
        <v>48</v>
      </c>
      <c r="L1171" s="655"/>
      <c r="M1171" s="655" t="s">
        <v>34</v>
      </c>
      <c r="N1171" s="253" t="s">
        <v>3791</v>
      </c>
      <c r="O1171" s="253" t="s">
        <v>1321</v>
      </c>
      <c r="P1171" s="656">
        <v>39589</v>
      </c>
      <c r="Q1171" s="657">
        <v>49.957293</v>
      </c>
      <c r="R1171" s="657">
        <v>45.966884032520319</v>
      </c>
      <c r="S1171" s="253">
        <v>33</v>
      </c>
      <c r="T1171" s="658">
        <v>-5.6616930887990691E-2</v>
      </c>
      <c r="U1171" s="659">
        <v>-2.8310758652773846</v>
      </c>
      <c r="V1171" s="658">
        <v>-9.0780084900297764E-2</v>
      </c>
      <c r="W1171" s="659">
        <v>-0.70402770700666739</v>
      </c>
      <c r="X1171" s="658">
        <v>-0.23903475339771074</v>
      </c>
      <c r="Y1171" s="659">
        <v>-1.2379592133394952</v>
      </c>
      <c r="Z1171" s="658">
        <v>-0.3358102174424018</v>
      </c>
      <c r="AA1171" s="659">
        <v>-1.5162761562769869</v>
      </c>
      <c r="AB1171" s="658">
        <v>0.20275344684541843</v>
      </c>
      <c r="AC1171" s="660">
        <v>-1.0837004142997688</v>
      </c>
      <c r="AD1171" s="682">
        <v>46171852000142</v>
      </c>
      <c r="AE1171" s="944" t="s">
        <v>1792</v>
      </c>
      <c r="AF1171" s="661" t="s">
        <v>1769</v>
      </c>
      <c r="AG1171" s="662" t="s">
        <v>719</v>
      </c>
      <c r="AH1171" s="662" t="s">
        <v>1730</v>
      </c>
      <c r="AI1171" s="662">
        <v>5000</v>
      </c>
      <c r="AJ1171" s="662">
        <v>5000</v>
      </c>
      <c r="AK1171" s="662">
        <v>5000</v>
      </c>
      <c r="AL1171" s="658">
        <v>1.8500000000000003E-2</v>
      </c>
      <c r="AM1171" s="658">
        <v>0.2</v>
      </c>
      <c r="AN1171" s="659" t="s">
        <v>2122</v>
      </c>
      <c r="AO1171" s="253" t="s">
        <v>34</v>
      </c>
      <c r="AP1171" s="944" t="s">
        <v>1731</v>
      </c>
      <c r="AQ1171" s="663" t="s">
        <v>659</v>
      </c>
      <c r="AR1171" s="658">
        <v>4.4400000000000004E-3</v>
      </c>
      <c r="AS1171" s="658">
        <v>4.4400000000000004E-3</v>
      </c>
      <c r="AT1171" s="658" t="s">
        <v>1417</v>
      </c>
      <c r="AU1171" s="658" t="s">
        <v>2751</v>
      </c>
      <c r="AX1171"/>
      <c r="AY1171"/>
      <c r="BA1171"/>
      <c r="BB1171"/>
      <c r="BC1171"/>
      <c r="BD1171"/>
      <c r="BE1171"/>
      <c r="BF1171"/>
      <c r="BG1171"/>
      <c r="BH1171"/>
      <c r="BI1171"/>
      <c r="BJ1171"/>
      <c r="BR1171"/>
      <c r="BS1171"/>
      <c r="BT1171"/>
      <c r="BU1171"/>
      <c r="BX1171"/>
      <c r="BY1171"/>
      <c r="CA1171"/>
    </row>
    <row r="1172" spans="2:79" ht="18.75">
      <c r="B1172" s="252" t="s">
        <v>335</v>
      </c>
      <c r="C1172" s="251">
        <v>10608762000129</v>
      </c>
      <c r="D1172" s="252" t="s">
        <v>14</v>
      </c>
      <c r="E1172" s="252" t="s">
        <v>607</v>
      </c>
      <c r="F1172" s="252" t="s">
        <v>1417</v>
      </c>
      <c r="G1172" s="253" t="s">
        <v>1417</v>
      </c>
      <c r="H1172" s="253" t="s">
        <v>34</v>
      </c>
      <c r="I1172" s="253" t="s">
        <v>34</v>
      </c>
      <c r="J1172" s="253" t="s">
        <v>608</v>
      </c>
      <c r="K1172" s="253" t="s">
        <v>48</v>
      </c>
      <c r="L1172" s="655"/>
      <c r="M1172" s="655" t="s">
        <v>34</v>
      </c>
      <c r="N1172" s="253" t="s">
        <v>3792</v>
      </c>
      <c r="O1172" s="253" t="s">
        <v>1321</v>
      </c>
      <c r="P1172" s="656">
        <v>39954</v>
      </c>
      <c r="Q1172" s="657">
        <v>166.27139500000001</v>
      </c>
      <c r="R1172" s="657">
        <v>170.69312832926818</v>
      </c>
      <c r="S1172" s="253">
        <v>32</v>
      </c>
      <c r="T1172" s="658">
        <v>-5.2176860366265898E-2</v>
      </c>
      <c r="U1172" s="659">
        <v>-2.6090543551560907</v>
      </c>
      <c r="V1172" s="658">
        <v>-9.2928839676275632E-2</v>
      </c>
      <c r="W1172" s="659">
        <v>-0.72069196656880363</v>
      </c>
      <c r="X1172" s="658">
        <v>-0.24060086315334062</v>
      </c>
      <c r="Y1172" s="659">
        <v>-1.246070084137672</v>
      </c>
      <c r="Z1172" s="658">
        <v>-0.33135951784422213</v>
      </c>
      <c r="AA1172" s="659">
        <v>-1.4961800146798989</v>
      </c>
      <c r="AB1172" s="658">
        <v>0.2043760435614326</v>
      </c>
      <c r="AC1172" s="660">
        <v>-1.085610354602897</v>
      </c>
      <c r="AD1172" s="682">
        <v>11952800000129</v>
      </c>
      <c r="AE1172" s="944" t="s">
        <v>1792</v>
      </c>
      <c r="AF1172" s="661" t="s">
        <v>1769</v>
      </c>
      <c r="AG1172" s="662" t="s">
        <v>719</v>
      </c>
      <c r="AH1172" s="662" t="s">
        <v>1734</v>
      </c>
      <c r="AI1172" s="662">
        <v>5000</v>
      </c>
      <c r="AJ1172" s="662">
        <v>1000</v>
      </c>
      <c r="AK1172" s="662">
        <v>1000</v>
      </c>
      <c r="AL1172" s="658">
        <v>1.8500000000000003E-2</v>
      </c>
      <c r="AM1172" s="658">
        <v>0.2</v>
      </c>
      <c r="AN1172" s="659" t="s">
        <v>666</v>
      </c>
      <c r="AO1172" s="253" t="s">
        <v>34</v>
      </c>
      <c r="AP1172" s="944" t="s">
        <v>1731</v>
      </c>
      <c r="AQ1172" s="663" t="s">
        <v>659</v>
      </c>
      <c r="AR1172" s="658">
        <v>4.4400000000000004E-3</v>
      </c>
      <c r="AS1172" s="658">
        <v>4.4400000000000004E-3</v>
      </c>
      <c r="AT1172" s="658" t="s">
        <v>1417</v>
      </c>
      <c r="AU1172" s="658" t="s">
        <v>2751</v>
      </c>
      <c r="AX1172"/>
      <c r="AY1172"/>
      <c r="BA1172"/>
      <c r="BB1172"/>
      <c r="BC1172"/>
      <c r="BD1172"/>
      <c r="BE1172"/>
      <c r="BF1172"/>
      <c r="BG1172"/>
      <c r="BH1172"/>
      <c r="BI1172"/>
      <c r="BJ1172"/>
      <c r="BR1172"/>
      <c r="BS1172"/>
      <c r="BT1172"/>
      <c r="BU1172"/>
      <c r="BX1172"/>
      <c r="BY1172"/>
      <c r="CA1172"/>
    </row>
    <row r="1173" spans="2:79" ht="18.75">
      <c r="B1173" s="252" t="s">
        <v>1123</v>
      </c>
      <c r="C1173" s="251">
        <v>13863646000144</v>
      </c>
      <c r="D1173" s="252" t="s">
        <v>13</v>
      </c>
      <c r="E1173" s="252" t="s">
        <v>616</v>
      </c>
      <c r="F1173" s="252" t="s">
        <v>617</v>
      </c>
      <c r="G1173" s="253" t="s">
        <v>34</v>
      </c>
      <c r="H1173" s="253" t="s">
        <v>1338</v>
      </c>
      <c r="I1173" s="253" t="s">
        <v>34</v>
      </c>
      <c r="J1173" s="253" t="s">
        <v>608</v>
      </c>
      <c r="K1173" s="253" t="s">
        <v>48</v>
      </c>
      <c r="L1173" s="655"/>
      <c r="M1173" s="655" t="s">
        <v>34</v>
      </c>
      <c r="N1173" s="253" t="s">
        <v>3793</v>
      </c>
      <c r="O1173" s="253" t="s">
        <v>1321</v>
      </c>
      <c r="P1173" s="656">
        <v>40749</v>
      </c>
      <c r="Q1173" s="657">
        <v>0</v>
      </c>
      <c r="R1173" s="657">
        <v>0</v>
      </c>
      <c r="S1173" s="253">
        <v>16</v>
      </c>
      <c r="T1173" s="658"/>
      <c r="U1173" s="659"/>
      <c r="V1173" s="658"/>
      <c r="W1173" s="659"/>
      <c r="X1173" s="658"/>
      <c r="Y1173" s="659"/>
      <c r="Z1173" s="658"/>
      <c r="AA1173" s="659"/>
      <c r="AB1173" s="658"/>
      <c r="AC1173" s="660"/>
      <c r="AD1173" s="682">
        <v>46171852000142</v>
      </c>
      <c r="AE1173" s="944" t="s">
        <v>1792</v>
      </c>
      <c r="AF1173" s="661" t="s">
        <v>1769</v>
      </c>
      <c r="AG1173" s="662" t="s">
        <v>719</v>
      </c>
      <c r="AH1173" s="662" t="s">
        <v>1730</v>
      </c>
      <c r="AI1173" s="662">
        <v>5000</v>
      </c>
      <c r="AJ1173" s="662">
        <v>5000</v>
      </c>
      <c r="AK1173" s="662">
        <v>5000</v>
      </c>
      <c r="AL1173" s="658">
        <v>1.3999999999999999E-2</v>
      </c>
      <c r="AM1173" s="658">
        <v>0.2</v>
      </c>
      <c r="AN1173" s="659" t="s">
        <v>2122</v>
      </c>
      <c r="AO1173" s="253" t="s">
        <v>34</v>
      </c>
      <c r="AP1173" s="944" t="s">
        <v>1731</v>
      </c>
      <c r="AQ1173" s="663" t="s">
        <v>659</v>
      </c>
      <c r="AR1173" s="658">
        <v>4.1999999999999997E-3</v>
      </c>
      <c r="AS1173" s="658">
        <v>4.1999999999999997E-3</v>
      </c>
      <c r="AT1173" s="658" t="s">
        <v>1417</v>
      </c>
      <c r="AU1173" s="658" t="s">
        <v>2751</v>
      </c>
      <c r="AX1173"/>
      <c r="AY1173"/>
      <c r="BA1173"/>
      <c r="BB1173"/>
      <c r="BC1173"/>
      <c r="BD1173"/>
      <c r="BE1173"/>
      <c r="BF1173"/>
      <c r="BG1173"/>
      <c r="BH1173"/>
      <c r="BI1173"/>
      <c r="BJ1173"/>
      <c r="BR1173"/>
      <c r="BS1173"/>
      <c r="BT1173"/>
      <c r="BU1173"/>
      <c r="BX1173"/>
      <c r="BY1173"/>
      <c r="CA1173"/>
    </row>
    <row r="1174" spans="2:79" ht="18.75">
      <c r="B1174" s="252" t="s">
        <v>1302</v>
      </c>
      <c r="C1174" s="251">
        <v>40226121000170</v>
      </c>
      <c r="D1174" s="252" t="s">
        <v>14</v>
      </c>
      <c r="E1174" s="252" t="s">
        <v>607</v>
      </c>
      <c r="F1174" s="252" t="s">
        <v>1417</v>
      </c>
      <c r="G1174" s="253" t="s">
        <v>1417</v>
      </c>
      <c r="H1174" s="253" t="s">
        <v>34</v>
      </c>
      <c r="I1174" s="253" t="s">
        <v>34</v>
      </c>
      <c r="J1174" s="253" t="s">
        <v>608</v>
      </c>
      <c r="K1174" s="253" t="s">
        <v>48</v>
      </c>
      <c r="L1174" s="655"/>
      <c r="M1174" s="655" t="s">
        <v>34</v>
      </c>
      <c r="N1174" s="253" t="s">
        <v>3794</v>
      </c>
      <c r="O1174" s="253" t="s">
        <v>1321</v>
      </c>
      <c r="P1174" s="656">
        <v>44712</v>
      </c>
      <c r="Q1174" s="657"/>
      <c r="R1174" s="657"/>
      <c r="S1174" s="253">
        <v>32</v>
      </c>
      <c r="T1174" s="658"/>
      <c r="U1174" s="659"/>
      <c r="V1174" s="658"/>
      <c r="W1174" s="659"/>
      <c r="X1174" s="658"/>
      <c r="Y1174" s="659"/>
      <c r="Z1174" s="658"/>
      <c r="AA1174" s="659"/>
      <c r="AB1174" s="658"/>
      <c r="AC1174" s="660"/>
      <c r="AD1174" s="682">
        <v>39344972000139</v>
      </c>
      <c r="AE1174" s="944" t="s">
        <v>1792</v>
      </c>
      <c r="AF1174" s="661" t="s">
        <v>1769</v>
      </c>
      <c r="AG1174" s="662" t="s">
        <v>719</v>
      </c>
      <c r="AH1174" s="662" t="s">
        <v>1730</v>
      </c>
      <c r="AI1174" s="662">
        <v>5000</v>
      </c>
      <c r="AJ1174" s="662">
        <v>1000</v>
      </c>
      <c r="AK1174" s="662">
        <v>1000</v>
      </c>
      <c r="AL1174" s="658">
        <v>1.3500000000000002E-2</v>
      </c>
      <c r="AM1174" s="658">
        <v>0.2</v>
      </c>
      <c r="AN1174" s="659" t="s">
        <v>4715</v>
      </c>
      <c r="AO1174" s="253" t="s">
        <v>34</v>
      </c>
      <c r="AP1174" s="944" t="s">
        <v>1746</v>
      </c>
      <c r="AQ1174" s="663" t="s">
        <v>668</v>
      </c>
      <c r="AR1174" s="658">
        <v>4.31666666666667E-3</v>
      </c>
      <c r="AS1174" s="658">
        <v>4.31666666666667E-3</v>
      </c>
      <c r="AT1174" s="658" t="s">
        <v>1417</v>
      </c>
      <c r="AU1174" s="658" t="s">
        <v>2751</v>
      </c>
      <c r="AX1174"/>
      <c r="AY1174"/>
      <c r="BA1174"/>
      <c r="BB1174"/>
      <c r="BC1174"/>
      <c r="BD1174"/>
      <c r="BE1174"/>
      <c r="BF1174"/>
      <c r="BG1174"/>
      <c r="BH1174"/>
      <c r="BI1174"/>
      <c r="BJ1174"/>
      <c r="BR1174"/>
      <c r="BS1174"/>
      <c r="BT1174"/>
      <c r="BU1174"/>
      <c r="BX1174"/>
      <c r="BY1174"/>
      <c r="CA1174"/>
    </row>
    <row r="1175" spans="2:79" ht="18.75">
      <c r="B1175" s="252" t="s">
        <v>564</v>
      </c>
      <c r="C1175" s="251">
        <v>39703177000190</v>
      </c>
      <c r="D1175" s="252" t="s">
        <v>14</v>
      </c>
      <c r="E1175" s="252" t="s">
        <v>607</v>
      </c>
      <c r="F1175" s="252" t="s">
        <v>1417</v>
      </c>
      <c r="G1175" s="253" t="s">
        <v>1417</v>
      </c>
      <c r="H1175" s="253" t="s">
        <v>34</v>
      </c>
      <c r="I1175" s="253" t="s">
        <v>34</v>
      </c>
      <c r="J1175" s="253" t="s">
        <v>608</v>
      </c>
      <c r="K1175" s="253" t="s">
        <v>48</v>
      </c>
      <c r="L1175" s="655"/>
      <c r="M1175" s="655" t="s">
        <v>1414</v>
      </c>
      <c r="N1175" s="253" t="s">
        <v>3795</v>
      </c>
      <c r="O1175" s="253" t="s">
        <v>1321</v>
      </c>
      <c r="P1175" s="656">
        <v>44168</v>
      </c>
      <c r="Q1175" s="657">
        <v>54.421489719999997</v>
      </c>
      <c r="R1175" s="657">
        <v>57.190569164320991</v>
      </c>
      <c r="S1175" s="253">
        <v>32</v>
      </c>
      <c r="T1175" s="658">
        <v>-6.2437516198029841E-2</v>
      </c>
      <c r="U1175" s="659">
        <v>-3.1221287064432288</v>
      </c>
      <c r="V1175" s="658">
        <v>5.4186140964537666E-2</v>
      </c>
      <c r="W1175" s="659">
        <v>0.42023032492976192</v>
      </c>
      <c r="X1175" s="658">
        <v>0.12528139088624979</v>
      </c>
      <c r="Y1175" s="659">
        <v>0.64883139335631412</v>
      </c>
      <c r="Z1175" s="658"/>
      <c r="AA1175" s="659"/>
      <c r="AB1175" s="658">
        <v>0.20502904196909194</v>
      </c>
      <c r="AC1175" s="660">
        <v>-0.36462038628420451</v>
      </c>
      <c r="AD1175" s="682">
        <v>39344972000139</v>
      </c>
      <c r="AE1175" s="944" t="s">
        <v>1792</v>
      </c>
      <c r="AF1175" s="661" t="s">
        <v>1769</v>
      </c>
      <c r="AG1175" s="662" t="s">
        <v>719</v>
      </c>
      <c r="AH1175" s="662" t="s">
        <v>1730</v>
      </c>
      <c r="AI1175" s="662">
        <v>5000</v>
      </c>
      <c r="AJ1175" s="662">
        <v>1000</v>
      </c>
      <c r="AK1175" s="662">
        <v>1000</v>
      </c>
      <c r="AL1175" s="658">
        <v>6.9999999999999993E-3</v>
      </c>
      <c r="AM1175" s="658">
        <v>0.1</v>
      </c>
      <c r="AN1175" s="659" t="s">
        <v>2141</v>
      </c>
      <c r="AO1175" s="253" t="s">
        <v>34</v>
      </c>
      <c r="AP1175" s="944" t="s">
        <v>1731</v>
      </c>
      <c r="AQ1175" s="663" t="s">
        <v>659</v>
      </c>
      <c r="AR1175" s="658">
        <v>1.98333333333333E-3</v>
      </c>
      <c r="AS1175" s="658">
        <v>1.98333333333333E-3</v>
      </c>
      <c r="AT1175" s="658" t="s">
        <v>1417</v>
      </c>
      <c r="AU1175" s="658" t="s">
        <v>2751</v>
      </c>
      <c r="AX1175"/>
      <c r="AY1175"/>
      <c r="BA1175"/>
      <c r="BB1175"/>
      <c r="BC1175"/>
      <c r="BD1175"/>
      <c r="BE1175"/>
      <c r="BF1175"/>
      <c r="BG1175"/>
      <c r="BH1175"/>
      <c r="BI1175"/>
      <c r="BJ1175"/>
      <c r="BR1175"/>
      <c r="BS1175"/>
      <c r="BT1175"/>
      <c r="BU1175"/>
      <c r="BX1175"/>
      <c r="BY1175"/>
      <c r="CA1175"/>
    </row>
    <row r="1176" spans="2:79" ht="18.75">
      <c r="B1176" s="252" t="s">
        <v>336</v>
      </c>
      <c r="C1176" s="251">
        <v>31326427000108</v>
      </c>
      <c r="D1176" s="252" t="s">
        <v>13</v>
      </c>
      <c r="E1176" s="252" t="s">
        <v>615</v>
      </c>
      <c r="F1176" s="252" t="s">
        <v>619</v>
      </c>
      <c r="G1176" s="253" t="s">
        <v>34</v>
      </c>
      <c r="H1176" s="253" t="s">
        <v>1337</v>
      </c>
      <c r="I1176" s="253" t="s">
        <v>34</v>
      </c>
      <c r="J1176" s="253" t="s">
        <v>1417</v>
      </c>
      <c r="K1176" s="253" t="s">
        <v>48</v>
      </c>
      <c r="L1176" s="655"/>
      <c r="M1176" s="655" t="s">
        <v>34</v>
      </c>
      <c r="N1176" s="253" t="s">
        <v>3796</v>
      </c>
      <c r="O1176" s="253" t="s">
        <v>1321</v>
      </c>
      <c r="P1176" s="656">
        <v>43397</v>
      </c>
      <c r="Q1176" s="657">
        <v>99.002501670000001</v>
      </c>
      <c r="R1176" s="657">
        <v>108.66116800855418</v>
      </c>
      <c r="S1176" s="253">
        <v>31</v>
      </c>
      <c r="T1176" s="658">
        <v>4.961096365070139E-3</v>
      </c>
      <c r="U1176" s="659">
        <v>0.2480749126485173</v>
      </c>
      <c r="V1176" s="658">
        <v>4.1566568988459895E-2</v>
      </c>
      <c r="W1176" s="659">
        <v>0.32236163124566414</v>
      </c>
      <c r="X1176" s="658">
        <v>1.5255106404996388E-2</v>
      </c>
      <c r="Y1176" s="659">
        <v>7.9006082823103368E-2</v>
      </c>
      <c r="Z1176" s="658">
        <v>3.3330702322706296E-2</v>
      </c>
      <c r="AA1176" s="659">
        <v>0.15049735409719603</v>
      </c>
      <c r="AB1176" s="658">
        <v>3.4802705362174877E-2</v>
      </c>
      <c r="AC1176" s="660">
        <v>-2.5106479381138578</v>
      </c>
      <c r="AD1176" s="682">
        <v>31120430000170</v>
      </c>
      <c r="AE1176" s="944" t="s">
        <v>1967</v>
      </c>
      <c r="AF1176" s="661" t="s">
        <v>1745</v>
      </c>
      <c r="AG1176" s="662" t="s">
        <v>1432</v>
      </c>
      <c r="AH1176" s="662" t="s">
        <v>1734</v>
      </c>
      <c r="AI1176" s="662">
        <v>500</v>
      </c>
      <c r="AJ1176" s="662">
        <v>100</v>
      </c>
      <c r="AK1176" s="662">
        <v>100</v>
      </c>
      <c r="AL1176" s="658">
        <v>1.84E-2</v>
      </c>
      <c r="AM1176" s="658">
        <v>0.2</v>
      </c>
      <c r="AN1176" s="659" t="s">
        <v>34</v>
      </c>
      <c r="AO1176" s="253" t="s">
        <v>34</v>
      </c>
      <c r="AP1176" s="944" t="s">
        <v>1746</v>
      </c>
      <c r="AQ1176" s="663" t="s">
        <v>664</v>
      </c>
      <c r="AR1176" s="658">
        <v>4.9680000000000002E-3</v>
      </c>
      <c r="AS1176" s="658">
        <v>4.9680000000000002E-3</v>
      </c>
      <c r="AT1176" s="658" t="s">
        <v>1417</v>
      </c>
      <c r="AU1176" s="658" t="s">
        <v>2751</v>
      </c>
      <c r="AX1176"/>
      <c r="AY1176"/>
      <c r="BA1176"/>
      <c r="BB1176"/>
      <c r="BC1176"/>
      <c r="BD1176"/>
      <c r="BE1176"/>
      <c r="BF1176"/>
      <c r="BG1176"/>
      <c r="BH1176"/>
      <c r="BI1176"/>
      <c r="BJ1176"/>
      <c r="BR1176"/>
      <c r="BS1176"/>
      <c r="BT1176"/>
      <c r="BU1176"/>
      <c r="BX1176"/>
      <c r="BY1176"/>
      <c r="CA1176"/>
    </row>
    <row r="1177" spans="2:79" ht="18.75">
      <c r="B1177" s="252" t="s">
        <v>1124</v>
      </c>
      <c r="C1177" s="251">
        <v>44417598000194</v>
      </c>
      <c r="D1177" s="252" t="s">
        <v>14</v>
      </c>
      <c r="E1177" s="252" t="s">
        <v>614</v>
      </c>
      <c r="F1177" s="252" t="s">
        <v>1417</v>
      </c>
      <c r="G1177" s="253" t="s">
        <v>1417</v>
      </c>
      <c r="H1177" s="253" t="s">
        <v>1338</v>
      </c>
      <c r="I1177" s="253" t="s">
        <v>34</v>
      </c>
      <c r="J1177" s="253" t="s">
        <v>608</v>
      </c>
      <c r="K1177" s="253" t="s">
        <v>48</v>
      </c>
      <c r="L1177" s="655"/>
      <c r="M1177" s="655" t="s">
        <v>34</v>
      </c>
      <c r="N1177" s="253" t="s">
        <v>3797</v>
      </c>
      <c r="O1177" s="253" t="s">
        <v>1321</v>
      </c>
      <c r="P1177" s="656">
        <v>44617</v>
      </c>
      <c r="Q1177" s="657"/>
      <c r="R1177" s="657"/>
      <c r="S1177" s="253">
        <v>32</v>
      </c>
      <c r="T1177" s="658"/>
      <c r="U1177" s="659"/>
      <c r="V1177" s="658"/>
      <c r="W1177" s="659"/>
      <c r="X1177" s="658"/>
      <c r="Y1177" s="659"/>
      <c r="Z1177" s="658"/>
      <c r="AA1177" s="659"/>
      <c r="AB1177" s="658"/>
      <c r="AC1177" s="660"/>
      <c r="AD1177" s="682">
        <v>44967401000190</v>
      </c>
      <c r="AE1177" s="944" t="s">
        <v>1967</v>
      </c>
      <c r="AF1177" s="661" t="s">
        <v>1745</v>
      </c>
      <c r="AG1177" s="662" t="s">
        <v>1432</v>
      </c>
      <c r="AH1177" s="662" t="s">
        <v>1734</v>
      </c>
      <c r="AI1177" s="662">
        <v>100</v>
      </c>
      <c r="AJ1177" s="662">
        <v>50</v>
      </c>
      <c r="AK1177" s="662">
        <v>100</v>
      </c>
      <c r="AL1177" s="658">
        <v>1.84E-2</v>
      </c>
      <c r="AM1177" s="658">
        <v>0.2</v>
      </c>
      <c r="AN1177" s="659" t="s">
        <v>2127</v>
      </c>
      <c r="AO1177" s="253" t="s">
        <v>34</v>
      </c>
      <c r="AP1177" s="944" t="s">
        <v>1746</v>
      </c>
      <c r="AQ1177" s="663" t="s">
        <v>668</v>
      </c>
      <c r="AR1177" s="658">
        <v>4.9680000000000002E-3</v>
      </c>
      <c r="AS1177" s="658">
        <v>4.9680000000000002E-3</v>
      </c>
      <c r="AT1177" s="658" t="s">
        <v>1417</v>
      </c>
      <c r="AU1177" s="658" t="s">
        <v>2751</v>
      </c>
      <c r="AX1177"/>
      <c r="AY1177"/>
      <c r="BA1177"/>
      <c r="BB1177"/>
      <c r="BC1177"/>
      <c r="BD1177"/>
      <c r="BE1177"/>
      <c r="BF1177"/>
      <c r="BG1177"/>
      <c r="BH1177"/>
      <c r="BI1177"/>
      <c r="BJ1177"/>
      <c r="BR1177"/>
      <c r="BS1177"/>
      <c r="BT1177"/>
      <c r="BU1177"/>
      <c r="BX1177"/>
      <c r="BY1177"/>
      <c r="CA1177"/>
    </row>
    <row r="1178" spans="2:79" ht="18.75">
      <c r="B1178" s="252" t="s">
        <v>1125</v>
      </c>
      <c r="C1178" s="251">
        <v>38048878000170</v>
      </c>
      <c r="D1178" s="252" t="s">
        <v>14</v>
      </c>
      <c r="E1178" s="252" t="s">
        <v>607</v>
      </c>
      <c r="F1178" s="252" t="s">
        <v>1417</v>
      </c>
      <c r="G1178" s="253" t="s">
        <v>1417</v>
      </c>
      <c r="H1178" s="253" t="s">
        <v>34</v>
      </c>
      <c r="I1178" s="253" t="s">
        <v>34</v>
      </c>
      <c r="J1178" s="253" t="s">
        <v>611</v>
      </c>
      <c r="K1178" s="253" t="s">
        <v>1417</v>
      </c>
      <c r="L1178" s="655"/>
      <c r="M1178" s="655" t="s">
        <v>34</v>
      </c>
      <c r="N1178" s="253" t="s">
        <v>3798</v>
      </c>
      <c r="O1178" s="253" t="s">
        <v>1321</v>
      </c>
      <c r="P1178" s="656">
        <v>44063</v>
      </c>
      <c r="Q1178" s="657">
        <v>31.34123568</v>
      </c>
      <c r="R1178" s="657">
        <v>38.916982666064257</v>
      </c>
      <c r="S1178" s="253">
        <v>3</v>
      </c>
      <c r="T1178" s="658">
        <v>9.5514250670758472E-3</v>
      </c>
      <c r="U1178" s="659">
        <v>0.47760994038869076</v>
      </c>
      <c r="V1178" s="658">
        <v>-7.7770296978488807E-3</v>
      </c>
      <c r="W1178" s="659">
        <v>-6.0313276766734369E-2</v>
      </c>
      <c r="X1178" s="658">
        <v>-4.2294132329387502E-2</v>
      </c>
      <c r="Y1178" s="659">
        <v>-0.21904099735761062</v>
      </c>
      <c r="Z1178" s="658"/>
      <c r="AA1178" s="659"/>
      <c r="AB1178" s="658">
        <v>0.30731892486750817</v>
      </c>
      <c r="AC1178" s="660">
        <v>-0.44488291504853006</v>
      </c>
      <c r="AD1178" s="682">
        <v>0</v>
      </c>
      <c r="AE1178" s="944" t="s">
        <v>1797</v>
      </c>
      <c r="AF1178" s="661" t="s">
        <v>1745</v>
      </c>
      <c r="AG1178" s="662" t="s">
        <v>1432</v>
      </c>
      <c r="AH1178" s="662" t="s">
        <v>1730</v>
      </c>
      <c r="AI1178" s="662">
        <v>10000</v>
      </c>
      <c r="AJ1178" s="662">
        <v>10000</v>
      </c>
      <c r="AK1178" s="662">
        <v>10000</v>
      </c>
      <c r="AL1178" s="658">
        <v>6.5000000000000006E-3</v>
      </c>
      <c r="AM1178" s="658">
        <v>0</v>
      </c>
      <c r="AN1178" s="659" t="s">
        <v>34</v>
      </c>
      <c r="AO1178" s="253" t="s">
        <v>34</v>
      </c>
      <c r="AP1178" s="944" t="s">
        <v>1731</v>
      </c>
      <c r="AQ1178" s="663" t="s">
        <v>687</v>
      </c>
      <c r="AR1178" s="658">
        <v>4.3335500000000002E-3</v>
      </c>
      <c r="AS1178" s="658">
        <v>4.3335500000000002E-3</v>
      </c>
      <c r="AT1178" s="658" t="s">
        <v>1417</v>
      </c>
      <c r="AU1178" s="658" t="s">
        <v>2751</v>
      </c>
      <c r="AX1178"/>
      <c r="AY1178"/>
      <c r="BA1178"/>
      <c r="BB1178"/>
      <c r="BC1178"/>
      <c r="BD1178"/>
      <c r="BE1178"/>
      <c r="BF1178"/>
      <c r="BG1178"/>
      <c r="BH1178"/>
      <c r="BI1178"/>
      <c r="BJ1178"/>
      <c r="BR1178"/>
      <c r="BS1178"/>
      <c r="BT1178"/>
      <c r="BU1178"/>
      <c r="BX1178"/>
      <c r="BY1178"/>
      <c r="CA1178"/>
    </row>
    <row r="1179" spans="2:79" ht="18.75">
      <c r="B1179" s="252" t="s">
        <v>337</v>
      </c>
      <c r="C1179" s="251">
        <v>20142615000160</v>
      </c>
      <c r="D1179" s="252" t="s">
        <v>13</v>
      </c>
      <c r="E1179" s="252" t="s">
        <v>616</v>
      </c>
      <c r="F1179" s="252" t="s">
        <v>619</v>
      </c>
      <c r="G1179" s="253" t="s">
        <v>1417</v>
      </c>
      <c r="H1179" s="253" t="s">
        <v>34</v>
      </c>
      <c r="I1179" s="253" t="s">
        <v>1417</v>
      </c>
      <c r="J1179" s="253" t="s">
        <v>608</v>
      </c>
      <c r="K1179" s="253" t="s">
        <v>48</v>
      </c>
      <c r="L1179" s="655"/>
      <c r="M1179" s="655" t="s">
        <v>34</v>
      </c>
      <c r="N1179" s="253" t="s">
        <v>3799</v>
      </c>
      <c r="O1179" s="253" t="s">
        <v>1321</v>
      </c>
      <c r="P1179" s="656">
        <v>41796</v>
      </c>
      <c r="Q1179" s="657">
        <v>0</v>
      </c>
      <c r="R1179" s="657">
        <v>0</v>
      </c>
      <c r="S1179" s="253">
        <v>62</v>
      </c>
      <c r="T1179" s="658"/>
      <c r="U1179" s="659"/>
      <c r="V1179" s="658"/>
      <c r="W1179" s="659"/>
      <c r="X1179" s="658"/>
      <c r="Y1179" s="659"/>
      <c r="Z1179" s="658"/>
      <c r="AA1179" s="659"/>
      <c r="AB1179" s="658"/>
      <c r="AC1179" s="660"/>
      <c r="AD1179" s="682">
        <v>0</v>
      </c>
      <c r="AE1179" s="944" t="s">
        <v>2607</v>
      </c>
      <c r="AF1179" s="661" t="s">
        <v>1745</v>
      </c>
      <c r="AG1179" s="662" t="s">
        <v>1432</v>
      </c>
      <c r="AH1179" s="662" t="s">
        <v>1734</v>
      </c>
      <c r="AI1179" s="662">
        <v>20000</v>
      </c>
      <c r="AJ1179" s="662">
        <v>10000</v>
      </c>
      <c r="AK1179" s="662">
        <v>20000</v>
      </c>
      <c r="AL1179" s="658">
        <v>0.02</v>
      </c>
      <c r="AM1179" s="658">
        <v>0.2</v>
      </c>
      <c r="AN1179" s="659" t="s">
        <v>34</v>
      </c>
      <c r="AO1179" s="253" t="s">
        <v>34</v>
      </c>
      <c r="AP1179" s="944" t="s">
        <v>1746</v>
      </c>
      <c r="AQ1179" s="663" t="s">
        <v>668</v>
      </c>
      <c r="AR1179" s="658">
        <v>5.3333333333333297E-3</v>
      </c>
      <c r="AS1179" s="658">
        <v>5.3333333333333297E-3</v>
      </c>
      <c r="AT1179" s="658" t="s">
        <v>1417</v>
      </c>
      <c r="AU1179" s="658" t="s">
        <v>2751</v>
      </c>
      <c r="AX1179"/>
      <c r="AY1179"/>
      <c r="BA1179"/>
      <c r="BB1179"/>
      <c r="BC1179"/>
      <c r="BD1179"/>
      <c r="BE1179"/>
      <c r="BF1179"/>
      <c r="BG1179"/>
      <c r="BH1179"/>
      <c r="BI1179"/>
      <c r="BJ1179"/>
      <c r="BR1179"/>
      <c r="BS1179"/>
      <c r="BT1179"/>
      <c r="BU1179"/>
      <c r="BX1179"/>
      <c r="BY1179"/>
      <c r="CA1179"/>
    </row>
    <row r="1180" spans="2:79" ht="18.75">
      <c r="B1180" s="252" t="s">
        <v>1126</v>
      </c>
      <c r="C1180" s="251">
        <v>33158068000152</v>
      </c>
      <c r="D1180" s="252" t="s">
        <v>14</v>
      </c>
      <c r="E1180" s="252" t="s">
        <v>607</v>
      </c>
      <c r="F1180" s="252" t="s">
        <v>860</v>
      </c>
      <c r="G1180" s="253" t="s">
        <v>1417</v>
      </c>
      <c r="H1180" s="253" t="s">
        <v>34</v>
      </c>
      <c r="I1180" s="253" t="s">
        <v>34</v>
      </c>
      <c r="J1180" s="253" t="s">
        <v>611</v>
      </c>
      <c r="K1180" s="253" t="s">
        <v>1417</v>
      </c>
      <c r="L1180" s="655"/>
      <c r="M1180" s="655" t="s">
        <v>34</v>
      </c>
      <c r="N1180" s="253" t="s">
        <v>3800</v>
      </c>
      <c r="O1180" s="253" t="s">
        <v>1321</v>
      </c>
      <c r="P1180" s="656">
        <v>43670</v>
      </c>
      <c r="Q1180" s="657">
        <v>15.82468377</v>
      </c>
      <c r="R1180" s="657">
        <v>22.896647973052211</v>
      </c>
      <c r="S1180" s="253">
        <v>5</v>
      </c>
      <c r="T1180" s="658">
        <v>7.2662304679216971E-2</v>
      </c>
      <c r="U1180" s="659">
        <v>3.633409544924624</v>
      </c>
      <c r="V1180" s="658">
        <v>1.6421479492775948E-2</v>
      </c>
      <c r="W1180" s="659">
        <v>0.12735366535131035</v>
      </c>
      <c r="X1180" s="658">
        <v>-1.9073763595289561E-2</v>
      </c>
      <c r="Y1180" s="659">
        <v>-9.8782880063306752E-2</v>
      </c>
      <c r="Z1180" s="658">
        <v>0.30208446725798543</v>
      </c>
      <c r="AA1180" s="659">
        <v>1.3639950516499191</v>
      </c>
      <c r="AB1180" s="658">
        <v>0.24535545397098049</v>
      </c>
      <c r="AC1180" s="660">
        <v>-0.45860985819912131</v>
      </c>
      <c r="AD1180" s="682">
        <v>33600794000183</v>
      </c>
      <c r="AE1180" s="944" t="s">
        <v>1747</v>
      </c>
      <c r="AF1180" s="661" t="s">
        <v>1745</v>
      </c>
      <c r="AG1180" s="662" t="s">
        <v>1432</v>
      </c>
      <c r="AH1180" s="662" t="s">
        <v>1730</v>
      </c>
      <c r="AI1180" s="662">
        <v>5000</v>
      </c>
      <c r="AJ1180" s="662">
        <v>5000</v>
      </c>
      <c r="AK1180" s="662">
        <v>5000</v>
      </c>
      <c r="AL1180" s="658">
        <v>0.01</v>
      </c>
      <c r="AM1180" s="658">
        <v>0</v>
      </c>
      <c r="AN1180" s="659" t="s">
        <v>34</v>
      </c>
      <c r="AO1180" s="253" t="s">
        <v>34</v>
      </c>
      <c r="AP1180" s="944" t="s">
        <v>1746</v>
      </c>
      <c r="AQ1180" s="663" t="s">
        <v>679</v>
      </c>
      <c r="AR1180" s="658">
        <v>8.0000000000000002E-3</v>
      </c>
      <c r="AS1180" s="658">
        <v>8.0000000000000002E-3</v>
      </c>
      <c r="AT1180" s="658" t="s">
        <v>1417</v>
      </c>
      <c r="AU1180" s="658" t="s">
        <v>2751</v>
      </c>
      <c r="AX1180"/>
      <c r="AY1180"/>
      <c r="BA1180"/>
      <c r="BB1180"/>
      <c r="BC1180"/>
      <c r="BD1180"/>
      <c r="BE1180"/>
      <c r="BF1180"/>
      <c r="BG1180"/>
      <c r="BH1180"/>
      <c r="BI1180"/>
      <c r="BJ1180"/>
      <c r="BR1180"/>
      <c r="BS1180"/>
      <c r="BT1180"/>
      <c r="BU1180"/>
      <c r="BX1180"/>
      <c r="BY1180"/>
      <c r="CA1180"/>
    </row>
    <row r="1181" spans="2:79" ht="18.75">
      <c r="B1181" s="252" t="s">
        <v>338</v>
      </c>
      <c r="C1181" s="251">
        <v>39991941000170</v>
      </c>
      <c r="D1181" s="252" t="s">
        <v>14</v>
      </c>
      <c r="E1181" s="252" t="s">
        <v>607</v>
      </c>
      <c r="F1181" s="252" t="s">
        <v>1417</v>
      </c>
      <c r="G1181" s="253" t="s">
        <v>1417</v>
      </c>
      <c r="H1181" s="253" t="s">
        <v>34</v>
      </c>
      <c r="I1181" s="253" t="s">
        <v>34</v>
      </c>
      <c r="J1181" s="253" t="s">
        <v>611</v>
      </c>
      <c r="K1181" s="253" t="s">
        <v>49</v>
      </c>
      <c r="L1181" s="655"/>
      <c r="M1181" s="655" t="s">
        <v>34</v>
      </c>
      <c r="N1181" s="253" t="s">
        <v>3801</v>
      </c>
      <c r="O1181" s="253" t="s">
        <v>1321</v>
      </c>
      <c r="P1181" s="656">
        <v>44303</v>
      </c>
      <c r="Q1181" s="657">
        <v>5.7069165799999997</v>
      </c>
      <c r="R1181" s="657">
        <v>8.9081486495967717</v>
      </c>
      <c r="S1181" s="253">
        <v>6</v>
      </c>
      <c r="T1181" s="658">
        <v>3.6925156829473282E-2</v>
      </c>
      <c r="U1181" s="659">
        <v>1.8464074029077808</v>
      </c>
      <c r="V1181" s="658">
        <v>-7.9779933197867026E-2</v>
      </c>
      <c r="W1181" s="659">
        <v>-0.61871811968590917</v>
      </c>
      <c r="X1181" s="658"/>
      <c r="Y1181" s="659"/>
      <c r="Z1181" s="658"/>
      <c r="AA1181" s="659"/>
      <c r="AB1181" s="658">
        <v>0.27766938466606567</v>
      </c>
      <c r="AC1181" s="660">
        <v>-0.75169915795964881</v>
      </c>
      <c r="AD1181" s="682">
        <v>39973671000174</v>
      </c>
      <c r="AE1181" s="944" t="s">
        <v>1747</v>
      </c>
      <c r="AF1181" s="661" t="s">
        <v>1745</v>
      </c>
      <c r="AG1181" s="662" t="s">
        <v>1432</v>
      </c>
      <c r="AH1181" s="662" t="s">
        <v>1730</v>
      </c>
      <c r="AI1181" s="662">
        <v>5000</v>
      </c>
      <c r="AJ1181" s="662">
        <v>5000</v>
      </c>
      <c r="AK1181" s="662">
        <v>5000</v>
      </c>
      <c r="AL1181" s="658">
        <v>0.01</v>
      </c>
      <c r="AM1181" s="658">
        <v>0</v>
      </c>
      <c r="AN1181" s="659" t="s">
        <v>34</v>
      </c>
      <c r="AO1181" s="253" t="s">
        <v>34</v>
      </c>
      <c r="AP1181" s="944" t="s">
        <v>1746</v>
      </c>
      <c r="AQ1181" s="663" t="s">
        <v>679</v>
      </c>
      <c r="AR1181" s="658">
        <v>6.6670000000000002E-3</v>
      </c>
      <c r="AS1181" s="658">
        <v>6.6670000000000002E-3</v>
      </c>
      <c r="AT1181" s="658" t="s">
        <v>1417</v>
      </c>
      <c r="AU1181" s="658" t="s">
        <v>2751</v>
      </c>
      <c r="AX1181"/>
      <c r="AY1181"/>
      <c r="BA1181"/>
      <c r="BB1181"/>
      <c r="BC1181"/>
      <c r="BD1181"/>
      <c r="BE1181"/>
      <c r="BF1181"/>
      <c r="BG1181"/>
      <c r="BH1181"/>
      <c r="BI1181"/>
      <c r="BJ1181"/>
      <c r="BR1181"/>
      <c r="BS1181"/>
      <c r="BT1181"/>
      <c r="BU1181"/>
      <c r="BX1181"/>
      <c r="BY1181"/>
      <c r="CA1181"/>
    </row>
    <row r="1182" spans="2:79" ht="18.75">
      <c r="B1182" s="252" t="s">
        <v>1385</v>
      </c>
      <c r="C1182" s="251">
        <v>18316558000146</v>
      </c>
      <c r="D1182" s="252" t="s">
        <v>11</v>
      </c>
      <c r="E1182" s="252" t="s">
        <v>620</v>
      </c>
      <c r="F1182" s="252" t="s">
        <v>663</v>
      </c>
      <c r="G1182" s="253" t="s">
        <v>738</v>
      </c>
      <c r="H1182" s="253" t="s">
        <v>34</v>
      </c>
      <c r="I1182" s="253" t="s">
        <v>1417</v>
      </c>
      <c r="J1182" s="253" t="s">
        <v>608</v>
      </c>
      <c r="K1182" s="253" t="s">
        <v>48</v>
      </c>
      <c r="L1182" s="655"/>
      <c r="M1182" s="655" t="s">
        <v>34</v>
      </c>
      <c r="N1182" s="253" t="s">
        <v>3805</v>
      </c>
      <c r="O1182" s="253" t="s">
        <v>1321</v>
      </c>
      <c r="P1182" s="656">
        <v>41539</v>
      </c>
      <c r="Q1182" s="657">
        <v>136.082641</v>
      </c>
      <c r="R1182" s="657">
        <v>127.99666167741927</v>
      </c>
      <c r="S1182" s="253">
        <v>31</v>
      </c>
      <c r="T1182" s="658">
        <v>1.5183645884331076E-2</v>
      </c>
      <c r="U1182" s="659">
        <v>0.75924379396492503</v>
      </c>
      <c r="V1182" s="658">
        <v>0.13453009472295907</v>
      </c>
      <c r="W1182" s="659">
        <v>1.0433225989512593</v>
      </c>
      <c r="X1182" s="658">
        <v>0.21740344316512061</v>
      </c>
      <c r="Y1182" s="659">
        <v>1.1259308182279069</v>
      </c>
      <c r="Z1182" s="658">
        <v>0.20280099829239462</v>
      </c>
      <c r="AA1182" s="659">
        <v>0.91570268624322215</v>
      </c>
      <c r="AB1182" s="658">
        <v>1.9563442029554008E-3</v>
      </c>
      <c r="AC1182" s="660">
        <v>2.8554204662614109</v>
      </c>
      <c r="AD1182" s="682">
        <v>15487311000102</v>
      </c>
      <c r="AE1182" s="944" t="s">
        <v>1826</v>
      </c>
      <c r="AF1182" s="661" t="s">
        <v>1729</v>
      </c>
      <c r="AG1182" s="662" t="s">
        <v>1433</v>
      </c>
      <c r="AH1182" s="662" t="s">
        <v>1734</v>
      </c>
      <c r="AI1182" s="662">
        <v>3000</v>
      </c>
      <c r="AJ1182" s="662">
        <v>0</v>
      </c>
      <c r="AK1182" s="662">
        <v>100</v>
      </c>
      <c r="AL1182" s="658">
        <v>6.0000000000000001E-3</v>
      </c>
      <c r="AM1182" s="658">
        <v>0.2</v>
      </c>
      <c r="AN1182" s="659" t="s">
        <v>64</v>
      </c>
      <c r="AO1182" s="253" t="s">
        <v>34</v>
      </c>
      <c r="AP1182" s="944" t="s">
        <v>1735</v>
      </c>
      <c r="AQ1182" s="663" t="s">
        <v>675</v>
      </c>
      <c r="AR1182" s="658">
        <v>1.3500000000000001E-3</v>
      </c>
      <c r="AS1182" s="658">
        <v>1.3500000000000001E-3</v>
      </c>
      <c r="AT1182" s="658" t="s">
        <v>1417</v>
      </c>
      <c r="AU1182" s="658" t="s">
        <v>2751</v>
      </c>
      <c r="AX1182"/>
      <c r="AY1182"/>
      <c r="BA1182"/>
      <c r="BB1182"/>
      <c r="BC1182"/>
      <c r="BD1182"/>
      <c r="BE1182"/>
      <c r="BF1182"/>
      <c r="BG1182"/>
      <c r="BH1182"/>
      <c r="BI1182"/>
      <c r="BJ1182"/>
      <c r="BR1182"/>
      <c r="BS1182"/>
      <c r="BT1182"/>
      <c r="BU1182"/>
      <c r="BX1182"/>
      <c r="BY1182"/>
      <c r="CA1182"/>
    </row>
    <row r="1183" spans="2:79" ht="18.75">
      <c r="B1183" s="252" t="s">
        <v>1130</v>
      </c>
      <c r="C1183" s="251">
        <v>38281169000130</v>
      </c>
      <c r="D1183" s="252" t="s">
        <v>11</v>
      </c>
      <c r="E1183" s="252" t="s">
        <v>620</v>
      </c>
      <c r="F1183" s="252" t="s">
        <v>663</v>
      </c>
      <c r="G1183" s="253" t="s">
        <v>738</v>
      </c>
      <c r="H1183" s="253" t="s">
        <v>34</v>
      </c>
      <c r="I1183" s="253" t="s">
        <v>1304</v>
      </c>
      <c r="J1183" s="253" t="s">
        <v>608</v>
      </c>
      <c r="K1183" s="253" t="s">
        <v>48</v>
      </c>
      <c r="L1183" s="655"/>
      <c r="M1183" s="655" t="s">
        <v>34</v>
      </c>
      <c r="N1183" s="253" t="s">
        <v>3806</v>
      </c>
      <c r="O1183" s="253" t="s">
        <v>1321</v>
      </c>
      <c r="P1183" s="656">
        <v>44168</v>
      </c>
      <c r="Q1183" s="657">
        <v>9.2606393499999999</v>
      </c>
      <c r="R1183" s="657">
        <v>10.574916355910927</v>
      </c>
      <c r="S1183" s="253">
        <v>46</v>
      </c>
      <c r="T1183" s="658">
        <v>1.3727212879130146E-2</v>
      </c>
      <c r="U1183" s="659">
        <v>0.68641624457735528</v>
      </c>
      <c r="V1183" s="658">
        <v>0.12544134980052646</v>
      </c>
      <c r="W1183" s="659">
        <v>0.97283656388821294</v>
      </c>
      <c r="X1183" s="658">
        <v>0.1998418771672803</v>
      </c>
      <c r="Y1183" s="659">
        <v>1.0349795982957837</v>
      </c>
      <c r="Z1183" s="658"/>
      <c r="AA1183" s="659"/>
      <c r="AB1183" s="658">
        <v>2.5671954414799663E-3</v>
      </c>
      <c r="AC1183" s="660">
        <v>-1.3643525497391418</v>
      </c>
      <c r="AD1183" s="682">
        <v>38306228000187</v>
      </c>
      <c r="AE1183" s="944" t="s">
        <v>1826</v>
      </c>
      <c r="AF1183" s="661" t="s">
        <v>1729</v>
      </c>
      <c r="AG1183" s="662" t="s">
        <v>1433</v>
      </c>
      <c r="AH1183" s="662" t="s">
        <v>1734</v>
      </c>
      <c r="AI1183" s="662">
        <v>10</v>
      </c>
      <c r="AJ1183" s="662">
        <v>10</v>
      </c>
      <c r="AK1183" s="662">
        <v>10</v>
      </c>
      <c r="AL1183" s="658">
        <v>8.5000000000000006E-3</v>
      </c>
      <c r="AM1183" s="658">
        <v>0.2</v>
      </c>
      <c r="AN1183" s="659" t="s">
        <v>34</v>
      </c>
      <c r="AO1183" s="253" t="s">
        <v>34</v>
      </c>
      <c r="AP1183" s="944" t="s">
        <v>1735</v>
      </c>
      <c r="AQ1183" s="663" t="s">
        <v>675</v>
      </c>
      <c r="AR1183" s="658">
        <v>1.5E-3</v>
      </c>
      <c r="AS1183" s="658">
        <v>1.5E-3</v>
      </c>
      <c r="AT1183" s="658" t="s">
        <v>1417</v>
      </c>
      <c r="AU1183" s="658" t="s">
        <v>2751</v>
      </c>
      <c r="AX1183"/>
      <c r="AY1183"/>
      <c r="BA1183"/>
      <c r="BB1183"/>
      <c r="BC1183"/>
      <c r="BD1183"/>
      <c r="BE1183"/>
      <c r="BF1183"/>
      <c r="BG1183"/>
      <c r="BH1183"/>
      <c r="BI1183"/>
      <c r="BJ1183"/>
      <c r="BR1183"/>
      <c r="BS1183"/>
      <c r="BT1183"/>
      <c r="BU1183"/>
      <c r="BX1183"/>
      <c r="BY1183"/>
      <c r="CA1183"/>
    </row>
    <row r="1184" spans="2:79" ht="18.75">
      <c r="B1184" s="252" t="s">
        <v>588</v>
      </c>
      <c r="C1184" s="251">
        <v>37322097000169</v>
      </c>
      <c r="D1184" s="252" t="s">
        <v>14</v>
      </c>
      <c r="E1184" s="252" t="s">
        <v>607</v>
      </c>
      <c r="F1184" s="252" t="s">
        <v>1417</v>
      </c>
      <c r="G1184" s="253" t="s">
        <v>1417</v>
      </c>
      <c r="H1184" s="253" t="s">
        <v>34</v>
      </c>
      <c r="I1184" s="253" t="s">
        <v>34</v>
      </c>
      <c r="J1184" s="253" t="s">
        <v>611</v>
      </c>
      <c r="K1184" s="253" t="s">
        <v>1417</v>
      </c>
      <c r="L1184" s="655"/>
      <c r="M1184" s="655" t="s">
        <v>1414</v>
      </c>
      <c r="N1184" s="253" t="s">
        <v>3807</v>
      </c>
      <c r="O1184" s="253" t="s">
        <v>1321</v>
      </c>
      <c r="P1184" s="656">
        <v>44044</v>
      </c>
      <c r="Q1184" s="657">
        <v>25.577780789999998</v>
      </c>
      <c r="R1184" s="657">
        <v>25.383699010370375</v>
      </c>
      <c r="S1184" s="253">
        <v>5</v>
      </c>
      <c r="T1184" s="658">
        <v>1.1344532670984231E-2</v>
      </c>
      <c r="U1184" s="659">
        <v>0.56727258337641173</v>
      </c>
      <c r="V1184" s="658">
        <v>-0.1464095712475072</v>
      </c>
      <c r="W1184" s="659">
        <v>-1.135451622923892</v>
      </c>
      <c r="X1184" s="658">
        <v>-0.21661200329906416</v>
      </c>
      <c r="Y1184" s="659">
        <v>-1.1218319570369628</v>
      </c>
      <c r="Z1184" s="658"/>
      <c r="AA1184" s="659"/>
      <c r="AB1184" s="658">
        <v>0.27541395091820259</v>
      </c>
      <c r="AC1184" s="660">
        <v>-0.99978043877695577</v>
      </c>
      <c r="AD1184" s="682">
        <v>0</v>
      </c>
      <c r="AE1184" s="944" t="s">
        <v>1785</v>
      </c>
      <c r="AF1184" s="661" t="s">
        <v>1769</v>
      </c>
      <c r="AG1184" s="662" t="s">
        <v>719</v>
      </c>
      <c r="AH1184" s="662" t="s">
        <v>1734</v>
      </c>
      <c r="AI1184" s="662">
        <v>100</v>
      </c>
      <c r="AJ1184" s="662">
        <v>100</v>
      </c>
      <c r="AK1184" s="662">
        <v>100</v>
      </c>
      <c r="AL1184" s="658">
        <v>1.95E-2</v>
      </c>
      <c r="AM1184" s="658">
        <v>0</v>
      </c>
      <c r="AN1184" s="659" t="s">
        <v>2122</v>
      </c>
      <c r="AO1184" s="253" t="s">
        <v>34</v>
      </c>
      <c r="AP1184" s="944" t="s">
        <v>1731</v>
      </c>
      <c r="AQ1184" s="663" t="s">
        <v>659</v>
      </c>
      <c r="AR1184" s="658">
        <v>0</v>
      </c>
      <c r="AS1184" s="658">
        <v>0</v>
      </c>
      <c r="AT1184" s="658" t="s">
        <v>1417</v>
      </c>
      <c r="AU1184" s="658" t="s">
        <v>2751</v>
      </c>
      <c r="AX1184"/>
      <c r="AY1184"/>
      <c r="BA1184"/>
      <c r="BB1184"/>
      <c r="BC1184"/>
      <c r="BD1184"/>
      <c r="BE1184"/>
      <c r="BF1184"/>
      <c r="BG1184"/>
      <c r="BH1184"/>
      <c r="BI1184"/>
      <c r="BJ1184"/>
      <c r="BR1184"/>
      <c r="BS1184"/>
      <c r="BT1184"/>
      <c r="BU1184"/>
      <c r="BX1184"/>
      <c r="BY1184"/>
      <c r="CA1184"/>
    </row>
    <row r="1185" spans="2:79" ht="18.75">
      <c r="B1185" s="252" t="s">
        <v>339</v>
      </c>
      <c r="C1185" s="251">
        <v>37414101000119</v>
      </c>
      <c r="D1185" s="252" t="s">
        <v>14</v>
      </c>
      <c r="E1185" s="252" t="s">
        <v>607</v>
      </c>
      <c r="F1185" s="252" t="s">
        <v>1417</v>
      </c>
      <c r="G1185" s="253" t="s">
        <v>1417</v>
      </c>
      <c r="H1185" s="253" t="s">
        <v>34</v>
      </c>
      <c r="I1185" s="253" t="s">
        <v>34</v>
      </c>
      <c r="J1185" s="253" t="s">
        <v>608</v>
      </c>
      <c r="K1185" s="253" t="s">
        <v>48</v>
      </c>
      <c r="L1185" s="655"/>
      <c r="M1185" s="655" t="s">
        <v>1414</v>
      </c>
      <c r="N1185" s="253" t="s">
        <v>3808</v>
      </c>
      <c r="O1185" s="253" t="s">
        <v>1321</v>
      </c>
      <c r="P1185" s="656">
        <v>43989</v>
      </c>
      <c r="Q1185" s="657">
        <v>1.42382326</v>
      </c>
      <c r="R1185" s="657">
        <v>2.79390529592742</v>
      </c>
      <c r="S1185" s="253">
        <v>29</v>
      </c>
      <c r="T1185" s="658">
        <v>-2.4344721466645569E-2</v>
      </c>
      <c r="U1185" s="659">
        <v>-1.2173346790463324</v>
      </c>
      <c r="V1185" s="658">
        <v>-0.25178620859407874</v>
      </c>
      <c r="W1185" s="659">
        <v>-1.9526801201725938</v>
      </c>
      <c r="X1185" s="658">
        <v>-0.31438405036290407</v>
      </c>
      <c r="Y1185" s="659">
        <v>-1.6281926629563996</v>
      </c>
      <c r="Z1185" s="658"/>
      <c r="AA1185" s="659"/>
      <c r="AB1185" s="658">
        <v>0.32011405008600707</v>
      </c>
      <c r="AC1185" s="660">
        <v>-1.1893577240317128</v>
      </c>
      <c r="AD1185" s="682">
        <v>0</v>
      </c>
      <c r="AE1185" s="944" t="s">
        <v>1785</v>
      </c>
      <c r="AF1185" s="661" t="s">
        <v>1861</v>
      </c>
      <c r="AG1185" s="662" t="s">
        <v>761</v>
      </c>
      <c r="AH1185" s="662" t="s">
        <v>1734</v>
      </c>
      <c r="AI1185" s="662">
        <v>0</v>
      </c>
      <c r="AJ1185" s="662">
        <v>0</v>
      </c>
      <c r="AK1185" s="662">
        <v>0</v>
      </c>
      <c r="AL1185" s="658">
        <v>0.02</v>
      </c>
      <c r="AM1185" s="658">
        <v>0.2</v>
      </c>
      <c r="AN1185" s="659" t="s">
        <v>2122</v>
      </c>
      <c r="AO1185" s="253" t="s">
        <v>34</v>
      </c>
      <c r="AP1185" s="944" t="s">
        <v>1731</v>
      </c>
      <c r="AQ1185" s="663" t="s">
        <v>681</v>
      </c>
      <c r="AR1185" s="658">
        <v>3.3333333333333301E-3</v>
      </c>
      <c r="AS1185" s="658">
        <v>3.3333333333333301E-3</v>
      </c>
      <c r="AT1185" s="658" t="s">
        <v>1417</v>
      </c>
      <c r="AU1185" s="658" t="s">
        <v>2751</v>
      </c>
      <c r="AX1185"/>
      <c r="AY1185"/>
      <c r="BA1185"/>
      <c r="BB1185"/>
      <c r="BC1185"/>
      <c r="BD1185"/>
      <c r="BE1185"/>
      <c r="BF1185"/>
      <c r="BG1185"/>
      <c r="BH1185"/>
      <c r="BI1185"/>
      <c r="BJ1185"/>
      <c r="BR1185"/>
      <c r="BS1185"/>
      <c r="BT1185"/>
      <c r="BU1185"/>
      <c r="BX1185"/>
      <c r="BY1185"/>
      <c r="CA1185"/>
    </row>
    <row r="1186" spans="2:79" ht="18.75">
      <c r="B1186" s="252" t="s">
        <v>1131</v>
      </c>
      <c r="C1186" s="251">
        <v>27739565000141</v>
      </c>
      <c r="D1186" s="252" t="s">
        <v>11</v>
      </c>
      <c r="E1186" s="252" t="s">
        <v>4235</v>
      </c>
      <c r="F1186" s="252" t="s">
        <v>1417</v>
      </c>
      <c r="G1186" s="253" t="s">
        <v>1417</v>
      </c>
      <c r="H1186" s="253" t="s">
        <v>34</v>
      </c>
      <c r="I1186" s="253" t="s">
        <v>34</v>
      </c>
      <c r="J1186" s="253" t="s">
        <v>611</v>
      </c>
      <c r="K1186" s="253" t="s">
        <v>48</v>
      </c>
      <c r="L1186" s="655"/>
      <c r="M1186" s="655" t="s">
        <v>34</v>
      </c>
      <c r="N1186" s="253" t="s">
        <v>3809</v>
      </c>
      <c r="O1186" s="253" t="s">
        <v>1321</v>
      </c>
      <c r="P1186" s="656">
        <v>42921</v>
      </c>
      <c r="Q1186" s="657">
        <v>0</v>
      </c>
      <c r="R1186" s="657">
        <v>0</v>
      </c>
      <c r="S1186" s="253">
        <v>6</v>
      </c>
      <c r="T1186" s="658"/>
      <c r="U1186" s="659"/>
      <c r="V1186" s="658"/>
      <c r="W1186" s="659"/>
      <c r="X1186" s="658"/>
      <c r="Y1186" s="659"/>
      <c r="Z1186" s="658"/>
      <c r="AA1186" s="659"/>
      <c r="AB1186" s="658"/>
      <c r="AC1186" s="660"/>
      <c r="AD1186" s="682">
        <v>23729512000199</v>
      </c>
      <c r="AE1186" s="944" t="s">
        <v>1797</v>
      </c>
      <c r="AF1186" s="661" t="s">
        <v>1745</v>
      </c>
      <c r="AG1186" s="662" t="s">
        <v>1432</v>
      </c>
      <c r="AH1186" s="662" t="s">
        <v>1730</v>
      </c>
      <c r="AI1186" s="662">
        <v>5000</v>
      </c>
      <c r="AJ1186" s="662">
        <v>1000</v>
      </c>
      <c r="AK1186" s="662">
        <v>1000</v>
      </c>
      <c r="AL1186" s="658">
        <v>0</v>
      </c>
      <c r="AM1186" s="658">
        <v>0</v>
      </c>
      <c r="AN1186" s="659" t="s">
        <v>34</v>
      </c>
      <c r="AO1186" s="253" t="s">
        <v>34</v>
      </c>
      <c r="AP1186" s="944" t="s">
        <v>1746</v>
      </c>
      <c r="AQ1186" s="663" t="s">
        <v>679</v>
      </c>
      <c r="AR1186" s="658">
        <v>4.3499200000000002E-3</v>
      </c>
      <c r="AS1186" s="658">
        <v>4.3499200000000002E-3</v>
      </c>
      <c r="AT1186" s="658" t="s">
        <v>1417</v>
      </c>
      <c r="AU1186" s="658" t="s">
        <v>2751</v>
      </c>
      <c r="AX1186"/>
      <c r="AY1186"/>
      <c r="BA1186"/>
      <c r="BB1186"/>
      <c r="BC1186"/>
      <c r="BD1186"/>
      <c r="BE1186"/>
      <c r="BF1186"/>
      <c r="BG1186"/>
      <c r="BH1186"/>
      <c r="BI1186"/>
      <c r="BJ1186"/>
      <c r="BR1186"/>
      <c r="BS1186"/>
      <c r="BT1186"/>
      <c r="BU1186"/>
      <c r="BX1186"/>
      <c r="BY1186"/>
      <c r="CA1186"/>
    </row>
    <row r="1187" spans="2:79" ht="18.75">
      <c r="B1187" s="252" t="s">
        <v>1132</v>
      </c>
      <c r="C1187" s="251">
        <v>27347332000101</v>
      </c>
      <c r="D1187" s="252" t="s">
        <v>14</v>
      </c>
      <c r="E1187" s="252" t="s">
        <v>614</v>
      </c>
      <c r="F1187" s="252" t="s">
        <v>1417</v>
      </c>
      <c r="G1187" s="253" t="s">
        <v>1417</v>
      </c>
      <c r="H1187" s="253" t="s">
        <v>1338</v>
      </c>
      <c r="I1187" s="253" t="s">
        <v>34</v>
      </c>
      <c r="J1187" s="253" t="s">
        <v>608</v>
      </c>
      <c r="K1187" s="253" t="s">
        <v>48</v>
      </c>
      <c r="L1187" s="655"/>
      <c r="M1187" s="655" t="s">
        <v>34</v>
      </c>
      <c r="N1187" s="253" t="s">
        <v>3810</v>
      </c>
      <c r="O1187" s="253" t="s">
        <v>1321</v>
      </c>
      <c r="P1187" s="656">
        <v>43014</v>
      </c>
      <c r="Q1187" s="657">
        <v>31.069531959999999</v>
      </c>
      <c r="R1187" s="657">
        <v>53.26963997451616</v>
      </c>
      <c r="S1187" s="253">
        <v>32</v>
      </c>
      <c r="T1187" s="658">
        <v>-0.10414193582886178</v>
      </c>
      <c r="U1187" s="659">
        <v>-5.2075186073163753</v>
      </c>
      <c r="V1187" s="658">
        <v>-0.19447770535720799</v>
      </c>
      <c r="W1187" s="659">
        <v>-1.508234907655438</v>
      </c>
      <c r="X1187" s="658">
        <v>-0.27429300579898164</v>
      </c>
      <c r="Y1187" s="659">
        <v>-1.4205614407812088</v>
      </c>
      <c r="Z1187" s="658">
        <v>-0.19991386141497547</v>
      </c>
      <c r="AA1187" s="659">
        <v>-0.90266646346096124</v>
      </c>
      <c r="AB1187" s="658">
        <v>0.23184940936713455</v>
      </c>
      <c r="AC1187" s="660">
        <v>-1.3949641523212026</v>
      </c>
      <c r="AD1187" s="682">
        <v>32772397000126</v>
      </c>
      <c r="AE1187" s="944" t="s">
        <v>1765</v>
      </c>
      <c r="AF1187" s="661" t="s">
        <v>1729</v>
      </c>
      <c r="AG1187" s="662" t="s">
        <v>1433</v>
      </c>
      <c r="AH1187" s="662" t="s">
        <v>1734</v>
      </c>
      <c r="AI1187" s="662">
        <v>1000</v>
      </c>
      <c r="AJ1187" s="662">
        <v>25000</v>
      </c>
      <c r="AK1187" s="662">
        <v>1000</v>
      </c>
      <c r="AL1187" s="658">
        <v>1.8000000000000002E-2</v>
      </c>
      <c r="AM1187" s="658">
        <v>0.2</v>
      </c>
      <c r="AN1187" s="659" t="s">
        <v>2127</v>
      </c>
      <c r="AO1187" s="253" t="s">
        <v>34</v>
      </c>
      <c r="AP1187" s="944" t="s">
        <v>1746</v>
      </c>
      <c r="AQ1187" s="663" t="s">
        <v>668</v>
      </c>
      <c r="AR1187" s="658">
        <v>4.7999999999999996E-3</v>
      </c>
      <c r="AS1187" s="658">
        <v>4.7999999999999996E-3</v>
      </c>
      <c r="AT1187" s="658" t="s">
        <v>1417</v>
      </c>
      <c r="AU1187" s="658" t="s">
        <v>2751</v>
      </c>
      <c r="AX1187"/>
      <c r="AY1187"/>
      <c r="BA1187"/>
      <c r="BB1187"/>
      <c r="BC1187"/>
      <c r="BD1187"/>
      <c r="BE1187"/>
      <c r="BF1187"/>
      <c r="BG1187"/>
      <c r="BH1187"/>
      <c r="BI1187"/>
      <c r="BJ1187"/>
      <c r="BR1187"/>
      <c r="BS1187"/>
      <c r="BT1187"/>
      <c r="BU1187"/>
      <c r="BX1187"/>
      <c r="BY1187"/>
      <c r="CA1187"/>
    </row>
    <row r="1188" spans="2:79" ht="18.75">
      <c r="B1188" s="252" t="s">
        <v>1133</v>
      </c>
      <c r="C1188" s="251">
        <v>7013315000112</v>
      </c>
      <c r="D1188" s="252" t="s">
        <v>13</v>
      </c>
      <c r="E1188" s="252" t="s">
        <v>616</v>
      </c>
      <c r="F1188" s="252" t="s">
        <v>617</v>
      </c>
      <c r="G1188" s="253" t="s">
        <v>34</v>
      </c>
      <c r="H1188" s="253" t="s">
        <v>1338</v>
      </c>
      <c r="I1188" s="253" t="s">
        <v>34</v>
      </c>
      <c r="J1188" s="253" t="s">
        <v>608</v>
      </c>
      <c r="K1188" s="253" t="s">
        <v>48</v>
      </c>
      <c r="L1188" s="655"/>
      <c r="M1188" s="655" t="s">
        <v>34</v>
      </c>
      <c r="N1188" s="253" t="s">
        <v>3811</v>
      </c>
      <c r="O1188" s="253" t="s">
        <v>1321</v>
      </c>
      <c r="P1188" s="656">
        <v>38267</v>
      </c>
      <c r="Q1188" s="657">
        <v>87.821089999999998</v>
      </c>
      <c r="R1188" s="657">
        <v>122.16397230241942</v>
      </c>
      <c r="S1188" s="253">
        <v>32</v>
      </c>
      <c r="T1188" s="658">
        <v>-3.4828689592370843E-2</v>
      </c>
      <c r="U1188" s="659">
        <v>-1.7415755495343153</v>
      </c>
      <c r="V1188" s="658">
        <v>-5.7973929736527596E-2</v>
      </c>
      <c r="W1188" s="659">
        <v>-0.44960580135389694</v>
      </c>
      <c r="X1188" s="658">
        <v>-7.7371550399394806E-2</v>
      </c>
      <c r="Y1188" s="659">
        <v>-0.40070668514015845</v>
      </c>
      <c r="Z1188" s="658">
        <v>-4.0574930451766855E-2</v>
      </c>
      <c r="AA1188" s="659">
        <v>-0.18320705086099265</v>
      </c>
      <c r="AB1188" s="658">
        <v>0.15397279092271807</v>
      </c>
      <c r="AC1188" s="660">
        <v>-1.2139666889400844</v>
      </c>
      <c r="AD1188" s="682">
        <v>17373839000178</v>
      </c>
      <c r="AE1188" s="944" t="s">
        <v>1765</v>
      </c>
      <c r="AF1188" s="661" t="s">
        <v>1729</v>
      </c>
      <c r="AG1188" s="662" t="s">
        <v>1433</v>
      </c>
      <c r="AH1188" s="662" t="s">
        <v>1734</v>
      </c>
      <c r="AI1188" s="662">
        <v>1000</v>
      </c>
      <c r="AJ1188" s="662">
        <v>5000</v>
      </c>
      <c r="AK1188" s="662">
        <v>1000</v>
      </c>
      <c r="AL1188" s="658">
        <v>1.3000000000000001E-2</v>
      </c>
      <c r="AM1188" s="658">
        <v>0.2</v>
      </c>
      <c r="AN1188" s="659" t="s">
        <v>64</v>
      </c>
      <c r="AO1188" s="253" t="s">
        <v>34</v>
      </c>
      <c r="AP1188" s="944" t="s">
        <v>1746</v>
      </c>
      <c r="AQ1188" s="663" t="s">
        <v>674</v>
      </c>
      <c r="AR1188" s="658">
        <v>4.7999999999999996E-3</v>
      </c>
      <c r="AS1188" s="658">
        <v>4.7999999999999996E-3</v>
      </c>
      <c r="AT1188" s="658" t="s">
        <v>1417</v>
      </c>
      <c r="AU1188" s="658" t="s">
        <v>2751</v>
      </c>
      <c r="AX1188"/>
      <c r="AY1188"/>
      <c r="BA1188"/>
      <c r="BB1188"/>
      <c r="BC1188"/>
      <c r="BD1188"/>
      <c r="BE1188"/>
      <c r="BF1188"/>
      <c r="BG1188"/>
      <c r="BH1188"/>
      <c r="BI1188"/>
      <c r="BJ1188"/>
      <c r="BR1188"/>
      <c r="BS1188"/>
      <c r="BT1188"/>
      <c r="BU1188"/>
      <c r="BX1188"/>
      <c r="BY1188"/>
      <c r="CA1188"/>
    </row>
    <row r="1189" spans="2:79" ht="18.75">
      <c r="B1189" s="252" t="s">
        <v>1134</v>
      </c>
      <c r="C1189" s="251">
        <v>23601467000192</v>
      </c>
      <c r="D1189" s="252" t="s">
        <v>11</v>
      </c>
      <c r="E1189" s="252" t="s">
        <v>620</v>
      </c>
      <c r="F1189" s="252" t="s">
        <v>685</v>
      </c>
      <c r="G1189" s="253" t="s">
        <v>738</v>
      </c>
      <c r="H1189" s="253" t="s">
        <v>34</v>
      </c>
      <c r="I1189" s="253" t="s">
        <v>1319</v>
      </c>
      <c r="J1189" s="253" t="s">
        <v>608</v>
      </c>
      <c r="K1189" s="253" t="s">
        <v>48</v>
      </c>
      <c r="L1189" s="655"/>
      <c r="M1189" s="655" t="s">
        <v>34</v>
      </c>
      <c r="N1189" s="253" t="s">
        <v>3812</v>
      </c>
      <c r="O1189" s="253" t="s">
        <v>1321</v>
      </c>
      <c r="P1189" s="656">
        <v>42434</v>
      </c>
      <c r="Q1189" s="657">
        <v>26.889126000000001</v>
      </c>
      <c r="R1189" s="657">
        <v>30.027280270161292</v>
      </c>
      <c r="S1189" s="253">
        <v>33</v>
      </c>
      <c r="T1189" s="658">
        <v>1.1445088344567811E-2</v>
      </c>
      <c r="U1189" s="659">
        <v>0.57230077434568893</v>
      </c>
      <c r="V1189" s="658">
        <v>0.1401891618266109</v>
      </c>
      <c r="W1189" s="659">
        <v>1.0872104190734433</v>
      </c>
      <c r="X1189" s="658">
        <v>0.21487479901528861</v>
      </c>
      <c r="Y1189" s="659">
        <v>1.1128349889476632</v>
      </c>
      <c r="Z1189" s="658">
        <v>0.16139906764284251</v>
      </c>
      <c r="AA1189" s="659">
        <v>0.72876150039762855</v>
      </c>
      <c r="AB1189" s="658">
        <v>2.0594494245692659E-2</v>
      </c>
      <c r="AC1189" s="660">
        <v>0.54603197561768202</v>
      </c>
      <c r="AD1189" s="682">
        <v>23376623000169</v>
      </c>
      <c r="AE1189" s="944" t="s">
        <v>1765</v>
      </c>
      <c r="AF1189" s="661" t="s">
        <v>1729</v>
      </c>
      <c r="AG1189" s="662" t="s">
        <v>1433</v>
      </c>
      <c r="AH1189" s="662" t="s">
        <v>1730</v>
      </c>
      <c r="AI1189" s="662">
        <v>50000</v>
      </c>
      <c r="AJ1189" s="662">
        <v>25000</v>
      </c>
      <c r="AK1189" s="662">
        <v>25000</v>
      </c>
      <c r="AL1189" s="658">
        <v>0.01</v>
      </c>
      <c r="AM1189" s="658">
        <v>0.2</v>
      </c>
      <c r="AN1189" s="659" t="s">
        <v>64</v>
      </c>
      <c r="AO1189" s="253" t="s">
        <v>34</v>
      </c>
      <c r="AP1189" s="944" t="s">
        <v>1746</v>
      </c>
      <c r="AQ1189" s="663" t="s">
        <v>668</v>
      </c>
      <c r="AR1189" s="658">
        <v>2.66666666666667E-3</v>
      </c>
      <c r="AS1189" s="658">
        <v>2.66666666666667E-3</v>
      </c>
      <c r="AT1189" s="658" t="s">
        <v>1417</v>
      </c>
      <c r="AU1189" s="658" t="s">
        <v>2751</v>
      </c>
      <c r="AX1189"/>
      <c r="AY1189"/>
      <c r="BA1189"/>
      <c r="BB1189"/>
      <c r="BC1189"/>
      <c r="BD1189"/>
      <c r="BE1189"/>
      <c r="BF1189"/>
      <c r="BG1189"/>
      <c r="BH1189"/>
      <c r="BI1189"/>
      <c r="BJ1189"/>
      <c r="BR1189"/>
      <c r="BS1189"/>
      <c r="BT1189"/>
      <c r="BU1189"/>
      <c r="BX1189"/>
      <c r="BY1189"/>
      <c r="CA1189"/>
    </row>
    <row r="1190" spans="2:79" ht="18.75">
      <c r="B1190" s="252" t="s">
        <v>523</v>
      </c>
      <c r="C1190" s="251">
        <v>17092258000168</v>
      </c>
      <c r="D1190" s="252" t="s">
        <v>13</v>
      </c>
      <c r="E1190" s="252" t="s">
        <v>615</v>
      </c>
      <c r="F1190" s="252" t="s">
        <v>619</v>
      </c>
      <c r="G1190" s="253" t="s">
        <v>34</v>
      </c>
      <c r="H1190" s="253" t="s">
        <v>1337</v>
      </c>
      <c r="I1190" s="253" t="s">
        <v>34</v>
      </c>
      <c r="J1190" s="253" t="s">
        <v>1417</v>
      </c>
      <c r="K1190" s="253" t="s">
        <v>48</v>
      </c>
      <c r="L1190" s="655"/>
      <c r="M1190" s="655" t="s">
        <v>1414</v>
      </c>
      <c r="N1190" s="253" t="s">
        <v>3813</v>
      </c>
      <c r="O1190" s="253" t="s">
        <v>1321</v>
      </c>
      <c r="P1190" s="656">
        <v>41363</v>
      </c>
      <c r="Q1190" s="657">
        <v>102.12621900000001</v>
      </c>
      <c r="R1190" s="657">
        <v>96.911470804166726</v>
      </c>
      <c r="S1190" s="253">
        <v>34</v>
      </c>
      <c r="T1190" s="658">
        <v>9.207159734725634E-3</v>
      </c>
      <c r="U1190" s="659">
        <v>0.46039527936093938</v>
      </c>
      <c r="V1190" s="658">
        <v>0.1412550440857927</v>
      </c>
      <c r="W1190" s="659">
        <v>1.0954766664964879</v>
      </c>
      <c r="X1190" s="658">
        <v>0.20392020415046619</v>
      </c>
      <c r="Y1190" s="659">
        <v>1.0561012234656841</v>
      </c>
      <c r="Z1190" s="658">
        <v>0.28949020359005684</v>
      </c>
      <c r="AA1190" s="659">
        <v>1.307128462387128</v>
      </c>
      <c r="AB1190" s="658">
        <v>2.3080981398456098E-2</v>
      </c>
      <c r="AC1190" s="660">
        <v>0.53338869896701402</v>
      </c>
      <c r="AD1190" s="682">
        <v>0</v>
      </c>
      <c r="AE1190" s="944" t="s">
        <v>1771</v>
      </c>
      <c r="AF1190" s="661" t="s">
        <v>1767</v>
      </c>
      <c r="AG1190" s="662" t="s">
        <v>59</v>
      </c>
      <c r="AH1190" s="662" t="s">
        <v>1734</v>
      </c>
      <c r="AI1190" s="662">
        <v>20000</v>
      </c>
      <c r="AJ1190" s="662">
        <v>1000</v>
      </c>
      <c r="AK1190" s="662">
        <v>1000</v>
      </c>
      <c r="AL1190" s="658">
        <v>2.35E-2</v>
      </c>
      <c r="AM1190" s="658">
        <v>0</v>
      </c>
      <c r="AN1190" s="659" t="s">
        <v>64</v>
      </c>
      <c r="AO1190" s="253" t="s">
        <v>34</v>
      </c>
      <c r="AP1190" s="944" t="s">
        <v>1746</v>
      </c>
      <c r="AQ1190" s="663" t="s">
        <v>686</v>
      </c>
      <c r="AR1190" s="658">
        <v>1.33333333333333E-3</v>
      </c>
      <c r="AS1190" s="658">
        <v>1.33333333333333E-3</v>
      </c>
      <c r="AT1190" s="658" t="s">
        <v>1417</v>
      </c>
      <c r="AU1190" s="658" t="s">
        <v>2751</v>
      </c>
      <c r="AX1190"/>
      <c r="AY1190"/>
      <c r="BA1190"/>
      <c r="BB1190"/>
      <c r="BC1190"/>
      <c r="BD1190"/>
      <c r="BE1190"/>
      <c r="BF1190"/>
      <c r="BG1190"/>
      <c r="BH1190"/>
      <c r="BI1190"/>
      <c r="BJ1190"/>
      <c r="BR1190"/>
      <c r="BS1190"/>
      <c r="BT1190"/>
      <c r="BU1190"/>
      <c r="BX1190"/>
      <c r="BY1190"/>
      <c r="CA1190"/>
    </row>
    <row r="1191" spans="2:79" ht="18.75">
      <c r="B1191" s="252" t="s">
        <v>1135</v>
      </c>
      <c r="C1191" s="251">
        <v>2603461000184</v>
      </c>
      <c r="D1191" s="252" t="s">
        <v>11</v>
      </c>
      <c r="E1191" s="252" t="s">
        <v>620</v>
      </c>
      <c r="F1191" s="252" t="s">
        <v>663</v>
      </c>
      <c r="G1191" s="253" t="s">
        <v>738</v>
      </c>
      <c r="H1191" s="253" t="s">
        <v>34</v>
      </c>
      <c r="I1191" s="253" t="s">
        <v>1417</v>
      </c>
      <c r="J1191" s="253" t="s">
        <v>608</v>
      </c>
      <c r="K1191" s="253" t="s">
        <v>48</v>
      </c>
      <c r="L1191" s="655"/>
      <c r="M1191" s="655" t="s">
        <v>34</v>
      </c>
      <c r="N1191" s="253" t="s">
        <v>3814</v>
      </c>
      <c r="O1191" s="253" t="s">
        <v>1321</v>
      </c>
      <c r="P1191" s="656">
        <v>35973</v>
      </c>
      <c r="Q1191" s="657">
        <v>349.33532200000002</v>
      </c>
      <c r="R1191" s="657">
        <v>512.63628879435498</v>
      </c>
      <c r="S1191" s="253">
        <v>1</v>
      </c>
      <c r="T1191" s="658">
        <v>2.5270745710374021E-2</v>
      </c>
      <c r="U1191" s="659">
        <v>1.2636396419958067</v>
      </c>
      <c r="V1191" s="658">
        <v>0.10996494995514006</v>
      </c>
      <c r="W1191" s="659">
        <v>0.8528122842476682</v>
      </c>
      <c r="X1191" s="658">
        <v>0.16281341065805699</v>
      </c>
      <c r="Y1191" s="659">
        <v>0.84320944513041152</v>
      </c>
      <c r="Z1191" s="658">
        <v>0.18376651038657377</v>
      </c>
      <c r="AA1191" s="659">
        <v>0.82975670050653394</v>
      </c>
      <c r="AB1191" s="658">
        <v>1.5993227109207527E-2</v>
      </c>
      <c r="AC1191" s="660">
        <v>-1.1866872996958719</v>
      </c>
      <c r="AD1191" s="682">
        <v>14284014000199</v>
      </c>
      <c r="AE1191" s="944" t="s">
        <v>1771</v>
      </c>
      <c r="AF1191" s="661" t="s">
        <v>1767</v>
      </c>
      <c r="AG1191" s="662" t="s">
        <v>59</v>
      </c>
      <c r="AH1191" s="662" t="s">
        <v>1734</v>
      </c>
      <c r="AI1191" s="662">
        <v>20000</v>
      </c>
      <c r="AJ1191" s="662">
        <v>100</v>
      </c>
      <c r="AK1191" s="662">
        <v>1000</v>
      </c>
      <c r="AL1191" s="658">
        <v>5.0000000000000001E-3</v>
      </c>
      <c r="AM1191" s="658">
        <v>0.2</v>
      </c>
      <c r="AN1191" s="659" t="s">
        <v>64</v>
      </c>
      <c r="AO1191" s="253" t="s">
        <v>34</v>
      </c>
      <c r="AP1191" s="944" t="s">
        <v>1735</v>
      </c>
      <c r="AQ1191" s="663" t="s">
        <v>669</v>
      </c>
      <c r="AR1191" s="658">
        <v>1.33333333333333E-3</v>
      </c>
      <c r="AS1191" s="658">
        <v>1.33333333333333E-3</v>
      </c>
      <c r="AT1191" s="658" t="s">
        <v>1417</v>
      </c>
      <c r="AU1191" s="658" t="s">
        <v>2751</v>
      </c>
      <c r="AX1191"/>
      <c r="AY1191"/>
      <c r="BA1191"/>
      <c r="BB1191"/>
      <c r="BC1191"/>
      <c r="BD1191"/>
      <c r="BE1191"/>
      <c r="BF1191"/>
      <c r="BG1191"/>
      <c r="BH1191"/>
      <c r="BI1191"/>
      <c r="BJ1191"/>
      <c r="BR1191"/>
      <c r="BS1191"/>
      <c r="BT1191"/>
      <c r="BU1191"/>
      <c r="BX1191"/>
      <c r="BY1191"/>
      <c r="CA1191"/>
    </row>
    <row r="1192" spans="2:79" ht="18.75">
      <c r="B1192" s="252" t="s">
        <v>340</v>
      </c>
      <c r="C1192" s="251">
        <v>398561000190</v>
      </c>
      <c r="D1192" s="252" t="s">
        <v>14</v>
      </c>
      <c r="E1192" s="252" t="s">
        <v>607</v>
      </c>
      <c r="F1192" s="252" t="s">
        <v>1417</v>
      </c>
      <c r="G1192" s="253" t="s">
        <v>1417</v>
      </c>
      <c r="H1192" s="253" t="s">
        <v>34</v>
      </c>
      <c r="I1192" s="253" t="s">
        <v>34</v>
      </c>
      <c r="J1192" s="253" t="s">
        <v>608</v>
      </c>
      <c r="K1192" s="253" t="s">
        <v>48</v>
      </c>
      <c r="L1192" s="655"/>
      <c r="M1192" s="655" t="s">
        <v>34</v>
      </c>
      <c r="N1192" s="253" t="s">
        <v>3816</v>
      </c>
      <c r="O1192" s="253" t="s">
        <v>1321</v>
      </c>
      <c r="P1192" s="656">
        <v>34725</v>
      </c>
      <c r="Q1192" s="657">
        <v>59.486663</v>
      </c>
      <c r="R1192" s="657">
        <v>101.62844922357725</v>
      </c>
      <c r="S1192" s="253">
        <v>3</v>
      </c>
      <c r="T1192" s="658">
        <v>-3.2127530756139389E-2</v>
      </c>
      <c r="U1192" s="659">
        <v>-1.6065066669651666</v>
      </c>
      <c r="V1192" s="658">
        <v>-0.10821752158002129</v>
      </c>
      <c r="W1192" s="659">
        <v>-0.83926043536534556</v>
      </c>
      <c r="X1192" s="658">
        <v>-0.12921249978850391</v>
      </c>
      <c r="Y1192" s="659">
        <v>-0.66919057717796249</v>
      </c>
      <c r="Z1192" s="658">
        <v>-9.6093296311923648E-2</v>
      </c>
      <c r="AA1192" s="659">
        <v>-0.43388785214916903</v>
      </c>
      <c r="AB1192" s="658">
        <v>0.24918616662183546</v>
      </c>
      <c r="AC1192" s="660">
        <v>-0.95174396814220219</v>
      </c>
      <c r="AD1192" s="682">
        <v>14172679000100</v>
      </c>
      <c r="AE1192" s="944" t="s">
        <v>1771</v>
      </c>
      <c r="AF1192" s="661" t="s">
        <v>1767</v>
      </c>
      <c r="AG1192" s="662" t="s">
        <v>59</v>
      </c>
      <c r="AH1192" s="662" t="s">
        <v>1734</v>
      </c>
      <c r="AI1192" s="662">
        <v>1000</v>
      </c>
      <c r="AJ1192" s="662">
        <v>100</v>
      </c>
      <c r="AK1192" s="662">
        <v>1000</v>
      </c>
      <c r="AL1192" s="658">
        <v>0.02</v>
      </c>
      <c r="AM1192" s="658">
        <v>0.2</v>
      </c>
      <c r="AN1192" s="659" t="s">
        <v>666</v>
      </c>
      <c r="AO1192" s="253" t="s">
        <v>34</v>
      </c>
      <c r="AP1192" s="944" t="s">
        <v>1731</v>
      </c>
      <c r="AQ1192" s="663" t="s">
        <v>659</v>
      </c>
      <c r="AR1192" s="658">
        <v>6.0000000000000001E-3</v>
      </c>
      <c r="AS1192" s="658">
        <v>6.0000000000000001E-3</v>
      </c>
      <c r="AT1192" s="658" t="s">
        <v>1417</v>
      </c>
      <c r="AU1192" s="658" t="s">
        <v>2751</v>
      </c>
      <c r="AX1192"/>
      <c r="AY1192"/>
      <c r="BA1192"/>
      <c r="BB1192"/>
      <c r="BC1192"/>
      <c r="BD1192"/>
      <c r="BE1192"/>
      <c r="BF1192"/>
      <c r="BG1192"/>
      <c r="BH1192"/>
      <c r="BI1192"/>
      <c r="BJ1192"/>
      <c r="BR1192"/>
      <c r="BS1192"/>
      <c r="BT1192"/>
      <c r="BU1192"/>
      <c r="BX1192"/>
      <c r="BY1192"/>
      <c r="CA1192"/>
    </row>
    <row r="1193" spans="2:79" ht="18.75">
      <c r="B1193" s="252" t="s">
        <v>341</v>
      </c>
      <c r="C1193" s="251">
        <v>24011864000177</v>
      </c>
      <c r="D1193" s="252" t="s">
        <v>11</v>
      </c>
      <c r="E1193" s="252" t="s">
        <v>621</v>
      </c>
      <c r="F1193" s="252" t="s">
        <v>672</v>
      </c>
      <c r="G1193" s="253" t="s">
        <v>738</v>
      </c>
      <c r="H1193" s="253" t="s">
        <v>34</v>
      </c>
      <c r="I1193" s="253" t="s">
        <v>1417</v>
      </c>
      <c r="J1193" s="253" t="s">
        <v>608</v>
      </c>
      <c r="K1193" s="253" t="s">
        <v>48</v>
      </c>
      <c r="L1193" s="655"/>
      <c r="M1193" s="655" t="s">
        <v>34</v>
      </c>
      <c r="N1193" s="253" t="s">
        <v>3817</v>
      </c>
      <c r="O1193" s="253" t="s">
        <v>1321</v>
      </c>
      <c r="P1193" s="656">
        <v>42432</v>
      </c>
      <c r="Q1193" s="657">
        <v>195.772693</v>
      </c>
      <c r="R1193" s="657">
        <v>170.83777579032255</v>
      </c>
      <c r="S1193" s="253">
        <v>1</v>
      </c>
      <c r="T1193" s="658">
        <v>2.8382776578921742E-2</v>
      </c>
      <c r="U1193" s="659">
        <v>1.4192537903743883</v>
      </c>
      <c r="V1193" s="658">
        <v>0.11257919308790476</v>
      </c>
      <c r="W1193" s="659">
        <v>0.87308655035283489</v>
      </c>
      <c r="X1193" s="658">
        <v>0.18298196752039053</v>
      </c>
      <c r="Y1193" s="659">
        <v>0.94766225139639115</v>
      </c>
      <c r="Z1193" s="658">
        <v>0.26125217293278591</v>
      </c>
      <c r="AA1193" s="659">
        <v>1.1796259316066808</v>
      </c>
      <c r="AB1193" s="658">
        <v>2.9328948644775556E-2</v>
      </c>
      <c r="AC1193" s="660">
        <v>-0.55797146215804372</v>
      </c>
      <c r="AD1193" s="682">
        <v>21624772000174</v>
      </c>
      <c r="AE1193" s="944" t="s">
        <v>1771</v>
      </c>
      <c r="AF1193" s="661" t="s">
        <v>1767</v>
      </c>
      <c r="AG1193" s="662" t="s">
        <v>59</v>
      </c>
      <c r="AH1193" s="662" t="s">
        <v>1734</v>
      </c>
      <c r="AI1193" s="662">
        <v>20000</v>
      </c>
      <c r="AJ1193" s="662">
        <v>100</v>
      </c>
      <c r="AK1193" s="662">
        <v>1000</v>
      </c>
      <c r="AL1193" s="658">
        <v>0</v>
      </c>
      <c r="AM1193" s="658">
        <v>0</v>
      </c>
      <c r="AN1193" s="659" t="s">
        <v>636</v>
      </c>
      <c r="AO1193" s="253" t="s">
        <v>34</v>
      </c>
      <c r="AP1193" s="944" t="s">
        <v>1735</v>
      </c>
      <c r="AQ1193" s="663" t="s">
        <v>1373</v>
      </c>
      <c r="AR1193" s="658">
        <v>1.33333333333333E-3</v>
      </c>
      <c r="AS1193" s="658">
        <v>1.33333333333333E-3</v>
      </c>
      <c r="AT1193" s="658" t="s">
        <v>1417</v>
      </c>
      <c r="AU1193" s="658" t="s">
        <v>2751</v>
      </c>
      <c r="AX1193"/>
      <c r="AY1193"/>
      <c r="BA1193"/>
      <c r="BB1193"/>
      <c r="BC1193"/>
      <c r="BD1193"/>
      <c r="BE1193"/>
      <c r="BF1193"/>
      <c r="BG1193"/>
      <c r="BH1193"/>
      <c r="BI1193"/>
      <c r="BJ1193"/>
      <c r="BR1193"/>
      <c r="BS1193"/>
      <c r="BT1193"/>
      <c r="BU1193"/>
      <c r="BX1193"/>
      <c r="BY1193"/>
      <c r="CA1193"/>
    </row>
    <row r="1194" spans="2:79" ht="18.75">
      <c r="B1194" s="252" t="s">
        <v>1138</v>
      </c>
      <c r="C1194" s="251">
        <v>21625026000103</v>
      </c>
      <c r="D1194" s="252" t="s">
        <v>11</v>
      </c>
      <c r="E1194" s="252" t="s">
        <v>621</v>
      </c>
      <c r="F1194" s="252" t="s">
        <v>663</v>
      </c>
      <c r="G1194" s="253" t="s">
        <v>865</v>
      </c>
      <c r="H1194" s="253" t="s">
        <v>34</v>
      </c>
      <c r="I1194" s="253" t="s">
        <v>1417</v>
      </c>
      <c r="J1194" s="253" t="s">
        <v>608</v>
      </c>
      <c r="K1194" s="253" t="s">
        <v>48</v>
      </c>
      <c r="L1194" s="655"/>
      <c r="M1194" s="655" t="s">
        <v>34</v>
      </c>
      <c r="N1194" s="253" t="s">
        <v>3819</v>
      </c>
      <c r="O1194" s="253" t="s">
        <v>1321</v>
      </c>
      <c r="P1194" s="656">
        <v>42113</v>
      </c>
      <c r="Q1194" s="657">
        <v>24.432409</v>
      </c>
      <c r="R1194" s="657">
        <v>30.000396886639685</v>
      </c>
      <c r="S1194" s="253">
        <v>1</v>
      </c>
      <c r="T1194" s="658">
        <v>1.4957832321251363E-2</v>
      </c>
      <c r="U1194" s="659">
        <v>0.74795220117703565</v>
      </c>
      <c r="V1194" s="658">
        <v>8.2397449435070991E-2</v>
      </c>
      <c r="W1194" s="659">
        <v>0.63901776973090907</v>
      </c>
      <c r="X1194" s="658">
        <v>7.7305094823963527E-2</v>
      </c>
      <c r="Y1194" s="659">
        <v>0.40036251220834196</v>
      </c>
      <c r="Z1194" s="658">
        <v>0.11806484078791923</v>
      </c>
      <c r="AA1194" s="659">
        <v>0.53309546190942192</v>
      </c>
      <c r="AB1194" s="658">
        <v>5.7861771487739293E-2</v>
      </c>
      <c r="AC1194" s="660">
        <v>-0.80444236004043523</v>
      </c>
      <c r="AD1194" s="682">
        <v>0</v>
      </c>
      <c r="AE1194" s="944" t="s">
        <v>1771</v>
      </c>
      <c r="AF1194" s="661" t="s">
        <v>1767</v>
      </c>
      <c r="AG1194" s="662" t="s">
        <v>59</v>
      </c>
      <c r="AH1194" s="662" t="s">
        <v>1734</v>
      </c>
      <c r="AI1194" s="662">
        <v>20000</v>
      </c>
      <c r="AJ1194" s="662">
        <v>100</v>
      </c>
      <c r="AK1194" s="662">
        <v>1000</v>
      </c>
      <c r="AL1194" s="658">
        <v>5.0000000000000001E-3</v>
      </c>
      <c r="AM1194" s="658">
        <v>0.2</v>
      </c>
      <c r="AN1194" s="659" t="s">
        <v>2218</v>
      </c>
      <c r="AO1194" s="253" t="s">
        <v>34</v>
      </c>
      <c r="AP1194" s="944" t="s">
        <v>1735</v>
      </c>
      <c r="AQ1194" s="663" t="s">
        <v>669</v>
      </c>
      <c r="AR1194" s="658">
        <v>1.33333333333333E-3</v>
      </c>
      <c r="AS1194" s="658">
        <v>1.33333333333333E-3</v>
      </c>
      <c r="AT1194" s="658" t="s">
        <v>1417</v>
      </c>
      <c r="AU1194" s="658" t="s">
        <v>2751</v>
      </c>
      <c r="AX1194"/>
      <c r="AY1194"/>
      <c r="BA1194"/>
      <c r="BB1194"/>
      <c r="BC1194"/>
      <c r="BD1194"/>
      <c r="BE1194"/>
      <c r="BF1194"/>
      <c r="BG1194"/>
      <c r="BH1194"/>
      <c r="BI1194"/>
      <c r="BJ1194"/>
      <c r="BR1194"/>
      <c r="BS1194"/>
      <c r="BT1194"/>
      <c r="BU1194"/>
      <c r="BX1194"/>
      <c r="BY1194"/>
      <c r="CA1194"/>
    </row>
    <row r="1195" spans="2:79" ht="18.75">
      <c r="B1195" s="252" t="s">
        <v>342</v>
      </c>
      <c r="C1195" s="251">
        <v>400490000113</v>
      </c>
      <c r="D1195" s="252" t="s">
        <v>13</v>
      </c>
      <c r="E1195" s="252" t="s">
        <v>615</v>
      </c>
      <c r="F1195" s="252" t="s">
        <v>619</v>
      </c>
      <c r="G1195" s="253" t="s">
        <v>34</v>
      </c>
      <c r="H1195" s="253" t="s">
        <v>1337</v>
      </c>
      <c r="I1195" s="253" t="s">
        <v>34</v>
      </c>
      <c r="J1195" s="253" t="s">
        <v>1417</v>
      </c>
      <c r="K1195" s="253" t="s">
        <v>48</v>
      </c>
      <c r="L1195" s="655"/>
      <c r="M1195" s="655" t="s">
        <v>34</v>
      </c>
      <c r="N1195" s="253" t="s">
        <v>3820</v>
      </c>
      <c r="O1195" s="253" t="s">
        <v>1321</v>
      </c>
      <c r="P1195" s="656">
        <v>34731</v>
      </c>
      <c r="Q1195" s="657">
        <v>0</v>
      </c>
      <c r="R1195" s="657">
        <v>0</v>
      </c>
      <c r="S1195" s="253">
        <v>6</v>
      </c>
      <c r="T1195" s="658"/>
      <c r="U1195" s="659"/>
      <c r="V1195" s="658"/>
      <c r="W1195" s="659"/>
      <c r="X1195" s="658"/>
      <c r="Y1195" s="659"/>
      <c r="Z1195" s="658"/>
      <c r="AA1195" s="659"/>
      <c r="AB1195" s="658"/>
      <c r="AC1195" s="660"/>
      <c r="AD1195" s="682">
        <v>0</v>
      </c>
      <c r="AE1195" s="944" t="s">
        <v>1771</v>
      </c>
      <c r="AF1195" s="661" t="s">
        <v>1767</v>
      </c>
      <c r="AG1195" s="662" t="s">
        <v>59</v>
      </c>
      <c r="AH1195" s="662" t="s">
        <v>1734</v>
      </c>
      <c r="AI1195" s="662">
        <v>10000</v>
      </c>
      <c r="AJ1195" s="662">
        <v>100</v>
      </c>
      <c r="AK1195" s="662">
        <v>10000</v>
      </c>
      <c r="AL1195" s="658">
        <v>1.4999999999999999E-2</v>
      </c>
      <c r="AM1195" s="658">
        <v>0.2</v>
      </c>
      <c r="AN1195" s="659" t="s">
        <v>64</v>
      </c>
      <c r="AO1195" s="253" t="s">
        <v>34</v>
      </c>
      <c r="AP1195" s="944" t="s">
        <v>1746</v>
      </c>
      <c r="AQ1195" s="663" t="s">
        <v>664</v>
      </c>
      <c r="AR1195" s="658">
        <v>4.4999999999999997E-3</v>
      </c>
      <c r="AS1195" s="658">
        <v>4.4999999999999997E-3</v>
      </c>
      <c r="AT1195" s="658" t="s">
        <v>1417</v>
      </c>
      <c r="AU1195" s="658" t="s">
        <v>2751</v>
      </c>
      <c r="AX1195"/>
      <c r="AY1195"/>
      <c r="BA1195"/>
      <c r="BB1195"/>
      <c r="BC1195"/>
      <c r="BD1195"/>
      <c r="BE1195"/>
      <c r="BF1195"/>
      <c r="BG1195"/>
      <c r="BH1195"/>
      <c r="BI1195"/>
      <c r="BJ1195"/>
      <c r="BR1195"/>
      <c r="BS1195"/>
      <c r="BT1195"/>
      <c r="BU1195"/>
      <c r="BX1195"/>
      <c r="BY1195"/>
      <c r="CA1195"/>
    </row>
    <row r="1196" spans="2:79" ht="18.75">
      <c r="B1196" s="252" t="s">
        <v>343</v>
      </c>
      <c r="C1196" s="251">
        <v>17787909000134</v>
      </c>
      <c r="D1196" s="252" t="s">
        <v>14</v>
      </c>
      <c r="E1196" s="252" t="s">
        <v>607</v>
      </c>
      <c r="F1196" s="252" t="s">
        <v>1417</v>
      </c>
      <c r="G1196" s="253" t="s">
        <v>1417</v>
      </c>
      <c r="H1196" s="253" t="s">
        <v>34</v>
      </c>
      <c r="I1196" s="253" t="s">
        <v>34</v>
      </c>
      <c r="J1196" s="253" t="s">
        <v>608</v>
      </c>
      <c r="K1196" s="253" t="s">
        <v>48</v>
      </c>
      <c r="L1196" s="655"/>
      <c r="M1196" s="655" t="s">
        <v>34</v>
      </c>
      <c r="N1196" s="253" t="s">
        <v>3821</v>
      </c>
      <c r="O1196" s="253" t="s">
        <v>1321</v>
      </c>
      <c r="P1196" s="656">
        <v>41488</v>
      </c>
      <c r="Q1196" s="657">
        <v>58.527191000000002</v>
      </c>
      <c r="R1196" s="657">
        <v>86.022840004310396</v>
      </c>
      <c r="S1196" s="253">
        <v>17</v>
      </c>
      <c r="T1196" s="658">
        <v>3.8039195674886006E-2</v>
      </c>
      <c r="U1196" s="659">
        <v>1.9021138574746856</v>
      </c>
      <c r="V1196" s="658">
        <v>-0.12013862867429925</v>
      </c>
      <c r="W1196" s="659">
        <v>-0.93171231731481818</v>
      </c>
      <c r="X1196" s="658">
        <v>-0.21750471521250225</v>
      </c>
      <c r="Y1196" s="659">
        <v>-1.1264553054094895</v>
      </c>
      <c r="Z1196" s="658">
        <v>-0.14253970380933767</v>
      </c>
      <c r="AA1196" s="659">
        <v>-0.64360624835947189</v>
      </c>
      <c r="AB1196" s="658">
        <v>0.25718044543101443</v>
      </c>
      <c r="AC1196" s="660">
        <v>-0.9685127409420442</v>
      </c>
      <c r="AD1196" s="682">
        <v>26470606000184</v>
      </c>
      <c r="AE1196" s="944" t="s">
        <v>1771</v>
      </c>
      <c r="AF1196" s="661" t="s">
        <v>1767</v>
      </c>
      <c r="AG1196" s="662" t="s">
        <v>59</v>
      </c>
      <c r="AH1196" s="662" t="s">
        <v>1734</v>
      </c>
      <c r="AI1196" s="662">
        <v>20000</v>
      </c>
      <c r="AJ1196" s="662">
        <v>0</v>
      </c>
      <c r="AK1196" s="662">
        <v>0</v>
      </c>
      <c r="AL1196" s="658">
        <v>0</v>
      </c>
      <c r="AM1196" s="658">
        <v>0.1</v>
      </c>
      <c r="AN1196" s="659" t="s">
        <v>666</v>
      </c>
      <c r="AO1196" s="253" t="s">
        <v>34</v>
      </c>
      <c r="AP1196" s="944" t="s">
        <v>1731</v>
      </c>
      <c r="AQ1196" s="663" t="s">
        <v>659</v>
      </c>
      <c r="AR1196" s="658">
        <v>5.3333333333333297E-3</v>
      </c>
      <c r="AS1196" s="658">
        <v>5.3333333333333297E-3</v>
      </c>
      <c r="AT1196" s="658" t="s">
        <v>1417</v>
      </c>
      <c r="AU1196" s="658" t="s">
        <v>2751</v>
      </c>
      <c r="AX1196"/>
      <c r="AY1196"/>
      <c r="BA1196"/>
      <c r="BB1196"/>
      <c r="BC1196"/>
      <c r="BD1196"/>
      <c r="BE1196"/>
      <c r="BF1196"/>
      <c r="BG1196"/>
      <c r="BH1196"/>
      <c r="BI1196"/>
      <c r="BJ1196"/>
      <c r="BR1196"/>
      <c r="BS1196"/>
      <c r="BT1196"/>
      <c r="BU1196"/>
      <c r="BX1196"/>
      <c r="BY1196"/>
      <c r="CA1196"/>
    </row>
    <row r="1197" spans="2:79" ht="18.75">
      <c r="B1197" s="252" t="s">
        <v>1139</v>
      </c>
      <c r="C1197" s="251">
        <v>38120941000131</v>
      </c>
      <c r="D1197" s="252" t="s">
        <v>13</v>
      </c>
      <c r="E1197" s="252" t="s">
        <v>616</v>
      </c>
      <c r="F1197" s="252" t="s">
        <v>699</v>
      </c>
      <c r="G1197" s="253" t="s">
        <v>1417</v>
      </c>
      <c r="H1197" s="253" t="s">
        <v>34</v>
      </c>
      <c r="I1197" s="253" t="s">
        <v>34</v>
      </c>
      <c r="J1197" s="253" t="s">
        <v>611</v>
      </c>
      <c r="K1197" s="253" t="s">
        <v>1417</v>
      </c>
      <c r="L1197" s="655"/>
      <c r="M1197" s="655" t="s">
        <v>1414</v>
      </c>
      <c r="N1197" s="253" t="s">
        <v>3822</v>
      </c>
      <c r="O1197" s="253" t="s">
        <v>1321</v>
      </c>
      <c r="P1197" s="656">
        <v>44076</v>
      </c>
      <c r="Q1197" s="657">
        <v>4.3544105200000001</v>
      </c>
      <c r="R1197" s="657">
        <v>5.4579371861847417</v>
      </c>
      <c r="S1197" s="253">
        <v>5</v>
      </c>
      <c r="T1197" s="658">
        <v>-0.12335502576072588</v>
      </c>
      <c r="U1197" s="659">
        <v>-6.1682509244939929</v>
      </c>
      <c r="V1197" s="658">
        <v>-6.8059197962568097E-2</v>
      </c>
      <c r="W1197" s="659">
        <v>-0.52782018363305694</v>
      </c>
      <c r="X1197" s="658">
        <v>-0.13803978640824144</v>
      </c>
      <c r="Y1197" s="659">
        <v>-0.71490702905101133</v>
      </c>
      <c r="Z1197" s="658"/>
      <c r="AA1197" s="659"/>
      <c r="AB1197" s="658">
        <v>0.30295096628490154</v>
      </c>
      <c r="AC1197" s="660">
        <v>-0.65028050520918468</v>
      </c>
      <c r="AD1197" s="682">
        <v>0</v>
      </c>
      <c r="AE1197" s="944" t="s">
        <v>1747</v>
      </c>
      <c r="AF1197" s="661" t="s">
        <v>1745</v>
      </c>
      <c r="AG1197" s="662" t="s">
        <v>1432</v>
      </c>
      <c r="AH1197" s="662" t="s">
        <v>1734</v>
      </c>
      <c r="AI1197" s="662">
        <v>500</v>
      </c>
      <c r="AJ1197" s="662">
        <v>500</v>
      </c>
      <c r="AK1197" s="662">
        <v>500</v>
      </c>
      <c r="AL1197" s="658">
        <v>1E-3</v>
      </c>
      <c r="AM1197" s="658">
        <v>0</v>
      </c>
      <c r="AN1197" s="659" t="s">
        <v>64</v>
      </c>
      <c r="AO1197" s="253" t="s">
        <v>34</v>
      </c>
      <c r="AP1197" s="944" t="s">
        <v>1746</v>
      </c>
      <c r="AQ1197" s="663" t="s">
        <v>671</v>
      </c>
      <c r="AR1197" s="658">
        <v>3.5E-4</v>
      </c>
      <c r="AS1197" s="658">
        <v>3.5E-4</v>
      </c>
      <c r="AT1197" s="658" t="s">
        <v>1417</v>
      </c>
      <c r="AU1197" s="658" t="s">
        <v>2751</v>
      </c>
      <c r="AX1197"/>
      <c r="AY1197"/>
      <c r="BA1197"/>
      <c r="BB1197"/>
      <c r="BC1197"/>
      <c r="BD1197"/>
      <c r="BE1197"/>
      <c r="BF1197"/>
      <c r="BG1197"/>
      <c r="BH1197"/>
      <c r="BI1197"/>
      <c r="BJ1197"/>
      <c r="BR1197"/>
      <c r="BS1197"/>
      <c r="BT1197"/>
      <c r="BU1197"/>
      <c r="BX1197"/>
      <c r="BY1197"/>
      <c r="CA1197"/>
    </row>
    <row r="1198" spans="2:79" ht="18.75">
      <c r="B1198" s="252" t="s">
        <v>1140</v>
      </c>
      <c r="C1198" s="251">
        <v>17302010000184</v>
      </c>
      <c r="D1198" s="252" t="s">
        <v>11</v>
      </c>
      <c r="E1198" s="252" t="s">
        <v>4235</v>
      </c>
      <c r="F1198" s="252" t="s">
        <v>1417</v>
      </c>
      <c r="G1198" s="253" t="s">
        <v>1417</v>
      </c>
      <c r="H1198" s="253" t="s">
        <v>34</v>
      </c>
      <c r="I1198" s="253" t="s">
        <v>34</v>
      </c>
      <c r="J1198" s="253" t="s">
        <v>611</v>
      </c>
      <c r="K1198" s="253" t="s">
        <v>48</v>
      </c>
      <c r="L1198" s="655"/>
      <c r="M1198" s="655" t="s">
        <v>1414</v>
      </c>
      <c r="N1198" s="253" t="s">
        <v>3823</v>
      </c>
      <c r="O1198" s="253" t="s">
        <v>1321</v>
      </c>
      <c r="P1198" s="656">
        <v>41350</v>
      </c>
      <c r="Q1198" s="657">
        <v>13.283416000000001</v>
      </c>
      <c r="R1198" s="657">
        <v>19.581947186224916</v>
      </c>
      <c r="S1198" s="253">
        <v>5</v>
      </c>
      <c r="T1198" s="658">
        <v>3.1660613696688378E-2</v>
      </c>
      <c r="U1198" s="659">
        <v>1.5831589227945542</v>
      </c>
      <c r="V1198" s="658">
        <v>3.1352963751623886E-2</v>
      </c>
      <c r="W1198" s="659">
        <v>0.24315195565372866</v>
      </c>
      <c r="X1198" s="658">
        <v>7.2622446841028809E-2</v>
      </c>
      <c r="Y1198" s="659">
        <v>0.37611111306700207</v>
      </c>
      <c r="Z1198" s="658">
        <v>0.133011214619426</v>
      </c>
      <c r="AA1198" s="659">
        <v>0.60058248013096582</v>
      </c>
      <c r="AB1198" s="658">
        <v>6.4560951965539654E-2</v>
      </c>
      <c r="AC1198" s="660">
        <v>-1.5116094593409195</v>
      </c>
      <c r="AD1198" s="682">
        <v>0</v>
      </c>
      <c r="AE1198" s="944" t="s">
        <v>1762</v>
      </c>
      <c r="AF1198" s="661" t="s">
        <v>1783</v>
      </c>
      <c r="AG1198" s="662" t="s">
        <v>736</v>
      </c>
      <c r="AH1198" s="662" t="s">
        <v>1730</v>
      </c>
      <c r="AI1198" s="662">
        <v>25000</v>
      </c>
      <c r="AJ1198" s="662">
        <v>5000</v>
      </c>
      <c r="AK1198" s="662">
        <v>25000</v>
      </c>
      <c r="AL1198" s="658">
        <v>8.6999999999999994E-3</v>
      </c>
      <c r="AM1198" s="658">
        <v>0</v>
      </c>
      <c r="AN1198" s="659" t="s">
        <v>64</v>
      </c>
      <c r="AO1198" s="253" t="s">
        <v>34</v>
      </c>
      <c r="AP1198" s="944" t="s">
        <v>1746</v>
      </c>
      <c r="AQ1198" s="663" t="s">
        <v>679</v>
      </c>
      <c r="AR1198" s="658">
        <v>4.176E-3</v>
      </c>
      <c r="AS1198" s="658">
        <v>4.176E-3</v>
      </c>
      <c r="AT1198" s="658" t="s">
        <v>1417</v>
      </c>
      <c r="AU1198" s="658" t="s">
        <v>2751</v>
      </c>
      <c r="AX1198"/>
      <c r="AY1198"/>
      <c r="BA1198"/>
      <c r="BB1198"/>
      <c r="BC1198"/>
      <c r="BD1198"/>
      <c r="BE1198"/>
      <c r="BF1198"/>
      <c r="BG1198"/>
      <c r="BH1198"/>
      <c r="BI1198"/>
      <c r="BJ1198"/>
      <c r="BR1198"/>
      <c r="BS1198"/>
      <c r="BT1198"/>
      <c r="BU1198"/>
      <c r="BX1198"/>
      <c r="BY1198"/>
      <c r="CA1198"/>
    </row>
    <row r="1199" spans="2:79" ht="18.75">
      <c r="B1199" s="252" t="s">
        <v>589</v>
      </c>
      <c r="C1199" s="251">
        <v>10756685000154</v>
      </c>
      <c r="D1199" s="252" t="s">
        <v>14</v>
      </c>
      <c r="E1199" s="252" t="s">
        <v>607</v>
      </c>
      <c r="F1199" s="252" t="s">
        <v>1417</v>
      </c>
      <c r="G1199" s="253" t="s">
        <v>1417</v>
      </c>
      <c r="H1199" s="253" t="s">
        <v>34</v>
      </c>
      <c r="I1199" s="253" t="s">
        <v>34</v>
      </c>
      <c r="J1199" s="253" t="s">
        <v>608</v>
      </c>
      <c r="K1199" s="253" t="s">
        <v>48</v>
      </c>
      <c r="L1199" s="655"/>
      <c r="M1199" s="655" t="s">
        <v>34</v>
      </c>
      <c r="N1199" s="253" t="s">
        <v>3824</v>
      </c>
      <c r="O1199" s="253" t="s">
        <v>1321</v>
      </c>
      <c r="P1199" s="656">
        <v>41418</v>
      </c>
      <c r="Q1199" s="657">
        <v>65.915616999999997</v>
      </c>
      <c r="R1199" s="657">
        <v>78.245342405622424</v>
      </c>
      <c r="S1199" s="253">
        <v>3</v>
      </c>
      <c r="T1199" s="658">
        <v>-6.5499783513781829E-2</v>
      </c>
      <c r="U1199" s="659">
        <v>-3.2752544756200273</v>
      </c>
      <c r="V1199" s="658">
        <v>-0.14077502529027019</v>
      </c>
      <c r="W1199" s="659">
        <v>-1.0917539718955414</v>
      </c>
      <c r="X1199" s="658">
        <v>-0.21669283318815247</v>
      </c>
      <c r="Y1199" s="659">
        <v>-1.1222505744324993</v>
      </c>
      <c r="Z1199" s="658">
        <v>-0.15908764515904028</v>
      </c>
      <c r="AA1199" s="659">
        <v>-0.71832478758416873</v>
      </c>
      <c r="AB1199" s="658">
        <v>0.26364707401514287</v>
      </c>
      <c r="AC1199" s="660">
        <v>-1.0230302602241925</v>
      </c>
      <c r="AD1199" s="682">
        <v>0</v>
      </c>
      <c r="AE1199" s="944" t="s">
        <v>1875</v>
      </c>
      <c r="AF1199" s="661" t="s">
        <v>1742</v>
      </c>
      <c r="AG1199" s="662" t="s">
        <v>741</v>
      </c>
      <c r="AH1199" s="662" t="s">
        <v>1734</v>
      </c>
      <c r="AI1199" s="662">
        <v>5000</v>
      </c>
      <c r="AJ1199" s="662">
        <v>1000</v>
      </c>
      <c r="AK1199" s="662">
        <v>1000</v>
      </c>
      <c r="AL1199" s="658">
        <v>0.03</v>
      </c>
      <c r="AM1199" s="658">
        <v>0.2</v>
      </c>
      <c r="AN1199" s="659" t="s">
        <v>666</v>
      </c>
      <c r="AO1199" s="253" t="s">
        <v>34</v>
      </c>
      <c r="AP1199" s="944" t="s">
        <v>1731</v>
      </c>
      <c r="AQ1199" s="663" t="s">
        <v>665</v>
      </c>
      <c r="AR1199" s="658">
        <v>0.01</v>
      </c>
      <c r="AS1199" s="658">
        <v>0.01</v>
      </c>
      <c r="AT1199" s="658" t="s">
        <v>1417</v>
      </c>
      <c r="AU1199" s="658" t="s">
        <v>2751</v>
      </c>
      <c r="AX1199"/>
      <c r="AY1199"/>
      <c r="BA1199"/>
      <c r="BB1199"/>
      <c r="BC1199"/>
      <c r="BD1199"/>
      <c r="BE1199"/>
      <c r="BF1199"/>
      <c r="BG1199"/>
      <c r="BH1199"/>
      <c r="BI1199"/>
      <c r="BJ1199"/>
      <c r="BR1199"/>
      <c r="BS1199"/>
      <c r="BT1199"/>
      <c r="BU1199"/>
      <c r="BX1199"/>
      <c r="BY1199"/>
      <c r="CA1199"/>
    </row>
    <row r="1200" spans="2:79" ht="18.75">
      <c r="B1200" s="252" t="s">
        <v>1141</v>
      </c>
      <c r="C1200" s="251">
        <v>16987508000165</v>
      </c>
      <c r="D1200" s="252" t="s">
        <v>14</v>
      </c>
      <c r="E1200" s="252" t="s">
        <v>607</v>
      </c>
      <c r="F1200" s="252" t="s">
        <v>1417</v>
      </c>
      <c r="G1200" s="253" t="s">
        <v>1417</v>
      </c>
      <c r="H1200" s="253" t="s">
        <v>34</v>
      </c>
      <c r="I1200" s="253" t="s">
        <v>34</v>
      </c>
      <c r="J1200" s="253" t="s">
        <v>608</v>
      </c>
      <c r="K1200" s="253" t="s">
        <v>48</v>
      </c>
      <c r="L1200" s="655"/>
      <c r="M1200" s="655" t="s">
        <v>34</v>
      </c>
      <c r="N1200" s="253" t="s">
        <v>3825</v>
      </c>
      <c r="O1200" s="253" t="s">
        <v>1321</v>
      </c>
      <c r="P1200" s="656">
        <v>41486</v>
      </c>
      <c r="Q1200" s="657">
        <v>119.48830100000001</v>
      </c>
      <c r="R1200" s="657">
        <v>131.88388547580647</v>
      </c>
      <c r="S1200" s="253">
        <v>32</v>
      </c>
      <c r="T1200" s="658">
        <v>-1.6984879256922714E-3</v>
      </c>
      <c r="U1200" s="659">
        <v>-8.4931275829937355E-2</v>
      </c>
      <c r="V1200" s="658">
        <v>-0.198592415866788</v>
      </c>
      <c r="W1200" s="659">
        <v>-1.540145763524734</v>
      </c>
      <c r="X1200" s="658">
        <v>-0.34061990780523055</v>
      </c>
      <c r="Y1200" s="659">
        <v>-1.7640679738847256</v>
      </c>
      <c r="Z1200" s="658">
        <v>-0.34903744237420775</v>
      </c>
      <c r="AA1200" s="659">
        <v>-1.5760007409860566</v>
      </c>
      <c r="AB1200" s="658">
        <v>0.26621310901963297</v>
      </c>
      <c r="AC1200" s="660">
        <v>-1.2303538564264349</v>
      </c>
      <c r="AD1200" s="682">
        <v>0</v>
      </c>
      <c r="AE1200" s="944" t="s">
        <v>1878</v>
      </c>
      <c r="AF1200" s="661" t="s">
        <v>1729</v>
      </c>
      <c r="AG1200" s="662" t="s">
        <v>1433</v>
      </c>
      <c r="AH1200" s="662" t="s">
        <v>1730</v>
      </c>
      <c r="AI1200" s="662">
        <v>1000</v>
      </c>
      <c r="AJ1200" s="662">
        <v>100</v>
      </c>
      <c r="AK1200" s="662">
        <v>1000</v>
      </c>
      <c r="AL1200" s="658">
        <v>0.02</v>
      </c>
      <c r="AM1200" s="658">
        <v>0.2</v>
      </c>
      <c r="AN1200" s="659" t="s">
        <v>2127</v>
      </c>
      <c r="AO1200" s="253" t="s">
        <v>34</v>
      </c>
      <c r="AP1200" s="944" t="s">
        <v>1731</v>
      </c>
      <c r="AQ1200" s="663" t="s">
        <v>665</v>
      </c>
      <c r="AR1200" s="658">
        <v>5.3333333333333297E-3</v>
      </c>
      <c r="AS1200" s="658">
        <v>5.3333333333333297E-3</v>
      </c>
      <c r="AT1200" s="658" t="s">
        <v>1417</v>
      </c>
      <c r="AU1200" s="658" t="s">
        <v>2751</v>
      </c>
      <c r="AX1200"/>
      <c r="AY1200"/>
      <c r="BA1200"/>
      <c r="BB1200"/>
      <c r="BC1200"/>
      <c r="BD1200"/>
      <c r="BE1200"/>
      <c r="BF1200"/>
      <c r="BG1200"/>
      <c r="BH1200"/>
      <c r="BI1200"/>
      <c r="BJ1200"/>
      <c r="BR1200"/>
      <c r="BS1200"/>
      <c r="BT1200"/>
      <c r="BU1200"/>
      <c r="BX1200"/>
      <c r="BY1200"/>
      <c r="CA1200"/>
    </row>
    <row r="1201" spans="2:79" ht="18.75">
      <c r="B1201" s="252" t="s">
        <v>1142</v>
      </c>
      <c r="C1201" s="251">
        <v>42870843000199</v>
      </c>
      <c r="D1201" s="252" t="s">
        <v>14</v>
      </c>
      <c r="E1201" s="252" t="s">
        <v>607</v>
      </c>
      <c r="F1201" s="252" t="s">
        <v>1417</v>
      </c>
      <c r="G1201" s="253" t="s">
        <v>1417</v>
      </c>
      <c r="H1201" s="253" t="s">
        <v>34</v>
      </c>
      <c r="I1201" s="253" t="s">
        <v>34</v>
      </c>
      <c r="J1201" s="253" t="s">
        <v>608</v>
      </c>
      <c r="K1201" s="253" t="s">
        <v>48</v>
      </c>
      <c r="L1201" s="655"/>
      <c r="M1201" s="655" t="s">
        <v>34</v>
      </c>
      <c r="N1201" s="253" t="s">
        <v>3826</v>
      </c>
      <c r="O1201" s="253" t="s">
        <v>1321</v>
      </c>
      <c r="P1201" s="656">
        <v>44476</v>
      </c>
      <c r="Q1201" s="657">
        <v>20.73</v>
      </c>
      <c r="R1201" s="657">
        <v>21.08693333333332</v>
      </c>
      <c r="S1201" s="253">
        <v>32</v>
      </c>
      <c r="T1201" s="658">
        <v>-1.2850221192332034E-2</v>
      </c>
      <c r="U1201" s="659">
        <v>-0.64256310807557282</v>
      </c>
      <c r="V1201" s="658">
        <v>-0.14332723948811643</v>
      </c>
      <c r="W1201" s="659">
        <v>-1.1115471843768139</v>
      </c>
      <c r="X1201" s="658"/>
      <c r="Y1201" s="659"/>
      <c r="Z1201" s="658"/>
      <c r="AA1201" s="659"/>
      <c r="AB1201" s="658">
        <v>0.25427129979890095</v>
      </c>
      <c r="AC1201" s="660">
        <v>-1.0707899363799203</v>
      </c>
      <c r="AD1201" s="682">
        <v>0</v>
      </c>
      <c r="AE1201" s="944" t="s">
        <v>1878</v>
      </c>
      <c r="AF1201" s="661" t="s">
        <v>1729</v>
      </c>
      <c r="AG1201" s="662" t="s">
        <v>1433</v>
      </c>
      <c r="AH1201" s="662" t="s">
        <v>1734</v>
      </c>
      <c r="AI1201" s="662">
        <v>1000</v>
      </c>
      <c r="AJ1201" s="662">
        <v>100</v>
      </c>
      <c r="AK1201" s="662">
        <v>1000</v>
      </c>
      <c r="AL1201" s="658">
        <v>0</v>
      </c>
      <c r="AM1201" s="658">
        <v>0</v>
      </c>
      <c r="AN1201" s="659" t="s">
        <v>2127</v>
      </c>
      <c r="AO1201" s="253" t="s">
        <v>34</v>
      </c>
      <c r="AP1201" s="944" t="s">
        <v>1731</v>
      </c>
      <c r="AQ1201" s="663" t="s">
        <v>659</v>
      </c>
      <c r="AR1201" s="658">
        <v>6.0000000000000001E-3</v>
      </c>
      <c r="AS1201" s="658">
        <v>6.0000000000000001E-3</v>
      </c>
      <c r="AT1201" s="658" t="s">
        <v>1417</v>
      </c>
      <c r="AU1201" s="658" t="s">
        <v>2751</v>
      </c>
      <c r="AX1201"/>
      <c r="AY1201"/>
      <c r="BA1201"/>
      <c r="BB1201"/>
      <c r="BC1201"/>
      <c r="BD1201"/>
      <c r="BE1201"/>
      <c r="BF1201"/>
      <c r="BG1201"/>
      <c r="BH1201"/>
      <c r="BI1201"/>
      <c r="BJ1201"/>
      <c r="BR1201"/>
      <c r="BS1201"/>
      <c r="BT1201"/>
      <c r="BU1201"/>
      <c r="BX1201"/>
      <c r="BY1201"/>
      <c r="CA1201"/>
    </row>
    <row r="1202" spans="2:79" ht="18.75">
      <c r="B1202" s="252" t="s">
        <v>1686</v>
      </c>
      <c r="C1202" s="251">
        <v>41544075000110</v>
      </c>
      <c r="D1202" s="252" t="s">
        <v>14</v>
      </c>
      <c r="E1202" s="252" t="s">
        <v>607</v>
      </c>
      <c r="F1202" s="252" t="s">
        <v>1417</v>
      </c>
      <c r="G1202" s="253" t="s">
        <v>1417</v>
      </c>
      <c r="H1202" s="253" t="s">
        <v>34</v>
      </c>
      <c r="I1202" s="253" t="s">
        <v>34</v>
      </c>
      <c r="J1202" s="253" t="s">
        <v>611</v>
      </c>
      <c r="K1202" s="253" t="s">
        <v>48</v>
      </c>
      <c r="L1202" s="655"/>
      <c r="M1202" s="655" t="s">
        <v>34</v>
      </c>
      <c r="N1202" s="253" t="s">
        <v>3827</v>
      </c>
      <c r="O1202" s="253" t="s">
        <v>1321</v>
      </c>
      <c r="P1202" s="656">
        <v>44316</v>
      </c>
      <c r="Q1202" s="657">
        <v>52.065341459999999</v>
      </c>
      <c r="R1202" s="657">
        <v>59.982150196144595</v>
      </c>
      <c r="S1202" s="253">
        <v>5</v>
      </c>
      <c r="T1202" s="658">
        <v>1.2062260169462879E-2</v>
      </c>
      <c r="U1202" s="659">
        <v>0.60316186537950633</v>
      </c>
      <c r="V1202" s="658">
        <v>-4.612609174507698E-2</v>
      </c>
      <c r="W1202" s="659">
        <v>-0.35772214401574326</v>
      </c>
      <c r="X1202" s="658"/>
      <c r="Y1202" s="659"/>
      <c r="Z1202" s="658"/>
      <c r="AA1202" s="659"/>
      <c r="AB1202" s="658">
        <v>0.29613867682831146</v>
      </c>
      <c r="AC1202" s="660">
        <v>-0.59117573924112399</v>
      </c>
      <c r="AD1202" s="682">
        <v>0</v>
      </c>
      <c r="AE1202" s="944" t="s">
        <v>1797</v>
      </c>
      <c r="AF1202" s="661" t="s">
        <v>1745</v>
      </c>
      <c r="AG1202" s="662" t="s">
        <v>1432</v>
      </c>
      <c r="AH1202" s="662" t="s">
        <v>1730</v>
      </c>
      <c r="AI1202" s="662">
        <v>1000</v>
      </c>
      <c r="AJ1202" s="662">
        <v>1000</v>
      </c>
      <c r="AK1202" s="662">
        <v>1000</v>
      </c>
      <c r="AL1202" s="658">
        <v>1E-3</v>
      </c>
      <c r="AM1202" s="658">
        <v>0</v>
      </c>
      <c r="AN1202" s="659" t="s">
        <v>34</v>
      </c>
      <c r="AO1202" s="253" t="s">
        <v>34</v>
      </c>
      <c r="AP1202" s="944" t="s">
        <v>1731</v>
      </c>
      <c r="AQ1202" s="663" t="s">
        <v>687</v>
      </c>
      <c r="AR1202" s="658">
        <v>0</v>
      </c>
      <c r="AS1202" s="658">
        <v>0</v>
      </c>
      <c r="AT1202" s="658" t="s">
        <v>1417</v>
      </c>
      <c r="AU1202" s="658" t="s">
        <v>2751</v>
      </c>
      <c r="AX1202"/>
      <c r="AY1202"/>
      <c r="BA1202"/>
      <c r="BB1202"/>
      <c r="BC1202"/>
      <c r="BD1202"/>
      <c r="BE1202"/>
      <c r="BF1202"/>
      <c r="BG1202"/>
      <c r="BH1202"/>
      <c r="BI1202"/>
      <c r="BJ1202"/>
      <c r="BR1202"/>
      <c r="BS1202"/>
      <c r="BT1202"/>
      <c r="BU1202"/>
      <c r="BX1202"/>
      <c r="BY1202"/>
      <c r="CA1202"/>
    </row>
    <row r="1203" spans="2:79" ht="18.75">
      <c r="B1203" s="252" t="s">
        <v>1687</v>
      </c>
      <c r="C1203" s="251">
        <v>31964487000156</v>
      </c>
      <c r="D1203" s="252" t="s">
        <v>1417</v>
      </c>
      <c r="E1203" s="252" t="s">
        <v>1417</v>
      </c>
      <c r="F1203" s="252" t="s">
        <v>1417</v>
      </c>
      <c r="G1203" s="253" t="s">
        <v>1417</v>
      </c>
      <c r="H1203" s="253" t="s">
        <v>34</v>
      </c>
      <c r="I1203" s="253" t="s">
        <v>1417</v>
      </c>
      <c r="J1203" s="253" t="s">
        <v>1417</v>
      </c>
      <c r="K1203" s="253" t="s">
        <v>1417</v>
      </c>
      <c r="L1203" s="655"/>
      <c r="M1203" s="655" t="s">
        <v>34</v>
      </c>
      <c r="N1203" s="253" t="s">
        <v>3828</v>
      </c>
      <c r="O1203" s="253" t="s">
        <v>1321</v>
      </c>
      <c r="P1203" s="656">
        <v>43463</v>
      </c>
      <c r="Q1203" s="657">
        <v>150.74576313</v>
      </c>
      <c r="R1203" s="657">
        <v>140.63434213662649</v>
      </c>
      <c r="S1203" s="253">
        <v>1</v>
      </c>
      <c r="T1203" s="658">
        <v>2.4208056076695739E-2</v>
      </c>
      <c r="U1203" s="659">
        <v>1.2105008560001638</v>
      </c>
      <c r="V1203" s="658">
        <v>0.10474259798327679</v>
      </c>
      <c r="W1203" s="659">
        <v>0.81231132538680484</v>
      </c>
      <c r="X1203" s="658">
        <v>0.13989454666769885</v>
      </c>
      <c r="Y1203" s="659">
        <v>0.7245128186656743</v>
      </c>
      <c r="Z1203" s="658">
        <v>0.18050938097752378</v>
      </c>
      <c r="AA1203" s="659">
        <v>0.81504985895041571</v>
      </c>
      <c r="AB1203" s="658">
        <v>8.039038129086401E-2</v>
      </c>
      <c r="AC1203" s="660">
        <v>-0.3010473526173203</v>
      </c>
      <c r="AD1203" s="682">
        <v>0</v>
      </c>
      <c r="AE1203" s="944" t="s">
        <v>1797</v>
      </c>
      <c r="AF1203" s="661" t="s">
        <v>1745</v>
      </c>
      <c r="AG1203" s="662" t="s">
        <v>1432</v>
      </c>
      <c r="AH1203" s="662" t="s">
        <v>1734</v>
      </c>
      <c r="AI1203" s="662">
        <v>0</v>
      </c>
      <c r="AJ1203" s="662">
        <v>0</v>
      </c>
      <c r="AK1203" s="662">
        <v>0</v>
      </c>
      <c r="AL1203" s="658">
        <v>1E-3</v>
      </c>
      <c r="AM1203" s="658">
        <v>0.1</v>
      </c>
      <c r="AN1203" s="659" t="s">
        <v>34</v>
      </c>
      <c r="AO1203" s="253" t="s">
        <v>34</v>
      </c>
      <c r="AP1203" s="944" t="s">
        <v>1746</v>
      </c>
      <c r="AQ1203" s="663" t="s">
        <v>668</v>
      </c>
      <c r="AR1203" s="658">
        <v>0</v>
      </c>
      <c r="AS1203" s="658">
        <v>0</v>
      </c>
      <c r="AT1203" s="658" t="s">
        <v>1417</v>
      </c>
      <c r="AU1203" s="658" t="s">
        <v>2751</v>
      </c>
      <c r="AX1203"/>
      <c r="AY1203"/>
      <c r="BA1203"/>
      <c r="BB1203"/>
      <c r="BC1203"/>
      <c r="BD1203"/>
      <c r="BE1203"/>
      <c r="BF1203"/>
      <c r="BG1203"/>
      <c r="BH1203"/>
      <c r="BI1203"/>
      <c r="BJ1203"/>
      <c r="BR1203"/>
      <c r="BS1203"/>
      <c r="BT1203"/>
      <c r="BU1203"/>
      <c r="BX1203"/>
      <c r="BY1203"/>
      <c r="CA1203"/>
    </row>
    <row r="1204" spans="2:79" ht="18.75">
      <c r="B1204" s="252" t="s">
        <v>344</v>
      </c>
      <c r="C1204" s="251">
        <v>35726581000128</v>
      </c>
      <c r="D1204" s="252" t="s">
        <v>14</v>
      </c>
      <c r="E1204" s="252" t="s">
        <v>607</v>
      </c>
      <c r="F1204" s="252" t="s">
        <v>1417</v>
      </c>
      <c r="G1204" s="253" t="s">
        <v>1417</v>
      </c>
      <c r="H1204" s="253" t="s">
        <v>34</v>
      </c>
      <c r="I1204" s="253" t="s">
        <v>34</v>
      </c>
      <c r="J1204" s="253" t="s">
        <v>608</v>
      </c>
      <c r="K1204" s="253" t="s">
        <v>48</v>
      </c>
      <c r="L1204" s="655"/>
      <c r="M1204" s="655" t="s">
        <v>1414</v>
      </c>
      <c r="N1204" s="253" t="s">
        <v>3829</v>
      </c>
      <c r="O1204" s="253" t="s">
        <v>1321</v>
      </c>
      <c r="P1204" s="656">
        <v>43831</v>
      </c>
      <c r="Q1204" s="657">
        <v>6.7486292900000002</v>
      </c>
      <c r="R1204" s="657">
        <v>8.0649687605194806</v>
      </c>
      <c r="S1204" s="253">
        <v>32</v>
      </c>
      <c r="T1204" s="658">
        <v>-5.378070599527851E-2</v>
      </c>
      <c r="U1204" s="659">
        <v>-2.6892531328134535</v>
      </c>
      <c r="V1204" s="658">
        <v>9.3129184468288884E-2</v>
      </c>
      <c r="W1204" s="659">
        <v>0.72224570255271159</v>
      </c>
      <c r="X1204" s="658">
        <v>7.8979278683092069E-2</v>
      </c>
      <c r="Y1204" s="659">
        <v>0.40903309798623538</v>
      </c>
      <c r="Z1204" s="658">
        <v>5.2880328816812483E-2</v>
      </c>
      <c r="AA1204" s="659">
        <v>0.23876933326119626</v>
      </c>
      <c r="AB1204" s="658">
        <v>0.23739748687448736</v>
      </c>
      <c r="AC1204" s="660">
        <v>-0.15086396006135819</v>
      </c>
      <c r="AD1204" s="682">
        <v>41867101000141</v>
      </c>
      <c r="AE1204" s="944" t="s">
        <v>1815</v>
      </c>
      <c r="AF1204" s="661" t="s">
        <v>1767</v>
      </c>
      <c r="AG1204" s="662" t="s">
        <v>59</v>
      </c>
      <c r="AH1204" s="662" t="s">
        <v>1734</v>
      </c>
      <c r="AI1204" s="662">
        <v>100</v>
      </c>
      <c r="AJ1204" s="662">
        <v>100</v>
      </c>
      <c r="AK1204" s="662">
        <v>100</v>
      </c>
      <c r="AL1204" s="658">
        <v>0.02</v>
      </c>
      <c r="AM1204" s="658">
        <v>0.2</v>
      </c>
      <c r="AN1204" s="659" t="s">
        <v>2122</v>
      </c>
      <c r="AO1204" s="253" t="s">
        <v>34</v>
      </c>
      <c r="AP1204" s="944" t="s">
        <v>1731</v>
      </c>
      <c r="AQ1204" s="663" t="s">
        <v>659</v>
      </c>
      <c r="AR1204" s="658">
        <v>3.3333333333333301E-3</v>
      </c>
      <c r="AS1204" s="658">
        <v>3.3333333333333301E-3</v>
      </c>
      <c r="AT1204" s="658" t="s">
        <v>1417</v>
      </c>
      <c r="AU1204" s="658" t="s">
        <v>2751</v>
      </c>
      <c r="AX1204"/>
      <c r="AY1204"/>
      <c r="BA1204"/>
      <c r="BB1204"/>
      <c r="BC1204"/>
      <c r="BD1204"/>
      <c r="BE1204"/>
      <c r="BF1204"/>
      <c r="BG1204"/>
      <c r="BH1204"/>
      <c r="BI1204"/>
      <c r="BJ1204"/>
      <c r="BR1204"/>
      <c r="BS1204"/>
      <c r="BT1204"/>
      <c r="BU1204"/>
      <c r="BX1204"/>
      <c r="BY1204"/>
      <c r="CA1204"/>
    </row>
    <row r="1205" spans="2:79" ht="18.75">
      <c r="B1205" s="252" t="s">
        <v>345</v>
      </c>
      <c r="C1205" s="251">
        <v>35343836000173</v>
      </c>
      <c r="D1205" s="252" t="s">
        <v>13</v>
      </c>
      <c r="E1205" s="252" t="s">
        <v>616</v>
      </c>
      <c r="F1205" s="252" t="s">
        <v>617</v>
      </c>
      <c r="G1205" s="253" t="s">
        <v>34</v>
      </c>
      <c r="H1205" s="253" t="s">
        <v>865</v>
      </c>
      <c r="I1205" s="253" t="s">
        <v>34</v>
      </c>
      <c r="J1205" s="253" t="s">
        <v>608</v>
      </c>
      <c r="K1205" s="253" t="s">
        <v>48</v>
      </c>
      <c r="L1205" s="655"/>
      <c r="M1205" s="655" t="s">
        <v>1414</v>
      </c>
      <c r="N1205" s="253" t="s">
        <v>3830</v>
      </c>
      <c r="O1205" s="253" t="s">
        <v>1321</v>
      </c>
      <c r="P1205" s="656">
        <v>43831</v>
      </c>
      <c r="Q1205" s="657">
        <v>16.532457650000001</v>
      </c>
      <c r="R1205" s="657">
        <v>18.586171228577602</v>
      </c>
      <c r="S1205" s="253">
        <v>17</v>
      </c>
      <c r="T1205" s="658">
        <v>7.0452968027905349E-3</v>
      </c>
      <c r="U1205" s="659">
        <v>0.35229337636751001</v>
      </c>
      <c r="V1205" s="658">
        <v>0.10793640749649658</v>
      </c>
      <c r="W1205" s="659">
        <v>0.83708030848125481</v>
      </c>
      <c r="X1205" s="658">
        <v>0.12374488928676608</v>
      </c>
      <c r="Y1205" s="659">
        <v>0.64087386297901816</v>
      </c>
      <c r="Z1205" s="658">
        <v>0.20172313818556087</v>
      </c>
      <c r="AA1205" s="659">
        <v>0.91083584927726691</v>
      </c>
      <c r="AB1205" s="658">
        <v>5.505830659161845E-2</v>
      </c>
      <c r="AC1205" s="660">
        <v>-0.38155009208891572</v>
      </c>
      <c r="AD1205" s="682">
        <v>35726638000199</v>
      </c>
      <c r="AE1205" s="944" t="s">
        <v>1815</v>
      </c>
      <c r="AF1205" s="661" t="s">
        <v>1767</v>
      </c>
      <c r="AG1205" s="662" t="s">
        <v>59</v>
      </c>
      <c r="AH1205" s="662" t="s">
        <v>1734</v>
      </c>
      <c r="AI1205" s="662">
        <v>100</v>
      </c>
      <c r="AJ1205" s="662">
        <v>100</v>
      </c>
      <c r="AK1205" s="662">
        <v>100</v>
      </c>
      <c r="AL1205" s="658">
        <v>1.4999999999999999E-2</v>
      </c>
      <c r="AM1205" s="658">
        <v>0.2</v>
      </c>
      <c r="AN1205" s="659" t="s">
        <v>64</v>
      </c>
      <c r="AO1205" s="253" t="s">
        <v>34</v>
      </c>
      <c r="AP1205" s="944" t="s">
        <v>1746</v>
      </c>
      <c r="AQ1205" s="663" t="s">
        <v>674</v>
      </c>
      <c r="AR1205" s="658">
        <v>2.16666666666667E-3</v>
      </c>
      <c r="AS1205" s="658">
        <v>2.16666666666667E-3</v>
      </c>
      <c r="AT1205" s="658" t="s">
        <v>1417</v>
      </c>
      <c r="AU1205" s="658" t="s">
        <v>2751</v>
      </c>
      <c r="AX1205"/>
      <c r="AY1205"/>
      <c r="BA1205"/>
      <c r="BB1205"/>
      <c r="BC1205"/>
      <c r="BD1205"/>
      <c r="BE1205"/>
      <c r="BF1205"/>
      <c r="BG1205"/>
      <c r="BH1205"/>
      <c r="BI1205"/>
      <c r="BJ1205"/>
      <c r="BR1205"/>
      <c r="BS1205"/>
      <c r="BT1205"/>
      <c r="BU1205"/>
      <c r="BX1205"/>
      <c r="BY1205"/>
      <c r="CA1205"/>
    </row>
    <row r="1206" spans="2:79" ht="18.75">
      <c r="B1206" s="252" t="s">
        <v>1143</v>
      </c>
      <c r="C1206" s="251">
        <v>11451917000129</v>
      </c>
      <c r="D1206" s="252" t="s">
        <v>14</v>
      </c>
      <c r="E1206" s="252" t="s">
        <v>607</v>
      </c>
      <c r="F1206" s="252" t="s">
        <v>1417</v>
      </c>
      <c r="G1206" s="253" t="s">
        <v>1417</v>
      </c>
      <c r="H1206" s="253" t="s">
        <v>34</v>
      </c>
      <c r="I1206" s="253" t="s">
        <v>34</v>
      </c>
      <c r="J1206" s="253" t="s">
        <v>608</v>
      </c>
      <c r="K1206" s="253" t="s">
        <v>48</v>
      </c>
      <c r="L1206" s="655"/>
      <c r="M1206" s="655" t="s">
        <v>34</v>
      </c>
      <c r="N1206" s="253" t="s">
        <v>3831</v>
      </c>
      <c r="O1206" s="253" t="s">
        <v>1321</v>
      </c>
      <c r="P1206" s="656">
        <v>40601</v>
      </c>
      <c r="Q1206" s="657">
        <v>100.857817</v>
      </c>
      <c r="R1206" s="657">
        <v>145.98897628744956</v>
      </c>
      <c r="S1206" s="253">
        <v>15</v>
      </c>
      <c r="T1206" s="658">
        <v>-7.3092976218026462E-2</v>
      </c>
      <c r="U1206" s="659">
        <v>-3.6549448662545205</v>
      </c>
      <c r="V1206" s="658">
        <v>-0.26457455203341262</v>
      </c>
      <c r="W1206" s="659">
        <v>-2.0518576888859985</v>
      </c>
      <c r="X1206" s="658">
        <v>-0.19885295527347535</v>
      </c>
      <c r="Y1206" s="659">
        <v>-1.0298579791491649</v>
      </c>
      <c r="Z1206" s="658">
        <v>-0.2179501926138312</v>
      </c>
      <c r="AA1206" s="659">
        <v>-0.98410549516115187</v>
      </c>
      <c r="AB1206" s="658">
        <v>0.33665337539084389</v>
      </c>
      <c r="AC1206" s="660">
        <v>-1.1689128648222775</v>
      </c>
      <c r="AD1206" s="682">
        <v>0</v>
      </c>
      <c r="AE1206" s="944" t="s">
        <v>1838</v>
      </c>
      <c r="AF1206" s="661" t="s">
        <v>1767</v>
      </c>
      <c r="AG1206" s="662" t="s">
        <v>59</v>
      </c>
      <c r="AH1206" s="662" t="s">
        <v>1734</v>
      </c>
      <c r="AI1206" s="662">
        <v>1000</v>
      </c>
      <c r="AJ1206" s="662">
        <v>1000</v>
      </c>
      <c r="AK1206" s="662">
        <v>1000</v>
      </c>
      <c r="AL1206" s="658">
        <v>0.02</v>
      </c>
      <c r="AM1206" s="658">
        <v>0.2</v>
      </c>
      <c r="AN1206" s="659" t="s">
        <v>666</v>
      </c>
      <c r="AO1206" s="253" t="s">
        <v>34</v>
      </c>
      <c r="AP1206" s="944" t="s">
        <v>1731</v>
      </c>
      <c r="AQ1206" s="663" t="s">
        <v>665</v>
      </c>
      <c r="AR1206" s="658">
        <v>5.5560000000000002E-3</v>
      </c>
      <c r="AS1206" s="658">
        <v>5.5560000000000002E-3</v>
      </c>
      <c r="AT1206" s="658" t="s">
        <v>1417</v>
      </c>
      <c r="AU1206" s="658" t="s">
        <v>2751</v>
      </c>
      <c r="AX1206"/>
      <c r="AY1206"/>
      <c r="BA1206"/>
      <c r="BB1206"/>
      <c r="BC1206"/>
      <c r="BD1206"/>
      <c r="BE1206"/>
      <c r="BF1206"/>
      <c r="BG1206"/>
      <c r="BH1206"/>
      <c r="BI1206"/>
      <c r="BJ1206"/>
      <c r="BR1206"/>
      <c r="BS1206"/>
      <c r="BT1206"/>
      <c r="BU1206"/>
      <c r="BX1206"/>
      <c r="BY1206"/>
      <c r="CA1206"/>
    </row>
    <row r="1207" spans="2:79" ht="18.75">
      <c r="B1207" s="252" t="s">
        <v>346</v>
      </c>
      <c r="C1207" s="251">
        <v>29206196000157</v>
      </c>
      <c r="D1207" s="252" t="s">
        <v>11</v>
      </c>
      <c r="E1207" s="252" t="s">
        <v>620</v>
      </c>
      <c r="F1207" s="252" t="s">
        <v>663</v>
      </c>
      <c r="G1207" s="253" t="s">
        <v>738</v>
      </c>
      <c r="H1207" s="253" t="s">
        <v>34</v>
      </c>
      <c r="I1207" s="253" t="s">
        <v>1417</v>
      </c>
      <c r="J1207" s="253" t="s">
        <v>608</v>
      </c>
      <c r="K1207" s="253" t="s">
        <v>48</v>
      </c>
      <c r="L1207" s="655"/>
      <c r="M1207" s="655" t="s">
        <v>34</v>
      </c>
      <c r="N1207" s="253" t="s">
        <v>3834</v>
      </c>
      <c r="O1207" s="253" t="s">
        <v>1321</v>
      </c>
      <c r="P1207" s="656">
        <v>43109</v>
      </c>
      <c r="Q1207" s="657">
        <v>736.82955630000004</v>
      </c>
      <c r="R1207" s="657">
        <v>988.64362815415268</v>
      </c>
      <c r="S1207" s="253">
        <v>1</v>
      </c>
      <c r="T1207" s="658">
        <v>-4.6655064468001939E-3</v>
      </c>
      <c r="U1207" s="659">
        <v>-0.23329421947938506</v>
      </c>
      <c r="V1207" s="658">
        <v>0.11177350728366098</v>
      </c>
      <c r="W1207" s="659">
        <v>0.86683820711816462</v>
      </c>
      <c r="X1207" s="658">
        <v>0.19583306174998927</v>
      </c>
      <c r="Y1207" s="659">
        <v>1.0142179730096239</v>
      </c>
      <c r="Z1207" s="658">
        <v>0.1878566839289415</v>
      </c>
      <c r="AA1207" s="659">
        <v>0.84822496709044437</v>
      </c>
      <c r="AB1207" s="658">
        <v>1.0360129660452303E-2</v>
      </c>
      <c r="AC1207" s="660">
        <v>-1.6573539835772431</v>
      </c>
      <c r="AD1207" s="682">
        <v>0</v>
      </c>
      <c r="AE1207" s="944" t="s">
        <v>1881</v>
      </c>
      <c r="AF1207" s="661" t="s">
        <v>1729</v>
      </c>
      <c r="AG1207" s="662" t="s">
        <v>1433</v>
      </c>
      <c r="AH1207" s="662" t="s">
        <v>1734</v>
      </c>
      <c r="AI1207" s="662">
        <v>500</v>
      </c>
      <c r="AJ1207" s="662">
        <v>100</v>
      </c>
      <c r="AK1207" s="662">
        <v>100</v>
      </c>
      <c r="AL1207" s="658">
        <v>6.0000000000000001E-3</v>
      </c>
      <c r="AM1207" s="658">
        <v>0</v>
      </c>
      <c r="AN1207" s="659" t="s">
        <v>64</v>
      </c>
      <c r="AO1207" s="253" t="s">
        <v>34</v>
      </c>
      <c r="AP1207" s="944" t="s">
        <v>1735</v>
      </c>
      <c r="AQ1207" s="663" t="s">
        <v>662</v>
      </c>
      <c r="AR1207" s="658">
        <v>1.1199999999999999E-3</v>
      </c>
      <c r="AS1207" s="658">
        <v>1.1199999999999999E-3</v>
      </c>
      <c r="AT1207" s="658" t="s">
        <v>1417</v>
      </c>
      <c r="AU1207" s="658" t="s">
        <v>2751</v>
      </c>
      <c r="AX1207"/>
      <c r="AY1207"/>
      <c r="BA1207"/>
      <c r="BB1207"/>
      <c r="BC1207"/>
      <c r="BD1207"/>
      <c r="BE1207"/>
      <c r="BF1207"/>
      <c r="BG1207"/>
      <c r="BH1207"/>
      <c r="BI1207"/>
      <c r="BJ1207"/>
      <c r="BR1207"/>
      <c r="BS1207"/>
      <c r="BT1207"/>
      <c r="BU1207"/>
      <c r="BX1207"/>
      <c r="BY1207"/>
      <c r="CA1207"/>
    </row>
    <row r="1208" spans="2:79" ht="18.75">
      <c r="B1208" s="252" t="s">
        <v>347</v>
      </c>
      <c r="C1208" s="251">
        <v>29196922000106</v>
      </c>
      <c r="D1208" s="252" t="s">
        <v>11</v>
      </c>
      <c r="E1208" s="252" t="s">
        <v>620</v>
      </c>
      <c r="F1208" s="252" t="s">
        <v>663</v>
      </c>
      <c r="G1208" s="253" t="s">
        <v>738</v>
      </c>
      <c r="H1208" s="253" t="s">
        <v>34</v>
      </c>
      <c r="I1208" s="253" t="s">
        <v>1417</v>
      </c>
      <c r="J1208" s="253" t="s">
        <v>608</v>
      </c>
      <c r="K1208" s="253" t="s">
        <v>48</v>
      </c>
      <c r="L1208" s="655"/>
      <c r="M1208" s="655" t="s">
        <v>34</v>
      </c>
      <c r="N1208" s="253" t="s">
        <v>3835</v>
      </c>
      <c r="O1208" s="253" t="s">
        <v>1321</v>
      </c>
      <c r="P1208" s="656">
        <v>43109</v>
      </c>
      <c r="Q1208" s="657">
        <v>429.06138807999997</v>
      </c>
      <c r="R1208" s="657">
        <v>369.3462877904451</v>
      </c>
      <c r="S1208" s="253">
        <v>31</v>
      </c>
      <c r="T1208" s="658">
        <v>7.4887744144012114E-3</v>
      </c>
      <c r="U1208" s="659">
        <v>0.37446905320710638</v>
      </c>
      <c r="V1208" s="658">
        <v>0.12820178949929373</v>
      </c>
      <c r="W1208" s="659">
        <v>0.99424462969458149</v>
      </c>
      <c r="X1208" s="658">
        <v>0.21027903355302202</v>
      </c>
      <c r="Y1208" s="659">
        <v>1.0890335537358793</v>
      </c>
      <c r="Z1208" s="658">
        <v>0.20204296645292885</v>
      </c>
      <c r="AA1208" s="659">
        <v>0.91227996250171528</v>
      </c>
      <c r="AB1208" s="658">
        <v>4.2939977116152354E-3</v>
      </c>
      <c r="AC1208" s="660">
        <v>-0.17282728062178382</v>
      </c>
      <c r="AD1208" s="682">
        <v>0</v>
      </c>
      <c r="AE1208" s="944" t="s">
        <v>1881</v>
      </c>
      <c r="AF1208" s="661" t="s">
        <v>1729</v>
      </c>
      <c r="AG1208" s="662" t="s">
        <v>1433</v>
      </c>
      <c r="AH1208" s="662" t="s">
        <v>1734</v>
      </c>
      <c r="AI1208" s="662">
        <v>500</v>
      </c>
      <c r="AJ1208" s="662">
        <v>100</v>
      </c>
      <c r="AK1208" s="662">
        <v>100</v>
      </c>
      <c r="AL1208" s="658">
        <v>0.01</v>
      </c>
      <c r="AM1208" s="658">
        <v>0</v>
      </c>
      <c r="AN1208" s="659" t="s">
        <v>64</v>
      </c>
      <c r="AO1208" s="253" t="s">
        <v>34</v>
      </c>
      <c r="AP1208" s="944" t="s">
        <v>1735</v>
      </c>
      <c r="AQ1208" s="663" t="s">
        <v>662</v>
      </c>
      <c r="AR1208" s="658">
        <v>2E-3</v>
      </c>
      <c r="AS1208" s="658">
        <v>2E-3</v>
      </c>
      <c r="AT1208" s="658" t="s">
        <v>1417</v>
      </c>
      <c r="AU1208" s="658" t="s">
        <v>2751</v>
      </c>
      <c r="AX1208"/>
      <c r="AY1208"/>
      <c r="BA1208"/>
      <c r="BB1208"/>
      <c r="BC1208"/>
      <c r="BD1208"/>
      <c r="BE1208"/>
      <c r="BF1208"/>
      <c r="BG1208"/>
      <c r="BH1208"/>
      <c r="BI1208"/>
      <c r="BJ1208"/>
      <c r="BR1208"/>
      <c r="BS1208"/>
      <c r="BT1208"/>
      <c r="BU1208"/>
      <c r="BX1208"/>
      <c r="BY1208"/>
      <c r="CA1208"/>
    </row>
    <row r="1209" spans="2:79" ht="18.75">
      <c r="B1209" s="252" t="s">
        <v>1146</v>
      </c>
      <c r="C1209" s="251">
        <v>43985450000193</v>
      </c>
      <c r="D1209" s="252" t="s">
        <v>11</v>
      </c>
      <c r="E1209" s="252" t="s">
        <v>620</v>
      </c>
      <c r="F1209" s="252" t="s">
        <v>685</v>
      </c>
      <c r="G1209" s="253" t="s">
        <v>738</v>
      </c>
      <c r="H1209" s="253" t="s">
        <v>34</v>
      </c>
      <c r="I1209" s="253" t="s">
        <v>1319</v>
      </c>
      <c r="J1209" s="253" t="s">
        <v>608</v>
      </c>
      <c r="K1209" s="253" t="s">
        <v>48</v>
      </c>
      <c r="L1209" s="655"/>
      <c r="M1209" s="655" t="s">
        <v>1414</v>
      </c>
      <c r="N1209" s="253" t="s">
        <v>3836</v>
      </c>
      <c r="O1209" s="253" t="s">
        <v>1321</v>
      </c>
      <c r="P1209" s="656">
        <v>44505</v>
      </c>
      <c r="Q1209" s="657">
        <v>0</v>
      </c>
      <c r="R1209" s="657">
        <v>0</v>
      </c>
      <c r="S1209" s="253">
        <v>362</v>
      </c>
      <c r="T1209" s="658"/>
      <c r="U1209" s="659"/>
      <c r="V1209" s="658">
        <v>0</v>
      </c>
      <c r="W1209" s="659">
        <v>0</v>
      </c>
      <c r="X1209" s="658"/>
      <c r="Y1209" s="659"/>
      <c r="Z1209" s="658"/>
      <c r="AA1209" s="659"/>
      <c r="AB1209" s="658"/>
      <c r="AC1209" s="660"/>
      <c r="AD1209" s="682">
        <v>0</v>
      </c>
      <c r="AE1209" s="944" t="s">
        <v>1881</v>
      </c>
      <c r="AF1209" s="661" t="s">
        <v>1745</v>
      </c>
      <c r="AG1209" s="662" t="s">
        <v>1432</v>
      </c>
      <c r="AH1209" s="662" t="s">
        <v>1730</v>
      </c>
      <c r="AI1209" s="662">
        <v>25000</v>
      </c>
      <c r="AJ1209" s="662">
        <v>1000</v>
      </c>
      <c r="AK1209" s="662">
        <v>1000</v>
      </c>
      <c r="AL1209" s="658">
        <v>0</v>
      </c>
      <c r="AM1209" s="658">
        <v>0</v>
      </c>
      <c r="AN1209" s="659" t="s">
        <v>2127</v>
      </c>
      <c r="AO1209" s="253" t="s">
        <v>34</v>
      </c>
      <c r="AP1209" s="944" t="s">
        <v>1746</v>
      </c>
      <c r="AQ1209" s="663" t="s">
        <v>668</v>
      </c>
      <c r="AR1209" s="658">
        <v>0</v>
      </c>
      <c r="AS1209" s="658">
        <v>0</v>
      </c>
      <c r="AT1209" s="658" t="s">
        <v>1417</v>
      </c>
      <c r="AU1209" s="658" t="s">
        <v>2751</v>
      </c>
      <c r="AX1209"/>
      <c r="AY1209"/>
      <c r="BA1209"/>
      <c r="BB1209"/>
      <c r="BC1209"/>
      <c r="BD1209"/>
      <c r="BE1209"/>
      <c r="BF1209"/>
      <c r="BG1209"/>
      <c r="BH1209"/>
      <c r="BI1209"/>
      <c r="BJ1209"/>
      <c r="BR1209"/>
      <c r="BS1209"/>
      <c r="BT1209"/>
      <c r="BU1209"/>
      <c r="BX1209"/>
      <c r="BY1209"/>
      <c r="CA1209"/>
    </row>
    <row r="1210" spans="2:79" ht="18.75">
      <c r="B1210" s="252" t="s">
        <v>1147</v>
      </c>
      <c r="C1210" s="251">
        <v>37098161000170</v>
      </c>
      <c r="D1210" s="252" t="s">
        <v>11</v>
      </c>
      <c r="E1210" s="252" t="s">
        <v>4235</v>
      </c>
      <c r="F1210" s="252" t="s">
        <v>1417</v>
      </c>
      <c r="G1210" s="253" t="s">
        <v>1417</v>
      </c>
      <c r="H1210" s="253" t="s">
        <v>34</v>
      </c>
      <c r="I1210" s="253" t="s">
        <v>34</v>
      </c>
      <c r="J1210" s="253" t="s">
        <v>696</v>
      </c>
      <c r="K1210" s="253" t="s">
        <v>49</v>
      </c>
      <c r="L1210" s="655"/>
      <c r="M1210" s="655" t="s">
        <v>1414</v>
      </c>
      <c r="N1210" s="253" t="s">
        <v>3837</v>
      </c>
      <c r="O1210" s="253" t="s">
        <v>1321</v>
      </c>
      <c r="P1210" s="656">
        <v>44215</v>
      </c>
      <c r="Q1210" s="657">
        <v>0</v>
      </c>
      <c r="R1210" s="657">
        <v>0</v>
      </c>
      <c r="S1210" s="253">
        <v>31</v>
      </c>
      <c r="T1210" s="658"/>
      <c r="U1210" s="659"/>
      <c r="V1210" s="658"/>
      <c r="W1210" s="659"/>
      <c r="X1210" s="658"/>
      <c r="Y1210" s="659"/>
      <c r="Z1210" s="658"/>
      <c r="AA1210" s="659"/>
      <c r="AB1210" s="658"/>
      <c r="AC1210" s="660"/>
      <c r="AD1210" s="682">
        <v>0</v>
      </c>
      <c r="AE1210" s="944" t="s">
        <v>1913</v>
      </c>
      <c r="AF1210" s="661" t="s">
        <v>1745</v>
      </c>
      <c r="AG1210" s="662" t="s">
        <v>1432</v>
      </c>
      <c r="AH1210" s="662" t="s">
        <v>1730</v>
      </c>
      <c r="AI1210" s="662">
        <v>1000</v>
      </c>
      <c r="AJ1210" s="662">
        <v>1000</v>
      </c>
      <c r="AK1210" s="662">
        <v>1000</v>
      </c>
      <c r="AL1210" s="658">
        <v>9.0000000000000011E-3</v>
      </c>
      <c r="AM1210" s="658">
        <v>0</v>
      </c>
      <c r="AN1210" s="659" t="s">
        <v>34</v>
      </c>
      <c r="AO1210" s="253" t="s">
        <v>34</v>
      </c>
      <c r="AP1210" s="944" t="s">
        <v>1746</v>
      </c>
      <c r="AQ1210" s="663" t="s">
        <v>679</v>
      </c>
      <c r="AR1210" s="658">
        <v>2.8002000000000001E-3</v>
      </c>
      <c r="AS1210" s="658">
        <v>2.8002000000000001E-3</v>
      </c>
      <c r="AT1210" s="658" t="s">
        <v>1417</v>
      </c>
      <c r="AU1210" s="658" t="s">
        <v>2751</v>
      </c>
      <c r="AX1210"/>
      <c r="AY1210"/>
      <c r="BA1210"/>
      <c r="BB1210"/>
      <c r="BC1210"/>
      <c r="BD1210"/>
      <c r="BE1210"/>
      <c r="BF1210"/>
      <c r="BG1210"/>
      <c r="BH1210"/>
      <c r="BI1210"/>
      <c r="BJ1210"/>
      <c r="BR1210"/>
      <c r="BS1210"/>
      <c r="BT1210"/>
      <c r="BU1210"/>
      <c r="BX1210"/>
      <c r="BY1210"/>
      <c r="CA1210"/>
    </row>
    <row r="1211" spans="2:79" ht="18.75">
      <c r="B1211" s="252" t="s">
        <v>1148</v>
      </c>
      <c r="C1211" s="251">
        <v>21732619000160</v>
      </c>
      <c r="D1211" s="252" t="s">
        <v>11</v>
      </c>
      <c r="E1211" s="252" t="s">
        <v>4235</v>
      </c>
      <c r="F1211" s="252" t="s">
        <v>1417</v>
      </c>
      <c r="G1211" s="253" t="s">
        <v>1417</v>
      </c>
      <c r="H1211" s="253" t="s">
        <v>34</v>
      </c>
      <c r="I1211" s="253" t="s">
        <v>34</v>
      </c>
      <c r="J1211" s="253" t="s">
        <v>700</v>
      </c>
      <c r="K1211" s="253" t="s">
        <v>48</v>
      </c>
      <c r="L1211" s="655"/>
      <c r="M1211" s="655" t="s">
        <v>34</v>
      </c>
      <c r="N1211" s="253" t="s">
        <v>3838</v>
      </c>
      <c r="O1211" s="253" t="s">
        <v>1321</v>
      </c>
      <c r="P1211" s="656">
        <v>42118</v>
      </c>
      <c r="Q1211" s="657">
        <v>37.214362000000001</v>
      </c>
      <c r="R1211" s="657">
        <v>53.448029871405637</v>
      </c>
      <c r="S1211" s="253">
        <v>32</v>
      </c>
      <c r="T1211" s="658">
        <v>1.7433888739451175E-2</v>
      </c>
      <c r="U1211" s="659">
        <v>0.87176505109111602</v>
      </c>
      <c r="V1211" s="658">
        <v>5.796088032110247E-2</v>
      </c>
      <c r="W1211" s="659">
        <v>0.44950459909098189</v>
      </c>
      <c r="X1211" s="658">
        <v>7.3754774505138565E-2</v>
      </c>
      <c r="Y1211" s="659">
        <v>0.38197542963343689</v>
      </c>
      <c r="Z1211" s="658">
        <v>0.19279207350129135</v>
      </c>
      <c r="AA1211" s="659">
        <v>0.87050961818738637</v>
      </c>
      <c r="AB1211" s="658">
        <v>3.9196871721541994E-2</v>
      </c>
      <c r="AC1211" s="660">
        <v>-1.8109360775001517</v>
      </c>
      <c r="AD1211" s="682">
        <v>0</v>
      </c>
      <c r="AE1211" s="944" t="s">
        <v>1913</v>
      </c>
      <c r="AF1211" s="661" t="s">
        <v>1745</v>
      </c>
      <c r="AG1211" s="662" t="s">
        <v>1432</v>
      </c>
      <c r="AH1211" s="662" t="s">
        <v>1730</v>
      </c>
      <c r="AI1211" s="662">
        <v>500</v>
      </c>
      <c r="AJ1211" s="662">
        <v>500</v>
      </c>
      <c r="AK1211" s="662">
        <v>500</v>
      </c>
      <c r="AL1211" s="658">
        <v>0.01</v>
      </c>
      <c r="AM1211" s="658">
        <v>0.2</v>
      </c>
      <c r="AN1211" s="659" t="s">
        <v>34</v>
      </c>
      <c r="AO1211" s="253" t="s">
        <v>34</v>
      </c>
      <c r="AP1211" s="944" t="s">
        <v>1746</v>
      </c>
      <c r="AQ1211" s="663" t="s">
        <v>679</v>
      </c>
      <c r="AR1211" s="658">
        <v>3.1113333333333301E-3</v>
      </c>
      <c r="AS1211" s="658">
        <v>3.1113333333333301E-3</v>
      </c>
      <c r="AT1211" s="658" t="s">
        <v>1417</v>
      </c>
      <c r="AU1211" s="658" t="s">
        <v>2751</v>
      </c>
      <c r="AX1211"/>
      <c r="AY1211"/>
      <c r="BA1211"/>
      <c r="BB1211"/>
      <c r="BC1211"/>
      <c r="BD1211"/>
      <c r="BE1211"/>
      <c r="BF1211"/>
      <c r="BG1211"/>
      <c r="BH1211"/>
      <c r="BI1211"/>
      <c r="BJ1211"/>
      <c r="BR1211"/>
      <c r="BS1211"/>
      <c r="BT1211"/>
      <c r="BU1211"/>
      <c r="BX1211"/>
      <c r="BY1211"/>
      <c r="CA1211"/>
    </row>
    <row r="1212" spans="2:79" ht="18.75">
      <c r="B1212" s="252" t="s">
        <v>348</v>
      </c>
      <c r="C1212" s="251">
        <v>10237439000196</v>
      </c>
      <c r="D1212" s="252" t="s">
        <v>13</v>
      </c>
      <c r="E1212" s="252" t="s">
        <v>616</v>
      </c>
      <c r="F1212" s="252" t="s">
        <v>617</v>
      </c>
      <c r="G1212" s="253" t="s">
        <v>34</v>
      </c>
      <c r="H1212" s="253" t="s">
        <v>1338</v>
      </c>
      <c r="I1212" s="253" t="s">
        <v>34</v>
      </c>
      <c r="J1212" s="253" t="s">
        <v>608</v>
      </c>
      <c r="K1212" s="253" t="s">
        <v>48</v>
      </c>
      <c r="L1212" s="655"/>
      <c r="M1212" s="655" t="s">
        <v>34</v>
      </c>
      <c r="N1212" s="253" t="s">
        <v>3840</v>
      </c>
      <c r="O1212" s="253" t="s">
        <v>1321</v>
      </c>
      <c r="P1212" s="656">
        <v>39660</v>
      </c>
      <c r="Q1212" s="657">
        <v>28.978422999999999</v>
      </c>
      <c r="R1212" s="657">
        <v>25.70811327419354</v>
      </c>
      <c r="S1212" s="253">
        <v>16</v>
      </c>
      <c r="T1212" s="658">
        <v>7.6154590081947138E-3</v>
      </c>
      <c r="U1212" s="659">
        <v>0.38080379601930159</v>
      </c>
      <c r="V1212" s="658">
        <v>0.16477224888573527</v>
      </c>
      <c r="W1212" s="659">
        <v>1.2778598818095577</v>
      </c>
      <c r="X1212" s="658">
        <v>0.28460153089796036</v>
      </c>
      <c r="Y1212" s="659">
        <v>1.4739492157420708</v>
      </c>
      <c r="Z1212" s="658">
        <v>0.48110460710008152</v>
      </c>
      <c r="AA1212" s="659">
        <v>2.1723205743314922</v>
      </c>
      <c r="AB1212" s="658">
        <v>0.10532577354517755</v>
      </c>
      <c r="AC1212" s="660">
        <v>0.34016687685259689</v>
      </c>
      <c r="AD1212" s="682">
        <v>0</v>
      </c>
      <c r="AE1212" s="944" t="s">
        <v>1806</v>
      </c>
      <c r="AF1212" s="661" t="s">
        <v>1729</v>
      </c>
      <c r="AG1212" s="662" t="s">
        <v>1433</v>
      </c>
      <c r="AH1212" s="662" t="s">
        <v>1734</v>
      </c>
      <c r="AI1212" s="662">
        <v>10000</v>
      </c>
      <c r="AJ1212" s="662">
        <v>1000</v>
      </c>
      <c r="AK1212" s="662">
        <v>5000</v>
      </c>
      <c r="AL1212" s="658">
        <v>0.02</v>
      </c>
      <c r="AM1212" s="658">
        <v>0.1</v>
      </c>
      <c r="AN1212" s="659" t="s">
        <v>64</v>
      </c>
      <c r="AO1212" s="253" t="s">
        <v>34</v>
      </c>
      <c r="AP1212" s="944" t="s">
        <v>1746</v>
      </c>
      <c r="AQ1212" s="663" t="s">
        <v>664</v>
      </c>
      <c r="AR1212" s="658">
        <v>4.0000000000000001E-3</v>
      </c>
      <c r="AS1212" s="658">
        <v>4.0000000000000001E-3</v>
      </c>
      <c r="AT1212" s="658" t="s">
        <v>1417</v>
      </c>
      <c r="AU1212" s="658" t="s">
        <v>2751</v>
      </c>
      <c r="AX1212"/>
      <c r="AY1212"/>
      <c r="BA1212"/>
      <c r="BB1212"/>
      <c r="BC1212"/>
      <c r="BD1212"/>
      <c r="BE1212"/>
      <c r="BF1212"/>
      <c r="BG1212"/>
      <c r="BH1212"/>
      <c r="BI1212"/>
      <c r="BJ1212"/>
      <c r="BR1212"/>
      <c r="BS1212"/>
      <c r="BT1212"/>
      <c r="BU1212"/>
      <c r="BX1212"/>
      <c r="BY1212"/>
      <c r="CA1212"/>
    </row>
    <row r="1213" spans="2:79" ht="18.75">
      <c r="B1213" s="252" t="s">
        <v>537</v>
      </c>
      <c r="C1213" s="251">
        <v>25108749000188</v>
      </c>
      <c r="D1213" s="252" t="s">
        <v>13</v>
      </c>
      <c r="E1213" s="252" t="s">
        <v>615</v>
      </c>
      <c r="F1213" s="252" t="s">
        <v>619</v>
      </c>
      <c r="G1213" s="253" t="s">
        <v>34</v>
      </c>
      <c r="H1213" s="253" t="s">
        <v>1338</v>
      </c>
      <c r="I1213" s="253" t="s">
        <v>34</v>
      </c>
      <c r="J1213" s="253" t="s">
        <v>1417</v>
      </c>
      <c r="K1213" s="253" t="s">
        <v>48</v>
      </c>
      <c r="L1213" s="655"/>
      <c r="M1213" s="655" t="s">
        <v>1414</v>
      </c>
      <c r="N1213" s="253" t="s">
        <v>3841</v>
      </c>
      <c r="O1213" s="253" t="s">
        <v>1321</v>
      </c>
      <c r="P1213" s="656">
        <v>42539</v>
      </c>
      <c r="Q1213" s="657">
        <v>9.1609990000000003</v>
      </c>
      <c r="R1213" s="657">
        <v>13.054408483606558</v>
      </c>
      <c r="S1213" s="253">
        <v>3</v>
      </c>
      <c r="T1213" s="658">
        <v>-6.6653832525616075E-3</v>
      </c>
      <c r="U1213" s="659">
        <v>-0.33329616005649465</v>
      </c>
      <c r="V1213" s="658">
        <v>6.8964626857694888E-2</v>
      </c>
      <c r="W1213" s="659">
        <v>0.53484206546533097</v>
      </c>
      <c r="X1213" s="658">
        <v>0.10948649438665869</v>
      </c>
      <c r="Y1213" s="659">
        <v>0.56702974164051045</v>
      </c>
      <c r="Z1213" s="658">
        <v>0.16827904028057405</v>
      </c>
      <c r="AA1213" s="659">
        <v>0.75982648271377773</v>
      </c>
      <c r="AB1213" s="658">
        <v>0.13919101798990613</v>
      </c>
      <c r="AC1213" s="660">
        <v>-0.43091345587718199</v>
      </c>
      <c r="AD1213" s="682">
        <v>0</v>
      </c>
      <c r="AE1213" s="944" t="s">
        <v>1931</v>
      </c>
      <c r="AF1213" s="661" t="s">
        <v>1745</v>
      </c>
      <c r="AG1213" s="662" t="s">
        <v>741</v>
      </c>
      <c r="AH1213" s="662" t="s">
        <v>1734</v>
      </c>
      <c r="AI1213" s="662">
        <v>5000</v>
      </c>
      <c r="AJ1213" s="662">
        <v>5000</v>
      </c>
      <c r="AK1213" s="662">
        <v>5000</v>
      </c>
      <c r="AL1213" s="658">
        <v>7.4999999999999997E-3</v>
      </c>
      <c r="AM1213" s="658">
        <v>0</v>
      </c>
      <c r="AN1213" s="659" t="s">
        <v>2127</v>
      </c>
      <c r="AO1213" s="253" t="s">
        <v>34</v>
      </c>
      <c r="AP1213" s="944" t="s">
        <v>1746</v>
      </c>
      <c r="AQ1213" s="663" t="s">
        <v>668</v>
      </c>
      <c r="AR1213" s="658">
        <v>0</v>
      </c>
      <c r="AS1213" s="658">
        <v>0</v>
      </c>
      <c r="AT1213" s="658" t="s">
        <v>1417</v>
      </c>
      <c r="AU1213" s="658" t="s">
        <v>2751</v>
      </c>
      <c r="AX1213"/>
      <c r="AY1213"/>
      <c r="BA1213"/>
      <c r="BB1213"/>
      <c r="BC1213"/>
      <c r="BD1213"/>
      <c r="BE1213"/>
      <c r="BF1213"/>
      <c r="BG1213"/>
      <c r="BH1213"/>
      <c r="BI1213"/>
      <c r="BJ1213"/>
      <c r="BR1213"/>
      <c r="BS1213"/>
      <c r="BT1213"/>
      <c r="BU1213"/>
      <c r="BX1213"/>
      <c r="BY1213"/>
      <c r="CA1213"/>
    </row>
    <row r="1214" spans="2:79" ht="18.75">
      <c r="B1214" s="252" t="s">
        <v>1149</v>
      </c>
      <c r="C1214" s="251">
        <v>23565840000105</v>
      </c>
      <c r="D1214" s="252" t="s">
        <v>11</v>
      </c>
      <c r="E1214" s="252" t="s">
        <v>620</v>
      </c>
      <c r="F1214" s="252" t="s">
        <v>692</v>
      </c>
      <c r="G1214" s="253" t="s">
        <v>738</v>
      </c>
      <c r="H1214" s="253" t="s">
        <v>34</v>
      </c>
      <c r="I1214" s="253" t="s">
        <v>1417</v>
      </c>
      <c r="J1214" s="253" t="s">
        <v>608</v>
      </c>
      <c r="K1214" s="253" t="s">
        <v>48</v>
      </c>
      <c r="L1214" s="655"/>
      <c r="M1214" s="655" t="s">
        <v>34</v>
      </c>
      <c r="N1214" s="253" t="s">
        <v>3842</v>
      </c>
      <c r="O1214" s="253" t="s">
        <v>1324</v>
      </c>
      <c r="P1214" s="656">
        <v>42366</v>
      </c>
      <c r="Q1214" s="657">
        <v>49.324792000000002</v>
      </c>
      <c r="R1214" s="657">
        <v>53.215614380566791</v>
      </c>
      <c r="S1214" s="253">
        <v>31</v>
      </c>
      <c r="T1214" s="658">
        <v>-2.7205197680113535E-3</v>
      </c>
      <c r="U1214" s="659">
        <v>-0.13603700757754575</v>
      </c>
      <c r="V1214" s="658">
        <v>9.3543847954186132E-2</v>
      </c>
      <c r="W1214" s="659">
        <v>0.72546154646248828</v>
      </c>
      <c r="X1214" s="658">
        <v>0.17995362569552786</v>
      </c>
      <c r="Y1214" s="659">
        <v>0.93197849156673795</v>
      </c>
      <c r="Z1214" s="658">
        <v>0.19673479341565536</v>
      </c>
      <c r="AA1214" s="659">
        <v>0.888312090793968</v>
      </c>
      <c r="AB1214" s="658">
        <v>1.3376889448747403E-2</v>
      </c>
      <c r="AC1214" s="660">
        <v>-2.6463597257221139</v>
      </c>
      <c r="AD1214" s="682">
        <v>26171796000139</v>
      </c>
      <c r="AE1214" s="944" t="s">
        <v>1924</v>
      </c>
      <c r="AF1214" s="661" t="s">
        <v>1729</v>
      </c>
      <c r="AG1214" s="662" t="s">
        <v>1433</v>
      </c>
      <c r="AH1214" s="662" t="s">
        <v>1734</v>
      </c>
      <c r="AI1214" s="662">
        <v>1000</v>
      </c>
      <c r="AJ1214" s="662">
        <v>1000</v>
      </c>
      <c r="AK1214" s="662">
        <v>1000</v>
      </c>
      <c r="AL1214" s="658">
        <v>1.4999999999999999E-2</v>
      </c>
      <c r="AM1214" s="658">
        <v>0</v>
      </c>
      <c r="AN1214" s="659" t="s">
        <v>64</v>
      </c>
      <c r="AO1214" s="253" t="s">
        <v>34</v>
      </c>
      <c r="AP1214" s="944" t="s">
        <v>1735</v>
      </c>
      <c r="AQ1214" s="663" t="s">
        <v>675</v>
      </c>
      <c r="AR1214" s="658">
        <v>1.6000000000000001E-3</v>
      </c>
      <c r="AS1214" s="658">
        <v>1.6000000000000001E-3</v>
      </c>
      <c r="AT1214" s="658" t="s">
        <v>1417</v>
      </c>
      <c r="AU1214" s="658" t="s">
        <v>2751</v>
      </c>
      <c r="AX1214"/>
      <c r="AY1214"/>
      <c r="BA1214"/>
      <c r="BB1214"/>
      <c r="BC1214"/>
      <c r="BD1214"/>
      <c r="BE1214"/>
      <c r="BF1214"/>
      <c r="BG1214"/>
      <c r="BH1214"/>
      <c r="BI1214"/>
      <c r="BJ1214"/>
      <c r="BR1214"/>
      <c r="BS1214"/>
      <c r="BT1214"/>
      <c r="BU1214"/>
      <c r="BX1214"/>
      <c r="BY1214"/>
      <c r="CA1214"/>
    </row>
    <row r="1215" spans="2:79" ht="18.75">
      <c r="B1215" s="252" t="s">
        <v>1150</v>
      </c>
      <c r="C1215" s="251">
        <v>27717045000138</v>
      </c>
      <c r="D1215" s="252" t="s">
        <v>11</v>
      </c>
      <c r="E1215" s="252" t="s">
        <v>620</v>
      </c>
      <c r="F1215" s="252" t="s">
        <v>692</v>
      </c>
      <c r="G1215" s="253" t="s">
        <v>738</v>
      </c>
      <c r="H1215" s="253" t="s">
        <v>34</v>
      </c>
      <c r="I1215" s="253" t="s">
        <v>1417</v>
      </c>
      <c r="J1215" s="253" t="s">
        <v>608</v>
      </c>
      <c r="K1215" s="253" t="s">
        <v>48</v>
      </c>
      <c r="L1215" s="655"/>
      <c r="M1215" s="655" t="s">
        <v>1414</v>
      </c>
      <c r="N1215" s="253" t="s">
        <v>3843</v>
      </c>
      <c r="O1215" s="253" t="s">
        <v>1321</v>
      </c>
      <c r="P1215" s="656">
        <v>42894</v>
      </c>
      <c r="Q1215" s="657">
        <v>54.138705999999999</v>
      </c>
      <c r="R1215" s="657">
        <v>53.741922588709691</v>
      </c>
      <c r="S1215" s="253">
        <v>5</v>
      </c>
      <c r="T1215" s="658">
        <v>-1.5609614572337227E-3</v>
      </c>
      <c r="U1215" s="659">
        <v>-7.8054395370625584E-2</v>
      </c>
      <c r="V1215" s="658">
        <v>9.3612714935542796E-2</v>
      </c>
      <c r="W1215" s="659">
        <v>0.72599563125681577</v>
      </c>
      <c r="X1215" s="658">
        <v>0.18175218485907285</v>
      </c>
      <c r="Y1215" s="659">
        <v>0.94129321612288708</v>
      </c>
      <c r="Z1215" s="658">
        <v>0.19925805579506672</v>
      </c>
      <c r="AA1215" s="659">
        <v>0.89970531941896781</v>
      </c>
      <c r="AB1215" s="658">
        <v>1.2820751942243672E-2</v>
      </c>
      <c r="AC1215" s="660">
        <v>-2.755781772427186</v>
      </c>
      <c r="AD1215" s="682">
        <v>26751126000191</v>
      </c>
      <c r="AE1215" s="944" t="s">
        <v>1924</v>
      </c>
      <c r="AF1215" s="661" t="s">
        <v>1729</v>
      </c>
      <c r="AG1215" s="662" t="s">
        <v>1433</v>
      </c>
      <c r="AH1215" s="662" t="s">
        <v>1734</v>
      </c>
      <c r="AI1215" s="662">
        <v>100</v>
      </c>
      <c r="AJ1215" s="662">
        <v>100</v>
      </c>
      <c r="AK1215" s="662">
        <v>100</v>
      </c>
      <c r="AL1215" s="658">
        <v>3.0000000000000001E-3</v>
      </c>
      <c r="AM1215" s="658">
        <v>0</v>
      </c>
      <c r="AN1215" s="659" t="s">
        <v>64</v>
      </c>
      <c r="AO1215" s="253" t="s">
        <v>34</v>
      </c>
      <c r="AP1215" s="944" t="s">
        <v>1735</v>
      </c>
      <c r="AQ1215" s="663" t="s">
        <v>675</v>
      </c>
      <c r="AR1215" s="658">
        <v>4.0000000000000002E-4</v>
      </c>
      <c r="AS1215" s="658">
        <v>4.0000000000000002E-4</v>
      </c>
      <c r="AT1215" s="658" t="s">
        <v>1417</v>
      </c>
      <c r="AU1215" s="658" t="s">
        <v>2751</v>
      </c>
      <c r="AX1215"/>
      <c r="AY1215"/>
      <c r="BA1215"/>
      <c r="BB1215"/>
      <c r="BC1215"/>
      <c r="BD1215"/>
      <c r="BE1215"/>
      <c r="BF1215"/>
      <c r="BG1215"/>
      <c r="BH1215"/>
      <c r="BI1215"/>
      <c r="BJ1215"/>
      <c r="BR1215"/>
      <c r="BS1215"/>
      <c r="BT1215"/>
      <c r="BU1215"/>
      <c r="BX1215"/>
      <c r="BY1215"/>
      <c r="CA1215"/>
    </row>
    <row r="1216" spans="2:79" ht="18.75">
      <c r="B1216" s="252" t="s">
        <v>1151</v>
      </c>
      <c r="C1216" s="251">
        <v>29178368000126</v>
      </c>
      <c r="D1216" s="252" t="s">
        <v>11</v>
      </c>
      <c r="E1216" s="252" t="s">
        <v>4235</v>
      </c>
      <c r="F1216" s="252" t="s">
        <v>1417</v>
      </c>
      <c r="G1216" s="253" t="s">
        <v>1417</v>
      </c>
      <c r="H1216" s="253" t="s">
        <v>34</v>
      </c>
      <c r="I1216" s="253" t="s">
        <v>34</v>
      </c>
      <c r="J1216" s="253" t="s">
        <v>611</v>
      </c>
      <c r="K1216" s="253" t="s">
        <v>48</v>
      </c>
      <c r="L1216" s="655"/>
      <c r="M1216" s="655" t="s">
        <v>34</v>
      </c>
      <c r="N1216" s="253" t="s">
        <v>3844</v>
      </c>
      <c r="O1216" s="253" t="s">
        <v>1321</v>
      </c>
      <c r="P1216" s="656">
        <v>43252</v>
      </c>
      <c r="Q1216" s="657">
        <v>21.986912870000001</v>
      </c>
      <c r="R1216" s="657">
        <v>27.701923912730919</v>
      </c>
      <c r="S1216" s="253">
        <v>5</v>
      </c>
      <c r="T1216" s="658">
        <v>1.0600042723099223E-2</v>
      </c>
      <c r="U1216" s="659">
        <v>0.53004507050453442</v>
      </c>
      <c r="V1216" s="658">
        <v>-1.563879303827842E-2</v>
      </c>
      <c r="W1216" s="659">
        <v>-0.121283689205438</v>
      </c>
      <c r="X1216" s="658">
        <v>-1.6213137523890642E-2</v>
      </c>
      <c r="Y1216" s="659">
        <v>-8.3967718875781402E-2</v>
      </c>
      <c r="Z1216" s="658">
        <v>2.5724062334589126E-2</v>
      </c>
      <c r="AA1216" s="659">
        <v>0.11615126739617598</v>
      </c>
      <c r="AB1216" s="658">
        <v>9.8779030676645438E-2</v>
      </c>
      <c r="AC1216" s="660">
        <v>-1.4636983324766599</v>
      </c>
      <c r="AD1216" s="682">
        <v>29599922000149</v>
      </c>
      <c r="AE1216" s="944" t="s">
        <v>1747</v>
      </c>
      <c r="AF1216" s="661" t="s">
        <v>1745</v>
      </c>
      <c r="AG1216" s="662" t="s">
        <v>1432</v>
      </c>
      <c r="AH1216" s="662" t="s">
        <v>1730</v>
      </c>
      <c r="AI1216" s="662">
        <v>5000</v>
      </c>
      <c r="AJ1216" s="662">
        <v>5000</v>
      </c>
      <c r="AK1216" s="662">
        <v>5000</v>
      </c>
      <c r="AL1216" s="658">
        <v>9.0000000000000011E-3</v>
      </c>
      <c r="AM1216" s="658">
        <v>0</v>
      </c>
      <c r="AN1216" s="659" t="s">
        <v>34</v>
      </c>
      <c r="AO1216" s="253" t="s">
        <v>34</v>
      </c>
      <c r="AP1216" s="944" t="s">
        <v>1746</v>
      </c>
      <c r="AQ1216" s="663" t="s">
        <v>679</v>
      </c>
      <c r="AR1216" s="658">
        <v>5.3328000000000004E-3</v>
      </c>
      <c r="AS1216" s="658">
        <v>5.3328000000000004E-3</v>
      </c>
      <c r="AT1216" s="658" t="s">
        <v>1417</v>
      </c>
      <c r="AU1216" s="658" t="s">
        <v>2751</v>
      </c>
      <c r="AX1216"/>
      <c r="AY1216"/>
      <c r="BA1216"/>
      <c r="BB1216"/>
      <c r="BC1216"/>
      <c r="BD1216"/>
      <c r="BE1216"/>
      <c r="BF1216"/>
      <c r="BG1216"/>
      <c r="BH1216"/>
      <c r="BI1216"/>
      <c r="BJ1216"/>
      <c r="BR1216"/>
      <c r="BS1216"/>
      <c r="BT1216"/>
      <c r="BU1216"/>
      <c r="BX1216"/>
      <c r="BY1216"/>
      <c r="CA1216"/>
    </row>
    <row r="1217" spans="2:79" ht="18.75">
      <c r="B1217" s="252" t="s">
        <v>1152</v>
      </c>
      <c r="C1217" s="251">
        <v>45560944000151</v>
      </c>
      <c r="D1217" s="252" t="s">
        <v>14</v>
      </c>
      <c r="E1217" s="252" t="s">
        <v>607</v>
      </c>
      <c r="F1217" s="252" t="s">
        <v>1417</v>
      </c>
      <c r="G1217" s="253" t="s">
        <v>1417</v>
      </c>
      <c r="H1217" s="253" t="s">
        <v>34</v>
      </c>
      <c r="I1217" s="253" t="s">
        <v>34</v>
      </c>
      <c r="J1217" s="253" t="s">
        <v>611</v>
      </c>
      <c r="K1217" s="253" t="s">
        <v>48</v>
      </c>
      <c r="L1217" s="655"/>
      <c r="M1217" s="655" t="s">
        <v>1414</v>
      </c>
      <c r="N1217" s="253" t="s">
        <v>3845</v>
      </c>
      <c r="O1217" s="253" t="s">
        <v>1321</v>
      </c>
      <c r="P1217" s="656">
        <v>44661</v>
      </c>
      <c r="Q1217" s="657">
        <v>7.8621512999999998</v>
      </c>
      <c r="R1217" s="657">
        <v>7.0275176303208564</v>
      </c>
      <c r="S1217" s="253">
        <v>32</v>
      </c>
      <c r="T1217" s="658">
        <v>5.2442951055396758E-2</v>
      </c>
      <c r="U1217" s="659">
        <v>2.6223599673847677</v>
      </c>
      <c r="V1217" s="658"/>
      <c r="W1217" s="659"/>
      <c r="X1217" s="658"/>
      <c r="Y1217" s="659"/>
      <c r="Z1217" s="658"/>
      <c r="AA1217" s="659"/>
      <c r="AB1217" s="658">
        <v>0.28137305249265115</v>
      </c>
      <c r="AC1217" s="660"/>
      <c r="AD1217" s="682">
        <v>0</v>
      </c>
      <c r="AE1217" s="944" t="s">
        <v>2040</v>
      </c>
      <c r="AF1217" s="661" t="s">
        <v>1745</v>
      </c>
      <c r="AG1217" s="662" t="s">
        <v>1432</v>
      </c>
      <c r="AH1217" s="662" t="s">
        <v>1730</v>
      </c>
      <c r="AI1217" s="662">
        <v>50000</v>
      </c>
      <c r="AJ1217" s="662">
        <v>0</v>
      </c>
      <c r="AK1217" s="662">
        <v>0</v>
      </c>
      <c r="AL1217" s="658">
        <v>1.6299999999999999E-2</v>
      </c>
      <c r="AM1217" s="658">
        <v>0.2</v>
      </c>
      <c r="AN1217" s="659" t="s">
        <v>2127</v>
      </c>
      <c r="AO1217" s="253" t="s">
        <v>34</v>
      </c>
      <c r="AP1217" s="944" t="s">
        <v>1731</v>
      </c>
      <c r="AQ1217" s="663" t="s">
        <v>694</v>
      </c>
      <c r="AR1217" s="658">
        <v>0</v>
      </c>
      <c r="AS1217" s="658">
        <v>0</v>
      </c>
      <c r="AT1217" s="658" t="s">
        <v>1417</v>
      </c>
      <c r="AU1217" s="658" t="s">
        <v>2751</v>
      </c>
      <c r="AX1217"/>
      <c r="AY1217"/>
      <c r="BA1217"/>
      <c r="BB1217"/>
      <c r="BC1217"/>
      <c r="BD1217"/>
      <c r="BE1217"/>
      <c r="BF1217"/>
      <c r="BG1217"/>
      <c r="BH1217"/>
      <c r="BI1217"/>
      <c r="BJ1217"/>
      <c r="BR1217"/>
      <c r="BS1217"/>
      <c r="BT1217"/>
      <c r="BU1217"/>
      <c r="BX1217"/>
      <c r="BY1217"/>
      <c r="CA1217"/>
    </row>
    <row r="1218" spans="2:79" ht="18.75">
      <c r="B1218" s="252" t="s">
        <v>349</v>
      </c>
      <c r="C1218" s="251">
        <v>40102306000173</v>
      </c>
      <c r="D1218" s="252" t="s">
        <v>14</v>
      </c>
      <c r="E1218" s="252" t="s">
        <v>15</v>
      </c>
      <c r="F1218" s="252" t="s">
        <v>16</v>
      </c>
      <c r="G1218" s="253" t="s">
        <v>1417</v>
      </c>
      <c r="H1218" s="253" t="s">
        <v>34</v>
      </c>
      <c r="I1218" s="253" t="s">
        <v>34</v>
      </c>
      <c r="J1218" s="253" t="s">
        <v>690</v>
      </c>
      <c r="K1218" s="253" t="s">
        <v>49</v>
      </c>
      <c r="L1218" s="655"/>
      <c r="M1218" s="655" t="s">
        <v>1414</v>
      </c>
      <c r="N1218" s="253" t="s">
        <v>3846</v>
      </c>
      <c r="O1218" s="253" t="s">
        <v>1321</v>
      </c>
      <c r="P1218" s="656">
        <v>44186</v>
      </c>
      <c r="Q1218" s="657">
        <v>62.733642140000001</v>
      </c>
      <c r="R1218" s="657">
        <v>83.008870227831338</v>
      </c>
      <c r="S1218" s="253">
        <v>15</v>
      </c>
      <c r="T1218" s="658">
        <v>3.3950864407014114E-2</v>
      </c>
      <c r="U1218" s="659">
        <v>1.6976807347286043</v>
      </c>
      <c r="V1218" s="658">
        <v>-0.11485245914816211</v>
      </c>
      <c r="W1218" s="659">
        <v>-0.89071643353235386</v>
      </c>
      <c r="X1218" s="658">
        <v>6.0857577761829651E-2</v>
      </c>
      <c r="Y1218" s="659">
        <v>0.31518094344394743</v>
      </c>
      <c r="Z1218" s="658"/>
      <c r="AA1218" s="659"/>
      <c r="AB1218" s="658">
        <v>0.23602841901251978</v>
      </c>
      <c r="AC1218" s="660">
        <v>-1.0329110774665597</v>
      </c>
      <c r="AD1218" s="682">
        <v>40102272000117</v>
      </c>
      <c r="AE1218" s="944" t="s">
        <v>2040</v>
      </c>
      <c r="AF1218" s="661" t="s">
        <v>1745</v>
      </c>
      <c r="AG1218" s="662" t="s">
        <v>1432</v>
      </c>
      <c r="AH1218" s="662" t="s">
        <v>1734</v>
      </c>
      <c r="AI1218" s="662">
        <v>1000</v>
      </c>
      <c r="AJ1218" s="662">
        <v>1000</v>
      </c>
      <c r="AK1218" s="662">
        <v>1000</v>
      </c>
      <c r="AL1218" s="658">
        <v>1.4999999999999999E-2</v>
      </c>
      <c r="AM1218" s="658">
        <v>0.2</v>
      </c>
      <c r="AN1218" s="659" t="s">
        <v>34</v>
      </c>
      <c r="AO1218" s="253" t="s">
        <v>34</v>
      </c>
      <c r="AP1218" s="944" t="s">
        <v>1731</v>
      </c>
      <c r="AQ1218" s="663" t="s">
        <v>659</v>
      </c>
      <c r="AR1218" s="658">
        <v>3.0000000000000001E-3</v>
      </c>
      <c r="AS1218" s="658">
        <v>3.0000000000000001E-3</v>
      </c>
      <c r="AT1218" s="658" t="s">
        <v>1417</v>
      </c>
      <c r="AU1218" s="658" t="s">
        <v>2751</v>
      </c>
      <c r="AX1218"/>
      <c r="AY1218"/>
      <c r="BA1218"/>
      <c r="BB1218"/>
      <c r="BC1218"/>
      <c r="BD1218"/>
      <c r="BE1218"/>
      <c r="BF1218"/>
      <c r="BG1218"/>
      <c r="BH1218"/>
      <c r="BI1218"/>
      <c r="BJ1218"/>
      <c r="BR1218"/>
      <c r="BS1218"/>
      <c r="BT1218"/>
      <c r="BU1218"/>
      <c r="BX1218"/>
      <c r="BY1218"/>
      <c r="CA1218"/>
    </row>
    <row r="1219" spans="2:79" ht="18.75">
      <c r="B1219" s="252" t="s">
        <v>585</v>
      </c>
      <c r="C1219" s="251">
        <v>41088682000113</v>
      </c>
      <c r="D1219" s="252" t="s">
        <v>14</v>
      </c>
      <c r="E1219" s="252" t="s">
        <v>15</v>
      </c>
      <c r="F1219" s="252" t="s">
        <v>16</v>
      </c>
      <c r="G1219" s="253" t="s">
        <v>1417</v>
      </c>
      <c r="H1219" s="253" t="s">
        <v>34</v>
      </c>
      <c r="I1219" s="253" t="s">
        <v>34</v>
      </c>
      <c r="J1219" s="253" t="s">
        <v>690</v>
      </c>
      <c r="K1219" s="253" t="s">
        <v>48</v>
      </c>
      <c r="L1219" s="655"/>
      <c r="M1219" s="655" t="s">
        <v>1414</v>
      </c>
      <c r="N1219" s="253" t="s">
        <v>3847</v>
      </c>
      <c r="O1219" s="253" t="s">
        <v>1321</v>
      </c>
      <c r="P1219" s="656">
        <v>44306</v>
      </c>
      <c r="Q1219" s="657">
        <v>19.220636670000001</v>
      </c>
      <c r="R1219" s="657">
        <v>16.742766835964908</v>
      </c>
      <c r="S1219" s="253">
        <v>15</v>
      </c>
      <c r="T1219" s="658">
        <v>6.5456429448099707E-2</v>
      </c>
      <c r="U1219" s="659">
        <v>3.2730865967348732</v>
      </c>
      <c r="V1219" s="658">
        <v>-3.701844102615881E-2</v>
      </c>
      <c r="W1219" s="659">
        <v>-0.28708948863874267</v>
      </c>
      <c r="X1219" s="658"/>
      <c r="Y1219" s="659"/>
      <c r="Z1219" s="658"/>
      <c r="AA1219" s="659"/>
      <c r="AB1219" s="658">
        <v>0.21928851518602804</v>
      </c>
      <c r="AC1219" s="660">
        <v>-0.75682189891320606</v>
      </c>
      <c r="AD1219" s="682">
        <v>41536017000145</v>
      </c>
      <c r="AE1219" s="944" t="s">
        <v>2040</v>
      </c>
      <c r="AF1219" s="661" t="s">
        <v>1745</v>
      </c>
      <c r="AG1219" s="662" t="s">
        <v>1432</v>
      </c>
      <c r="AH1219" s="662" t="s">
        <v>1734</v>
      </c>
      <c r="AI1219" s="662">
        <v>1000</v>
      </c>
      <c r="AJ1219" s="662">
        <v>1000</v>
      </c>
      <c r="AK1219" s="662">
        <v>1000</v>
      </c>
      <c r="AL1219" s="658">
        <v>1.4999999999999999E-2</v>
      </c>
      <c r="AM1219" s="658">
        <v>0.2</v>
      </c>
      <c r="AN1219" s="659" t="s">
        <v>34</v>
      </c>
      <c r="AO1219" s="253" t="s">
        <v>34</v>
      </c>
      <c r="AP1219" s="944" t="s">
        <v>1731</v>
      </c>
      <c r="AQ1219" s="663" t="s">
        <v>659</v>
      </c>
      <c r="AR1219" s="658">
        <v>3.0000000000000001E-3</v>
      </c>
      <c r="AS1219" s="658">
        <v>3.0000000000000001E-3</v>
      </c>
      <c r="AT1219" s="658" t="s">
        <v>1417</v>
      </c>
      <c r="AU1219" s="658" t="s">
        <v>2751</v>
      </c>
      <c r="AX1219"/>
      <c r="AY1219"/>
      <c r="BA1219"/>
      <c r="BB1219"/>
      <c r="BC1219"/>
      <c r="BD1219"/>
      <c r="BE1219"/>
      <c r="BF1219"/>
      <c r="BG1219"/>
      <c r="BH1219"/>
      <c r="BI1219"/>
      <c r="BJ1219"/>
      <c r="BR1219"/>
      <c r="BS1219"/>
      <c r="BT1219"/>
      <c r="BU1219"/>
      <c r="BX1219"/>
      <c r="BY1219"/>
      <c r="CA1219"/>
    </row>
    <row r="1220" spans="2:79" ht="18.75">
      <c r="B1220" s="252" t="s">
        <v>350</v>
      </c>
      <c r="C1220" s="251">
        <v>20468028000165</v>
      </c>
      <c r="D1220" s="252" t="s">
        <v>14</v>
      </c>
      <c r="E1220" s="252" t="s">
        <v>607</v>
      </c>
      <c r="F1220" s="252" t="s">
        <v>1417</v>
      </c>
      <c r="G1220" s="253" t="s">
        <v>1417</v>
      </c>
      <c r="H1220" s="253" t="s">
        <v>34</v>
      </c>
      <c r="I1220" s="253" t="s">
        <v>34</v>
      </c>
      <c r="J1220" s="253" t="s">
        <v>608</v>
      </c>
      <c r="K1220" s="253" t="s">
        <v>48</v>
      </c>
      <c r="L1220" s="655"/>
      <c r="M1220" s="655" t="s">
        <v>34</v>
      </c>
      <c r="N1220" s="253" t="s">
        <v>3848</v>
      </c>
      <c r="O1220" s="253" t="s">
        <v>1321</v>
      </c>
      <c r="P1220" s="656">
        <v>41801</v>
      </c>
      <c r="Q1220" s="657">
        <v>63.426760000000002</v>
      </c>
      <c r="R1220" s="657">
        <v>71.122999758064509</v>
      </c>
      <c r="S1220" s="253">
        <v>32</v>
      </c>
      <c r="T1220" s="658">
        <v>5.7334307818135422E-4</v>
      </c>
      <c r="U1220" s="659">
        <v>2.8669476174438435E-2</v>
      </c>
      <c r="V1220" s="658">
        <v>4.3875669665586647E-2</v>
      </c>
      <c r="W1220" s="659">
        <v>0.3402694229904123</v>
      </c>
      <c r="X1220" s="658">
        <v>-8.3203665220684453E-2</v>
      </c>
      <c r="Y1220" s="659">
        <v>-0.43091116450411393</v>
      </c>
      <c r="Z1220" s="658">
        <v>-4.7816274585244734E-2</v>
      </c>
      <c r="AA1220" s="659">
        <v>-0.21590372558582296</v>
      </c>
      <c r="AB1220" s="658">
        <v>0.21902041532629501</v>
      </c>
      <c r="AC1220" s="660">
        <v>-0.3884032438458655</v>
      </c>
      <c r="AD1220" s="682">
        <v>0</v>
      </c>
      <c r="AE1220" s="944" t="s">
        <v>1903</v>
      </c>
      <c r="AF1220" s="661" t="s">
        <v>1745</v>
      </c>
      <c r="AG1220" s="662" t="s">
        <v>1432</v>
      </c>
      <c r="AH1220" s="662" t="s">
        <v>1734</v>
      </c>
      <c r="AI1220" s="662">
        <v>100</v>
      </c>
      <c r="AJ1220" s="662">
        <v>100</v>
      </c>
      <c r="AK1220" s="662">
        <v>100</v>
      </c>
      <c r="AL1220" s="658">
        <v>1.66E-2</v>
      </c>
      <c r="AM1220" s="658">
        <v>0.2</v>
      </c>
      <c r="AN1220" s="659" t="s">
        <v>2127</v>
      </c>
      <c r="AO1220" s="253" t="s">
        <v>34</v>
      </c>
      <c r="AP1220" s="944" t="s">
        <v>1731</v>
      </c>
      <c r="AQ1220" s="663" t="s">
        <v>659</v>
      </c>
      <c r="AR1220" s="658">
        <v>3.8733333333333302E-3</v>
      </c>
      <c r="AS1220" s="658">
        <v>3.8733333333333302E-3</v>
      </c>
      <c r="AT1220" s="658" t="s">
        <v>1417</v>
      </c>
      <c r="AU1220" s="658" t="s">
        <v>2751</v>
      </c>
      <c r="AX1220"/>
      <c r="AY1220"/>
      <c r="BA1220"/>
      <c r="BB1220"/>
      <c r="BC1220"/>
      <c r="BD1220"/>
      <c r="BE1220"/>
      <c r="BF1220"/>
      <c r="BG1220"/>
      <c r="BH1220"/>
      <c r="BI1220"/>
      <c r="BJ1220"/>
      <c r="BR1220"/>
      <c r="BS1220"/>
      <c r="BT1220"/>
      <c r="BU1220"/>
      <c r="BX1220"/>
      <c r="BY1220"/>
      <c r="CA1220"/>
    </row>
    <row r="1221" spans="2:79" ht="18.75">
      <c r="B1221" s="252" t="s">
        <v>351</v>
      </c>
      <c r="C1221" s="251">
        <v>26362460000153</v>
      </c>
      <c r="D1221" s="252" t="s">
        <v>14</v>
      </c>
      <c r="E1221" s="252" t="s">
        <v>614</v>
      </c>
      <c r="F1221" s="252" t="s">
        <v>1417</v>
      </c>
      <c r="G1221" s="253" t="s">
        <v>1417</v>
      </c>
      <c r="H1221" s="253" t="s">
        <v>1338</v>
      </c>
      <c r="I1221" s="253" t="s">
        <v>34</v>
      </c>
      <c r="J1221" s="253" t="s">
        <v>608</v>
      </c>
      <c r="K1221" s="253" t="s">
        <v>48</v>
      </c>
      <c r="L1221" s="655"/>
      <c r="M1221" s="655" t="s">
        <v>34</v>
      </c>
      <c r="N1221" s="253" t="s">
        <v>3849</v>
      </c>
      <c r="O1221" s="253" t="s">
        <v>1321</v>
      </c>
      <c r="P1221" s="656">
        <v>42732</v>
      </c>
      <c r="Q1221" s="657">
        <v>101.705392</v>
      </c>
      <c r="R1221" s="657">
        <v>116.00078540485836</v>
      </c>
      <c r="S1221" s="253">
        <v>32</v>
      </c>
      <c r="T1221" s="658">
        <v>-8.2614220112212644E-3</v>
      </c>
      <c r="U1221" s="659">
        <v>-0.41310456257530864</v>
      </c>
      <c r="V1221" s="658">
        <v>0.10799599302311003</v>
      </c>
      <c r="W1221" s="659">
        <v>0.83754241271610463</v>
      </c>
      <c r="X1221" s="658">
        <v>-1.4071537952295321E-2</v>
      </c>
      <c r="Y1221" s="659">
        <v>-7.2876390592947149E-2</v>
      </c>
      <c r="Z1221" s="658">
        <v>0.15192063990599358</v>
      </c>
      <c r="AA1221" s="659">
        <v>0.68596377349748283</v>
      </c>
      <c r="AB1221" s="658">
        <v>0.20543852551776892</v>
      </c>
      <c r="AC1221" s="660">
        <v>-0.10196683592273195</v>
      </c>
      <c r="AD1221" s="682">
        <v>34719644000156</v>
      </c>
      <c r="AE1221" s="944" t="s">
        <v>1903</v>
      </c>
      <c r="AF1221" s="661" t="s">
        <v>1745</v>
      </c>
      <c r="AG1221" s="662" t="s">
        <v>1432</v>
      </c>
      <c r="AH1221" s="662" t="s">
        <v>1730</v>
      </c>
      <c r="AI1221" s="662">
        <v>100</v>
      </c>
      <c r="AJ1221" s="662">
        <v>100</v>
      </c>
      <c r="AK1221" s="662">
        <v>100</v>
      </c>
      <c r="AL1221" s="658">
        <v>0.02</v>
      </c>
      <c r="AM1221" s="658">
        <v>0.2</v>
      </c>
      <c r="AN1221" s="659" t="s">
        <v>34</v>
      </c>
      <c r="AO1221" s="253" t="s">
        <v>34</v>
      </c>
      <c r="AP1221" s="944" t="s">
        <v>1731</v>
      </c>
      <c r="AQ1221" s="663" t="s">
        <v>659</v>
      </c>
      <c r="AR1221" s="658">
        <v>4.6666666666666697E-3</v>
      </c>
      <c r="AS1221" s="658">
        <v>4.6666666666666697E-3</v>
      </c>
      <c r="AT1221" s="658" t="s">
        <v>1417</v>
      </c>
      <c r="AU1221" s="658" t="s">
        <v>2751</v>
      </c>
      <c r="AX1221"/>
      <c r="AY1221"/>
      <c r="BA1221"/>
      <c r="BB1221"/>
      <c r="BC1221"/>
      <c r="BD1221"/>
      <c r="BE1221"/>
      <c r="BF1221"/>
      <c r="BG1221"/>
      <c r="BH1221"/>
      <c r="BI1221"/>
      <c r="BJ1221"/>
      <c r="BR1221"/>
      <c r="BS1221"/>
      <c r="BT1221"/>
      <c r="BU1221"/>
      <c r="BX1221"/>
      <c r="BY1221"/>
      <c r="CA1221"/>
    </row>
    <row r="1222" spans="2:79" ht="18.75">
      <c r="B1222" s="252" t="s">
        <v>1154</v>
      </c>
      <c r="C1222" s="251">
        <v>28911549000157</v>
      </c>
      <c r="D1222" s="252" t="s">
        <v>13</v>
      </c>
      <c r="E1222" s="252" t="s">
        <v>615</v>
      </c>
      <c r="F1222" s="252" t="s">
        <v>619</v>
      </c>
      <c r="G1222" s="253" t="s">
        <v>34</v>
      </c>
      <c r="H1222" s="253" t="s">
        <v>865</v>
      </c>
      <c r="I1222" s="253" t="s">
        <v>34</v>
      </c>
      <c r="J1222" s="253" t="s">
        <v>611</v>
      </c>
      <c r="K1222" s="253" t="s">
        <v>48</v>
      </c>
      <c r="L1222" s="655"/>
      <c r="M1222" s="655" t="s">
        <v>34</v>
      </c>
      <c r="N1222" s="253" t="s">
        <v>3852</v>
      </c>
      <c r="O1222" s="253" t="s">
        <v>1321</v>
      </c>
      <c r="P1222" s="656">
        <v>43083</v>
      </c>
      <c r="Q1222" s="657">
        <v>200.49753809000001</v>
      </c>
      <c r="R1222" s="657">
        <v>213.32233712564516</v>
      </c>
      <c r="S1222" s="253">
        <v>30</v>
      </c>
      <c r="T1222" s="658">
        <v>2.6923290650765708E-2</v>
      </c>
      <c r="U1222" s="659">
        <v>1.3462735824735224</v>
      </c>
      <c r="V1222" s="658">
        <v>0.11727248197243889</v>
      </c>
      <c r="W1222" s="659">
        <v>0.90948446092239865</v>
      </c>
      <c r="X1222" s="658">
        <v>0.24707849138270466</v>
      </c>
      <c r="Y1222" s="659">
        <v>1.2796176726499875</v>
      </c>
      <c r="Z1222" s="658">
        <v>0.24073026676584797</v>
      </c>
      <c r="AA1222" s="659">
        <v>1.0869638403836261</v>
      </c>
      <c r="AB1222" s="658">
        <v>5.8568431042793558E-2</v>
      </c>
      <c r="AC1222" s="660">
        <v>-0.1992784724900967</v>
      </c>
      <c r="AD1222" s="682">
        <v>42870882000196</v>
      </c>
      <c r="AE1222" s="944" t="s">
        <v>1854</v>
      </c>
      <c r="AF1222" s="661" t="s">
        <v>1729</v>
      </c>
      <c r="AG1222" s="662" t="s">
        <v>1433</v>
      </c>
      <c r="AH1222" s="662" t="s">
        <v>1734</v>
      </c>
      <c r="AI1222" s="662">
        <v>5000</v>
      </c>
      <c r="AJ1222" s="662">
        <v>1000</v>
      </c>
      <c r="AK1222" s="662">
        <v>5000</v>
      </c>
      <c r="AL1222" s="658">
        <v>1.7000000000000001E-2</v>
      </c>
      <c r="AM1222" s="658">
        <v>0.15</v>
      </c>
      <c r="AN1222" s="659" t="s">
        <v>64</v>
      </c>
      <c r="AO1222" s="253" t="s">
        <v>34</v>
      </c>
      <c r="AP1222" s="944" t="s">
        <v>1746</v>
      </c>
      <c r="AQ1222" s="663" t="s">
        <v>668</v>
      </c>
      <c r="AR1222" s="658">
        <v>4.5333333333333302E-3</v>
      </c>
      <c r="AS1222" s="658">
        <v>4.5333333333333302E-3</v>
      </c>
      <c r="AT1222" s="658" t="s">
        <v>1417</v>
      </c>
      <c r="AU1222" s="658" t="s">
        <v>2751</v>
      </c>
      <c r="AX1222"/>
      <c r="AY1222"/>
      <c r="BA1222"/>
      <c r="BB1222"/>
      <c r="BC1222"/>
      <c r="BD1222"/>
      <c r="BE1222"/>
      <c r="BF1222"/>
      <c r="BG1222"/>
      <c r="BH1222"/>
      <c r="BI1222"/>
      <c r="BJ1222"/>
      <c r="BR1222"/>
      <c r="BS1222"/>
      <c r="BT1222"/>
      <c r="BU1222"/>
      <c r="BX1222"/>
      <c r="BY1222"/>
      <c r="CA1222"/>
    </row>
    <row r="1223" spans="2:79" ht="18.75">
      <c r="B1223" s="252" t="s">
        <v>1155</v>
      </c>
      <c r="C1223" s="251">
        <v>13504068000150</v>
      </c>
      <c r="D1223" s="252" t="s">
        <v>14</v>
      </c>
      <c r="E1223" s="252" t="s">
        <v>607</v>
      </c>
      <c r="F1223" s="252" t="s">
        <v>1417</v>
      </c>
      <c r="G1223" s="253" t="s">
        <v>1417</v>
      </c>
      <c r="H1223" s="253" t="s">
        <v>34</v>
      </c>
      <c r="I1223" s="253" t="s">
        <v>34</v>
      </c>
      <c r="J1223" s="253" t="s">
        <v>608</v>
      </c>
      <c r="K1223" s="253" t="s">
        <v>48</v>
      </c>
      <c r="L1223" s="655"/>
      <c r="M1223" s="655" t="s">
        <v>34</v>
      </c>
      <c r="N1223" s="253" t="s">
        <v>3853</v>
      </c>
      <c r="O1223" s="253" t="s">
        <v>1321</v>
      </c>
      <c r="P1223" s="656">
        <v>42811</v>
      </c>
      <c r="Q1223" s="657">
        <v>57.448450000000001</v>
      </c>
      <c r="R1223" s="657">
        <v>65.965982943775117</v>
      </c>
      <c r="S1223" s="253">
        <v>3</v>
      </c>
      <c r="T1223" s="658">
        <v>-1.2508431760461347E-2</v>
      </c>
      <c r="U1223" s="659">
        <v>-0.62547225210017021</v>
      </c>
      <c r="V1223" s="658">
        <v>-0.15972433558944699</v>
      </c>
      <c r="W1223" s="659">
        <v>-1.2387117489667931</v>
      </c>
      <c r="X1223" s="658">
        <v>-0.24897965929193577</v>
      </c>
      <c r="Y1223" s="659">
        <v>-1.2894638071383149</v>
      </c>
      <c r="Z1223" s="658">
        <v>-0.19441592495476046</v>
      </c>
      <c r="AA1223" s="659">
        <v>-0.87784175733128611</v>
      </c>
      <c r="AB1223" s="658">
        <v>0.25325775576353676</v>
      </c>
      <c r="AC1223" s="660">
        <v>-1.1398199599690082</v>
      </c>
      <c r="AD1223" s="682">
        <v>36327079000107</v>
      </c>
      <c r="AE1223" s="944" t="s">
        <v>1948</v>
      </c>
      <c r="AF1223" s="661" t="s">
        <v>1729</v>
      </c>
      <c r="AG1223" s="662" t="s">
        <v>1433</v>
      </c>
      <c r="AH1223" s="662" t="s">
        <v>1801</v>
      </c>
      <c r="AI1223" s="662">
        <v>500</v>
      </c>
      <c r="AJ1223" s="662">
        <v>100</v>
      </c>
      <c r="AK1223" s="662">
        <v>500</v>
      </c>
      <c r="AL1223" s="658">
        <v>1.9E-2</v>
      </c>
      <c r="AM1223" s="658">
        <v>0.15</v>
      </c>
      <c r="AN1223" s="659" t="s">
        <v>2127</v>
      </c>
      <c r="AO1223" s="253" t="s">
        <v>34</v>
      </c>
      <c r="AP1223" s="944" t="s">
        <v>1731</v>
      </c>
      <c r="AQ1223" s="663" t="s">
        <v>659</v>
      </c>
      <c r="AR1223" s="658">
        <v>4.7999999999999996E-3</v>
      </c>
      <c r="AS1223" s="658">
        <v>4.7999999999999996E-3</v>
      </c>
      <c r="AT1223" s="658" t="s">
        <v>1417</v>
      </c>
      <c r="AU1223" s="658" t="s">
        <v>2751</v>
      </c>
      <c r="AX1223"/>
      <c r="AY1223"/>
      <c r="BA1223"/>
      <c r="BB1223"/>
      <c r="BC1223"/>
      <c r="BD1223"/>
      <c r="BE1223"/>
      <c r="BF1223"/>
      <c r="BG1223"/>
      <c r="BH1223"/>
      <c r="BI1223"/>
      <c r="BJ1223"/>
      <c r="BR1223"/>
      <c r="BS1223"/>
      <c r="BT1223"/>
      <c r="BU1223"/>
      <c r="BX1223"/>
      <c r="BY1223"/>
      <c r="CA1223"/>
    </row>
    <row r="1224" spans="2:79" ht="18.75">
      <c r="B1224" s="252" t="s">
        <v>352</v>
      </c>
      <c r="C1224" s="251">
        <v>17155131000140</v>
      </c>
      <c r="D1224" s="252" t="s">
        <v>13</v>
      </c>
      <c r="E1224" s="252" t="s">
        <v>615</v>
      </c>
      <c r="F1224" s="252" t="s">
        <v>619</v>
      </c>
      <c r="G1224" s="253" t="s">
        <v>34</v>
      </c>
      <c r="H1224" s="253" t="s">
        <v>1338</v>
      </c>
      <c r="I1224" s="253" t="s">
        <v>34</v>
      </c>
      <c r="J1224" s="253" t="s">
        <v>1417</v>
      </c>
      <c r="K1224" s="253" t="s">
        <v>48</v>
      </c>
      <c r="L1224" s="655"/>
      <c r="M1224" s="655" t="s">
        <v>34</v>
      </c>
      <c r="N1224" s="253" t="s">
        <v>3854</v>
      </c>
      <c r="O1224" s="253" t="s">
        <v>1321</v>
      </c>
      <c r="P1224" s="656">
        <v>41271</v>
      </c>
      <c r="Q1224" s="657">
        <v>44.308523999999998</v>
      </c>
      <c r="R1224" s="657">
        <v>61.960636995934976</v>
      </c>
      <c r="S1224" s="253">
        <v>4</v>
      </c>
      <c r="T1224" s="658">
        <v>-9.7680034228719848E-3</v>
      </c>
      <c r="U1224" s="659">
        <v>-0.48843973540617308</v>
      </c>
      <c r="V1224" s="658">
        <v>-2.9082318093268444E-2</v>
      </c>
      <c r="W1224" s="659">
        <v>-0.22554239450347927</v>
      </c>
      <c r="X1224" s="658">
        <v>-3.2944204578277625E-2</v>
      </c>
      <c r="Y1224" s="659">
        <v>-0.17061779094508253</v>
      </c>
      <c r="Z1224" s="658">
        <v>6.9200134853129702E-2</v>
      </c>
      <c r="AA1224" s="659">
        <v>0.31245777834901545</v>
      </c>
      <c r="AB1224" s="658">
        <v>0.10119505743241099</v>
      </c>
      <c r="AC1224" s="660">
        <v>-1.561600255482871</v>
      </c>
      <c r="AD1224" s="682">
        <v>0</v>
      </c>
      <c r="AE1224" s="944" t="s">
        <v>1780</v>
      </c>
      <c r="AF1224" s="661" t="s">
        <v>1769</v>
      </c>
      <c r="AG1224" s="662" t="s">
        <v>719</v>
      </c>
      <c r="AH1224" s="662" t="s">
        <v>1734</v>
      </c>
      <c r="AI1224" s="662">
        <v>10000</v>
      </c>
      <c r="AJ1224" s="662">
        <v>1000</v>
      </c>
      <c r="AK1224" s="662">
        <v>10000</v>
      </c>
      <c r="AL1224" s="658">
        <v>0.02</v>
      </c>
      <c r="AM1224" s="658">
        <v>0</v>
      </c>
      <c r="AN1224" s="659" t="s">
        <v>64</v>
      </c>
      <c r="AO1224" s="253" t="s">
        <v>34</v>
      </c>
      <c r="AP1224" s="944" t="s">
        <v>1746</v>
      </c>
      <c r="AQ1224" s="663" t="s">
        <v>678</v>
      </c>
      <c r="AR1224" s="658">
        <v>6.0000000000000001E-3</v>
      </c>
      <c r="AS1224" s="658">
        <v>6.0000000000000001E-3</v>
      </c>
      <c r="AT1224" s="658" t="s">
        <v>1417</v>
      </c>
      <c r="AU1224" s="658" t="s">
        <v>2751</v>
      </c>
      <c r="AX1224"/>
      <c r="AY1224"/>
      <c r="BA1224"/>
      <c r="BB1224"/>
      <c r="BC1224"/>
      <c r="BD1224"/>
      <c r="BE1224"/>
      <c r="BF1224"/>
      <c r="BG1224"/>
      <c r="BH1224"/>
      <c r="BI1224"/>
      <c r="BJ1224"/>
      <c r="BR1224"/>
      <c r="BS1224"/>
      <c r="BT1224"/>
      <c r="BU1224"/>
      <c r="BX1224"/>
      <c r="BY1224"/>
      <c r="CA1224"/>
    </row>
    <row r="1225" spans="2:79" ht="18.75">
      <c r="B1225" s="252" t="s">
        <v>1156</v>
      </c>
      <c r="C1225" s="251">
        <v>27250923000158</v>
      </c>
      <c r="D1225" s="252" t="s">
        <v>14</v>
      </c>
      <c r="E1225" s="252" t="s">
        <v>607</v>
      </c>
      <c r="F1225" s="252" t="s">
        <v>1417</v>
      </c>
      <c r="G1225" s="253" t="s">
        <v>1417</v>
      </c>
      <c r="H1225" s="253" t="s">
        <v>34</v>
      </c>
      <c r="I1225" s="253" t="s">
        <v>34</v>
      </c>
      <c r="J1225" s="253" t="s">
        <v>608</v>
      </c>
      <c r="K1225" s="253" t="s">
        <v>48</v>
      </c>
      <c r="L1225" s="655"/>
      <c r="M1225" s="655" t="s">
        <v>34</v>
      </c>
      <c r="N1225" s="253" t="s">
        <v>3855</v>
      </c>
      <c r="O1225" s="253" t="s">
        <v>1321</v>
      </c>
      <c r="P1225" s="656">
        <v>42880</v>
      </c>
      <c r="Q1225" s="657">
        <v>34.612129000000003</v>
      </c>
      <c r="R1225" s="657">
        <v>51.075669428571416</v>
      </c>
      <c r="S1225" s="253">
        <v>3</v>
      </c>
      <c r="T1225" s="658">
        <v>-4.442578952586973E-2</v>
      </c>
      <c r="U1225" s="659">
        <v>-2.2214694182453631</v>
      </c>
      <c r="V1225" s="658">
        <v>-0.19355491268503755</v>
      </c>
      <c r="W1225" s="659">
        <v>-1.5010783643481231</v>
      </c>
      <c r="X1225" s="658">
        <v>-0.28084158607658849</v>
      </c>
      <c r="Y1225" s="659">
        <v>-1.4544764894246516</v>
      </c>
      <c r="Z1225" s="658">
        <v>-0.13812109259661787</v>
      </c>
      <c r="AA1225" s="659">
        <v>-0.62365499471170471</v>
      </c>
      <c r="AB1225" s="658">
        <v>0.25596532883814321</v>
      </c>
      <c r="AC1225" s="660">
        <v>-1.2599316618218805</v>
      </c>
      <c r="AD1225" s="682">
        <v>0</v>
      </c>
      <c r="AE1225" s="944" t="s">
        <v>1780</v>
      </c>
      <c r="AF1225" s="661" t="s">
        <v>1769</v>
      </c>
      <c r="AG1225" s="662" t="s">
        <v>719</v>
      </c>
      <c r="AH1225" s="662" t="s">
        <v>1734</v>
      </c>
      <c r="AI1225" s="662">
        <v>5000</v>
      </c>
      <c r="AJ1225" s="662">
        <v>1000</v>
      </c>
      <c r="AK1225" s="662">
        <v>5000</v>
      </c>
      <c r="AL1225" s="658">
        <v>0.02</v>
      </c>
      <c r="AM1225" s="658">
        <v>0.2</v>
      </c>
      <c r="AN1225" s="659" t="s">
        <v>666</v>
      </c>
      <c r="AO1225" s="253" t="s">
        <v>34</v>
      </c>
      <c r="AP1225" s="944" t="s">
        <v>1731</v>
      </c>
      <c r="AQ1225" s="663" t="s">
        <v>659</v>
      </c>
      <c r="AR1225" s="658">
        <v>6.0000000000000001E-3</v>
      </c>
      <c r="AS1225" s="658">
        <v>6.0000000000000001E-3</v>
      </c>
      <c r="AT1225" s="658" t="s">
        <v>1417</v>
      </c>
      <c r="AU1225" s="658" t="s">
        <v>2751</v>
      </c>
      <c r="AX1225"/>
      <c r="AY1225"/>
      <c r="BA1225"/>
      <c r="BB1225"/>
      <c r="BC1225"/>
      <c r="BD1225"/>
      <c r="BE1225"/>
      <c r="BF1225"/>
      <c r="BG1225"/>
      <c r="BH1225"/>
      <c r="BI1225"/>
      <c r="BJ1225"/>
      <c r="BR1225"/>
      <c r="BS1225"/>
      <c r="BT1225"/>
      <c r="BU1225"/>
      <c r="BX1225"/>
      <c r="BY1225"/>
      <c r="CA1225"/>
    </row>
    <row r="1226" spans="2:79" ht="18.75">
      <c r="B1226" s="252" t="s">
        <v>353</v>
      </c>
      <c r="C1226" s="251">
        <v>7967080000106</v>
      </c>
      <c r="D1226" s="252" t="s">
        <v>13</v>
      </c>
      <c r="E1226" s="252" t="s">
        <v>616</v>
      </c>
      <c r="F1226" s="252" t="s">
        <v>618</v>
      </c>
      <c r="G1226" s="253" t="s">
        <v>34</v>
      </c>
      <c r="H1226" s="253" t="s">
        <v>1337</v>
      </c>
      <c r="I1226" s="253" t="s">
        <v>34</v>
      </c>
      <c r="J1226" s="253" t="s">
        <v>1417</v>
      </c>
      <c r="K1226" s="253" t="s">
        <v>1417</v>
      </c>
      <c r="L1226" s="655"/>
      <c r="M1226" s="655" t="s">
        <v>34</v>
      </c>
      <c r="N1226" s="253" t="s">
        <v>3856</v>
      </c>
      <c r="O1226" s="253" t="s">
        <v>1321</v>
      </c>
      <c r="P1226" s="656">
        <v>38863</v>
      </c>
      <c r="Q1226" s="657">
        <v>14.725910000000001</v>
      </c>
      <c r="R1226" s="657">
        <v>17.921349241935488</v>
      </c>
      <c r="S1226" s="253">
        <v>1</v>
      </c>
      <c r="T1226" s="658">
        <v>3.3235449034767495E-3</v>
      </c>
      <c r="U1226" s="659">
        <v>0.16619070684021334</v>
      </c>
      <c r="V1226" s="658">
        <v>3.789437016519126E-2</v>
      </c>
      <c r="W1226" s="659">
        <v>0.29388259071537798</v>
      </c>
      <c r="X1226" s="658">
        <v>5.7882665133974553E-2</v>
      </c>
      <c r="Y1226" s="659">
        <v>0.29977389302895746</v>
      </c>
      <c r="Z1226" s="658">
        <v>0.11604722096028941</v>
      </c>
      <c r="AA1226" s="659">
        <v>0.52398534947637332</v>
      </c>
      <c r="AB1226" s="658">
        <v>5.0689062236874818E-2</v>
      </c>
      <c r="AC1226" s="660">
        <v>-1.7962364120313357</v>
      </c>
      <c r="AD1226" s="682">
        <v>0</v>
      </c>
      <c r="AE1226" s="944" t="s">
        <v>1780</v>
      </c>
      <c r="AF1226" s="661" t="s">
        <v>1769</v>
      </c>
      <c r="AG1226" s="662" t="s">
        <v>719</v>
      </c>
      <c r="AH1226" s="662" t="s">
        <v>1734</v>
      </c>
      <c r="AI1226" s="662">
        <v>1000</v>
      </c>
      <c r="AJ1226" s="662">
        <v>1000</v>
      </c>
      <c r="AK1226" s="662">
        <v>1000</v>
      </c>
      <c r="AL1226" s="658">
        <v>0.02</v>
      </c>
      <c r="AM1226" s="658">
        <v>0.2</v>
      </c>
      <c r="AN1226" s="659" t="s">
        <v>64</v>
      </c>
      <c r="AO1226" s="253" t="s">
        <v>34</v>
      </c>
      <c r="AP1226" s="944" t="s">
        <v>1746</v>
      </c>
      <c r="AQ1226" s="663" t="s">
        <v>678</v>
      </c>
      <c r="AR1226" s="658">
        <v>5.4000000000000003E-3</v>
      </c>
      <c r="AS1226" s="658">
        <v>5.4000000000000003E-3</v>
      </c>
      <c r="AT1226" s="658" t="s">
        <v>1417</v>
      </c>
      <c r="AU1226" s="658" t="s">
        <v>2751</v>
      </c>
      <c r="AX1226"/>
      <c r="AY1226"/>
      <c r="BA1226"/>
      <c r="BB1226"/>
      <c r="BC1226"/>
      <c r="BD1226"/>
      <c r="BE1226"/>
      <c r="BF1226"/>
      <c r="BG1226"/>
      <c r="BH1226"/>
      <c r="BI1226"/>
      <c r="BJ1226"/>
      <c r="BR1226"/>
      <c r="BS1226"/>
      <c r="BT1226"/>
      <c r="BU1226"/>
      <c r="BX1226"/>
      <c r="BY1226"/>
      <c r="CA1226"/>
    </row>
    <row r="1227" spans="2:79" ht="18.75">
      <c r="B1227" s="252" t="s">
        <v>1157</v>
      </c>
      <c r="C1227" s="251">
        <v>9543255000175</v>
      </c>
      <c r="D1227" s="252" t="s">
        <v>11</v>
      </c>
      <c r="E1227" s="252" t="s">
        <v>620</v>
      </c>
      <c r="F1227" s="252" t="s">
        <v>663</v>
      </c>
      <c r="G1227" s="253" t="s">
        <v>738</v>
      </c>
      <c r="H1227" s="253" t="s">
        <v>34</v>
      </c>
      <c r="I1227" s="253" t="s">
        <v>1417</v>
      </c>
      <c r="J1227" s="253" t="s">
        <v>608</v>
      </c>
      <c r="K1227" s="253" t="s">
        <v>48</v>
      </c>
      <c r="L1227" s="655"/>
      <c r="M1227" s="655" t="s">
        <v>34</v>
      </c>
      <c r="N1227" s="253" t="s">
        <v>3857</v>
      </c>
      <c r="O1227" s="253" t="s">
        <v>1321</v>
      </c>
      <c r="P1227" s="656">
        <v>39676</v>
      </c>
      <c r="Q1227" s="657">
        <v>410.873581</v>
      </c>
      <c r="R1227" s="657">
        <v>293.05653345121959</v>
      </c>
      <c r="S1227" s="253">
        <v>1</v>
      </c>
      <c r="T1227" s="658">
        <v>1.2134880200425746E-2</v>
      </c>
      <c r="U1227" s="659">
        <v>0.60679316106738823</v>
      </c>
      <c r="V1227" s="658">
        <v>0.13070014024933285</v>
      </c>
      <c r="W1227" s="659">
        <v>1.013620114436419</v>
      </c>
      <c r="X1227" s="658">
        <v>0.2072278557741789</v>
      </c>
      <c r="Y1227" s="659">
        <v>1.0732315266700871</v>
      </c>
      <c r="Z1227" s="658">
        <v>0.20724976555008445</v>
      </c>
      <c r="AA1227" s="659">
        <v>0.93579010278771091</v>
      </c>
      <c r="AB1227" s="658">
        <v>2.6133191670079929E-2</v>
      </c>
      <c r="AC1227" s="660">
        <v>6.7203073574638089E-2</v>
      </c>
      <c r="AD1227" s="682">
        <v>0</v>
      </c>
      <c r="AE1227" s="944" t="s">
        <v>1768</v>
      </c>
      <c r="AF1227" s="661" t="s">
        <v>1769</v>
      </c>
      <c r="AG1227" s="662" t="s">
        <v>719</v>
      </c>
      <c r="AH1227" s="662" t="s">
        <v>1734</v>
      </c>
      <c r="AI1227" s="662">
        <v>1000</v>
      </c>
      <c r="AJ1227" s="662">
        <v>100</v>
      </c>
      <c r="AK1227" s="662">
        <v>1000</v>
      </c>
      <c r="AL1227" s="658">
        <v>4.5000000000000005E-3</v>
      </c>
      <c r="AM1227" s="658">
        <v>0</v>
      </c>
      <c r="AN1227" s="659" t="s">
        <v>64</v>
      </c>
      <c r="AO1227" s="253" t="s">
        <v>34</v>
      </c>
      <c r="AP1227" s="944" t="s">
        <v>1735</v>
      </c>
      <c r="AQ1227" s="663" t="s">
        <v>669</v>
      </c>
      <c r="AR1227" s="658">
        <v>1.0399999999999999E-3</v>
      </c>
      <c r="AS1227" s="658">
        <v>1.0399999999999999E-3</v>
      </c>
      <c r="AT1227" s="658" t="s">
        <v>1417</v>
      </c>
      <c r="AU1227" s="658" t="s">
        <v>2751</v>
      </c>
      <c r="AX1227"/>
      <c r="AY1227"/>
      <c r="BA1227"/>
      <c r="BB1227"/>
      <c r="BC1227"/>
      <c r="BD1227"/>
      <c r="BE1227"/>
      <c r="BF1227"/>
      <c r="BG1227"/>
      <c r="BH1227"/>
      <c r="BI1227"/>
      <c r="BJ1227"/>
      <c r="BR1227"/>
      <c r="BS1227"/>
      <c r="BT1227"/>
      <c r="BU1227"/>
      <c r="BX1227"/>
      <c r="BY1227"/>
      <c r="CA1227"/>
    </row>
    <row r="1228" spans="2:79" ht="18.75">
      <c r="B1228" s="252" t="s">
        <v>590</v>
      </c>
      <c r="C1228" s="251">
        <v>6940782000125</v>
      </c>
      <c r="D1228" s="252" t="s">
        <v>14</v>
      </c>
      <c r="E1228" s="252" t="s">
        <v>614</v>
      </c>
      <c r="F1228" s="252" t="s">
        <v>1417</v>
      </c>
      <c r="G1228" s="253" t="s">
        <v>1417</v>
      </c>
      <c r="H1228" s="253" t="s">
        <v>1338</v>
      </c>
      <c r="I1228" s="253" t="s">
        <v>34</v>
      </c>
      <c r="J1228" s="253" t="s">
        <v>608</v>
      </c>
      <c r="K1228" s="253" t="s">
        <v>48</v>
      </c>
      <c r="L1228" s="655"/>
      <c r="M1228" s="655" t="s">
        <v>34</v>
      </c>
      <c r="N1228" s="253" t="s">
        <v>3858</v>
      </c>
      <c r="O1228" s="253" t="s">
        <v>1321</v>
      </c>
      <c r="P1228" s="656">
        <v>38240</v>
      </c>
      <c r="Q1228" s="657">
        <v>2.526484</v>
      </c>
      <c r="R1228" s="657">
        <v>5.7936597489878636</v>
      </c>
      <c r="S1228" s="253">
        <v>14</v>
      </c>
      <c r="T1228" s="658">
        <v>-4.3544959464879129E-2</v>
      </c>
      <c r="U1228" s="659">
        <v>-2.1774243474870287</v>
      </c>
      <c r="V1228" s="658">
        <v>-0.18945882955681237</v>
      </c>
      <c r="W1228" s="659">
        <v>-1.4693119695971129</v>
      </c>
      <c r="X1228" s="658">
        <v>-0.21341018615430629</v>
      </c>
      <c r="Y1228" s="659">
        <v>-1.1052497698133901</v>
      </c>
      <c r="Z1228" s="658">
        <v>-0.12289394705148948</v>
      </c>
      <c r="AA1228" s="659">
        <v>-0.55490021442513515</v>
      </c>
      <c r="AB1228" s="658">
        <v>0.23698182483632807</v>
      </c>
      <c r="AC1228" s="660">
        <v>-1.3435745092413993</v>
      </c>
      <c r="AD1228" s="682">
        <v>0</v>
      </c>
      <c r="AE1228" s="944" t="s">
        <v>1768</v>
      </c>
      <c r="AF1228" s="661" t="s">
        <v>1769</v>
      </c>
      <c r="AG1228" s="662" t="s">
        <v>719</v>
      </c>
      <c r="AH1228" s="662" t="s">
        <v>1734</v>
      </c>
      <c r="AI1228" s="662">
        <v>1000</v>
      </c>
      <c r="AJ1228" s="662">
        <v>1000</v>
      </c>
      <c r="AK1228" s="662">
        <v>1000</v>
      </c>
      <c r="AL1228" s="658">
        <v>1.6E-2</v>
      </c>
      <c r="AM1228" s="658">
        <v>0.2</v>
      </c>
      <c r="AN1228" s="659" t="s">
        <v>666</v>
      </c>
      <c r="AO1228" s="253" t="s">
        <v>34</v>
      </c>
      <c r="AP1228" s="944" t="s">
        <v>1731</v>
      </c>
      <c r="AQ1228" s="663" t="s">
        <v>659</v>
      </c>
      <c r="AR1228" s="658">
        <v>8.0000000000000002E-3</v>
      </c>
      <c r="AS1228" s="658">
        <v>8.0000000000000002E-3</v>
      </c>
      <c r="AT1228" s="658" t="s">
        <v>1417</v>
      </c>
      <c r="AU1228" s="658" t="s">
        <v>2751</v>
      </c>
      <c r="AX1228"/>
      <c r="AY1228"/>
      <c r="BA1228"/>
      <c r="BB1228"/>
      <c r="BC1228"/>
      <c r="BD1228"/>
      <c r="BE1228"/>
      <c r="BF1228"/>
      <c r="BG1228"/>
      <c r="BH1228"/>
      <c r="BI1228"/>
      <c r="BJ1228"/>
      <c r="BR1228"/>
      <c r="BS1228"/>
      <c r="BT1228"/>
      <c r="BU1228"/>
      <c r="BX1228"/>
      <c r="BY1228"/>
      <c r="CA1228"/>
    </row>
    <row r="1229" spans="2:79" ht="18.75">
      <c r="B1229" s="252" t="s">
        <v>1158</v>
      </c>
      <c r="C1229" s="251">
        <v>22407091000117</v>
      </c>
      <c r="D1229" s="252" t="s">
        <v>13</v>
      </c>
      <c r="E1229" s="252" t="s">
        <v>616</v>
      </c>
      <c r="F1229" s="252" t="s">
        <v>610</v>
      </c>
      <c r="G1229" s="253" t="s">
        <v>34</v>
      </c>
      <c r="H1229" s="253" t="s">
        <v>1338</v>
      </c>
      <c r="I1229" s="253" t="s">
        <v>34</v>
      </c>
      <c r="J1229" s="253" t="s">
        <v>1417</v>
      </c>
      <c r="K1229" s="253" t="s">
        <v>48</v>
      </c>
      <c r="L1229" s="655"/>
      <c r="M1229" s="655" t="s">
        <v>34</v>
      </c>
      <c r="N1229" s="253" t="s">
        <v>3859</v>
      </c>
      <c r="O1229" s="253" t="s">
        <v>1321</v>
      </c>
      <c r="P1229" s="656">
        <v>42235</v>
      </c>
      <c r="Q1229" s="657">
        <v>6.5249499999999996</v>
      </c>
      <c r="R1229" s="657">
        <v>9.2201798729508209</v>
      </c>
      <c r="S1229" s="253">
        <v>16</v>
      </c>
      <c r="T1229" s="658">
        <v>4.1286803064795041E-3</v>
      </c>
      <c r="U1229" s="659">
        <v>0.20645073810596631</v>
      </c>
      <c r="V1229" s="658">
        <v>5.734390217940688E-2</v>
      </c>
      <c r="W1229" s="659">
        <v>0.44471974229283895</v>
      </c>
      <c r="X1229" s="658">
        <v>0.11569949151146708</v>
      </c>
      <c r="Y1229" s="659">
        <v>0.59920680762685752</v>
      </c>
      <c r="Z1229" s="658">
        <v>0.15780532628900934</v>
      </c>
      <c r="AA1229" s="659">
        <v>0.71253476266419902</v>
      </c>
      <c r="AB1229" s="658">
        <v>5.1869661444158159E-2</v>
      </c>
      <c r="AC1229" s="660">
        <v>-1.3803831618308249</v>
      </c>
      <c r="AD1229" s="682">
        <v>22407108000136</v>
      </c>
      <c r="AE1229" s="944" t="s">
        <v>1768</v>
      </c>
      <c r="AF1229" s="661" t="s">
        <v>1769</v>
      </c>
      <c r="AG1229" s="662" t="s">
        <v>719</v>
      </c>
      <c r="AH1229" s="662" t="s">
        <v>1734</v>
      </c>
      <c r="AI1229" s="662">
        <v>100</v>
      </c>
      <c r="AJ1229" s="662">
        <v>100</v>
      </c>
      <c r="AK1229" s="662">
        <v>100</v>
      </c>
      <c r="AL1229" s="658">
        <v>1.4999999999999999E-2</v>
      </c>
      <c r="AM1229" s="658">
        <v>0.2</v>
      </c>
      <c r="AN1229" s="659" t="s">
        <v>64</v>
      </c>
      <c r="AO1229" s="253" t="s">
        <v>34</v>
      </c>
      <c r="AP1229" s="944" t="s">
        <v>1746</v>
      </c>
      <c r="AQ1229" s="663" t="s">
        <v>668</v>
      </c>
      <c r="AR1229" s="658">
        <v>4.0000000000000001E-3</v>
      </c>
      <c r="AS1229" s="658">
        <v>4.0000000000000001E-3</v>
      </c>
      <c r="AT1229" s="658" t="s">
        <v>1417</v>
      </c>
      <c r="AU1229" s="658" t="s">
        <v>2751</v>
      </c>
      <c r="AX1229"/>
      <c r="AY1229"/>
      <c r="BA1229"/>
      <c r="BB1229"/>
      <c r="BC1229"/>
      <c r="BD1229"/>
      <c r="BE1229"/>
      <c r="BF1229"/>
      <c r="BG1229"/>
      <c r="BH1229"/>
      <c r="BI1229"/>
      <c r="BJ1229"/>
      <c r="BR1229"/>
      <c r="BS1229"/>
      <c r="BT1229"/>
      <c r="BU1229"/>
      <c r="BX1229"/>
      <c r="BY1229"/>
      <c r="CA1229"/>
    </row>
    <row r="1230" spans="2:79" ht="18.75">
      <c r="B1230" s="252" t="s">
        <v>354</v>
      </c>
      <c r="C1230" s="251">
        <v>22504083000199</v>
      </c>
      <c r="D1230" s="252" t="s">
        <v>13</v>
      </c>
      <c r="E1230" s="252" t="s">
        <v>615</v>
      </c>
      <c r="F1230" s="252" t="s">
        <v>619</v>
      </c>
      <c r="G1230" s="253" t="s">
        <v>34</v>
      </c>
      <c r="H1230" s="253" t="s">
        <v>1337</v>
      </c>
      <c r="I1230" s="253" t="s">
        <v>34</v>
      </c>
      <c r="J1230" s="253" t="s">
        <v>1417</v>
      </c>
      <c r="K1230" s="253" t="s">
        <v>48</v>
      </c>
      <c r="L1230" s="655"/>
      <c r="M1230" s="655" t="s">
        <v>34</v>
      </c>
      <c r="N1230" s="253" t="s">
        <v>3860</v>
      </c>
      <c r="O1230" s="253" t="s">
        <v>1321</v>
      </c>
      <c r="P1230" s="656">
        <v>42249</v>
      </c>
      <c r="Q1230" s="657">
        <v>7.3136049999999999</v>
      </c>
      <c r="R1230" s="657">
        <v>7.1652155991902839</v>
      </c>
      <c r="S1230" s="253">
        <v>30</v>
      </c>
      <c r="T1230" s="658">
        <v>2.0981329665221482E-2</v>
      </c>
      <c r="U1230" s="659">
        <v>1.0491514659131154</v>
      </c>
      <c r="V1230" s="658">
        <v>0.11656856783227032</v>
      </c>
      <c r="W1230" s="659">
        <v>0.90402538849944669</v>
      </c>
      <c r="X1230" s="658">
        <v>0.17838734717586568</v>
      </c>
      <c r="Y1230" s="659">
        <v>0.92386674674089075</v>
      </c>
      <c r="Z1230" s="658">
        <v>0.17703190931271906</v>
      </c>
      <c r="AA1230" s="659">
        <v>0.79934811107141723</v>
      </c>
      <c r="AB1230" s="658">
        <v>1.5141003714355806E-2</v>
      </c>
      <c r="AC1230" s="660">
        <v>-0.81733957985787054</v>
      </c>
      <c r="AD1230" s="682">
        <v>22504056000116</v>
      </c>
      <c r="AE1230" s="944" t="s">
        <v>1780</v>
      </c>
      <c r="AF1230" s="661" t="s">
        <v>1769</v>
      </c>
      <c r="AG1230" s="662" t="s">
        <v>719</v>
      </c>
      <c r="AH1230" s="662" t="s">
        <v>1734</v>
      </c>
      <c r="AI1230" s="662">
        <v>50000</v>
      </c>
      <c r="AJ1230" s="662">
        <v>10000</v>
      </c>
      <c r="AK1230" s="662">
        <v>50000</v>
      </c>
      <c r="AL1230" s="658">
        <v>2.5000000000000001E-2</v>
      </c>
      <c r="AM1230" s="658">
        <v>0.2</v>
      </c>
      <c r="AN1230" s="659" t="s">
        <v>64</v>
      </c>
      <c r="AO1230" s="253" t="s">
        <v>34</v>
      </c>
      <c r="AP1230" s="944" t="s">
        <v>1746</v>
      </c>
      <c r="AQ1230" s="663" t="s">
        <v>668</v>
      </c>
      <c r="AR1230" s="658">
        <v>6.0000000000000001E-3</v>
      </c>
      <c r="AS1230" s="658">
        <v>6.0000000000000001E-3</v>
      </c>
      <c r="AT1230" s="658" t="s">
        <v>1417</v>
      </c>
      <c r="AU1230" s="658" t="s">
        <v>2751</v>
      </c>
      <c r="AX1230"/>
      <c r="AY1230"/>
      <c r="BA1230"/>
      <c r="BB1230"/>
      <c r="BC1230"/>
      <c r="BD1230"/>
      <c r="BE1230"/>
      <c r="BF1230"/>
      <c r="BG1230"/>
      <c r="BH1230"/>
      <c r="BI1230"/>
      <c r="BJ1230"/>
      <c r="BR1230"/>
      <c r="BS1230"/>
      <c r="BT1230"/>
      <c r="BU1230"/>
      <c r="BX1230"/>
      <c r="BY1230"/>
      <c r="CA1230"/>
    </row>
    <row r="1231" spans="2:79" ht="18.75">
      <c r="B1231" s="252" t="s">
        <v>355</v>
      </c>
      <c r="C1231" s="251">
        <v>7420595000183</v>
      </c>
      <c r="D1231" s="252" t="s">
        <v>14</v>
      </c>
      <c r="E1231" s="252" t="s">
        <v>607</v>
      </c>
      <c r="F1231" s="252" t="s">
        <v>1417</v>
      </c>
      <c r="G1231" s="253" t="s">
        <v>1417</v>
      </c>
      <c r="H1231" s="253" t="s">
        <v>34</v>
      </c>
      <c r="I1231" s="253" t="s">
        <v>34</v>
      </c>
      <c r="J1231" s="253" t="s">
        <v>608</v>
      </c>
      <c r="K1231" s="253" t="s">
        <v>48</v>
      </c>
      <c r="L1231" s="655"/>
      <c r="M1231" s="655" t="s">
        <v>34</v>
      </c>
      <c r="N1231" s="253" t="s">
        <v>3861</v>
      </c>
      <c r="O1231" s="253" t="s">
        <v>1321</v>
      </c>
      <c r="P1231" s="656">
        <v>39238</v>
      </c>
      <c r="Q1231" s="657">
        <v>14.228358999999999</v>
      </c>
      <c r="R1231" s="657">
        <v>17.026955642276416</v>
      </c>
      <c r="S1231" s="253">
        <v>33</v>
      </c>
      <c r="T1231" s="658">
        <v>-4.8147163333123411E-2</v>
      </c>
      <c r="U1231" s="659">
        <v>-2.407553181638233</v>
      </c>
      <c r="V1231" s="658">
        <v>-4.5871859566278594E-2</v>
      </c>
      <c r="W1231" s="659">
        <v>-0.35575049463820285</v>
      </c>
      <c r="X1231" s="658">
        <v>-0.25554488549551102</v>
      </c>
      <c r="Y1231" s="659">
        <v>-1.3234650649087747</v>
      </c>
      <c r="Z1231" s="658">
        <v>-0.31312115192907508</v>
      </c>
      <c r="AA1231" s="659">
        <v>-1.4138287402689715</v>
      </c>
      <c r="AB1231" s="658">
        <v>0.30663859964723245</v>
      </c>
      <c r="AC1231" s="660">
        <v>-0.57010359822338419</v>
      </c>
      <c r="AD1231" s="682">
        <v>0</v>
      </c>
      <c r="AE1231" s="944" t="s">
        <v>1789</v>
      </c>
      <c r="AF1231" s="661" t="s">
        <v>1769</v>
      </c>
      <c r="AG1231" s="662" t="s">
        <v>719</v>
      </c>
      <c r="AH1231" s="662" t="s">
        <v>1734</v>
      </c>
      <c r="AI1231" s="662">
        <v>1000</v>
      </c>
      <c r="AJ1231" s="662">
        <v>1000</v>
      </c>
      <c r="AK1231" s="662">
        <v>25000</v>
      </c>
      <c r="AL1231" s="658">
        <v>0.02</v>
      </c>
      <c r="AM1231" s="658">
        <v>0.2</v>
      </c>
      <c r="AN1231" s="659" t="s">
        <v>666</v>
      </c>
      <c r="AO1231" s="253" t="s">
        <v>34</v>
      </c>
      <c r="AP1231" s="944" t="s">
        <v>1731</v>
      </c>
      <c r="AQ1231" s="663" t="s">
        <v>681</v>
      </c>
      <c r="AR1231" s="658">
        <v>6.0000000000000001E-3</v>
      </c>
      <c r="AS1231" s="658">
        <v>6.0000000000000001E-3</v>
      </c>
      <c r="AT1231" s="658" t="s">
        <v>1417</v>
      </c>
      <c r="AU1231" s="658" t="s">
        <v>2751</v>
      </c>
      <c r="AX1231"/>
      <c r="AY1231"/>
      <c r="BA1231"/>
      <c r="BB1231"/>
      <c r="BC1231"/>
      <c r="BD1231"/>
      <c r="BE1231"/>
      <c r="BF1231"/>
      <c r="BG1231"/>
      <c r="BH1231"/>
      <c r="BI1231"/>
      <c r="BJ1231"/>
      <c r="BR1231"/>
      <c r="BS1231"/>
      <c r="BT1231"/>
      <c r="BU1231"/>
      <c r="BX1231"/>
      <c r="BY1231"/>
      <c r="CA1231"/>
    </row>
    <row r="1232" spans="2:79" ht="18.75">
      <c r="B1232" s="252" t="s">
        <v>356</v>
      </c>
      <c r="C1232" s="251">
        <v>10265295000181</v>
      </c>
      <c r="D1232" s="252" t="s">
        <v>14</v>
      </c>
      <c r="E1232" s="252" t="s">
        <v>607</v>
      </c>
      <c r="F1232" s="252" t="s">
        <v>1417</v>
      </c>
      <c r="G1232" s="253" t="s">
        <v>1417</v>
      </c>
      <c r="H1232" s="253" t="s">
        <v>34</v>
      </c>
      <c r="I1232" s="253" t="s">
        <v>34</v>
      </c>
      <c r="J1232" s="253" t="s">
        <v>608</v>
      </c>
      <c r="K1232" s="253" t="s">
        <v>48</v>
      </c>
      <c r="L1232" s="655"/>
      <c r="M1232" s="655" t="s">
        <v>34</v>
      </c>
      <c r="N1232" s="253" t="s">
        <v>3862</v>
      </c>
      <c r="O1232" s="253" t="s">
        <v>1321</v>
      </c>
      <c r="P1232" s="656">
        <v>39779</v>
      </c>
      <c r="Q1232" s="657">
        <v>3.535161</v>
      </c>
      <c r="R1232" s="657">
        <v>4.5230277804878014</v>
      </c>
      <c r="S1232" s="253">
        <v>10</v>
      </c>
      <c r="T1232" s="658">
        <v>-5.2548468602659493E-2</v>
      </c>
      <c r="U1232" s="659">
        <v>-2.627636272135546</v>
      </c>
      <c r="V1232" s="658">
        <v>-8.8316825587389847E-2</v>
      </c>
      <c r="W1232" s="659">
        <v>-0.68492436724074823</v>
      </c>
      <c r="X1232" s="658">
        <v>-0.28109173036291246</v>
      </c>
      <c r="Y1232" s="659">
        <v>-1.4557719848265431</v>
      </c>
      <c r="Z1232" s="658">
        <v>-0.32675695434573881</v>
      </c>
      <c r="AA1232" s="659">
        <v>-1.4753981655043358</v>
      </c>
      <c r="AB1232" s="658">
        <v>0.29533998042730192</v>
      </c>
      <c r="AC1232" s="660">
        <v>-0.73562927281244617</v>
      </c>
      <c r="AD1232" s="682">
        <v>0</v>
      </c>
      <c r="AE1232" s="944" t="s">
        <v>1789</v>
      </c>
      <c r="AF1232" s="661" t="s">
        <v>1769</v>
      </c>
      <c r="AG1232" s="662" t="s">
        <v>719</v>
      </c>
      <c r="AH1232" s="662" t="s">
        <v>1730</v>
      </c>
      <c r="AI1232" s="662">
        <v>5000</v>
      </c>
      <c r="AJ1232" s="662">
        <v>5000</v>
      </c>
      <c r="AK1232" s="662">
        <v>5000</v>
      </c>
      <c r="AL1232" s="658">
        <v>0.02</v>
      </c>
      <c r="AM1232" s="658">
        <v>0.2</v>
      </c>
      <c r="AN1232" s="659" t="s">
        <v>2122</v>
      </c>
      <c r="AO1232" s="253" t="s">
        <v>34</v>
      </c>
      <c r="AP1232" s="944" t="s">
        <v>1731</v>
      </c>
      <c r="AQ1232" s="663" t="s">
        <v>659</v>
      </c>
      <c r="AR1232" s="658">
        <v>6.0000000000000001E-3</v>
      </c>
      <c r="AS1232" s="658">
        <v>6.0000000000000001E-3</v>
      </c>
      <c r="AT1232" s="658" t="s">
        <v>1417</v>
      </c>
      <c r="AU1232" s="658" t="s">
        <v>2751</v>
      </c>
      <c r="AX1232"/>
      <c r="AY1232"/>
      <c r="BA1232"/>
      <c r="BB1232"/>
      <c r="BC1232"/>
      <c r="BD1232"/>
      <c r="BE1232"/>
      <c r="BF1232"/>
      <c r="BG1232"/>
      <c r="BH1232"/>
      <c r="BI1232"/>
      <c r="BJ1232"/>
      <c r="BR1232"/>
      <c r="BS1232"/>
      <c r="BT1232"/>
      <c r="BU1232"/>
      <c r="BX1232"/>
      <c r="BY1232"/>
      <c r="CA1232"/>
    </row>
    <row r="1233" spans="2:79" ht="18.75">
      <c r="B1233" s="252" t="s">
        <v>357</v>
      </c>
      <c r="C1233" s="251">
        <v>36015100000139</v>
      </c>
      <c r="D1233" s="252" t="s">
        <v>11</v>
      </c>
      <c r="E1233" s="252" t="s">
        <v>620</v>
      </c>
      <c r="F1233" s="252" t="s">
        <v>663</v>
      </c>
      <c r="G1233" s="253" t="s">
        <v>738</v>
      </c>
      <c r="H1233" s="253" t="s">
        <v>34</v>
      </c>
      <c r="I1233" s="253" t="s">
        <v>1304</v>
      </c>
      <c r="J1233" s="253" t="s">
        <v>608</v>
      </c>
      <c r="K1233" s="253" t="s">
        <v>48</v>
      </c>
      <c r="L1233" s="655"/>
      <c r="M1233" s="655" t="s">
        <v>34</v>
      </c>
      <c r="N1233" s="253" t="s">
        <v>3863</v>
      </c>
      <c r="O1233" s="253" t="s">
        <v>1321</v>
      </c>
      <c r="P1233" s="656">
        <v>43874</v>
      </c>
      <c r="Q1233" s="657">
        <v>41.094568330000001</v>
      </c>
      <c r="R1233" s="657">
        <v>30.763591898955845</v>
      </c>
      <c r="S1233" s="253">
        <v>61</v>
      </c>
      <c r="T1233" s="658">
        <v>-1.194260092184718E-2</v>
      </c>
      <c r="U1233" s="659">
        <v>-0.59717841833162133</v>
      </c>
      <c r="V1233" s="658">
        <v>0.16164509763258383</v>
      </c>
      <c r="W1233" s="659">
        <v>1.2536078541909759</v>
      </c>
      <c r="X1233" s="658">
        <v>0.24171037664533124</v>
      </c>
      <c r="Y1233" s="659">
        <v>1.251816246276066</v>
      </c>
      <c r="Z1233" s="658">
        <v>0.3894599944392978</v>
      </c>
      <c r="AA1233" s="659">
        <v>1.7585197612200787</v>
      </c>
      <c r="AB1233" s="658">
        <v>3.936683663550377E-2</v>
      </c>
      <c r="AC1233" s="660">
        <v>0.83067858585069188</v>
      </c>
      <c r="AD1233" s="682">
        <v>36247749000185</v>
      </c>
      <c r="AE1233" s="944" t="s">
        <v>2002</v>
      </c>
      <c r="AF1233" s="661" t="s">
        <v>1745</v>
      </c>
      <c r="AG1233" s="662" t="s">
        <v>1432</v>
      </c>
      <c r="AH1233" s="662" t="s">
        <v>1734</v>
      </c>
      <c r="AI1233" s="662">
        <v>500</v>
      </c>
      <c r="AJ1233" s="662">
        <v>100</v>
      </c>
      <c r="AK1233" s="662">
        <v>100</v>
      </c>
      <c r="AL1233" s="658">
        <v>8.0000000000000002E-3</v>
      </c>
      <c r="AM1233" s="658">
        <v>0.2</v>
      </c>
      <c r="AN1233" s="659" t="s">
        <v>34</v>
      </c>
      <c r="AO1233" s="253" t="s">
        <v>34</v>
      </c>
      <c r="AP1233" s="944" t="s">
        <v>1746</v>
      </c>
      <c r="AQ1233" s="663" t="s">
        <v>664</v>
      </c>
      <c r="AR1233" s="658">
        <v>2.13333333333333E-3</v>
      </c>
      <c r="AS1233" s="658">
        <v>2.13333333333333E-3</v>
      </c>
      <c r="AT1233" s="658" t="s">
        <v>1417</v>
      </c>
      <c r="AU1233" s="658" t="s">
        <v>2751</v>
      </c>
      <c r="AX1233"/>
      <c r="AY1233"/>
      <c r="BA1233"/>
      <c r="BB1233"/>
      <c r="BC1233"/>
      <c r="BD1233"/>
      <c r="BE1233"/>
      <c r="BF1233"/>
      <c r="BG1233"/>
      <c r="BH1233"/>
      <c r="BI1233"/>
      <c r="BJ1233"/>
      <c r="BR1233"/>
      <c r="BS1233"/>
      <c r="BT1233"/>
      <c r="BU1233"/>
      <c r="BX1233"/>
      <c r="BY1233"/>
      <c r="CA1233"/>
    </row>
    <row r="1234" spans="2:79" ht="18.75">
      <c r="B1234" s="252" t="s">
        <v>1159</v>
      </c>
      <c r="C1234" s="251">
        <v>36498670000127</v>
      </c>
      <c r="D1234" s="252" t="s">
        <v>11</v>
      </c>
      <c r="E1234" s="252" t="s">
        <v>620</v>
      </c>
      <c r="F1234" s="252" t="s">
        <v>663</v>
      </c>
      <c r="G1234" s="253" t="s">
        <v>738</v>
      </c>
      <c r="H1234" s="253" t="s">
        <v>34</v>
      </c>
      <c r="I1234" s="253" t="s">
        <v>1417</v>
      </c>
      <c r="J1234" s="253" t="s">
        <v>608</v>
      </c>
      <c r="K1234" s="253" t="s">
        <v>48</v>
      </c>
      <c r="L1234" s="655"/>
      <c r="M1234" s="655" t="s">
        <v>1414</v>
      </c>
      <c r="N1234" s="253" t="s">
        <v>3864</v>
      </c>
      <c r="O1234" s="253" t="s">
        <v>1321</v>
      </c>
      <c r="P1234" s="656">
        <v>43906</v>
      </c>
      <c r="Q1234" s="657">
        <v>4612.6207919799999</v>
      </c>
      <c r="R1234" s="657">
        <v>5639.6710347306489</v>
      </c>
      <c r="S1234" s="253">
        <v>1</v>
      </c>
      <c r="T1234" s="658">
        <v>1.0135873123353845E-2</v>
      </c>
      <c r="U1234" s="659">
        <v>0.50683471044749817</v>
      </c>
      <c r="V1234" s="658">
        <v>0.13175032302012868</v>
      </c>
      <c r="W1234" s="659">
        <v>1.0217646074590165</v>
      </c>
      <c r="X1234" s="658">
        <v>0.21275424467371318</v>
      </c>
      <c r="Y1234" s="659">
        <v>1.1018526537548698</v>
      </c>
      <c r="Z1234" s="658"/>
      <c r="AA1234" s="659"/>
      <c r="AB1234" s="658">
        <v>3.9728054770309723E-3</v>
      </c>
      <c r="AC1234" s="660">
        <v>0.70640598679340982</v>
      </c>
      <c r="AD1234" s="682">
        <v>0</v>
      </c>
      <c r="AE1234" s="944" t="s">
        <v>2002</v>
      </c>
      <c r="AF1234" s="661" t="s">
        <v>1745</v>
      </c>
      <c r="AG1234" s="662" t="s">
        <v>1432</v>
      </c>
      <c r="AH1234" s="662" t="s">
        <v>1734</v>
      </c>
      <c r="AI1234" s="662">
        <v>500</v>
      </c>
      <c r="AJ1234" s="662">
        <v>500</v>
      </c>
      <c r="AK1234" s="662">
        <v>500</v>
      </c>
      <c r="AL1234" s="658">
        <v>2.5000000000000001E-3</v>
      </c>
      <c r="AM1234" s="658">
        <v>0</v>
      </c>
      <c r="AN1234" s="659" t="s">
        <v>64</v>
      </c>
      <c r="AO1234" s="253" t="s">
        <v>34</v>
      </c>
      <c r="AP1234" s="944" t="s">
        <v>1735</v>
      </c>
      <c r="AQ1234" s="663" t="s">
        <v>669</v>
      </c>
      <c r="AR1234" s="658">
        <v>6.9999999999999999E-4</v>
      </c>
      <c r="AS1234" s="658">
        <v>6.9999999999999999E-4</v>
      </c>
      <c r="AT1234" s="658" t="s">
        <v>1417</v>
      </c>
      <c r="AU1234" s="658" t="s">
        <v>2751</v>
      </c>
      <c r="AX1234"/>
      <c r="AY1234"/>
      <c r="BA1234"/>
      <c r="BB1234"/>
      <c r="BC1234"/>
      <c r="BD1234"/>
      <c r="BE1234"/>
      <c r="BF1234"/>
      <c r="BG1234"/>
      <c r="BH1234"/>
      <c r="BI1234"/>
      <c r="BJ1234"/>
      <c r="BR1234"/>
      <c r="BS1234"/>
      <c r="BT1234"/>
      <c r="BU1234"/>
      <c r="BX1234"/>
      <c r="BY1234"/>
      <c r="CA1234"/>
    </row>
    <row r="1235" spans="2:79" ht="18.75">
      <c r="B1235" s="252" t="s">
        <v>1160</v>
      </c>
      <c r="C1235" s="251">
        <v>40265199000102</v>
      </c>
      <c r="D1235" s="252" t="s">
        <v>11</v>
      </c>
      <c r="E1235" s="252" t="s">
        <v>620</v>
      </c>
      <c r="F1235" s="252" t="s">
        <v>685</v>
      </c>
      <c r="G1235" s="253" t="s">
        <v>738</v>
      </c>
      <c r="H1235" s="253" t="s">
        <v>34</v>
      </c>
      <c r="I1235" s="253" t="s">
        <v>1319</v>
      </c>
      <c r="J1235" s="253" t="s">
        <v>608</v>
      </c>
      <c r="K1235" s="253" t="s">
        <v>48</v>
      </c>
      <c r="L1235" s="655"/>
      <c r="M1235" s="655" t="s">
        <v>34</v>
      </c>
      <c r="N1235" s="253" t="s">
        <v>3865</v>
      </c>
      <c r="O1235" s="253" t="s">
        <v>1321</v>
      </c>
      <c r="P1235" s="656">
        <v>44225</v>
      </c>
      <c r="Q1235" s="657">
        <v>109.24693938</v>
      </c>
      <c r="R1235" s="657">
        <v>85.649295006532228</v>
      </c>
      <c r="S1235" s="253">
        <v>181</v>
      </c>
      <c r="T1235" s="658">
        <v>1.0199280127055621E-2</v>
      </c>
      <c r="U1235" s="659">
        <v>0.51000531745593503</v>
      </c>
      <c r="V1235" s="658">
        <v>0.18222305379529757</v>
      </c>
      <c r="W1235" s="659">
        <v>1.4131962849357851</v>
      </c>
      <c r="X1235" s="658">
        <v>0.28648187477896103</v>
      </c>
      <c r="Y1235" s="659">
        <v>1.4836875027427829</v>
      </c>
      <c r="Z1235" s="658"/>
      <c r="AA1235" s="659"/>
      <c r="AB1235" s="658">
        <v>5.4591200713897829E-2</v>
      </c>
      <c r="AC1235" s="660">
        <v>0.97596579030630148</v>
      </c>
      <c r="AD1235" s="682">
        <v>36498197000188</v>
      </c>
      <c r="AE1235" s="944" t="s">
        <v>2002</v>
      </c>
      <c r="AF1235" s="661" t="s">
        <v>1745</v>
      </c>
      <c r="AG1235" s="662" t="s">
        <v>1432</v>
      </c>
      <c r="AH1235" s="662" t="s">
        <v>1730</v>
      </c>
      <c r="AI1235" s="662">
        <v>5000</v>
      </c>
      <c r="AJ1235" s="662">
        <v>1000</v>
      </c>
      <c r="AK1235" s="662">
        <v>1000</v>
      </c>
      <c r="AL1235" s="658">
        <v>1.18E-2</v>
      </c>
      <c r="AM1235" s="658">
        <v>0.1</v>
      </c>
      <c r="AN1235" s="659" t="s">
        <v>34</v>
      </c>
      <c r="AO1235" s="253" t="s">
        <v>34</v>
      </c>
      <c r="AP1235" s="944" t="s">
        <v>1746</v>
      </c>
      <c r="AQ1235" s="663" t="s">
        <v>686</v>
      </c>
      <c r="AR1235" s="658">
        <v>5.5066666666666701E-3</v>
      </c>
      <c r="AS1235" s="658">
        <v>5.5066666666666701E-3</v>
      </c>
      <c r="AT1235" s="658" t="s">
        <v>1417</v>
      </c>
      <c r="AU1235" s="658" t="s">
        <v>2751</v>
      </c>
      <c r="AX1235"/>
      <c r="AY1235"/>
      <c r="BA1235"/>
      <c r="BB1235"/>
      <c r="BC1235"/>
      <c r="BD1235"/>
      <c r="BE1235"/>
      <c r="BF1235"/>
      <c r="BG1235"/>
      <c r="BH1235"/>
      <c r="BI1235"/>
      <c r="BJ1235"/>
      <c r="BR1235"/>
      <c r="BS1235"/>
      <c r="BT1235"/>
      <c r="BU1235"/>
      <c r="BX1235"/>
      <c r="BY1235"/>
      <c r="CA1235"/>
    </row>
    <row r="1236" spans="2:79" ht="18.75">
      <c r="B1236" s="252" t="s">
        <v>1161</v>
      </c>
      <c r="C1236" s="251">
        <v>36248893000136</v>
      </c>
      <c r="D1236" s="252" t="s">
        <v>11</v>
      </c>
      <c r="E1236" s="252" t="s">
        <v>620</v>
      </c>
      <c r="F1236" s="252" t="s">
        <v>663</v>
      </c>
      <c r="G1236" s="253" t="s">
        <v>738</v>
      </c>
      <c r="H1236" s="253" t="s">
        <v>34</v>
      </c>
      <c r="I1236" s="253" t="s">
        <v>1304</v>
      </c>
      <c r="J1236" s="253" t="s">
        <v>608</v>
      </c>
      <c r="K1236" s="253" t="s">
        <v>48</v>
      </c>
      <c r="L1236" s="655"/>
      <c r="M1236" s="655" t="s">
        <v>34</v>
      </c>
      <c r="N1236" s="253" t="s">
        <v>3866</v>
      </c>
      <c r="O1236" s="253" t="s">
        <v>1321</v>
      </c>
      <c r="P1236" s="656">
        <v>43895</v>
      </c>
      <c r="Q1236" s="657">
        <v>12.675092250000001</v>
      </c>
      <c r="R1236" s="657">
        <v>7.0519012445161273</v>
      </c>
      <c r="S1236" s="253">
        <v>1</v>
      </c>
      <c r="T1236" s="658">
        <v>3.6040134183958683E-2</v>
      </c>
      <c r="U1236" s="659">
        <v>1.8021526859416268</v>
      </c>
      <c r="V1236" s="658">
        <v>0.25926897647325031</v>
      </c>
      <c r="W1236" s="659">
        <v>2.0107113052923493</v>
      </c>
      <c r="X1236" s="658">
        <v>0.39149114313379108</v>
      </c>
      <c r="Y1236" s="659">
        <v>2.0275297240017536</v>
      </c>
      <c r="Z1236" s="658"/>
      <c r="AA1236" s="659"/>
      <c r="AB1236" s="658">
        <v>9.7377861135219235E-2</v>
      </c>
      <c r="AC1236" s="660">
        <v>1.3383439059674163</v>
      </c>
      <c r="AD1236" s="682">
        <v>0</v>
      </c>
      <c r="AE1236" s="944" t="s">
        <v>2002</v>
      </c>
      <c r="AF1236" s="661" t="s">
        <v>1745</v>
      </c>
      <c r="AG1236" s="662" t="s">
        <v>1432</v>
      </c>
      <c r="AH1236" s="662" t="s">
        <v>1801</v>
      </c>
      <c r="AI1236" s="662">
        <v>0</v>
      </c>
      <c r="AJ1236" s="662">
        <v>0</v>
      </c>
      <c r="AK1236" s="662">
        <v>0</v>
      </c>
      <c r="AL1236" s="658">
        <v>9.300000000000001E-3</v>
      </c>
      <c r="AM1236" s="658">
        <v>0.2</v>
      </c>
      <c r="AN1236" s="659" t="s">
        <v>34</v>
      </c>
      <c r="AO1236" s="253" t="s">
        <v>34</v>
      </c>
      <c r="AP1236" s="944" t="s">
        <v>1746</v>
      </c>
      <c r="AQ1236" s="663" t="s">
        <v>679</v>
      </c>
      <c r="AR1236" s="658">
        <v>2.48E-3</v>
      </c>
      <c r="AS1236" s="658">
        <v>2.48E-3</v>
      </c>
      <c r="AT1236" s="658" t="s">
        <v>1417</v>
      </c>
      <c r="AU1236" s="658" t="s">
        <v>2751</v>
      </c>
      <c r="AX1236"/>
      <c r="AY1236"/>
      <c r="BA1236"/>
      <c r="BB1236"/>
      <c r="BC1236"/>
      <c r="BD1236"/>
      <c r="BE1236"/>
      <c r="BF1236"/>
      <c r="BG1236"/>
      <c r="BH1236"/>
      <c r="BI1236"/>
      <c r="BJ1236"/>
      <c r="BR1236"/>
      <c r="BS1236"/>
      <c r="BT1236"/>
      <c r="BU1236"/>
      <c r="BX1236"/>
      <c r="BY1236"/>
      <c r="CA1236"/>
    </row>
    <row r="1237" spans="2:79" ht="18.75">
      <c r="B1237" s="252" t="s">
        <v>1303</v>
      </c>
      <c r="C1237" s="251">
        <v>42405028000159</v>
      </c>
      <c r="D1237" s="252" t="s">
        <v>11</v>
      </c>
      <c r="E1237" s="252" t="s">
        <v>620</v>
      </c>
      <c r="F1237" s="252" t="s">
        <v>663</v>
      </c>
      <c r="G1237" s="253" t="s">
        <v>738</v>
      </c>
      <c r="H1237" s="253" t="s">
        <v>34</v>
      </c>
      <c r="I1237" s="253" t="s">
        <v>1304</v>
      </c>
      <c r="J1237" s="253" t="s">
        <v>608</v>
      </c>
      <c r="K1237" s="253" t="s">
        <v>48</v>
      </c>
      <c r="L1237" s="655"/>
      <c r="M1237" s="655" t="s">
        <v>34</v>
      </c>
      <c r="N1237" s="253" t="s">
        <v>3867</v>
      </c>
      <c r="O1237" s="253" t="s">
        <v>1321</v>
      </c>
      <c r="P1237" s="656">
        <v>44480</v>
      </c>
      <c r="Q1237" s="657">
        <v>95.14</v>
      </c>
      <c r="R1237" s="657">
        <v>37.095964912280706</v>
      </c>
      <c r="S1237" s="253">
        <v>60</v>
      </c>
      <c r="T1237" s="658">
        <v>1.7391304347825987E-2</v>
      </c>
      <c r="U1237" s="659">
        <v>0.86963565902629181</v>
      </c>
      <c r="V1237" s="658">
        <v>0.14705882352941124</v>
      </c>
      <c r="W1237" s="659">
        <v>1.1404867756867447</v>
      </c>
      <c r="X1237" s="658"/>
      <c r="Y1237" s="659"/>
      <c r="Z1237" s="658"/>
      <c r="AA1237" s="659"/>
      <c r="AB1237" s="658">
        <v>3.6272611317599249E-2</v>
      </c>
      <c r="AC1237" s="660">
        <v>0.49941025541311512</v>
      </c>
      <c r="AD1237" s="682">
        <v>0</v>
      </c>
      <c r="AE1237" s="944" t="s">
        <v>1993</v>
      </c>
      <c r="AF1237" s="661" t="s">
        <v>1729</v>
      </c>
      <c r="AG1237" s="662" t="s">
        <v>1433</v>
      </c>
      <c r="AH1237" s="662" t="s">
        <v>1730</v>
      </c>
      <c r="AI1237" s="662">
        <v>5000</v>
      </c>
      <c r="AJ1237" s="662">
        <v>0</v>
      </c>
      <c r="AK1237" s="662">
        <v>50000</v>
      </c>
      <c r="AL1237" s="658">
        <v>0</v>
      </c>
      <c r="AM1237" s="658">
        <v>0</v>
      </c>
      <c r="AN1237" s="659" t="s">
        <v>64</v>
      </c>
      <c r="AO1237" s="253" t="s">
        <v>34</v>
      </c>
      <c r="AP1237" s="944" t="s">
        <v>1746</v>
      </c>
      <c r="AQ1237" s="663" t="s">
        <v>686</v>
      </c>
      <c r="AR1237" s="658">
        <v>1.0666666666666701E-4</v>
      </c>
      <c r="AS1237" s="658">
        <v>1.0666666666666701E-4</v>
      </c>
      <c r="AT1237" s="658" t="s">
        <v>1417</v>
      </c>
      <c r="AU1237" s="658" t="s">
        <v>2751</v>
      </c>
      <c r="AX1237"/>
      <c r="AY1237"/>
      <c r="BA1237"/>
      <c r="BB1237"/>
      <c r="BC1237"/>
      <c r="BD1237"/>
      <c r="BE1237"/>
      <c r="BF1237"/>
      <c r="BG1237"/>
      <c r="BH1237"/>
      <c r="BI1237"/>
      <c r="BJ1237"/>
      <c r="BR1237"/>
      <c r="BS1237"/>
      <c r="BT1237"/>
      <c r="BU1237"/>
      <c r="BX1237"/>
      <c r="BY1237"/>
      <c r="CA1237"/>
    </row>
    <row r="1238" spans="2:79" ht="18.75">
      <c r="B1238" s="252" t="s">
        <v>1688</v>
      </c>
      <c r="C1238" s="251">
        <v>27249854000162</v>
      </c>
      <c r="D1238" s="252" t="s">
        <v>13</v>
      </c>
      <c r="E1238" s="252" t="s">
        <v>1417</v>
      </c>
      <c r="F1238" s="252" t="s">
        <v>1417</v>
      </c>
      <c r="G1238" s="253" t="s">
        <v>1417</v>
      </c>
      <c r="H1238" s="253" t="s">
        <v>1338</v>
      </c>
      <c r="I1238" s="253" t="s">
        <v>1417</v>
      </c>
      <c r="J1238" s="253" t="s">
        <v>1417</v>
      </c>
      <c r="K1238" s="253" t="s">
        <v>1417</v>
      </c>
      <c r="L1238" s="655"/>
      <c r="M1238" s="655" t="s">
        <v>34</v>
      </c>
      <c r="N1238" s="253" t="s">
        <v>3868</v>
      </c>
      <c r="O1238" s="253" t="s">
        <v>1321</v>
      </c>
      <c r="P1238" s="656">
        <v>42868</v>
      </c>
      <c r="Q1238" s="657">
        <v>215.9386911</v>
      </c>
      <c r="R1238" s="657">
        <v>114.64478969790581</v>
      </c>
      <c r="S1238" s="253">
        <v>1</v>
      </c>
      <c r="T1238" s="658"/>
      <c r="U1238" s="659"/>
      <c r="V1238" s="658">
        <v>-1.0658220124019402E-2</v>
      </c>
      <c r="W1238" s="659">
        <v>-8.2657801905857059E-2</v>
      </c>
      <c r="X1238" s="658">
        <v>-8.2844716380382488E-2</v>
      </c>
      <c r="Y1238" s="659">
        <v>-0.42905217112489596</v>
      </c>
      <c r="Z1238" s="658">
        <v>-5.9617709657576956E-2</v>
      </c>
      <c r="AA1238" s="659">
        <v>-0.2691904741139482</v>
      </c>
      <c r="AB1238" s="658">
        <v>8.5040535805414902E-2</v>
      </c>
      <c r="AC1238" s="660">
        <v>-1.6415951316468385</v>
      </c>
      <c r="AD1238" s="682">
        <v>0</v>
      </c>
      <c r="AE1238" s="944" t="s">
        <v>1894</v>
      </c>
      <c r="AF1238" s="661" t="s">
        <v>1745</v>
      </c>
      <c r="AG1238" s="662" t="s">
        <v>1432</v>
      </c>
      <c r="AH1238" s="662" t="s">
        <v>1801</v>
      </c>
      <c r="AI1238" s="662">
        <v>0</v>
      </c>
      <c r="AJ1238" s="662">
        <v>0</v>
      </c>
      <c r="AK1238" s="662">
        <v>0</v>
      </c>
      <c r="AL1238" s="658">
        <v>5.5000000000000005E-3</v>
      </c>
      <c r="AM1238" s="658">
        <v>0.15</v>
      </c>
      <c r="AN1238" s="659" t="s">
        <v>2127</v>
      </c>
      <c r="AO1238" s="253" t="s">
        <v>34</v>
      </c>
      <c r="AP1238" s="944" t="s">
        <v>1746</v>
      </c>
      <c r="AQ1238" s="663" t="s">
        <v>679</v>
      </c>
      <c r="AR1238" s="658">
        <v>0</v>
      </c>
      <c r="AS1238" s="658">
        <v>0</v>
      </c>
      <c r="AT1238" s="658" t="s">
        <v>1417</v>
      </c>
      <c r="AU1238" s="658" t="s">
        <v>2751</v>
      </c>
      <c r="AX1238"/>
      <c r="AY1238"/>
      <c r="BA1238"/>
      <c r="BB1238"/>
      <c r="BC1238"/>
      <c r="BD1238"/>
      <c r="BE1238"/>
      <c r="BF1238"/>
      <c r="BG1238"/>
      <c r="BH1238"/>
      <c r="BI1238"/>
      <c r="BJ1238"/>
      <c r="BR1238"/>
      <c r="BS1238"/>
      <c r="BT1238"/>
      <c r="BU1238"/>
      <c r="BX1238"/>
      <c r="BY1238"/>
      <c r="CA1238"/>
    </row>
    <row r="1239" spans="2:79" ht="18.75">
      <c r="B1239" s="252" t="s">
        <v>358</v>
      </c>
      <c r="C1239" s="251">
        <v>37287622000152</v>
      </c>
      <c r="D1239" s="252" t="s">
        <v>13</v>
      </c>
      <c r="E1239" s="252" t="s">
        <v>616</v>
      </c>
      <c r="F1239" s="252" t="s">
        <v>617</v>
      </c>
      <c r="G1239" s="253" t="s">
        <v>34</v>
      </c>
      <c r="H1239" s="253" t="s">
        <v>865</v>
      </c>
      <c r="I1239" s="253" t="s">
        <v>34</v>
      </c>
      <c r="J1239" s="253" t="s">
        <v>608</v>
      </c>
      <c r="K1239" s="253" t="s">
        <v>48</v>
      </c>
      <c r="L1239" s="655"/>
      <c r="M1239" s="655" t="s">
        <v>34</v>
      </c>
      <c r="N1239" s="253" t="s">
        <v>3869</v>
      </c>
      <c r="O1239" s="253" t="s">
        <v>1321</v>
      </c>
      <c r="P1239" s="656">
        <v>44063</v>
      </c>
      <c r="Q1239" s="657">
        <v>5.0101715100000002</v>
      </c>
      <c r="R1239" s="657">
        <v>9.4466563889516113</v>
      </c>
      <c r="S1239" s="253">
        <v>17</v>
      </c>
      <c r="T1239" s="658">
        <v>-6.1784712803218955E-3</v>
      </c>
      <c r="U1239" s="659">
        <v>-0.30894858925917229</v>
      </c>
      <c r="V1239" s="658">
        <v>5.7651298992822397E-2</v>
      </c>
      <c r="W1239" s="659">
        <v>0.44710369989684173</v>
      </c>
      <c r="X1239" s="658">
        <v>4.9354058095603115E-2</v>
      </c>
      <c r="Y1239" s="659">
        <v>0.25560430049051486</v>
      </c>
      <c r="Z1239" s="658"/>
      <c r="AA1239" s="659"/>
      <c r="AB1239" s="658">
        <v>5.9281963562646624E-2</v>
      </c>
      <c r="AC1239" s="660">
        <v>-1.2026020423332806</v>
      </c>
      <c r="AD1239" s="682">
        <v>25328809000178</v>
      </c>
      <c r="AE1239" s="944" t="s">
        <v>1890</v>
      </c>
      <c r="AF1239" s="661" t="s">
        <v>1745</v>
      </c>
      <c r="AG1239" s="662" t="s">
        <v>1432</v>
      </c>
      <c r="AH1239" s="662" t="s">
        <v>1730</v>
      </c>
      <c r="AI1239" s="662">
        <v>500</v>
      </c>
      <c r="AJ1239" s="662">
        <v>100</v>
      </c>
      <c r="AK1239" s="662">
        <v>100</v>
      </c>
      <c r="AL1239" s="658">
        <v>1.7000000000000001E-2</v>
      </c>
      <c r="AM1239" s="658">
        <v>0.2</v>
      </c>
      <c r="AN1239" s="659" t="s">
        <v>34</v>
      </c>
      <c r="AO1239" s="253" t="s">
        <v>34</v>
      </c>
      <c r="AP1239" s="944" t="s">
        <v>1746</v>
      </c>
      <c r="AQ1239" s="663" t="s">
        <v>668</v>
      </c>
      <c r="AR1239" s="658">
        <v>4.5333333333333302E-3</v>
      </c>
      <c r="AS1239" s="658">
        <v>4.5333333333333302E-3</v>
      </c>
      <c r="AT1239" s="658" t="s">
        <v>1417</v>
      </c>
      <c r="AU1239" s="658" t="s">
        <v>2751</v>
      </c>
      <c r="AX1239"/>
      <c r="AY1239"/>
      <c r="BA1239"/>
      <c r="BB1239"/>
      <c r="BC1239"/>
      <c r="BD1239"/>
      <c r="BE1239"/>
      <c r="BF1239"/>
      <c r="BG1239"/>
      <c r="BH1239"/>
      <c r="BI1239"/>
      <c r="BJ1239"/>
      <c r="BR1239"/>
      <c r="BS1239"/>
      <c r="BT1239"/>
      <c r="BU1239"/>
      <c r="BX1239"/>
      <c r="BY1239"/>
      <c r="CA1239"/>
    </row>
    <row r="1240" spans="2:79" ht="18.75">
      <c r="B1240" s="252" t="s">
        <v>1162</v>
      </c>
      <c r="C1240" s="251">
        <v>27783868000161</v>
      </c>
      <c r="D1240" s="252" t="s">
        <v>14</v>
      </c>
      <c r="E1240" s="252" t="s">
        <v>607</v>
      </c>
      <c r="F1240" s="252" t="s">
        <v>1417</v>
      </c>
      <c r="G1240" s="253" t="s">
        <v>1417</v>
      </c>
      <c r="H1240" s="253" t="s">
        <v>34</v>
      </c>
      <c r="I1240" s="253" t="s">
        <v>34</v>
      </c>
      <c r="J1240" s="253" t="s">
        <v>608</v>
      </c>
      <c r="K1240" s="253" t="s">
        <v>48</v>
      </c>
      <c r="L1240" s="655"/>
      <c r="M1240" s="655" t="s">
        <v>34</v>
      </c>
      <c r="N1240" s="253" t="s">
        <v>3870</v>
      </c>
      <c r="O1240" s="253" t="s">
        <v>1321</v>
      </c>
      <c r="P1240" s="656">
        <v>43009</v>
      </c>
      <c r="Q1240" s="657">
        <v>90.897194319999997</v>
      </c>
      <c r="R1240" s="657">
        <v>82.25364572096386</v>
      </c>
      <c r="S1240" s="253">
        <v>32</v>
      </c>
      <c r="T1240" s="658">
        <v>-4.0698706802095641E-2</v>
      </c>
      <c r="U1240" s="659">
        <v>-2.0351001859031119</v>
      </c>
      <c r="V1240" s="658">
        <v>-2.2172528307607631E-2</v>
      </c>
      <c r="W1240" s="659">
        <v>-0.17195483216489282</v>
      </c>
      <c r="X1240" s="658">
        <v>1.8708717679831732E-3</v>
      </c>
      <c r="Y1240" s="659">
        <v>9.6892309977119045E-3</v>
      </c>
      <c r="Z1240" s="658">
        <v>7.9923513533928237E-2</v>
      </c>
      <c r="AA1240" s="659">
        <v>0.3608768036313913</v>
      </c>
      <c r="AB1240" s="658">
        <v>0.2210594414599413</v>
      </c>
      <c r="AC1240" s="660">
        <v>-0.68360092089430224</v>
      </c>
      <c r="AD1240" s="682">
        <v>28589709000193</v>
      </c>
      <c r="AE1240" s="944" t="s">
        <v>1890</v>
      </c>
      <c r="AF1240" s="661" t="s">
        <v>1745</v>
      </c>
      <c r="AG1240" s="662" t="s">
        <v>1432</v>
      </c>
      <c r="AH1240" s="662" t="s">
        <v>1734</v>
      </c>
      <c r="AI1240" s="662">
        <v>500</v>
      </c>
      <c r="AJ1240" s="662">
        <v>500</v>
      </c>
      <c r="AK1240" s="662">
        <v>500</v>
      </c>
      <c r="AL1240" s="658">
        <v>1.7000000000000001E-2</v>
      </c>
      <c r="AM1240" s="658">
        <v>0.2</v>
      </c>
      <c r="AN1240" s="659" t="s">
        <v>2160</v>
      </c>
      <c r="AO1240" s="253" t="s">
        <v>34</v>
      </c>
      <c r="AP1240" s="944" t="s">
        <v>1731</v>
      </c>
      <c r="AQ1240" s="663" t="s">
        <v>670</v>
      </c>
      <c r="AR1240" s="658">
        <v>4.5333333333333302E-3</v>
      </c>
      <c r="AS1240" s="658">
        <v>4.5333333333333302E-3</v>
      </c>
      <c r="AT1240" s="658" t="s">
        <v>1417</v>
      </c>
      <c r="AU1240" s="658" t="s">
        <v>2751</v>
      </c>
      <c r="AX1240"/>
      <c r="AY1240"/>
      <c r="BA1240"/>
      <c r="BB1240"/>
      <c r="BC1240"/>
      <c r="BD1240"/>
      <c r="BE1240"/>
      <c r="BF1240"/>
      <c r="BG1240"/>
      <c r="BH1240"/>
      <c r="BI1240"/>
      <c r="BJ1240"/>
      <c r="BR1240"/>
      <c r="BS1240"/>
      <c r="BT1240"/>
      <c r="BU1240"/>
      <c r="BX1240"/>
      <c r="BY1240"/>
      <c r="CA1240"/>
    </row>
    <row r="1241" spans="2:79" ht="18.75">
      <c r="B1241" s="252" t="s">
        <v>1163</v>
      </c>
      <c r="C1241" s="251">
        <v>38971869000156</v>
      </c>
      <c r="D1241" s="252" t="s">
        <v>13</v>
      </c>
      <c r="E1241" s="252" t="s">
        <v>615</v>
      </c>
      <c r="F1241" s="252" t="s">
        <v>619</v>
      </c>
      <c r="G1241" s="253" t="s">
        <v>34</v>
      </c>
      <c r="H1241" s="253" t="s">
        <v>1338</v>
      </c>
      <c r="I1241" s="253" t="s">
        <v>34</v>
      </c>
      <c r="J1241" s="253" t="s">
        <v>611</v>
      </c>
      <c r="K1241" s="253" t="s">
        <v>48</v>
      </c>
      <c r="L1241" s="655"/>
      <c r="M1241" s="655" t="s">
        <v>34</v>
      </c>
      <c r="N1241" s="253" t="s">
        <v>3871</v>
      </c>
      <c r="O1241" s="253" t="s">
        <v>1324</v>
      </c>
      <c r="P1241" s="656">
        <v>44115</v>
      </c>
      <c r="Q1241" s="657">
        <v>12.116619650000001</v>
      </c>
      <c r="R1241" s="657">
        <v>13.424101247911645</v>
      </c>
      <c r="S1241" s="253">
        <v>33</v>
      </c>
      <c r="T1241" s="658">
        <v>1.3670281061402889E-2</v>
      </c>
      <c r="U1241" s="659">
        <v>0.68356942309469881</v>
      </c>
      <c r="V1241" s="658">
        <v>0.12779909973430725</v>
      </c>
      <c r="W1241" s="659">
        <v>0.99112164570321537</v>
      </c>
      <c r="X1241" s="658">
        <v>0.24237264857694618</v>
      </c>
      <c r="Y1241" s="659">
        <v>1.2552461476934333</v>
      </c>
      <c r="Z1241" s="658"/>
      <c r="AA1241" s="659"/>
      <c r="AB1241" s="658">
        <v>3.8757283527458067E-2</v>
      </c>
      <c r="AC1241" s="660">
        <v>-2.9537924443802783E-2</v>
      </c>
      <c r="AD1241" s="682">
        <v>38537672000103</v>
      </c>
      <c r="AE1241" s="944" t="s">
        <v>1890</v>
      </c>
      <c r="AF1241" s="661" t="s">
        <v>1745</v>
      </c>
      <c r="AG1241" s="662" t="s">
        <v>1432</v>
      </c>
      <c r="AH1241" s="662" t="s">
        <v>1730</v>
      </c>
      <c r="AI1241" s="662">
        <v>500</v>
      </c>
      <c r="AJ1241" s="662">
        <v>100</v>
      </c>
      <c r="AK1241" s="662">
        <v>100</v>
      </c>
      <c r="AL1241" s="658">
        <v>1.7000000000000001E-2</v>
      </c>
      <c r="AM1241" s="658">
        <v>0.2</v>
      </c>
      <c r="AN1241" s="659" t="s">
        <v>34</v>
      </c>
      <c r="AO1241" s="253" t="s">
        <v>34</v>
      </c>
      <c r="AP1241" s="944" t="s">
        <v>1746</v>
      </c>
      <c r="AQ1241" s="663" t="s">
        <v>668</v>
      </c>
      <c r="AR1241" s="658">
        <v>4.5339000000000004E-3</v>
      </c>
      <c r="AS1241" s="658">
        <v>4.5339000000000004E-3</v>
      </c>
      <c r="AT1241" s="658" t="s">
        <v>1417</v>
      </c>
      <c r="AU1241" s="658" t="s">
        <v>2751</v>
      </c>
      <c r="AX1241"/>
      <c r="AY1241"/>
      <c r="BA1241"/>
      <c r="BB1241"/>
      <c r="BC1241"/>
      <c r="BD1241"/>
      <c r="BE1241"/>
      <c r="BF1241"/>
      <c r="BG1241"/>
      <c r="BH1241"/>
      <c r="BI1241"/>
      <c r="BJ1241"/>
      <c r="BR1241"/>
      <c r="BS1241"/>
      <c r="BT1241"/>
      <c r="BU1241"/>
      <c r="BX1241"/>
      <c r="BY1241"/>
      <c r="CA1241"/>
    </row>
    <row r="1242" spans="2:79" ht="18.75">
      <c r="B1242" s="252" t="s">
        <v>1164</v>
      </c>
      <c r="C1242" s="251">
        <v>32041623000107</v>
      </c>
      <c r="D1242" s="252" t="s">
        <v>14</v>
      </c>
      <c r="E1242" s="252" t="s">
        <v>614</v>
      </c>
      <c r="F1242" s="252" t="s">
        <v>1417</v>
      </c>
      <c r="G1242" s="253" t="s">
        <v>1417</v>
      </c>
      <c r="H1242" s="253" t="s">
        <v>1338</v>
      </c>
      <c r="I1242" s="253" t="s">
        <v>34</v>
      </c>
      <c r="J1242" s="253" t="s">
        <v>608</v>
      </c>
      <c r="K1242" s="253" t="s">
        <v>48</v>
      </c>
      <c r="L1242" s="655"/>
      <c r="M1242" s="655" t="s">
        <v>34</v>
      </c>
      <c r="N1242" s="253" t="s">
        <v>3873</v>
      </c>
      <c r="O1242" s="253" t="s">
        <v>1321</v>
      </c>
      <c r="P1242" s="656">
        <v>43464</v>
      </c>
      <c r="Q1242" s="657">
        <v>63.760963289999999</v>
      </c>
      <c r="R1242" s="657">
        <v>53.205810309959688</v>
      </c>
      <c r="S1242" s="253">
        <v>32</v>
      </c>
      <c r="T1242" s="658">
        <v>-5.2662808888324086E-3</v>
      </c>
      <c r="U1242" s="659">
        <v>-0.2633353749541984</v>
      </c>
      <c r="V1242" s="658">
        <v>0.16113848064167935</v>
      </c>
      <c r="W1242" s="659">
        <v>1.2496788823374152</v>
      </c>
      <c r="X1242" s="658">
        <v>0.10132338566830912</v>
      </c>
      <c r="Y1242" s="659">
        <v>0.52475306218813422</v>
      </c>
      <c r="Z1242" s="658">
        <v>0.32402578473128374</v>
      </c>
      <c r="AA1242" s="659">
        <v>1.4630661781196554</v>
      </c>
      <c r="AB1242" s="658">
        <v>0.18900350203014629</v>
      </c>
      <c r="AC1242" s="660">
        <v>0.17033849028763459</v>
      </c>
      <c r="AD1242" s="682">
        <v>32041557000167</v>
      </c>
      <c r="AE1242" s="944" t="s">
        <v>1890</v>
      </c>
      <c r="AF1242" s="661" t="s">
        <v>1745</v>
      </c>
      <c r="AG1242" s="662" t="s">
        <v>1432</v>
      </c>
      <c r="AH1242" s="662" t="s">
        <v>1730</v>
      </c>
      <c r="AI1242" s="662">
        <v>500</v>
      </c>
      <c r="AJ1242" s="662">
        <v>100</v>
      </c>
      <c r="AK1242" s="662">
        <v>100</v>
      </c>
      <c r="AL1242" s="658">
        <v>1.7000000000000001E-2</v>
      </c>
      <c r="AM1242" s="658">
        <v>0.2</v>
      </c>
      <c r="AN1242" s="659" t="s">
        <v>34</v>
      </c>
      <c r="AO1242" s="253" t="s">
        <v>34</v>
      </c>
      <c r="AP1242" s="944" t="s">
        <v>1731</v>
      </c>
      <c r="AQ1242" s="663" t="s">
        <v>659</v>
      </c>
      <c r="AR1242" s="658">
        <v>7.9333333333333304E-3</v>
      </c>
      <c r="AS1242" s="658">
        <v>7.9333333333333304E-3</v>
      </c>
      <c r="AT1242" s="658" t="s">
        <v>1417</v>
      </c>
      <c r="AU1242" s="658" t="s">
        <v>2751</v>
      </c>
      <c r="AX1242"/>
      <c r="AY1242"/>
      <c r="BA1242"/>
      <c r="BB1242"/>
      <c r="BC1242"/>
      <c r="BD1242"/>
      <c r="BE1242"/>
      <c r="BF1242"/>
      <c r="BG1242"/>
      <c r="BH1242"/>
      <c r="BI1242"/>
      <c r="BJ1242"/>
      <c r="BR1242"/>
      <c r="BS1242"/>
      <c r="BT1242"/>
      <c r="BU1242"/>
      <c r="BX1242"/>
      <c r="BY1242"/>
      <c r="CA1242"/>
    </row>
    <row r="1243" spans="2:79" ht="18.75">
      <c r="B1243" s="252" t="s">
        <v>4534</v>
      </c>
      <c r="C1243" s="251">
        <v>42730862000110</v>
      </c>
      <c r="D1243" s="252" t="s">
        <v>13</v>
      </c>
      <c r="E1243" s="252" t="s">
        <v>615</v>
      </c>
      <c r="F1243" s="252" t="s">
        <v>619</v>
      </c>
      <c r="G1243" s="253" t="s">
        <v>34</v>
      </c>
      <c r="H1243" s="253" t="s">
        <v>1337</v>
      </c>
      <c r="I1243" s="253" t="s">
        <v>34</v>
      </c>
      <c r="J1243" s="253" t="s">
        <v>608</v>
      </c>
      <c r="K1243" s="253" t="s">
        <v>48</v>
      </c>
      <c r="L1243" s="655"/>
      <c r="M1243" s="655" t="s">
        <v>34</v>
      </c>
      <c r="N1243" s="253" t="s">
        <v>4535</v>
      </c>
      <c r="O1243" s="253" t="s">
        <v>1321</v>
      </c>
      <c r="P1243" s="656">
        <v>44512</v>
      </c>
      <c r="Q1243" s="657"/>
      <c r="R1243" s="657"/>
      <c r="S1243" s="253">
        <v>5</v>
      </c>
      <c r="T1243" s="658"/>
      <c r="U1243" s="659"/>
      <c r="V1243" s="658"/>
      <c r="W1243" s="659"/>
      <c r="X1243" s="658"/>
      <c r="Y1243" s="659"/>
      <c r="Z1243" s="658"/>
      <c r="AA1243" s="659"/>
      <c r="AB1243" s="658"/>
      <c r="AC1243" s="660"/>
      <c r="AD1243" s="682">
        <v>31908037000146</v>
      </c>
      <c r="AE1243" s="944" t="s">
        <v>1890</v>
      </c>
      <c r="AF1243" s="661" t="s">
        <v>1745</v>
      </c>
      <c r="AG1243" s="662" t="s">
        <v>1432</v>
      </c>
      <c r="AH1243" s="662" t="s">
        <v>2119</v>
      </c>
      <c r="AI1243" s="662">
        <v>0</v>
      </c>
      <c r="AJ1243" s="662">
        <v>0</v>
      </c>
      <c r="AK1243" s="662">
        <v>0</v>
      </c>
      <c r="AL1243" s="658">
        <v>0</v>
      </c>
      <c r="AM1243" s="658">
        <v>0</v>
      </c>
      <c r="AN1243" s="659" t="s">
        <v>2127</v>
      </c>
      <c r="AO1243" s="253" t="s">
        <v>4400</v>
      </c>
      <c r="AP1243" s="944" t="s">
        <v>1746</v>
      </c>
      <c r="AQ1243" s="663" t="s">
        <v>2177</v>
      </c>
      <c r="AR1243" s="658">
        <v>0</v>
      </c>
      <c r="AS1243" s="658">
        <v>0</v>
      </c>
      <c r="AT1243" s="658" t="s">
        <v>1417</v>
      </c>
      <c r="AU1243" s="658" t="s">
        <v>2751</v>
      </c>
      <c r="AX1243"/>
      <c r="AY1243"/>
      <c r="BA1243"/>
      <c r="BB1243"/>
      <c r="BC1243"/>
      <c r="BD1243"/>
      <c r="BE1243"/>
      <c r="BF1243"/>
      <c r="BG1243"/>
      <c r="BH1243"/>
      <c r="BI1243"/>
      <c r="BJ1243"/>
      <c r="BR1243"/>
      <c r="BS1243"/>
      <c r="BT1243"/>
      <c r="BU1243"/>
      <c r="BX1243"/>
      <c r="BY1243"/>
      <c r="CA1243"/>
    </row>
    <row r="1244" spans="2:79" ht="18.75">
      <c r="B1244" s="252" t="s">
        <v>4536</v>
      </c>
      <c r="C1244" s="251">
        <v>31340875000166</v>
      </c>
      <c r="D1244" s="252" t="s">
        <v>13</v>
      </c>
      <c r="E1244" s="252" t="s">
        <v>615</v>
      </c>
      <c r="F1244" s="252" t="s">
        <v>619</v>
      </c>
      <c r="G1244" s="253" t="s">
        <v>34</v>
      </c>
      <c r="H1244" s="253" t="s">
        <v>1337</v>
      </c>
      <c r="I1244" s="253" t="s">
        <v>34</v>
      </c>
      <c r="J1244" s="253" t="s">
        <v>608</v>
      </c>
      <c r="K1244" s="253" t="s">
        <v>48</v>
      </c>
      <c r="L1244" s="655"/>
      <c r="M1244" s="655" t="s">
        <v>34</v>
      </c>
      <c r="N1244" s="253" t="s">
        <v>4537</v>
      </c>
      <c r="O1244" s="253" t="s">
        <v>1321</v>
      </c>
      <c r="P1244" s="656">
        <v>43620</v>
      </c>
      <c r="Q1244" s="657">
        <v>5.9738429699999998</v>
      </c>
      <c r="R1244" s="657">
        <v>5.9709128875000008</v>
      </c>
      <c r="S1244" s="253">
        <v>5</v>
      </c>
      <c r="T1244" s="658">
        <v>9.3876655106961415E-4</v>
      </c>
      <c r="U1244" s="659">
        <v>4.694212992789789E-2</v>
      </c>
      <c r="V1244" s="658">
        <v>9.3876655106961415E-4</v>
      </c>
      <c r="W1244" s="659">
        <v>7.280425691273287E-3</v>
      </c>
      <c r="X1244" s="658">
        <v>9.3876655106961415E-4</v>
      </c>
      <c r="Y1244" s="659">
        <v>4.8618649989273935E-3</v>
      </c>
      <c r="Z1244" s="658">
        <v>9.3876655106961415E-4</v>
      </c>
      <c r="AA1244" s="659">
        <v>4.2387910306552392E-3</v>
      </c>
      <c r="AB1244" s="658">
        <v>2.4628403309201158E-2</v>
      </c>
      <c r="AC1244" s="660">
        <v>-5.1974600743969503</v>
      </c>
      <c r="AD1244" s="682">
        <v>31908037000146</v>
      </c>
      <c r="AE1244" s="944" t="s">
        <v>1890</v>
      </c>
      <c r="AF1244" s="661" t="s">
        <v>1745</v>
      </c>
      <c r="AG1244" s="662" t="s">
        <v>1432</v>
      </c>
      <c r="AH1244" s="662" t="s">
        <v>2119</v>
      </c>
      <c r="AI1244" s="662">
        <v>0</v>
      </c>
      <c r="AJ1244" s="662">
        <v>0</v>
      </c>
      <c r="AK1244" s="662">
        <v>0</v>
      </c>
      <c r="AL1244" s="658">
        <v>0</v>
      </c>
      <c r="AM1244" s="658">
        <v>0</v>
      </c>
      <c r="AN1244" s="659" t="s">
        <v>34</v>
      </c>
      <c r="AO1244" s="253" t="s">
        <v>4397</v>
      </c>
      <c r="AP1244" s="944" t="s">
        <v>1746</v>
      </c>
      <c r="AQ1244" s="663" t="s">
        <v>2177</v>
      </c>
      <c r="AR1244" s="658">
        <v>0</v>
      </c>
      <c r="AS1244" s="658">
        <v>0</v>
      </c>
      <c r="AT1244" s="658" t="s">
        <v>1417</v>
      </c>
      <c r="AU1244" s="658" t="s">
        <v>2751</v>
      </c>
      <c r="AX1244"/>
      <c r="AY1244"/>
      <c r="BA1244"/>
      <c r="BB1244"/>
      <c r="BC1244"/>
      <c r="BD1244"/>
      <c r="BE1244"/>
      <c r="BF1244"/>
      <c r="BG1244"/>
      <c r="BH1244"/>
      <c r="BI1244"/>
      <c r="BJ1244"/>
      <c r="BR1244"/>
      <c r="BS1244"/>
      <c r="BT1244"/>
      <c r="BU1244"/>
      <c r="BX1244"/>
      <c r="BY1244"/>
      <c r="CA1244"/>
    </row>
    <row r="1245" spans="2:79" ht="18.75">
      <c r="B1245" s="252" t="s">
        <v>1165</v>
      </c>
      <c r="C1245" s="251">
        <v>41081041000137</v>
      </c>
      <c r="D1245" s="252" t="s">
        <v>14</v>
      </c>
      <c r="E1245" s="252" t="s">
        <v>614</v>
      </c>
      <c r="F1245" s="252" t="s">
        <v>1417</v>
      </c>
      <c r="G1245" s="253" t="s">
        <v>1417</v>
      </c>
      <c r="H1245" s="253" t="s">
        <v>1337</v>
      </c>
      <c r="I1245" s="253" t="s">
        <v>34</v>
      </c>
      <c r="J1245" s="253" t="s">
        <v>608</v>
      </c>
      <c r="K1245" s="253" t="s">
        <v>48</v>
      </c>
      <c r="L1245" s="655"/>
      <c r="M1245" s="655" t="s">
        <v>1414</v>
      </c>
      <c r="N1245" s="253" t="s">
        <v>3874</v>
      </c>
      <c r="O1245" s="253" t="s">
        <v>1324</v>
      </c>
      <c r="P1245" s="656">
        <v>44294</v>
      </c>
      <c r="Q1245" s="657">
        <v>10.87869542</v>
      </c>
      <c r="R1245" s="657">
        <v>20.271779641646599</v>
      </c>
      <c r="S1245" s="253">
        <v>32</v>
      </c>
      <c r="T1245" s="658">
        <v>-2.2058020676432588E-2</v>
      </c>
      <c r="U1245" s="659">
        <v>-1.1029903774964953</v>
      </c>
      <c r="V1245" s="658">
        <v>2.5376284795583404E-2</v>
      </c>
      <c r="W1245" s="659">
        <v>0.19680095713288037</v>
      </c>
      <c r="X1245" s="658"/>
      <c r="Y1245" s="659"/>
      <c r="Z1245" s="658"/>
      <c r="AA1245" s="659"/>
      <c r="AB1245" s="658">
        <v>0.10007392433106911</v>
      </c>
      <c r="AC1245" s="660">
        <v>-1.0349111953337398</v>
      </c>
      <c r="AD1245" s="682">
        <v>18611600000151</v>
      </c>
      <c r="AE1245" s="944" t="s">
        <v>1890</v>
      </c>
      <c r="AF1245" s="661" t="s">
        <v>1745</v>
      </c>
      <c r="AG1245" s="662" t="s">
        <v>1432</v>
      </c>
      <c r="AH1245" s="662" t="s">
        <v>1730</v>
      </c>
      <c r="AI1245" s="662">
        <v>500</v>
      </c>
      <c r="AJ1245" s="662">
        <v>100</v>
      </c>
      <c r="AK1245" s="662">
        <v>100</v>
      </c>
      <c r="AL1245" s="658">
        <v>1.7000000000000001E-2</v>
      </c>
      <c r="AM1245" s="658">
        <v>0.2</v>
      </c>
      <c r="AN1245" s="659" t="s">
        <v>34</v>
      </c>
      <c r="AO1245" s="253" t="s">
        <v>34</v>
      </c>
      <c r="AP1245" s="944" t="s">
        <v>1746</v>
      </c>
      <c r="AQ1245" s="663" t="s">
        <v>668</v>
      </c>
      <c r="AR1245" s="658">
        <v>2.8338999999999999E-3</v>
      </c>
      <c r="AS1245" s="658">
        <v>2.8338999999999999E-3</v>
      </c>
      <c r="AT1245" s="658" t="s">
        <v>1417</v>
      </c>
      <c r="AU1245" s="658" t="s">
        <v>2751</v>
      </c>
      <c r="AX1245"/>
      <c r="AY1245"/>
      <c r="BA1245"/>
      <c r="BB1245"/>
      <c r="BC1245"/>
      <c r="BD1245"/>
      <c r="BE1245"/>
      <c r="BF1245"/>
      <c r="BG1245"/>
      <c r="BH1245"/>
      <c r="BI1245"/>
      <c r="BJ1245"/>
      <c r="BR1245"/>
      <c r="BS1245"/>
      <c r="BT1245"/>
      <c r="BU1245"/>
      <c r="BX1245"/>
      <c r="BY1245"/>
      <c r="CA1245"/>
    </row>
    <row r="1246" spans="2:79" ht="18.75">
      <c r="B1246" s="252" t="s">
        <v>1166</v>
      </c>
      <c r="C1246" s="251">
        <v>19211696000123</v>
      </c>
      <c r="D1246" s="252" t="s">
        <v>14</v>
      </c>
      <c r="E1246" s="252" t="s">
        <v>614</v>
      </c>
      <c r="F1246" s="252" t="s">
        <v>1417</v>
      </c>
      <c r="G1246" s="253" t="s">
        <v>1417</v>
      </c>
      <c r="H1246" s="253" t="s">
        <v>1337</v>
      </c>
      <c r="I1246" s="253" t="s">
        <v>34</v>
      </c>
      <c r="J1246" s="253" t="s">
        <v>608</v>
      </c>
      <c r="K1246" s="253" t="s">
        <v>48</v>
      </c>
      <c r="L1246" s="655"/>
      <c r="M1246" s="655" t="s">
        <v>1414</v>
      </c>
      <c r="N1246" s="253" t="s">
        <v>3875</v>
      </c>
      <c r="O1246" s="253" t="s">
        <v>1321</v>
      </c>
      <c r="P1246" s="656">
        <v>41614</v>
      </c>
      <c r="Q1246" s="657">
        <v>0</v>
      </c>
      <c r="R1246" s="657">
        <v>485.58335697474774</v>
      </c>
      <c r="S1246" s="253">
        <v>32</v>
      </c>
      <c r="T1246" s="658"/>
      <c r="U1246" s="659"/>
      <c r="V1246" s="658">
        <v>6.6753240095418498E-4</v>
      </c>
      <c r="W1246" s="659">
        <v>5.1769207542885724E-3</v>
      </c>
      <c r="X1246" s="658">
        <v>-2.6895135058467301E-2</v>
      </c>
      <c r="Y1246" s="659">
        <v>-0.13928970480808139</v>
      </c>
      <c r="Z1246" s="658">
        <v>0.13733012893766983</v>
      </c>
      <c r="AA1246" s="659">
        <v>0.62008357468262176</v>
      </c>
      <c r="AB1246" s="658">
        <v>0.10086953660359355</v>
      </c>
      <c r="AC1246" s="660">
        <v>-1.2717058228387284</v>
      </c>
      <c r="AD1246" s="682">
        <v>18611600000151</v>
      </c>
      <c r="AE1246" s="944" t="s">
        <v>1890</v>
      </c>
      <c r="AF1246" s="661" t="s">
        <v>1745</v>
      </c>
      <c r="AG1246" s="662" t="s">
        <v>1432</v>
      </c>
      <c r="AH1246" s="662" t="s">
        <v>1730</v>
      </c>
      <c r="AI1246" s="662">
        <v>50000500</v>
      </c>
      <c r="AJ1246" s="662">
        <v>100</v>
      </c>
      <c r="AK1246" s="662">
        <v>100</v>
      </c>
      <c r="AL1246" s="658">
        <v>1.7000000000000001E-2</v>
      </c>
      <c r="AM1246" s="658">
        <v>0.2</v>
      </c>
      <c r="AN1246" s="659" t="s">
        <v>34</v>
      </c>
      <c r="AO1246" s="253" t="s">
        <v>34</v>
      </c>
      <c r="AP1246" s="944" t="s">
        <v>1746</v>
      </c>
      <c r="AQ1246" s="663" t="s">
        <v>668</v>
      </c>
      <c r="AR1246" s="658">
        <v>1.1333333333333299E-3</v>
      </c>
      <c r="AS1246" s="658">
        <v>1.1333333333333299E-3</v>
      </c>
      <c r="AT1246" s="658" t="s">
        <v>1417</v>
      </c>
      <c r="AU1246" s="658" t="s">
        <v>2751</v>
      </c>
      <c r="AX1246"/>
      <c r="AY1246"/>
      <c r="BA1246"/>
      <c r="BB1246"/>
      <c r="BC1246"/>
      <c r="BD1246"/>
      <c r="BE1246"/>
      <c r="BF1246"/>
      <c r="BG1246"/>
      <c r="BH1246"/>
      <c r="BI1246"/>
      <c r="BJ1246"/>
      <c r="BR1246"/>
      <c r="BS1246"/>
      <c r="BT1246"/>
      <c r="BU1246"/>
      <c r="BX1246"/>
      <c r="BY1246"/>
      <c r="CA1246"/>
    </row>
    <row r="1247" spans="2:79" ht="18.75">
      <c r="B1247" s="252" t="s">
        <v>547</v>
      </c>
      <c r="C1247" s="251">
        <v>43584490000123</v>
      </c>
      <c r="D1247" s="252" t="s">
        <v>14</v>
      </c>
      <c r="E1247" s="252" t="s">
        <v>614</v>
      </c>
      <c r="F1247" s="252" t="s">
        <v>1417</v>
      </c>
      <c r="G1247" s="253" t="s">
        <v>1417</v>
      </c>
      <c r="H1247" s="253" t="s">
        <v>1338</v>
      </c>
      <c r="I1247" s="253" t="s">
        <v>34</v>
      </c>
      <c r="J1247" s="253" t="s">
        <v>608</v>
      </c>
      <c r="K1247" s="253" t="s">
        <v>48</v>
      </c>
      <c r="L1247" s="655"/>
      <c r="M1247" s="655" t="s">
        <v>1414</v>
      </c>
      <c r="N1247" s="253" t="s">
        <v>3876</v>
      </c>
      <c r="O1247" s="253" t="s">
        <v>1321</v>
      </c>
      <c r="P1247" s="656">
        <v>44495</v>
      </c>
      <c r="Q1247" s="657"/>
      <c r="R1247" s="657"/>
      <c r="S1247" s="253">
        <v>32</v>
      </c>
      <c r="T1247" s="658"/>
      <c r="U1247" s="659"/>
      <c r="V1247" s="658"/>
      <c r="W1247" s="659"/>
      <c r="X1247" s="658"/>
      <c r="Y1247" s="659"/>
      <c r="Z1247" s="658"/>
      <c r="AA1247" s="659"/>
      <c r="AB1247" s="658"/>
      <c r="AC1247" s="660"/>
      <c r="AD1247" s="682">
        <v>43508900000157</v>
      </c>
      <c r="AE1247" s="944" t="s">
        <v>1890</v>
      </c>
      <c r="AF1247" s="661" t="s">
        <v>1745</v>
      </c>
      <c r="AG1247" s="662" t="s">
        <v>1432</v>
      </c>
      <c r="AH1247" s="662" t="s">
        <v>1730</v>
      </c>
      <c r="AI1247" s="662">
        <v>500</v>
      </c>
      <c r="AJ1247" s="662">
        <v>100</v>
      </c>
      <c r="AK1247" s="662">
        <v>100</v>
      </c>
      <c r="AL1247" s="658">
        <v>1.7000000000000001E-2</v>
      </c>
      <c r="AM1247" s="658">
        <v>0.2</v>
      </c>
      <c r="AN1247" s="659" t="s">
        <v>2127</v>
      </c>
      <c r="AO1247" s="253" t="s">
        <v>34</v>
      </c>
      <c r="AP1247" s="944" t="s">
        <v>1746</v>
      </c>
      <c r="AQ1247" s="663" t="s">
        <v>668</v>
      </c>
      <c r="AR1247" s="658">
        <v>2.8338999999999999E-3</v>
      </c>
      <c r="AS1247" s="658">
        <v>2.8338999999999999E-3</v>
      </c>
      <c r="AT1247" s="658" t="s">
        <v>1417</v>
      </c>
      <c r="AU1247" s="658" t="s">
        <v>2751</v>
      </c>
      <c r="AX1247"/>
      <c r="AY1247"/>
      <c r="BA1247"/>
      <c r="BB1247"/>
      <c r="BC1247"/>
      <c r="BD1247"/>
      <c r="BE1247"/>
      <c r="BF1247"/>
      <c r="BG1247"/>
      <c r="BH1247"/>
      <c r="BI1247"/>
      <c r="BJ1247"/>
      <c r="BR1247"/>
      <c r="BS1247"/>
      <c r="BT1247"/>
      <c r="BU1247"/>
      <c r="BX1247"/>
      <c r="BY1247"/>
      <c r="CA1247"/>
    </row>
    <row r="1248" spans="2:79" ht="18.75">
      <c r="B1248" s="252" t="s">
        <v>360</v>
      </c>
      <c r="C1248" s="251">
        <v>41514301000110</v>
      </c>
      <c r="D1248" s="252" t="s">
        <v>14</v>
      </c>
      <c r="E1248" s="252" t="s">
        <v>614</v>
      </c>
      <c r="F1248" s="252" t="s">
        <v>1417</v>
      </c>
      <c r="G1248" s="253" t="s">
        <v>1417</v>
      </c>
      <c r="H1248" s="253" t="s">
        <v>1338</v>
      </c>
      <c r="I1248" s="253" t="s">
        <v>34</v>
      </c>
      <c r="J1248" s="253" t="s">
        <v>611</v>
      </c>
      <c r="K1248" s="253" t="s">
        <v>48</v>
      </c>
      <c r="L1248" s="655"/>
      <c r="M1248" s="655" t="s">
        <v>34</v>
      </c>
      <c r="N1248" s="253" t="s">
        <v>3877</v>
      </c>
      <c r="O1248" s="253" t="s">
        <v>1321</v>
      </c>
      <c r="P1248" s="656">
        <v>44316</v>
      </c>
      <c r="Q1248" s="657">
        <v>404.84523280000002</v>
      </c>
      <c r="R1248" s="657">
        <v>414.7870705004018</v>
      </c>
      <c r="S1248" s="253">
        <v>32</v>
      </c>
      <c r="T1248" s="658">
        <v>-2.1427023911509635E-2</v>
      </c>
      <c r="U1248" s="659">
        <v>-1.0714379834648293</v>
      </c>
      <c r="V1248" s="658">
        <v>-9.6228668751383251E-2</v>
      </c>
      <c r="W1248" s="659">
        <v>-0.74628316423967433</v>
      </c>
      <c r="X1248" s="658"/>
      <c r="Y1248" s="659"/>
      <c r="Z1248" s="658"/>
      <c r="AA1248" s="659"/>
      <c r="AB1248" s="658">
        <v>0.17441982934313177</v>
      </c>
      <c r="AC1248" s="660">
        <v>-1.2909803836305516</v>
      </c>
      <c r="AD1248" s="682">
        <v>41673022000108</v>
      </c>
      <c r="AE1248" s="944" t="s">
        <v>2049</v>
      </c>
      <c r="AF1248" s="661" t="s">
        <v>1745</v>
      </c>
      <c r="AG1248" s="662" t="s">
        <v>1432</v>
      </c>
      <c r="AH1248" s="662" t="s">
        <v>1734</v>
      </c>
      <c r="AI1248" s="662">
        <v>5000</v>
      </c>
      <c r="AJ1248" s="662">
        <v>1000</v>
      </c>
      <c r="AK1248" s="662">
        <v>5000</v>
      </c>
      <c r="AL1248" s="658">
        <v>1.8700000000000001E-2</v>
      </c>
      <c r="AM1248" s="658">
        <v>0.2</v>
      </c>
      <c r="AN1248" s="659" t="s">
        <v>34</v>
      </c>
      <c r="AO1248" s="253" t="s">
        <v>34</v>
      </c>
      <c r="AP1248" s="944" t="s">
        <v>1746</v>
      </c>
      <c r="AQ1248" s="663" t="s">
        <v>668</v>
      </c>
      <c r="AR1248" s="658">
        <v>4.3633333333333302E-3</v>
      </c>
      <c r="AS1248" s="658">
        <v>4.3633333333333302E-3</v>
      </c>
      <c r="AT1248" s="658" t="s">
        <v>1417</v>
      </c>
      <c r="AU1248" s="658" t="s">
        <v>2751</v>
      </c>
      <c r="AX1248"/>
      <c r="AY1248"/>
      <c r="BA1248"/>
      <c r="BB1248"/>
      <c r="BC1248"/>
      <c r="BD1248"/>
      <c r="BE1248"/>
      <c r="BF1248"/>
      <c r="BG1248"/>
      <c r="BH1248"/>
      <c r="BI1248"/>
      <c r="BJ1248"/>
      <c r="BR1248"/>
      <c r="BS1248"/>
      <c r="BT1248"/>
      <c r="BU1248"/>
      <c r="BX1248"/>
      <c r="BY1248"/>
      <c r="CA1248"/>
    </row>
    <row r="1249" spans="2:79" ht="18.75">
      <c r="B1249" s="252" t="s">
        <v>571</v>
      </c>
      <c r="C1249" s="251">
        <v>43214564000130</v>
      </c>
      <c r="D1249" s="252" t="s">
        <v>14</v>
      </c>
      <c r="E1249" s="252" t="s">
        <v>614</v>
      </c>
      <c r="F1249" s="252" t="s">
        <v>1417</v>
      </c>
      <c r="G1249" s="253" t="s">
        <v>1417</v>
      </c>
      <c r="H1249" s="253" t="s">
        <v>1338</v>
      </c>
      <c r="I1249" s="253" t="s">
        <v>34</v>
      </c>
      <c r="J1249" s="253" t="s">
        <v>608</v>
      </c>
      <c r="K1249" s="253" t="s">
        <v>48</v>
      </c>
      <c r="L1249" s="655"/>
      <c r="M1249" s="655" t="s">
        <v>34</v>
      </c>
      <c r="N1249" s="253" t="s">
        <v>3878</v>
      </c>
      <c r="O1249" s="253" t="s">
        <v>1321</v>
      </c>
      <c r="P1249" s="656">
        <v>44455</v>
      </c>
      <c r="Q1249" s="657">
        <v>257.00204699</v>
      </c>
      <c r="R1249" s="657">
        <v>261.55055974493348</v>
      </c>
      <c r="S1249" s="253">
        <v>32</v>
      </c>
      <c r="T1249" s="658">
        <v>-2.1286243665397331E-2</v>
      </c>
      <c r="U1249" s="659">
        <v>-1.0643984009437482</v>
      </c>
      <c r="V1249" s="658">
        <v>-9.5828496562765486E-2</v>
      </c>
      <c r="W1249" s="659">
        <v>-0.74317970483368434</v>
      </c>
      <c r="X1249" s="658"/>
      <c r="Y1249" s="659"/>
      <c r="Z1249" s="658"/>
      <c r="AA1249" s="659"/>
      <c r="AB1249" s="658">
        <v>0.1721355256302711</v>
      </c>
      <c r="AC1249" s="660">
        <v>-1.3057874322372083</v>
      </c>
      <c r="AD1249" s="682">
        <v>41514301000110</v>
      </c>
      <c r="AE1249" s="944" t="s">
        <v>1797</v>
      </c>
      <c r="AF1249" s="661" t="s">
        <v>1745</v>
      </c>
      <c r="AG1249" s="662" t="s">
        <v>1432</v>
      </c>
      <c r="AH1249" s="662" t="s">
        <v>1734</v>
      </c>
      <c r="AI1249" s="662">
        <v>5000</v>
      </c>
      <c r="AJ1249" s="662">
        <v>1000</v>
      </c>
      <c r="AK1249" s="662">
        <v>5000</v>
      </c>
      <c r="AL1249" s="658">
        <v>0</v>
      </c>
      <c r="AM1249" s="658">
        <v>0</v>
      </c>
      <c r="AN1249" s="659" t="s">
        <v>2127</v>
      </c>
      <c r="AO1249" s="253" t="s">
        <v>34</v>
      </c>
      <c r="AP1249" s="944" t="s">
        <v>1746</v>
      </c>
      <c r="AQ1249" s="663" t="s">
        <v>668</v>
      </c>
      <c r="AR1249" s="658">
        <v>4.3627099999999997E-3</v>
      </c>
      <c r="AS1249" s="658">
        <v>4.3627099999999997E-3</v>
      </c>
      <c r="AT1249" s="658" t="s">
        <v>1417</v>
      </c>
      <c r="AU1249" s="658" t="s">
        <v>2751</v>
      </c>
      <c r="AX1249"/>
      <c r="AY1249"/>
      <c r="BA1249"/>
      <c r="BB1249"/>
      <c r="BC1249"/>
      <c r="BD1249"/>
      <c r="BE1249"/>
      <c r="BF1249"/>
      <c r="BG1249"/>
      <c r="BH1249"/>
      <c r="BI1249"/>
      <c r="BJ1249"/>
      <c r="BR1249"/>
      <c r="BS1249"/>
      <c r="BT1249"/>
      <c r="BU1249"/>
      <c r="BX1249"/>
      <c r="BY1249"/>
      <c r="CA1249"/>
    </row>
    <row r="1250" spans="2:79" ht="18.75">
      <c r="B1250" s="252" t="s">
        <v>361</v>
      </c>
      <c r="C1250" s="251">
        <v>41574597000165</v>
      </c>
      <c r="D1250" s="252" t="s">
        <v>14</v>
      </c>
      <c r="E1250" s="252" t="s">
        <v>614</v>
      </c>
      <c r="F1250" s="252" t="s">
        <v>1417</v>
      </c>
      <c r="G1250" s="253" t="s">
        <v>1417</v>
      </c>
      <c r="H1250" s="253" t="s">
        <v>1338</v>
      </c>
      <c r="I1250" s="253" t="s">
        <v>34</v>
      </c>
      <c r="J1250" s="253" t="s">
        <v>608</v>
      </c>
      <c r="K1250" s="253" t="s">
        <v>48</v>
      </c>
      <c r="L1250" s="655"/>
      <c r="M1250" s="655" t="s">
        <v>34</v>
      </c>
      <c r="N1250" s="253" t="s">
        <v>3879</v>
      </c>
      <c r="O1250" s="253" t="s">
        <v>1321</v>
      </c>
      <c r="P1250" s="656">
        <v>44316</v>
      </c>
      <c r="Q1250" s="657">
        <v>319.29196624999997</v>
      </c>
      <c r="R1250" s="657">
        <v>403.3114033643372</v>
      </c>
      <c r="S1250" s="253">
        <v>32</v>
      </c>
      <c r="T1250" s="658">
        <v>-5.2961731763636499E-2</v>
      </c>
      <c r="U1250" s="659">
        <v>-2.6483011040630289</v>
      </c>
      <c r="V1250" s="658">
        <v>-0.16788011657140611</v>
      </c>
      <c r="W1250" s="659">
        <v>-1.3019623593829817</v>
      </c>
      <c r="X1250" s="658"/>
      <c r="Y1250" s="659"/>
      <c r="Z1250" s="658"/>
      <c r="AA1250" s="659"/>
      <c r="AB1250" s="658">
        <v>0.23793768158373027</v>
      </c>
      <c r="AC1250" s="660">
        <v>-1.2474864176305007</v>
      </c>
      <c r="AD1250" s="682">
        <v>41673204000170</v>
      </c>
      <c r="AE1250" s="944" t="s">
        <v>2049</v>
      </c>
      <c r="AF1250" s="661" t="s">
        <v>1745</v>
      </c>
      <c r="AG1250" s="662" t="s">
        <v>1432</v>
      </c>
      <c r="AH1250" s="662" t="s">
        <v>1734</v>
      </c>
      <c r="AI1250" s="662">
        <v>5000</v>
      </c>
      <c r="AJ1250" s="662">
        <v>1000</v>
      </c>
      <c r="AK1250" s="662">
        <v>5000</v>
      </c>
      <c r="AL1250" s="658">
        <v>1.8700000000000001E-2</v>
      </c>
      <c r="AM1250" s="658">
        <v>0.2</v>
      </c>
      <c r="AN1250" s="659" t="s">
        <v>34</v>
      </c>
      <c r="AO1250" s="253" t="s">
        <v>34</v>
      </c>
      <c r="AP1250" s="944" t="s">
        <v>1731</v>
      </c>
      <c r="AQ1250" s="663" t="s">
        <v>659</v>
      </c>
      <c r="AR1250" s="658">
        <v>4.3633333333333302E-3</v>
      </c>
      <c r="AS1250" s="658">
        <v>4.3633333333333302E-3</v>
      </c>
      <c r="AT1250" s="658" t="s">
        <v>1417</v>
      </c>
      <c r="AU1250" s="658" t="s">
        <v>2751</v>
      </c>
      <c r="AX1250"/>
      <c r="AY1250"/>
      <c r="BA1250"/>
      <c r="BB1250"/>
      <c r="BC1250"/>
      <c r="BD1250"/>
      <c r="BE1250"/>
      <c r="BF1250"/>
      <c r="BG1250"/>
      <c r="BH1250"/>
      <c r="BI1250"/>
      <c r="BJ1250"/>
      <c r="BR1250"/>
      <c r="BS1250"/>
      <c r="BT1250"/>
      <c r="BU1250"/>
      <c r="BX1250"/>
      <c r="BY1250"/>
      <c r="CA1250"/>
    </row>
    <row r="1251" spans="2:79" ht="18.75">
      <c r="B1251" s="252" t="s">
        <v>591</v>
      </c>
      <c r="C1251" s="251">
        <v>43214636000149</v>
      </c>
      <c r="D1251" s="252" t="s">
        <v>14</v>
      </c>
      <c r="E1251" s="252" t="s">
        <v>607</v>
      </c>
      <c r="F1251" s="252" t="s">
        <v>1417</v>
      </c>
      <c r="G1251" s="253" t="s">
        <v>1417</v>
      </c>
      <c r="H1251" s="253" t="s">
        <v>34</v>
      </c>
      <c r="I1251" s="253" t="s">
        <v>34</v>
      </c>
      <c r="J1251" s="253" t="s">
        <v>608</v>
      </c>
      <c r="K1251" s="253" t="s">
        <v>48</v>
      </c>
      <c r="L1251" s="655"/>
      <c r="M1251" s="655" t="s">
        <v>34</v>
      </c>
      <c r="N1251" s="253" t="s">
        <v>3880</v>
      </c>
      <c r="O1251" s="253" t="s">
        <v>1321</v>
      </c>
      <c r="P1251" s="656">
        <v>44455</v>
      </c>
      <c r="Q1251" s="657">
        <v>86.34</v>
      </c>
      <c r="R1251" s="657">
        <v>93.584444444444358</v>
      </c>
      <c r="S1251" s="253">
        <v>32</v>
      </c>
      <c r="T1251" s="658">
        <v>-4.8780487804878092E-2</v>
      </c>
      <c r="U1251" s="659">
        <v>-2.4392219704396152</v>
      </c>
      <c r="V1251" s="658">
        <v>-0.1612903225806448</v>
      </c>
      <c r="W1251" s="659">
        <v>-1.2508564636564314</v>
      </c>
      <c r="X1251" s="658"/>
      <c r="Y1251" s="659"/>
      <c r="Z1251" s="658"/>
      <c r="AA1251" s="659"/>
      <c r="AB1251" s="658">
        <v>0.24579214699594037</v>
      </c>
      <c r="AC1251" s="660">
        <v>-1.1808116555986909</v>
      </c>
      <c r="AD1251" s="682">
        <v>41574597000165</v>
      </c>
      <c r="AE1251" s="944" t="s">
        <v>1797</v>
      </c>
      <c r="AF1251" s="661" t="s">
        <v>1745</v>
      </c>
      <c r="AG1251" s="662" t="s">
        <v>1432</v>
      </c>
      <c r="AH1251" s="662" t="s">
        <v>1734</v>
      </c>
      <c r="AI1251" s="662">
        <v>5000</v>
      </c>
      <c r="AJ1251" s="662">
        <v>1000</v>
      </c>
      <c r="AK1251" s="662">
        <v>5000</v>
      </c>
      <c r="AL1251" s="658">
        <v>0</v>
      </c>
      <c r="AM1251" s="658">
        <v>0</v>
      </c>
      <c r="AN1251" s="659" t="s">
        <v>2127</v>
      </c>
      <c r="AO1251" s="253" t="s">
        <v>34</v>
      </c>
      <c r="AP1251" s="944" t="s">
        <v>1731</v>
      </c>
      <c r="AQ1251" s="663" t="s">
        <v>659</v>
      </c>
      <c r="AR1251" s="658">
        <v>4.3633333333333302E-3</v>
      </c>
      <c r="AS1251" s="658">
        <v>4.3633333333333302E-3</v>
      </c>
      <c r="AT1251" s="658" t="s">
        <v>1417</v>
      </c>
      <c r="AU1251" s="658" t="s">
        <v>2751</v>
      </c>
      <c r="AX1251"/>
      <c r="AY1251"/>
      <c r="BA1251"/>
      <c r="BB1251"/>
      <c r="BC1251"/>
      <c r="BD1251"/>
      <c r="BE1251"/>
      <c r="BF1251"/>
      <c r="BG1251"/>
      <c r="BH1251"/>
      <c r="BI1251"/>
      <c r="BJ1251"/>
      <c r="BR1251"/>
      <c r="BS1251"/>
      <c r="BT1251"/>
      <c r="BU1251"/>
      <c r="BX1251"/>
      <c r="BY1251"/>
      <c r="CA1251"/>
    </row>
    <row r="1252" spans="2:79" ht="18.75">
      <c r="B1252" s="252" t="s">
        <v>1167</v>
      </c>
      <c r="C1252" s="251">
        <v>38075003000167</v>
      </c>
      <c r="D1252" s="252" t="s">
        <v>13</v>
      </c>
      <c r="E1252" s="252" t="s">
        <v>616</v>
      </c>
      <c r="F1252" s="252" t="s">
        <v>619</v>
      </c>
      <c r="G1252" s="253" t="s">
        <v>34</v>
      </c>
      <c r="H1252" s="253" t="s">
        <v>1338</v>
      </c>
      <c r="I1252" s="253" t="s">
        <v>34</v>
      </c>
      <c r="J1252" s="253" t="s">
        <v>611</v>
      </c>
      <c r="K1252" s="253" t="s">
        <v>48</v>
      </c>
      <c r="L1252" s="655"/>
      <c r="M1252" s="655" t="s">
        <v>34</v>
      </c>
      <c r="N1252" s="253" t="s">
        <v>3881</v>
      </c>
      <c r="O1252" s="253" t="s">
        <v>1321</v>
      </c>
      <c r="P1252" s="656">
        <v>44399</v>
      </c>
      <c r="Q1252" s="657">
        <v>6.31</v>
      </c>
      <c r="R1252" s="657">
        <v>8.724205607476641</v>
      </c>
      <c r="S1252" s="253">
        <v>8</v>
      </c>
      <c r="T1252" s="658">
        <v>4.2105263157894868E-2</v>
      </c>
      <c r="U1252" s="659">
        <v>2.1054337008005146</v>
      </c>
      <c r="V1252" s="658">
        <v>-2.2354856212695173E-2</v>
      </c>
      <c r="W1252" s="659">
        <v>-0.1733688416041117</v>
      </c>
      <c r="X1252" s="658"/>
      <c r="Y1252" s="659"/>
      <c r="Z1252" s="658"/>
      <c r="AA1252" s="659"/>
      <c r="AB1252" s="658">
        <v>0.13528700096912008</v>
      </c>
      <c r="AC1252" s="660">
        <v>-1.1183540515767527</v>
      </c>
      <c r="AD1252" s="682">
        <v>0</v>
      </c>
      <c r="AE1252" s="944" t="s">
        <v>1741</v>
      </c>
      <c r="AF1252" s="661" t="s">
        <v>1742</v>
      </c>
      <c r="AG1252" s="662" t="s">
        <v>741</v>
      </c>
      <c r="AH1252" s="662" t="s">
        <v>1730</v>
      </c>
      <c r="AI1252" s="662">
        <v>1000</v>
      </c>
      <c r="AJ1252" s="662">
        <v>1000</v>
      </c>
      <c r="AK1252" s="662">
        <v>1000</v>
      </c>
      <c r="AL1252" s="658">
        <v>0</v>
      </c>
      <c r="AM1252" s="658">
        <v>0</v>
      </c>
      <c r="AN1252" s="659" t="s">
        <v>2122</v>
      </c>
      <c r="AO1252" s="253" t="s">
        <v>34</v>
      </c>
      <c r="AP1252" s="944" t="s">
        <v>1746</v>
      </c>
      <c r="AQ1252" s="663" t="s">
        <v>679</v>
      </c>
      <c r="AR1252" s="658">
        <v>4.6666800000000003E-3</v>
      </c>
      <c r="AS1252" s="658">
        <v>4.6666800000000003E-3</v>
      </c>
      <c r="AT1252" s="658" t="s">
        <v>1417</v>
      </c>
      <c r="AU1252" s="658" t="s">
        <v>2751</v>
      </c>
      <c r="AX1252"/>
      <c r="AY1252"/>
      <c r="BA1252"/>
      <c r="BB1252"/>
      <c r="BC1252"/>
      <c r="BD1252"/>
      <c r="BE1252"/>
      <c r="BF1252"/>
      <c r="BG1252"/>
      <c r="BH1252"/>
      <c r="BI1252"/>
      <c r="BJ1252"/>
      <c r="BR1252"/>
      <c r="BS1252"/>
      <c r="BT1252"/>
      <c r="BU1252"/>
      <c r="BX1252"/>
      <c r="BY1252"/>
      <c r="CA1252"/>
    </row>
    <row r="1253" spans="2:79" ht="18.75">
      <c r="B1253" s="252" t="s">
        <v>1689</v>
      </c>
      <c r="C1253" s="251">
        <v>31533638000111</v>
      </c>
      <c r="D1253" s="252" t="s">
        <v>14</v>
      </c>
      <c r="E1253" s="252" t="s">
        <v>614</v>
      </c>
      <c r="F1253" s="252" t="s">
        <v>1417</v>
      </c>
      <c r="G1253" s="253" t="s">
        <v>1417</v>
      </c>
      <c r="H1253" s="253" t="s">
        <v>1338</v>
      </c>
      <c r="I1253" s="253" t="s">
        <v>34</v>
      </c>
      <c r="J1253" s="253" t="s">
        <v>608</v>
      </c>
      <c r="K1253" s="253" t="s">
        <v>48</v>
      </c>
      <c r="L1253" s="655"/>
      <c r="M1253" s="655" t="s">
        <v>34</v>
      </c>
      <c r="N1253" s="253" t="s">
        <v>3882</v>
      </c>
      <c r="O1253" s="253" t="s">
        <v>1321</v>
      </c>
      <c r="P1253" s="656">
        <v>43407</v>
      </c>
      <c r="Q1253" s="657">
        <v>0</v>
      </c>
      <c r="R1253" s="657">
        <v>342.8689262040246</v>
      </c>
      <c r="S1253" s="253">
        <v>29</v>
      </c>
      <c r="T1253" s="658"/>
      <c r="U1253" s="659"/>
      <c r="V1253" s="658">
        <v>-0.10285683727842243</v>
      </c>
      <c r="W1253" s="659">
        <v>-0.79768666639403119</v>
      </c>
      <c r="X1253" s="658">
        <v>-0.32159353942674562</v>
      </c>
      <c r="Y1253" s="659">
        <v>-1.6655305532974052</v>
      </c>
      <c r="Z1253" s="658">
        <v>-0.32265921311320167</v>
      </c>
      <c r="AA1253" s="659">
        <v>-1.4568957287029456</v>
      </c>
      <c r="AB1253" s="658">
        <v>0.26075732095381615</v>
      </c>
      <c r="AC1253" s="660">
        <v>-0.88895201821108605</v>
      </c>
      <c r="AD1253" s="682">
        <v>22899381000125</v>
      </c>
      <c r="AE1253" s="944" t="s">
        <v>1925</v>
      </c>
      <c r="AF1253" s="661" t="s">
        <v>1729</v>
      </c>
      <c r="AG1253" s="662" t="s">
        <v>1433</v>
      </c>
      <c r="AH1253" s="662" t="s">
        <v>1734</v>
      </c>
      <c r="AI1253" s="662">
        <v>25000</v>
      </c>
      <c r="AJ1253" s="662">
        <v>0</v>
      </c>
      <c r="AK1253" s="662">
        <v>25000</v>
      </c>
      <c r="AL1253" s="658">
        <v>2.5000000000000001E-2</v>
      </c>
      <c r="AM1253" s="658">
        <v>0.2</v>
      </c>
      <c r="AN1253" s="659" t="s">
        <v>64</v>
      </c>
      <c r="AO1253" s="253" t="s">
        <v>34</v>
      </c>
      <c r="AP1253" s="944" t="s">
        <v>1746</v>
      </c>
      <c r="AQ1253" s="663" t="s">
        <v>668</v>
      </c>
      <c r="AR1253" s="658">
        <v>4.7999999999999996E-3</v>
      </c>
      <c r="AS1253" s="658">
        <v>4.7999999999999996E-3</v>
      </c>
      <c r="AT1253" s="658" t="s">
        <v>1417</v>
      </c>
      <c r="AU1253" s="658" t="s">
        <v>2751</v>
      </c>
      <c r="AX1253"/>
      <c r="AY1253"/>
      <c r="BA1253"/>
      <c r="BB1253"/>
      <c r="BC1253"/>
      <c r="BD1253"/>
      <c r="BE1253"/>
      <c r="BF1253"/>
      <c r="BG1253"/>
      <c r="BH1253"/>
      <c r="BI1253"/>
      <c r="BJ1253"/>
      <c r="BR1253"/>
      <c r="BS1253"/>
      <c r="BT1253"/>
      <c r="BU1253"/>
      <c r="BX1253"/>
      <c r="BY1253"/>
      <c r="CA1253"/>
    </row>
    <row r="1254" spans="2:79" ht="18.75">
      <c r="B1254" s="252" t="s">
        <v>572</v>
      </c>
      <c r="C1254" s="251">
        <v>31666885000196</v>
      </c>
      <c r="D1254" s="252" t="s">
        <v>14</v>
      </c>
      <c r="E1254" s="252" t="s">
        <v>614</v>
      </c>
      <c r="F1254" s="252" t="s">
        <v>1417</v>
      </c>
      <c r="G1254" s="253" t="s">
        <v>1417</v>
      </c>
      <c r="H1254" s="253" t="s">
        <v>1338</v>
      </c>
      <c r="I1254" s="253" t="s">
        <v>34</v>
      </c>
      <c r="J1254" s="253" t="s">
        <v>608</v>
      </c>
      <c r="K1254" s="253" t="s">
        <v>48</v>
      </c>
      <c r="L1254" s="655"/>
      <c r="M1254" s="655" t="s">
        <v>34</v>
      </c>
      <c r="N1254" s="253" t="s">
        <v>3883</v>
      </c>
      <c r="O1254" s="253" t="s">
        <v>1321</v>
      </c>
      <c r="P1254" s="656">
        <v>43355</v>
      </c>
      <c r="Q1254" s="657">
        <v>69.317860539999998</v>
      </c>
      <c r="R1254" s="657">
        <v>78.139371442449814</v>
      </c>
      <c r="S1254" s="253">
        <v>29</v>
      </c>
      <c r="T1254" s="658">
        <v>-5.4950229521341765E-2</v>
      </c>
      <c r="U1254" s="659">
        <v>-2.7477340461477029</v>
      </c>
      <c r="V1254" s="658">
        <v>-0.16480531559277445</v>
      </c>
      <c r="W1254" s="659">
        <v>-1.2781163243757947</v>
      </c>
      <c r="X1254" s="658">
        <v>-0.36756791565682045</v>
      </c>
      <c r="Y1254" s="659">
        <v>-1.9036315064958804</v>
      </c>
      <c r="Z1254" s="658">
        <v>-0.36780279513130842</v>
      </c>
      <c r="AA1254" s="659">
        <v>-1.6607315069717541</v>
      </c>
      <c r="AB1254" s="658">
        <v>0.29829704730636236</v>
      </c>
      <c r="AC1254" s="660">
        <v>-0.98475404866435445</v>
      </c>
      <c r="AD1254" s="682">
        <v>22899381000125</v>
      </c>
      <c r="AE1254" s="944" t="s">
        <v>1925</v>
      </c>
      <c r="AF1254" s="661" t="s">
        <v>1745</v>
      </c>
      <c r="AG1254" s="662" t="s">
        <v>1432</v>
      </c>
      <c r="AH1254" s="662" t="s">
        <v>1734</v>
      </c>
      <c r="AI1254" s="662">
        <v>5000</v>
      </c>
      <c r="AJ1254" s="662">
        <v>1000</v>
      </c>
      <c r="AK1254" s="662">
        <v>1000</v>
      </c>
      <c r="AL1254" s="658">
        <v>1.8000000000000002E-2</v>
      </c>
      <c r="AM1254" s="658">
        <v>0.2</v>
      </c>
      <c r="AN1254" s="659" t="s">
        <v>64</v>
      </c>
      <c r="AO1254" s="253" t="s">
        <v>34</v>
      </c>
      <c r="AP1254" s="944" t="s">
        <v>1746</v>
      </c>
      <c r="AQ1254" s="663" t="s">
        <v>668</v>
      </c>
      <c r="AR1254" s="658">
        <v>4.8006000000000004E-3</v>
      </c>
      <c r="AS1254" s="658">
        <v>4.8006000000000004E-3</v>
      </c>
      <c r="AT1254" s="658" t="s">
        <v>1417</v>
      </c>
      <c r="AU1254" s="658" t="s">
        <v>2751</v>
      </c>
      <c r="AX1254"/>
      <c r="AY1254"/>
      <c r="BA1254"/>
      <c r="BB1254"/>
      <c r="BC1254"/>
      <c r="BD1254"/>
      <c r="BE1254"/>
      <c r="BF1254"/>
      <c r="BG1254"/>
      <c r="BH1254"/>
      <c r="BI1254"/>
      <c r="BJ1254"/>
      <c r="BR1254"/>
      <c r="BS1254"/>
      <c r="BT1254"/>
      <c r="BU1254"/>
      <c r="BX1254"/>
      <c r="BY1254"/>
      <c r="CA1254"/>
    </row>
    <row r="1255" spans="2:79" ht="18.75">
      <c r="B1255" s="252" t="s">
        <v>1168</v>
      </c>
      <c r="C1255" s="251">
        <v>23960625000109</v>
      </c>
      <c r="D1255" s="252" t="s">
        <v>14</v>
      </c>
      <c r="E1255" s="252" t="s">
        <v>614</v>
      </c>
      <c r="F1255" s="252" t="s">
        <v>1417</v>
      </c>
      <c r="G1255" s="253" t="s">
        <v>1417</v>
      </c>
      <c r="H1255" s="253" t="s">
        <v>1338</v>
      </c>
      <c r="I1255" s="253" t="s">
        <v>34</v>
      </c>
      <c r="J1255" s="253" t="s">
        <v>608</v>
      </c>
      <c r="K1255" s="253" t="s">
        <v>48</v>
      </c>
      <c r="L1255" s="655"/>
      <c r="M1255" s="655" t="s">
        <v>34</v>
      </c>
      <c r="N1255" s="253" t="s">
        <v>3884</v>
      </c>
      <c r="O1255" s="253" t="s">
        <v>1321</v>
      </c>
      <c r="P1255" s="656">
        <v>42481</v>
      </c>
      <c r="Q1255" s="657">
        <v>271.29336899999998</v>
      </c>
      <c r="R1255" s="657">
        <v>299.11004812096786</v>
      </c>
      <c r="S1255" s="253">
        <v>29</v>
      </c>
      <c r="T1255" s="658">
        <v>-5.5052452474509073E-2</v>
      </c>
      <c r="U1255" s="659">
        <v>-2.7528456078493058</v>
      </c>
      <c r="V1255" s="658">
        <v>-0.16475136411883406</v>
      </c>
      <c r="W1255" s="659">
        <v>-1.2776979139664015</v>
      </c>
      <c r="X1255" s="658">
        <v>-0.36683658613604964</v>
      </c>
      <c r="Y1255" s="659">
        <v>-1.8998439563369334</v>
      </c>
      <c r="Z1255" s="658">
        <v>-0.36690694682904557</v>
      </c>
      <c r="AA1255" s="659">
        <v>-1.6566865037234675</v>
      </c>
      <c r="AB1255" s="658">
        <v>0.30087588903803569</v>
      </c>
      <c r="AC1255" s="660">
        <v>-0.97613429412582298</v>
      </c>
      <c r="AD1255" s="682">
        <v>22899381000125</v>
      </c>
      <c r="AE1255" s="944" t="s">
        <v>1925</v>
      </c>
      <c r="AF1255" s="661" t="s">
        <v>1729</v>
      </c>
      <c r="AG1255" s="662" t="s">
        <v>1433</v>
      </c>
      <c r="AH1255" s="662" t="s">
        <v>1734</v>
      </c>
      <c r="AI1255" s="662">
        <v>100000</v>
      </c>
      <c r="AJ1255" s="662">
        <v>10000</v>
      </c>
      <c r="AK1255" s="662">
        <v>100000</v>
      </c>
      <c r="AL1255" s="658">
        <v>2.5000000000000001E-2</v>
      </c>
      <c r="AM1255" s="658">
        <v>0.2</v>
      </c>
      <c r="AN1255" s="659" t="s">
        <v>2127</v>
      </c>
      <c r="AO1255" s="253" t="s">
        <v>34</v>
      </c>
      <c r="AP1255" s="944" t="s">
        <v>1746</v>
      </c>
      <c r="AQ1255" s="663" t="s">
        <v>668</v>
      </c>
      <c r="AR1255" s="658">
        <v>4.7999999999999996E-3</v>
      </c>
      <c r="AS1255" s="658">
        <v>4.7999999999999996E-3</v>
      </c>
      <c r="AT1255" s="658" t="s">
        <v>1417</v>
      </c>
      <c r="AU1255" s="658" t="s">
        <v>2751</v>
      </c>
      <c r="AX1255"/>
      <c r="AY1255"/>
      <c r="BA1255"/>
      <c r="BB1255"/>
      <c r="BC1255"/>
      <c r="BD1255"/>
      <c r="BE1255"/>
      <c r="BF1255"/>
      <c r="BG1255"/>
      <c r="BH1255"/>
      <c r="BI1255"/>
      <c r="BJ1255"/>
      <c r="BR1255"/>
      <c r="BS1255"/>
      <c r="BT1255"/>
      <c r="BU1255"/>
      <c r="BX1255"/>
      <c r="BY1255"/>
      <c r="CA1255"/>
    </row>
    <row r="1256" spans="2:79" ht="18.75">
      <c r="B1256" s="252" t="s">
        <v>4538</v>
      </c>
      <c r="C1256" s="251">
        <v>23502724000139</v>
      </c>
      <c r="D1256" s="252" t="s">
        <v>14</v>
      </c>
      <c r="E1256" s="252" t="s">
        <v>614</v>
      </c>
      <c r="F1256" s="252" t="s">
        <v>1417</v>
      </c>
      <c r="G1256" s="253" t="s">
        <v>34</v>
      </c>
      <c r="H1256" s="253" t="s">
        <v>1338</v>
      </c>
      <c r="I1256" s="253" t="s">
        <v>34</v>
      </c>
      <c r="J1256" s="253" t="s">
        <v>608</v>
      </c>
      <c r="K1256" s="253" t="s">
        <v>48</v>
      </c>
      <c r="L1256" s="655"/>
      <c r="M1256" s="655" t="s">
        <v>34</v>
      </c>
      <c r="N1256" s="253" t="s">
        <v>4539</v>
      </c>
      <c r="O1256" s="253" t="s">
        <v>1321</v>
      </c>
      <c r="P1256" s="656">
        <v>43532</v>
      </c>
      <c r="Q1256" s="657">
        <v>7.9962429999999998</v>
      </c>
      <c r="R1256" s="657">
        <v>8.1395485000000001</v>
      </c>
      <c r="S1256" s="253">
        <v>9</v>
      </c>
      <c r="T1256" s="658">
        <v>-1.228975589243797E-2</v>
      </c>
      <c r="U1256" s="659">
        <v>-0.61453757297557499</v>
      </c>
      <c r="V1256" s="658">
        <v>-1.228975589243797E-2</v>
      </c>
      <c r="W1256" s="659">
        <v>-9.5310867687857861E-2</v>
      </c>
      <c r="X1256" s="658">
        <v>-1.228975589243797E-2</v>
      </c>
      <c r="Y1256" s="659">
        <v>-6.3648554532249213E-2</v>
      </c>
      <c r="Z1256" s="658">
        <v>-1.228975589243797E-2</v>
      </c>
      <c r="AA1256" s="659">
        <v>-5.5491652303177805E-2</v>
      </c>
      <c r="AB1256" s="658">
        <v>0.1034860853976131</v>
      </c>
      <c r="AC1256" s="660">
        <v>-1.3647599558586054</v>
      </c>
      <c r="AD1256" s="682">
        <v>28516203000154</v>
      </c>
      <c r="AE1256" s="944" t="s">
        <v>1925</v>
      </c>
      <c r="AF1256" s="661" t="s">
        <v>1760</v>
      </c>
      <c r="AG1256" s="662" t="s">
        <v>719</v>
      </c>
      <c r="AH1256" s="662" t="s">
        <v>2119</v>
      </c>
      <c r="AI1256" s="662">
        <v>0</v>
      </c>
      <c r="AJ1256" s="662">
        <v>0</v>
      </c>
      <c r="AK1256" s="662">
        <v>0</v>
      </c>
      <c r="AL1256" s="658">
        <v>0.02</v>
      </c>
      <c r="AM1256" s="658">
        <v>0.2</v>
      </c>
      <c r="AN1256" s="659" t="s">
        <v>64</v>
      </c>
      <c r="AO1256" s="253" t="s">
        <v>4400</v>
      </c>
      <c r="AP1256" s="944" t="s">
        <v>1746</v>
      </c>
      <c r="AQ1256" s="663" t="s">
        <v>2177</v>
      </c>
      <c r="AR1256" s="658">
        <v>0</v>
      </c>
      <c r="AS1256" s="658">
        <v>0</v>
      </c>
      <c r="AT1256" s="658" t="s">
        <v>1417</v>
      </c>
      <c r="AU1256" s="658" t="s">
        <v>2751</v>
      </c>
      <c r="AX1256"/>
      <c r="AY1256"/>
      <c r="BA1256"/>
      <c r="BB1256"/>
      <c r="BC1256"/>
      <c r="BD1256"/>
      <c r="BE1256"/>
      <c r="BF1256"/>
      <c r="BG1256"/>
      <c r="BH1256"/>
      <c r="BI1256"/>
      <c r="BJ1256"/>
      <c r="BR1256"/>
      <c r="BS1256"/>
      <c r="BT1256"/>
      <c r="BU1256"/>
      <c r="BX1256"/>
      <c r="BY1256"/>
      <c r="CA1256"/>
    </row>
    <row r="1257" spans="2:79" ht="18.75">
      <c r="B1257" s="252" t="s">
        <v>1169</v>
      </c>
      <c r="C1257" s="251">
        <v>17253801000161</v>
      </c>
      <c r="D1257" s="252" t="s">
        <v>14</v>
      </c>
      <c r="E1257" s="252" t="s">
        <v>607</v>
      </c>
      <c r="F1257" s="252" t="s">
        <v>1417</v>
      </c>
      <c r="G1257" s="253" t="s">
        <v>1417</v>
      </c>
      <c r="H1257" s="253" t="s">
        <v>34</v>
      </c>
      <c r="I1257" s="253" t="s">
        <v>34</v>
      </c>
      <c r="J1257" s="253" t="s">
        <v>608</v>
      </c>
      <c r="K1257" s="253" t="s">
        <v>48</v>
      </c>
      <c r="L1257" s="655"/>
      <c r="M1257" s="655" t="s">
        <v>34</v>
      </c>
      <c r="N1257" s="253" t="s">
        <v>3885</v>
      </c>
      <c r="O1257" s="253" t="s">
        <v>1324</v>
      </c>
      <c r="P1257" s="656">
        <v>41391</v>
      </c>
      <c r="Q1257" s="657">
        <v>291.9599</v>
      </c>
      <c r="R1257" s="657">
        <v>503.30889792771035</v>
      </c>
      <c r="S1257" s="253">
        <v>33</v>
      </c>
      <c r="T1257" s="658">
        <v>-2.8004149891224128E-2</v>
      </c>
      <c r="U1257" s="659">
        <v>-1.4003209224022388</v>
      </c>
      <c r="V1257" s="658">
        <v>-0.12444877827185041</v>
      </c>
      <c r="W1257" s="659">
        <v>-0.96513886391204107</v>
      </c>
      <c r="X1257" s="658">
        <v>-0.21802882217018216</v>
      </c>
      <c r="Y1257" s="659">
        <v>-1.1291696514525338</v>
      </c>
      <c r="Z1257" s="658">
        <v>-2.4400125313663534E-2</v>
      </c>
      <c r="AA1257" s="659">
        <v>-0.11017332499605774</v>
      </c>
      <c r="AB1257" s="658">
        <v>0.22787784320615995</v>
      </c>
      <c r="AC1257" s="660">
        <v>-1.1119672020477904</v>
      </c>
      <c r="AD1257" s="682">
        <v>37388322000160</v>
      </c>
      <c r="AE1257" s="944" t="s">
        <v>1813</v>
      </c>
      <c r="AF1257" s="661" t="s">
        <v>1814</v>
      </c>
      <c r="AG1257" s="662" t="s">
        <v>1436</v>
      </c>
      <c r="AH1257" s="662" t="s">
        <v>1730</v>
      </c>
      <c r="AI1257" s="662">
        <v>15000</v>
      </c>
      <c r="AJ1257" s="662">
        <v>2000</v>
      </c>
      <c r="AK1257" s="662">
        <v>10000</v>
      </c>
      <c r="AL1257" s="658">
        <v>0.02</v>
      </c>
      <c r="AM1257" s="658">
        <v>0.2</v>
      </c>
      <c r="AN1257" s="659" t="s">
        <v>2141</v>
      </c>
      <c r="AO1257" s="253" t="s">
        <v>34</v>
      </c>
      <c r="AP1257" s="944" t="s">
        <v>1731</v>
      </c>
      <c r="AQ1257" s="663" t="s">
        <v>659</v>
      </c>
      <c r="AR1257" s="658">
        <v>4.0000000000000001E-3</v>
      </c>
      <c r="AS1257" s="658">
        <v>4.0000000000000001E-3</v>
      </c>
      <c r="AT1257" s="658" t="s">
        <v>1417</v>
      </c>
      <c r="AU1257" s="658" t="s">
        <v>2751</v>
      </c>
      <c r="AX1257"/>
      <c r="AY1257"/>
      <c r="BA1257"/>
      <c r="BB1257"/>
      <c r="BC1257"/>
      <c r="BD1257"/>
      <c r="BE1257"/>
      <c r="BF1257"/>
      <c r="BG1257"/>
      <c r="BH1257"/>
      <c r="BI1257"/>
      <c r="BJ1257"/>
      <c r="BR1257"/>
      <c r="BS1257"/>
      <c r="BT1257"/>
      <c r="BU1257"/>
      <c r="BX1257"/>
      <c r="BY1257"/>
      <c r="CA1257"/>
    </row>
    <row r="1258" spans="2:79" ht="18.75">
      <c r="B1258" s="252" t="s">
        <v>573</v>
      </c>
      <c r="C1258" s="251">
        <v>35535649000191</v>
      </c>
      <c r="D1258" s="252" t="s">
        <v>14</v>
      </c>
      <c r="E1258" s="252" t="s">
        <v>614</v>
      </c>
      <c r="F1258" s="252" t="s">
        <v>1417</v>
      </c>
      <c r="G1258" s="253" t="s">
        <v>1417</v>
      </c>
      <c r="H1258" s="253" t="s">
        <v>1338</v>
      </c>
      <c r="I1258" s="253" t="s">
        <v>34</v>
      </c>
      <c r="J1258" s="253" t="s">
        <v>608</v>
      </c>
      <c r="K1258" s="253" t="s">
        <v>48</v>
      </c>
      <c r="L1258" s="655"/>
      <c r="M1258" s="655" t="s">
        <v>34</v>
      </c>
      <c r="N1258" s="253" t="s">
        <v>3886</v>
      </c>
      <c r="O1258" s="253" t="s">
        <v>1321</v>
      </c>
      <c r="P1258" s="656">
        <v>44168</v>
      </c>
      <c r="Q1258" s="657">
        <v>140.42788654</v>
      </c>
      <c r="R1258" s="657">
        <v>226.78866636566255</v>
      </c>
      <c r="S1258" s="253">
        <v>33</v>
      </c>
      <c r="T1258" s="658">
        <v>-2.8020315885184721E-2</v>
      </c>
      <c r="U1258" s="659">
        <v>-1.4011292875789136</v>
      </c>
      <c r="V1258" s="658">
        <v>-0.12446532436812108</v>
      </c>
      <c r="W1258" s="659">
        <v>-0.96526718401914546</v>
      </c>
      <c r="X1258" s="658">
        <v>-0.21931514852226552</v>
      </c>
      <c r="Y1258" s="659">
        <v>-1.1358315260807537</v>
      </c>
      <c r="Z1258" s="658"/>
      <c r="AA1258" s="659"/>
      <c r="AB1258" s="658">
        <v>0.22775054358786745</v>
      </c>
      <c r="AC1258" s="660">
        <v>-1.1126613786418591</v>
      </c>
      <c r="AD1258" s="682">
        <v>37388322000160</v>
      </c>
      <c r="AE1258" s="944" t="s">
        <v>1813</v>
      </c>
      <c r="AF1258" s="661" t="s">
        <v>1814</v>
      </c>
      <c r="AG1258" s="662" t="s">
        <v>1436</v>
      </c>
      <c r="AH1258" s="662" t="s">
        <v>1730</v>
      </c>
      <c r="AI1258" s="662">
        <v>5000</v>
      </c>
      <c r="AJ1258" s="662">
        <v>5000</v>
      </c>
      <c r="AK1258" s="662">
        <v>0</v>
      </c>
      <c r="AL1258" s="658">
        <v>0.02</v>
      </c>
      <c r="AM1258" s="658">
        <v>0.2</v>
      </c>
      <c r="AN1258" s="659" t="s">
        <v>666</v>
      </c>
      <c r="AO1258" s="253" t="s">
        <v>34</v>
      </c>
      <c r="AP1258" s="944" t="s">
        <v>1731</v>
      </c>
      <c r="AQ1258" s="663" t="s">
        <v>659</v>
      </c>
      <c r="AR1258" s="658">
        <v>4.0000000000000001E-3</v>
      </c>
      <c r="AS1258" s="658">
        <v>4.0000000000000001E-3</v>
      </c>
      <c r="AT1258" s="658" t="s">
        <v>1417</v>
      </c>
      <c r="AU1258" s="658" t="s">
        <v>2751</v>
      </c>
      <c r="AX1258"/>
      <c r="AY1258"/>
      <c r="BA1258"/>
      <c r="BB1258"/>
      <c r="BC1258"/>
      <c r="BD1258"/>
      <c r="BE1258"/>
      <c r="BF1258"/>
      <c r="BG1258"/>
      <c r="BH1258"/>
      <c r="BI1258"/>
      <c r="BJ1258"/>
      <c r="BR1258"/>
      <c r="BS1258"/>
      <c r="BT1258"/>
      <c r="BU1258"/>
      <c r="BX1258"/>
      <c r="BY1258"/>
      <c r="CA1258"/>
    </row>
    <row r="1259" spans="2:79" ht="18.75">
      <c r="B1259" s="252" t="s">
        <v>1170</v>
      </c>
      <c r="C1259" s="251">
        <v>3593195000119</v>
      </c>
      <c r="D1259" s="252" t="s">
        <v>11</v>
      </c>
      <c r="E1259" s="252" t="s">
        <v>620</v>
      </c>
      <c r="F1259" s="252" t="s">
        <v>672</v>
      </c>
      <c r="G1259" s="253" t="s">
        <v>738</v>
      </c>
      <c r="H1259" s="253" t="s">
        <v>34</v>
      </c>
      <c r="I1259" s="253" t="s">
        <v>1304</v>
      </c>
      <c r="J1259" s="253" t="s">
        <v>608</v>
      </c>
      <c r="K1259" s="253" t="s">
        <v>48</v>
      </c>
      <c r="L1259" s="655"/>
      <c r="M1259" s="655" t="s">
        <v>34</v>
      </c>
      <c r="N1259" s="253" t="s">
        <v>3887</v>
      </c>
      <c r="O1259" s="253" t="s">
        <v>1321</v>
      </c>
      <c r="P1259" s="656">
        <v>36556</v>
      </c>
      <c r="Q1259" s="657">
        <v>0</v>
      </c>
      <c r="R1259" s="657">
        <v>0</v>
      </c>
      <c r="S1259" s="253">
        <v>0</v>
      </c>
      <c r="T1259" s="658"/>
      <c r="U1259" s="659"/>
      <c r="V1259" s="658"/>
      <c r="W1259" s="659"/>
      <c r="X1259" s="658"/>
      <c r="Y1259" s="659"/>
      <c r="Z1259" s="658"/>
      <c r="AA1259" s="659"/>
      <c r="AB1259" s="658"/>
      <c r="AC1259" s="660"/>
      <c r="AD1259" s="682">
        <v>10347228000106</v>
      </c>
      <c r="AE1259" s="944" t="s">
        <v>1813</v>
      </c>
      <c r="AF1259" s="661" t="s">
        <v>1814</v>
      </c>
      <c r="AG1259" s="662" t="s">
        <v>1436</v>
      </c>
      <c r="AH1259" s="662" t="s">
        <v>1734</v>
      </c>
      <c r="AI1259" s="662">
        <v>50000</v>
      </c>
      <c r="AJ1259" s="662">
        <v>100</v>
      </c>
      <c r="AK1259" s="662">
        <v>100</v>
      </c>
      <c r="AL1259" s="658">
        <v>4.5000000000000005E-3</v>
      </c>
      <c r="AM1259" s="658">
        <v>0</v>
      </c>
      <c r="AN1259" s="659" t="s">
        <v>64</v>
      </c>
      <c r="AO1259" s="253" t="s">
        <v>34</v>
      </c>
      <c r="AP1259" s="944" t="s">
        <v>1735</v>
      </c>
      <c r="AQ1259" s="663" t="s">
        <v>662</v>
      </c>
      <c r="AR1259" s="658">
        <v>1.5E-3</v>
      </c>
      <c r="AS1259" s="658">
        <v>1.5E-3</v>
      </c>
      <c r="AT1259" s="658" t="s">
        <v>1417</v>
      </c>
      <c r="AU1259" s="658" t="s">
        <v>2751</v>
      </c>
      <c r="AX1259"/>
      <c r="AY1259"/>
      <c r="BA1259"/>
      <c r="BB1259"/>
      <c r="BC1259"/>
      <c r="BD1259"/>
      <c r="BE1259"/>
      <c r="BF1259"/>
      <c r="BG1259"/>
      <c r="BH1259"/>
      <c r="BI1259"/>
      <c r="BJ1259"/>
      <c r="BR1259"/>
      <c r="BS1259"/>
      <c r="BT1259"/>
      <c r="BU1259"/>
      <c r="BX1259"/>
      <c r="BY1259"/>
      <c r="CA1259"/>
    </row>
    <row r="1260" spans="2:79" ht="18.75">
      <c r="B1260" s="252" t="s">
        <v>1171</v>
      </c>
      <c r="C1260" s="251">
        <v>19436818000180</v>
      </c>
      <c r="D1260" s="252" t="s">
        <v>14</v>
      </c>
      <c r="E1260" s="252" t="s">
        <v>607</v>
      </c>
      <c r="F1260" s="252" t="s">
        <v>860</v>
      </c>
      <c r="G1260" s="253" t="s">
        <v>1417</v>
      </c>
      <c r="H1260" s="253" t="s">
        <v>34</v>
      </c>
      <c r="I1260" s="253" t="s">
        <v>34</v>
      </c>
      <c r="J1260" s="253" t="s">
        <v>611</v>
      </c>
      <c r="K1260" s="253" t="s">
        <v>1417</v>
      </c>
      <c r="L1260" s="655"/>
      <c r="M1260" s="655" t="s">
        <v>1414</v>
      </c>
      <c r="N1260" s="253" t="s">
        <v>3888</v>
      </c>
      <c r="O1260" s="253" t="s">
        <v>1321</v>
      </c>
      <c r="P1260" s="656">
        <v>41658</v>
      </c>
      <c r="Q1260" s="657">
        <v>847.65236400000003</v>
      </c>
      <c r="R1260" s="657">
        <v>1378.4015207068257</v>
      </c>
      <c r="S1260" s="253">
        <v>4</v>
      </c>
      <c r="T1260" s="658">
        <v>2.4472044545727156E-2</v>
      </c>
      <c r="U1260" s="659">
        <v>1.2237013487090489</v>
      </c>
      <c r="V1260" s="658">
        <v>-0.12874585209427247</v>
      </c>
      <c r="W1260" s="659">
        <v>-0.99846400381867118</v>
      </c>
      <c r="X1260" s="658">
        <v>-0.11888121529374829</v>
      </c>
      <c r="Y1260" s="659">
        <v>-0.61568493147532943</v>
      </c>
      <c r="Z1260" s="658">
        <v>0.36089973633776684</v>
      </c>
      <c r="AA1260" s="659">
        <v>1.6295622842669073</v>
      </c>
      <c r="AB1260" s="658">
        <v>0.26200870353959771</v>
      </c>
      <c r="AC1260" s="660">
        <v>-0.98351603614616501</v>
      </c>
      <c r="AD1260" s="682">
        <v>0</v>
      </c>
      <c r="AE1260" s="944" t="s">
        <v>1888</v>
      </c>
      <c r="AF1260" s="661" t="s">
        <v>1814</v>
      </c>
      <c r="AG1260" s="662" t="s">
        <v>1436</v>
      </c>
      <c r="AH1260" s="662" t="s">
        <v>1734</v>
      </c>
      <c r="AI1260" s="662">
        <v>50000</v>
      </c>
      <c r="AJ1260" s="662">
        <v>1000</v>
      </c>
      <c r="AK1260" s="662">
        <v>1000</v>
      </c>
      <c r="AL1260" s="658">
        <v>1.4999999999999999E-2</v>
      </c>
      <c r="AM1260" s="658">
        <v>0</v>
      </c>
      <c r="AN1260" s="659" t="s">
        <v>2122</v>
      </c>
      <c r="AO1260" s="253" t="s">
        <v>34</v>
      </c>
      <c r="AP1260" s="944" t="s">
        <v>1731</v>
      </c>
      <c r="AQ1260" s="663" t="s">
        <v>659</v>
      </c>
      <c r="AR1260" s="658">
        <v>2E-3</v>
      </c>
      <c r="AS1260" s="658">
        <v>2E-3</v>
      </c>
      <c r="AT1260" s="658" t="s">
        <v>1417</v>
      </c>
      <c r="AU1260" s="658" t="s">
        <v>2751</v>
      </c>
      <c r="AX1260"/>
      <c r="AY1260"/>
      <c r="BA1260"/>
      <c r="BB1260"/>
      <c r="BC1260"/>
      <c r="BD1260"/>
      <c r="BE1260"/>
      <c r="BF1260"/>
      <c r="BG1260"/>
      <c r="BH1260"/>
      <c r="BI1260"/>
      <c r="BJ1260"/>
      <c r="BR1260"/>
      <c r="BS1260"/>
      <c r="BT1260"/>
      <c r="BU1260"/>
      <c r="BX1260"/>
      <c r="BY1260"/>
      <c r="CA1260"/>
    </row>
    <row r="1261" spans="2:79" ht="18.75">
      <c r="B1261" s="252" t="s">
        <v>1172</v>
      </c>
      <c r="C1261" s="251">
        <v>19436835000117</v>
      </c>
      <c r="D1261" s="252" t="s">
        <v>14</v>
      </c>
      <c r="E1261" s="252" t="s">
        <v>607</v>
      </c>
      <c r="F1261" s="252" t="s">
        <v>860</v>
      </c>
      <c r="G1261" s="253" t="s">
        <v>1417</v>
      </c>
      <c r="H1261" s="253" t="s">
        <v>34</v>
      </c>
      <c r="I1261" s="253" t="s">
        <v>34</v>
      </c>
      <c r="J1261" s="253" t="s">
        <v>611</v>
      </c>
      <c r="K1261" s="253" t="s">
        <v>1417</v>
      </c>
      <c r="L1261" s="655"/>
      <c r="M1261" s="655" t="s">
        <v>1414</v>
      </c>
      <c r="N1261" s="253" t="s">
        <v>3889</v>
      </c>
      <c r="O1261" s="253" t="s">
        <v>1321</v>
      </c>
      <c r="P1261" s="656">
        <v>41655</v>
      </c>
      <c r="Q1261" s="657">
        <v>463.80678699999999</v>
      </c>
      <c r="R1261" s="657">
        <v>802.82899765725836</v>
      </c>
      <c r="S1261" s="253">
        <v>4</v>
      </c>
      <c r="T1261" s="658">
        <v>2.270565406816627E-2</v>
      </c>
      <c r="U1261" s="659">
        <v>1.1353746702535912</v>
      </c>
      <c r="V1261" s="658">
        <v>-0.13766637928255399</v>
      </c>
      <c r="W1261" s="659">
        <v>-1.0676454581933175</v>
      </c>
      <c r="X1261" s="658">
        <v>-0.13679461507997326</v>
      </c>
      <c r="Y1261" s="659">
        <v>-0.70845829598561039</v>
      </c>
      <c r="Z1261" s="658">
        <v>0.31955441751430613</v>
      </c>
      <c r="AA1261" s="659">
        <v>1.4428767164984508</v>
      </c>
      <c r="AB1261" s="658">
        <v>0.26167416128783189</v>
      </c>
      <c r="AC1261" s="660">
        <v>-1.0188636410152889</v>
      </c>
      <c r="AD1261" s="682">
        <v>19436818000180</v>
      </c>
      <c r="AE1261" s="944" t="s">
        <v>1813</v>
      </c>
      <c r="AF1261" s="661" t="s">
        <v>1814</v>
      </c>
      <c r="AG1261" s="662" t="s">
        <v>1436</v>
      </c>
      <c r="AH1261" s="662" t="s">
        <v>1734</v>
      </c>
      <c r="AI1261" s="662">
        <v>1000</v>
      </c>
      <c r="AJ1261" s="662">
        <v>100</v>
      </c>
      <c r="AK1261" s="662">
        <v>100</v>
      </c>
      <c r="AL1261" s="658">
        <v>2.5000000000000001E-2</v>
      </c>
      <c r="AM1261" s="658">
        <v>0</v>
      </c>
      <c r="AN1261" s="659" t="s">
        <v>2122</v>
      </c>
      <c r="AO1261" s="253" t="s">
        <v>34</v>
      </c>
      <c r="AP1261" s="944" t="s">
        <v>1731</v>
      </c>
      <c r="AQ1261" s="663" t="s">
        <v>659</v>
      </c>
      <c r="AR1261" s="658">
        <v>3.0000000000000001E-3</v>
      </c>
      <c r="AS1261" s="658">
        <v>3.0000000000000001E-3</v>
      </c>
      <c r="AT1261" s="658" t="s">
        <v>1417</v>
      </c>
      <c r="AU1261" s="658" t="s">
        <v>2751</v>
      </c>
      <c r="AX1261"/>
      <c r="AY1261"/>
      <c r="BA1261"/>
      <c r="BB1261"/>
      <c r="BC1261"/>
      <c r="BD1261"/>
      <c r="BE1261"/>
      <c r="BF1261"/>
      <c r="BG1261"/>
      <c r="BH1261"/>
      <c r="BI1261"/>
      <c r="BJ1261"/>
      <c r="BR1261"/>
      <c r="BS1261"/>
      <c r="BT1261"/>
      <c r="BU1261"/>
      <c r="BX1261"/>
      <c r="BY1261"/>
      <c r="CA1261"/>
    </row>
    <row r="1262" spans="2:79" ht="18.75">
      <c r="B1262" s="252" t="s">
        <v>362</v>
      </c>
      <c r="C1262" s="251">
        <v>28289215000193</v>
      </c>
      <c r="D1262" s="252" t="s">
        <v>13</v>
      </c>
      <c r="E1262" s="252" t="s">
        <v>615</v>
      </c>
      <c r="F1262" s="252" t="s">
        <v>619</v>
      </c>
      <c r="G1262" s="253" t="s">
        <v>34</v>
      </c>
      <c r="H1262" s="253" t="s">
        <v>1337</v>
      </c>
      <c r="I1262" s="253" t="s">
        <v>34</v>
      </c>
      <c r="J1262" s="253" t="s">
        <v>1417</v>
      </c>
      <c r="K1262" s="253" t="s">
        <v>48</v>
      </c>
      <c r="L1262" s="655"/>
      <c r="M1262" s="655" t="s">
        <v>34</v>
      </c>
      <c r="N1262" s="253" t="s">
        <v>3890</v>
      </c>
      <c r="O1262" s="253" t="s">
        <v>1321</v>
      </c>
      <c r="P1262" s="656">
        <v>43315</v>
      </c>
      <c r="Q1262" s="657">
        <v>238.19800179999999</v>
      </c>
      <c r="R1262" s="657">
        <v>300.57149321871481</v>
      </c>
      <c r="S1262" s="253">
        <v>32</v>
      </c>
      <c r="T1262" s="658">
        <v>1.3231228523822081E-2</v>
      </c>
      <c r="U1262" s="659">
        <v>0.66161501787988919</v>
      </c>
      <c r="V1262" s="658">
        <v>9.9924387424476624E-2</v>
      </c>
      <c r="W1262" s="659">
        <v>0.77494460849826108</v>
      </c>
      <c r="X1262" s="658">
        <v>0.116423347612433</v>
      </c>
      <c r="Y1262" s="659">
        <v>0.60295565300011511</v>
      </c>
      <c r="Z1262" s="658">
        <v>0.17227644625299066</v>
      </c>
      <c r="AA1262" s="659">
        <v>0.77787587802133451</v>
      </c>
      <c r="AB1262" s="658">
        <v>3.2066645660200968E-2</v>
      </c>
      <c r="AC1262" s="660">
        <v>-0.90497529207830019</v>
      </c>
      <c r="AD1262" s="682">
        <v>29300722000143</v>
      </c>
      <c r="AE1262" s="944" t="s">
        <v>1813</v>
      </c>
      <c r="AF1262" s="661" t="s">
        <v>1814</v>
      </c>
      <c r="AG1262" s="662" t="s">
        <v>1436</v>
      </c>
      <c r="AH1262" s="662" t="s">
        <v>1734</v>
      </c>
      <c r="AI1262" s="662">
        <v>5000</v>
      </c>
      <c r="AJ1262" s="662">
        <v>500</v>
      </c>
      <c r="AK1262" s="662">
        <v>100</v>
      </c>
      <c r="AL1262" s="658">
        <v>0.02</v>
      </c>
      <c r="AM1262" s="658">
        <v>0.2</v>
      </c>
      <c r="AN1262" s="659" t="s">
        <v>64</v>
      </c>
      <c r="AO1262" s="253" t="s">
        <v>34</v>
      </c>
      <c r="AP1262" s="944" t="s">
        <v>1746</v>
      </c>
      <c r="AQ1262" s="663" t="s">
        <v>668</v>
      </c>
      <c r="AR1262" s="658">
        <v>4.0000000000000001E-3</v>
      </c>
      <c r="AS1262" s="658">
        <v>4.0000000000000001E-3</v>
      </c>
      <c r="AT1262" s="658" t="s">
        <v>1417</v>
      </c>
      <c r="AU1262" s="658" t="s">
        <v>2751</v>
      </c>
      <c r="AX1262"/>
      <c r="AY1262"/>
      <c r="BA1262"/>
      <c r="BB1262"/>
      <c r="BC1262"/>
      <c r="BD1262"/>
      <c r="BE1262"/>
      <c r="BF1262"/>
      <c r="BG1262"/>
      <c r="BH1262"/>
      <c r="BI1262"/>
      <c r="BJ1262"/>
      <c r="BR1262"/>
      <c r="BS1262"/>
      <c r="BT1262"/>
      <c r="BU1262"/>
      <c r="BX1262"/>
      <c r="BY1262"/>
      <c r="CA1262"/>
    </row>
    <row r="1263" spans="2:79" ht="18.75">
      <c r="B1263" s="252" t="s">
        <v>1173</v>
      </c>
      <c r="C1263" s="251">
        <v>20391600000135</v>
      </c>
      <c r="D1263" s="252" t="s">
        <v>13</v>
      </c>
      <c r="E1263" s="252" t="s">
        <v>615</v>
      </c>
      <c r="F1263" s="252" t="s">
        <v>619</v>
      </c>
      <c r="G1263" s="253" t="s">
        <v>34</v>
      </c>
      <c r="H1263" s="253" t="s">
        <v>865</v>
      </c>
      <c r="I1263" s="253" t="s">
        <v>34</v>
      </c>
      <c r="J1263" s="253" t="s">
        <v>1417</v>
      </c>
      <c r="K1263" s="253" t="s">
        <v>48</v>
      </c>
      <c r="L1263" s="655"/>
      <c r="M1263" s="655" t="s">
        <v>1414</v>
      </c>
      <c r="N1263" s="253" t="s">
        <v>3891</v>
      </c>
      <c r="O1263" s="253" t="s">
        <v>1324</v>
      </c>
      <c r="P1263" s="656">
        <v>41976</v>
      </c>
      <c r="Q1263" s="657">
        <v>10.568619</v>
      </c>
      <c r="R1263" s="657">
        <v>11.704979574297193</v>
      </c>
      <c r="S1263" s="253">
        <v>32</v>
      </c>
      <c r="T1263" s="658">
        <v>1.1896315012406511E-2</v>
      </c>
      <c r="U1263" s="659">
        <v>0.59486393538341742</v>
      </c>
      <c r="V1263" s="658">
        <v>0.17292136784942636</v>
      </c>
      <c r="W1263" s="659">
        <v>1.3410588262083547</v>
      </c>
      <c r="X1263" s="658">
        <v>0.17833737466905797</v>
      </c>
      <c r="Y1263" s="659">
        <v>0.92360793949911135</v>
      </c>
      <c r="Z1263" s="658">
        <v>0.23585331033540347</v>
      </c>
      <c r="AA1263" s="659">
        <v>1.0649430311092536</v>
      </c>
      <c r="AB1263" s="658">
        <v>5.7738984204180582E-2</v>
      </c>
      <c r="AC1263" s="660">
        <v>0.76165971758564155</v>
      </c>
      <c r="AD1263" s="682">
        <v>10347249000121</v>
      </c>
      <c r="AE1263" s="944" t="s">
        <v>1813</v>
      </c>
      <c r="AF1263" s="661" t="s">
        <v>1814</v>
      </c>
      <c r="AG1263" s="662" t="s">
        <v>1436</v>
      </c>
      <c r="AH1263" s="662" t="s">
        <v>1734</v>
      </c>
      <c r="AI1263" s="662">
        <v>5000</v>
      </c>
      <c r="AJ1263" s="662">
        <v>500</v>
      </c>
      <c r="AK1263" s="662">
        <v>100</v>
      </c>
      <c r="AL1263" s="658">
        <v>0.02</v>
      </c>
      <c r="AM1263" s="658">
        <v>0</v>
      </c>
      <c r="AN1263" s="659" t="s">
        <v>64</v>
      </c>
      <c r="AO1263" s="253" t="s">
        <v>34</v>
      </c>
      <c r="AP1263" s="944" t="s">
        <v>1746</v>
      </c>
      <c r="AQ1263" s="663" t="s">
        <v>668</v>
      </c>
      <c r="AR1263" s="658">
        <v>0</v>
      </c>
      <c r="AS1263" s="658">
        <v>0</v>
      </c>
      <c r="AT1263" s="658" t="s">
        <v>1417</v>
      </c>
      <c r="AU1263" s="658" t="s">
        <v>2751</v>
      </c>
      <c r="AX1263"/>
      <c r="AY1263"/>
      <c r="BA1263"/>
      <c r="BB1263"/>
      <c r="BC1263"/>
      <c r="BD1263"/>
      <c r="BE1263"/>
      <c r="BF1263"/>
      <c r="BG1263"/>
      <c r="BH1263"/>
      <c r="BI1263"/>
      <c r="BJ1263"/>
      <c r="BR1263"/>
      <c r="BS1263"/>
      <c r="BT1263"/>
      <c r="BU1263"/>
      <c r="BX1263"/>
      <c r="BY1263"/>
      <c r="CA1263"/>
    </row>
    <row r="1264" spans="2:79" ht="18.75">
      <c r="B1264" s="252" t="s">
        <v>363</v>
      </c>
      <c r="C1264" s="251">
        <v>10347249000121</v>
      </c>
      <c r="D1264" s="252" t="s">
        <v>13</v>
      </c>
      <c r="E1264" s="252" t="s">
        <v>615</v>
      </c>
      <c r="F1264" s="252" t="s">
        <v>619</v>
      </c>
      <c r="G1264" s="253" t="s">
        <v>34</v>
      </c>
      <c r="H1264" s="253" t="s">
        <v>865</v>
      </c>
      <c r="I1264" s="253" t="s">
        <v>34</v>
      </c>
      <c r="J1264" s="253" t="s">
        <v>1417</v>
      </c>
      <c r="K1264" s="253" t="s">
        <v>48</v>
      </c>
      <c r="L1264" s="655"/>
      <c r="M1264" s="655" t="s">
        <v>34</v>
      </c>
      <c r="N1264" s="253" t="s">
        <v>3892</v>
      </c>
      <c r="O1264" s="253" t="s">
        <v>1321</v>
      </c>
      <c r="P1264" s="656">
        <v>39814</v>
      </c>
      <c r="Q1264" s="657">
        <v>1229.575615</v>
      </c>
      <c r="R1264" s="657">
        <v>1129.46573713253</v>
      </c>
      <c r="S1264" s="253">
        <v>31</v>
      </c>
      <c r="T1264" s="658">
        <v>1.2145463860882666E-2</v>
      </c>
      <c r="U1264" s="659">
        <v>0.60732238695822915</v>
      </c>
      <c r="V1264" s="658">
        <v>0.17558860720278102</v>
      </c>
      <c r="W1264" s="659">
        <v>1.3617440944369821</v>
      </c>
      <c r="X1264" s="658">
        <v>0.18232761513186979</v>
      </c>
      <c r="Y1264" s="659">
        <v>0.94427336523391692</v>
      </c>
      <c r="Z1264" s="658">
        <v>0.24249637744702413</v>
      </c>
      <c r="AA1264" s="659">
        <v>1.0949383193485875</v>
      </c>
      <c r="AB1264" s="658">
        <v>5.7695173404626453E-2</v>
      </c>
      <c r="AC1264" s="660">
        <v>0.80846793593746846</v>
      </c>
      <c r="AD1264" s="682">
        <v>27249022000146</v>
      </c>
      <c r="AE1264" s="944" t="s">
        <v>1813</v>
      </c>
      <c r="AF1264" s="661" t="s">
        <v>1814</v>
      </c>
      <c r="AG1264" s="662" t="s">
        <v>1436</v>
      </c>
      <c r="AH1264" s="662" t="s">
        <v>1734</v>
      </c>
      <c r="AI1264" s="662">
        <v>50000</v>
      </c>
      <c r="AJ1264" s="662">
        <v>500</v>
      </c>
      <c r="AK1264" s="662">
        <v>100</v>
      </c>
      <c r="AL1264" s="658">
        <v>0.02</v>
      </c>
      <c r="AM1264" s="658">
        <v>0.2</v>
      </c>
      <c r="AN1264" s="659" t="s">
        <v>64</v>
      </c>
      <c r="AO1264" s="253" t="s">
        <v>34</v>
      </c>
      <c r="AP1264" s="944" t="s">
        <v>1746</v>
      </c>
      <c r="AQ1264" s="663" t="s">
        <v>668</v>
      </c>
      <c r="AR1264" s="658">
        <v>6.6666666666666697E-3</v>
      </c>
      <c r="AS1264" s="658">
        <v>6.6666666666666697E-3</v>
      </c>
      <c r="AT1264" s="658" t="s">
        <v>1417</v>
      </c>
      <c r="AU1264" s="658" t="s">
        <v>2751</v>
      </c>
      <c r="AX1264"/>
      <c r="AY1264"/>
      <c r="BA1264"/>
      <c r="BB1264"/>
      <c r="BC1264"/>
      <c r="BD1264"/>
      <c r="BE1264"/>
      <c r="BF1264"/>
      <c r="BG1264"/>
      <c r="BH1264"/>
      <c r="BI1264"/>
      <c r="BJ1264"/>
      <c r="BR1264"/>
      <c r="BS1264"/>
      <c r="BT1264"/>
      <c r="BU1264"/>
      <c r="BX1264"/>
      <c r="BY1264"/>
      <c r="CA1264"/>
    </row>
    <row r="1265" spans="2:79" ht="18.75">
      <c r="B1265" s="252" t="s">
        <v>526</v>
      </c>
      <c r="C1265" s="251">
        <v>37093442000130</v>
      </c>
      <c r="D1265" s="252" t="s">
        <v>13</v>
      </c>
      <c r="E1265" s="252" t="s">
        <v>615</v>
      </c>
      <c r="F1265" s="252" t="s">
        <v>619</v>
      </c>
      <c r="G1265" s="253" t="s">
        <v>34</v>
      </c>
      <c r="H1265" s="253" t="s">
        <v>1337</v>
      </c>
      <c r="I1265" s="253" t="s">
        <v>34</v>
      </c>
      <c r="J1265" s="253" t="s">
        <v>1417</v>
      </c>
      <c r="K1265" s="253" t="s">
        <v>48</v>
      </c>
      <c r="L1265" s="655"/>
      <c r="M1265" s="655" t="s">
        <v>34</v>
      </c>
      <c r="N1265" s="253" t="s">
        <v>3893</v>
      </c>
      <c r="O1265" s="253" t="s">
        <v>1321</v>
      </c>
      <c r="P1265" s="656">
        <v>44140</v>
      </c>
      <c r="Q1265" s="657">
        <v>197.01815490000001</v>
      </c>
      <c r="R1265" s="657">
        <v>255.20415929232939</v>
      </c>
      <c r="S1265" s="253">
        <v>32</v>
      </c>
      <c r="T1265" s="658">
        <v>4.4809016853872841E-3</v>
      </c>
      <c r="U1265" s="659">
        <v>0.22406323368671935</v>
      </c>
      <c r="V1265" s="658">
        <v>0.12711050810757096</v>
      </c>
      <c r="W1265" s="659">
        <v>0.98578140412305415</v>
      </c>
      <c r="X1265" s="658">
        <v>0.1351323288136963</v>
      </c>
      <c r="Y1265" s="659">
        <v>0.69984932775277198</v>
      </c>
      <c r="Z1265" s="658"/>
      <c r="AA1265" s="659"/>
      <c r="AB1265" s="658">
        <v>2.0066021565486543E-2</v>
      </c>
      <c r="AC1265" s="660">
        <v>-9.1368452547206963E-2</v>
      </c>
      <c r="AD1265" s="682">
        <v>37092411000164</v>
      </c>
      <c r="AE1265" s="944" t="s">
        <v>1813</v>
      </c>
      <c r="AF1265" s="661" t="s">
        <v>1814</v>
      </c>
      <c r="AG1265" s="662" t="s">
        <v>1436</v>
      </c>
      <c r="AH1265" s="662" t="s">
        <v>1734</v>
      </c>
      <c r="AI1265" s="662">
        <v>5000</v>
      </c>
      <c r="AJ1265" s="662">
        <v>0</v>
      </c>
      <c r="AK1265" s="662">
        <v>0</v>
      </c>
      <c r="AL1265" s="658">
        <v>0.02</v>
      </c>
      <c r="AM1265" s="658">
        <v>0.2</v>
      </c>
      <c r="AN1265" s="659" t="s">
        <v>64</v>
      </c>
      <c r="AO1265" s="253" t="s">
        <v>34</v>
      </c>
      <c r="AP1265" s="944" t="s">
        <v>1746</v>
      </c>
      <c r="AQ1265" s="663" t="s">
        <v>668</v>
      </c>
      <c r="AR1265" s="658">
        <v>4.0000000000000001E-3</v>
      </c>
      <c r="AS1265" s="658">
        <v>4.0000000000000001E-3</v>
      </c>
      <c r="AT1265" s="658" t="s">
        <v>1417</v>
      </c>
      <c r="AU1265" s="658" t="s">
        <v>2751</v>
      </c>
      <c r="AX1265"/>
      <c r="AY1265"/>
      <c r="BA1265"/>
      <c r="BB1265"/>
      <c r="BC1265"/>
      <c r="BD1265"/>
      <c r="BE1265"/>
      <c r="BF1265"/>
      <c r="BG1265"/>
      <c r="BH1265"/>
      <c r="BI1265"/>
      <c r="BJ1265"/>
      <c r="BR1265"/>
      <c r="BS1265"/>
      <c r="BT1265"/>
      <c r="BU1265"/>
      <c r="BX1265"/>
      <c r="BY1265"/>
      <c r="CA1265"/>
    </row>
    <row r="1266" spans="2:79" ht="18.75">
      <c r="B1266" s="252" t="s">
        <v>1174</v>
      </c>
      <c r="C1266" s="251">
        <v>25079578000106</v>
      </c>
      <c r="D1266" s="252" t="s">
        <v>13</v>
      </c>
      <c r="E1266" s="252" t="s">
        <v>616</v>
      </c>
      <c r="F1266" s="252" t="s">
        <v>617</v>
      </c>
      <c r="G1266" s="253" t="s">
        <v>34</v>
      </c>
      <c r="H1266" s="253" t="s">
        <v>1337</v>
      </c>
      <c r="I1266" s="253" t="s">
        <v>34</v>
      </c>
      <c r="J1266" s="253" t="s">
        <v>608</v>
      </c>
      <c r="K1266" s="253" t="s">
        <v>48</v>
      </c>
      <c r="L1266" s="655"/>
      <c r="M1266" s="655" t="s">
        <v>1414</v>
      </c>
      <c r="N1266" s="253" t="s">
        <v>3894</v>
      </c>
      <c r="O1266" s="253" t="s">
        <v>1321</v>
      </c>
      <c r="P1266" s="656">
        <v>42735</v>
      </c>
      <c r="Q1266" s="657">
        <v>260.210532</v>
      </c>
      <c r="R1266" s="657">
        <v>316.78159670967761</v>
      </c>
      <c r="S1266" s="253">
        <v>31</v>
      </c>
      <c r="T1266" s="658">
        <v>7.7425519985261371E-3</v>
      </c>
      <c r="U1266" s="659">
        <v>0.38715896031255981</v>
      </c>
      <c r="V1266" s="658">
        <v>0.12280429992209996</v>
      </c>
      <c r="W1266" s="659">
        <v>0.95238542439864482</v>
      </c>
      <c r="X1266" s="658">
        <v>0.11992823691400778</v>
      </c>
      <c r="Y1266" s="659">
        <v>0.62110744867394485</v>
      </c>
      <c r="Z1266" s="658">
        <v>0.19119806341346046</v>
      </c>
      <c r="AA1266" s="659">
        <v>0.86331222107585404</v>
      </c>
      <c r="AB1266" s="658">
        <v>1.6476423800639742E-2</v>
      </c>
      <c r="AC1266" s="660">
        <v>-0.37262998324005281</v>
      </c>
      <c r="AD1266" s="682">
        <v>0</v>
      </c>
      <c r="AE1266" s="944" t="s">
        <v>1813</v>
      </c>
      <c r="AF1266" s="661" t="s">
        <v>1814</v>
      </c>
      <c r="AG1266" s="662" t="s">
        <v>1436</v>
      </c>
      <c r="AH1266" s="662" t="s">
        <v>1734</v>
      </c>
      <c r="AI1266" s="662">
        <v>1000</v>
      </c>
      <c r="AJ1266" s="662">
        <v>100</v>
      </c>
      <c r="AK1266" s="662">
        <v>100</v>
      </c>
      <c r="AL1266" s="658">
        <v>0.01</v>
      </c>
      <c r="AM1266" s="658">
        <v>0</v>
      </c>
      <c r="AN1266" s="659" t="s">
        <v>64</v>
      </c>
      <c r="AO1266" s="253" t="s">
        <v>34</v>
      </c>
      <c r="AP1266" s="944" t="s">
        <v>1746</v>
      </c>
      <c r="AQ1266" s="663" t="s">
        <v>674</v>
      </c>
      <c r="AR1266" s="658">
        <v>0</v>
      </c>
      <c r="AS1266" s="658">
        <v>0</v>
      </c>
      <c r="AT1266" s="658" t="s">
        <v>1417</v>
      </c>
      <c r="AU1266" s="658" t="s">
        <v>2751</v>
      </c>
      <c r="AX1266"/>
      <c r="AY1266"/>
      <c r="BA1266"/>
      <c r="BB1266"/>
      <c r="BC1266"/>
      <c r="BD1266"/>
      <c r="BE1266"/>
      <c r="BF1266"/>
      <c r="BG1266"/>
      <c r="BH1266"/>
      <c r="BI1266"/>
      <c r="BJ1266"/>
      <c r="BR1266"/>
      <c r="BS1266"/>
      <c r="BT1266"/>
      <c r="BU1266"/>
      <c r="BX1266"/>
      <c r="BY1266"/>
      <c r="CA1266"/>
    </row>
    <row r="1267" spans="2:79" ht="18.75">
      <c r="B1267" s="252" t="s">
        <v>1690</v>
      </c>
      <c r="C1267" s="251">
        <v>22654439000170</v>
      </c>
      <c r="D1267" s="252" t="s">
        <v>13</v>
      </c>
      <c r="E1267" s="252" t="s">
        <v>616</v>
      </c>
      <c r="F1267" s="252" t="s">
        <v>617</v>
      </c>
      <c r="G1267" s="253" t="s">
        <v>34</v>
      </c>
      <c r="H1267" s="253" t="s">
        <v>1337</v>
      </c>
      <c r="I1267" s="253" t="s">
        <v>34</v>
      </c>
      <c r="J1267" s="253" t="s">
        <v>608</v>
      </c>
      <c r="K1267" s="253" t="s">
        <v>48</v>
      </c>
      <c r="L1267" s="655"/>
      <c r="M1267" s="655" t="s">
        <v>34</v>
      </c>
      <c r="N1267" s="253" t="s">
        <v>3895</v>
      </c>
      <c r="O1267" s="253" t="s">
        <v>1321</v>
      </c>
      <c r="P1267" s="656">
        <v>42384</v>
      </c>
      <c r="Q1267" s="657">
        <v>15.022275</v>
      </c>
      <c r="R1267" s="657">
        <v>20.188086512295076</v>
      </c>
      <c r="S1267" s="253">
        <v>4</v>
      </c>
      <c r="T1267" s="658">
        <v>2.0118659593543198E-2</v>
      </c>
      <c r="U1267" s="659">
        <v>1.0060144681755083</v>
      </c>
      <c r="V1267" s="658">
        <v>7.9796425360954437E-2</v>
      </c>
      <c r="W1267" s="659">
        <v>0.618846021524454</v>
      </c>
      <c r="X1267" s="658">
        <v>6.4218669334255019E-3</v>
      </c>
      <c r="Y1267" s="659">
        <v>3.3258801174601456E-2</v>
      </c>
      <c r="Z1267" s="658">
        <v>1.9203216874685847E-2</v>
      </c>
      <c r="AA1267" s="659">
        <v>8.6707843771597695E-2</v>
      </c>
      <c r="AB1267" s="658">
        <v>5.6655775574907814E-2</v>
      </c>
      <c r="AC1267" s="660">
        <v>-0.86747526773953065</v>
      </c>
      <c r="AD1267" s="682">
        <v>13608337000128</v>
      </c>
      <c r="AE1267" s="944" t="s">
        <v>1813</v>
      </c>
      <c r="AF1267" s="661" t="s">
        <v>1814</v>
      </c>
      <c r="AG1267" s="662" t="s">
        <v>1436</v>
      </c>
      <c r="AH1267" s="662" t="s">
        <v>1734</v>
      </c>
      <c r="AI1267" s="662">
        <v>5000</v>
      </c>
      <c r="AJ1267" s="662">
        <v>5000</v>
      </c>
      <c r="AK1267" s="662">
        <v>0</v>
      </c>
      <c r="AL1267" s="658">
        <v>2.5000000000000001E-2</v>
      </c>
      <c r="AM1267" s="658">
        <v>0</v>
      </c>
      <c r="AN1267" s="659" t="s">
        <v>64</v>
      </c>
      <c r="AO1267" s="253" t="s">
        <v>34</v>
      </c>
      <c r="AP1267" s="944" t="s">
        <v>1746</v>
      </c>
      <c r="AQ1267" s="663" t="s">
        <v>674</v>
      </c>
      <c r="AR1267" s="658">
        <v>0</v>
      </c>
      <c r="AS1267" s="658">
        <v>0</v>
      </c>
      <c r="AT1267" s="658" t="s">
        <v>1417</v>
      </c>
      <c r="AU1267" s="658" t="s">
        <v>2751</v>
      </c>
      <c r="AX1267"/>
      <c r="AY1267"/>
      <c r="BA1267"/>
      <c r="BB1267"/>
      <c r="BC1267"/>
      <c r="BD1267"/>
      <c r="BE1267"/>
      <c r="BF1267"/>
      <c r="BG1267"/>
      <c r="BH1267"/>
      <c r="BI1267"/>
      <c r="BJ1267"/>
      <c r="BR1267"/>
      <c r="BS1267"/>
      <c r="BT1267"/>
      <c r="BU1267"/>
      <c r="BX1267"/>
      <c r="BY1267"/>
      <c r="CA1267"/>
    </row>
    <row r="1268" spans="2:79" ht="18.75">
      <c r="B1268" s="252" t="s">
        <v>364</v>
      </c>
      <c r="C1268" s="251">
        <v>26305892000122</v>
      </c>
      <c r="D1268" s="252" t="s">
        <v>13</v>
      </c>
      <c r="E1268" s="252" t="s">
        <v>615</v>
      </c>
      <c r="F1268" s="252" t="s">
        <v>619</v>
      </c>
      <c r="G1268" s="253" t="s">
        <v>34</v>
      </c>
      <c r="H1268" s="253" t="s">
        <v>1337</v>
      </c>
      <c r="I1268" s="253" t="s">
        <v>34</v>
      </c>
      <c r="J1268" s="253" t="s">
        <v>1417</v>
      </c>
      <c r="K1268" s="253" t="s">
        <v>48</v>
      </c>
      <c r="L1268" s="655"/>
      <c r="M1268" s="655" t="s">
        <v>34</v>
      </c>
      <c r="N1268" s="253" t="s">
        <v>3896</v>
      </c>
      <c r="O1268" s="253" t="s">
        <v>1321</v>
      </c>
      <c r="P1268" s="656">
        <v>43680</v>
      </c>
      <c r="Q1268" s="657">
        <v>296.62496499999997</v>
      </c>
      <c r="R1268" s="657">
        <v>416.9809235783132</v>
      </c>
      <c r="S1268" s="253">
        <v>32</v>
      </c>
      <c r="T1268" s="658">
        <v>3.1535929168744481E-2</v>
      </c>
      <c r="U1268" s="659">
        <v>1.576924191375894</v>
      </c>
      <c r="V1268" s="658">
        <v>0.15373668717702982</v>
      </c>
      <c r="W1268" s="659">
        <v>1.192275678910393</v>
      </c>
      <c r="X1268" s="658">
        <v>0.13232427089269527</v>
      </c>
      <c r="Y1268" s="659">
        <v>0.68530641662591041</v>
      </c>
      <c r="Z1268" s="658">
        <v>0.21361336327336233</v>
      </c>
      <c r="AA1268" s="659">
        <v>0.96452350932141695</v>
      </c>
      <c r="AB1268" s="658">
        <v>4.7057945172217501E-2</v>
      </c>
      <c r="AC1268" s="660">
        <v>0.52685636058921781</v>
      </c>
      <c r="AD1268" s="682">
        <v>32666303000134</v>
      </c>
      <c r="AE1268" s="944" t="s">
        <v>1813</v>
      </c>
      <c r="AF1268" s="661" t="s">
        <v>1814</v>
      </c>
      <c r="AG1268" s="662" t="s">
        <v>1436</v>
      </c>
      <c r="AH1268" s="662" t="s">
        <v>1734</v>
      </c>
      <c r="AI1268" s="662">
        <v>5000</v>
      </c>
      <c r="AJ1268" s="662">
        <v>500</v>
      </c>
      <c r="AK1268" s="662">
        <v>100</v>
      </c>
      <c r="AL1268" s="658">
        <v>0.02</v>
      </c>
      <c r="AM1268" s="658">
        <v>0.2</v>
      </c>
      <c r="AN1268" s="659" t="s">
        <v>64</v>
      </c>
      <c r="AO1268" s="253" t="s">
        <v>34</v>
      </c>
      <c r="AP1268" s="944" t="s">
        <v>1746</v>
      </c>
      <c r="AQ1268" s="663" t="s">
        <v>668</v>
      </c>
      <c r="AR1268" s="658">
        <v>4.0000000000000001E-3</v>
      </c>
      <c r="AS1268" s="658">
        <v>4.0000000000000001E-3</v>
      </c>
      <c r="AT1268" s="658" t="s">
        <v>1417</v>
      </c>
      <c r="AU1268" s="658" t="s">
        <v>2751</v>
      </c>
      <c r="AX1268"/>
      <c r="AY1268"/>
      <c r="BA1268"/>
      <c r="BB1268"/>
      <c r="BC1268"/>
      <c r="BD1268"/>
      <c r="BE1268"/>
      <c r="BF1268"/>
      <c r="BG1268"/>
      <c r="BH1268"/>
      <c r="BI1268"/>
      <c r="BJ1268"/>
      <c r="BR1268"/>
      <c r="BS1268"/>
      <c r="BT1268"/>
      <c r="BU1268"/>
      <c r="BX1268"/>
      <c r="BY1268"/>
      <c r="CA1268"/>
    </row>
    <row r="1269" spans="2:79" ht="18.75">
      <c r="B1269" s="252" t="s">
        <v>365</v>
      </c>
      <c r="C1269" s="251">
        <v>38251735000160</v>
      </c>
      <c r="D1269" s="252" t="s">
        <v>11</v>
      </c>
      <c r="E1269" s="252" t="s">
        <v>620</v>
      </c>
      <c r="F1269" s="252" t="s">
        <v>1417</v>
      </c>
      <c r="G1269" s="253" t="s">
        <v>738</v>
      </c>
      <c r="H1269" s="253" t="s">
        <v>34</v>
      </c>
      <c r="I1269" s="253" t="s">
        <v>34</v>
      </c>
      <c r="J1269" s="253" t="s">
        <v>608</v>
      </c>
      <c r="K1269" s="253" t="s">
        <v>48</v>
      </c>
      <c r="L1269" s="655"/>
      <c r="M1269" s="655" t="s">
        <v>34</v>
      </c>
      <c r="N1269" s="253" t="s">
        <v>3897</v>
      </c>
      <c r="O1269" s="253" t="s">
        <v>1321</v>
      </c>
      <c r="P1269" s="656">
        <v>44224</v>
      </c>
      <c r="Q1269" s="657">
        <v>0</v>
      </c>
      <c r="R1269" s="657">
        <v>0</v>
      </c>
      <c r="S1269" s="253">
        <v>5</v>
      </c>
      <c r="T1269" s="658"/>
      <c r="U1269" s="659"/>
      <c r="V1269" s="658"/>
      <c r="W1269" s="659"/>
      <c r="X1269" s="658"/>
      <c r="Y1269" s="659"/>
      <c r="Z1269" s="658"/>
      <c r="AA1269" s="659"/>
      <c r="AB1269" s="658"/>
      <c r="AC1269" s="660"/>
      <c r="AD1269" s="682">
        <v>0</v>
      </c>
      <c r="AE1269" s="944" t="s">
        <v>2624</v>
      </c>
      <c r="AF1269" s="661" t="s">
        <v>1745</v>
      </c>
      <c r="AG1269" s="662" t="s">
        <v>1432</v>
      </c>
      <c r="AH1269" s="662" t="s">
        <v>1734</v>
      </c>
      <c r="AI1269" s="662">
        <v>100</v>
      </c>
      <c r="AJ1269" s="662">
        <v>100</v>
      </c>
      <c r="AK1269" s="662">
        <v>100</v>
      </c>
      <c r="AL1269" s="658">
        <v>0.02</v>
      </c>
      <c r="AM1269" s="658">
        <v>0.2</v>
      </c>
      <c r="AN1269" s="659" t="s">
        <v>34</v>
      </c>
      <c r="AO1269" s="253" t="s">
        <v>34</v>
      </c>
      <c r="AP1269" s="944" t="s">
        <v>1746</v>
      </c>
      <c r="AQ1269" s="663" t="s">
        <v>668</v>
      </c>
      <c r="AR1269" s="658">
        <v>3.6666666666666701E-3</v>
      </c>
      <c r="AS1269" s="658">
        <v>3.6666666666666701E-3</v>
      </c>
      <c r="AT1269" s="658" t="s">
        <v>1417</v>
      </c>
      <c r="AU1269" s="658" t="s">
        <v>2751</v>
      </c>
      <c r="AX1269"/>
      <c r="AY1269"/>
      <c r="BA1269"/>
      <c r="BB1269"/>
      <c r="BC1269"/>
      <c r="BD1269"/>
      <c r="BE1269"/>
      <c r="BF1269"/>
      <c r="BG1269"/>
      <c r="BH1269"/>
      <c r="BI1269"/>
      <c r="BJ1269"/>
      <c r="BR1269"/>
      <c r="BS1269"/>
      <c r="BT1269"/>
      <c r="BU1269"/>
      <c r="BX1269"/>
      <c r="BY1269"/>
      <c r="CA1269"/>
    </row>
    <row r="1270" spans="2:79" ht="18.75">
      <c r="B1270" s="252" t="s">
        <v>366</v>
      </c>
      <c r="C1270" s="251">
        <v>4621018000161</v>
      </c>
      <c r="D1270" s="252" t="s">
        <v>14</v>
      </c>
      <c r="E1270" s="252" t="s">
        <v>614</v>
      </c>
      <c r="F1270" s="252" t="s">
        <v>1417</v>
      </c>
      <c r="G1270" s="253" t="s">
        <v>1417</v>
      </c>
      <c r="H1270" s="253" t="s">
        <v>865</v>
      </c>
      <c r="I1270" s="253" t="s">
        <v>34</v>
      </c>
      <c r="J1270" s="253" t="s">
        <v>608</v>
      </c>
      <c r="K1270" s="253" t="s">
        <v>48</v>
      </c>
      <c r="L1270" s="655"/>
      <c r="M1270" s="655" t="s">
        <v>1414</v>
      </c>
      <c r="N1270" s="253" t="s">
        <v>3898</v>
      </c>
      <c r="O1270" s="253" t="s">
        <v>1321</v>
      </c>
      <c r="P1270" s="656">
        <v>37140</v>
      </c>
      <c r="Q1270" s="657">
        <v>52.784771999999997</v>
      </c>
      <c r="R1270" s="657">
        <v>67.764855288617909</v>
      </c>
      <c r="S1270" s="253">
        <v>9</v>
      </c>
      <c r="T1270" s="658">
        <v>-2.4883135918918331E-4</v>
      </c>
      <c r="U1270" s="659">
        <v>-1.244257582450644E-2</v>
      </c>
      <c r="V1270" s="658">
        <v>3.5619894044078837E-3</v>
      </c>
      <c r="W1270" s="659">
        <v>2.7624332313871871E-2</v>
      </c>
      <c r="X1270" s="658">
        <v>-8.9637361827029638E-3</v>
      </c>
      <c r="Y1270" s="659">
        <v>-4.6423123146694723E-2</v>
      </c>
      <c r="Z1270" s="658">
        <v>0.14820654708418024</v>
      </c>
      <c r="AA1270" s="659">
        <v>0.66919361554694035</v>
      </c>
      <c r="AB1270" s="658">
        <v>0.11493579173596133</v>
      </c>
      <c r="AC1270" s="660">
        <v>-1.0908866433044349</v>
      </c>
      <c r="AD1270" s="682">
        <v>0</v>
      </c>
      <c r="AE1270" s="944" t="s">
        <v>1757</v>
      </c>
      <c r="AF1270" s="661" t="s">
        <v>1742</v>
      </c>
      <c r="AG1270" s="662" t="s">
        <v>719</v>
      </c>
      <c r="AH1270" s="662" t="s">
        <v>1734</v>
      </c>
      <c r="AI1270" s="662">
        <v>100</v>
      </c>
      <c r="AJ1270" s="662">
        <v>100</v>
      </c>
      <c r="AK1270" s="662">
        <v>100</v>
      </c>
      <c r="AL1270" s="658">
        <v>0.02</v>
      </c>
      <c r="AM1270" s="658">
        <v>0.2</v>
      </c>
      <c r="AN1270" s="659" t="s">
        <v>64</v>
      </c>
      <c r="AO1270" s="253" t="s">
        <v>34</v>
      </c>
      <c r="AP1270" s="944" t="s">
        <v>1746</v>
      </c>
      <c r="AQ1270" s="663" t="s">
        <v>668</v>
      </c>
      <c r="AR1270" s="658">
        <v>3.3833333333333302E-3</v>
      </c>
      <c r="AS1270" s="658">
        <v>3.3833333333333302E-3</v>
      </c>
      <c r="AT1270" s="658" t="s">
        <v>1417</v>
      </c>
      <c r="AU1270" s="658" t="s">
        <v>2751</v>
      </c>
      <c r="AX1270"/>
      <c r="AY1270"/>
      <c r="BA1270"/>
      <c r="BB1270"/>
      <c r="BC1270"/>
      <c r="BD1270"/>
      <c r="BE1270"/>
      <c r="BF1270"/>
      <c r="BG1270"/>
      <c r="BH1270"/>
      <c r="BI1270"/>
      <c r="BJ1270"/>
      <c r="BR1270"/>
      <c r="BS1270"/>
      <c r="BT1270"/>
      <c r="BU1270"/>
      <c r="BX1270"/>
      <c r="BY1270"/>
      <c r="CA1270"/>
    </row>
    <row r="1271" spans="2:79" ht="18.75">
      <c r="B1271" s="252" t="s">
        <v>1175</v>
      </c>
      <c r="C1271" s="251">
        <v>34658702000189</v>
      </c>
      <c r="D1271" s="252" t="s">
        <v>14</v>
      </c>
      <c r="E1271" s="252" t="s">
        <v>607</v>
      </c>
      <c r="F1271" s="252" t="s">
        <v>1417</v>
      </c>
      <c r="G1271" s="253" t="s">
        <v>1417</v>
      </c>
      <c r="H1271" s="253" t="s">
        <v>34</v>
      </c>
      <c r="I1271" s="253" t="s">
        <v>34</v>
      </c>
      <c r="J1271" s="253" t="s">
        <v>608</v>
      </c>
      <c r="K1271" s="253" t="s">
        <v>48</v>
      </c>
      <c r="L1271" s="655"/>
      <c r="M1271" s="655" t="s">
        <v>34</v>
      </c>
      <c r="N1271" s="253" t="s">
        <v>3899</v>
      </c>
      <c r="O1271" s="253" t="s">
        <v>1321</v>
      </c>
      <c r="P1271" s="656">
        <v>43850</v>
      </c>
      <c r="Q1271" s="657">
        <v>0</v>
      </c>
      <c r="R1271" s="657">
        <v>0</v>
      </c>
      <c r="S1271" s="253">
        <v>9</v>
      </c>
      <c r="T1271" s="658"/>
      <c r="U1271" s="659"/>
      <c r="V1271" s="658"/>
      <c r="W1271" s="659"/>
      <c r="X1271" s="658"/>
      <c r="Y1271" s="659"/>
      <c r="Z1271" s="658"/>
      <c r="AA1271" s="659"/>
      <c r="AB1271" s="658"/>
      <c r="AC1271" s="660"/>
      <c r="AD1271" s="682">
        <v>0</v>
      </c>
      <c r="AE1271" s="944" t="s">
        <v>1757</v>
      </c>
      <c r="AF1271" s="661" t="s">
        <v>1769</v>
      </c>
      <c r="AG1271" s="662" t="s">
        <v>719</v>
      </c>
      <c r="AH1271" s="662" t="s">
        <v>1734</v>
      </c>
      <c r="AI1271" s="662">
        <v>100</v>
      </c>
      <c r="AJ1271" s="662">
        <v>100</v>
      </c>
      <c r="AK1271" s="662">
        <v>100</v>
      </c>
      <c r="AL1271" s="658">
        <v>1.95E-2</v>
      </c>
      <c r="AM1271" s="658">
        <v>0.2</v>
      </c>
      <c r="AN1271" s="659" t="s">
        <v>666</v>
      </c>
      <c r="AO1271" s="253" t="s">
        <v>34</v>
      </c>
      <c r="AP1271" s="944" t="s">
        <v>1731</v>
      </c>
      <c r="AQ1271" s="663" t="s">
        <v>659</v>
      </c>
      <c r="AR1271" s="658">
        <v>4.5500000000000002E-3</v>
      </c>
      <c r="AS1271" s="658">
        <v>4.5500000000000002E-3</v>
      </c>
      <c r="AT1271" s="658" t="s">
        <v>1417</v>
      </c>
      <c r="AU1271" s="658" t="s">
        <v>2751</v>
      </c>
      <c r="AX1271"/>
      <c r="AY1271"/>
      <c r="BA1271"/>
      <c r="BB1271"/>
      <c r="BC1271"/>
      <c r="BD1271"/>
      <c r="BE1271"/>
      <c r="BF1271"/>
      <c r="BG1271"/>
      <c r="BH1271"/>
      <c r="BI1271"/>
      <c r="BJ1271"/>
      <c r="BR1271"/>
      <c r="BS1271"/>
      <c r="BT1271"/>
      <c r="BU1271"/>
      <c r="BX1271"/>
      <c r="BY1271"/>
      <c r="CA1271"/>
    </row>
    <row r="1272" spans="2:79" ht="18.75">
      <c r="B1272" s="252" t="s">
        <v>1176</v>
      </c>
      <c r="C1272" s="251">
        <v>42119554000152</v>
      </c>
      <c r="D1272" s="252" t="s">
        <v>14</v>
      </c>
      <c r="E1272" s="252" t="s">
        <v>614</v>
      </c>
      <c r="F1272" s="252" t="s">
        <v>1417</v>
      </c>
      <c r="G1272" s="253" t="s">
        <v>1417</v>
      </c>
      <c r="H1272" s="253" t="s">
        <v>1338</v>
      </c>
      <c r="I1272" s="253" t="s">
        <v>34</v>
      </c>
      <c r="J1272" s="253" t="s">
        <v>611</v>
      </c>
      <c r="K1272" s="253" t="s">
        <v>48</v>
      </c>
      <c r="L1272" s="655"/>
      <c r="M1272" s="655" t="s">
        <v>34</v>
      </c>
      <c r="N1272" s="253" t="s">
        <v>3900</v>
      </c>
      <c r="O1272" s="253" t="s">
        <v>1321</v>
      </c>
      <c r="P1272" s="656">
        <v>44498</v>
      </c>
      <c r="Q1272" s="657"/>
      <c r="R1272" s="657"/>
      <c r="S1272" s="253">
        <v>3</v>
      </c>
      <c r="T1272" s="658"/>
      <c r="U1272" s="659"/>
      <c r="V1272" s="658"/>
      <c r="W1272" s="659"/>
      <c r="X1272" s="658"/>
      <c r="Y1272" s="659"/>
      <c r="Z1272" s="658"/>
      <c r="AA1272" s="659"/>
      <c r="AB1272" s="658"/>
      <c r="AC1272" s="660"/>
      <c r="AD1272" s="682">
        <v>0</v>
      </c>
      <c r="AE1272" s="944" t="s">
        <v>1976</v>
      </c>
      <c r="AF1272" s="661" t="s">
        <v>1769</v>
      </c>
      <c r="AG1272" s="662" t="s">
        <v>719</v>
      </c>
      <c r="AH1272" s="662" t="s">
        <v>1734</v>
      </c>
      <c r="AI1272" s="662">
        <v>5000</v>
      </c>
      <c r="AJ1272" s="662">
        <v>500</v>
      </c>
      <c r="AK1272" s="662">
        <v>500</v>
      </c>
      <c r="AL1272" s="658">
        <v>1.4999999999999999E-2</v>
      </c>
      <c r="AM1272" s="658">
        <v>0.1</v>
      </c>
      <c r="AN1272" s="659" t="s">
        <v>666</v>
      </c>
      <c r="AO1272" s="253" t="s">
        <v>34</v>
      </c>
      <c r="AP1272" s="944" t="s">
        <v>1731</v>
      </c>
      <c r="AQ1272" s="663" t="s">
        <v>659</v>
      </c>
      <c r="AR1272" s="658">
        <v>4.0000000000000001E-3</v>
      </c>
      <c r="AS1272" s="658">
        <v>4.0000000000000001E-3</v>
      </c>
      <c r="AT1272" s="658" t="s">
        <v>1417</v>
      </c>
      <c r="AU1272" s="658" t="s">
        <v>2751</v>
      </c>
      <c r="AX1272"/>
      <c r="AY1272"/>
      <c r="BA1272"/>
      <c r="BB1272"/>
      <c r="BC1272"/>
      <c r="BD1272"/>
      <c r="BE1272"/>
      <c r="BF1272"/>
      <c r="BG1272"/>
      <c r="BH1272"/>
      <c r="BI1272"/>
      <c r="BJ1272"/>
      <c r="BR1272"/>
      <c r="BS1272"/>
      <c r="BT1272"/>
      <c r="BU1272"/>
      <c r="BX1272"/>
      <c r="BY1272"/>
      <c r="CA1272"/>
    </row>
    <row r="1273" spans="2:79" ht="18.75">
      <c r="B1273" s="252" t="s">
        <v>367</v>
      </c>
      <c r="C1273" s="251">
        <v>31923988000194</v>
      </c>
      <c r="D1273" s="252" t="s">
        <v>14</v>
      </c>
      <c r="E1273" s="252" t="s">
        <v>614</v>
      </c>
      <c r="F1273" s="252" t="s">
        <v>1417</v>
      </c>
      <c r="G1273" s="253" t="s">
        <v>1417</v>
      </c>
      <c r="H1273" s="253" t="s">
        <v>1338</v>
      </c>
      <c r="I1273" s="253" t="s">
        <v>34</v>
      </c>
      <c r="J1273" s="253" t="s">
        <v>608</v>
      </c>
      <c r="K1273" s="253" t="s">
        <v>48</v>
      </c>
      <c r="L1273" s="655"/>
      <c r="M1273" s="655" t="s">
        <v>1414</v>
      </c>
      <c r="N1273" s="253" t="s">
        <v>3901</v>
      </c>
      <c r="O1273" s="253" t="s">
        <v>1321</v>
      </c>
      <c r="P1273" s="656">
        <v>43608</v>
      </c>
      <c r="Q1273" s="657">
        <v>9.6135012100000008</v>
      </c>
      <c r="R1273" s="657">
        <v>10.256320250923702</v>
      </c>
      <c r="S1273" s="253">
        <v>3</v>
      </c>
      <c r="T1273" s="658">
        <v>-3.7358411457401708E-2</v>
      </c>
      <c r="U1273" s="659">
        <v>-1.8680718891561527</v>
      </c>
      <c r="V1273" s="658">
        <v>-6.2393586246991872E-2</v>
      </c>
      <c r="W1273" s="659">
        <v>-0.48388160801608088</v>
      </c>
      <c r="X1273" s="658">
        <v>-3.3641900611497411E-2</v>
      </c>
      <c r="Y1273" s="659">
        <v>-0.17423115352168567</v>
      </c>
      <c r="Z1273" s="658">
        <v>4.7520363900395157E-3</v>
      </c>
      <c r="AA1273" s="659">
        <v>2.1456760687197839E-2</v>
      </c>
      <c r="AB1273" s="658">
        <v>0.20393068253798197</v>
      </c>
      <c r="AC1273" s="660">
        <v>-0.9382477090378184</v>
      </c>
      <c r="AD1273" s="682">
        <v>32239786000190</v>
      </c>
      <c r="AE1273" s="944" t="s">
        <v>1976</v>
      </c>
      <c r="AF1273" s="661" t="s">
        <v>1729</v>
      </c>
      <c r="AG1273" s="662" t="s">
        <v>1433</v>
      </c>
      <c r="AH1273" s="662" t="s">
        <v>1734</v>
      </c>
      <c r="AI1273" s="662">
        <v>1000</v>
      </c>
      <c r="AJ1273" s="662">
        <v>0</v>
      </c>
      <c r="AK1273" s="662">
        <v>0</v>
      </c>
      <c r="AL1273" s="658">
        <v>0</v>
      </c>
      <c r="AM1273" s="658">
        <v>0</v>
      </c>
      <c r="AN1273" s="659" t="s">
        <v>666</v>
      </c>
      <c r="AO1273" s="253" t="s">
        <v>34</v>
      </c>
      <c r="AP1273" s="944" t="s">
        <v>1731</v>
      </c>
      <c r="AQ1273" s="663" t="s">
        <v>670</v>
      </c>
      <c r="AR1273" s="658">
        <v>2.9333333333333299E-3</v>
      </c>
      <c r="AS1273" s="658">
        <v>2.9333333333333299E-3</v>
      </c>
      <c r="AT1273" s="658" t="s">
        <v>1417</v>
      </c>
      <c r="AU1273" s="658" t="s">
        <v>2751</v>
      </c>
      <c r="AX1273"/>
      <c r="AY1273"/>
      <c r="BA1273"/>
      <c r="BB1273"/>
      <c r="BC1273"/>
      <c r="BD1273"/>
      <c r="BE1273"/>
      <c r="BF1273"/>
      <c r="BG1273"/>
      <c r="BH1273"/>
      <c r="BI1273"/>
      <c r="BJ1273"/>
      <c r="BR1273"/>
      <c r="BS1273"/>
      <c r="BT1273"/>
      <c r="BU1273"/>
      <c r="BX1273"/>
      <c r="BY1273"/>
      <c r="CA1273"/>
    </row>
    <row r="1274" spans="2:79" ht="18.75">
      <c r="B1274" s="252" t="s">
        <v>4540</v>
      </c>
      <c r="C1274" s="251">
        <v>31248460000167</v>
      </c>
      <c r="D1274" s="252" t="s">
        <v>13</v>
      </c>
      <c r="E1274" s="252" t="s">
        <v>615</v>
      </c>
      <c r="F1274" s="252" t="s">
        <v>619</v>
      </c>
      <c r="G1274" s="253" t="s">
        <v>34</v>
      </c>
      <c r="H1274" s="253" t="s">
        <v>1337</v>
      </c>
      <c r="I1274" s="253" t="s">
        <v>34</v>
      </c>
      <c r="J1274" s="253" t="s">
        <v>608</v>
      </c>
      <c r="K1274" s="253" t="s">
        <v>48</v>
      </c>
      <c r="L1274" s="655"/>
      <c r="M1274" s="655" t="s">
        <v>34</v>
      </c>
      <c r="N1274" s="253" t="s">
        <v>4541</v>
      </c>
      <c r="O1274" s="253" t="s">
        <v>1321</v>
      </c>
      <c r="P1274" s="656">
        <v>43930</v>
      </c>
      <c r="Q1274" s="657">
        <v>121.75792934</v>
      </c>
      <c r="R1274" s="657">
        <v>115.9222181975</v>
      </c>
      <c r="S1274" s="253">
        <v>4</v>
      </c>
      <c r="T1274" s="658">
        <v>1.4603288173984375E-3</v>
      </c>
      <c r="U1274" s="659">
        <v>7.3022355777019515E-2</v>
      </c>
      <c r="V1274" s="658">
        <v>1.4603288173984375E-3</v>
      </c>
      <c r="W1274" s="659">
        <v>1.1325302789900871E-2</v>
      </c>
      <c r="X1274" s="658">
        <v>1.4603288173984375E-3</v>
      </c>
      <c r="Y1274" s="659">
        <v>7.5630321043554114E-3</v>
      </c>
      <c r="Z1274" s="658"/>
      <c r="AA1274" s="659"/>
      <c r="AB1274" s="658">
        <v>3.1309752343138598E-3</v>
      </c>
      <c r="AC1274" s="660">
        <v>-40.716892050833295</v>
      </c>
      <c r="AD1274" s="682">
        <v>0</v>
      </c>
      <c r="AE1274" s="944" t="s">
        <v>1976</v>
      </c>
      <c r="AF1274" s="661" t="s">
        <v>1769</v>
      </c>
      <c r="AG1274" s="662" t="s">
        <v>719</v>
      </c>
      <c r="AH1274" s="662" t="s">
        <v>2119</v>
      </c>
      <c r="AI1274" s="662">
        <v>0</v>
      </c>
      <c r="AJ1274" s="662">
        <v>0</v>
      </c>
      <c r="AK1274" s="662">
        <v>0</v>
      </c>
      <c r="AL1274" s="658">
        <v>8.0000000000000002E-3</v>
      </c>
      <c r="AM1274" s="658">
        <v>0</v>
      </c>
      <c r="AN1274" s="659" t="s">
        <v>64</v>
      </c>
      <c r="AO1274" s="253" t="s">
        <v>4397</v>
      </c>
      <c r="AP1274" s="944" t="s">
        <v>1746</v>
      </c>
      <c r="AQ1274" s="663" t="s">
        <v>2177</v>
      </c>
      <c r="AR1274" s="658">
        <v>0</v>
      </c>
      <c r="AS1274" s="658">
        <v>0</v>
      </c>
      <c r="AT1274" s="658" t="s">
        <v>1417</v>
      </c>
      <c r="AU1274" s="658" t="s">
        <v>2751</v>
      </c>
      <c r="AX1274"/>
      <c r="AY1274"/>
      <c r="BA1274"/>
      <c r="BB1274"/>
      <c r="BC1274"/>
      <c r="BD1274"/>
      <c r="BE1274"/>
      <c r="BF1274"/>
      <c r="BG1274"/>
      <c r="BH1274"/>
      <c r="BI1274"/>
      <c r="BJ1274"/>
      <c r="BR1274"/>
      <c r="BS1274"/>
      <c r="BT1274"/>
      <c r="BU1274"/>
      <c r="BX1274"/>
      <c r="BY1274"/>
      <c r="CA1274"/>
    </row>
    <row r="1275" spans="2:79" ht="18.75">
      <c r="B1275" s="252" t="s">
        <v>1177</v>
      </c>
      <c r="C1275" s="251">
        <v>37308394000150</v>
      </c>
      <c r="D1275" s="252" t="s">
        <v>14</v>
      </c>
      <c r="E1275" s="252" t="s">
        <v>607</v>
      </c>
      <c r="F1275" s="252" t="s">
        <v>1417</v>
      </c>
      <c r="G1275" s="253" t="s">
        <v>1417</v>
      </c>
      <c r="H1275" s="253" t="s">
        <v>34</v>
      </c>
      <c r="I1275" s="253" t="s">
        <v>34</v>
      </c>
      <c r="J1275" s="253" t="s">
        <v>611</v>
      </c>
      <c r="K1275" s="253" t="s">
        <v>48</v>
      </c>
      <c r="L1275" s="655"/>
      <c r="M1275" s="655" t="s">
        <v>34</v>
      </c>
      <c r="N1275" s="253" t="s">
        <v>3902</v>
      </c>
      <c r="O1275" s="253" t="s">
        <v>1321</v>
      </c>
      <c r="P1275" s="656">
        <v>44055</v>
      </c>
      <c r="Q1275" s="657">
        <v>338.19973355000002</v>
      </c>
      <c r="R1275" s="657">
        <v>330.17484906641977</v>
      </c>
      <c r="S1275" s="253">
        <v>4</v>
      </c>
      <c r="T1275" s="658">
        <v>1.6986500857468556E-2</v>
      </c>
      <c r="U1275" s="659">
        <v>0.84939384489478686</v>
      </c>
      <c r="V1275" s="658">
        <v>-5.1776128575595659E-2</v>
      </c>
      <c r="W1275" s="659">
        <v>-0.40153993156972073</v>
      </c>
      <c r="X1275" s="658">
        <v>-7.7968072044136361E-2</v>
      </c>
      <c r="Y1275" s="659">
        <v>-0.40379606630991483</v>
      </c>
      <c r="Z1275" s="658"/>
      <c r="AA1275" s="659"/>
      <c r="AB1275" s="658">
        <v>0.2679307248278609</v>
      </c>
      <c r="AC1275" s="660">
        <v>-0.67450285195358739</v>
      </c>
      <c r="AD1275" s="682">
        <v>37308317000108</v>
      </c>
      <c r="AE1275" s="944" t="s">
        <v>1976</v>
      </c>
      <c r="AF1275" s="661" t="s">
        <v>1769</v>
      </c>
      <c r="AG1275" s="662" t="s">
        <v>719</v>
      </c>
      <c r="AH1275" s="662" t="s">
        <v>1730</v>
      </c>
      <c r="AI1275" s="662">
        <v>5000</v>
      </c>
      <c r="AJ1275" s="662">
        <v>500</v>
      </c>
      <c r="AK1275" s="662">
        <v>500</v>
      </c>
      <c r="AL1275" s="658">
        <v>8.5000000000000006E-3</v>
      </c>
      <c r="AM1275" s="658">
        <v>0.2</v>
      </c>
      <c r="AN1275" s="659" t="s">
        <v>2127</v>
      </c>
      <c r="AO1275" s="253" t="s">
        <v>34</v>
      </c>
      <c r="AP1275" s="944" t="s">
        <v>1731</v>
      </c>
      <c r="AQ1275" s="663" t="s">
        <v>687</v>
      </c>
      <c r="AR1275" s="658">
        <v>4.0233333333333302E-3</v>
      </c>
      <c r="AS1275" s="658">
        <v>4.0233333333333302E-3</v>
      </c>
      <c r="AT1275" s="658" t="s">
        <v>1417</v>
      </c>
      <c r="AU1275" s="658" t="s">
        <v>2751</v>
      </c>
      <c r="AX1275"/>
      <c r="AY1275"/>
      <c r="BA1275"/>
      <c r="BB1275"/>
      <c r="BC1275"/>
      <c r="BD1275"/>
      <c r="BE1275"/>
      <c r="BF1275"/>
      <c r="BG1275"/>
      <c r="BH1275"/>
      <c r="BI1275"/>
      <c r="BJ1275"/>
      <c r="BR1275"/>
      <c r="BS1275"/>
      <c r="BT1275"/>
      <c r="BU1275"/>
      <c r="BX1275"/>
      <c r="BY1275"/>
      <c r="CA1275"/>
    </row>
    <row r="1276" spans="2:79" ht="18.75">
      <c r="B1276" s="252" t="s">
        <v>1691</v>
      </c>
      <c r="C1276" s="251">
        <v>37308317000108</v>
      </c>
      <c r="D1276" s="252" t="s">
        <v>14</v>
      </c>
      <c r="E1276" s="252" t="s">
        <v>607</v>
      </c>
      <c r="F1276" s="252" t="s">
        <v>1417</v>
      </c>
      <c r="G1276" s="253" t="s">
        <v>1417</v>
      </c>
      <c r="H1276" s="253" t="s">
        <v>34</v>
      </c>
      <c r="I1276" s="253" t="s">
        <v>34</v>
      </c>
      <c r="J1276" s="253" t="s">
        <v>611</v>
      </c>
      <c r="K1276" s="253" t="s">
        <v>49</v>
      </c>
      <c r="L1276" s="655"/>
      <c r="M1276" s="655" t="s">
        <v>34</v>
      </c>
      <c r="N1276" s="253" t="s">
        <v>3903</v>
      </c>
      <c r="O1276" s="253" t="s">
        <v>1321</v>
      </c>
      <c r="P1276" s="656">
        <v>44055</v>
      </c>
      <c r="Q1276" s="657">
        <v>338.19973355000002</v>
      </c>
      <c r="R1276" s="657">
        <v>330.02509848147537</v>
      </c>
      <c r="S1276" s="253">
        <v>4</v>
      </c>
      <c r="T1276" s="658">
        <v>1.6986500857468556E-2</v>
      </c>
      <c r="U1276" s="659">
        <v>0.84939384489478686</v>
      </c>
      <c r="V1276" s="658">
        <v>-5.177612857559577E-2</v>
      </c>
      <c r="W1276" s="659">
        <v>-0.40153993156972156</v>
      </c>
      <c r="X1276" s="658">
        <v>-7.7968072044136472E-2</v>
      </c>
      <c r="Y1276" s="659">
        <v>-0.40379606630991538</v>
      </c>
      <c r="Z1276" s="658"/>
      <c r="AA1276" s="659"/>
      <c r="AB1276" s="658">
        <v>0.26760650699616417</v>
      </c>
      <c r="AC1276" s="660">
        <v>-0.67532004378718091</v>
      </c>
      <c r="AD1276" s="682">
        <v>0</v>
      </c>
      <c r="AE1276" s="944" t="s">
        <v>1976</v>
      </c>
      <c r="AF1276" s="661" t="s">
        <v>1769</v>
      </c>
      <c r="AG1276" s="662" t="s">
        <v>719</v>
      </c>
      <c r="AH1276" s="662" t="s">
        <v>1730</v>
      </c>
      <c r="AI1276" s="662">
        <v>5000</v>
      </c>
      <c r="AJ1276" s="662">
        <v>500</v>
      </c>
      <c r="AK1276" s="662">
        <v>500</v>
      </c>
      <c r="AL1276" s="658">
        <v>1.5E-3</v>
      </c>
      <c r="AM1276" s="658">
        <v>0</v>
      </c>
      <c r="AN1276" s="659" t="s">
        <v>2122</v>
      </c>
      <c r="AO1276" s="253" t="s">
        <v>34</v>
      </c>
      <c r="AP1276" s="944" t="s">
        <v>1731</v>
      </c>
      <c r="AQ1276" s="663" t="s">
        <v>687</v>
      </c>
      <c r="AR1276" s="658">
        <v>0</v>
      </c>
      <c r="AS1276" s="658">
        <v>0</v>
      </c>
      <c r="AT1276" s="658" t="s">
        <v>1417</v>
      </c>
      <c r="AU1276" s="658" t="s">
        <v>2751</v>
      </c>
      <c r="AX1276"/>
      <c r="AY1276"/>
      <c r="BA1276"/>
      <c r="BB1276"/>
      <c r="BC1276"/>
      <c r="BD1276"/>
      <c r="BE1276"/>
      <c r="BF1276"/>
      <c r="BG1276"/>
      <c r="BH1276"/>
      <c r="BI1276"/>
      <c r="BJ1276"/>
      <c r="BR1276"/>
      <c r="BS1276"/>
      <c r="BT1276"/>
      <c r="BU1276"/>
      <c r="BX1276"/>
      <c r="BY1276"/>
      <c r="CA1276"/>
    </row>
    <row r="1277" spans="2:79" ht="18.75">
      <c r="B1277" s="252" t="s">
        <v>1178</v>
      </c>
      <c r="C1277" s="251">
        <v>35744790000102</v>
      </c>
      <c r="D1277" s="252" t="s">
        <v>13</v>
      </c>
      <c r="E1277" s="252" t="s">
        <v>616</v>
      </c>
      <c r="F1277" s="252" t="s">
        <v>617</v>
      </c>
      <c r="G1277" s="253" t="s">
        <v>34</v>
      </c>
      <c r="H1277" s="253" t="s">
        <v>1338</v>
      </c>
      <c r="I1277" s="253" t="s">
        <v>34</v>
      </c>
      <c r="J1277" s="253" t="s">
        <v>608</v>
      </c>
      <c r="K1277" s="253" t="s">
        <v>1417</v>
      </c>
      <c r="L1277" s="655"/>
      <c r="M1277" s="655" t="s">
        <v>34</v>
      </c>
      <c r="N1277" s="253" t="s">
        <v>3904</v>
      </c>
      <c r="O1277" s="253" t="s">
        <v>1321</v>
      </c>
      <c r="P1277" s="656">
        <v>43924</v>
      </c>
      <c r="Q1277" s="657">
        <v>38.904975610000001</v>
      </c>
      <c r="R1277" s="657">
        <v>62.965734781943318</v>
      </c>
      <c r="S1277" s="253">
        <v>10</v>
      </c>
      <c r="T1277" s="658">
        <v>6.8148998818206463E-2</v>
      </c>
      <c r="U1277" s="659">
        <v>3.4077259712070647</v>
      </c>
      <c r="V1277" s="658">
        <v>5.7788019501676446E-2</v>
      </c>
      <c r="W1277" s="659">
        <v>0.44816400983657156</v>
      </c>
      <c r="X1277" s="658">
        <v>1.4589252760410565E-2</v>
      </c>
      <c r="Y1277" s="659">
        <v>7.555763174084916E-2</v>
      </c>
      <c r="Z1277" s="658"/>
      <c r="AA1277" s="659"/>
      <c r="AB1277" s="658">
        <v>9.4589875371253199E-2</v>
      </c>
      <c r="AC1277" s="660">
        <v>-0.75225693728672449</v>
      </c>
      <c r="AD1277" s="682">
        <v>35769107000183</v>
      </c>
      <c r="AE1277" s="944" t="s">
        <v>1976</v>
      </c>
      <c r="AF1277" s="661" t="s">
        <v>1729</v>
      </c>
      <c r="AG1277" s="662" t="s">
        <v>1433</v>
      </c>
      <c r="AH1277" s="662" t="s">
        <v>1730</v>
      </c>
      <c r="AI1277" s="662">
        <v>5000</v>
      </c>
      <c r="AJ1277" s="662">
        <v>0</v>
      </c>
      <c r="AK1277" s="662">
        <v>0</v>
      </c>
      <c r="AL1277" s="658">
        <v>7.4999999999999997E-3</v>
      </c>
      <c r="AM1277" s="658">
        <v>0</v>
      </c>
      <c r="AN1277" s="659" t="s">
        <v>34</v>
      </c>
      <c r="AO1277" s="253" t="s">
        <v>34</v>
      </c>
      <c r="AP1277" s="944" t="s">
        <v>1746</v>
      </c>
      <c r="AQ1277" s="663" t="s">
        <v>679</v>
      </c>
      <c r="AR1277" s="658">
        <v>4.3499999999999997E-3</v>
      </c>
      <c r="AS1277" s="658">
        <v>4.3499999999999997E-3</v>
      </c>
      <c r="AT1277" s="658" t="s">
        <v>1417</v>
      </c>
      <c r="AU1277" s="658" t="s">
        <v>2751</v>
      </c>
      <c r="AX1277"/>
      <c r="AY1277"/>
      <c r="BA1277"/>
      <c r="BB1277"/>
      <c r="BC1277"/>
      <c r="BD1277"/>
      <c r="BE1277"/>
      <c r="BF1277"/>
      <c r="BG1277"/>
      <c r="BH1277"/>
      <c r="BI1277"/>
      <c r="BJ1277"/>
      <c r="BR1277"/>
      <c r="BS1277"/>
      <c r="BT1277"/>
      <c r="BU1277"/>
      <c r="BX1277"/>
      <c r="BY1277"/>
      <c r="CA1277"/>
    </row>
    <row r="1278" spans="2:79" ht="18.75">
      <c r="B1278" s="252" t="s">
        <v>368</v>
      </c>
      <c r="C1278" s="251">
        <v>11301137000100</v>
      </c>
      <c r="D1278" s="252" t="s">
        <v>13</v>
      </c>
      <c r="E1278" s="252" t="s">
        <v>615</v>
      </c>
      <c r="F1278" s="252" t="s">
        <v>619</v>
      </c>
      <c r="G1278" s="253" t="s">
        <v>34</v>
      </c>
      <c r="H1278" s="253" t="s">
        <v>1338</v>
      </c>
      <c r="I1278" s="253" t="s">
        <v>34</v>
      </c>
      <c r="J1278" s="253" t="s">
        <v>1417</v>
      </c>
      <c r="K1278" s="253" t="s">
        <v>48</v>
      </c>
      <c r="L1278" s="655"/>
      <c r="M1278" s="655" t="s">
        <v>34</v>
      </c>
      <c r="N1278" s="253" t="s">
        <v>3905</v>
      </c>
      <c r="O1278" s="253" t="s">
        <v>1321</v>
      </c>
      <c r="P1278" s="656">
        <v>40125</v>
      </c>
      <c r="Q1278" s="657">
        <v>129.90385499999999</v>
      </c>
      <c r="R1278" s="657">
        <v>145.67841000420165</v>
      </c>
      <c r="S1278" s="253">
        <v>31</v>
      </c>
      <c r="T1278" s="658">
        <v>-4.539653499744456E-2</v>
      </c>
      <c r="U1278" s="659">
        <v>-2.2700106237257502</v>
      </c>
      <c r="V1278" s="658">
        <v>2.3752423769420883E-3</v>
      </c>
      <c r="W1278" s="659">
        <v>1.8420741135681838E-2</v>
      </c>
      <c r="X1278" s="658">
        <v>5.9659670661005082E-2</v>
      </c>
      <c r="Y1278" s="659">
        <v>0.30897699146160451</v>
      </c>
      <c r="Z1278" s="658">
        <v>0.58245049586034803</v>
      </c>
      <c r="AA1278" s="659">
        <v>2.6299253364327204</v>
      </c>
      <c r="AB1278" s="658">
        <v>0.19752986145310639</v>
      </c>
      <c r="AC1278" s="660">
        <v>-0.64075712977652077</v>
      </c>
      <c r="AD1278" s="682">
        <v>11286399000135</v>
      </c>
      <c r="AE1278" s="944" t="s">
        <v>1822</v>
      </c>
      <c r="AF1278" s="661" t="s">
        <v>1823</v>
      </c>
      <c r="AG1278" s="662" t="s">
        <v>736</v>
      </c>
      <c r="AH1278" s="662" t="s">
        <v>1734</v>
      </c>
      <c r="AI1278" s="662">
        <v>500</v>
      </c>
      <c r="AJ1278" s="662">
        <v>0</v>
      </c>
      <c r="AK1278" s="662">
        <v>500</v>
      </c>
      <c r="AL1278" s="658">
        <v>0.02</v>
      </c>
      <c r="AM1278" s="658">
        <v>0.2</v>
      </c>
      <c r="AN1278" s="659" t="s">
        <v>64</v>
      </c>
      <c r="AO1278" s="253" t="s">
        <v>34</v>
      </c>
      <c r="AP1278" s="944" t="s">
        <v>1746</v>
      </c>
      <c r="AQ1278" s="663" t="s">
        <v>671</v>
      </c>
      <c r="AR1278" s="658">
        <v>4.6666666666666697E-3</v>
      </c>
      <c r="AS1278" s="658">
        <v>4.6666666666666697E-3</v>
      </c>
      <c r="AT1278" s="658" t="s">
        <v>1417</v>
      </c>
      <c r="AU1278" s="658" t="s">
        <v>2751</v>
      </c>
      <c r="AX1278"/>
      <c r="AY1278"/>
      <c r="BA1278"/>
      <c r="BB1278"/>
      <c r="BC1278"/>
      <c r="BD1278"/>
      <c r="BE1278"/>
      <c r="BF1278"/>
      <c r="BG1278"/>
      <c r="BH1278"/>
      <c r="BI1278"/>
      <c r="BJ1278"/>
      <c r="BR1278"/>
      <c r="BS1278"/>
      <c r="BT1278"/>
      <c r="BU1278"/>
      <c r="BX1278"/>
      <c r="BY1278"/>
      <c r="CA1278"/>
    </row>
    <row r="1279" spans="2:79" ht="18.75">
      <c r="B1279" s="252" t="s">
        <v>1179</v>
      </c>
      <c r="C1279" s="251">
        <v>27880333000109</v>
      </c>
      <c r="D1279" s="252" t="s">
        <v>13</v>
      </c>
      <c r="E1279" s="252" t="s">
        <v>615</v>
      </c>
      <c r="F1279" s="252" t="s">
        <v>619</v>
      </c>
      <c r="G1279" s="253" t="s">
        <v>34</v>
      </c>
      <c r="H1279" s="253" t="s">
        <v>1337</v>
      </c>
      <c r="I1279" s="253" t="s">
        <v>34</v>
      </c>
      <c r="J1279" s="253" t="s">
        <v>1417</v>
      </c>
      <c r="K1279" s="253" t="s">
        <v>48</v>
      </c>
      <c r="L1279" s="655"/>
      <c r="M1279" s="655" t="s">
        <v>1414</v>
      </c>
      <c r="N1279" s="253" t="s">
        <v>3906</v>
      </c>
      <c r="O1279" s="253" t="s">
        <v>1321</v>
      </c>
      <c r="P1279" s="656">
        <v>42932</v>
      </c>
      <c r="Q1279" s="657">
        <v>14.55681811</v>
      </c>
      <c r="R1279" s="657">
        <v>16.072758916572585</v>
      </c>
      <c r="S1279" s="253">
        <v>35</v>
      </c>
      <c r="T1279" s="658">
        <v>3.5254576239738267E-3</v>
      </c>
      <c r="U1279" s="659">
        <v>0.17628716069114125</v>
      </c>
      <c r="V1279" s="658">
        <v>9.6866691369421165E-2</v>
      </c>
      <c r="W1279" s="659">
        <v>0.75123122747721105</v>
      </c>
      <c r="X1279" s="658">
        <v>0.11007514443575928</v>
      </c>
      <c r="Y1279" s="659">
        <v>0.5700783558748781</v>
      </c>
      <c r="Z1279" s="658">
        <v>9.8170101663552334E-2</v>
      </c>
      <c r="AA1279" s="659">
        <v>0.44326520361836053</v>
      </c>
      <c r="AB1279" s="658">
        <v>3.1259937753327374E-2</v>
      </c>
      <c r="AC1279" s="660">
        <v>-1.0261446561566752</v>
      </c>
      <c r="AD1279" s="682">
        <v>0</v>
      </c>
      <c r="AE1279" s="944" t="s">
        <v>1954</v>
      </c>
      <c r="AF1279" s="661" t="s">
        <v>1745</v>
      </c>
      <c r="AG1279" s="662" t="s">
        <v>1432</v>
      </c>
      <c r="AH1279" s="662" t="s">
        <v>1734</v>
      </c>
      <c r="AI1279" s="662">
        <v>1000</v>
      </c>
      <c r="AJ1279" s="662">
        <v>100</v>
      </c>
      <c r="AK1279" s="662">
        <v>500</v>
      </c>
      <c r="AL1279" s="658">
        <v>0.01</v>
      </c>
      <c r="AM1279" s="658">
        <v>0.2</v>
      </c>
      <c r="AN1279" s="659" t="s">
        <v>2127</v>
      </c>
      <c r="AO1279" s="253" t="s">
        <v>34</v>
      </c>
      <c r="AP1279" s="944" t="s">
        <v>1746</v>
      </c>
      <c r="AQ1279" s="663" t="s">
        <v>668</v>
      </c>
      <c r="AR1279" s="658">
        <v>3.3333333333333301E-3</v>
      </c>
      <c r="AS1279" s="658">
        <v>3.3333333333333301E-3</v>
      </c>
      <c r="AT1279" s="658" t="s">
        <v>1417</v>
      </c>
      <c r="AU1279" s="658" t="s">
        <v>2751</v>
      </c>
      <c r="AX1279"/>
      <c r="AY1279"/>
      <c r="BA1279"/>
      <c r="BB1279"/>
      <c r="BC1279"/>
      <c r="BD1279"/>
      <c r="BE1279"/>
      <c r="BF1279"/>
      <c r="BG1279"/>
      <c r="BH1279"/>
      <c r="BI1279"/>
      <c r="BJ1279"/>
      <c r="BR1279"/>
      <c r="BS1279"/>
      <c r="BT1279"/>
      <c r="BU1279"/>
      <c r="BX1279"/>
      <c r="BY1279"/>
      <c r="CA1279"/>
    </row>
    <row r="1280" spans="2:79" ht="18.75">
      <c r="B1280" s="252" t="s">
        <v>489</v>
      </c>
      <c r="C1280" s="251">
        <v>25274966000148</v>
      </c>
      <c r="D1280" s="252" t="s">
        <v>11</v>
      </c>
      <c r="E1280" s="252" t="s">
        <v>620</v>
      </c>
      <c r="F1280" s="252" t="s">
        <v>685</v>
      </c>
      <c r="G1280" s="253" t="s">
        <v>1417</v>
      </c>
      <c r="H1280" s="253" t="s">
        <v>34</v>
      </c>
      <c r="I1280" s="253" t="s">
        <v>1319</v>
      </c>
      <c r="J1280" s="253" t="s">
        <v>608</v>
      </c>
      <c r="K1280" s="253" t="s">
        <v>48</v>
      </c>
      <c r="L1280" s="655"/>
      <c r="M1280" s="655" t="s">
        <v>34</v>
      </c>
      <c r="N1280" s="253" t="s">
        <v>3907</v>
      </c>
      <c r="O1280" s="253" t="s">
        <v>1321</v>
      </c>
      <c r="P1280" s="656">
        <v>42683</v>
      </c>
      <c r="Q1280" s="657">
        <v>1.749844</v>
      </c>
      <c r="R1280" s="657">
        <v>3.2112391176470574</v>
      </c>
      <c r="S1280" s="253">
        <v>15</v>
      </c>
      <c r="T1280" s="658"/>
      <c r="U1280" s="659"/>
      <c r="V1280" s="658">
        <v>9.6974204753788262E-2</v>
      </c>
      <c r="W1280" s="659">
        <v>0.7520650271101551</v>
      </c>
      <c r="X1280" s="658">
        <v>8.5940509887955985E-2</v>
      </c>
      <c r="Y1280" s="659">
        <v>0.44508526271857179</v>
      </c>
      <c r="Z1280" s="658">
        <v>4.218180873689259E-2</v>
      </c>
      <c r="AA1280" s="659">
        <v>0.19046255144799701</v>
      </c>
      <c r="AB1280" s="658">
        <v>1.272198235843241E-2</v>
      </c>
      <c r="AC1280" s="660">
        <v>-2.512949931251073</v>
      </c>
      <c r="AD1280" s="682">
        <v>0</v>
      </c>
      <c r="AE1280" s="944" t="s">
        <v>1938</v>
      </c>
      <c r="AF1280" s="661" t="s">
        <v>1939</v>
      </c>
      <c r="AG1280" s="662" t="s">
        <v>1180</v>
      </c>
      <c r="AH1280" s="662" t="s">
        <v>1734</v>
      </c>
      <c r="AI1280" s="662">
        <v>1000</v>
      </c>
      <c r="AJ1280" s="662">
        <v>1000</v>
      </c>
      <c r="AK1280" s="662">
        <v>1000</v>
      </c>
      <c r="AL1280" s="658">
        <v>6.0000000000000001E-3</v>
      </c>
      <c r="AM1280" s="658">
        <v>0.2</v>
      </c>
      <c r="AN1280" s="659" t="s">
        <v>64</v>
      </c>
      <c r="AO1280" s="253" t="s">
        <v>34</v>
      </c>
      <c r="AP1280" s="944" t="s">
        <v>1735</v>
      </c>
      <c r="AQ1280" s="663" t="s">
        <v>1373</v>
      </c>
      <c r="AR1280" s="658">
        <v>8.8000000000000003E-4</v>
      </c>
      <c r="AS1280" s="658">
        <v>8.8000000000000003E-4</v>
      </c>
      <c r="AT1280" s="658" t="s">
        <v>1417</v>
      </c>
      <c r="AU1280" s="658" t="s">
        <v>2751</v>
      </c>
      <c r="AX1280"/>
      <c r="AY1280"/>
      <c r="BA1280"/>
      <c r="BB1280"/>
      <c r="BC1280"/>
      <c r="BD1280"/>
      <c r="BE1280"/>
      <c r="BF1280"/>
      <c r="BG1280"/>
      <c r="BH1280"/>
      <c r="BI1280"/>
      <c r="BJ1280"/>
      <c r="BR1280"/>
      <c r="BS1280"/>
      <c r="BT1280"/>
      <c r="BU1280"/>
      <c r="BX1280"/>
      <c r="BY1280"/>
      <c r="CA1280"/>
    </row>
    <row r="1281" spans="2:79" ht="18.75">
      <c r="B1281" s="252" t="s">
        <v>369</v>
      </c>
      <c r="C1281" s="251">
        <v>2444266000159</v>
      </c>
      <c r="D1281" s="252" t="s">
        <v>14</v>
      </c>
      <c r="E1281" s="252" t="s">
        <v>607</v>
      </c>
      <c r="F1281" s="252" t="s">
        <v>1417</v>
      </c>
      <c r="G1281" s="253" t="s">
        <v>1417</v>
      </c>
      <c r="H1281" s="253" t="s">
        <v>34</v>
      </c>
      <c r="I1281" s="253" t="s">
        <v>34</v>
      </c>
      <c r="J1281" s="253" t="s">
        <v>608</v>
      </c>
      <c r="K1281" s="253" t="s">
        <v>48</v>
      </c>
      <c r="L1281" s="655"/>
      <c r="M1281" s="655" t="s">
        <v>1414</v>
      </c>
      <c r="N1281" s="253" t="s">
        <v>3908</v>
      </c>
      <c r="O1281" s="253" t="s">
        <v>1321</v>
      </c>
      <c r="P1281" s="656">
        <v>39466</v>
      </c>
      <c r="Q1281" s="657">
        <v>280.90374300000002</v>
      </c>
      <c r="R1281" s="657">
        <v>292.22475765991891</v>
      </c>
      <c r="S1281" s="253">
        <v>17</v>
      </c>
      <c r="T1281" s="658">
        <v>-3.828149527177116E-2</v>
      </c>
      <c r="U1281" s="659">
        <v>-1.9142298187277798</v>
      </c>
      <c r="V1281" s="658">
        <v>2.9169344944723896E-4</v>
      </c>
      <c r="W1281" s="659">
        <v>2.2621731472133853E-3</v>
      </c>
      <c r="X1281" s="658">
        <v>5.6278493123423701E-2</v>
      </c>
      <c r="Y1281" s="659">
        <v>0.29146589809510537</v>
      </c>
      <c r="Z1281" s="658">
        <v>0.13029483728676294</v>
      </c>
      <c r="AA1281" s="659">
        <v>0.58831728399626304</v>
      </c>
      <c r="AB1281" s="658">
        <v>0.22484890000529553</v>
      </c>
      <c r="AC1281" s="660">
        <v>-0.5721718718406501</v>
      </c>
      <c r="AD1281" s="682">
        <v>0</v>
      </c>
      <c r="AE1281" s="944" t="s">
        <v>1795</v>
      </c>
      <c r="AF1281" s="661" t="s">
        <v>1767</v>
      </c>
      <c r="AG1281" s="662" t="s">
        <v>59</v>
      </c>
      <c r="AH1281" s="662" t="s">
        <v>1734</v>
      </c>
      <c r="AI1281" s="662">
        <v>5000</v>
      </c>
      <c r="AJ1281" s="662">
        <v>1000</v>
      </c>
      <c r="AK1281" s="662">
        <v>5000</v>
      </c>
      <c r="AL1281" s="658">
        <v>1.8000000000000002E-2</v>
      </c>
      <c r="AM1281" s="658">
        <v>0.2</v>
      </c>
      <c r="AN1281" s="659" t="s">
        <v>666</v>
      </c>
      <c r="AO1281" s="253" t="s">
        <v>34</v>
      </c>
      <c r="AP1281" s="944" t="s">
        <v>1731</v>
      </c>
      <c r="AQ1281" s="663" t="s">
        <v>659</v>
      </c>
      <c r="AR1281" s="658">
        <v>3.5999999999999999E-3</v>
      </c>
      <c r="AS1281" s="658">
        <v>3.5999999999999999E-3</v>
      </c>
      <c r="AT1281" s="658" t="s">
        <v>1417</v>
      </c>
      <c r="AU1281" s="658" t="s">
        <v>2751</v>
      </c>
      <c r="AX1281"/>
      <c r="AY1281"/>
      <c r="BA1281"/>
      <c r="BB1281"/>
      <c r="BC1281"/>
      <c r="BD1281"/>
      <c r="BE1281"/>
      <c r="BF1281"/>
      <c r="BG1281"/>
      <c r="BH1281"/>
      <c r="BI1281"/>
      <c r="BJ1281"/>
      <c r="BR1281"/>
      <c r="BS1281"/>
      <c r="BT1281"/>
      <c r="BU1281"/>
      <c r="BX1281"/>
      <c r="BY1281"/>
      <c r="CA1281"/>
    </row>
    <row r="1282" spans="2:79" ht="18.75">
      <c r="B1282" s="252" t="s">
        <v>1182</v>
      </c>
      <c r="C1282" s="251">
        <v>34507252000123</v>
      </c>
      <c r="D1282" s="252" t="s">
        <v>14</v>
      </c>
      <c r="E1282" s="252" t="s">
        <v>607</v>
      </c>
      <c r="F1282" s="252" t="s">
        <v>1417</v>
      </c>
      <c r="G1282" s="253" t="s">
        <v>1417</v>
      </c>
      <c r="H1282" s="253" t="s">
        <v>34</v>
      </c>
      <c r="I1282" s="253" t="s">
        <v>34</v>
      </c>
      <c r="J1282" s="253" t="s">
        <v>608</v>
      </c>
      <c r="K1282" s="253" t="s">
        <v>48</v>
      </c>
      <c r="L1282" s="655"/>
      <c r="M1282" s="655" t="s">
        <v>1414</v>
      </c>
      <c r="N1282" s="253" t="s">
        <v>3909</v>
      </c>
      <c r="O1282" s="253" t="s">
        <v>1321</v>
      </c>
      <c r="P1282" s="656">
        <v>43925</v>
      </c>
      <c r="Q1282" s="657">
        <v>22.709727229999999</v>
      </c>
      <c r="R1282" s="657">
        <v>20.784668201048397</v>
      </c>
      <c r="S1282" s="253">
        <v>60</v>
      </c>
      <c r="T1282" s="658">
        <v>1.7311605924245965E-2</v>
      </c>
      <c r="U1282" s="659">
        <v>0.86565041503727302</v>
      </c>
      <c r="V1282" s="658">
        <v>-1.2772409098005477E-2</v>
      </c>
      <c r="W1282" s="659">
        <v>-9.9053992955567272E-2</v>
      </c>
      <c r="X1282" s="658">
        <v>-3.3984199441691954E-2</v>
      </c>
      <c r="Y1282" s="659">
        <v>-0.17600391662216094</v>
      </c>
      <c r="Z1282" s="658"/>
      <c r="AA1282" s="659"/>
      <c r="AB1282" s="658">
        <v>0.2580299314628749</v>
      </c>
      <c r="AC1282" s="660">
        <v>-0.54922433898016143</v>
      </c>
      <c r="AD1282" s="682">
        <v>31713596000109</v>
      </c>
      <c r="AE1282" s="944" t="s">
        <v>2010</v>
      </c>
      <c r="AF1282" s="661" t="s">
        <v>1729</v>
      </c>
      <c r="AG1282" s="662" t="s">
        <v>1433</v>
      </c>
      <c r="AH1282" s="662" t="s">
        <v>1730</v>
      </c>
      <c r="AI1282" s="662">
        <v>1000</v>
      </c>
      <c r="AJ1282" s="662">
        <v>1000</v>
      </c>
      <c r="AK1282" s="662">
        <v>1000</v>
      </c>
      <c r="AL1282" s="658">
        <v>0.02</v>
      </c>
      <c r="AM1282" s="658">
        <v>0.2</v>
      </c>
      <c r="AN1282" s="659" t="s">
        <v>34</v>
      </c>
      <c r="AO1282" s="253" t="s">
        <v>34</v>
      </c>
      <c r="AP1282" s="944" t="s">
        <v>1731</v>
      </c>
      <c r="AQ1282" s="663" t="s">
        <v>659</v>
      </c>
      <c r="AR1282" s="658">
        <v>3.7000000000000002E-3</v>
      </c>
      <c r="AS1282" s="658">
        <v>3.7000000000000002E-3</v>
      </c>
      <c r="AT1282" s="658" t="s">
        <v>1417</v>
      </c>
      <c r="AU1282" s="658" t="s">
        <v>2751</v>
      </c>
      <c r="AX1282"/>
      <c r="AY1282"/>
      <c r="BA1282"/>
      <c r="BB1282"/>
      <c r="BC1282"/>
      <c r="BD1282"/>
      <c r="BE1282"/>
      <c r="BF1282"/>
      <c r="BG1282"/>
      <c r="BH1282"/>
      <c r="BI1282"/>
      <c r="BJ1282"/>
      <c r="BR1282"/>
      <c r="BS1282"/>
      <c r="BT1282"/>
      <c r="BU1282"/>
      <c r="BX1282"/>
      <c r="BY1282"/>
      <c r="CA1282"/>
    </row>
    <row r="1283" spans="2:79" ht="18.75">
      <c r="B1283" s="252" t="s">
        <v>45</v>
      </c>
      <c r="C1283" s="251">
        <v>12565159000132</v>
      </c>
      <c r="D1283" s="252" t="s">
        <v>14</v>
      </c>
      <c r="E1283" s="252" t="s">
        <v>607</v>
      </c>
      <c r="F1283" s="252" t="s">
        <v>1417</v>
      </c>
      <c r="G1283" s="253" t="s">
        <v>1417</v>
      </c>
      <c r="H1283" s="253" t="s">
        <v>34</v>
      </c>
      <c r="I1283" s="253" t="s">
        <v>34</v>
      </c>
      <c r="J1283" s="253" t="s">
        <v>608</v>
      </c>
      <c r="K1283" s="253" t="s">
        <v>48</v>
      </c>
      <c r="L1283" s="655"/>
      <c r="M1283" s="655" t="s">
        <v>34</v>
      </c>
      <c r="N1283" s="253" t="s">
        <v>3910</v>
      </c>
      <c r="O1283" s="253" t="s">
        <v>1321</v>
      </c>
      <c r="P1283" s="656">
        <v>40517</v>
      </c>
      <c r="Q1283" s="657">
        <v>627.10382900000002</v>
      </c>
      <c r="R1283" s="657">
        <v>676.61428293852452</v>
      </c>
      <c r="S1283" s="253">
        <v>32</v>
      </c>
      <c r="T1283" s="658">
        <v>-2.8207766607735607E-2</v>
      </c>
      <c r="U1283" s="659">
        <v>-1.410502582955742</v>
      </c>
      <c r="V1283" s="658">
        <v>-5.0245843490625219E-2</v>
      </c>
      <c r="W1283" s="659">
        <v>-0.38967209623313237</v>
      </c>
      <c r="X1283" s="658">
        <v>-0.19326823338630383</v>
      </c>
      <c r="Y1283" s="659">
        <v>-1.000934745954452</v>
      </c>
      <c r="Z1283" s="658">
        <v>-6.8396372927209237E-2</v>
      </c>
      <c r="AA1283" s="659">
        <v>-0.30882857059923779</v>
      </c>
      <c r="AB1283" s="658">
        <v>0.21144304153235258</v>
      </c>
      <c r="AC1283" s="660">
        <v>-0.84746110176435396</v>
      </c>
      <c r="AD1283" s="682">
        <v>13549298000135</v>
      </c>
      <c r="AE1283" s="944" t="s">
        <v>1774</v>
      </c>
      <c r="AF1283" s="661" t="s">
        <v>1745</v>
      </c>
      <c r="AG1283" s="662" t="s">
        <v>1432</v>
      </c>
      <c r="AH1283" s="662" t="s">
        <v>1730</v>
      </c>
      <c r="AI1283" s="662">
        <v>20000</v>
      </c>
      <c r="AJ1283" s="662">
        <v>5000</v>
      </c>
      <c r="AK1283" s="662">
        <v>5000</v>
      </c>
      <c r="AL1283" s="658">
        <v>0</v>
      </c>
      <c r="AM1283" s="658">
        <v>0.2</v>
      </c>
      <c r="AN1283" s="659" t="s">
        <v>2141</v>
      </c>
      <c r="AO1283" s="253" t="s">
        <v>34</v>
      </c>
      <c r="AP1283" s="944" t="s">
        <v>1731</v>
      </c>
      <c r="AQ1283" s="663" t="s">
        <v>659</v>
      </c>
      <c r="AR1283" s="658">
        <v>3.8999999999999998E-3</v>
      </c>
      <c r="AS1283" s="658">
        <v>3.8999999999999998E-3</v>
      </c>
      <c r="AT1283" s="658" t="s">
        <v>1417</v>
      </c>
      <c r="AU1283" s="658" t="s">
        <v>2751</v>
      </c>
      <c r="AX1283"/>
      <c r="AY1283"/>
      <c r="BA1283"/>
      <c r="BB1283"/>
      <c r="BC1283"/>
      <c r="BD1283"/>
      <c r="BE1283"/>
      <c r="BF1283"/>
      <c r="BG1283"/>
      <c r="BH1283"/>
      <c r="BI1283"/>
      <c r="BJ1283"/>
      <c r="BR1283"/>
      <c r="BS1283"/>
      <c r="BT1283"/>
      <c r="BU1283"/>
      <c r="BX1283"/>
      <c r="BY1283"/>
      <c r="CA1283"/>
    </row>
    <row r="1284" spans="2:79" ht="18.75">
      <c r="B1284" s="252" t="s">
        <v>370</v>
      </c>
      <c r="C1284" s="251">
        <v>17898650000107</v>
      </c>
      <c r="D1284" s="252" t="s">
        <v>14</v>
      </c>
      <c r="E1284" s="252" t="s">
        <v>607</v>
      </c>
      <c r="F1284" s="252" t="s">
        <v>1417</v>
      </c>
      <c r="G1284" s="253" t="s">
        <v>1417</v>
      </c>
      <c r="H1284" s="253" t="s">
        <v>34</v>
      </c>
      <c r="I1284" s="253" t="s">
        <v>34</v>
      </c>
      <c r="J1284" s="253" t="s">
        <v>608</v>
      </c>
      <c r="K1284" s="253" t="s">
        <v>48</v>
      </c>
      <c r="L1284" s="655"/>
      <c r="M1284" s="655" t="s">
        <v>34</v>
      </c>
      <c r="N1284" s="253" t="s">
        <v>3911</v>
      </c>
      <c r="O1284" s="253" t="s">
        <v>1321</v>
      </c>
      <c r="P1284" s="656">
        <v>41481</v>
      </c>
      <c r="Q1284" s="657">
        <v>434.02832799999999</v>
      </c>
      <c r="R1284" s="657">
        <v>474.58770173387103</v>
      </c>
      <c r="S1284" s="253">
        <v>32</v>
      </c>
      <c r="T1284" s="658">
        <v>-3.6607676475732265E-2</v>
      </c>
      <c r="U1284" s="659">
        <v>-1.8305320993002061</v>
      </c>
      <c r="V1284" s="658">
        <v>-5.9827740785685091E-3</v>
      </c>
      <c r="W1284" s="659">
        <v>-4.6398268085996237E-2</v>
      </c>
      <c r="X1284" s="658">
        <v>-0.1124216302443598</v>
      </c>
      <c r="Y1284" s="659">
        <v>-0.58223078845816123</v>
      </c>
      <c r="Z1284" s="658">
        <v>-7.8879264014023898E-2</v>
      </c>
      <c r="AA1284" s="659">
        <v>-0.3561617277760647</v>
      </c>
      <c r="AB1284" s="658">
        <v>0.20382328952160408</v>
      </c>
      <c r="AC1284" s="660">
        <v>-0.66197873580612299</v>
      </c>
      <c r="AD1284" s="682">
        <v>0</v>
      </c>
      <c r="AE1284" s="944" t="s">
        <v>1774</v>
      </c>
      <c r="AF1284" s="661" t="s">
        <v>1729</v>
      </c>
      <c r="AG1284" s="662" t="s">
        <v>1433</v>
      </c>
      <c r="AH1284" s="662" t="s">
        <v>1734</v>
      </c>
      <c r="AI1284" s="662">
        <v>20000</v>
      </c>
      <c r="AJ1284" s="662">
        <v>5000</v>
      </c>
      <c r="AK1284" s="662">
        <v>5000</v>
      </c>
      <c r="AL1284" s="658">
        <v>0.03</v>
      </c>
      <c r="AM1284" s="658">
        <v>0</v>
      </c>
      <c r="AN1284" s="659" t="s">
        <v>2127</v>
      </c>
      <c r="AO1284" s="253" t="s">
        <v>34</v>
      </c>
      <c r="AP1284" s="944" t="s">
        <v>1731</v>
      </c>
      <c r="AQ1284" s="663" t="s">
        <v>659</v>
      </c>
      <c r="AR1284" s="658">
        <v>6.0000000000000001E-3</v>
      </c>
      <c r="AS1284" s="658">
        <v>6.0000000000000001E-3</v>
      </c>
      <c r="AT1284" s="658" t="s">
        <v>1417</v>
      </c>
      <c r="AU1284" s="658" t="s">
        <v>2751</v>
      </c>
      <c r="AX1284"/>
      <c r="AY1284"/>
      <c r="BA1284"/>
      <c r="BB1284"/>
      <c r="BC1284"/>
      <c r="BD1284"/>
      <c r="BE1284"/>
      <c r="BF1284"/>
      <c r="BG1284"/>
      <c r="BH1284"/>
      <c r="BI1284"/>
      <c r="BJ1284"/>
      <c r="BR1284"/>
      <c r="BS1284"/>
      <c r="BT1284"/>
      <c r="BU1284"/>
      <c r="BX1284"/>
      <c r="BY1284"/>
      <c r="CA1284"/>
    </row>
    <row r="1285" spans="2:79" ht="18.75">
      <c r="B1285" s="252" t="s">
        <v>1183</v>
      </c>
      <c r="C1285" s="251">
        <v>8912569000135</v>
      </c>
      <c r="D1285" s="252" t="s">
        <v>14</v>
      </c>
      <c r="E1285" s="252" t="s">
        <v>607</v>
      </c>
      <c r="F1285" s="252" t="s">
        <v>1417</v>
      </c>
      <c r="G1285" s="253" t="s">
        <v>1417</v>
      </c>
      <c r="H1285" s="253" t="s">
        <v>34</v>
      </c>
      <c r="I1285" s="253" t="s">
        <v>34</v>
      </c>
      <c r="J1285" s="253" t="s">
        <v>608</v>
      </c>
      <c r="K1285" s="253" t="s">
        <v>48</v>
      </c>
      <c r="L1285" s="655"/>
      <c r="M1285" s="655" t="s">
        <v>34</v>
      </c>
      <c r="N1285" s="253" t="s">
        <v>3912</v>
      </c>
      <c r="O1285" s="253" t="s">
        <v>1324</v>
      </c>
      <c r="P1285" s="656">
        <v>39260</v>
      </c>
      <c r="Q1285" s="657">
        <v>62.793213000000002</v>
      </c>
      <c r="R1285" s="657">
        <v>85.748267485943686</v>
      </c>
      <c r="S1285" s="253">
        <v>3</v>
      </c>
      <c r="T1285" s="658">
        <v>-3.5802694497442E-2</v>
      </c>
      <c r="U1285" s="659">
        <v>-1.7902797398915082</v>
      </c>
      <c r="V1285" s="658">
        <v>-2.705540522150951E-2</v>
      </c>
      <c r="W1285" s="659">
        <v>-0.20982305668864912</v>
      </c>
      <c r="X1285" s="658">
        <v>-1.9708808349638729E-2</v>
      </c>
      <c r="Y1285" s="659">
        <v>-0.10207177213173933</v>
      </c>
      <c r="Z1285" s="658">
        <v>4.0265634897515445E-2</v>
      </c>
      <c r="AA1285" s="659">
        <v>0.18181049575398694</v>
      </c>
      <c r="AB1285" s="658">
        <v>0.20266067131121696</v>
      </c>
      <c r="AC1285" s="660">
        <v>-0.76975623172952323</v>
      </c>
      <c r="AD1285" s="682">
        <v>32318881000180</v>
      </c>
      <c r="AE1285" s="944" t="s">
        <v>1774</v>
      </c>
      <c r="AF1285" s="661" t="s">
        <v>1729</v>
      </c>
      <c r="AG1285" s="662" t="s">
        <v>1433</v>
      </c>
      <c r="AH1285" s="662" t="s">
        <v>1734</v>
      </c>
      <c r="AI1285" s="662">
        <v>20000</v>
      </c>
      <c r="AJ1285" s="662">
        <v>5000</v>
      </c>
      <c r="AK1285" s="662">
        <v>5000</v>
      </c>
      <c r="AL1285" s="658">
        <v>3.5000000000000003E-2</v>
      </c>
      <c r="AM1285" s="658">
        <v>0</v>
      </c>
      <c r="AN1285" s="659" t="s">
        <v>666</v>
      </c>
      <c r="AO1285" s="253" t="s">
        <v>34</v>
      </c>
      <c r="AP1285" s="944" t="s">
        <v>1731</v>
      </c>
      <c r="AQ1285" s="663" t="s">
        <v>670</v>
      </c>
      <c r="AR1285" s="658">
        <v>6.8900000000000003E-3</v>
      </c>
      <c r="AS1285" s="658">
        <v>6.8900000000000003E-3</v>
      </c>
      <c r="AT1285" s="658" t="s">
        <v>1417</v>
      </c>
      <c r="AU1285" s="658" t="s">
        <v>2751</v>
      </c>
      <c r="AX1285"/>
      <c r="AY1285"/>
      <c r="BA1285"/>
      <c r="BB1285"/>
      <c r="BC1285"/>
      <c r="BD1285"/>
      <c r="BE1285"/>
      <c r="BF1285"/>
      <c r="BG1285"/>
      <c r="BH1285"/>
      <c r="BI1285"/>
      <c r="BJ1285"/>
      <c r="BR1285"/>
      <c r="BS1285"/>
      <c r="BT1285"/>
      <c r="BU1285"/>
      <c r="BX1285"/>
      <c r="BY1285"/>
      <c r="CA1285"/>
    </row>
    <row r="1286" spans="2:79" ht="18.75">
      <c r="B1286" s="252" t="s">
        <v>371</v>
      </c>
      <c r="C1286" s="251">
        <v>40265128000100</v>
      </c>
      <c r="D1286" s="252" t="s">
        <v>14</v>
      </c>
      <c r="E1286" s="252" t="s">
        <v>614</v>
      </c>
      <c r="F1286" s="252" t="s">
        <v>1417</v>
      </c>
      <c r="G1286" s="253" t="s">
        <v>1417</v>
      </c>
      <c r="H1286" s="253" t="s">
        <v>865</v>
      </c>
      <c r="I1286" s="253" t="s">
        <v>34</v>
      </c>
      <c r="J1286" s="253" t="s">
        <v>608</v>
      </c>
      <c r="K1286" s="253" t="s">
        <v>48</v>
      </c>
      <c r="L1286" s="655"/>
      <c r="M1286" s="655" t="s">
        <v>1414</v>
      </c>
      <c r="N1286" s="253" t="s">
        <v>3914</v>
      </c>
      <c r="O1286" s="253" t="s">
        <v>1321</v>
      </c>
      <c r="P1286" s="656">
        <v>44220</v>
      </c>
      <c r="Q1286" s="657">
        <v>118.59177413</v>
      </c>
      <c r="R1286" s="657">
        <v>104.76299652008106</v>
      </c>
      <c r="S1286" s="253">
        <v>92</v>
      </c>
      <c r="T1286" s="658">
        <v>-1.238025279141719E-2</v>
      </c>
      <c r="U1286" s="659">
        <v>-0.61906278447263374</v>
      </c>
      <c r="V1286" s="658">
        <v>4.9658186674213178E-2</v>
      </c>
      <c r="W1286" s="659">
        <v>0.38511463540436364</v>
      </c>
      <c r="X1286" s="658">
        <v>1.8119050784073387E-3</v>
      </c>
      <c r="Y1286" s="659">
        <v>9.3838429501459583E-3</v>
      </c>
      <c r="Z1286" s="658"/>
      <c r="AA1286" s="659"/>
      <c r="AB1286" s="658">
        <v>0.14110672558251916</v>
      </c>
      <c r="AC1286" s="660">
        <v>-0.56188478929878438</v>
      </c>
      <c r="AD1286" s="682">
        <v>39959914000110</v>
      </c>
      <c r="AE1286" s="944" t="s">
        <v>1797</v>
      </c>
      <c r="AF1286" s="661" t="s">
        <v>1745</v>
      </c>
      <c r="AG1286" s="662" t="s">
        <v>1432</v>
      </c>
      <c r="AH1286" s="662" t="s">
        <v>1730</v>
      </c>
      <c r="AI1286" s="662">
        <v>5000</v>
      </c>
      <c r="AJ1286" s="662">
        <v>5000</v>
      </c>
      <c r="AK1286" s="662">
        <v>5000</v>
      </c>
      <c r="AL1286" s="658">
        <v>0</v>
      </c>
      <c r="AM1286" s="658">
        <v>0</v>
      </c>
      <c r="AN1286" s="659" t="s">
        <v>34</v>
      </c>
      <c r="AO1286" s="253" t="s">
        <v>34</v>
      </c>
      <c r="AP1286" s="944" t="s">
        <v>1731</v>
      </c>
      <c r="AQ1286" s="663" t="s">
        <v>659</v>
      </c>
      <c r="AR1286" s="658">
        <v>3.2506499999999999E-3</v>
      </c>
      <c r="AS1286" s="658">
        <v>3.2506499999999999E-3</v>
      </c>
      <c r="AT1286" s="658" t="s">
        <v>1417</v>
      </c>
      <c r="AU1286" s="658" t="s">
        <v>2751</v>
      </c>
      <c r="AX1286"/>
      <c r="AY1286"/>
      <c r="BA1286"/>
      <c r="BB1286"/>
      <c r="BC1286"/>
      <c r="BD1286"/>
      <c r="BE1286"/>
      <c r="BF1286"/>
      <c r="BG1286"/>
      <c r="BH1286"/>
      <c r="BI1286"/>
      <c r="BJ1286"/>
      <c r="BR1286"/>
      <c r="BS1286"/>
      <c r="BT1286"/>
      <c r="BU1286"/>
      <c r="BX1286"/>
      <c r="BY1286"/>
      <c r="CA1286"/>
    </row>
    <row r="1287" spans="2:79" ht="18.75">
      <c r="B1287" s="252" t="s">
        <v>1185</v>
      </c>
      <c r="C1287" s="251">
        <v>20501983000157</v>
      </c>
      <c r="D1287" s="252" t="s">
        <v>13</v>
      </c>
      <c r="E1287" s="252" t="s">
        <v>616</v>
      </c>
      <c r="F1287" s="252" t="s">
        <v>617</v>
      </c>
      <c r="G1287" s="253" t="s">
        <v>34</v>
      </c>
      <c r="H1287" s="253" t="s">
        <v>1337</v>
      </c>
      <c r="I1287" s="253" t="s">
        <v>34</v>
      </c>
      <c r="J1287" s="253" t="s">
        <v>608</v>
      </c>
      <c r="K1287" s="253" t="s">
        <v>48</v>
      </c>
      <c r="L1287" s="655"/>
      <c r="M1287" s="655" t="s">
        <v>34</v>
      </c>
      <c r="N1287" s="253" t="s">
        <v>3916</v>
      </c>
      <c r="O1287" s="253" t="s">
        <v>1324</v>
      </c>
      <c r="P1287" s="656">
        <v>41907</v>
      </c>
      <c r="Q1287" s="657">
        <v>26.974336000000001</v>
      </c>
      <c r="R1287" s="657">
        <v>24.954002375000012</v>
      </c>
      <c r="S1287" s="253">
        <v>16</v>
      </c>
      <c r="T1287" s="658">
        <v>1.6505691057633998E-2</v>
      </c>
      <c r="U1287" s="659">
        <v>0.82535140743392477</v>
      </c>
      <c r="V1287" s="658">
        <v>0.12524828374553421</v>
      </c>
      <c r="W1287" s="659">
        <v>0.97133927676685472</v>
      </c>
      <c r="X1287" s="658">
        <v>0.18504387479991768</v>
      </c>
      <c r="Y1287" s="659">
        <v>0.95834085389021106</v>
      </c>
      <c r="Z1287" s="658">
        <v>0.28848206838561929</v>
      </c>
      <c r="AA1287" s="659">
        <v>1.3025764526703472</v>
      </c>
      <c r="AB1287" s="658">
        <v>1.3481416002559355E-2</v>
      </c>
      <c r="AC1287" s="660">
        <v>-0.27412741365985271</v>
      </c>
      <c r="AD1287" s="682">
        <v>7279819000189</v>
      </c>
      <c r="AE1287" s="944" t="s">
        <v>1797</v>
      </c>
      <c r="AF1287" s="661" t="s">
        <v>1745</v>
      </c>
      <c r="AG1287" s="662" t="s">
        <v>1432</v>
      </c>
      <c r="AH1287" s="662" t="s">
        <v>1730</v>
      </c>
      <c r="AI1287" s="662">
        <v>50000</v>
      </c>
      <c r="AJ1287" s="662">
        <v>5000</v>
      </c>
      <c r="AK1287" s="662">
        <v>5000</v>
      </c>
      <c r="AL1287" s="658">
        <v>0</v>
      </c>
      <c r="AM1287" s="658">
        <v>0</v>
      </c>
      <c r="AN1287" s="659" t="s">
        <v>34</v>
      </c>
      <c r="AO1287" s="253" t="s">
        <v>34</v>
      </c>
      <c r="AP1287" s="944" t="s">
        <v>1746</v>
      </c>
      <c r="AQ1287" s="663" t="s">
        <v>668</v>
      </c>
      <c r="AR1287" s="658">
        <v>4.0000000000000001E-3</v>
      </c>
      <c r="AS1287" s="658">
        <v>4.0000000000000001E-3</v>
      </c>
      <c r="AT1287" s="658" t="s">
        <v>1417</v>
      </c>
      <c r="AU1287" s="658" t="s">
        <v>2751</v>
      </c>
      <c r="AX1287"/>
      <c r="AY1287"/>
      <c r="BA1287"/>
      <c r="BB1287"/>
      <c r="BC1287"/>
      <c r="BD1287"/>
      <c r="BE1287"/>
      <c r="BF1287"/>
      <c r="BG1287"/>
      <c r="BH1287"/>
      <c r="BI1287"/>
      <c r="BJ1287"/>
      <c r="BR1287"/>
      <c r="BS1287"/>
      <c r="BT1287"/>
      <c r="BU1287"/>
      <c r="BX1287"/>
      <c r="BY1287"/>
      <c r="CA1287"/>
    </row>
    <row r="1288" spans="2:79" ht="18.75">
      <c r="B1288" s="252" t="s">
        <v>1186</v>
      </c>
      <c r="C1288" s="251">
        <v>33270025000164</v>
      </c>
      <c r="D1288" s="252" t="s">
        <v>14</v>
      </c>
      <c r="E1288" s="252" t="s">
        <v>607</v>
      </c>
      <c r="F1288" s="252" t="s">
        <v>1417</v>
      </c>
      <c r="G1288" s="253" t="s">
        <v>1417</v>
      </c>
      <c r="H1288" s="253" t="s">
        <v>34</v>
      </c>
      <c r="I1288" s="253" t="s">
        <v>34</v>
      </c>
      <c r="J1288" s="253" t="s">
        <v>611</v>
      </c>
      <c r="K1288" s="253" t="s">
        <v>48</v>
      </c>
      <c r="L1288" s="655"/>
      <c r="M1288" s="655" t="s">
        <v>34</v>
      </c>
      <c r="N1288" s="253" t="s">
        <v>3918</v>
      </c>
      <c r="O1288" s="253" t="s">
        <v>1321</v>
      </c>
      <c r="P1288" s="656">
        <v>43554</v>
      </c>
      <c r="Q1288" s="657">
        <v>10.51080142</v>
      </c>
      <c r="R1288" s="657">
        <v>13.951932979836068</v>
      </c>
      <c r="S1288" s="253">
        <v>12</v>
      </c>
      <c r="T1288" s="658">
        <v>-5.7128337494562587E-2</v>
      </c>
      <c r="U1288" s="659">
        <v>-2.8566482670042364</v>
      </c>
      <c r="V1288" s="658">
        <v>-0.16449115622080601</v>
      </c>
      <c r="W1288" s="659">
        <v>-1.2756799210333161</v>
      </c>
      <c r="X1288" s="658">
        <v>-0.25400248915919899</v>
      </c>
      <c r="Y1288" s="659">
        <v>-1.3154770057332053</v>
      </c>
      <c r="Z1288" s="658">
        <v>-0.23584595928021912</v>
      </c>
      <c r="AA1288" s="659">
        <v>-1.0649098390587424</v>
      </c>
      <c r="AB1288" s="658">
        <v>0.20763254364209749</v>
      </c>
      <c r="AC1288" s="660">
        <v>-1.4132421658013172</v>
      </c>
      <c r="AD1288" s="682">
        <v>0</v>
      </c>
      <c r="AE1288" s="944" t="s">
        <v>1989</v>
      </c>
      <c r="AF1288" s="661" t="s">
        <v>1861</v>
      </c>
      <c r="AG1288" s="662" t="s">
        <v>741</v>
      </c>
      <c r="AH1288" s="662" t="s">
        <v>1734</v>
      </c>
      <c r="AI1288" s="662">
        <v>1000</v>
      </c>
      <c r="AJ1288" s="662">
        <v>1000</v>
      </c>
      <c r="AK1288" s="662">
        <v>1000</v>
      </c>
      <c r="AL1288" s="658">
        <v>0.02</v>
      </c>
      <c r="AM1288" s="658">
        <v>0.2</v>
      </c>
      <c r="AN1288" s="659" t="s">
        <v>34</v>
      </c>
      <c r="AO1288" s="253" t="s">
        <v>34</v>
      </c>
      <c r="AP1288" s="944" t="s">
        <v>1731</v>
      </c>
      <c r="AQ1288" s="663" t="s">
        <v>659</v>
      </c>
      <c r="AR1288" s="658">
        <v>5.3333333333333297E-3</v>
      </c>
      <c r="AS1288" s="658">
        <v>5.3333333333333297E-3</v>
      </c>
      <c r="AT1288" s="658" t="s">
        <v>1417</v>
      </c>
      <c r="AU1288" s="658" t="s">
        <v>2751</v>
      </c>
      <c r="AX1288"/>
      <c r="AY1288"/>
      <c r="BA1288"/>
      <c r="BB1288"/>
      <c r="BC1288"/>
      <c r="BD1288"/>
      <c r="BE1288"/>
      <c r="BF1288"/>
      <c r="BG1288"/>
      <c r="BH1288"/>
      <c r="BI1288"/>
      <c r="BJ1288"/>
      <c r="BR1288"/>
      <c r="BS1288"/>
      <c r="BT1288"/>
      <c r="BU1288"/>
      <c r="BX1288"/>
      <c r="BY1288"/>
      <c r="CA1288"/>
    </row>
    <row r="1289" spans="2:79" ht="18.75">
      <c r="B1289" s="252" t="s">
        <v>1305</v>
      </c>
      <c r="C1289" s="251">
        <v>40962665000109</v>
      </c>
      <c r="D1289" s="252" t="s">
        <v>14</v>
      </c>
      <c r="E1289" s="252" t="s">
        <v>607</v>
      </c>
      <c r="F1289" s="252" t="s">
        <v>1417</v>
      </c>
      <c r="G1289" s="253" t="s">
        <v>1417</v>
      </c>
      <c r="H1289" s="253" t="s">
        <v>34</v>
      </c>
      <c r="I1289" s="253" t="s">
        <v>34</v>
      </c>
      <c r="J1289" s="253" t="s">
        <v>608</v>
      </c>
      <c r="K1289" s="253" t="s">
        <v>48</v>
      </c>
      <c r="L1289" s="655"/>
      <c r="M1289" s="655" t="s">
        <v>1414</v>
      </c>
      <c r="N1289" s="253" t="s">
        <v>3919</v>
      </c>
      <c r="O1289" s="253" t="s">
        <v>1321</v>
      </c>
      <c r="P1289" s="656">
        <v>44551</v>
      </c>
      <c r="Q1289" s="657"/>
      <c r="R1289" s="657"/>
      <c r="S1289" s="253">
        <v>31</v>
      </c>
      <c r="T1289" s="658"/>
      <c r="U1289" s="659"/>
      <c r="V1289" s="658"/>
      <c r="W1289" s="659"/>
      <c r="X1289" s="658"/>
      <c r="Y1289" s="659"/>
      <c r="Z1289" s="658"/>
      <c r="AA1289" s="659"/>
      <c r="AB1289" s="658"/>
      <c r="AC1289" s="660"/>
      <c r="AD1289" s="682">
        <v>12123799000192</v>
      </c>
      <c r="AE1289" s="944" t="s">
        <v>2626</v>
      </c>
      <c r="AF1289" s="661" t="s">
        <v>2627</v>
      </c>
      <c r="AG1289" s="662" t="s">
        <v>1429</v>
      </c>
      <c r="AH1289" s="662" t="s">
        <v>1734</v>
      </c>
      <c r="AI1289" s="662">
        <v>0</v>
      </c>
      <c r="AJ1289" s="662">
        <v>0</v>
      </c>
      <c r="AK1289" s="662">
        <v>0</v>
      </c>
      <c r="AL1289" s="658">
        <v>2.5000000000000001E-3</v>
      </c>
      <c r="AM1289" s="658">
        <v>0</v>
      </c>
      <c r="AN1289" s="659" t="s">
        <v>666</v>
      </c>
      <c r="AO1289" s="253" t="s">
        <v>34</v>
      </c>
      <c r="AP1289" s="944" t="s">
        <v>1731</v>
      </c>
      <c r="AQ1289" s="663" t="s">
        <v>659</v>
      </c>
      <c r="AR1289" s="658">
        <v>2.66666666666667E-4</v>
      </c>
      <c r="AS1289" s="658">
        <v>2.66666666666667E-4</v>
      </c>
      <c r="AT1289" s="658" t="s">
        <v>1417</v>
      </c>
      <c r="AU1289" s="658" t="s">
        <v>2751</v>
      </c>
      <c r="AX1289"/>
      <c r="AY1289"/>
      <c r="BA1289"/>
      <c r="BB1289"/>
      <c r="BC1289"/>
      <c r="BD1289"/>
      <c r="BE1289"/>
      <c r="BF1289"/>
      <c r="BG1289"/>
      <c r="BH1289"/>
      <c r="BI1289"/>
      <c r="BJ1289"/>
      <c r="BR1289"/>
      <c r="BS1289"/>
      <c r="BT1289"/>
      <c r="BU1289"/>
      <c r="BX1289"/>
      <c r="BY1289"/>
      <c r="CA1289"/>
    </row>
    <row r="1290" spans="2:79" ht="18.75">
      <c r="B1290" s="252" t="s">
        <v>373</v>
      </c>
      <c r="C1290" s="251">
        <v>5969595000101</v>
      </c>
      <c r="D1290" s="252" t="s">
        <v>14</v>
      </c>
      <c r="E1290" s="252" t="s">
        <v>607</v>
      </c>
      <c r="F1290" s="252" t="s">
        <v>1417</v>
      </c>
      <c r="G1290" s="253" t="s">
        <v>1417</v>
      </c>
      <c r="H1290" s="253" t="s">
        <v>34</v>
      </c>
      <c r="I1290" s="253" t="s">
        <v>34</v>
      </c>
      <c r="J1290" s="253" t="s">
        <v>608</v>
      </c>
      <c r="K1290" s="253" t="s">
        <v>48</v>
      </c>
      <c r="L1290" s="655"/>
      <c r="M1290" s="655" t="s">
        <v>1414</v>
      </c>
      <c r="N1290" s="253" t="s">
        <v>3920</v>
      </c>
      <c r="O1290" s="253" t="s">
        <v>1321</v>
      </c>
      <c r="P1290" s="656">
        <v>41224</v>
      </c>
      <c r="Q1290" s="657">
        <v>30.416432</v>
      </c>
      <c r="R1290" s="657">
        <v>34.52678063453817</v>
      </c>
      <c r="S1290" s="253">
        <v>3</v>
      </c>
      <c r="T1290" s="658">
        <v>-2.0246188923811248E-2</v>
      </c>
      <c r="U1290" s="659">
        <v>-1.0123914512329466</v>
      </c>
      <c r="V1290" s="658">
        <v>1.5367468131139539E-2</v>
      </c>
      <c r="W1290" s="659">
        <v>0.11917948041959497</v>
      </c>
      <c r="X1290" s="658">
        <v>-0.10424494475784629</v>
      </c>
      <c r="Y1290" s="659">
        <v>-0.53988379502425299</v>
      </c>
      <c r="Z1290" s="658">
        <v>4.8925789145281451E-2</v>
      </c>
      <c r="AA1290" s="659">
        <v>0.22091349117675343</v>
      </c>
      <c r="AB1290" s="658">
        <v>0.17694261731434754</v>
      </c>
      <c r="AC1290" s="660">
        <v>-0.64188290554035665</v>
      </c>
      <c r="AD1290" s="682">
        <v>0</v>
      </c>
      <c r="AE1290" s="944" t="s">
        <v>1868</v>
      </c>
      <c r="AF1290" s="661" t="s">
        <v>1745</v>
      </c>
      <c r="AG1290" s="662" t="s">
        <v>1432</v>
      </c>
      <c r="AH1290" s="662" t="s">
        <v>1734</v>
      </c>
      <c r="AI1290" s="662">
        <v>1000</v>
      </c>
      <c r="AJ1290" s="662">
        <v>100</v>
      </c>
      <c r="AK1290" s="662">
        <v>1000</v>
      </c>
      <c r="AL1290" s="658">
        <v>0.02</v>
      </c>
      <c r="AM1290" s="658">
        <v>0.2</v>
      </c>
      <c r="AN1290" s="659" t="s">
        <v>34</v>
      </c>
      <c r="AO1290" s="253" t="s">
        <v>34</v>
      </c>
      <c r="AP1290" s="944" t="s">
        <v>1731</v>
      </c>
      <c r="AQ1290" s="663" t="s">
        <v>665</v>
      </c>
      <c r="AR1290" s="658">
        <v>2.66666666666667E-3</v>
      </c>
      <c r="AS1290" s="658">
        <v>2.66666666666667E-3</v>
      </c>
      <c r="AT1290" s="658" t="s">
        <v>1417</v>
      </c>
      <c r="AU1290" s="658" t="s">
        <v>2751</v>
      </c>
      <c r="AX1290"/>
      <c r="AY1290"/>
      <c r="BA1290"/>
      <c r="BB1290"/>
      <c r="BC1290"/>
      <c r="BD1290"/>
      <c r="BE1290"/>
      <c r="BF1290"/>
      <c r="BG1290"/>
      <c r="BH1290"/>
      <c r="BI1290"/>
      <c r="BJ1290"/>
      <c r="BR1290"/>
      <c r="BS1290"/>
      <c r="BT1290"/>
      <c r="BU1290"/>
      <c r="BX1290"/>
      <c r="BY1290"/>
      <c r="CA1290"/>
    </row>
    <row r="1291" spans="2:79" ht="18.75">
      <c r="B1291" s="252" t="s">
        <v>1187</v>
      </c>
      <c r="C1291" s="251">
        <v>35726822000139</v>
      </c>
      <c r="D1291" s="252" t="s">
        <v>14</v>
      </c>
      <c r="E1291" s="252" t="s">
        <v>607</v>
      </c>
      <c r="F1291" s="252" t="s">
        <v>1417</v>
      </c>
      <c r="G1291" s="253" t="s">
        <v>1417</v>
      </c>
      <c r="H1291" s="253" t="s">
        <v>34</v>
      </c>
      <c r="I1291" s="253" t="s">
        <v>34</v>
      </c>
      <c r="J1291" s="253" t="s">
        <v>608</v>
      </c>
      <c r="K1291" s="253" t="s">
        <v>48</v>
      </c>
      <c r="L1291" s="655"/>
      <c r="M1291" s="655" t="s">
        <v>1414</v>
      </c>
      <c r="N1291" s="253" t="s">
        <v>3921</v>
      </c>
      <c r="O1291" s="253" t="s">
        <v>1321</v>
      </c>
      <c r="P1291" s="656">
        <v>43845</v>
      </c>
      <c r="Q1291" s="657">
        <v>7.7444770600000004</v>
      </c>
      <c r="R1291" s="657">
        <v>9.1617157158467695</v>
      </c>
      <c r="S1291" s="253">
        <v>2</v>
      </c>
      <c r="T1291" s="658">
        <v>-4.023531253038648E-2</v>
      </c>
      <c r="U1291" s="659">
        <v>-2.0119285953882708</v>
      </c>
      <c r="V1291" s="658">
        <v>-2.8550316556281596E-2</v>
      </c>
      <c r="W1291" s="659">
        <v>-0.2214165576239453</v>
      </c>
      <c r="X1291" s="658">
        <v>-3.2602892114919069E-3</v>
      </c>
      <c r="Y1291" s="659">
        <v>-1.688501362311284E-2</v>
      </c>
      <c r="Z1291" s="658">
        <v>4.5356234806072315E-2</v>
      </c>
      <c r="AA1291" s="659">
        <v>0.20479596451452134</v>
      </c>
      <c r="AB1291" s="658">
        <v>0.20582352536308693</v>
      </c>
      <c r="AC1291" s="660">
        <v>-0.76519059580404736</v>
      </c>
      <c r="AD1291" s="682">
        <v>0</v>
      </c>
      <c r="AE1291" s="944" t="s">
        <v>1868</v>
      </c>
      <c r="AF1291" s="661" t="s">
        <v>1745</v>
      </c>
      <c r="AG1291" s="662" t="s">
        <v>1432</v>
      </c>
      <c r="AH1291" s="662" t="s">
        <v>1734</v>
      </c>
      <c r="AI1291" s="662">
        <v>500</v>
      </c>
      <c r="AJ1291" s="662">
        <v>100</v>
      </c>
      <c r="AK1291" s="662">
        <v>100</v>
      </c>
      <c r="AL1291" s="658">
        <v>1.4999999999999999E-2</v>
      </c>
      <c r="AM1291" s="658">
        <v>0.2</v>
      </c>
      <c r="AN1291" s="659" t="s">
        <v>2127</v>
      </c>
      <c r="AO1291" s="253" t="s">
        <v>34</v>
      </c>
      <c r="AP1291" s="944" t="s">
        <v>1731</v>
      </c>
      <c r="AQ1291" s="663" t="s">
        <v>659</v>
      </c>
      <c r="AR1291" s="658">
        <v>1E-3</v>
      </c>
      <c r="AS1291" s="658">
        <v>1E-3</v>
      </c>
      <c r="AT1291" s="658" t="s">
        <v>1417</v>
      </c>
      <c r="AU1291" s="658" t="s">
        <v>2751</v>
      </c>
      <c r="AX1291"/>
      <c r="AY1291"/>
      <c r="BA1291"/>
      <c r="BB1291"/>
      <c r="BC1291"/>
      <c r="BD1291"/>
      <c r="BE1291"/>
      <c r="BF1291"/>
      <c r="BG1291"/>
      <c r="BH1291"/>
      <c r="BI1291"/>
      <c r="BJ1291"/>
      <c r="BR1291"/>
      <c r="BS1291"/>
      <c r="BT1291"/>
      <c r="BU1291"/>
      <c r="BX1291"/>
      <c r="BY1291"/>
      <c r="CA1291"/>
    </row>
    <row r="1292" spans="2:79" ht="18.75">
      <c r="B1292" s="252" t="s">
        <v>374</v>
      </c>
      <c r="C1292" s="251">
        <v>28579477000192</v>
      </c>
      <c r="D1292" s="252" t="s">
        <v>11</v>
      </c>
      <c r="E1292" s="252" t="s">
        <v>620</v>
      </c>
      <c r="F1292" s="252" t="s">
        <v>663</v>
      </c>
      <c r="G1292" s="253" t="s">
        <v>738</v>
      </c>
      <c r="H1292" s="253" t="s">
        <v>34</v>
      </c>
      <c r="I1292" s="253" t="s">
        <v>1417</v>
      </c>
      <c r="J1292" s="253" t="s">
        <v>608</v>
      </c>
      <c r="K1292" s="253" t="s">
        <v>48</v>
      </c>
      <c r="L1292" s="655"/>
      <c r="M1292" s="655" t="s">
        <v>1414</v>
      </c>
      <c r="N1292" s="253" t="s">
        <v>3922</v>
      </c>
      <c r="O1292" s="253" t="s">
        <v>1321</v>
      </c>
      <c r="P1292" s="656">
        <v>43066</v>
      </c>
      <c r="Q1292" s="657">
        <v>0</v>
      </c>
      <c r="R1292" s="657">
        <v>0</v>
      </c>
      <c r="S1292" s="253">
        <v>3</v>
      </c>
      <c r="T1292" s="658"/>
      <c r="U1292" s="659"/>
      <c r="V1292" s="658"/>
      <c r="W1292" s="659"/>
      <c r="X1292" s="658"/>
      <c r="Y1292" s="659"/>
      <c r="Z1292" s="658"/>
      <c r="AA1292" s="659"/>
      <c r="AB1292" s="658"/>
      <c r="AC1292" s="660"/>
      <c r="AD1292" s="682">
        <v>0</v>
      </c>
      <c r="AE1292" s="944" t="s">
        <v>2054</v>
      </c>
      <c r="AF1292" s="661" t="s">
        <v>1745</v>
      </c>
      <c r="AG1292" s="662" t="s">
        <v>1432</v>
      </c>
      <c r="AH1292" s="662" t="s">
        <v>1734</v>
      </c>
      <c r="AI1292" s="662">
        <v>0</v>
      </c>
      <c r="AJ1292" s="662">
        <v>0</v>
      </c>
      <c r="AK1292" s="662">
        <v>0</v>
      </c>
      <c r="AL1292" s="658">
        <v>8.0000000000000002E-3</v>
      </c>
      <c r="AM1292" s="658">
        <v>0</v>
      </c>
      <c r="AN1292" s="659" t="s">
        <v>34</v>
      </c>
      <c r="AO1292" s="253" t="s">
        <v>34</v>
      </c>
      <c r="AP1292" s="944" t="s">
        <v>1746</v>
      </c>
      <c r="AQ1292" s="663" t="s">
        <v>668</v>
      </c>
      <c r="AR1292" s="658">
        <v>1.6000000000000001E-3</v>
      </c>
      <c r="AS1292" s="658">
        <v>1.6000000000000001E-3</v>
      </c>
      <c r="AT1292" s="658" t="s">
        <v>1417</v>
      </c>
      <c r="AU1292" s="658" t="s">
        <v>2751</v>
      </c>
      <c r="AX1292"/>
      <c r="AY1292"/>
      <c r="BA1292"/>
      <c r="BB1292"/>
      <c r="BC1292"/>
      <c r="BD1292"/>
      <c r="BE1292"/>
      <c r="BF1292"/>
      <c r="BG1292"/>
      <c r="BH1292"/>
      <c r="BI1292"/>
      <c r="BJ1292"/>
      <c r="BR1292"/>
      <c r="BS1292"/>
      <c r="BT1292"/>
      <c r="BU1292"/>
      <c r="BX1292"/>
      <c r="BY1292"/>
      <c r="CA1292"/>
    </row>
    <row r="1293" spans="2:79" ht="18.75">
      <c r="B1293" s="252" t="s">
        <v>592</v>
      </c>
      <c r="C1293" s="251">
        <v>38029012000111</v>
      </c>
      <c r="D1293" s="252" t="s">
        <v>14</v>
      </c>
      <c r="E1293" s="252" t="s">
        <v>607</v>
      </c>
      <c r="F1293" s="252" t="s">
        <v>1417</v>
      </c>
      <c r="G1293" s="253" t="s">
        <v>1417</v>
      </c>
      <c r="H1293" s="253" t="s">
        <v>34</v>
      </c>
      <c r="I1293" s="253" t="s">
        <v>34</v>
      </c>
      <c r="J1293" s="253" t="s">
        <v>608</v>
      </c>
      <c r="K1293" s="253" t="s">
        <v>48</v>
      </c>
      <c r="L1293" s="655"/>
      <c r="M1293" s="655" t="s">
        <v>1414</v>
      </c>
      <c r="N1293" s="253" t="s">
        <v>3923</v>
      </c>
      <c r="O1293" s="253" t="s">
        <v>1321</v>
      </c>
      <c r="P1293" s="656">
        <v>44071</v>
      </c>
      <c r="Q1293" s="657">
        <v>30.092315970000001</v>
      </c>
      <c r="R1293" s="657">
        <v>43.091649894552852</v>
      </c>
      <c r="S1293" s="253">
        <v>32</v>
      </c>
      <c r="T1293" s="658">
        <v>-2.5677869461453895E-2</v>
      </c>
      <c r="U1293" s="659">
        <v>-1.2839974785614041</v>
      </c>
      <c r="V1293" s="658">
        <v>-0.1901712953663055</v>
      </c>
      <c r="W1293" s="659">
        <v>-1.4748373628673328</v>
      </c>
      <c r="X1293" s="658">
        <v>-0.13602934937188438</v>
      </c>
      <c r="Y1293" s="659">
        <v>-0.70449499056447296</v>
      </c>
      <c r="Z1293" s="658"/>
      <c r="AA1293" s="659"/>
      <c r="AB1293" s="658">
        <v>0.3018908858323785</v>
      </c>
      <c r="AC1293" s="660">
        <v>-1.0570547829995736</v>
      </c>
      <c r="AD1293" s="682">
        <v>38028983000147</v>
      </c>
      <c r="AE1293" s="944" t="s">
        <v>1886</v>
      </c>
      <c r="AF1293" s="661" t="s">
        <v>1769</v>
      </c>
      <c r="AG1293" s="662" t="s">
        <v>1432</v>
      </c>
      <c r="AH1293" s="662" t="s">
        <v>1734</v>
      </c>
      <c r="AI1293" s="662">
        <v>10000</v>
      </c>
      <c r="AJ1293" s="662">
        <v>5000</v>
      </c>
      <c r="AK1293" s="662">
        <v>10000</v>
      </c>
      <c r="AL1293" s="658">
        <v>2.3E-2</v>
      </c>
      <c r="AM1293" s="658">
        <v>0.2</v>
      </c>
      <c r="AN1293" s="659" t="s">
        <v>2127</v>
      </c>
      <c r="AO1293" s="253" t="s">
        <v>34</v>
      </c>
      <c r="AP1293" s="944" t="s">
        <v>1731</v>
      </c>
      <c r="AQ1293" s="663" t="s">
        <v>659</v>
      </c>
      <c r="AR1293" s="658">
        <v>3.7000000000000002E-3</v>
      </c>
      <c r="AS1293" s="658">
        <v>3.7000000000000002E-3</v>
      </c>
      <c r="AT1293" s="658" t="s">
        <v>1417</v>
      </c>
      <c r="AU1293" s="658" t="s">
        <v>2751</v>
      </c>
      <c r="AX1293"/>
      <c r="AY1293"/>
      <c r="BA1293"/>
      <c r="BB1293"/>
      <c r="BC1293"/>
      <c r="BD1293"/>
      <c r="BE1293"/>
      <c r="BF1293"/>
      <c r="BG1293"/>
      <c r="BH1293"/>
      <c r="BI1293"/>
      <c r="BJ1293"/>
      <c r="BR1293"/>
      <c r="BS1293"/>
      <c r="BT1293"/>
      <c r="BU1293"/>
      <c r="BX1293"/>
      <c r="BY1293"/>
      <c r="CA1293"/>
    </row>
    <row r="1294" spans="2:79" ht="18.75">
      <c r="B1294" s="252" t="s">
        <v>1188</v>
      </c>
      <c r="C1294" s="251">
        <v>30934725000118</v>
      </c>
      <c r="D1294" s="252" t="s">
        <v>13</v>
      </c>
      <c r="E1294" s="252" t="s">
        <v>616</v>
      </c>
      <c r="F1294" s="252" t="s">
        <v>617</v>
      </c>
      <c r="G1294" s="253" t="s">
        <v>34</v>
      </c>
      <c r="H1294" s="253" t="s">
        <v>1338</v>
      </c>
      <c r="I1294" s="253" t="s">
        <v>34</v>
      </c>
      <c r="J1294" s="253" t="s">
        <v>608</v>
      </c>
      <c r="K1294" s="253" t="s">
        <v>48</v>
      </c>
      <c r="L1294" s="655"/>
      <c r="M1294" s="655" t="s">
        <v>34</v>
      </c>
      <c r="N1294" s="253" t="s">
        <v>3924</v>
      </c>
      <c r="O1294" s="253" t="s">
        <v>1321</v>
      </c>
      <c r="P1294" s="656">
        <v>43365</v>
      </c>
      <c r="Q1294" s="657">
        <v>9.1960418700000002</v>
      </c>
      <c r="R1294" s="657">
        <v>11.969669103734944</v>
      </c>
      <c r="S1294" s="253">
        <v>77</v>
      </c>
      <c r="T1294" s="658">
        <v>-1.2234915646420874E-2</v>
      </c>
      <c r="U1294" s="659">
        <v>-0.61179533855011614</v>
      </c>
      <c r="V1294" s="658">
        <v>0.13006669592640008</v>
      </c>
      <c r="W1294" s="659">
        <v>1.0087075572970359</v>
      </c>
      <c r="X1294" s="658">
        <v>0.18326032463944797</v>
      </c>
      <c r="Y1294" s="659">
        <v>0.94910386084956744</v>
      </c>
      <c r="Z1294" s="658">
        <v>0.27624527889797745</v>
      </c>
      <c r="AA1294" s="659">
        <v>1.2473239583573215</v>
      </c>
      <c r="AB1294" s="658">
        <v>9.0652393354330729E-2</v>
      </c>
      <c r="AC1294" s="660">
        <v>1.2385624229722416E-2</v>
      </c>
      <c r="AD1294" s="682">
        <v>0</v>
      </c>
      <c r="AE1294" s="944" t="s">
        <v>1797</v>
      </c>
      <c r="AF1294" s="661" t="s">
        <v>1745</v>
      </c>
      <c r="AG1294" s="662" t="s">
        <v>1432</v>
      </c>
      <c r="AH1294" s="662" t="s">
        <v>1730</v>
      </c>
      <c r="AI1294" s="662">
        <v>5000</v>
      </c>
      <c r="AJ1294" s="662">
        <v>5000</v>
      </c>
      <c r="AK1294" s="662">
        <v>5000</v>
      </c>
      <c r="AL1294" s="658">
        <v>6.5000000000000006E-3</v>
      </c>
      <c r="AM1294" s="658">
        <v>0</v>
      </c>
      <c r="AN1294" s="659" t="s">
        <v>34</v>
      </c>
      <c r="AO1294" s="253" t="s">
        <v>34</v>
      </c>
      <c r="AP1294" s="944" t="s">
        <v>1746</v>
      </c>
      <c r="AQ1294" s="663" t="s">
        <v>668</v>
      </c>
      <c r="AR1294" s="658">
        <v>4.3333333333333297E-3</v>
      </c>
      <c r="AS1294" s="658">
        <v>4.3333333333333297E-3</v>
      </c>
      <c r="AT1294" s="658" t="s">
        <v>1417</v>
      </c>
      <c r="AU1294" s="658" t="s">
        <v>2751</v>
      </c>
      <c r="AX1294"/>
      <c r="AY1294"/>
      <c r="BA1294"/>
      <c r="BB1294"/>
      <c r="BC1294"/>
      <c r="BD1294"/>
      <c r="BE1294"/>
      <c r="BF1294"/>
      <c r="BG1294"/>
      <c r="BH1294"/>
      <c r="BI1294"/>
      <c r="BJ1294"/>
      <c r="BR1294"/>
      <c r="BS1294"/>
      <c r="BT1294"/>
      <c r="BU1294"/>
      <c r="BX1294"/>
      <c r="BY1294"/>
      <c r="CA1294"/>
    </row>
    <row r="1295" spans="2:79" ht="18.75">
      <c r="B1295" s="252" t="s">
        <v>4542</v>
      </c>
      <c r="C1295" s="251">
        <v>44803556000191</v>
      </c>
      <c r="D1295" s="252" t="s">
        <v>11</v>
      </c>
      <c r="E1295" s="252" t="s">
        <v>620</v>
      </c>
      <c r="F1295" s="252" t="s">
        <v>663</v>
      </c>
      <c r="G1295" s="253" t="s">
        <v>1417</v>
      </c>
      <c r="H1295" s="253" t="s">
        <v>34</v>
      </c>
      <c r="I1295" s="253" t="s">
        <v>1417</v>
      </c>
      <c r="J1295" s="253" t="s">
        <v>608</v>
      </c>
      <c r="K1295" s="253" t="s">
        <v>48</v>
      </c>
      <c r="L1295" s="655"/>
      <c r="M1295" s="655" t="s">
        <v>34</v>
      </c>
      <c r="N1295" s="253" t="s">
        <v>4543</v>
      </c>
      <c r="O1295" s="253" t="s">
        <v>1321</v>
      </c>
      <c r="P1295" s="656">
        <v>44915</v>
      </c>
      <c r="Q1295" s="657"/>
      <c r="R1295" s="657"/>
      <c r="S1295" s="253">
        <v>22</v>
      </c>
      <c r="T1295" s="658"/>
      <c r="U1295" s="659"/>
      <c r="V1295" s="658"/>
      <c r="W1295" s="659"/>
      <c r="X1295" s="658"/>
      <c r="Y1295" s="659"/>
      <c r="Z1295" s="658"/>
      <c r="AA1295" s="659"/>
      <c r="AB1295" s="658"/>
      <c r="AC1295" s="660"/>
      <c r="AD1295" s="682">
        <v>42246480000115</v>
      </c>
      <c r="AE1295" s="944" t="s">
        <v>1855</v>
      </c>
      <c r="AF1295" s="661" t="s">
        <v>1745</v>
      </c>
      <c r="AG1295" s="662" t="s">
        <v>1432</v>
      </c>
      <c r="AH1295" s="662" t="s">
        <v>2119</v>
      </c>
      <c r="AI1295" s="662">
        <v>1</v>
      </c>
      <c r="AJ1295" s="662">
        <v>0</v>
      </c>
      <c r="AK1295" s="662">
        <v>1000</v>
      </c>
      <c r="AL1295" s="658">
        <v>4.4999999999999997E-3</v>
      </c>
      <c r="AM1295" s="658">
        <v>0</v>
      </c>
      <c r="AN1295" s="659" t="s">
        <v>2127</v>
      </c>
      <c r="AO1295" s="253" t="s">
        <v>4400</v>
      </c>
      <c r="AP1295" s="944" t="s">
        <v>1735</v>
      </c>
      <c r="AQ1295" s="663" t="s">
        <v>2190</v>
      </c>
      <c r="AR1295" s="658">
        <v>0</v>
      </c>
      <c r="AS1295" s="658">
        <v>0</v>
      </c>
      <c r="AT1295" s="658" t="s">
        <v>1417</v>
      </c>
      <c r="AU1295" s="658" t="s">
        <v>2751</v>
      </c>
      <c r="AX1295"/>
      <c r="AY1295"/>
      <c r="BA1295"/>
      <c r="BB1295"/>
      <c r="BC1295"/>
      <c r="BD1295"/>
      <c r="BE1295"/>
      <c r="BF1295"/>
      <c r="BG1295"/>
      <c r="BH1295"/>
      <c r="BI1295"/>
      <c r="BJ1295"/>
      <c r="BR1295"/>
      <c r="BS1295"/>
      <c r="BT1295"/>
      <c r="BU1295"/>
      <c r="BX1295"/>
      <c r="BY1295"/>
      <c r="CA1295"/>
    </row>
    <row r="1296" spans="2:79" ht="18.75">
      <c r="B1296" s="252" t="s">
        <v>376</v>
      </c>
      <c r="C1296" s="251">
        <v>11734024000190</v>
      </c>
      <c r="D1296" s="252" t="s">
        <v>14</v>
      </c>
      <c r="E1296" s="252" t="s">
        <v>607</v>
      </c>
      <c r="F1296" s="252" t="s">
        <v>1417</v>
      </c>
      <c r="G1296" s="253" t="s">
        <v>1417</v>
      </c>
      <c r="H1296" s="253" t="s">
        <v>34</v>
      </c>
      <c r="I1296" s="253" t="s">
        <v>34</v>
      </c>
      <c r="J1296" s="253" t="s">
        <v>608</v>
      </c>
      <c r="K1296" s="253" t="s">
        <v>48</v>
      </c>
      <c r="L1296" s="655"/>
      <c r="M1296" s="655" t="s">
        <v>34</v>
      </c>
      <c r="N1296" s="253" t="s">
        <v>3927</v>
      </c>
      <c r="O1296" s="253" t="s">
        <v>1321</v>
      </c>
      <c r="P1296" s="656">
        <v>40365</v>
      </c>
      <c r="Q1296" s="657">
        <v>0</v>
      </c>
      <c r="R1296" s="657">
        <v>0</v>
      </c>
      <c r="S1296" s="253">
        <v>5</v>
      </c>
      <c r="T1296" s="658"/>
      <c r="U1296" s="659"/>
      <c r="V1296" s="658"/>
      <c r="W1296" s="659"/>
      <c r="X1296" s="658"/>
      <c r="Y1296" s="659"/>
      <c r="Z1296" s="658"/>
      <c r="AA1296" s="659"/>
      <c r="AB1296" s="658"/>
      <c r="AC1296" s="660"/>
      <c r="AD1296" s="682">
        <v>13003672000100</v>
      </c>
      <c r="AE1296" s="944" t="s">
        <v>1855</v>
      </c>
      <c r="AF1296" s="661" t="s">
        <v>1745</v>
      </c>
      <c r="AG1296" s="662" t="s">
        <v>1432</v>
      </c>
      <c r="AH1296" s="662" t="s">
        <v>1734</v>
      </c>
      <c r="AI1296" s="662">
        <v>10000</v>
      </c>
      <c r="AJ1296" s="662">
        <v>1000</v>
      </c>
      <c r="AK1296" s="662">
        <v>1000</v>
      </c>
      <c r="AL1296" s="658">
        <v>2.2000000000000002E-2</v>
      </c>
      <c r="AM1296" s="658">
        <v>0.2</v>
      </c>
      <c r="AN1296" s="659" t="s">
        <v>34</v>
      </c>
      <c r="AO1296" s="253" t="s">
        <v>34</v>
      </c>
      <c r="AP1296" s="944" t="s">
        <v>1731</v>
      </c>
      <c r="AQ1296" s="663" t="s">
        <v>659</v>
      </c>
      <c r="AR1296" s="658">
        <v>5.8666666666666702E-3</v>
      </c>
      <c r="AS1296" s="658">
        <v>5.8666666666666702E-3</v>
      </c>
      <c r="AT1296" s="658" t="s">
        <v>1417</v>
      </c>
      <c r="AU1296" s="658" t="s">
        <v>2751</v>
      </c>
      <c r="AX1296"/>
      <c r="AY1296"/>
      <c r="BA1296"/>
      <c r="BB1296"/>
      <c r="BC1296"/>
      <c r="BD1296"/>
      <c r="BE1296"/>
      <c r="BF1296"/>
      <c r="BG1296"/>
      <c r="BH1296"/>
      <c r="BI1296"/>
      <c r="BJ1296"/>
      <c r="BR1296"/>
      <c r="BS1296"/>
      <c r="BT1296"/>
      <c r="BU1296"/>
      <c r="BX1296"/>
      <c r="BY1296"/>
      <c r="CA1296"/>
    </row>
    <row r="1297" spans="2:79" ht="18.75">
      <c r="B1297" s="252" t="s">
        <v>1189</v>
      </c>
      <c r="C1297" s="251">
        <v>13054728000148</v>
      </c>
      <c r="D1297" s="252" t="s">
        <v>11</v>
      </c>
      <c r="E1297" s="252" t="s">
        <v>620</v>
      </c>
      <c r="F1297" s="252" t="s">
        <v>685</v>
      </c>
      <c r="G1297" s="253" t="s">
        <v>738</v>
      </c>
      <c r="H1297" s="253" t="s">
        <v>34</v>
      </c>
      <c r="I1297" s="253" t="s">
        <v>1319</v>
      </c>
      <c r="J1297" s="253" t="s">
        <v>608</v>
      </c>
      <c r="K1297" s="253" t="s">
        <v>48</v>
      </c>
      <c r="L1297" s="655"/>
      <c r="M1297" s="655" t="s">
        <v>34</v>
      </c>
      <c r="N1297" s="253" t="s">
        <v>3928</v>
      </c>
      <c r="O1297" s="253" t="s">
        <v>1321</v>
      </c>
      <c r="P1297" s="656">
        <v>40975</v>
      </c>
      <c r="Q1297" s="657">
        <v>215.338469</v>
      </c>
      <c r="R1297" s="657">
        <v>138.99049522580643</v>
      </c>
      <c r="S1297" s="253">
        <v>60</v>
      </c>
      <c r="T1297" s="658">
        <v>2.2480628473092956E-2</v>
      </c>
      <c r="U1297" s="659">
        <v>1.1241224790576028</v>
      </c>
      <c r="V1297" s="658">
        <v>0.15287235639352259</v>
      </c>
      <c r="W1297" s="659">
        <v>1.1855725256772121</v>
      </c>
      <c r="X1297" s="658">
        <v>0.2478802331201313</v>
      </c>
      <c r="Y1297" s="659">
        <v>1.2837698871562804</v>
      </c>
      <c r="Z1297" s="658">
        <v>0.29356685452721165</v>
      </c>
      <c r="AA1297" s="659">
        <v>1.3255356706625352</v>
      </c>
      <c r="AB1297" s="658">
        <v>1.3653173295164801E-3</v>
      </c>
      <c r="AC1297" s="660">
        <v>17.525923409474611</v>
      </c>
      <c r="AD1297" s="682">
        <v>13054656000139</v>
      </c>
      <c r="AE1297" s="944" t="s">
        <v>1855</v>
      </c>
      <c r="AF1297" s="661" t="s">
        <v>1745</v>
      </c>
      <c r="AG1297" s="662" t="s">
        <v>1432</v>
      </c>
      <c r="AH1297" s="662" t="s">
        <v>1730</v>
      </c>
      <c r="AI1297" s="662">
        <v>10000</v>
      </c>
      <c r="AJ1297" s="662">
        <v>1000</v>
      </c>
      <c r="AK1297" s="662">
        <v>0</v>
      </c>
      <c r="AL1297" s="658">
        <v>4.0000000000000001E-3</v>
      </c>
      <c r="AM1297" s="658">
        <v>0.2</v>
      </c>
      <c r="AN1297" s="659" t="s">
        <v>64</v>
      </c>
      <c r="AO1297" s="253" t="s">
        <v>34</v>
      </c>
      <c r="AP1297" s="944" t="s">
        <v>1746</v>
      </c>
      <c r="AQ1297" s="663" t="s">
        <v>671</v>
      </c>
      <c r="AR1297" s="658">
        <v>1.92E-3</v>
      </c>
      <c r="AS1297" s="658">
        <v>1.92E-3</v>
      </c>
      <c r="AT1297" s="658" t="s">
        <v>1417</v>
      </c>
      <c r="AU1297" s="658" t="s">
        <v>2751</v>
      </c>
      <c r="AX1297"/>
      <c r="AY1297"/>
      <c r="BA1297"/>
      <c r="BB1297"/>
      <c r="BC1297"/>
      <c r="BD1297"/>
      <c r="BE1297"/>
      <c r="BF1297"/>
      <c r="BG1297"/>
      <c r="BH1297"/>
      <c r="BI1297"/>
      <c r="BJ1297"/>
      <c r="BR1297"/>
      <c r="BS1297"/>
      <c r="BT1297"/>
      <c r="BU1297"/>
      <c r="BX1297"/>
      <c r="BY1297"/>
      <c r="CA1297"/>
    </row>
    <row r="1298" spans="2:79" ht="18.75">
      <c r="B1298" s="252" t="s">
        <v>490</v>
      </c>
      <c r="C1298" s="251">
        <v>34780531000166</v>
      </c>
      <c r="D1298" s="252" t="s">
        <v>11</v>
      </c>
      <c r="E1298" s="252" t="s">
        <v>620</v>
      </c>
      <c r="F1298" s="252" t="s">
        <v>685</v>
      </c>
      <c r="G1298" s="253" t="s">
        <v>738</v>
      </c>
      <c r="H1298" s="253" t="s">
        <v>34</v>
      </c>
      <c r="I1298" s="253" t="s">
        <v>1319</v>
      </c>
      <c r="J1298" s="253" t="s">
        <v>608</v>
      </c>
      <c r="K1298" s="253" t="s">
        <v>48</v>
      </c>
      <c r="L1298" s="655"/>
      <c r="M1298" s="655" t="s">
        <v>34</v>
      </c>
      <c r="N1298" s="253" t="s">
        <v>3929</v>
      </c>
      <c r="O1298" s="253" t="s">
        <v>1321</v>
      </c>
      <c r="P1298" s="656">
        <v>43728</v>
      </c>
      <c r="Q1298" s="657">
        <v>258.61320504000003</v>
      </c>
      <c r="R1298" s="657">
        <v>152.69859815586341</v>
      </c>
      <c r="S1298" s="253">
        <v>45</v>
      </c>
      <c r="T1298" s="658">
        <v>2.1533529221935188E-2</v>
      </c>
      <c r="U1298" s="659">
        <v>1.0767636803745786</v>
      </c>
      <c r="V1298" s="658">
        <v>0.15206884896541073</v>
      </c>
      <c r="W1298" s="659">
        <v>1.1793410764249042</v>
      </c>
      <c r="X1298" s="658">
        <v>0.2542038221461953</v>
      </c>
      <c r="Y1298" s="659">
        <v>1.3165197077782362</v>
      </c>
      <c r="Z1298" s="658">
        <v>0.30681746401298082</v>
      </c>
      <c r="AA1298" s="659">
        <v>1.3853658431106251</v>
      </c>
      <c r="AB1298" s="658">
        <v>8.2928142822484259E-4</v>
      </c>
      <c r="AC1298" s="660">
        <v>27.885514774065971</v>
      </c>
      <c r="AD1298" s="682">
        <v>34780492000105</v>
      </c>
      <c r="AE1298" s="944" t="s">
        <v>1855</v>
      </c>
      <c r="AF1298" s="661" t="s">
        <v>1745</v>
      </c>
      <c r="AG1298" s="662" t="s">
        <v>1432</v>
      </c>
      <c r="AH1298" s="662" t="s">
        <v>1730</v>
      </c>
      <c r="AI1298" s="662">
        <v>10000</v>
      </c>
      <c r="AJ1298" s="662">
        <v>1000</v>
      </c>
      <c r="AK1298" s="662">
        <v>1000</v>
      </c>
      <c r="AL1298" s="658">
        <v>9.1000000000000004E-3</v>
      </c>
      <c r="AM1298" s="658">
        <v>0.2</v>
      </c>
      <c r="AN1298" s="659" t="s">
        <v>64</v>
      </c>
      <c r="AO1298" s="253" t="s">
        <v>34</v>
      </c>
      <c r="AP1298" s="944" t="s">
        <v>1746</v>
      </c>
      <c r="AQ1298" s="663" t="s">
        <v>671</v>
      </c>
      <c r="AR1298" s="658">
        <v>2.4269700000000001E-3</v>
      </c>
      <c r="AS1298" s="658">
        <v>2.4269700000000001E-3</v>
      </c>
      <c r="AT1298" s="658" t="s">
        <v>1417</v>
      </c>
      <c r="AU1298" s="658" t="s">
        <v>2751</v>
      </c>
      <c r="AX1298"/>
      <c r="AY1298"/>
      <c r="BA1298"/>
      <c r="BB1298"/>
      <c r="BC1298"/>
      <c r="BD1298"/>
      <c r="BE1298"/>
      <c r="BF1298"/>
      <c r="BG1298"/>
      <c r="BH1298"/>
      <c r="BI1298"/>
      <c r="BJ1298"/>
      <c r="BR1298"/>
      <c r="BS1298"/>
      <c r="BT1298"/>
      <c r="BU1298"/>
      <c r="BX1298"/>
      <c r="BY1298"/>
      <c r="CA1298"/>
    </row>
    <row r="1299" spans="2:79" ht="18.75">
      <c r="B1299" s="252" t="s">
        <v>1190</v>
      </c>
      <c r="C1299" s="251">
        <v>14550994000124</v>
      </c>
      <c r="D1299" s="252" t="s">
        <v>14</v>
      </c>
      <c r="E1299" s="252" t="s">
        <v>607</v>
      </c>
      <c r="F1299" s="252" t="s">
        <v>1417</v>
      </c>
      <c r="G1299" s="253" t="s">
        <v>1417</v>
      </c>
      <c r="H1299" s="253" t="s">
        <v>34</v>
      </c>
      <c r="I1299" s="253" t="s">
        <v>34</v>
      </c>
      <c r="J1299" s="253" t="s">
        <v>608</v>
      </c>
      <c r="K1299" s="253" t="s">
        <v>48</v>
      </c>
      <c r="L1299" s="655"/>
      <c r="M1299" s="655" t="s">
        <v>34</v>
      </c>
      <c r="N1299" s="253" t="s">
        <v>3930</v>
      </c>
      <c r="O1299" s="253" t="s">
        <v>1321</v>
      </c>
      <c r="P1299" s="656">
        <v>40885</v>
      </c>
      <c r="Q1299" s="657">
        <v>302.85192799999999</v>
      </c>
      <c r="R1299" s="657">
        <v>336.31769354065045</v>
      </c>
      <c r="S1299" s="253">
        <v>3</v>
      </c>
      <c r="T1299" s="658">
        <v>-5.7704803898816603E-2</v>
      </c>
      <c r="U1299" s="659">
        <v>-2.8854739221330092</v>
      </c>
      <c r="V1299" s="658">
        <v>-0.11213379683151026</v>
      </c>
      <c r="W1299" s="659">
        <v>-0.8696323642783983</v>
      </c>
      <c r="X1299" s="658">
        <v>-0.10266629600852473</v>
      </c>
      <c r="Y1299" s="659">
        <v>-0.53170798487083193</v>
      </c>
      <c r="Z1299" s="658">
        <v>-0.14257158560013494</v>
      </c>
      <c r="AA1299" s="659">
        <v>-0.64375020347666123</v>
      </c>
      <c r="AB1299" s="658">
        <v>0.20983983360387978</v>
      </c>
      <c r="AC1299" s="660">
        <v>-1.148865313786835</v>
      </c>
      <c r="AD1299" s="682">
        <v>0</v>
      </c>
      <c r="AE1299" s="944" t="s">
        <v>1827</v>
      </c>
      <c r="AF1299" s="661" t="s">
        <v>1769</v>
      </c>
      <c r="AG1299" s="662" t="s">
        <v>719</v>
      </c>
      <c r="AH1299" s="662" t="s">
        <v>1734</v>
      </c>
      <c r="AI1299" s="662">
        <v>100</v>
      </c>
      <c r="AJ1299" s="662">
        <v>100</v>
      </c>
      <c r="AK1299" s="662">
        <v>100</v>
      </c>
      <c r="AL1299" s="658">
        <v>0.02</v>
      </c>
      <c r="AM1299" s="658">
        <v>0.2</v>
      </c>
      <c r="AN1299" s="659" t="s">
        <v>666</v>
      </c>
      <c r="AO1299" s="253" t="s">
        <v>34</v>
      </c>
      <c r="AP1299" s="944" t="s">
        <v>1731</v>
      </c>
      <c r="AQ1299" s="663" t="s">
        <v>670</v>
      </c>
      <c r="AR1299" s="658">
        <v>4.0000000000000001E-3</v>
      </c>
      <c r="AS1299" s="658">
        <v>4.0000000000000001E-3</v>
      </c>
      <c r="AT1299" s="658" t="s">
        <v>1417</v>
      </c>
      <c r="AU1299" s="658" t="s">
        <v>2751</v>
      </c>
      <c r="AX1299"/>
      <c r="AY1299"/>
      <c r="BA1299"/>
      <c r="BB1299"/>
      <c r="BC1299"/>
      <c r="BD1299"/>
      <c r="BE1299"/>
      <c r="BF1299"/>
      <c r="BG1299"/>
      <c r="BH1299"/>
      <c r="BI1299"/>
      <c r="BJ1299"/>
      <c r="BR1299"/>
      <c r="BS1299"/>
      <c r="BT1299"/>
      <c r="BU1299"/>
      <c r="BX1299"/>
      <c r="BY1299"/>
      <c r="CA1299"/>
    </row>
    <row r="1300" spans="2:79" ht="18.75">
      <c r="B1300" s="252" t="s">
        <v>377</v>
      </c>
      <c r="C1300" s="251">
        <v>29722466000182</v>
      </c>
      <c r="D1300" s="252" t="s">
        <v>14</v>
      </c>
      <c r="E1300" s="252" t="s">
        <v>607</v>
      </c>
      <c r="F1300" s="252" t="s">
        <v>1417</v>
      </c>
      <c r="G1300" s="253" t="s">
        <v>1417</v>
      </c>
      <c r="H1300" s="253" t="s">
        <v>34</v>
      </c>
      <c r="I1300" s="253" t="s">
        <v>34</v>
      </c>
      <c r="J1300" s="253" t="s">
        <v>608</v>
      </c>
      <c r="K1300" s="253" t="s">
        <v>48</v>
      </c>
      <c r="L1300" s="655"/>
      <c r="M1300" s="655" t="s">
        <v>34</v>
      </c>
      <c r="N1300" s="253" t="s">
        <v>3931</v>
      </c>
      <c r="O1300" s="253" t="s">
        <v>1321</v>
      </c>
      <c r="P1300" s="656">
        <v>43180</v>
      </c>
      <c r="Q1300" s="657">
        <v>17.873228739999998</v>
      </c>
      <c r="R1300" s="657">
        <v>14.158962867387755</v>
      </c>
      <c r="S1300" s="253">
        <v>3</v>
      </c>
      <c r="T1300" s="658">
        <v>-2.8297227556865256E-2</v>
      </c>
      <c r="U1300" s="659">
        <v>-1.4149759927643173</v>
      </c>
      <c r="V1300" s="658">
        <v>-1.677609960827664E-2</v>
      </c>
      <c r="W1300" s="659">
        <v>-0.13010385430573346</v>
      </c>
      <c r="X1300" s="658">
        <v>6.0547605024320106E-2</v>
      </c>
      <c r="Y1300" s="659">
        <v>0.31357559693751058</v>
      </c>
      <c r="Z1300" s="658">
        <v>-3.7118460868876491E-2</v>
      </c>
      <c r="AA1300" s="659">
        <v>-0.16760013319973283</v>
      </c>
      <c r="AB1300" s="658">
        <v>0.20819539755183489</v>
      </c>
      <c r="AC1300" s="660">
        <v>-0.6999194543615439</v>
      </c>
      <c r="AD1300" s="682">
        <v>0</v>
      </c>
      <c r="AE1300" s="944" t="s">
        <v>1827</v>
      </c>
      <c r="AF1300" s="661" t="s">
        <v>1769</v>
      </c>
      <c r="AG1300" s="662" t="s">
        <v>719</v>
      </c>
      <c r="AH1300" s="662" t="s">
        <v>1734</v>
      </c>
      <c r="AI1300" s="662">
        <v>1000</v>
      </c>
      <c r="AJ1300" s="662">
        <v>1000</v>
      </c>
      <c r="AK1300" s="662">
        <v>1000</v>
      </c>
      <c r="AL1300" s="658">
        <v>2.5000000000000001E-2</v>
      </c>
      <c r="AM1300" s="658">
        <v>0.2</v>
      </c>
      <c r="AN1300" s="659" t="s">
        <v>666</v>
      </c>
      <c r="AO1300" s="253" t="s">
        <v>34</v>
      </c>
      <c r="AP1300" s="944" t="s">
        <v>1731</v>
      </c>
      <c r="AQ1300" s="663" t="s">
        <v>670</v>
      </c>
      <c r="AR1300" s="658">
        <v>3.8999999999999998E-3</v>
      </c>
      <c r="AS1300" s="658">
        <v>3.8999999999999998E-3</v>
      </c>
      <c r="AT1300" s="658" t="s">
        <v>1417</v>
      </c>
      <c r="AU1300" s="658" t="s">
        <v>2751</v>
      </c>
      <c r="AX1300"/>
      <c r="AY1300"/>
      <c r="BA1300"/>
      <c r="BB1300"/>
      <c r="BC1300"/>
      <c r="BD1300"/>
      <c r="BE1300"/>
      <c r="BF1300"/>
      <c r="BG1300"/>
      <c r="BH1300"/>
      <c r="BI1300"/>
      <c r="BJ1300"/>
      <c r="BR1300"/>
      <c r="BS1300"/>
      <c r="BT1300"/>
      <c r="BU1300"/>
      <c r="BX1300"/>
      <c r="BY1300"/>
      <c r="CA1300"/>
    </row>
    <row r="1301" spans="2:79" ht="18.75">
      <c r="B1301" s="252" t="s">
        <v>1191</v>
      </c>
      <c r="C1301" s="251">
        <v>10462072000104</v>
      </c>
      <c r="D1301" s="252" t="s">
        <v>13</v>
      </c>
      <c r="E1301" s="252" t="s">
        <v>615</v>
      </c>
      <c r="F1301" s="252" t="s">
        <v>619</v>
      </c>
      <c r="G1301" s="253" t="s">
        <v>34</v>
      </c>
      <c r="H1301" s="253" t="s">
        <v>1337</v>
      </c>
      <c r="I1301" s="253" t="s">
        <v>34</v>
      </c>
      <c r="J1301" s="253" t="s">
        <v>1417</v>
      </c>
      <c r="K1301" s="253" t="s">
        <v>48</v>
      </c>
      <c r="L1301" s="655"/>
      <c r="M1301" s="655" t="s">
        <v>1414</v>
      </c>
      <c r="N1301" s="253" t="s">
        <v>3932</v>
      </c>
      <c r="O1301" s="253" t="s">
        <v>1321</v>
      </c>
      <c r="P1301" s="656">
        <v>40201</v>
      </c>
      <c r="Q1301" s="657">
        <v>17.392178000000001</v>
      </c>
      <c r="R1301" s="657">
        <v>30.001788506072884</v>
      </c>
      <c r="S1301" s="253">
        <v>5</v>
      </c>
      <c r="T1301" s="658">
        <v>5.4882563452014477E-3</v>
      </c>
      <c r="U1301" s="659">
        <v>0.27443504686070969</v>
      </c>
      <c r="V1301" s="658">
        <v>0.10345975902902982</v>
      </c>
      <c r="W1301" s="659">
        <v>0.80236251152075433</v>
      </c>
      <c r="X1301" s="658">
        <v>0.16439907488029637</v>
      </c>
      <c r="Y1301" s="659">
        <v>0.85142158836599358</v>
      </c>
      <c r="Z1301" s="658">
        <v>0.20649448034119788</v>
      </c>
      <c r="AA1301" s="659">
        <v>0.93237978084412731</v>
      </c>
      <c r="AB1301" s="658">
        <v>3.709857180215613E-2</v>
      </c>
      <c r="AC1301" s="660">
        <v>-0.68693076794609709</v>
      </c>
      <c r="AD1301" s="682">
        <v>0</v>
      </c>
      <c r="AE1301" s="944" t="s">
        <v>1827</v>
      </c>
      <c r="AF1301" s="661" t="s">
        <v>1769</v>
      </c>
      <c r="AG1301" s="662" t="s">
        <v>719</v>
      </c>
      <c r="AH1301" s="662" t="s">
        <v>1734</v>
      </c>
      <c r="AI1301" s="662">
        <v>1000</v>
      </c>
      <c r="AJ1301" s="662">
        <v>1000</v>
      </c>
      <c r="AK1301" s="662">
        <v>1000</v>
      </c>
      <c r="AL1301" s="658">
        <v>8.0000000000000002E-3</v>
      </c>
      <c r="AM1301" s="658">
        <v>0.2</v>
      </c>
      <c r="AN1301" s="659" t="s">
        <v>64</v>
      </c>
      <c r="AO1301" s="253" t="s">
        <v>34</v>
      </c>
      <c r="AP1301" s="944" t="s">
        <v>1746</v>
      </c>
      <c r="AQ1301" s="663" t="s">
        <v>686</v>
      </c>
      <c r="AR1301" s="658">
        <v>2E-3</v>
      </c>
      <c r="AS1301" s="658">
        <v>2E-3</v>
      </c>
      <c r="AT1301" s="658" t="s">
        <v>1417</v>
      </c>
      <c r="AU1301" s="658" t="s">
        <v>2751</v>
      </c>
      <c r="AX1301"/>
      <c r="AY1301"/>
      <c r="BA1301"/>
      <c r="BB1301"/>
      <c r="BC1301"/>
      <c r="BD1301"/>
      <c r="BE1301"/>
      <c r="BF1301"/>
      <c r="BG1301"/>
      <c r="BH1301"/>
      <c r="BI1301"/>
      <c r="BJ1301"/>
      <c r="BR1301"/>
      <c r="BS1301"/>
      <c r="BT1301"/>
      <c r="BU1301"/>
      <c r="BX1301"/>
      <c r="BY1301"/>
      <c r="CA1301"/>
    </row>
    <row r="1302" spans="2:79" ht="18.75">
      <c r="B1302" s="252" t="s">
        <v>378</v>
      </c>
      <c r="C1302" s="251">
        <v>21082291000184</v>
      </c>
      <c r="D1302" s="252" t="s">
        <v>14</v>
      </c>
      <c r="E1302" s="252" t="s">
        <v>607</v>
      </c>
      <c r="F1302" s="252" t="s">
        <v>1417</v>
      </c>
      <c r="G1302" s="253" t="s">
        <v>1417</v>
      </c>
      <c r="H1302" s="253" t="s">
        <v>34</v>
      </c>
      <c r="I1302" s="253" t="s">
        <v>34</v>
      </c>
      <c r="J1302" s="253" t="s">
        <v>608</v>
      </c>
      <c r="K1302" s="253" t="s">
        <v>48</v>
      </c>
      <c r="L1302" s="655"/>
      <c r="M1302" s="655" t="s">
        <v>1414</v>
      </c>
      <c r="N1302" s="253" t="s">
        <v>3933</v>
      </c>
      <c r="O1302" s="253" t="s">
        <v>1321</v>
      </c>
      <c r="P1302" s="656">
        <v>41962</v>
      </c>
      <c r="Q1302" s="657">
        <v>0</v>
      </c>
      <c r="R1302" s="657">
        <v>17.497596877118653</v>
      </c>
      <c r="S1302" s="253">
        <v>37</v>
      </c>
      <c r="T1302" s="658">
        <v>-3.612178777695263E-3</v>
      </c>
      <c r="U1302" s="659">
        <v>-0.18062356963205484</v>
      </c>
      <c r="V1302" s="658">
        <v>-8.4750504972423646E-2</v>
      </c>
      <c r="W1302" s="659">
        <v>-0.65726644504599785</v>
      </c>
      <c r="X1302" s="658">
        <v>-0.20751772595592033</v>
      </c>
      <c r="Y1302" s="659">
        <v>-1.0747327621894349</v>
      </c>
      <c r="Z1302" s="658">
        <v>-0.21202074952636385</v>
      </c>
      <c r="AA1302" s="659">
        <v>-0.95733241707555061</v>
      </c>
      <c r="AB1302" s="658">
        <v>0.23262802067933402</v>
      </c>
      <c r="AC1302" s="660">
        <v>-0.91860994988982414</v>
      </c>
      <c r="AD1302" s="682">
        <v>0</v>
      </c>
      <c r="AE1302" s="944" t="s">
        <v>1827</v>
      </c>
      <c r="AF1302" s="661" t="s">
        <v>1769</v>
      </c>
      <c r="AG1302" s="662" t="s">
        <v>719</v>
      </c>
      <c r="AH1302" s="662" t="s">
        <v>1734</v>
      </c>
      <c r="AI1302" s="662">
        <v>1000</v>
      </c>
      <c r="AJ1302" s="662">
        <v>1000</v>
      </c>
      <c r="AK1302" s="662">
        <v>1000</v>
      </c>
      <c r="AL1302" s="658">
        <v>4.4999999999999998E-2</v>
      </c>
      <c r="AM1302" s="658">
        <v>0.1</v>
      </c>
      <c r="AN1302" s="659" t="s">
        <v>666</v>
      </c>
      <c r="AO1302" s="253" t="s">
        <v>34</v>
      </c>
      <c r="AP1302" s="944" t="s">
        <v>1731</v>
      </c>
      <c r="AQ1302" s="663" t="s">
        <v>659</v>
      </c>
      <c r="AR1302" s="658">
        <v>2E-3</v>
      </c>
      <c r="AS1302" s="658">
        <v>2E-3</v>
      </c>
      <c r="AT1302" s="658" t="s">
        <v>1417</v>
      </c>
      <c r="AU1302" s="658" t="s">
        <v>2751</v>
      </c>
      <c r="AX1302"/>
      <c r="AY1302"/>
      <c r="BA1302"/>
      <c r="BB1302"/>
      <c r="BC1302"/>
      <c r="BD1302"/>
      <c r="BE1302"/>
      <c r="BF1302"/>
      <c r="BG1302"/>
      <c r="BH1302"/>
      <c r="BI1302"/>
      <c r="BJ1302"/>
      <c r="BR1302"/>
      <c r="BS1302"/>
      <c r="BT1302"/>
      <c r="BU1302"/>
      <c r="BX1302"/>
      <c r="BY1302"/>
      <c r="CA1302"/>
    </row>
    <row r="1303" spans="2:79" ht="18.75">
      <c r="B1303" s="252" t="s">
        <v>1192</v>
      </c>
      <c r="C1303" s="251">
        <v>28206220000195</v>
      </c>
      <c r="D1303" s="252" t="s">
        <v>11</v>
      </c>
      <c r="E1303" s="252" t="s">
        <v>620</v>
      </c>
      <c r="F1303" s="252" t="s">
        <v>663</v>
      </c>
      <c r="G1303" s="253" t="s">
        <v>738</v>
      </c>
      <c r="H1303" s="253" t="s">
        <v>34</v>
      </c>
      <c r="I1303" s="253" t="s">
        <v>1417</v>
      </c>
      <c r="J1303" s="253" t="s">
        <v>608</v>
      </c>
      <c r="K1303" s="253" t="s">
        <v>48</v>
      </c>
      <c r="L1303" s="655"/>
      <c r="M1303" s="655" t="s">
        <v>34</v>
      </c>
      <c r="N1303" s="253" t="s">
        <v>3934</v>
      </c>
      <c r="O1303" s="253" t="s">
        <v>1321</v>
      </c>
      <c r="P1303" s="656">
        <v>42941</v>
      </c>
      <c r="Q1303" s="657">
        <v>272.91100476999998</v>
      </c>
      <c r="R1303" s="657">
        <v>214.2521659810121</v>
      </c>
      <c r="S1303" s="253">
        <v>1</v>
      </c>
      <c r="T1303" s="658">
        <v>-5.1683618243314466E-4</v>
      </c>
      <c r="U1303" s="659">
        <v>-2.5843902511835781E-2</v>
      </c>
      <c r="V1303" s="658">
        <v>0.11880517207937014</v>
      </c>
      <c r="W1303" s="659">
        <v>0.92137094795002938</v>
      </c>
      <c r="X1303" s="658">
        <v>0.20494050003662578</v>
      </c>
      <c r="Y1303" s="659">
        <v>1.0613853282857983</v>
      </c>
      <c r="Z1303" s="658">
        <v>0.22974902421893684</v>
      </c>
      <c r="AA1303" s="659">
        <v>1.0373804883135491</v>
      </c>
      <c r="AB1303" s="658">
        <v>7.8491673685663933E-3</v>
      </c>
      <c r="AC1303" s="660">
        <v>-1.2916959075201884</v>
      </c>
      <c r="AD1303" s="682">
        <v>0</v>
      </c>
      <c r="AE1303" s="944" t="s">
        <v>1827</v>
      </c>
      <c r="AF1303" s="661" t="s">
        <v>1769</v>
      </c>
      <c r="AG1303" s="662" t="s">
        <v>719</v>
      </c>
      <c r="AH1303" s="662" t="s">
        <v>1734</v>
      </c>
      <c r="AI1303" s="662">
        <v>1000</v>
      </c>
      <c r="AJ1303" s="662">
        <v>1000</v>
      </c>
      <c r="AK1303" s="662">
        <v>1000</v>
      </c>
      <c r="AL1303" s="658">
        <v>5.0000000000000001E-3</v>
      </c>
      <c r="AM1303" s="658">
        <v>0</v>
      </c>
      <c r="AN1303" s="659" t="s">
        <v>2122</v>
      </c>
      <c r="AO1303" s="253" t="s">
        <v>34</v>
      </c>
      <c r="AP1303" s="944" t="s">
        <v>1735</v>
      </c>
      <c r="AQ1303" s="663" t="s">
        <v>669</v>
      </c>
      <c r="AR1303" s="658">
        <v>1.33333333333333E-3</v>
      </c>
      <c r="AS1303" s="658">
        <v>1.33333333333333E-3</v>
      </c>
      <c r="AT1303" s="658" t="s">
        <v>1417</v>
      </c>
      <c r="AU1303" s="658" t="s">
        <v>2751</v>
      </c>
      <c r="AX1303"/>
      <c r="AY1303"/>
      <c r="BA1303"/>
      <c r="BB1303"/>
      <c r="BC1303"/>
      <c r="BD1303"/>
      <c r="BE1303"/>
      <c r="BF1303"/>
      <c r="BG1303"/>
      <c r="BH1303"/>
      <c r="BI1303"/>
      <c r="BJ1303"/>
      <c r="BR1303"/>
      <c r="BS1303"/>
      <c r="BT1303"/>
      <c r="BU1303"/>
      <c r="BX1303"/>
      <c r="BY1303"/>
      <c r="CA1303"/>
    </row>
    <row r="1304" spans="2:79" ht="18.75">
      <c r="B1304" s="252" t="s">
        <v>379</v>
      </c>
      <c r="C1304" s="251">
        <v>7552643000197</v>
      </c>
      <c r="D1304" s="252" t="s">
        <v>13</v>
      </c>
      <c r="E1304" s="252" t="s">
        <v>615</v>
      </c>
      <c r="F1304" s="252" t="s">
        <v>619</v>
      </c>
      <c r="G1304" s="253" t="s">
        <v>34</v>
      </c>
      <c r="H1304" s="253" t="s">
        <v>1338</v>
      </c>
      <c r="I1304" s="253" t="s">
        <v>34</v>
      </c>
      <c r="J1304" s="253" t="s">
        <v>1417</v>
      </c>
      <c r="K1304" s="253" t="s">
        <v>48</v>
      </c>
      <c r="L1304" s="655"/>
      <c r="M1304" s="655" t="s">
        <v>34</v>
      </c>
      <c r="N1304" s="253" t="s">
        <v>3935</v>
      </c>
      <c r="O1304" s="253" t="s">
        <v>1321</v>
      </c>
      <c r="P1304" s="656">
        <v>38631</v>
      </c>
      <c r="Q1304" s="657">
        <v>46.776850000000003</v>
      </c>
      <c r="R1304" s="657">
        <v>62.891438373493948</v>
      </c>
      <c r="S1304" s="253">
        <v>4</v>
      </c>
      <c r="T1304" s="658">
        <v>5.8984073482084565E-3</v>
      </c>
      <c r="U1304" s="659">
        <v>0.29494425828422671</v>
      </c>
      <c r="V1304" s="658">
        <v>-2.6152941837503385E-2</v>
      </c>
      <c r="W1304" s="659">
        <v>-0.20282417331464572</v>
      </c>
      <c r="X1304" s="658">
        <v>0.34522491547868728</v>
      </c>
      <c r="Y1304" s="659">
        <v>1.7879172744396523</v>
      </c>
      <c r="Z1304" s="658">
        <v>0.30170860037886782</v>
      </c>
      <c r="AA1304" s="659">
        <v>1.3622979085698756</v>
      </c>
      <c r="AB1304" s="658">
        <v>0.22869779911855659</v>
      </c>
      <c r="AC1304" s="660">
        <v>-0.67817378165449582</v>
      </c>
      <c r="AD1304" s="682">
        <v>44836341000177</v>
      </c>
      <c r="AE1304" s="944" t="s">
        <v>1781</v>
      </c>
      <c r="AF1304" s="661" t="s">
        <v>1729</v>
      </c>
      <c r="AG1304" s="662" t="s">
        <v>1433</v>
      </c>
      <c r="AH1304" s="662" t="s">
        <v>1734</v>
      </c>
      <c r="AI1304" s="662">
        <v>1000</v>
      </c>
      <c r="AJ1304" s="662">
        <v>100</v>
      </c>
      <c r="AK1304" s="662">
        <v>100</v>
      </c>
      <c r="AL1304" s="658">
        <v>2.5000000000000001E-2</v>
      </c>
      <c r="AM1304" s="658">
        <v>0.2</v>
      </c>
      <c r="AN1304" s="659" t="s">
        <v>64</v>
      </c>
      <c r="AO1304" s="253" t="s">
        <v>34</v>
      </c>
      <c r="AP1304" s="944" t="s">
        <v>1746</v>
      </c>
      <c r="AQ1304" s="663" t="s">
        <v>664</v>
      </c>
      <c r="AR1304" s="658">
        <v>5.0000000000000001E-3</v>
      </c>
      <c r="AS1304" s="658">
        <v>5.0000000000000001E-3</v>
      </c>
      <c r="AT1304" s="658" t="s">
        <v>1417</v>
      </c>
      <c r="AU1304" s="658" t="s">
        <v>2751</v>
      </c>
      <c r="AX1304"/>
      <c r="AY1304"/>
      <c r="BA1304"/>
      <c r="BB1304"/>
      <c r="BC1304"/>
      <c r="BD1304"/>
      <c r="BE1304"/>
      <c r="BF1304"/>
      <c r="BG1304"/>
      <c r="BH1304"/>
      <c r="BI1304"/>
      <c r="BJ1304"/>
      <c r="BR1304"/>
      <c r="BS1304"/>
      <c r="BT1304"/>
      <c r="BU1304"/>
      <c r="BX1304"/>
      <c r="BY1304"/>
      <c r="CA1304"/>
    </row>
    <row r="1305" spans="2:79" ht="18.75">
      <c r="B1305" s="252" t="s">
        <v>1306</v>
      </c>
      <c r="C1305" s="251">
        <v>36352361000144</v>
      </c>
      <c r="D1305" s="252" t="s">
        <v>11</v>
      </c>
      <c r="E1305" s="252" t="s">
        <v>620</v>
      </c>
      <c r="F1305" s="252" t="s">
        <v>692</v>
      </c>
      <c r="G1305" s="253" t="s">
        <v>738</v>
      </c>
      <c r="H1305" s="253" t="s">
        <v>34</v>
      </c>
      <c r="I1305" s="253" t="s">
        <v>1417</v>
      </c>
      <c r="J1305" s="253" t="s">
        <v>608</v>
      </c>
      <c r="K1305" s="253" t="s">
        <v>48</v>
      </c>
      <c r="L1305" s="655"/>
      <c r="M1305" s="655" t="s">
        <v>34</v>
      </c>
      <c r="N1305" s="253" t="s">
        <v>3937</v>
      </c>
      <c r="O1305" s="253" t="s">
        <v>1321</v>
      </c>
      <c r="P1305" s="656">
        <v>44641</v>
      </c>
      <c r="Q1305" s="657"/>
      <c r="R1305" s="657"/>
      <c r="S1305" s="253">
        <v>46</v>
      </c>
      <c r="T1305" s="658"/>
      <c r="U1305" s="659"/>
      <c r="V1305" s="658"/>
      <c r="W1305" s="659"/>
      <c r="X1305" s="658"/>
      <c r="Y1305" s="659"/>
      <c r="Z1305" s="658"/>
      <c r="AA1305" s="659"/>
      <c r="AB1305" s="658"/>
      <c r="AC1305" s="660"/>
      <c r="AD1305" s="682">
        <v>30676315000114</v>
      </c>
      <c r="AE1305" s="944" t="s">
        <v>1781</v>
      </c>
      <c r="AF1305" s="661" t="s">
        <v>1729</v>
      </c>
      <c r="AG1305" s="662" t="s">
        <v>1433</v>
      </c>
      <c r="AH1305" s="662" t="s">
        <v>1734</v>
      </c>
      <c r="AI1305" s="662">
        <v>1000</v>
      </c>
      <c r="AJ1305" s="662">
        <v>100</v>
      </c>
      <c r="AK1305" s="662">
        <v>100</v>
      </c>
      <c r="AL1305" s="658">
        <v>8.0000000000000002E-3</v>
      </c>
      <c r="AM1305" s="658">
        <v>0</v>
      </c>
      <c r="AN1305" s="659" t="s">
        <v>64</v>
      </c>
      <c r="AO1305" s="253" t="s">
        <v>34</v>
      </c>
      <c r="AP1305" s="944" t="s">
        <v>1735</v>
      </c>
      <c r="AQ1305" s="663" t="s">
        <v>675</v>
      </c>
      <c r="AR1305" s="658">
        <v>1.6000000000000001E-3</v>
      </c>
      <c r="AS1305" s="658">
        <v>1.6000000000000001E-3</v>
      </c>
      <c r="AT1305" s="658" t="s">
        <v>1417</v>
      </c>
      <c r="AU1305" s="658" t="s">
        <v>2751</v>
      </c>
      <c r="AX1305"/>
      <c r="AY1305"/>
      <c r="BA1305"/>
      <c r="BB1305"/>
      <c r="BC1305"/>
      <c r="BD1305"/>
      <c r="BE1305"/>
      <c r="BF1305"/>
      <c r="BG1305"/>
      <c r="BH1305"/>
      <c r="BI1305"/>
      <c r="BJ1305"/>
      <c r="BR1305"/>
      <c r="BS1305"/>
      <c r="BT1305"/>
      <c r="BU1305"/>
      <c r="BX1305"/>
      <c r="BY1305"/>
      <c r="CA1305"/>
    </row>
    <row r="1306" spans="2:79" ht="18.75">
      <c r="B1306" s="252" t="s">
        <v>1193</v>
      </c>
      <c r="C1306" s="251">
        <v>26759909000111</v>
      </c>
      <c r="D1306" s="252" t="s">
        <v>11</v>
      </c>
      <c r="E1306" s="252" t="s">
        <v>620</v>
      </c>
      <c r="F1306" s="252" t="s">
        <v>692</v>
      </c>
      <c r="G1306" s="253" t="s">
        <v>738</v>
      </c>
      <c r="H1306" s="253" t="s">
        <v>34</v>
      </c>
      <c r="I1306" s="253" t="s">
        <v>1417</v>
      </c>
      <c r="J1306" s="253" t="s">
        <v>608</v>
      </c>
      <c r="K1306" s="253" t="s">
        <v>48</v>
      </c>
      <c r="L1306" s="655"/>
      <c r="M1306" s="655" t="s">
        <v>34</v>
      </c>
      <c r="N1306" s="253" t="s">
        <v>3938</v>
      </c>
      <c r="O1306" s="253" t="s">
        <v>1324</v>
      </c>
      <c r="P1306" s="656">
        <v>42906</v>
      </c>
      <c r="Q1306" s="657">
        <v>437.389386</v>
      </c>
      <c r="R1306" s="657">
        <v>577.87084756451611</v>
      </c>
      <c r="S1306" s="253">
        <v>31</v>
      </c>
      <c r="T1306" s="658">
        <v>-4.6972272055956221E-3</v>
      </c>
      <c r="U1306" s="659">
        <v>-0.23488038590072796</v>
      </c>
      <c r="V1306" s="658">
        <v>8.901140030399679E-2</v>
      </c>
      <c r="W1306" s="659">
        <v>0.69031100953806102</v>
      </c>
      <c r="X1306" s="658">
        <v>0.19219523312310138</v>
      </c>
      <c r="Y1306" s="659">
        <v>0.99537768555689088</v>
      </c>
      <c r="Z1306" s="658">
        <v>0.24031542855605381</v>
      </c>
      <c r="AA1306" s="659">
        <v>1.0850907309499283</v>
      </c>
      <c r="AB1306" s="658">
        <v>1.4577369494602407E-2</v>
      </c>
      <c r="AC1306" s="660">
        <v>-2.7393494524219513</v>
      </c>
      <c r="AD1306" s="682">
        <v>30676315000114</v>
      </c>
      <c r="AE1306" s="944" t="s">
        <v>1781</v>
      </c>
      <c r="AF1306" s="661" t="s">
        <v>1729</v>
      </c>
      <c r="AG1306" s="662" t="s">
        <v>1433</v>
      </c>
      <c r="AH1306" s="662" t="s">
        <v>1734</v>
      </c>
      <c r="AI1306" s="662">
        <v>1000</v>
      </c>
      <c r="AJ1306" s="662">
        <v>100</v>
      </c>
      <c r="AK1306" s="662">
        <v>100</v>
      </c>
      <c r="AL1306" s="658">
        <v>0.01</v>
      </c>
      <c r="AM1306" s="658">
        <v>0</v>
      </c>
      <c r="AN1306" s="659" t="s">
        <v>64</v>
      </c>
      <c r="AO1306" s="253" t="s">
        <v>34</v>
      </c>
      <c r="AP1306" s="944" t="s">
        <v>1735</v>
      </c>
      <c r="AQ1306" s="663" t="s">
        <v>675</v>
      </c>
      <c r="AR1306" s="658">
        <v>2.3999999999999998E-3</v>
      </c>
      <c r="AS1306" s="658">
        <v>2.3999999999999998E-3</v>
      </c>
      <c r="AT1306" s="658" t="s">
        <v>1417</v>
      </c>
      <c r="AU1306" s="658" t="s">
        <v>2751</v>
      </c>
      <c r="AX1306"/>
      <c r="AY1306"/>
      <c r="BA1306"/>
      <c r="BB1306"/>
      <c r="BC1306"/>
      <c r="BD1306"/>
      <c r="BE1306"/>
      <c r="BF1306"/>
      <c r="BG1306"/>
      <c r="BH1306"/>
      <c r="BI1306"/>
      <c r="BJ1306"/>
      <c r="BR1306"/>
      <c r="BS1306"/>
      <c r="BT1306"/>
      <c r="BU1306"/>
      <c r="BX1306"/>
      <c r="BY1306"/>
      <c r="CA1306"/>
    </row>
    <row r="1307" spans="2:79" ht="18.75">
      <c r="B1307" s="252" t="s">
        <v>1194</v>
      </c>
      <c r="C1307" s="251">
        <v>14180011000105</v>
      </c>
      <c r="D1307" s="252" t="s">
        <v>13</v>
      </c>
      <c r="E1307" s="252" t="s">
        <v>616</v>
      </c>
      <c r="F1307" s="252" t="s">
        <v>619</v>
      </c>
      <c r="G1307" s="253" t="s">
        <v>34</v>
      </c>
      <c r="H1307" s="253" t="s">
        <v>1337</v>
      </c>
      <c r="I1307" s="253" t="s">
        <v>34</v>
      </c>
      <c r="J1307" s="253" t="s">
        <v>1417</v>
      </c>
      <c r="K1307" s="253" t="s">
        <v>48</v>
      </c>
      <c r="L1307" s="655"/>
      <c r="M1307" s="655" t="s">
        <v>1414</v>
      </c>
      <c r="N1307" s="253" t="s">
        <v>3939</v>
      </c>
      <c r="O1307" s="253" t="s">
        <v>1324</v>
      </c>
      <c r="P1307" s="656">
        <v>40968</v>
      </c>
      <c r="Q1307" s="657">
        <v>92.266955999999993</v>
      </c>
      <c r="R1307" s="657">
        <v>90.354515955823302</v>
      </c>
      <c r="S1307" s="253">
        <v>4</v>
      </c>
      <c r="T1307" s="658">
        <v>2.1070883329738166E-2</v>
      </c>
      <c r="U1307" s="659">
        <v>1.0536295118665759</v>
      </c>
      <c r="V1307" s="658">
        <v>0.13910691407182219</v>
      </c>
      <c r="W1307" s="659">
        <v>1.0788172521574415</v>
      </c>
      <c r="X1307" s="658">
        <v>0.21395865020840654</v>
      </c>
      <c r="Y1307" s="659">
        <v>1.1080902610779773</v>
      </c>
      <c r="Z1307" s="658">
        <v>0.28911799576839892</v>
      </c>
      <c r="AA1307" s="659">
        <v>1.3054478409651293</v>
      </c>
      <c r="AB1307" s="658">
        <v>7.3909870077775476E-3</v>
      </c>
      <c r="AC1307" s="660">
        <v>1.375053780278505</v>
      </c>
      <c r="AD1307" s="682">
        <v>14083541000135</v>
      </c>
      <c r="AE1307" s="944" t="s">
        <v>1781</v>
      </c>
      <c r="AF1307" s="661" t="s">
        <v>1729</v>
      </c>
      <c r="AG1307" s="662" t="s">
        <v>1433</v>
      </c>
      <c r="AH1307" s="662" t="s">
        <v>1734</v>
      </c>
      <c r="AI1307" s="662">
        <v>5000</v>
      </c>
      <c r="AJ1307" s="662">
        <v>3000</v>
      </c>
      <c r="AK1307" s="662">
        <v>5000</v>
      </c>
      <c r="AL1307" s="658">
        <v>0.02</v>
      </c>
      <c r="AM1307" s="658">
        <v>0.2</v>
      </c>
      <c r="AN1307" s="659" t="s">
        <v>64</v>
      </c>
      <c r="AO1307" s="253" t="s">
        <v>34</v>
      </c>
      <c r="AP1307" s="944" t="s">
        <v>1746</v>
      </c>
      <c r="AQ1307" s="663" t="s">
        <v>668</v>
      </c>
      <c r="AR1307" s="658">
        <v>0</v>
      </c>
      <c r="AS1307" s="658">
        <v>0</v>
      </c>
      <c r="AT1307" s="658" t="s">
        <v>1417</v>
      </c>
      <c r="AU1307" s="658" t="s">
        <v>2751</v>
      </c>
      <c r="AX1307"/>
      <c r="AY1307"/>
      <c r="BA1307"/>
      <c r="BB1307"/>
      <c r="BC1307"/>
      <c r="BD1307"/>
      <c r="BE1307"/>
      <c r="BF1307"/>
      <c r="BG1307"/>
      <c r="BH1307"/>
      <c r="BI1307"/>
      <c r="BJ1307"/>
      <c r="BR1307"/>
      <c r="BS1307"/>
      <c r="BT1307"/>
      <c r="BU1307"/>
      <c r="BX1307"/>
      <c r="BY1307"/>
      <c r="CA1307"/>
    </row>
    <row r="1308" spans="2:79" ht="18.75">
      <c r="B1308" s="252" t="s">
        <v>4239</v>
      </c>
      <c r="C1308" s="251">
        <v>44643192000120</v>
      </c>
      <c r="D1308" s="252" t="s">
        <v>11</v>
      </c>
      <c r="E1308" s="252" t="s">
        <v>620</v>
      </c>
      <c r="F1308" s="252" t="s">
        <v>663</v>
      </c>
      <c r="G1308" s="253" t="s">
        <v>738</v>
      </c>
      <c r="H1308" s="253" t="s">
        <v>1337</v>
      </c>
      <c r="I1308" s="253" t="s">
        <v>34</v>
      </c>
      <c r="J1308" s="253" t="s">
        <v>608</v>
      </c>
      <c r="K1308" s="253" t="s">
        <v>48</v>
      </c>
      <c r="L1308" s="655"/>
      <c r="M1308" s="655" t="s">
        <v>34</v>
      </c>
      <c r="N1308" s="253" t="s">
        <v>4240</v>
      </c>
      <c r="O1308" s="253" t="s">
        <v>1321</v>
      </c>
      <c r="P1308" s="656">
        <v>44655</v>
      </c>
      <c r="Q1308" s="657">
        <v>10.96671315</v>
      </c>
      <c r="R1308" s="657">
        <v>2.746182000132158</v>
      </c>
      <c r="S1308" s="253">
        <v>61</v>
      </c>
      <c r="T1308" s="658">
        <v>-5.7683550765779135E-3</v>
      </c>
      <c r="U1308" s="659">
        <v>-0.2884411179397573</v>
      </c>
      <c r="V1308" s="658"/>
      <c r="W1308" s="659"/>
      <c r="X1308" s="658"/>
      <c r="Y1308" s="659"/>
      <c r="Z1308" s="658"/>
      <c r="AA1308" s="659"/>
      <c r="AB1308" s="658">
        <v>1.3197986548083077E-2</v>
      </c>
      <c r="AC1308" s="660"/>
      <c r="AD1308" s="682">
        <v>24444154000130</v>
      </c>
      <c r="AE1308" s="944" t="s">
        <v>1781</v>
      </c>
      <c r="AF1308" s="661" t="s">
        <v>1729</v>
      </c>
      <c r="AG1308" s="662" t="s">
        <v>1433</v>
      </c>
      <c r="AH1308" s="662" t="s">
        <v>1730</v>
      </c>
      <c r="AI1308" s="662">
        <v>1000</v>
      </c>
      <c r="AJ1308" s="662">
        <v>100</v>
      </c>
      <c r="AK1308" s="662">
        <v>100</v>
      </c>
      <c r="AL1308" s="658">
        <v>3.5000000000000001E-3</v>
      </c>
      <c r="AM1308" s="658">
        <v>0.2</v>
      </c>
      <c r="AN1308" s="659" t="s">
        <v>64</v>
      </c>
      <c r="AO1308" s="253" t="s">
        <v>34</v>
      </c>
      <c r="AP1308" s="944" t="s">
        <v>1735</v>
      </c>
      <c r="AQ1308" s="663" t="s">
        <v>1374</v>
      </c>
      <c r="AR1308" s="658">
        <v>0</v>
      </c>
      <c r="AS1308" s="658">
        <v>0</v>
      </c>
      <c r="AT1308" s="658" t="s">
        <v>1417</v>
      </c>
      <c r="AU1308" s="658" t="s">
        <v>2751</v>
      </c>
      <c r="AX1308"/>
      <c r="AY1308"/>
      <c r="BA1308"/>
      <c r="BB1308"/>
      <c r="BC1308"/>
      <c r="BD1308"/>
      <c r="BE1308"/>
      <c r="BF1308"/>
      <c r="BG1308"/>
      <c r="BH1308"/>
      <c r="BI1308"/>
      <c r="BJ1308"/>
      <c r="BR1308"/>
      <c r="BS1308"/>
      <c r="BT1308"/>
      <c r="BU1308"/>
      <c r="BX1308"/>
      <c r="BY1308"/>
      <c r="CA1308"/>
    </row>
    <row r="1309" spans="2:79" ht="18.75">
      <c r="B1309" s="252" t="s">
        <v>1196</v>
      </c>
      <c r="C1309" s="251">
        <v>12923387000137</v>
      </c>
      <c r="D1309" s="252" t="s">
        <v>11</v>
      </c>
      <c r="E1309" s="252" t="s">
        <v>620</v>
      </c>
      <c r="F1309" s="252" t="s">
        <v>663</v>
      </c>
      <c r="G1309" s="253" t="s">
        <v>738</v>
      </c>
      <c r="H1309" s="253" t="s">
        <v>34</v>
      </c>
      <c r="I1309" s="253" t="s">
        <v>1304</v>
      </c>
      <c r="J1309" s="253" t="s">
        <v>608</v>
      </c>
      <c r="K1309" s="253" t="s">
        <v>48</v>
      </c>
      <c r="L1309" s="655"/>
      <c r="M1309" s="655" t="s">
        <v>1414</v>
      </c>
      <c r="N1309" s="253" t="s">
        <v>3941</v>
      </c>
      <c r="O1309" s="253" t="s">
        <v>1321</v>
      </c>
      <c r="P1309" s="656">
        <v>40542</v>
      </c>
      <c r="Q1309" s="657">
        <v>0</v>
      </c>
      <c r="R1309" s="657">
        <v>0</v>
      </c>
      <c r="S1309" s="253">
        <v>0</v>
      </c>
      <c r="T1309" s="658"/>
      <c r="U1309" s="659"/>
      <c r="V1309" s="658"/>
      <c r="W1309" s="659"/>
      <c r="X1309" s="658"/>
      <c r="Y1309" s="659"/>
      <c r="Z1309" s="658"/>
      <c r="AA1309" s="659"/>
      <c r="AB1309" s="658"/>
      <c r="AC1309" s="660"/>
      <c r="AD1309" s="682">
        <v>0</v>
      </c>
      <c r="AE1309" s="944" t="s">
        <v>1781</v>
      </c>
      <c r="AF1309" s="661" t="s">
        <v>1729</v>
      </c>
      <c r="AG1309" s="662" t="s">
        <v>1433</v>
      </c>
      <c r="AH1309" s="662" t="s">
        <v>1734</v>
      </c>
      <c r="AI1309" s="662">
        <v>500</v>
      </c>
      <c r="AJ1309" s="662">
        <v>100</v>
      </c>
      <c r="AK1309" s="662">
        <v>100</v>
      </c>
      <c r="AL1309" s="658">
        <v>3.0000000000000001E-3</v>
      </c>
      <c r="AM1309" s="658">
        <v>0</v>
      </c>
      <c r="AN1309" s="659" t="s">
        <v>64</v>
      </c>
      <c r="AO1309" s="253" t="s">
        <v>34</v>
      </c>
      <c r="AP1309" s="944" t="s">
        <v>1735</v>
      </c>
      <c r="AQ1309" s="663" t="s">
        <v>662</v>
      </c>
      <c r="AR1309" s="658">
        <v>7.5000000000000002E-4</v>
      </c>
      <c r="AS1309" s="658">
        <v>7.5000000000000002E-4</v>
      </c>
      <c r="AT1309" s="658" t="s">
        <v>1417</v>
      </c>
      <c r="AU1309" s="658" t="s">
        <v>2751</v>
      </c>
      <c r="AX1309"/>
      <c r="AY1309"/>
      <c r="BA1309"/>
      <c r="BB1309"/>
      <c r="BC1309"/>
      <c r="BD1309"/>
      <c r="BE1309"/>
      <c r="BF1309"/>
      <c r="BG1309"/>
      <c r="BH1309"/>
      <c r="BI1309"/>
      <c r="BJ1309"/>
      <c r="BR1309"/>
      <c r="BS1309"/>
      <c r="BT1309"/>
      <c r="BU1309"/>
      <c r="BX1309"/>
      <c r="BY1309"/>
      <c r="CA1309"/>
    </row>
    <row r="1310" spans="2:79" ht="18.75">
      <c r="B1310" s="252" t="s">
        <v>2648</v>
      </c>
      <c r="C1310" s="251">
        <v>31392530000156</v>
      </c>
      <c r="D1310" s="252" t="s">
        <v>11</v>
      </c>
      <c r="E1310" s="252" t="s">
        <v>620</v>
      </c>
      <c r="F1310" s="252" t="s">
        <v>663</v>
      </c>
      <c r="G1310" s="253" t="s">
        <v>1417</v>
      </c>
      <c r="H1310" s="253" t="s">
        <v>1417</v>
      </c>
      <c r="I1310" s="253" t="s">
        <v>1417</v>
      </c>
      <c r="J1310" s="253" t="s">
        <v>608</v>
      </c>
      <c r="K1310" s="253" t="s">
        <v>48</v>
      </c>
      <c r="L1310" s="655"/>
      <c r="M1310" s="655" t="s">
        <v>34</v>
      </c>
      <c r="N1310" s="253" t="s">
        <v>3942</v>
      </c>
      <c r="O1310" s="253" t="s">
        <v>1321</v>
      </c>
      <c r="P1310" s="656">
        <v>43525</v>
      </c>
      <c r="Q1310" s="657"/>
      <c r="R1310" s="657"/>
      <c r="S1310" s="253">
        <v>6</v>
      </c>
      <c r="T1310" s="658"/>
      <c r="U1310" s="659"/>
      <c r="V1310" s="658"/>
      <c r="W1310" s="659"/>
      <c r="X1310" s="658"/>
      <c r="Y1310" s="659"/>
      <c r="Z1310" s="658"/>
      <c r="AA1310" s="659"/>
      <c r="AB1310" s="658"/>
      <c r="AC1310" s="660"/>
      <c r="AD1310" s="682">
        <v>31962100000122</v>
      </c>
      <c r="AE1310" s="944" t="s">
        <v>1781</v>
      </c>
      <c r="AF1310" s="661" t="s">
        <v>1729</v>
      </c>
      <c r="AG1310" s="662" t="s">
        <v>1433</v>
      </c>
      <c r="AH1310" s="662" t="s">
        <v>2119</v>
      </c>
      <c r="AI1310" s="662">
        <v>0</v>
      </c>
      <c r="AJ1310" s="662">
        <v>0</v>
      </c>
      <c r="AK1310" s="662">
        <v>0</v>
      </c>
      <c r="AL1310" s="658">
        <v>8.0000000000000002E-3</v>
      </c>
      <c r="AM1310" s="658">
        <v>0</v>
      </c>
      <c r="AN1310" s="659" t="s">
        <v>64</v>
      </c>
      <c r="AO1310" s="253" t="s">
        <v>4400</v>
      </c>
      <c r="AP1310" s="944" t="s">
        <v>1735</v>
      </c>
      <c r="AQ1310" s="663" t="s">
        <v>2649</v>
      </c>
      <c r="AR1310" s="658">
        <v>0</v>
      </c>
      <c r="AS1310" s="658">
        <v>0</v>
      </c>
      <c r="AT1310" s="658" t="s">
        <v>1417</v>
      </c>
      <c r="AU1310" s="658" t="s">
        <v>2751</v>
      </c>
      <c r="AX1310"/>
      <c r="AY1310"/>
      <c r="BA1310"/>
      <c r="BB1310"/>
      <c r="BC1310"/>
      <c r="BD1310"/>
      <c r="BE1310"/>
      <c r="BF1310"/>
      <c r="BG1310"/>
      <c r="BH1310"/>
      <c r="BI1310"/>
      <c r="BJ1310"/>
      <c r="BR1310"/>
      <c r="BS1310"/>
      <c r="BT1310"/>
      <c r="BU1310"/>
      <c r="BX1310"/>
      <c r="BY1310"/>
      <c r="CA1310"/>
    </row>
    <row r="1311" spans="2:79" ht="18.75">
      <c r="B1311" s="252" t="s">
        <v>1197</v>
      </c>
      <c r="C1311" s="251">
        <v>38026926000129</v>
      </c>
      <c r="D1311" s="252" t="s">
        <v>11</v>
      </c>
      <c r="E1311" s="252" t="s">
        <v>621</v>
      </c>
      <c r="F1311" s="252" t="s">
        <v>663</v>
      </c>
      <c r="G1311" s="253" t="s">
        <v>738</v>
      </c>
      <c r="H1311" s="253" t="s">
        <v>34</v>
      </c>
      <c r="I1311" s="253" t="s">
        <v>1417</v>
      </c>
      <c r="J1311" s="253" t="s">
        <v>608</v>
      </c>
      <c r="K1311" s="253" t="s">
        <v>48</v>
      </c>
      <c r="L1311" s="655"/>
      <c r="M1311" s="655" t="s">
        <v>34</v>
      </c>
      <c r="N1311" s="253" t="s">
        <v>3944</v>
      </c>
      <c r="O1311" s="253" t="s">
        <v>1321</v>
      </c>
      <c r="P1311" s="656">
        <v>44092</v>
      </c>
      <c r="Q1311" s="657">
        <v>162.43508494</v>
      </c>
      <c r="R1311" s="657">
        <v>147.12952707975813</v>
      </c>
      <c r="S1311" s="253">
        <v>31</v>
      </c>
      <c r="T1311" s="658">
        <v>3.2434993850962712E-3</v>
      </c>
      <c r="U1311" s="659">
        <v>0.16218810670530109</v>
      </c>
      <c r="V1311" s="658">
        <v>9.8122195212572594E-2</v>
      </c>
      <c r="W1311" s="659">
        <v>0.76096804908079008</v>
      </c>
      <c r="X1311" s="658">
        <v>0.19040400738260899</v>
      </c>
      <c r="Y1311" s="659">
        <v>0.98610094074429055</v>
      </c>
      <c r="Z1311" s="658"/>
      <c r="AA1311" s="659"/>
      <c r="AB1311" s="658">
        <v>2.9399214860021956E-2</v>
      </c>
      <c r="AC1311" s="660">
        <v>-1.0483856246150356</v>
      </c>
      <c r="AD1311" s="682">
        <v>38026869000188</v>
      </c>
      <c r="AE1311" s="944" t="s">
        <v>1781</v>
      </c>
      <c r="AF1311" s="661" t="s">
        <v>1729</v>
      </c>
      <c r="AG1311" s="662" t="s">
        <v>1433</v>
      </c>
      <c r="AH1311" s="662" t="s">
        <v>1734</v>
      </c>
      <c r="AI1311" s="662">
        <v>5000</v>
      </c>
      <c r="AJ1311" s="662">
        <v>100</v>
      </c>
      <c r="AK1311" s="662">
        <v>3000</v>
      </c>
      <c r="AL1311" s="658">
        <v>7.4999999999999997E-3</v>
      </c>
      <c r="AM1311" s="658">
        <v>0.2</v>
      </c>
      <c r="AN1311" s="659" t="s">
        <v>34</v>
      </c>
      <c r="AO1311" s="253" t="s">
        <v>34</v>
      </c>
      <c r="AP1311" s="944" t="s">
        <v>1735</v>
      </c>
      <c r="AQ1311" s="663" t="s">
        <v>675</v>
      </c>
      <c r="AR1311" s="658">
        <v>1.4E-3</v>
      </c>
      <c r="AS1311" s="658">
        <v>1.4E-3</v>
      </c>
      <c r="AT1311" s="658" t="s">
        <v>1417</v>
      </c>
      <c r="AU1311" s="658" t="s">
        <v>2751</v>
      </c>
      <c r="AX1311"/>
      <c r="AY1311"/>
      <c r="BA1311"/>
      <c r="BB1311"/>
      <c r="BC1311"/>
      <c r="BD1311"/>
      <c r="BE1311"/>
      <c r="BF1311"/>
      <c r="BG1311"/>
      <c r="BH1311"/>
      <c r="BI1311"/>
      <c r="BJ1311"/>
      <c r="BR1311"/>
      <c r="BS1311"/>
      <c r="BT1311"/>
      <c r="BU1311"/>
      <c r="BX1311"/>
      <c r="BY1311"/>
      <c r="CA1311"/>
    </row>
    <row r="1312" spans="2:79" ht="18.75">
      <c r="B1312" s="252" t="s">
        <v>382</v>
      </c>
      <c r="C1312" s="251">
        <v>16617768000149</v>
      </c>
      <c r="D1312" s="252" t="s">
        <v>14</v>
      </c>
      <c r="E1312" s="252" t="s">
        <v>614</v>
      </c>
      <c r="F1312" s="252" t="s">
        <v>1417</v>
      </c>
      <c r="G1312" s="253" t="s">
        <v>1417</v>
      </c>
      <c r="H1312" s="253" t="s">
        <v>865</v>
      </c>
      <c r="I1312" s="253" t="s">
        <v>34</v>
      </c>
      <c r="J1312" s="253" t="s">
        <v>608</v>
      </c>
      <c r="K1312" s="253" t="s">
        <v>48</v>
      </c>
      <c r="L1312" s="655"/>
      <c r="M1312" s="655" t="s">
        <v>1414</v>
      </c>
      <c r="N1312" s="253" t="s">
        <v>3946</v>
      </c>
      <c r="O1312" s="253" t="s">
        <v>1324</v>
      </c>
      <c r="P1312" s="656">
        <v>41171</v>
      </c>
      <c r="Q1312" s="657">
        <v>411.07157819999998</v>
      </c>
      <c r="R1312" s="657">
        <v>428.6605025229843</v>
      </c>
      <c r="S1312" s="253">
        <v>62</v>
      </c>
      <c r="T1312" s="658">
        <v>5.420255307114763E-3</v>
      </c>
      <c r="U1312" s="659">
        <v>0.27103471952537794</v>
      </c>
      <c r="V1312" s="658">
        <v>0.17457018731975293</v>
      </c>
      <c r="W1312" s="659">
        <v>1.3538459324578902</v>
      </c>
      <c r="X1312" s="658">
        <v>0.26871070556984522</v>
      </c>
      <c r="Y1312" s="659">
        <v>1.3916507493354819</v>
      </c>
      <c r="Z1312" s="658">
        <v>0.34703123138176051</v>
      </c>
      <c r="AA1312" s="659">
        <v>1.5669421426042778</v>
      </c>
      <c r="AB1312" s="658">
        <v>0.17308784517462536</v>
      </c>
      <c r="AC1312" s="660">
        <v>0.26360185966226002</v>
      </c>
      <c r="AD1312" s="682">
        <v>15831948000166</v>
      </c>
      <c r="AE1312" s="944" t="s">
        <v>1834</v>
      </c>
      <c r="AF1312" s="661" t="s">
        <v>1767</v>
      </c>
      <c r="AG1312" s="662" t="s">
        <v>59</v>
      </c>
      <c r="AH1312" s="662" t="s">
        <v>1730</v>
      </c>
      <c r="AI1312" s="662">
        <v>50000</v>
      </c>
      <c r="AJ1312" s="662">
        <v>10000</v>
      </c>
      <c r="AK1312" s="662">
        <v>50000</v>
      </c>
      <c r="AL1312" s="658">
        <v>0</v>
      </c>
      <c r="AM1312" s="658">
        <v>0</v>
      </c>
      <c r="AN1312" s="659" t="s">
        <v>2141</v>
      </c>
      <c r="AO1312" s="253" t="s">
        <v>34</v>
      </c>
      <c r="AP1312" s="944" t="s">
        <v>1731</v>
      </c>
      <c r="AQ1312" s="663" t="s">
        <v>659</v>
      </c>
      <c r="AR1312" s="658">
        <v>3.16666E-3</v>
      </c>
      <c r="AS1312" s="658">
        <v>3.16666E-3</v>
      </c>
      <c r="AT1312" s="658" t="s">
        <v>1417</v>
      </c>
      <c r="AU1312" s="658" t="s">
        <v>2751</v>
      </c>
      <c r="AX1312"/>
      <c r="AY1312"/>
      <c r="BA1312"/>
      <c r="BB1312"/>
      <c r="BC1312"/>
      <c r="BD1312"/>
      <c r="BE1312"/>
      <c r="BF1312"/>
      <c r="BG1312"/>
      <c r="BH1312"/>
      <c r="BI1312"/>
      <c r="BJ1312"/>
      <c r="BR1312"/>
      <c r="BS1312"/>
      <c r="BT1312"/>
      <c r="BU1312"/>
      <c r="BX1312"/>
      <c r="BY1312"/>
      <c r="CA1312"/>
    </row>
    <row r="1313" spans="2:79" ht="18.75">
      <c r="B1313" s="252" t="s">
        <v>2671</v>
      </c>
      <c r="C1313" s="251">
        <v>43164533000111</v>
      </c>
      <c r="D1313" s="252" t="s">
        <v>13</v>
      </c>
      <c r="E1313" s="252" t="s">
        <v>615</v>
      </c>
      <c r="F1313" s="252" t="s">
        <v>619</v>
      </c>
      <c r="G1313" s="253" t="s">
        <v>34</v>
      </c>
      <c r="H1313" s="253" t="s">
        <v>1338</v>
      </c>
      <c r="I1313" s="253" t="s">
        <v>34</v>
      </c>
      <c r="J1313" s="253" t="s">
        <v>608</v>
      </c>
      <c r="K1313" s="253" t="s">
        <v>48</v>
      </c>
      <c r="L1313" s="655"/>
      <c r="M1313" s="655" t="s">
        <v>34</v>
      </c>
      <c r="N1313" s="253" t="s">
        <v>3948</v>
      </c>
      <c r="O1313" s="253" t="s">
        <v>1321</v>
      </c>
      <c r="P1313" s="656">
        <v>44602</v>
      </c>
      <c r="Q1313" s="657"/>
      <c r="R1313" s="657"/>
      <c r="S1313" s="253">
        <v>5</v>
      </c>
      <c r="T1313" s="658"/>
      <c r="U1313" s="659"/>
      <c r="V1313" s="658"/>
      <c r="W1313" s="659"/>
      <c r="X1313" s="658"/>
      <c r="Y1313" s="659"/>
      <c r="Z1313" s="658"/>
      <c r="AA1313" s="659"/>
      <c r="AB1313" s="658"/>
      <c r="AC1313" s="660"/>
      <c r="AD1313" s="682">
        <v>41409879000107</v>
      </c>
      <c r="AE1313" s="944" t="s">
        <v>1797</v>
      </c>
      <c r="AF1313" s="661" t="s">
        <v>1745</v>
      </c>
      <c r="AG1313" s="662" t="s">
        <v>1432</v>
      </c>
      <c r="AH1313" s="662" t="s">
        <v>2119</v>
      </c>
      <c r="AI1313" s="662">
        <v>10000</v>
      </c>
      <c r="AJ1313" s="662">
        <v>0</v>
      </c>
      <c r="AK1313" s="662">
        <v>0</v>
      </c>
      <c r="AL1313" s="658">
        <v>7.4999999999999997E-3</v>
      </c>
      <c r="AM1313" s="658">
        <v>0</v>
      </c>
      <c r="AN1313" s="659" t="s">
        <v>2127</v>
      </c>
      <c r="AO1313" s="253" t="s">
        <v>4400</v>
      </c>
      <c r="AP1313" s="944" t="s">
        <v>1746</v>
      </c>
      <c r="AQ1313" s="663" t="s">
        <v>2177</v>
      </c>
      <c r="AR1313" s="658">
        <v>0</v>
      </c>
      <c r="AS1313" s="658">
        <v>0</v>
      </c>
      <c r="AT1313" s="658" t="s">
        <v>1417</v>
      </c>
      <c r="AU1313" s="658" t="s">
        <v>2751</v>
      </c>
      <c r="AX1313"/>
      <c r="AY1313"/>
      <c r="BA1313"/>
      <c r="BB1313"/>
      <c r="BC1313"/>
      <c r="BD1313"/>
      <c r="BE1313"/>
      <c r="BF1313"/>
      <c r="BG1313"/>
      <c r="BH1313"/>
      <c r="BI1313"/>
      <c r="BJ1313"/>
      <c r="BR1313"/>
      <c r="BS1313"/>
      <c r="BT1313"/>
      <c r="BU1313"/>
      <c r="BX1313"/>
      <c r="BY1313"/>
      <c r="CA1313"/>
    </row>
    <row r="1314" spans="2:79" ht="18.75">
      <c r="B1314" s="252" t="s">
        <v>1692</v>
      </c>
      <c r="C1314" s="251">
        <v>29127763000180</v>
      </c>
      <c r="D1314" s="252" t="s">
        <v>13</v>
      </c>
      <c r="E1314" s="252" t="s">
        <v>615</v>
      </c>
      <c r="F1314" s="252" t="s">
        <v>619</v>
      </c>
      <c r="G1314" s="253" t="s">
        <v>34</v>
      </c>
      <c r="H1314" s="253" t="s">
        <v>1338</v>
      </c>
      <c r="I1314" s="253" t="s">
        <v>34</v>
      </c>
      <c r="J1314" s="253" t="s">
        <v>611</v>
      </c>
      <c r="K1314" s="253" t="s">
        <v>48</v>
      </c>
      <c r="L1314" s="655"/>
      <c r="M1314" s="655" t="s">
        <v>34</v>
      </c>
      <c r="N1314" s="253" t="s">
        <v>3949</v>
      </c>
      <c r="O1314" s="253" t="s">
        <v>1321</v>
      </c>
      <c r="P1314" s="656">
        <v>43161</v>
      </c>
      <c r="Q1314" s="657">
        <v>0</v>
      </c>
      <c r="R1314" s="657">
        <v>764.89897161149531</v>
      </c>
      <c r="S1314" s="253">
        <v>61</v>
      </c>
      <c r="T1314" s="658"/>
      <c r="U1314" s="659"/>
      <c r="V1314" s="658">
        <v>0.14552874387670078</v>
      </c>
      <c r="W1314" s="659">
        <v>1.128620533541032</v>
      </c>
      <c r="X1314" s="658">
        <v>0.28740593814243942</v>
      </c>
      <c r="Y1314" s="659">
        <v>1.4884732200423265</v>
      </c>
      <c r="Z1314" s="658">
        <v>0.4328131544530418</v>
      </c>
      <c r="AA1314" s="659">
        <v>1.9542712881651332</v>
      </c>
      <c r="AB1314" s="658">
        <v>7.6070337202386817E-2</v>
      </c>
      <c r="AC1314" s="660">
        <v>0.21801973068409192</v>
      </c>
      <c r="AD1314" s="682">
        <v>17417026000132</v>
      </c>
      <c r="AE1314" s="944" t="s">
        <v>1797</v>
      </c>
      <c r="AF1314" s="661" t="s">
        <v>1745</v>
      </c>
      <c r="AG1314" s="662" t="s">
        <v>1432</v>
      </c>
      <c r="AH1314" s="662" t="s">
        <v>1730</v>
      </c>
      <c r="AI1314" s="662">
        <v>5000</v>
      </c>
      <c r="AJ1314" s="662">
        <v>5000</v>
      </c>
      <c r="AK1314" s="662">
        <v>5000</v>
      </c>
      <c r="AL1314" s="658">
        <v>0</v>
      </c>
      <c r="AM1314" s="658">
        <v>0</v>
      </c>
      <c r="AN1314" s="659" t="s">
        <v>34</v>
      </c>
      <c r="AO1314" s="253" t="s">
        <v>34</v>
      </c>
      <c r="AP1314" s="944" t="s">
        <v>1746</v>
      </c>
      <c r="AQ1314" s="663" t="s">
        <v>664</v>
      </c>
      <c r="AR1314" s="658">
        <v>3.3333333333333301E-3</v>
      </c>
      <c r="AS1314" s="658">
        <v>3.3333333333333301E-3</v>
      </c>
      <c r="AT1314" s="658" t="s">
        <v>1417</v>
      </c>
      <c r="AU1314" s="658" t="s">
        <v>2751</v>
      </c>
      <c r="AX1314"/>
      <c r="AY1314"/>
      <c r="BA1314"/>
      <c r="BB1314"/>
      <c r="BC1314"/>
      <c r="BD1314"/>
      <c r="BE1314"/>
      <c r="BF1314"/>
      <c r="BG1314"/>
      <c r="BH1314"/>
      <c r="BI1314"/>
      <c r="BJ1314"/>
      <c r="BR1314"/>
      <c r="BS1314"/>
      <c r="BT1314"/>
      <c r="BU1314"/>
      <c r="BX1314"/>
      <c r="BY1314"/>
      <c r="CA1314"/>
    </row>
    <row r="1315" spans="2:79" ht="18.75">
      <c r="B1315" s="252" t="s">
        <v>1693</v>
      </c>
      <c r="C1315" s="251">
        <v>40386490000120</v>
      </c>
      <c r="D1315" s="252" t="s">
        <v>14</v>
      </c>
      <c r="E1315" s="252" t="s">
        <v>614</v>
      </c>
      <c r="F1315" s="252" t="s">
        <v>1417</v>
      </c>
      <c r="G1315" s="253" t="s">
        <v>1417</v>
      </c>
      <c r="H1315" s="253" t="s">
        <v>865</v>
      </c>
      <c r="I1315" s="253" t="s">
        <v>34</v>
      </c>
      <c r="J1315" s="253" t="s">
        <v>608</v>
      </c>
      <c r="K1315" s="253" t="s">
        <v>48</v>
      </c>
      <c r="L1315" s="655"/>
      <c r="M1315" s="655" t="s">
        <v>34</v>
      </c>
      <c r="N1315" s="253" t="s">
        <v>3952</v>
      </c>
      <c r="O1315" s="253" t="s">
        <v>1321</v>
      </c>
      <c r="P1315" s="656">
        <v>44301</v>
      </c>
      <c r="Q1315" s="657">
        <v>19.55110689</v>
      </c>
      <c r="R1315" s="657">
        <v>11.635278192048187</v>
      </c>
      <c r="S1315" s="253">
        <v>32</v>
      </c>
      <c r="T1315" s="658">
        <v>-3.6666823780040492E-4</v>
      </c>
      <c r="U1315" s="659">
        <v>-1.8334897040855048E-2</v>
      </c>
      <c r="V1315" s="658">
        <v>0.1457215819045945</v>
      </c>
      <c r="W1315" s="659">
        <v>1.1301160522415357</v>
      </c>
      <c r="X1315" s="658"/>
      <c r="Y1315" s="659"/>
      <c r="Z1315" s="658"/>
      <c r="AA1315" s="659"/>
      <c r="AB1315" s="658">
        <v>0.14714495490533322</v>
      </c>
      <c r="AC1315" s="660">
        <v>0.11402139114181785</v>
      </c>
      <c r="AD1315" s="682">
        <v>40386431000152</v>
      </c>
      <c r="AE1315" s="944" t="s">
        <v>1834</v>
      </c>
      <c r="AF1315" s="661" t="s">
        <v>1767</v>
      </c>
      <c r="AG1315" s="662" t="s">
        <v>59</v>
      </c>
      <c r="AH1315" s="662" t="s">
        <v>1801</v>
      </c>
      <c r="AI1315" s="662">
        <v>0</v>
      </c>
      <c r="AJ1315" s="662">
        <v>0</v>
      </c>
      <c r="AK1315" s="662">
        <v>0</v>
      </c>
      <c r="AL1315" s="658">
        <v>0.02</v>
      </c>
      <c r="AM1315" s="658">
        <v>0</v>
      </c>
      <c r="AN1315" s="659" t="s">
        <v>64</v>
      </c>
      <c r="AO1315" s="253" t="s">
        <v>34</v>
      </c>
      <c r="AP1315" s="944" t="s">
        <v>1746</v>
      </c>
      <c r="AQ1315" s="663" t="s">
        <v>2177</v>
      </c>
      <c r="AR1315" s="658">
        <v>0</v>
      </c>
      <c r="AS1315" s="658">
        <v>0</v>
      </c>
      <c r="AT1315" s="658" t="s">
        <v>1417</v>
      </c>
      <c r="AU1315" s="658" t="s">
        <v>2751</v>
      </c>
      <c r="AX1315"/>
      <c r="AY1315"/>
      <c r="BA1315"/>
      <c r="BB1315"/>
      <c r="BC1315"/>
      <c r="BD1315"/>
      <c r="BE1315"/>
      <c r="BF1315"/>
      <c r="BG1315"/>
      <c r="BH1315"/>
      <c r="BI1315"/>
      <c r="BJ1315"/>
      <c r="BR1315"/>
      <c r="BS1315"/>
      <c r="BT1315"/>
      <c r="BU1315"/>
      <c r="BX1315"/>
      <c r="BY1315"/>
      <c r="CA1315"/>
    </row>
    <row r="1316" spans="2:79" ht="18.75">
      <c r="B1316" s="252" t="s">
        <v>1430</v>
      </c>
      <c r="C1316" s="251">
        <v>12809201000113</v>
      </c>
      <c r="D1316" s="252" t="s">
        <v>13</v>
      </c>
      <c r="E1316" s="252" t="s">
        <v>615</v>
      </c>
      <c r="F1316" s="252" t="s">
        <v>619</v>
      </c>
      <c r="G1316" s="253" t="s">
        <v>34</v>
      </c>
      <c r="H1316" s="253" t="s">
        <v>1338</v>
      </c>
      <c r="I1316" s="253" t="s">
        <v>34</v>
      </c>
      <c r="J1316" s="253" t="s">
        <v>611</v>
      </c>
      <c r="K1316" s="253" t="s">
        <v>48</v>
      </c>
      <c r="L1316" s="655"/>
      <c r="M1316" s="655" t="s">
        <v>1414</v>
      </c>
      <c r="N1316" s="253" t="s">
        <v>3953</v>
      </c>
      <c r="O1316" s="253" t="s">
        <v>1324</v>
      </c>
      <c r="P1316" s="656">
        <v>40515</v>
      </c>
      <c r="Q1316" s="657">
        <v>2651.2434837999999</v>
      </c>
      <c r="R1316" s="657">
        <v>2827.7401772653261</v>
      </c>
      <c r="S1316" s="253">
        <v>121</v>
      </c>
      <c r="T1316" s="658">
        <v>2.5929104479663012E-2</v>
      </c>
      <c r="U1316" s="659">
        <v>1.2965602470726731</v>
      </c>
      <c r="V1316" s="658">
        <v>0.23291241187753409</v>
      </c>
      <c r="W1316" s="659">
        <v>1.8063079743495036</v>
      </c>
      <c r="X1316" s="658">
        <v>0.49486623215794645</v>
      </c>
      <c r="Y1316" s="659">
        <v>2.5629085426387146</v>
      </c>
      <c r="Z1316" s="658">
        <v>0.82752917489075606</v>
      </c>
      <c r="AA1316" s="659">
        <v>3.736523462766999</v>
      </c>
      <c r="AB1316" s="658">
        <v>0.22731489014280742</v>
      </c>
      <c r="AC1316" s="660">
        <v>0.4573765597380311</v>
      </c>
      <c r="AD1316" s="682">
        <v>12808980000132</v>
      </c>
      <c r="AE1316" s="944" t="s">
        <v>1834</v>
      </c>
      <c r="AF1316" s="661" t="s">
        <v>1767</v>
      </c>
      <c r="AG1316" s="662" t="s">
        <v>59</v>
      </c>
      <c r="AH1316" s="662" t="s">
        <v>1801</v>
      </c>
      <c r="AI1316" s="662">
        <v>1000000</v>
      </c>
      <c r="AJ1316" s="662">
        <v>0</v>
      </c>
      <c r="AK1316" s="662">
        <v>0</v>
      </c>
      <c r="AL1316" s="658">
        <v>0</v>
      </c>
      <c r="AM1316" s="658">
        <v>0.2</v>
      </c>
      <c r="AN1316" s="659" t="s">
        <v>64</v>
      </c>
      <c r="AO1316" s="253" t="s">
        <v>34</v>
      </c>
      <c r="AP1316" s="944" t="s">
        <v>1746</v>
      </c>
      <c r="AQ1316" s="663" t="s">
        <v>679</v>
      </c>
      <c r="AR1316" s="658">
        <v>0</v>
      </c>
      <c r="AS1316" s="658">
        <v>0</v>
      </c>
      <c r="AT1316" s="658" t="s">
        <v>1417</v>
      </c>
      <c r="AU1316" s="658" t="s">
        <v>2751</v>
      </c>
      <c r="AX1316"/>
      <c r="AY1316"/>
      <c r="BA1316"/>
      <c r="BB1316"/>
      <c r="BC1316"/>
      <c r="BD1316"/>
      <c r="BE1316"/>
      <c r="BF1316"/>
      <c r="BG1316"/>
      <c r="BH1316"/>
      <c r="BI1316"/>
      <c r="BJ1316"/>
      <c r="BR1316"/>
      <c r="BS1316"/>
      <c r="BT1316"/>
      <c r="BU1316"/>
      <c r="BX1316"/>
      <c r="BY1316"/>
      <c r="CA1316"/>
    </row>
    <row r="1317" spans="2:79" ht="18.75">
      <c r="B1317" s="252" t="s">
        <v>1694</v>
      </c>
      <c r="C1317" s="251">
        <v>12808980000132</v>
      </c>
      <c r="D1317" s="252" t="s">
        <v>13</v>
      </c>
      <c r="E1317" s="252" t="s">
        <v>615</v>
      </c>
      <c r="F1317" s="252" t="s">
        <v>619</v>
      </c>
      <c r="G1317" s="253" t="s">
        <v>34</v>
      </c>
      <c r="H1317" s="253" t="s">
        <v>1338</v>
      </c>
      <c r="I1317" s="253" t="s">
        <v>34</v>
      </c>
      <c r="J1317" s="253" t="s">
        <v>611</v>
      </c>
      <c r="K1317" s="253" t="s">
        <v>48</v>
      </c>
      <c r="L1317" s="655"/>
      <c r="M1317" s="655" t="s">
        <v>34</v>
      </c>
      <c r="N1317" s="253" t="s">
        <v>3954</v>
      </c>
      <c r="O1317" s="253" t="s">
        <v>1321</v>
      </c>
      <c r="P1317" s="656">
        <v>40515</v>
      </c>
      <c r="Q1317" s="657">
        <v>16185.056216999999</v>
      </c>
      <c r="R1317" s="657">
        <v>17424.664600036158</v>
      </c>
      <c r="S1317" s="253">
        <v>31</v>
      </c>
      <c r="T1317" s="658">
        <v>3.0215507210300085E-2</v>
      </c>
      <c r="U1317" s="659">
        <v>1.5108977452244803</v>
      </c>
      <c r="V1317" s="658">
        <v>0.26707745236352753</v>
      </c>
      <c r="W1317" s="659">
        <v>2.0712684570320334</v>
      </c>
      <c r="X1317" s="658">
        <v>0.59636202754951162</v>
      </c>
      <c r="Y1317" s="659">
        <v>3.0885545135036847</v>
      </c>
      <c r="Z1317" s="658">
        <v>1.0210337096261863</v>
      </c>
      <c r="AA1317" s="659">
        <v>4.6102500407890927</v>
      </c>
      <c r="AB1317" s="658">
        <v>0.2705253276632904</v>
      </c>
      <c r="AC1317" s="660">
        <v>0.51061223771501063</v>
      </c>
      <c r="AD1317" s="682">
        <v>0</v>
      </c>
      <c r="AE1317" s="944" t="s">
        <v>1834</v>
      </c>
      <c r="AF1317" s="661" t="s">
        <v>1767</v>
      </c>
      <c r="AG1317" s="662" t="s">
        <v>59</v>
      </c>
      <c r="AH1317" s="662" t="s">
        <v>1801</v>
      </c>
      <c r="AI1317" s="662">
        <v>1000000</v>
      </c>
      <c r="AJ1317" s="662">
        <v>0</v>
      </c>
      <c r="AK1317" s="662">
        <v>0</v>
      </c>
      <c r="AL1317" s="658">
        <v>1.3000000000000001E-2</v>
      </c>
      <c r="AM1317" s="658">
        <v>0</v>
      </c>
      <c r="AN1317" s="659" t="s">
        <v>64</v>
      </c>
      <c r="AO1317" s="253" t="s">
        <v>34</v>
      </c>
      <c r="AP1317" s="944" t="s">
        <v>1746</v>
      </c>
      <c r="AQ1317" s="663" t="s">
        <v>679</v>
      </c>
      <c r="AR1317" s="658">
        <v>0</v>
      </c>
      <c r="AS1317" s="658">
        <v>0</v>
      </c>
      <c r="AT1317" s="658" t="s">
        <v>1417</v>
      </c>
      <c r="AU1317" s="658" t="s">
        <v>2751</v>
      </c>
      <c r="AX1317"/>
      <c r="AY1317"/>
      <c r="BA1317"/>
      <c r="BB1317"/>
      <c r="BC1317"/>
      <c r="BD1317"/>
      <c r="BE1317"/>
      <c r="BF1317"/>
      <c r="BG1317"/>
      <c r="BH1317"/>
      <c r="BI1317"/>
      <c r="BJ1317"/>
      <c r="BR1317"/>
      <c r="BS1317"/>
      <c r="BT1317"/>
      <c r="BU1317"/>
      <c r="BX1317"/>
      <c r="BY1317"/>
      <c r="CA1317"/>
    </row>
    <row r="1318" spans="2:79" ht="18.75">
      <c r="B1318" s="252" t="s">
        <v>491</v>
      </c>
      <c r="C1318" s="251">
        <v>35505971000178</v>
      </c>
      <c r="D1318" s="252" t="s">
        <v>11</v>
      </c>
      <c r="E1318" s="252" t="s">
        <v>4235</v>
      </c>
      <c r="F1318" s="252" t="s">
        <v>663</v>
      </c>
      <c r="G1318" s="253" t="s">
        <v>738</v>
      </c>
      <c r="H1318" s="253" t="s">
        <v>34</v>
      </c>
      <c r="I1318" s="253" t="s">
        <v>1417</v>
      </c>
      <c r="J1318" s="253" t="s">
        <v>611</v>
      </c>
      <c r="K1318" s="253" t="s">
        <v>48</v>
      </c>
      <c r="L1318" s="655"/>
      <c r="M1318" s="655" t="s">
        <v>1414</v>
      </c>
      <c r="N1318" s="253" t="s">
        <v>3956</v>
      </c>
      <c r="O1318" s="253" t="s">
        <v>1321</v>
      </c>
      <c r="P1318" s="656">
        <v>43812</v>
      </c>
      <c r="Q1318" s="657">
        <v>2066.59856967</v>
      </c>
      <c r="R1318" s="657">
        <v>1448.1263270519676</v>
      </c>
      <c r="S1318" s="253">
        <v>46</v>
      </c>
      <c r="T1318" s="658">
        <v>-1.1863542375799563E-3</v>
      </c>
      <c r="U1318" s="659">
        <v>-5.9322517081097897E-2</v>
      </c>
      <c r="V1318" s="658">
        <v>0.11980187836282874</v>
      </c>
      <c r="W1318" s="659">
        <v>0.92910071423162266</v>
      </c>
      <c r="X1318" s="658">
        <v>0.21228437837794112</v>
      </c>
      <c r="Y1318" s="659">
        <v>1.099419219697183</v>
      </c>
      <c r="Z1318" s="658">
        <v>0.24975628976015884</v>
      </c>
      <c r="AA1318" s="659">
        <v>1.1277188345482358</v>
      </c>
      <c r="AB1318" s="658">
        <v>1.0016910612569952E-2</v>
      </c>
      <c r="AC1318" s="660">
        <v>-0.9126597448606083</v>
      </c>
      <c r="AD1318" s="682">
        <v>35491217000126</v>
      </c>
      <c r="AE1318" s="944" t="s">
        <v>1999</v>
      </c>
      <c r="AF1318" s="661" t="s">
        <v>1767</v>
      </c>
      <c r="AG1318" s="662" t="s">
        <v>59</v>
      </c>
      <c r="AH1318" s="662" t="s">
        <v>1734</v>
      </c>
      <c r="AI1318" s="662">
        <v>1000</v>
      </c>
      <c r="AJ1318" s="662">
        <v>500</v>
      </c>
      <c r="AK1318" s="662">
        <v>1000</v>
      </c>
      <c r="AL1318" s="658">
        <v>0</v>
      </c>
      <c r="AM1318" s="658">
        <v>0</v>
      </c>
      <c r="AN1318" s="659" t="s">
        <v>64</v>
      </c>
      <c r="AO1318" s="253" t="s">
        <v>34</v>
      </c>
      <c r="AP1318" s="944" t="s">
        <v>1735</v>
      </c>
      <c r="AQ1318" s="663" t="s">
        <v>675</v>
      </c>
      <c r="AR1318" s="658">
        <v>1.4E-3</v>
      </c>
      <c r="AS1318" s="658">
        <v>1.4E-3</v>
      </c>
      <c r="AT1318" s="658" t="s">
        <v>1417</v>
      </c>
      <c r="AU1318" s="658" t="s">
        <v>2751</v>
      </c>
      <c r="AX1318"/>
      <c r="AY1318"/>
      <c r="BA1318"/>
      <c r="BB1318"/>
      <c r="BC1318"/>
      <c r="BD1318"/>
      <c r="BE1318"/>
      <c r="BF1318"/>
      <c r="BG1318"/>
      <c r="BH1318"/>
      <c r="BI1318"/>
      <c r="BJ1318"/>
      <c r="BR1318"/>
      <c r="BS1318"/>
      <c r="BT1318"/>
      <c r="BU1318"/>
      <c r="BX1318"/>
      <c r="BY1318"/>
      <c r="CA1318"/>
    </row>
    <row r="1319" spans="2:79" ht="18.75">
      <c r="B1319" s="252" t="s">
        <v>384</v>
      </c>
      <c r="C1319" s="251">
        <v>32300293000119</v>
      </c>
      <c r="D1319" s="252" t="s">
        <v>14</v>
      </c>
      <c r="E1319" s="252" t="s">
        <v>614</v>
      </c>
      <c r="F1319" s="252" t="s">
        <v>1417</v>
      </c>
      <c r="G1319" s="253" t="s">
        <v>1417</v>
      </c>
      <c r="H1319" s="253" t="s">
        <v>1338</v>
      </c>
      <c r="I1319" s="253" t="s">
        <v>34</v>
      </c>
      <c r="J1319" s="253" t="s">
        <v>608</v>
      </c>
      <c r="K1319" s="253" t="s">
        <v>48</v>
      </c>
      <c r="L1319" s="655"/>
      <c r="M1319" s="655" t="s">
        <v>1414</v>
      </c>
      <c r="N1319" s="253" t="s">
        <v>3958</v>
      </c>
      <c r="O1319" s="253" t="s">
        <v>1324</v>
      </c>
      <c r="P1319" s="656">
        <v>43491</v>
      </c>
      <c r="Q1319" s="657">
        <v>141.50466437</v>
      </c>
      <c r="R1319" s="657">
        <v>159.49356570232925</v>
      </c>
      <c r="S1319" s="253">
        <v>62</v>
      </c>
      <c r="T1319" s="658">
        <v>-1.2333993700987422E-2</v>
      </c>
      <c r="U1319" s="659">
        <v>-0.61674964258360243</v>
      </c>
      <c r="V1319" s="658">
        <v>4.4620107426436295E-3</v>
      </c>
      <c r="W1319" s="659">
        <v>3.4604276865709431E-2</v>
      </c>
      <c r="X1319" s="658">
        <v>2.8512826447280482E-2</v>
      </c>
      <c r="Y1319" s="659">
        <v>0.14766771650159113</v>
      </c>
      <c r="Z1319" s="658">
        <v>9.7444060149898037E-2</v>
      </c>
      <c r="AA1319" s="659">
        <v>0.43998692505969789</v>
      </c>
      <c r="AB1319" s="658">
        <v>0.21111710458148569</v>
      </c>
      <c r="AC1319" s="660">
        <v>-0.58963435933301156</v>
      </c>
      <c r="AD1319" s="682">
        <v>9285146000103</v>
      </c>
      <c r="AE1319" s="944" t="s">
        <v>1797</v>
      </c>
      <c r="AF1319" s="661" t="s">
        <v>1745</v>
      </c>
      <c r="AG1319" s="662" t="s">
        <v>1432</v>
      </c>
      <c r="AH1319" s="662" t="s">
        <v>1730</v>
      </c>
      <c r="AI1319" s="662">
        <v>10000</v>
      </c>
      <c r="AJ1319" s="662">
        <v>10000</v>
      </c>
      <c r="AK1319" s="662">
        <v>10000</v>
      </c>
      <c r="AL1319" s="658">
        <v>0</v>
      </c>
      <c r="AM1319" s="658">
        <v>0</v>
      </c>
      <c r="AN1319" s="659" t="s">
        <v>34</v>
      </c>
      <c r="AO1319" s="253" t="s">
        <v>34</v>
      </c>
      <c r="AP1319" s="944" t="s">
        <v>1731</v>
      </c>
      <c r="AQ1319" s="663" t="s">
        <v>659</v>
      </c>
      <c r="AR1319" s="658">
        <v>0</v>
      </c>
      <c r="AS1319" s="658">
        <v>0</v>
      </c>
      <c r="AT1319" s="658" t="s">
        <v>1417</v>
      </c>
      <c r="AU1319" s="658" t="s">
        <v>2751</v>
      </c>
      <c r="AX1319"/>
      <c r="AY1319"/>
      <c r="BA1319"/>
      <c r="BB1319"/>
      <c r="BC1319"/>
      <c r="BD1319"/>
      <c r="BE1319"/>
      <c r="BF1319"/>
      <c r="BG1319"/>
      <c r="BH1319"/>
      <c r="BI1319"/>
      <c r="BJ1319"/>
      <c r="BR1319"/>
      <c r="BS1319"/>
      <c r="BT1319"/>
      <c r="BU1319"/>
      <c r="BX1319"/>
      <c r="BY1319"/>
      <c r="CA1319"/>
    </row>
    <row r="1320" spans="2:79" ht="18.75">
      <c r="B1320" s="252" t="s">
        <v>1695</v>
      </c>
      <c r="C1320" s="251">
        <v>9285146000103</v>
      </c>
      <c r="D1320" s="252" t="s">
        <v>14</v>
      </c>
      <c r="E1320" s="252" t="s">
        <v>614</v>
      </c>
      <c r="F1320" s="252" t="s">
        <v>1417</v>
      </c>
      <c r="G1320" s="253" t="s">
        <v>1417</v>
      </c>
      <c r="H1320" s="253" t="s">
        <v>1338</v>
      </c>
      <c r="I1320" s="253" t="s">
        <v>34</v>
      </c>
      <c r="J1320" s="253" t="s">
        <v>608</v>
      </c>
      <c r="K1320" s="253" t="s">
        <v>48</v>
      </c>
      <c r="L1320" s="655"/>
      <c r="M1320" s="655" t="s">
        <v>34</v>
      </c>
      <c r="N1320" s="253" t="s">
        <v>3959</v>
      </c>
      <c r="O1320" s="253" t="s">
        <v>1324</v>
      </c>
      <c r="P1320" s="656">
        <v>39540</v>
      </c>
      <c r="Q1320" s="657">
        <v>941.77190559999997</v>
      </c>
      <c r="R1320" s="657">
        <v>1038.4904196128512</v>
      </c>
      <c r="S1320" s="253">
        <v>62</v>
      </c>
      <c r="T1320" s="658">
        <v>-1.3298132583562272E-2</v>
      </c>
      <c r="U1320" s="659">
        <v>-0.66496049185470174</v>
      </c>
      <c r="V1320" s="658">
        <v>2.1927871151181666E-3</v>
      </c>
      <c r="W1320" s="659">
        <v>1.7005744005482246E-2</v>
      </c>
      <c r="X1320" s="658">
        <v>2.5257696644696015E-2</v>
      </c>
      <c r="Y1320" s="659">
        <v>0.13080942341890836</v>
      </c>
      <c r="Z1320" s="658">
        <v>9.5957245494532106E-2</v>
      </c>
      <c r="AA1320" s="659">
        <v>0.43327354502050591</v>
      </c>
      <c r="AB1320" s="658">
        <v>0.21173007538051161</v>
      </c>
      <c r="AC1320" s="660">
        <v>-0.59864486471219958</v>
      </c>
      <c r="AD1320" s="682">
        <v>9412648000140</v>
      </c>
      <c r="AE1320" s="944" t="s">
        <v>1796</v>
      </c>
      <c r="AF1320" s="661" t="s">
        <v>1745</v>
      </c>
      <c r="AG1320" s="662" t="s">
        <v>1432</v>
      </c>
      <c r="AH1320" s="662" t="s">
        <v>1730</v>
      </c>
      <c r="AI1320" s="662">
        <v>100000</v>
      </c>
      <c r="AJ1320" s="662">
        <v>5000</v>
      </c>
      <c r="AK1320" s="662">
        <v>100000</v>
      </c>
      <c r="AL1320" s="658">
        <v>1.8000000000000002E-2</v>
      </c>
      <c r="AM1320" s="658">
        <v>0.2</v>
      </c>
      <c r="AN1320" s="659" t="s">
        <v>2127</v>
      </c>
      <c r="AO1320" s="253" t="s">
        <v>34</v>
      </c>
      <c r="AP1320" s="944" t="s">
        <v>1731</v>
      </c>
      <c r="AQ1320" s="663" t="s">
        <v>665</v>
      </c>
      <c r="AR1320" s="658">
        <v>0</v>
      </c>
      <c r="AS1320" s="658">
        <v>0</v>
      </c>
      <c r="AT1320" s="658" t="s">
        <v>1417</v>
      </c>
      <c r="AU1320" s="658" t="s">
        <v>2751</v>
      </c>
      <c r="AX1320"/>
      <c r="AY1320"/>
      <c r="BA1320"/>
      <c r="BB1320"/>
      <c r="BC1320"/>
      <c r="BD1320"/>
      <c r="BE1320"/>
      <c r="BF1320"/>
      <c r="BG1320"/>
      <c r="BH1320"/>
      <c r="BI1320"/>
      <c r="BJ1320"/>
      <c r="BR1320"/>
      <c r="BS1320"/>
      <c r="BT1320"/>
      <c r="BU1320"/>
      <c r="BX1320"/>
      <c r="BY1320"/>
      <c r="CA1320"/>
    </row>
    <row r="1321" spans="2:79" ht="18.75">
      <c r="B1321" s="252" t="s">
        <v>1696</v>
      </c>
      <c r="C1321" s="251">
        <v>9412822000154</v>
      </c>
      <c r="D1321" s="252" t="s">
        <v>14</v>
      </c>
      <c r="E1321" s="252" t="s">
        <v>607</v>
      </c>
      <c r="F1321" s="252" t="s">
        <v>1417</v>
      </c>
      <c r="G1321" s="253" t="s">
        <v>1417</v>
      </c>
      <c r="H1321" s="253" t="s">
        <v>34</v>
      </c>
      <c r="I1321" s="253" t="s">
        <v>34</v>
      </c>
      <c r="J1321" s="253" t="s">
        <v>608</v>
      </c>
      <c r="K1321" s="253" t="s">
        <v>48</v>
      </c>
      <c r="L1321" s="655"/>
      <c r="M1321" s="655" t="s">
        <v>34</v>
      </c>
      <c r="N1321" s="253" t="s">
        <v>3960</v>
      </c>
      <c r="O1321" s="253" t="s">
        <v>1321</v>
      </c>
      <c r="P1321" s="656">
        <v>39540</v>
      </c>
      <c r="Q1321" s="657">
        <v>299.52129650000001</v>
      </c>
      <c r="R1321" s="657">
        <v>265.60864586867467</v>
      </c>
      <c r="S1321" s="253">
        <v>62</v>
      </c>
      <c r="T1321" s="658">
        <v>-2.1054150320231613E-2</v>
      </c>
      <c r="U1321" s="659">
        <v>-1.0527927936159669</v>
      </c>
      <c r="V1321" s="658">
        <v>-0.11957687811854567</v>
      </c>
      <c r="W1321" s="659">
        <v>-0.927355767570331</v>
      </c>
      <c r="X1321" s="658">
        <v>-0.15562486547025367</v>
      </c>
      <c r="Y1321" s="659">
        <v>-0.80598002296792837</v>
      </c>
      <c r="Z1321" s="658">
        <v>-0.15990384953164383</v>
      </c>
      <c r="AA1321" s="659">
        <v>-0.7220101764274669</v>
      </c>
      <c r="AB1321" s="658">
        <v>0.2414685112227663</v>
      </c>
      <c r="AC1321" s="660">
        <v>-1.0292057805254022</v>
      </c>
      <c r="AD1321" s="682">
        <v>9288254000121</v>
      </c>
      <c r="AE1321" s="944" t="s">
        <v>1796</v>
      </c>
      <c r="AF1321" s="661" t="s">
        <v>1745</v>
      </c>
      <c r="AG1321" s="662" t="s">
        <v>1432</v>
      </c>
      <c r="AH1321" s="662" t="s">
        <v>1734</v>
      </c>
      <c r="AI1321" s="662">
        <v>100000</v>
      </c>
      <c r="AJ1321" s="662">
        <v>5000</v>
      </c>
      <c r="AK1321" s="662">
        <v>100000</v>
      </c>
      <c r="AL1321" s="658">
        <v>2.7999999999999997E-2</v>
      </c>
      <c r="AM1321" s="658">
        <v>0</v>
      </c>
      <c r="AN1321" s="659" t="s">
        <v>2127</v>
      </c>
      <c r="AO1321" s="253" t="s">
        <v>34</v>
      </c>
      <c r="AP1321" s="944" t="s">
        <v>1731</v>
      </c>
      <c r="AQ1321" s="663" t="s">
        <v>659</v>
      </c>
      <c r="AR1321" s="658">
        <v>0</v>
      </c>
      <c r="AS1321" s="658">
        <v>0</v>
      </c>
      <c r="AT1321" s="658" t="s">
        <v>1417</v>
      </c>
      <c r="AU1321" s="658" t="s">
        <v>2751</v>
      </c>
      <c r="AX1321"/>
      <c r="AY1321"/>
      <c r="BA1321"/>
      <c r="BB1321"/>
      <c r="BC1321"/>
      <c r="BD1321"/>
      <c r="BE1321"/>
      <c r="BF1321"/>
      <c r="BG1321"/>
      <c r="BH1321"/>
      <c r="BI1321"/>
      <c r="BJ1321"/>
      <c r="BR1321"/>
      <c r="BS1321"/>
      <c r="BT1321"/>
      <c r="BU1321"/>
      <c r="BX1321"/>
      <c r="BY1321"/>
      <c r="CA1321"/>
    </row>
    <row r="1322" spans="2:79" ht="18.75">
      <c r="B1322" s="252" t="s">
        <v>539</v>
      </c>
      <c r="C1322" s="251">
        <v>42774128000152</v>
      </c>
      <c r="D1322" s="252" t="s">
        <v>13</v>
      </c>
      <c r="E1322" s="252" t="s">
        <v>615</v>
      </c>
      <c r="F1322" s="252" t="s">
        <v>619</v>
      </c>
      <c r="G1322" s="253" t="s">
        <v>34</v>
      </c>
      <c r="H1322" s="253" t="s">
        <v>865</v>
      </c>
      <c r="I1322" s="253" t="s">
        <v>34</v>
      </c>
      <c r="J1322" s="253" t="s">
        <v>608</v>
      </c>
      <c r="K1322" s="253" t="s">
        <v>48</v>
      </c>
      <c r="L1322" s="655"/>
      <c r="M1322" s="655" t="s">
        <v>34</v>
      </c>
      <c r="N1322" s="253" t="s">
        <v>3961</v>
      </c>
      <c r="O1322" s="253" t="s">
        <v>1321</v>
      </c>
      <c r="P1322" s="656">
        <v>44407</v>
      </c>
      <c r="Q1322" s="657">
        <v>0</v>
      </c>
      <c r="R1322" s="657">
        <v>0</v>
      </c>
      <c r="S1322" s="253">
        <v>32</v>
      </c>
      <c r="T1322" s="658"/>
      <c r="U1322" s="659"/>
      <c r="V1322" s="658"/>
      <c r="W1322" s="659"/>
      <c r="X1322" s="658"/>
      <c r="Y1322" s="659"/>
      <c r="Z1322" s="658"/>
      <c r="AA1322" s="659"/>
      <c r="AB1322" s="658"/>
      <c r="AC1322" s="660"/>
      <c r="AD1322" s="682">
        <v>42747269000186</v>
      </c>
      <c r="AE1322" s="944" t="s">
        <v>2625</v>
      </c>
      <c r="AF1322" s="661" t="s">
        <v>1745</v>
      </c>
      <c r="AG1322" s="662" t="s">
        <v>1432</v>
      </c>
      <c r="AH1322" s="662" t="s">
        <v>1730</v>
      </c>
      <c r="AI1322" s="662">
        <v>5000</v>
      </c>
      <c r="AJ1322" s="662">
        <v>1000</v>
      </c>
      <c r="AK1322" s="662">
        <v>5000</v>
      </c>
      <c r="AL1322" s="658">
        <v>1.9E-2</v>
      </c>
      <c r="AM1322" s="658">
        <v>0.2</v>
      </c>
      <c r="AN1322" s="659" t="s">
        <v>34</v>
      </c>
      <c r="AO1322" s="253" t="s">
        <v>34</v>
      </c>
      <c r="AP1322" s="944" t="s">
        <v>1746</v>
      </c>
      <c r="AQ1322" s="663" t="s">
        <v>668</v>
      </c>
      <c r="AR1322" s="658">
        <v>6.3333333333333297E-3</v>
      </c>
      <c r="AS1322" s="658">
        <v>6.3333333333333297E-3</v>
      </c>
      <c r="AT1322" s="658" t="s">
        <v>1417</v>
      </c>
      <c r="AU1322" s="658" t="s">
        <v>2751</v>
      </c>
      <c r="AX1322"/>
      <c r="AY1322"/>
      <c r="BA1322"/>
      <c r="BB1322"/>
      <c r="BC1322"/>
      <c r="BD1322"/>
      <c r="BE1322"/>
      <c r="BF1322"/>
      <c r="BG1322"/>
      <c r="BH1322"/>
      <c r="BI1322"/>
      <c r="BJ1322"/>
      <c r="BR1322"/>
      <c r="BS1322"/>
      <c r="BT1322"/>
      <c r="BU1322"/>
      <c r="BX1322"/>
      <c r="BY1322"/>
      <c r="CA1322"/>
    </row>
    <row r="1323" spans="2:79" ht="18.75">
      <c r="B1323" s="252" t="s">
        <v>385</v>
      </c>
      <c r="C1323" s="251">
        <v>12282747000169</v>
      </c>
      <c r="D1323" s="252" t="s">
        <v>14</v>
      </c>
      <c r="E1323" s="252" t="s">
        <v>614</v>
      </c>
      <c r="F1323" s="252" t="s">
        <v>1417</v>
      </c>
      <c r="G1323" s="253" t="s">
        <v>1417</v>
      </c>
      <c r="H1323" s="253" t="s">
        <v>1338</v>
      </c>
      <c r="I1323" s="253" t="s">
        <v>34</v>
      </c>
      <c r="J1323" s="253" t="s">
        <v>608</v>
      </c>
      <c r="K1323" s="253" t="s">
        <v>48</v>
      </c>
      <c r="L1323" s="655"/>
      <c r="M1323" s="655" t="s">
        <v>34</v>
      </c>
      <c r="N1323" s="253" t="s">
        <v>3962</v>
      </c>
      <c r="O1323" s="253" t="s">
        <v>1321</v>
      </c>
      <c r="P1323" s="656">
        <v>40438</v>
      </c>
      <c r="Q1323" s="657">
        <v>161.36481180000001</v>
      </c>
      <c r="R1323" s="657">
        <v>208.88109669196785</v>
      </c>
      <c r="S1323" s="253">
        <v>32</v>
      </c>
      <c r="T1323" s="658">
        <v>-3.0845457488977823E-2</v>
      </c>
      <c r="U1323" s="659">
        <v>-1.5423978107052039</v>
      </c>
      <c r="V1323" s="658">
        <v>-0.15120486440769909</v>
      </c>
      <c r="W1323" s="659">
        <v>-1.1726406082801237</v>
      </c>
      <c r="X1323" s="658">
        <v>-0.27195491778009628</v>
      </c>
      <c r="Y1323" s="659">
        <v>-1.4084525002885184</v>
      </c>
      <c r="Z1323" s="658">
        <v>-9.9682349365756484E-2</v>
      </c>
      <c r="AA1323" s="659">
        <v>-0.45009342090936688</v>
      </c>
      <c r="AB1323" s="658">
        <v>0.18963136397723998</v>
      </c>
      <c r="AC1323" s="660">
        <v>-1.47733353796955</v>
      </c>
      <c r="AD1323" s="682">
        <v>12297830000101</v>
      </c>
      <c r="AE1323" s="944" t="s">
        <v>1832</v>
      </c>
      <c r="AF1323" s="661" t="s">
        <v>1729</v>
      </c>
      <c r="AG1323" s="662" t="s">
        <v>1433</v>
      </c>
      <c r="AH1323" s="662" t="s">
        <v>1730</v>
      </c>
      <c r="AI1323" s="662">
        <v>50000</v>
      </c>
      <c r="AJ1323" s="662">
        <v>10000</v>
      </c>
      <c r="AK1323" s="662">
        <v>50000</v>
      </c>
      <c r="AL1323" s="658">
        <v>0.02</v>
      </c>
      <c r="AM1323" s="658">
        <v>0.2</v>
      </c>
      <c r="AN1323" s="659" t="s">
        <v>2141</v>
      </c>
      <c r="AO1323" s="253" t="s">
        <v>34</v>
      </c>
      <c r="AP1323" s="944" t="s">
        <v>1731</v>
      </c>
      <c r="AQ1323" s="663" t="s">
        <v>665</v>
      </c>
      <c r="AR1323" s="658">
        <v>4.6666666666666697E-3</v>
      </c>
      <c r="AS1323" s="658">
        <v>4.6666666666666697E-3</v>
      </c>
      <c r="AT1323" s="658" t="s">
        <v>1417</v>
      </c>
      <c r="AU1323" s="658" t="s">
        <v>2751</v>
      </c>
      <c r="AX1323"/>
      <c r="AY1323"/>
      <c r="BA1323"/>
      <c r="BB1323"/>
      <c r="BC1323"/>
      <c r="BD1323"/>
      <c r="BE1323"/>
      <c r="BF1323"/>
      <c r="BG1323"/>
      <c r="BH1323"/>
      <c r="BI1323"/>
      <c r="BJ1323"/>
      <c r="BR1323"/>
      <c r="BS1323"/>
      <c r="BT1323"/>
      <c r="BU1323"/>
      <c r="BX1323"/>
      <c r="BY1323"/>
      <c r="CA1323"/>
    </row>
    <row r="1324" spans="2:79" ht="18.75">
      <c r="B1324" s="252" t="s">
        <v>386</v>
      </c>
      <c r="C1324" s="251">
        <v>17164804000129</v>
      </c>
      <c r="D1324" s="252" t="s">
        <v>14</v>
      </c>
      <c r="E1324" s="252" t="s">
        <v>607</v>
      </c>
      <c r="F1324" s="252" t="s">
        <v>1417</v>
      </c>
      <c r="G1324" s="253" t="s">
        <v>1417</v>
      </c>
      <c r="H1324" s="253" t="s">
        <v>34</v>
      </c>
      <c r="I1324" s="253" t="s">
        <v>34</v>
      </c>
      <c r="J1324" s="253" t="s">
        <v>608</v>
      </c>
      <c r="K1324" s="253" t="s">
        <v>48</v>
      </c>
      <c r="L1324" s="655"/>
      <c r="M1324" s="655" t="s">
        <v>34</v>
      </c>
      <c r="N1324" s="253" t="s">
        <v>3963</v>
      </c>
      <c r="O1324" s="253" t="s">
        <v>1321</v>
      </c>
      <c r="P1324" s="656">
        <v>41248</v>
      </c>
      <c r="Q1324" s="657">
        <v>62.584256000000003</v>
      </c>
      <c r="R1324" s="657">
        <v>67.20933736144579</v>
      </c>
      <c r="S1324" s="253">
        <v>32</v>
      </c>
      <c r="T1324" s="658">
        <v>-2.9727071818481665E-2</v>
      </c>
      <c r="U1324" s="659">
        <v>-1.486473997277773</v>
      </c>
      <c r="V1324" s="658">
        <v>-0.13933075694734631</v>
      </c>
      <c r="W1324" s="659">
        <v>-1.0805532230651369</v>
      </c>
      <c r="X1324" s="658">
        <v>-0.2868299551385014</v>
      </c>
      <c r="Y1324" s="659">
        <v>-1.4854902083408201</v>
      </c>
      <c r="Z1324" s="658">
        <v>-0.18299995003600733</v>
      </c>
      <c r="AA1324" s="659">
        <v>-0.82629546817488053</v>
      </c>
      <c r="AB1324" s="658">
        <v>0.2166776290867278</v>
      </c>
      <c r="AC1324" s="660">
        <v>-1.2381281239086963</v>
      </c>
      <c r="AD1324" s="682">
        <v>0</v>
      </c>
      <c r="AE1324" s="944" t="s">
        <v>1832</v>
      </c>
      <c r="AF1324" s="661" t="s">
        <v>1729</v>
      </c>
      <c r="AG1324" s="662" t="s">
        <v>1433</v>
      </c>
      <c r="AH1324" s="662" t="s">
        <v>1734</v>
      </c>
      <c r="AI1324" s="662">
        <v>50000</v>
      </c>
      <c r="AJ1324" s="662">
        <v>10000</v>
      </c>
      <c r="AK1324" s="662">
        <v>50000</v>
      </c>
      <c r="AL1324" s="658">
        <v>0.02</v>
      </c>
      <c r="AM1324" s="658">
        <v>0.2</v>
      </c>
      <c r="AN1324" s="659" t="s">
        <v>666</v>
      </c>
      <c r="AO1324" s="253" t="s">
        <v>34</v>
      </c>
      <c r="AP1324" s="944" t="s">
        <v>1731</v>
      </c>
      <c r="AQ1324" s="663" t="s">
        <v>665</v>
      </c>
      <c r="AR1324" s="658">
        <v>4.7999999999999996E-3</v>
      </c>
      <c r="AS1324" s="658">
        <v>4.7999999999999996E-3</v>
      </c>
      <c r="AT1324" s="658" t="s">
        <v>1417</v>
      </c>
      <c r="AU1324" s="658" t="s">
        <v>2751</v>
      </c>
      <c r="AX1324"/>
      <c r="AY1324"/>
      <c r="BA1324"/>
      <c r="BB1324"/>
      <c r="BC1324"/>
      <c r="BD1324"/>
      <c r="BE1324"/>
      <c r="BF1324"/>
      <c r="BG1324"/>
      <c r="BH1324"/>
      <c r="BI1324"/>
      <c r="BJ1324"/>
      <c r="BR1324"/>
      <c r="BS1324"/>
      <c r="BT1324"/>
      <c r="BU1324"/>
      <c r="BX1324"/>
      <c r="BY1324"/>
      <c r="CA1324"/>
    </row>
    <row r="1325" spans="2:79" ht="18.75">
      <c r="B1325" s="252" t="s">
        <v>387</v>
      </c>
      <c r="C1325" s="251">
        <v>19727078000130</v>
      </c>
      <c r="D1325" s="252" t="s">
        <v>14</v>
      </c>
      <c r="E1325" s="252" t="s">
        <v>607</v>
      </c>
      <c r="F1325" s="252" t="s">
        <v>1417</v>
      </c>
      <c r="G1325" s="253" t="s">
        <v>1417</v>
      </c>
      <c r="H1325" s="253" t="s">
        <v>34</v>
      </c>
      <c r="I1325" s="253" t="s">
        <v>34</v>
      </c>
      <c r="J1325" s="253" t="s">
        <v>608</v>
      </c>
      <c r="K1325" s="253" t="s">
        <v>48</v>
      </c>
      <c r="L1325" s="655"/>
      <c r="M1325" s="655" t="s">
        <v>1414</v>
      </c>
      <c r="N1325" s="253" t="s">
        <v>3964</v>
      </c>
      <c r="O1325" s="253" t="s">
        <v>1321</v>
      </c>
      <c r="P1325" s="656">
        <v>44214</v>
      </c>
      <c r="Q1325" s="657">
        <v>0</v>
      </c>
      <c r="R1325" s="657">
        <v>0</v>
      </c>
      <c r="S1325" s="253">
        <v>122</v>
      </c>
      <c r="T1325" s="658"/>
      <c r="U1325" s="659"/>
      <c r="V1325" s="658"/>
      <c r="W1325" s="659"/>
      <c r="X1325" s="658"/>
      <c r="Y1325" s="659"/>
      <c r="Z1325" s="658"/>
      <c r="AA1325" s="659"/>
      <c r="AB1325" s="658"/>
      <c r="AC1325" s="660"/>
      <c r="AD1325" s="682">
        <v>0</v>
      </c>
      <c r="AE1325" s="944" t="s">
        <v>2623</v>
      </c>
      <c r="AF1325" s="661" t="s">
        <v>1745</v>
      </c>
      <c r="AG1325" s="662" t="s">
        <v>1432</v>
      </c>
      <c r="AH1325" s="662" t="s">
        <v>1734</v>
      </c>
      <c r="AI1325" s="662">
        <v>5000</v>
      </c>
      <c r="AJ1325" s="662">
        <v>100</v>
      </c>
      <c r="AK1325" s="662">
        <v>5000</v>
      </c>
      <c r="AL1325" s="658">
        <v>0.02</v>
      </c>
      <c r="AM1325" s="658">
        <v>0.2</v>
      </c>
      <c r="AN1325" s="659" t="s">
        <v>34</v>
      </c>
      <c r="AO1325" s="253" t="s">
        <v>34</v>
      </c>
      <c r="AP1325" s="944" t="s">
        <v>1731</v>
      </c>
      <c r="AQ1325" s="663" t="s">
        <v>659</v>
      </c>
      <c r="AR1325" s="658">
        <v>2E-3</v>
      </c>
      <c r="AS1325" s="658">
        <v>2E-3</v>
      </c>
      <c r="AT1325" s="658" t="s">
        <v>1417</v>
      </c>
      <c r="AU1325" s="658" t="s">
        <v>2751</v>
      </c>
      <c r="AX1325"/>
      <c r="AY1325"/>
      <c r="BA1325"/>
      <c r="BB1325"/>
      <c r="BC1325"/>
      <c r="BD1325"/>
      <c r="BE1325"/>
      <c r="BF1325"/>
      <c r="BG1325"/>
      <c r="BH1325"/>
      <c r="BI1325"/>
      <c r="BJ1325"/>
      <c r="BR1325"/>
      <c r="BS1325"/>
      <c r="BT1325"/>
      <c r="BU1325"/>
      <c r="BX1325"/>
      <c r="BY1325"/>
      <c r="CA1325"/>
    </row>
    <row r="1326" spans="2:79" ht="18.75">
      <c r="B1326" s="252" t="s">
        <v>388</v>
      </c>
      <c r="C1326" s="251">
        <v>17033928000175</v>
      </c>
      <c r="D1326" s="252" t="s">
        <v>14</v>
      </c>
      <c r="E1326" s="252" t="s">
        <v>607</v>
      </c>
      <c r="F1326" s="252" t="s">
        <v>1417</v>
      </c>
      <c r="G1326" s="253" t="s">
        <v>1417</v>
      </c>
      <c r="H1326" s="253" t="s">
        <v>34</v>
      </c>
      <c r="I1326" s="253" t="s">
        <v>34</v>
      </c>
      <c r="J1326" s="253" t="s">
        <v>608</v>
      </c>
      <c r="K1326" s="253" t="s">
        <v>48</v>
      </c>
      <c r="L1326" s="655"/>
      <c r="M1326" s="655" t="s">
        <v>34</v>
      </c>
      <c r="N1326" s="253" t="s">
        <v>3965</v>
      </c>
      <c r="O1326" s="253" t="s">
        <v>1321</v>
      </c>
      <c r="P1326" s="656">
        <v>41284</v>
      </c>
      <c r="Q1326" s="657">
        <v>21.981752</v>
      </c>
      <c r="R1326" s="657">
        <v>28.29387913654616</v>
      </c>
      <c r="S1326" s="253">
        <v>17</v>
      </c>
      <c r="T1326" s="658">
        <v>-4.298009013053028E-2</v>
      </c>
      <c r="U1326" s="659">
        <v>-2.1491785928262166</v>
      </c>
      <c r="V1326" s="658">
        <v>-0.12316473928746519</v>
      </c>
      <c r="W1326" s="659">
        <v>-0.95518074344016946</v>
      </c>
      <c r="X1326" s="658">
        <v>-0.20071289093276179</v>
      </c>
      <c r="Y1326" s="659">
        <v>-1.0394905721211221</v>
      </c>
      <c r="Z1326" s="658">
        <v>-0.14719986026048226</v>
      </c>
      <c r="AA1326" s="659">
        <v>-0.66464814567042219</v>
      </c>
      <c r="AB1326" s="658">
        <v>0.27596533829604686</v>
      </c>
      <c r="AC1326" s="660">
        <v>-0.91355186231322782</v>
      </c>
      <c r="AD1326" s="682">
        <v>17034032000100</v>
      </c>
      <c r="AE1326" s="944" t="s">
        <v>1821</v>
      </c>
      <c r="AF1326" s="661" t="s">
        <v>1729</v>
      </c>
      <c r="AG1326" s="662" t="s">
        <v>1433</v>
      </c>
      <c r="AH1326" s="662" t="s">
        <v>1734</v>
      </c>
      <c r="AI1326" s="662">
        <v>500</v>
      </c>
      <c r="AJ1326" s="662">
        <v>500</v>
      </c>
      <c r="AK1326" s="662">
        <v>500</v>
      </c>
      <c r="AL1326" s="658">
        <v>0.02</v>
      </c>
      <c r="AM1326" s="658">
        <v>0.2</v>
      </c>
      <c r="AN1326" s="659" t="s">
        <v>666</v>
      </c>
      <c r="AO1326" s="253" t="s">
        <v>34</v>
      </c>
      <c r="AP1326" s="944" t="s">
        <v>1731</v>
      </c>
      <c r="AQ1326" s="663" t="s">
        <v>659</v>
      </c>
      <c r="AR1326" s="658">
        <v>4.9333333333333304E-3</v>
      </c>
      <c r="AS1326" s="658">
        <v>4.9333333333333304E-3</v>
      </c>
      <c r="AT1326" s="658" t="s">
        <v>1417</v>
      </c>
      <c r="AU1326" s="658" t="s">
        <v>2751</v>
      </c>
      <c r="AX1326"/>
      <c r="AY1326"/>
      <c r="BA1326"/>
      <c r="BB1326"/>
      <c r="BC1326"/>
      <c r="BD1326"/>
      <c r="BE1326"/>
      <c r="BF1326"/>
      <c r="BG1326"/>
      <c r="BH1326"/>
      <c r="BI1326"/>
      <c r="BJ1326"/>
      <c r="BR1326"/>
      <c r="BS1326"/>
      <c r="BT1326"/>
      <c r="BU1326"/>
      <c r="BX1326"/>
      <c r="BY1326"/>
      <c r="CA1326"/>
    </row>
    <row r="1327" spans="2:79" ht="18.75">
      <c r="B1327" s="252" t="s">
        <v>389</v>
      </c>
      <c r="C1327" s="251">
        <v>17301119000105</v>
      </c>
      <c r="D1327" s="252" t="s">
        <v>14</v>
      </c>
      <c r="E1327" s="252" t="s">
        <v>607</v>
      </c>
      <c r="F1327" s="252" t="s">
        <v>1417</v>
      </c>
      <c r="G1327" s="253" t="s">
        <v>1417</v>
      </c>
      <c r="H1327" s="253" t="s">
        <v>34</v>
      </c>
      <c r="I1327" s="253" t="s">
        <v>34</v>
      </c>
      <c r="J1327" s="253" t="s">
        <v>608</v>
      </c>
      <c r="K1327" s="253" t="s">
        <v>48</v>
      </c>
      <c r="L1327" s="655"/>
      <c r="M1327" s="655" t="s">
        <v>34</v>
      </c>
      <c r="N1327" s="253" t="s">
        <v>3966</v>
      </c>
      <c r="O1327" s="253" t="s">
        <v>1321</v>
      </c>
      <c r="P1327" s="656">
        <v>41338</v>
      </c>
      <c r="Q1327" s="657">
        <v>0</v>
      </c>
      <c r="R1327" s="657">
        <v>0</v>
      </c>
      <c r="S1327" s="253">
        <v>32</v>
      </c>
      <c r="T1327" s="658"/>
      <c r="U1327" s="659"/>
      <c r="V1327" s="658"/>
      <c r="W1327" s="659"/>
      <c r="X1327" s="658"/>
      <c r="Y1327" s="659"/>
      <c r="Z1327" s="658"/>
      <c r="AA1327" s="659"/>
      <c r="AB1327" s="658"/>
      <c r="AC1327" s="660"/>
      <c r="AD1327" s="682">
        <v>17301225000180</v>
      </c>
      <c r="AE1327" s="944" t="s">
        <v>2606</v>
      </c>
      <c r="AF1327" s="661" t="s">
        <v>1729</v>
      </c>
      <c r="AG1327" s="662" t="s">
        <v>1433</v>
      </c>
      <c r="AH1327" s="662" t="s">
        <v>1730</v>
      </c>
      <c r="AI1327" s="662">
        <v>30000</v>
      </c>
      <c r="AJ1327" s="662">
        <v>5000</v>
      </c>
      <c r="AK1327" s="662">
        <v>30000</v>
      </c>
      <c r="AL1327" s="658">
        <v>1.8500000000000003E-2</v>
      </c>
      <c r="AM1327" s="658">
        <v>0.15</v>
      </c>
      <c r="AN1327" s="659" t="s">
        <v>2218</v>
      </c>
      <c r="AO1327" s="253" t="s">
        <v>34</v>
      </c>
      <c r="AP1327" s="944" t="s">
        <v>1731</v>
      </c>
      <c r="AQ1327" s="663" t="s">
        <v>659</v>
      </c>
      <c r="AR1327" s="658">
        <v>4.9333333333333304E-3</v>
      </c>
      <c r="AS1327" s="658">
        <v>4.9333333333333304E-3</v>
      </c>
      <c r="AT1327" s="658" t="s">
        <v>1417</v>
      </c>
      <c r="AU1327" s="658" t="s">
        <v>2751</v>
      </c>
      <c r="AX1327"/>
      <c r="AY1327"/>
      <c r="BA1327"/>
      <c r="BB1327"/>
      <c r="BC1327"/>
      <c r="BD1327"/>
      <c r="BE1327"/>
      <c r="BF1327"/>
      <c r="BG1327"/>
      <c r="BH1327"/>
      <c r="BI1327"/>
      <c r="BJ1327"/>
      <c r="BR1327"/>
      <c r="BS1327"/>
      <c r="BT1327"/>
      <c r="BU1327"/>
      <c r="BX1327"/>
      <c r="BY1327"/>
      <c r="CA1327"/>
    </row>
    <row r="1328" spans="2:79" ht="18.75">
      <c r="B1328" s="252" t="s">
        <v>1697</v>
      </c>
      <c r="C1328" s="251">
        <v>23711497000151</v>
      </c>
      <c r="D1328" s="252" t="s">
        <v>13</v>
      </c>
      <c r="E1328" s="252" t="s">
        <v>615</v>
      </c>
      <c r="F1328" s="252" t="s">
        <v>619</v>
      </c>
      <c r="G1328" s="253" t="s">
        <v>1417</v>
      </c>
      <c r="H1328" s="253" t="s">
        <v>1338</v>
      </c>
      <c r="I1328" s="253" t="s">
        <v>1417</v>
      </c>
      <c r="J1328" s="253" t="s">
        <v>608</v>
      </c>
      <c r="K1328" s="253" t="s">
        <v>48</v>
      </c>
      <c r="L1328" s="655"/>
      <c r="M1328" s="655" t="s">
        <v>34</v>
      </c>
      <c r="N1328" s="253" t="s">
        <v>3967</v>
      </c>
      <c r="O1328" s="253" t="s">
        <v>1321</v>
      </c>
      <c r="P1328" s="656">
        <v>42426</v>
      </c>
      <c r="Q1328" s="657">
        <v>0</v>
      </c>
      <c r="R1328" s="657">
        <v>12.881675589285706</v>
      </c>
      <c r="S1328" s="253">
        <v>32</v>
      </c>
      <c r="T1328" s="658"/>
      <c r="U1328" s="659"/>
      <c r="V1328" s="658">
        <v>0.1108646500389201</v>
      </c>
      <c r="W1328" s="659">
        <v>0.85978973737158892</v>
      </c>
      <c r="X1328" s="658">
        <v>6.4927058890513756E-2</v>
      </c>
      <c r="Y1328" s="659">
        <v>0.33625675599905158</v>
      </c>
      <c r="Z1328" s="658">
        <v>0.17183312077122359</v>
      </c>
      <c r="AA1328" s="659">
        <v>0.77587414066327243</v>
      </c>
      <c r="AB1328" s="658">
        <v>0.32747327649010011</v>
      </c>
      <c r="AC1328" s="660">
        <v>-5.5208350438985546E-2</v>
      </c>
      <c r="AD1328" s="682">
        <v>44643074000111</v>
      </c>
      <c r="AE1328" s="944" t="s">
        <v>1821</v>
      </c>
      <c r="AF1328" s="661" t="s">
        <v>1729</v>
      </c>
      <c r="AG1328" s="662" t="s">
        <v>1433</v>
      </c>
      <c r="AH1328" s="662" t="s">
        <v>1734</v>
      </c>
      <c r="AI1328" s="662">
        <v>1000</v>
      </c>
      <c r="AJ1328" s="662">
        <v>500</v>
      </c>
      <c r="AK1328" s="662">
        <v>500</v>
      </c>
      <c r="AL1328" s="658">
        <v>0.02</v>
      </c>
      <c r="AM1328" s="658">
        <v>0.2</v>
      </c>
      <c r="AN1328" s="659" t="s">
        <v>64</v>
      </c>
      <c r="AO1328" s="253" t="s">
        <v>34</v>
      </c>
      <c r="AP1328" s="944" t="s">
        <v>1746</v>
      </c>
      <c r="AQ1328" s="663" t="s">
        <v>668</v>
      </c>
      <c r="AR1328" s="658">
        <v>4.9333333333333304E-3</v>
      </c>
      <c r="AS1328" s="658">
        <v>4.9333333333333304E-3</v>
      </c>
      <c r="AT1328" s="658" t="s">
        <v>1417</v>
      </c>
      <c r="AU1328" s="658" t="s">
        <v>2751</v>
      </c>
      <c r="AX1328"/>
      <c r="AY1328"/>
      <c r="BA1328"/>
      <c r="BB1328"/>
      <c r="BC1328"/>
      <c r="BD1328"/>
      <c r="BE1328"/>
      <c r="BF1328"/>
      <c r="BG1328"/>
      <c r="BH1328"/>
      <c r="BI1328"/>
      <c r="BJ1328"/>
      <c r="BR1328"/>
      <c r="BS1328"/>
      <c r="BT1328"/>
      <c r="BU1328"/>
      <c r="BX1328"/>
      <c r="BY1328"/>
      <c r="CA1328"/>
    </row>
    <row r="1329" spans="2:79" ht="18.75">
      <c r="B1329" s="252" t="s">
        <v>390</v>
      </c>
      <c r="C1329" s="251">
        <v>11225767000135</v>
      </c>
      <c r="D1329" s="252" t="s">
        <v>14</v>
      </c>
      <c r="E1329" s="252" t="s">
        <v>607</v>
      </c>
      <c r="F1329" s="252" t="s">
        <v>1417</v>
      </c>
      <c r="G1329" s="253" t="s">
        <v>1417</v>
      </c>
      <c r="H1329" s="253" t="s">
        <v>34</v>
      </c>
      <c r="I1329" s="253" t="s">
        <v>34</v>
      </c>
      <c r="J1329" s="253" t="s">
        <v>608</v>
      </c>
      <c r="K1329" s="253" t="s">
        <v>48</v>
      </c>
      <c r="L1329" s="655"/>
      <c r="M1329" s="655" t="s">
        <v>1414</v>
      </c>
      <c r="N1329" s="253" t="s">
        <v>3968</v>
      </c>
      <c r="O1329" s="253" t="s">
        <v>1321</v>
      </c>
      <c r="P1329" s="656">
        <v>40116</v>
      </c>
      <c r="Q1329" s="657">
        <v>63.0947715</v>
      </c>
      <c r="R1329" s="657">
        <v>79.325831566528848</v>
      </c>
      <c r="S1329" s="253">
        <v>16</v>
      </c>
      <c r="T1329" s="658">
        <v>-4.3501799420080922E-2</v>
      </c>
      <c r="U1329" s="659">
        <v>-2.1752661704319314</v>
      </c>
      <c r="V1329" s="658">
        <v>-0.15728474673213522</v>
      </c>
      <c r="W1329" s="659">
        <v>-1.2197919809236306</v>
      </c>
      <c r="X1329" s="658">
        <v>-0.22650500606454382</v>
      </c>
      <c r="Y1329" s="659">
        <v>-1.1730677449173201</v>
      </c>
      <c r="Z1329" s="658">
        <v>-0.21208920465144865</v>
      </c>
      <c r="AA1329" s="659">
        <v>-0.95764151092841665</v>
      </c>
      <c r="AB1329" s="658">
        <v>0.2772677050418349</v>
      </c>
      <c r="AC1329" s="660">
        <v>-1.0323187698175544</v>
      </c>
      <c r="AD1329" s="682">
        <v>11286540000108</v>
      </c>
      <c r="AE1329" s="944" t="s">
        <v>1821</v>
      </c>
      <c r="AF1329" s="661" t="s">
        <v>1769</v>
      </c>
      <c r="AG1329" s="662" t="s">
        <v>719</v>
      </c>
      <c r="AH1329" s="662" t="s">
        <v>1734</v>
      </c>
      <c r="AI1329" s="662">
        <v>5000</v>
      </c>
      <c r="AJ1329" s="662">
        <v>5000</v>
      </c>
      <c r="AK1329" s="662">
        <v>5000</v>
      </c>
      <c r="AL1329" s="658">
        <v>1.8500000000000003E-2</v>
      </c>
      <c r="AM1329" s="658">
        <v>0</v>
      </c>
      <c r="AN1329" s="659" t="s">
        <v>666</v>
      </c>
      <c r="AO1329" s="253" t="s">
        <v>34</v>
      </c>
      <c r="AP1329" s="944" t="s">
        <v>1731</v>
      </c>
      <c r="AQ1329" s="663" t="s">
        <v>659</v>
      </c>
      <c r="AR1329" s="658">
        <v>3.7000000000000002E-3</v>
      </c>
      <c r="AS1329" s="658">
        <v>3.7000000000000002E-3</v>
      </c>
      <c r="AT1329" s="658" t="s">
        <v>1417</v>
      </c>
      <c r="AU1329" s="658" t="s">
        <v>2751</v>
      </c>
      <c r="AX1329"/>
      <c r="AY1329"/>
      <c r="BA1329"/>
      <c r="BB1329"/>
      <c r="BC1329"/>
      <c r="BD1329"/>
      <c r="BE1329"/>
      <c r="BF1329"/>
      <c r="BG1329"/>
      <c r="BH1329"/>
      <c r="BI1329"/>
      <c r="BJ1329"/>
      <c r="BR1329"/>
      <c r="BS1329"/>
      <c r="BT1329"/>
      <c r="BU1329"/>
      <c r="BX1329"/>
      <c r="BY1329"/>
      <c r="CA1329"/>
    </row>
    <row r="1330" spans="2:79" ht="18.75">
      <c r="B1330" s="252" t="s">
        <v>695</v>
      </c>
      <c r="C1330" s="251">
        <v>17797493000135</v>
      </c>
      <c r="D1330" s="252" t="s">
        <v>13</v>
      </c>
      <c r="E1330" s="252" t="s">
        <v>615</v>
      </c>
      <c r="F1330" s="252" t="s">
        <v>619</v>
      </c>
      <c r="G1330" s="253" t="s">
        <v>34</v>
      </c>
      <c r="H1330" s="253" t="s">
        <v>1337</v>
      </c>
      <c r="I1330" s="253" t="s">
        <v>34</v>
      </c>
      <c r="J1330" s="253" t="s">
        <v>1417</v>
      </c>
      <c r="K1330" s="253" t="s">
        <v>48</v>
      </c>
      <c r="L1330" s="655"/>
      <c r="M1330" s="655" t="s">
        <v>34</v>
      </c>
      <c r="N1330" s="253" t="s">
        <v>3969</v>
      </c>
      <c r="O1330" s="253" t="s">
        <v>1321</v>
      </c>
      <c r="P1330" s="656">
        <v>43320</v>
      </c>
      <c r="Q1330" s="657">
        <v>21.626227</v>
      </c>
      <c r="R1330" s="657">
        <v>23.667699429149781</v>
      </c>
      <c r="S1330" s="253">
        <v>31</v>
      </c>
      <c r="T1330" s="658">
        <v>1.2430610815543419E-2</v>
      </c>
      <c r="U1330" s="659">
        <v>0.62158088964878455</v>
      </c>
      <c r="V1330" s="658">
        <v>0.12269168037934164</v>
      </c>
      <c r="W1330" s="659">
        <v>0.9515120249240866</v>
      </c>
      <c r="X1330" s="658">
        <v>0.10950377623798313</v>
      </c>
      <c r="Y1330" s="659">
        <v>0.56711924422022553</v>
      </c>
      <c r="Z1330" s="658">
        <v>0.11362893806937024</v>
      </c>
      <c r="AA1330" s="659">
        <v>0.51306613232282661</v>
      </c>
      <c r="AB1330" s="658">
        <v>1.9700766425818261E-2</v>
      </c>
      <c r="AC1330" s="660">
        <v>-0.31735968704512113</v>
      </c>
      <c r="AD1330" s="682">
        <v>0</v>
      </c>
      <c r="AE1330" s="944" t="s">
        <v>1759</v>
      </c>
      <c r="AF1330" s="661" t="s">
        <v>1760</v>
      </c>
      <c r="AG1330" s="662" t="s">
        <v>719</v>
      </c>
      <c r="AH1330" s="662" t="s">
        <v>1734</v>
      </c>
      <c r="AI1330" s="662">
        <v>1000</v>
      </c>
      <c r="AJ1330" s="662">
        <v>1000</v>
      </c>
      <c r="AK1330" s="662">
        <v>1000</v>
      </c>
      <c r="AL1330" s="658">
        <v>0.02</v>
      </c>
      <c r="AM1330" s="658">
        <v>0.2</v>
      </c>
      <c r="AN1330" s="659" t="s">
        <v>64</v>
      </c>
      <c r="AO1330" s="253" t="s">
        <v>34</v>
      </c>
      <c r="AP1330" s="944" t="s">
        <v>1746</v>
      </c>
      <c r="AQ1330" s="663" t="s">
        <v>664</v>
      </c>
      <c r="AR1330" s="658">
        <v>7.1999999999999998E-3</v>
      </c>
      <c r="AS1330" s="658">
        <v>7.1999999999999998E-3</v>
      </c>
      <c r="AT1330" s="658" t="s">
        <v>1417</v>
      </c>
      <c r="AU1330" s="658" t="s">
        <v>2751</v>
      </c>
      <c r="AX1330"/>
      <c r="AY1330"/>
      <c r="BA1330"/>
      <c r="BB1330"/>
      <c r="BC1330"/>
      <c r="BD1330"/>
      <c r="BE1330"/>
      <c r="BF1330"/>
      <c r="BG1330"/>
      <c r="BH1330"/>
      <c r="BI1330"/>
      <c r="BJ1330"/>
      <c r="BR1330"/>
      <c r="BS1330"/>
      <c r="BT1330"/>
      <c r="BU1330"/>
      <c r="BX1330"/>
      <c r="BY1330"/>
      <c r="CA1330"/>
    </row>
    <row r="1331" spans="2:79" ht="18.75">
      <c r="B1331" s="252" t="s">
        <v>1199</v>
      </c>
      <c r="C1331" s="251">
        <v>13823084000105</v>
      </c>
      <c r="D1331" s="252" t="s">
        <v>11</v>
      </c>
      <c r="E1331" s="252" t="s">
        <v>620</v>
      </c>
      <c r="F1331" s="252" t="s">
        <v>663</v>
      </c>
      <c r="G1331" s="253" t="s">
        <v>738</v>
      </c>
      <c r="H1331" s="253" t="s">
        <v>34</v>
      </c>
      <c r="I1331" s="253" t="s">
        <v>1417</v>
      </c>
      <c r="J1331" s="253" t="s">
        <v>608</v>
      </c>
      <c r="K1331" s="253" t="s">
        <v>48</v>
      </c>
      <c r="L1331" s="655"/>
      <c r="M1331" s="655" t="s">
        <v>34</v>
      </c>
      <c r="N1331" s="253" t="s">
        <v>3970</v>
      </c>
      <c r="O1331" s="253" t="s">
        <v>1321</v>
      </c>
      <c r="P1331" s="656">
        <v>40996</v>
      </c>
      <c r="Q1331" s="657">
        <v>1131.7845870000001</v>
      </c>
      <c r="R1331" s="657">
        <v>1079.214689044715</v>
      </c>
      <c r="S1331" s="253">
        <v>30</v>
      </c>
      <c r="T1331" s="658">
        <v>1.5240183772075477E-2</v>
      </c>
      <c r="U1331" s="659">
        <v>0.76207091735286703</v>
      </c>
      <c r="V1331" s="658">
        <v>0.13841840595888377</v>
      </c>
      <c r="W1331" s="659">
        <v>1.0734776582526784</v>
      </c>
      <c r="X1331" s="658">
        <v>0.23771199885431571</v>
      </c>
      <c r="Y1331" s="659">
        <v>1.2311086773789019</v>
      </c>
      <c r="Z1331" s="658">
        <v>0.24187315294650169</v>
      </c>
      <c r="AA1331" s="659">
        <v>1.0921242880860875</v>
      </c>
      <c r="AB1331" s="658">
        <v>2.2598393665132937E-3</v>
      </c>
      <c r="AC1331" s="660">
        <v>4.1925530869539731</v>
      </c>
      <c r="AD1331" s="682">
        <v>0</v>
      </c>
      <c r="AE1331" s="944" t="s">
        <v>1759</v>
      </c>
      <c r="AF1331" s="661" t="s">
        <v>1760</v>
      </c>
      <c r="AG1331" s="662" t="s">
        <v>719</v>
      </c>
      <c r="AH1331" s="662" t="s">
        <v>1734</v>
      </c>
      <c r="AI1331" s="662">
        <v>1000</v>
      </c>
      <c r="AJ1331" s="662">
        <v>1000</v>
      </c>
      <c r="AK1331" s="662">
        <v>1000</v>
      </c>
      <c r="AL1331" s="658">
        <v>6.0000000000000001E-3</v>
      </c>
      <c r="AM1331" s="658">
        <v>0.2</v>
      </c>
      <c r="AN1331" s="659" t="s">
        <v>64</v>
      </c>
      <c r="AO1331" s="253" t="s">
        <v>34</v>
      </c>
      <c r="AP1331" s="944" t="s">
        <v>1735</v>
      </c>
      <c r="AQ1331" s="663" t="s">
        <v>675</v>
      </c>
      <c r="AR1331" s="658">
        <v>2.3999999999999998E-3</v>
      </c>
      <c r="AS1331" s="658">
        <v>2.3999999999999998E-3</v>
      </c>
      <c r="AT1331" s="658" t="s">
        <v>1417</v>
      </c>
      <c r="AU1331" s="658" t="s">
        <v>2751</v>
      </c>
      <c r="AX1331"/>
      <c r="AY1331"/>
      <c r="BA1331"/>
      <c r="BB1331"/>
      <c r="BC1331"/>
      <c r="BD1331"/>
      <c r="BE1331"/>
      <c r="BF1331"/>
      <c r="BG1331"/>
      <c r="BH1331"/>
      <c r="BI1331"/>
      <c r="BJ1331"/>
      <c r="BR1331"/>
      <c r="BS1331"/>
      <c r="BT1331"/>
      <c r="BU1331"/>
      <c r="BX1331"/>
      <c r="BY1331"/>
      <c r="CA1331"/>
    </row>
    <row r="1332" spans="2:79" ht="18.75">
      <c r="B1332" s="252" t="s">
        <v>593</v>
      </c>
      <c r="C1332" s="251">
        <v>35847495000173</v>
      </c>
      <c r="D1332" s="252" t="s">
        <v>14</v>
      </c>
      <c r="E1332" s="252" t="s">
        <v>607</v>
      </c>
      <c r="F1332" s="252" t="s">
        <v>1417</v>
      </c>
      <c r="G1332" s="253" t="s">
        <v>1417</v>
      </c>
      <c r="H1332" s="253" t="s">
        <v>34</v>
      </c>
      <c r="I1332" s="253" t="s">
        <v>34</v>
      </c>
      <c r="J1332" s="253" t="s">
        <v>608</v>
      </c>
      <c r="K1332" s="253" t="s">
        <v>48</v>
      </c>
      <c r="L1332" s="655"/>
      <c r="M1332" s="655" t="s">
        <v>34</v>
      </c>
      <c r="N1332" s="253" t="s">
        <v>3971</v>
      </c>
      <c r="O1332" s="253" t="s">
        <v>1321</v>
      </c>
      <c r="P1332" s="656">
        <v>44015</v>
      </c>
      <c r="Q1332" s="657">
        <v>1.67713936</v>
      </c>
      <c r="R1332" s="657">
        <v>1.7627691680165301</v>
      </c>
      <c r="S1332" s="253">
        <v>32</v>
      </c>
      <c r="T1332" s="658">
        <v>-4.2741593898333541E-2</v>
      </c>
      <c r="U1332" s="659">
        <v>-2.1372528152126691</v>
      </c>
      <c r="V1332" s="658">
        <v>-7.7929801191247816E-2</v>
      </c>
      <c r="W1332" s="659">
        <v>-0.60436977229550592</v>
      </c>
      <c r="X1332" s="658">
        <v>-0.2181380699330554</v>
      </c>
      <c r="Y1332" s="659">
        <v>-1.1297354448054386</v>
      </c>
      <c r="Z1332" s="658"/>
      <c r="AA1332" s="659"/>
      <c r="AB1332" s="658">
        <v>0.21503771392899534</v>
      </c>
      <c r="AC1332" s="660">
        <v>-0.96203455132686677</v>
      </c>
      <c r="AD1332" s="682">
        <v>0</v>
      </c>
      <c r="AE1332" s="944" t="s">
        <v>1759</v>
      </c>
      <c r="AF1332" s="661" t="s">
        <v>1769</v>
      </c>
      <c r="AG1332" s="662" t="s">
        <v>719</v>
      </c>
      <c r="AH1332" s="662" t="s">
        <v>1734</v>
      </c>
      <c r="AI1332" s="662">
        <v>1000</v>
      </c>
      <c r="AJ1332" s="662">
        <v>1000</v>
      </c>
      <c r="AK1332" s="662">
        <v>1000</v>
      </c>
      <c r="AL1332" s="658">
        <v>1.4999999999999999E-2</v>
      </c>
      <c r="AM1332" s="658">
        <v>0.2</v>
      </c>
      <c r="AN1332" s="659" t="s">
        <v>666</v>
      </c>
      <c r="AO1332" s="253" t="s">
        <v>34</v>
      </c>
      <c r="AP1332" s="944" t="s">
        <v>1731</v>
      </c>
      <c r="AQ1332" s="663" t="s">
        <v>665</v>
      </c>
      <c r="AR1332" s="658">
        <v>5.0000000000000001E-3</v>
      </c>
      <c r="AS1332" s="658">
        <v>5.0000000000000001E-3</v>
      </c>
      <c r="AT1332" s="658" t="s">
        <v>1417</v>
      </c>
      <c r="AU1332" s="658" t="s">
        <v>2751</v>
      </c>
      <c r="AX1332"/>
      <c r="AY1332"/>
      <c r="BA1332"/>
      <c r="BB1332"/>
      <c r="BC1332"/>
      <c r="BD1332"/>
      <c r="BE1332"/>
      <c r="BF1332"/>
      <c r="BG1332"/>
      <c r="BH1332"/>
      <c r="BI1332"/>
      <c r="BJ1332"/>
      <c r="BR1332"/>
      <c r="BS1332"/>
      <c r="BT1332"/>
      <c r="BU1332"/>
      <c r="BX1332"/>
      <c r="BY1332"/>
      <c r="CA1332"/>
    </row>
    <row r="1333" spans="2:79" ht="18.75">
      <c r="B1333" s="252" t="s">
        <v>391</v>
      </c>
      <c r="C1333" s="251">
        <v>11458144000102</v>
      </c>
      <c r="D1333" s="252" t="s">
        <v>14</v>
      </c>
      <c r="E1333" s="252" t="s">
        <v>607</v>
      </c>
      <c r="F1333" s="252" t="s">
        <v>1417</v>
      </c>
      <c r="G1333" s="253" t="s">
        <v>1417</v>
      </c>
      <c r="H1333" s="253" t="s">
        <v>34</v>
      </c>
      <c r="I1333" s="253" t="s">
        <v>34</v>
      </c>
      <c r="J1333" s="253" t="s">
        <v>608</v>
      </c>
      <c r="K1333" s="253" t="s">
        <v>48</v>
      </c>
      <c r="L1333" s="655"/>
      <c r="M1333" s="655" t="s">
        <v>34</v>
      </c>
      <c r="N1333" s="253" t="s">
        <v>3972</v>
      </c>
      <c r="O1333" s="253" t="s">
        <v>1321</v>
      </c>
      <c r="P1333" s="656">
        <v>40417</v>
      </c>
      <c r="Q1333" s="657">
        <v>116.666532</v>
      </c>
      <c r="R1333" s="657">
        <v>192.62054820987663</v>
      </c>
      <c r="S1333" s="253">
        <v>3</v>
      </c>
      <c r="T1333" s="658">
        <v>-4.1139370778111917E-2</v>
      </c>
      <c r="U1333" s="659">
        <v>-2.0571351695666555</v>
      </c>
      <c r="V1333" s="658">
        <v>-7.0653966442104865E-2</v>
      </c>
      <c r="W1333" s="659">
        <v>-0.54794341776384436</v>
      </c>
      <c r="X1333" s="658">
        <v>-0.20723529713068423</v>
      </c>
      <c r="Y1333" s="659">
        <v>-1.0732700654001863</v>
      </c>
      <c r="Z1333" s="658">
        <v>-0.30456681238300998</v>
      </c>
      <c r="AA1333" s="659">
        <v>-1.3752035275366623</v>
      </c>
      <c r="AB1333" s="658">
        <v>0.21350374788440257</v>
      </c>
      <c r="AC1333" s="660">
        <v>-0.9348682534461249</v>
      </c>
      <c r="AD1333" s="682">
        <v>0</v>
      </c>
      <c r="AE1333" s="944" t="s">
        <v>1759</v>
      </c>
      <c r="AF1333" s="661" t="s">
        <v>1769</v>
      </c>
      <c r="AG1333" s="662" t="s">
        <v>719</v>
      </c>
      <c r="AH1333" s="662" t="s">
        <v>1734</v>
      </c>
      <c r="AI1333" s="662">
        <v>2500</v>
      </c>
      <c r="AJ1333" s="662">
        <v>2500</v>
      </c>
      <c r="AK1333" s="662">
        <v>2500</v>
      </c>
      <c r="AL1333" s="658">
        <v>1.4999999999999999E-2</v>
      </c>
      <c r="AM1333" s="658">
        <v>0.2</v>
      </c>
      <c r="AN1333" s="659" t="s">
        <v>666</v>
      </c>
      <c r="AO1333" s="253" t="s">
        <v>34</v>
      </c>
      <c r="AP1333" s="944" t="s">
        <v>1731</v>
      </c>
      <c r="AQ1333" s="663" t="s">
        <v>665</v>
      </c>
      <c r="AR1333" s="658">
        <v>5.8500000000000002E-3</v>
      </c>
      <c r="AS1333" s="658">
        <v>5.8500000000000002E-3</v>
      </c>
      <c r="AT1333" s="658" t="s">
        <v>1417</v>
      </c>
      <c r="AU1333" s="658" t="s">
        <v>2751</v>
      </c>
      <c r="AX1333"/>
      <c r="AY1333"/>
      <c r="BA1333"/>
      <c r="BB1333"/>
      <c r="BC1333"/>
      <c r="BD1333"/>
      <c r="BE1333"/>
      <c r="BF1333"/>
      <c r="BG1333"/>
      <c r="BH1333"/>
      <c r="BI1333"/>
      <c r="BJ1333"/>
      <c r="BR1333"/>
      <c r="BS1333"/>
      <c r="BT1333"/>
      <c r="BU1333"/>
      <c r="BX1333"/>
      <c r="BY1333"/>
      <c r="CA1333"/>
    </row>
    <row r="1334" spans="2:79" ht="18.75">
      <c r="B1334" s="252" t="s">
        <v>1200</v>
      </c>
      <c r="C1334" s="251">
        <v>12839769000187</v>
      </c>
      <c r="D1334" s="252" t="s">
        <v>13</v>
      </c>
      <c r="E1334" s="252" t="s">
        <v>615</v>
      </c>
      <c r="F1334" s="252" t="s">
        <v>619</v>
      </c>
      <c r="G1334" s="253" t="s">
        <v>34</v>
      </c>
      <c r="H1334" s="253" t="s">
        <v>1337</v>
      </c>
      <c r="I1334" s="253" t="s">
        <v>34</v>
      </c>
      <c r="J1334" s="253" t="s">
        <v>1417</v>
      </c>
      <c r="K1334" s="253" t="s">
        <v>48</v>
      </c>
      <c r="L1334" s="655"/>
      <c r="M1334" s="655" t="s">
        <v>1414</v>
      </c>
      <c r="N1334" s="253" t="s">
        <v>3973</v>
      </c>
      <c r="O1334" s="253" t="s">
        <v>1321</v>
      </c>
      <c r="P1334" s="656">
        <v>40599</v>
      </c>
      <c r="Q1334" s="657">
        <v>23.910582999999999</v>
      </c>
      <c r="R1334" s="657">
        <v>23.019657770491822</v>
      </c>
      <c r="S1334" s="253">
        <v>1</v>
      </c>
      <c r="T1334" s="658">
        <v>1.2357254793387007E-2</v>
      </c>
      <c r="U1334" s="659">
        <v>0.61791279142017108</v>
      </c>
      <c r="V1334" s="658">
        <v>0.12498988565545344</v>
      </c>
      <c r="W1334" s="659">
        <v>0.96933531945557594</v>
      </c>
      <c r="X1334" s="658">
        <v>0.1451719243292009</v>
      </c>
      <c r="Y1334" s="659">
        <v>0.75184431839725707</v>
      </c>
      <c r="Z1334" s="658">
        <v>0.12483553436884298</v>
      </c>
      <c r="AA1334" s="659">
        <v>0.56366701901212735</v>
      </c>
      <c r="AB1334" s="658">
        <v>1.0107000426742636E-2</v>
      </c>
      <c r="AC1334" s="660">
        <v>-0.39121634752015633</v>
      </c>
      <c r="AD1334" s="682">
        <v>0</v>
      </c>
      <c r="AE1334" s="944" t="s">
        <v>1759</v>
      </c>
      <c r="AF1334" s="661" t="s">
        <v>1769</v>
      </c>
      <c r="AG1334" s="662" t="s">
        <v>719</v>
      </c>
      <c r="AH1334" s="662" t="s">
        <v>1734</v>
      </c>
      <c r="AI1334" s="662">
        <v>1000</v>
      </c>
      <c r="AJ1334" s="662">
        <v>1000</v>
      </c>
      <c r="AK1334" s="662">
        <v>1000</v>
      </c>
      <c r="AL1334" s="658">
        <v>0.01</v>
      </c>
      <c r="AM1334" s="658">
        <v>0.2</v>
      </c>
      <c r="AN1334" s="659" t="s">
        <v>64</v>
      </c>
      <c r="AO1334" s="253" t="s">
        <v>34</v>
      </c>
      <c r="AP1334" s="944" t="s">
        <v>1746</v>
      </c>
      <c r="AQ1334" s="663" t="s">
        <v>664</v>
      </c>
      <c r="AR1334" s="658">
        <v>3.5999999999999999E-3</v>
      </c>
      <c r="AS1334" s="658">
        <v>3.5999999999999999E-3</v>
      </c>
      <c r="AT1334" s="658" t="s">
        <v>1417</v>
      </c>
      <c r="AU1334" s="658" t="s">
        <v>2751</v>
      </c>
      <c r="AX1334"/>
      <c r="AY1334"/>
      <c r="BA1334"/>
      <c r="BB1334"/>
      <c r="BC1334"/>
      <c r="BD1334"/>
      <c r="BE1334"/>
      <c r="BF1334"/>
      <c r="BG1334"/>
      <c r="BH1334"/>
      <c r="BI1334"/>
      <c r="BJ1334"/>
      <c r="BR1334"/>
      <c r="BS1334"/>
      <c r="BT1334"/>
      <c r="BU1334"/>
      <c r="BX1334"/>
      <c r="BY1334"/>
      <c r="CA1334"/>
    </row>
    <row r="1335" spans="2:79" ht="18.75">
      <c r="B1335" s="252" t="s">
        <v>1202</v>
      </c>
      <c r="C1335" s="251">
        <v>4066545000151</v>
      </c>
      <c r="D1335" s="252" t="s">
        <v>13</v>
      </c>
      <c r="E1335" s="252" t="s">
        <v>615</v>
      </c>
      <c r="F1335" s="252" t="s">
        <v>619</v>
      </c>
      <c r="G1335" s="253" t="s">
        <v>34</v>
      </c>
      <c r="H1335" s="253" t="s">
        <v>1337</v>
      </c>
      <c r="I1335" s="253" t="s">
        <v>34</v>
      </c>
      <c r="J1335" s="253" t="s">
        <v>1417</v>
      </c>
      <c r="K1335" s="253" t="s">
        <v>48</v>
      </c>
      <c r="L1335" s="655"/>
      <c r="M1335" s="655" t="s">
        <v>1414</v>
      </c>
      <c r="N1335" s="253" t="s">
        <v>3975</v>
      </c>
      <c r="O1335" s="253" t="s">
        <v>1321</v>
      </c>
      <c r="P1335" s="656">
        <v>37043</v>
      </c>
      <c r="Q1335" s="657">
        <v>0</v>
      </c>
      <c r="R1335" s="657">
        <v>0</v>
      </c>
      <c r="S1335" s="253">
        <v>3</v>
      </c>
      <c r="T1335" s="658"/>
      <c r="U1335" s="659"/>
      <c r="V1335" s="658"/>
      <c r="W1335" s="659"/>
      <c r="X1335" s="658"/>
      <c r="Y1335" s="659"/>
      <c r="Z1335" s="658"/>
      <c r="AA1335" s="659"/>
      <c r="AB1335" s="658"/>
      <c r="AC1335" s="660"/>
      <c r="AD1335" s="682">
        <v>0</v>
      </c>
      <c r="AE1335" s="944" t="s">
        <v>2605</v>
      </c>
      <c r="AF1335" s="661" t="s">
        <v>1760</v>
      </c>
      <c r="AG1335" s="662" t="s">
        <v>719</v>
      </c>
      <c r="AH1335" s="662" t="s">
        <v>1734</v>
      </c>
      <c r="AI1335" s="662">
        <v>1000</v>
      </c>
      <c r="AJ1335" s="662">
        <v>1000</v>
      </c>
      <c r="AK1335" s="662">
        <v>1000</v>
      </c>
      <c r="AL1335" s="658">
        <v>5.0000000000000001E-3</v>
      </c>
      <c r="AM1335" s="658">
        <v>0</v>
      </c>
      <c r="AN1335" s="659" t="s">
        <v>64</v>
      </c>
      <c r="AO1335" s="253" t="s">
        <v>34</v>
      </c>
      <c r="AP1335" s="944" t="s">
        <v>1746</v>
      </c>
      <c r="AQ1335" s="663" t="s">
        <v>668</v>
      </c>
      <c r="AR1335" s="658">
        <v>1E-3</v>
      </c>
      <c r="AS1335" s="658">
        <v>1E-3</v>
      </c>
      <c r="AT1335" s="658" t="s">
        <v>1417</v>
      </c>
      <c r="AU1335" s="658" t="s">
        <v>2751</v>
      </c>
      <c r="AX1335"/>
      <c r="AY1335"/>
      <c r="BA1335"/>
      <c r="BB1335"/>
      <c r="BC1335"/>
      <c r="BD1335"/>
      <c r="BE1335"/>
      <c r="BF1335"/>
      <c r="BG1335"/>
      <c r="BH1335"/>
      <c r="BI1335"/>
      <c r="BJ1335"/>
      <c r="BR1335"/>
      <c r="BS1335"/>
      <c r="BT1335"/>
      <c r="BU1335"/>
      <c r="BX1335"/>
      <c r="BY1335"/>
      <c r="CA1335"/>
    </row>
    <row r="1336" spans="2:79" ht="18.75">
      <c r="B1336" s="252" t="s">
        <v>551</v>
      </c>
      <c r="C1336" s="251">
        <v>13001237000139</v>
      </c>
      <c r="D1336" s="252" t="s">
        <v>14</v>
      </c>
      <c r="E1336" s="252" t="s">
        <v>607</v>
      </c>
      <c r="F1336" s="252" t="s">
        <v>1417</v>
      </c>
      <c r="G1336" s="253" t="s">
        <v>1417</v>
      </c>
      <c r="H1336" s="253" t="s">
        <v>34</v>
      </c>
      <c r="I1336" s="253" t="s">
        <v>34</v>
      </c>
      <c r="J1336" s="253" t="s">
        <v>608</v>
      </c>
      <c r="K1336" s="253" t="s">
        <v>48</v>
      </c>
      <c r="L1336" s="655"/>
      <c r="M1336" s="655" t="s">
        <v>1414</v>
      </c>
      <c r="N1336" s="253" t="s">
        <v>3976</v>
      </c>
      <c r="O1336" s="253" t="s">
        <v>1321</v>
      </c>
      <c r="P1336" s="656">
        <v>40583</v>
      </c>
      <c r="Q1336" s="657">
        <v>23.414667999999999</v>
      </c>
      <c r="R1336" s="657">
        <v>25.114811634146342</v>
      </c>
      <c r="S1336" s="253">
        <v>3</v>
      </c>
      <c r="T1336" s="658">
        <v>-1.1018482872872992E-2</v>
      </c>
      <c r="U1336" s="659">
        <v>-0.55096877284069989</v>
      </c>
      <c r="V1336" s="658">
        <v>-5.6048869103088816E-2</v>
      </c>
      <c r="W1336" s="659">
        <v>-0.43467635922903874</v>
      </c>
      <c r="X1336" s="658">
        <v>1.1005898662271196E-2</v>
      </c>
      <c r="Y1336" s="659">
        <v>5.699946746810558E-2</v>
      </c>
      <c r="Z1336" s="658">
        <v>-6.6808303109535228E-2</v>
      </c>
      <c r="AA1336" s="659">
        <v>-0.30165799545300881</v>
      </c>
      <c r="AB1336" s="658">
        <v>0.20478692541438129</v>
      </c>
      <c r="AC1336" s="660">
        <v>-0.90334272159000795</v>
      </c>
      <c r="AD1336" s="682">
        <v>0</v>
      </c>
      <c r="AE1336" s="944" t="s">
        <v>1759</v>
      </c>
      <c r="AF1336" s="661" t="s">
        <v>1760</v>
      </c>
      <c r="AG1336" s="662" t="s">
        <v>719</v>
      </c>
      <c r="AH1336" s="662" t="s">
        <v>1734</v>
      </c>
      <c r="AI1336" s="662">
        <v>1000</v>
      </c>
      <c r="AJ1336" s="662">
        <v>1000</v>
      </c>
      <c r="AK1336" s="662">
        <v>1000</v>
      </c>
      <c r="AL1336" s="658">
        <v>0.01</v>
      </c>
      <c r="AM1336" s="658">
        <v>0</v>
      </c>
      <c r="AN1336" s="659" t="s">
        <v>666</v>
      </c>
      <c r="AO1336" s="253" t="s">
        <v>34</v>
      </c>
      <c r="AP1336" s="944" t="s">
        <v>1731</v>
      </c>
      <c r="AQ1336" s="663" t="s">
        <v>659</v>
      </c>
      <c r="AR1336" s="658">
        <v>3.3333333333333301E-3</v>
      </c>
      <c r="AS1336" s="658">
        <v>3.3333333333333301E-3</v>
      </c>
      <c r="AT1336" s="658" t="s">
        <v>1417</v>
      </c>
      <c r="AU1336" s="658" t="s">
        <v>2751</v>
      </c>
      <c r="AX1336"/>
      <c r="AY1336"/>
      <c r="BA1336"/>
      <c r="BB1336"/>
      <c r="BC1336"/>
      <c r="BD1336"/>
      <c r="BE1336"/>
      <c r="BF1336"/>
      <c r="BG1336"/>
      <c r="BH1336"/>
      <c r="BI1336"/>
      <c r="BJ1336"/>
      <c r="BR1336"/>
      <c r="BS1336"/>
      <c r="BT1336"/>
      <c r="BU1336"/>
      <c r="BX1336"/>
      <c r="BY1336"/>
      <c r="CA1336"/>
    </row>
    <row r="1337" spans="2:79" ht="18.75">
      <c r="B1337" s="252" t="s">
        <v>1203</v>
      </c>
      <c r="C1337" s="251">
        <v>9326708000101</v>
      </c>
      <c r="D1337" s="252" t="s">
        <v>11</v>
      </c>
      <c r="E1337" s="252" t="s">
        <v>621</v>
      </c>
      <c r="F1337" s="252" t="s">
        <v>663</v>
      </c>
      <c r="G1337" s="253" t="s">
        <v>865</v>
      </c>
      <c r="H1337" s="253" t="s">
        <v>34</v>
      </c>
      <c r="I1337" s="253" t="s">
        <v>1417</v>
      </c>
      <c r="J1337" s="253" t="s">
        <v>608</v>
      </c>
      <c r="K1337" s="253" t="s">
        <v>48</v>
      </c>
      <c r="L1337" s="655"/>
      <c r="M1337" s="655" t="s">
        <v>34</v>
      </c>
      <c r="N1337" s="253" t="s">
        <v>3977</v>
      </c>
      <c r="O1337" s="253" t="s">
        <v>1321</v>
      </c>
      <c r="P1337" s="656">
        <v>39642</v>
      </c>
      <c r="Q1337" s="657">
        <v>171.688321</v>
      </c>
      <c r="R1337" s="657">
        <v>263.66950557377049</v>
      </c>
      <c r="S1337" s="253">
        <v>2</v>
      </c>
      <c r="T1337" s="658">
        <v>1.8803014706308741E-2</v>
      </c>
      <c r="U1337" s="659">
        <v>0.94022689493361222</v>
      </c>
      <c r="V1337" s="658">
        <v>9.2166991590593605E-2</v>
      </c>
      <c r="W1337" s="659">
        <v>0.71478359843454586</v>
      </c>
      <c r="X1337" s="658">
        <v>5.0014420885008626E-2</v>
      </c>
      <c r="Y1337" s="659">
        <v>0.25902431447455238</v>
      </c>
      <c r="Z1337" s="658">
        <v>8.4226100017851246E-2</v>
      </c>
      <c r="AA1337" s="659">
        <v>0.38030417348803086</v>
      </c>
      <c r="AB1337" s="658">
        <v>5.8923758119100458E-2</v>
      </c>
      <c r="AC1337" s="660">
        <v>-0.62414413184337114</v>
      </c>
      <c r="AD1337" s="682">
        <v>0</v>
      </c>
      <c r="AE1337" s="944" t="s">
        <v>1759</v>
      </c>
      <c r="AF1337" s="661" t="s">
        <v>1769</v>
      </c>
      <c r="AG1337" s="662" t="s">
        <v>719</v>
      </c>
      <c r="AH1337" s="662" t="s">
        <v>1734</v>
      </c>
      <c r="AI1337" s="662">
        <v>5000</v>
      </c>
      <c r="AJ1337" s="662">
        <v>2500</v>
      </c>
      <c r="AK1337" s="662">
        <v>2500</v>
      </c>
      <c r="AL1337" s="658">
        <v>4.0000000000000001E-3</v>
      </c>
      <c r="AM1337" s="658">
        <v>0.2</v>
      </c>
      <c r="AN1337" s="659" t="s">
        <v>2122</v>
      </c>
      <c r="AO1337" s="253" t="s">
        <v>34</v>
      </c>
      <c r="AP1337" s="944" t="s">
        <v>1735</v>
      </c>
      <c r="AQ1337" s="663" t="s">
        <v>683</v>
      </c>
      <c r="AR1337" s="658">
        <v>1.4400000000000001E-3</v>
      </c>
      <c r="AS1337" s="658">
        <v>1.4400000000000001E-3</v>
      </c>
      <c r="AT1337" s="658" t="s">
        <v>1417</v>
      </c>
      <c r="AU1337" s="658" t="s">
        <v>2751</v>
      </c>
      <c r="AX1337"/>
      <c r="AY1337"/>
      <c r="BA1337"/>
      <c r="BB1337"/>
      <c r="BC1337"/>
      <c r="BD1337"/>
      <c r="BE1337"/>
      <c r="BF1337"/>
      <c r="BG1337"/>
      <c r="BH1337"/>
      <c r="BI1337"/>
      <c r="BJ1337"/>
      <c r="BR1337"/>
      <c r="BS1337"/>
      <c r="BT1337"/>
      <c r="BU1337"/>
      <c r="BX1337"/>
      <c r="BY1337"/>
      <c r="CA1337"/>
    </row>
    <row r="1338" spans="2:79" ht="18.75">
      <c r="B1338" s="252" t="s">
        <v>1387</v>
      </c>
      <c r="C1338" s="251">
        <v>16892116000112</v>
      </c>
      <c r="D1338" s="252" t="s">
        <v>11</v>
      </c>
      <c r="E1338" s="252" t="s">
        <v>621</v>
      </c>
      <c r="F1338" s="252" t="s">
        <v>672</v>
      </c>
      <c r="G1338" s="253" t="s">
        <v>738</v>
      </c>
      <c r="H1338" s="253" t="s">
        <v>34</v>
      </c>
      <c r="I1338" s="253" t="s">
        <v>1417</v>
      </c>
      <c r="J1338" s="253" t="s">
        <v>608</v>
      </c>
      <c r="K1338" s="253" t="s">
        <v>48</v>
      </c>
      <c r="L1338" s="655"/>
      <c r="M1338" s="655" t="s">
        <v>1414</v>
      </c>
      <c r="N1338" s="253" t="s">
        <v>3978</v>
      </c>
      <c r="O1338" s="253" t="s">
        <v>1321</v>
      </c>
      <c r="P1338" s="656">
        <v>41334</v>
      </c>
      <c r="Q1338" s="657">
        <v>25.800156000000001</v>
      </c>
      <c r="R1338" s="657">
        <v>34.047342089430906</v>
      </c>
      <c r="S1338" s="253">
        <v>2</v>
      </c>
      <c r="T1338" s="658">
        <v>3.2234518746603769E-2</v>
      </c>
      <c r="U1338" s="659">
        <v>1.6118564998319014</v>
      </c>
      <c r="V1338" s="658">
        <v>0.12591462827308675</v>
      </c>
      <c r="W1338" s="659">
        <v>0.97650698519458412</v>
      </c>
      <c r="X1338" s="658">
        <v>0.1445336018615242</v>
      </c>
      <c r="Y1338" s="659">
        <v>0.74853845107583383</v>
      </c>
      <c r="Z1338" s="658">
        <v>0.19819260036419317</v>
      </c>
      <c r="AA1338" s="659">
        <v>0.89489449300125623</v>
      </c>
      <c r="AB1338" s="658">
        <v>3.3850807291595522E-2</v>
      </c>
      <c r="AC1338" s="660">
        <v>-8.9489185519475434E-2</v>
      </c>
      <c r="AD1338" s="682">
        <v>0</v>
      </c>
      <c r="AE1338" s="944" t="s">
        <v>1759</v>
      </c>
      <c r="AF1338" s="661" t="s">
        <v>1769</v>
      </c>
      <c r="AG1338" s="662" t="s">
        <v>719</v>
      </c>
      <c r="AH1338" s="662" t="s">
        <v>1734</v>
      </c>
      <c r="AI1338" s="662">
        <v>5000</v>
      </c>
      <c r="AJ1338" s="662">
        <v>2500</v>
      </c>
      <c r="AK1338" s="662">
        <v>2500</v>
      </c>
      <c r="AL1338" s="658">
        <v>2.5000000000000001E-3</v>
      </c>
      <c r="AM1338" s="658">
        <v>0.2</v>
      </c>
      <c r="AN1338" s="659" t="s">
        <v>636</v>
      </c>
      <c r="AO1338" s="253" t="s">
        <v>34</v>
      </c>
      <c r="AP1338" s="944" t="s">
        <v>1735</v>
      </c>
      <c r="AQ1338" s="663" t="s">
        <v>680</v>
      </c>
      <c r="AR1338" s="658">
        <v>8.3333333333333295E-4</v>
      </c>
      <c r="AS1338" s="658">
        <v>8.3333333333333295E-4</v>
      </c>
      <c r="AT1338" s="658" t="s">
        <v>1417</v>
      </c>
      <c r="AU1338" s="658" t="s">
        <v>2751</v>
      </c>
      <c r="AX1338"/>
      <c r="AY1338"/>
      <c r="BA1338"/>
      <c r="BB1338"/>
      <c r="BC1338"/>
      <c r="BD1338"/>
      <c r="BE1338"/>
      <c r="BF1338"/>
      <c r="BG1338"/>
      <c r="BH1338"/>
      <c r="BI1338"/>
      <c r="BJ1338"/>
      <c r="BR1338"/>
      <c r="BS1338"/>
      <c r="BT1338"/>
      <c r="BU1338"/>
      <c r="BX1338"/>
      <c r="BY1338"/>
      <c r="CA1338"/>
    </row>
    <row r="1339" spans="2:79" ht="18.75">
      <c r="B1339" s="252" t="s">
        <v>1204</v>
      </c>
      <c r="C1339" s="251">
        <v>7381653000107</v>
      </c>
      <c r="D1339" s="252" t="s">
        <v>11</v>
      </c>
      <c r="E1339" s="252" t="s">
        <v>620</v>
      </c>
      <c r="F1339" s="252" t="s">
        <v>619</v>
      </c>
      <c r="G1339" s="253" t="s">
        <v>738</v>
      </c>
      <c r="H1339" s="253" t="s">
        <v>34</v>
      </c>
      <c r="I1339" s="253" t="s">
        <v>34</v>
      </c>
      <c r="J1339" s="253" t="s">
        <v>608</v>
      </c>
      <c r="K1339" s="253" t="s">
        <v>48</v>
      </c>
      <c r="L1339" s="655"/>
      <c r="M1339" s="655" t="s">
        <v>34</v>
      </c>
      <c r="N1339" s="253" t="s">
        <v>3979</v>
      </c>
      <c r="O1339" s="253" t="s">
        <v>1321</v>
      </c>
      <c r="P1339" s="656">
        <v>38499</v>
      </c>
      <c r="Q1339" s="657">
        <v>100.49737399999999</v>
      </c>
      <c r="R1339" s="657">
        <v>71.208244452282145</v>
      </c>
      <c r="S1339" s="253">
        <v>1</v>
      </c>
      <c r="T1339" s="658">
        <v>2.2885531195389719E-2</v>
      </c>
      <c r="U1339" s="659">
        <v>1.1443692551880027</v>
      </c>
      <c r="V1339" s="658">
        <v>0.13303300635862403</v>
      </c>
      <c r="W1339" s="659">
        <v>1.0317122144766608</v>
      </c>
      <c r="X1339" s="658">
        <v>0.16742024265567212</v>
      </c>
      <c r="Y1339" s="659">
        <v>0.8670681938466116</v>
      </c>
      <c r="Z1339" s="658">
        <v>0.16297748589578065</v>
      </c>
      <c r="AA1339" s="659">
        <v>0.73588849605544526</v>
      </c>
      <c r="AB1339" s="658">
        <v>6.7723743426986744E-3</v>
      </c>
      <c r="AC1339" s="660">
        <v>0.60379073939469241</v>
      </c>
      <c r="AD1339" s="682">
        <v>0</v>
      </c>
      <c r="AE1339" s="944" t="s">
        <v>1759</v>
      </c>
      <c r="AF1339" s="661" t="s">
        <v>1769</v>
      </c>
      <c r="AG1339" s="662" t="s">
        <v>719</v>
      </c>
      <c r="AH1339" s="662" t="s">
        <v>1734</v>
      </c>
      <c r="AI1339" s="662">
        <v>500</v>
      </c>
      <c r="AJ1339" s="662">
        <v>500</v>
      </c>
      <c r="AK1339" s="662">
        <v>500</v>
      </c>
      <c r="AL1339" s="658">
        <v>5.0000000000000001E-3</v>
      </c>
      <c r="AM1339" s="658">
        <v>0.2</v>
      </c>
      <c r="AN1339" s="659" t="s">
        <v>64</v>
      </c>
      <c r="AO1339" s="253" t="s">
        <v>34</v>
      </c>
      <c r="AP1339" s="944" t="s">
        <v>1735</v>
      </c>
      <c r="AQ1339" s="663" t="s">
        <v>669</v>
      </c>
      <c r="AR1339" s="658">
        <v>1.8E-3</v>
      </c>
      <c r="AS1339" s="658">
        <v>1.8E-3</v>
      </c>
      <c r="AT1339" s="658" t="s">
        <v>1417</v>
      </c>
      <c r="AU1339" s="658" t="s">
        <v>2751</v>
      </c>
      <c r="AX1339"/>
      <c r="AY1339"/>
      <c r="BA1339"/>
      <c r="BB1339"/>
      <c r="BC1339"/>
      <c r="BD1339"/>
      <c r="BE1339"/>
      <c r="BF1339"/>
      <c r="BG1339"/>
      <c r="BH1339"/>
      <c r="BI1339"/>
      <c r="BJ1339"/>
      <c r="BR1339"/>
      <c r="BS1339"/>
      <c r="BT1339"/>
      <c r="BU1339"/>
      <c r="BX1339"/>
      <c r="BY1339"/>
      <c r="CA1339"/>
    </row>
    <row r="1340" spans="2:79" ht="18.75">
      <c r="B1340" s="252" t="s">
        <v>594</v>
      </c>
      <c r="C1340" s="251">
        <v>34525068000106</v>
      </c>
      <c r="D1340" s="252" t="s">
        <v>14</v>
      </c>
      <c r="E1340" s="252" t="s">
        <v>607</v>
      </c>
      <c r="F1340" s="252" t="s">
        <v>1417</v>
      </c>
      <c r="G1340" s="253" t="s">
        <v>1417</v>
      </c>
      <c r="H1340" s="253" t="s">
        <v>34</v>
      </c>
      <c r="I1340" s="253" t="s">
        <v>34</v>
      </c>
      <c r="J1340" s="253" t="s">
        <v>608</v>
      </c>
      <c r="K1340" s="253" t="s">
        <v>48</v>
      </c>
      <c r="L1340" s="655"/>
      <c r="M1340" s="655" t="s">
        <v>34</v>
      </c>
      <c r="N1340" s="253" t="s">
        <v>3980</v>
      </c>
      <c r="O1340" s="253" t="s">
        <v>1321</v>
      </c>
      <c r="P1340" s="656">
        <v>43831</v>
      </c>
      <c r="Q1340" s="657">
        <v>307.86568882</v>
      </c>
      <c r="R1340" s="657">
        <v>334.06250820155094</v>
      </c>
      <c r="S1340" s="253">
        <v>32</v>
      </c>
      <c r="T1340" s="658">
        <v>8.8795717568237453E-3</v>
      </c>
      <c r="U1340" s="659">
        <v>0.44401455360546083</v>
      </c>
      <c r="V1340" s="658">
        <v>-0.12277640694532066</v>
      </c>
      <c r="W1340" s="659">
        <v>-0.95216910571481583</v>
      </c>
      <c r="X1340" s="658">
        <v>-0.21638286356359482</v>
      </c>
      <c r="Y1340" s="659">
        <v>-1.1206452440480172</v>
      </c>
      <c r="Z1340" s="658">
        <v>-0.14401053053042079</v>
      </c>
      <c r="AA1340" s="659">
        <v>-0.65024743844647659</v>
      </c>
      <c r="AB1340" s="658">
        <v>0.28213330549789783</v>
      </c>
      <c r="AC1340" s="660">
        <v>-0.89220347788391319</v>
      </c>
      <c r="AD1340" s="682">
        <v>35587562000168</v>
      </c>
      <c r="AE1340" s="944" t="s">
        <v>1759</v>
      </c>
      <c r="AF1340" s="661" t="s">
        <v>1769</v>
      </c>
      <c r="AG1340" s="662" t="s">
        <v>719</v>
      </c>
      <c r="AH1340" s="662" t="s">
        <v>1734</v>
      </c>
      <c r="AI1340" s="662">
        <v>1000</v>
      </c>
      <c r="AJ1340" s="662">
        <v>1000</v>
      </c>
      <c r="AK1340" s="662">
        <v>1000</v>
      </c>
      <c r="AL1340" s="658">
        <v>0.02</v>
      </c>
      <c r="AM1340" s="658">
        <v>0.2</v>
      </c>
      <c r="AN1340" s="659" t="s">
        <v>2122</v>
      </c>
      <c r="AO1340" s="253" t="s">
        <v>34</v>
      </c>
      <c r="AP1340" s="944" t="s">
        <v>1731</v>
      </c>
      <c r="AQ1340" s="663" t="s">
        <v>659</v>
      </c>
      <c r="AR1340" s="658">
        <v>6.6666666666666697E-3</v>
      </c>
      <c r="AS1340" s="658">
        <v>6.6666666666666697E-3</v>
      </c>
      <c r="AT1340" s="658" t="s">
        <v>1417</v>
      </c>
      <c r="AU1340" s="658" t="s">
        <v>2751</v>
      </c>
      <c r="AX1340"/>
      <c r="AY1340"/>
      <c r="BA1340"/>
      <c r="BB1340"/>
      <c r="BC1340"/>
      <c r="BD1340"/>
      <c r="BE1340"/>
      <c r="BF1340"/>
      <c r="BG1340"/>
      <c r="BH1340"/>
      <c r="BI1340"/>
      <c r="BJ1340"/>
      <c r="BR1340"/>
      <c r="BS1340"/>
      <c r="BT1340"/>
      <c r="BU1340"/>
      <c r="BX1340"/>
      <c r="BY1340"/>
      <c r="CA1340"/>
    </row>
    <row r="1341" spans="2:79" ht="18.75">
      <c r="B1341" s="252" t="s">
        <v>1205</v>
      </c>
      <c r="C1341" s="251">
        <v>17797426000110</v>
      </c>
      <c r="D1341" s="252" t="s">
        <v>14</v>
      </c>
      <c r="E1341" s="252" t="s">
        <v>607</v>
      </c>
      <c r="F1341" s="252" t="s">
        <v>1417</v>
      </c>
      <c r="G1341" s="253" t="s">
        <v>1417</v>
      </c>
      <c r="H1341" s="253" t="s">
        <v>34</v>
      </c>
      <c r="I1341" s="253" t="s">
        <v>34</v>
      </c>
      <c r="J1341" s="253" t="s">
        <v>608</v>
      </c>
      <c r="K1341" s="253" t="s">
        <v>48</v>
      </c>
      <c r="L1341" s="655"/>
      <c r="M1341" s="655" t="s">
        <v>1414</v>
      </c>
      <c r="N1341" s="253" t="s">
        <v>3981</v>
      </c>
      <c r="O1341" s="253" t="s">
        <v>1321</v>
      </c>
      <c r="P1341" s="656">
        <v>42768</v>
      </c>
      <c r="Q1341" s="657">
        <v>12.880914000000001</v>
      </c>
      <c r="R1341" s="657">
        <v>13.898099828571439</v>
      </c>
      <c r="S1341" s="253">
        <v>3</v>
      </c>
      <c r="T1341" s="658">
        <v>-2.1780374419231197E-2</v>
      </c>
      <c r="U1341" s="659">
        <v>-1.089106940059688</v>
      </c>
      <c r="V1341" s="658">
        <v>-6.6356159956891592E-2</v>
      </c>
      <c r="W1341" s="659">
        <v>-0.51461259583008823</v>
      </c>
      <c r="X1341" s="658">
        <v>-7.3031903148168209E-2</v>
      </c>
      <c r="Y1341" s="659">
        <v>-0.37823168424202197</v>
      </c>
      <c r="Z1341" s="658">
        <v>-6.1688240443463216E-2</v>
      </c>
      <c r="AA1341" s="659">
        <v>-0.27853949418066276</v>
      </c>
      <c r="AB1341" s="658">
        <v>0.2001679607129084</v>
      </c>
      <c r="AC1341" s="660">
        <v>-0.97568096666473891</v>
      </c>
      <c r="AD1341" s="682">
        <v>0</v>
      </c>
      <c r="AE1341" s="944" t="s">
        <v>1759</v>
      </c>
      <c r="AF1341" s="661" t="s">
        <v>1760</v>
      </c>
      <c r="AG1341" s="662" t="s">
        <v>719</v>
      </c>
      <c r="AH1341" s="662" t="s">
        <v>1734</v>
      </c>
      <c r="AI1341" s="662">
        <v>100</v>
      </c>
      <c r="AJ1341" s="662">
        <v>100</v>
      </c>
      <c r="AK1341" s="662">
        <v>100</v>
      </c>
      <c r="AL1341" s="658">
        <v>1.2E-2</v>
      </c>
      <c r="AM1341" s="658">
        <v>0</v>
      </c>
      <c r="AN1341" s="659" t="s">
        <v>2122</v>
      </c>
      <c r="AO1341" s="253" t="s">
        <v>34</v>
      </c>
      <c r="AP1341" s="944" t="s">
        <v>1731</v>
      </c>
      <c r="AQ1341" s="663" t="s">
        <v>659</v>
      </c>
      <c r="AR1341" s="658">
        <v>0</v>
      </c>
      <c r="AS1341" s="658">
        <v>0</v>
      </c>
      <c r="AT1341" s="658" t="s">
        <v>1417</v>
      </c>
      <c r="AU1341" s="658" t="s">
        <v>2751</v>
      </c>
      <c r="AX1341"/>
      <c r="AY1341"/>
      <c r="BA1341"/>
      <c r="BB1341"/>
      <c r="BC1341"/>
      <c r="BD1341"/>
      <c r="BE1341"/>
      <c r="BF1341"/>
      <c r="BG1341"/>
      <c r="BH1341"/>
      <c r="BI1341"/>
      <c r="BJ1341"/>
      <c r="BR1341"/>
      <c r="BS1341"/>
      <c r="BT1341"/>
      <c r="BU1341"/>
      <c r="BX1341"/>
      <c r="BY1341"/>
      <c r="CA1341"/>
    </row>
    <row r="1342" spans="2:79" ht="18.75">
      <c r="B1342" s="252" t="s">
        <v>392</v>
      </c>
      <c r="C1342" s="251">
        <v>33701828000126</v>
      </c>
      <c r="D1342" s="252" t="s">
        <v>11</v>
      </c>
      <c r="E1342" s="252" t="s">
        <v>4235</v>
      </c>
      <c r="F1342" s="252" t="s">
        <v>663</v>
      </c>
      <c r="G1342" s="253" t="s">
        <v>738</v>
      </c>
      <c r="H1342" s="253" t="s">
        <v>34</v>
      </c>
      <c r="I1342" s="253" t="s">
        <v>1417</v>
      </c>
      <c r="J1342" s="253" t="s">
        <v>611</v>
      </c>
      <c r="K1342" s="253" t="s">
        <v>48</v>
      </c>
      <c r="L1342" s="655"/>
      <c r="M1342" s="655" t="s">
        <v>1414</v>
      </c>
      <c r="N1342" s="253" t="s">
        <v>3982</v>
      </c>
      <c r="O1342" s="253" t="s">
        <v>1321</v>
      </c>
      <c r="P1342" s="656">
        <v>44174</v>
      </c>
      <c r="Q1342" s="657">
        <v>455.50014475</v>
      </c>
      <c r="R1342" s="657">
        <v>512.66429735692634</v>
      </c>
      <c r="S1342" s="253">
        <v>46</v>
      </c>
      <c r="T1342" s="658">
        <v>1.4976786725901414E-2</v>
      </c>
      <c r="U1342" s="659">
        <v>0.74889999818234532</v>
      </c>
      <c r="V1342" s="658">
        <v>0.14328311216105516</v>
      </c>
      <c r="W1342" s="659">
        <v>1.1112049632726873</v>
      </c>
      <c r="X1342" s="658">
        <v>0.23773239336467222</v>
      </c>
      <c r="Y1342" s="659">
        <v>1.2312143003966369</v>
      </c>
      <c r="Z1342" s="658"/>
      <c r="AA1342" s="659"/>
      <c r="AB1342" s="658">
        <v>3.2567473964355358E-3</v>
      </c>
      <c r="AC1342" s="660">
        <v>4.4029213717836582</v>
      </c>
      <c r="AD1342" s="682">
        <v>0</v>
      </c>
      <c r="AE1342" s="944" t="s">
        <v>1759</v>
      </c>
      <c r="AF1342" s="661" t="s">
        <v>1760</v>
      </c>
      <c r="AG1342" s="662" t="s">
        <v>719</v>
      </c>
      <c r="AH1342" s="662" t="s">
        <v>1730</v>
      </c>
      <c r="AI1342" s="662">
        <v>0</v>
      </c>
      <c r="AJ1342" s="662">
        <v>0</v>
      </c>
      <c r="AK1342" s="662">
        <v>0</v>
      </c>
      <c r="AL1342" s="658">
        <v>6.0000000000000001E-3</v>
      </c>
      <c r="AM1342" s="658">
        <v>0.2</v>
      </c>
      <c r="AN1342" s="659" t="s">
        <v>64</v>
      </c>
      <c r="AO1342" s="253" t="s">
        <v>34</v>
      </c>
      <c r="AP1342" s="944" t="s">
        <v>1735</v>
      </c>
      <c r="AQ1342" s="663" t="s">
        <v>675</v>
      </c>
      <c r="AR1342" s="658">
        <v>1.9997999999999999E-3</v>
      </c>
      <c r="AS1342" s="658">
        <v>1.9997999999999999E-3</v>
      </c>
      <c r="AT1342" s="658" t="s">
        <v>1417</v>
      </c>
      <c r="AU1342" s="658" t="s">
        <v>2751</v>
      </c>
      <c r="AX1342"/>
      <c r="AY1342"/>
      <c r="BA1342"/>
      <c r="BB1342"/>
      <c r="BC1342"/>
      <c r="BD1342"/>
      <c r="BE1342"/>
      <c r="BF1342"/>
      <c r="BG1342"/>
      <c r="BH1342"/>
      <c r="BI1342"/>
      <c r="BJ1342"/>
      <c r="BR1342"/>
      <c r="BS1342"/>
      <c r="BT1342"/>
      <c r="BU1342"/>
      <c r="BX1342"/>
      <c r="BY1342"/>
      <c r="CA1342"/>
    </row>
    <row r="1343" spans="2:79" ht="18.75">
      <c r="B1343" s="252" t="s">
        <v>1698</v>
      </c>
      <c r="C1343" s="251">
        <v>4839017000198</v>
      </c>
      <c r="D1343" s="252" t="s">
        <v>11</v>
      </c>
      <c r="E1343" s="252" t="s">
        <v>620</v>
      </c>
      <c r="F1343" s="252" t="s">
        <v>672</v>
      </c>
      <c r="G1343" s="253" t="s">
        <v>738</v>
      </c>
      <c r="H1343" s="253" t="s">
        <v>34</v>
      </c>
      <c r="I1343" s="253" t="s">
        <v>1304</v>
      </c>
      <c r="J1343" s="253" t="s">
        <v>608</v>
      </c>
      <c r="K1343" s="253" t="s">
        <v>48</v>
      </c>
      <c r="L1343" s="655"/>
      <c r="M1343" s="655" t="s">
        <v>34</v>
      </c>
      <c r="N1343" s="253" t="s">
        <v>3983</v>
      </c>
      <c r="O1343" s="253" t="s">
        <v>1321</v>
      </c>
      <c r="P1343" s="656">
        <v>37295</v>
      </c>
      <c r="Q1343" s="657">
        <v>1968.3846619999999</v>
      </c>
      <c r="R1343" s="657">
        <v>1741.7870265643153</v>
      </c>
      <c r="S1343" s="253">
        <v>0</v>
      </c>
      <c r="T1343" s="658">
        <v>1.9868274644780026E-2</v>
      </c>
      <c r="U1343" s="659">
        <v>0.99349420657965259</v>
      </c>
      <c r="V1343" s="658">
        <v>0.1274408861835703</v>
      </c>
      <c r="W1343" s="659">
        <v>0.98834358854430182</v>
      </c>
      <c r="X1343" s="658">
        <v>0.19417777805563663</v>
      </c>
      <c r="Y1343" s="659">
        <v>1.005645271044797</v>
      </c>
      <c r="Z1343" s="658">
        <v>0.21685304226322777</v>
      </c>
      <c r="AA1343" s="659">
        <v>0.97915155740088622</v>
      </c>
      <c r="AB1343" s="658">
        <v>2.0989757049832704E-3</v>
      </c>
      <c r="AC1343" s="660">
        <v>-0.71607463566617624</v>
      </c>
      <c r="AD1343" s="682">
        <v>0</v>
      </c>
      <c r="AE1343" s="944" t="s">
        <v>1759</v>
      </c>
      <c r="AF1343" s="661" t="s">
        <v>1760</v>
      </c>
      <c r="AG1343" s="662" t="s">
        <v>719</v>
      </c>
      <c r="AH1343" s="662" t="s">
        <v>1734</v>
      </c>
      <c r="AI1343" s="662">
        <v>1000</v>
      </c>
      <c r="AJ1343" s="662">
        <v>1000</v>
      </c>
      <c r="AK1343" s="662">
        <v>1000</v>
      </c>
      <c r="AL1343" s="658">
        <v>1.5E-3</v>
      </c>
      <c r="AM1343" s="658">
        <v>0</v>
      </c>
      <c r="AN1343" s="659" t="s">
        <v>64</v>
      </c>
      <c r="AO1343" s="253" t="s">
        <v>34</v>
      </c>
      <c r="AP1343" s="944" t="s">
        <v>1735</v>
      </c>
      <c r="AQ1343" s="663" t="s">
        <v>1505</v>
      </c>
      <c r="AR1343" s="658">
        <v>0</v>
      </c>
      <c r="AS1343" s="658">
        <v>0</v>
      </c>
      <c r="AT1343" s="658" t="s">
        <v>1417</v>
      </c>
      <c r="AU1343" s="658" t="s">
        <v>2751</v>
      </c>
      <c r="AX1343"/>
      <c r="AY1343"/>
      <c r="BA1343"/>
      <c r="BB1343"/>
      <c r="BC1343"/>
      <c r="BD1343"/>
      <c r="BE1343"/>
      <c r="BF1343"/>
      <c r="BG1343"/>
      <c r="BH1343"/>
      <c r="BI1343"/>
      <c r="BJ1343"/>
      <c r="BR1343"/>
      <c r="BS1343"/>
      <c r="BT1343"/>
      <c r="BU1343"/>
      <c r="BX1343"/>
      <c r="BY1343"/>
      <c r="CA1343"/>
    </row>
    <row r="1344" spans="2:79" ht="18.75">
      <c r="B1344" s="252" t="s">
        <v>1206</v>
      </c>
      <c r="C1344" s="251">
        <v>22759995000101</v>
      </c>
      <c r="D1344" s="252" t="s">
        <v>11</v>
      </c>
      <c r="E1344" s="252" t="s">
        <v>621</v>
      </c>
      <c r="F1344" s="252" t="s">
        <v>692</v>
      </c>
      <c r="G1344" s="253" t="s">
        <v>738</v>
      </c>
      <c r="H1344" s="253" t="s">
        <v>34</v>
      </c>
      <c r="I1344" s="253" t="s">
        <v>1417</v>
      </c>
      <c r="J1344" s="253" t="s">
        <v>608</v>
      </c>
      <c r="K1344" s="253" t="s">
        <v>48</v>
      </c>
      <c r="L1344" s="655"/>
      <c r="M1344" s="655" t="s">
        <v>34</v>
      </c>
      <c r="N1344" s="253" t="s">
        <v>3984</v>
      </c>
      <c r="O1344" s="253" t="s">
        <v>1321</v>
      </c>
      <c r="P1344" s="656">
        <v>42867</v>
      </c>
      <c r="Q1344" s="657">
        <v>49.573528000000003</v>
      </c>
      <c r="R1344" s="657">
        <v>61.395570493877557</v>
      </c>
      <c r="S1344" s="253">
        <v>46</v>
      </c>
      <c r="T1344" s="658">
        <v>1.0749838625007335E-2</v>
      </c>
      <c r="U1344" s="659">
        <v>0.53753547233236421</v>
      </c>
      <c r="V1344" s="658">
        <v>6.5898556472116621E-2</v>
      </c>
      <c r="W1344" s="659">
        <v>0.51106373891440882</v>
      </c>
      <c r="X1344" s="658">
        <v>0.14453012863142423</v>
      </c>
      <c r="Y1344" s="659">
        <v>0.74852046324293009</v>
      </c>
      <c r="Z1344" s="658">
        <v>0.21297024733772485</v>
      </c>
      <c r="AA1344" s="659">
        <v>0.96161966271914334</v>
      </c>
      <c r="AB1344" s="658">
        <v>3.7242971347973879E-2</v>
      </c>
      <c r="AC1344" s="660">
        <v>-1.6928121117302197</v>
      </c>
      <c r="AD1344" s="682">
        <v>0</v>
      </c>
      <c r="AE1344" s="944" t="s">
        <v>1759</v>
      </c>
      <c r="AF1344" s="661" t="s">
        <v>1760</v>
      </c>
      <c r="AG1344" s="662" t="s">
        <v>719</v>
      </c>
      <c r="AH1344" s="662" t="s">
        <v>1734</v>
      </c>
      <c r="AI1344" s="662">
        <v>1000</v>
      </c>
      <c r="AJ1344" s="662">
        <v>1000</v>
      </c>
      <c r="AK1344" s="662">
        <v>1000</v>
      </c>
      <c r="AL1344" s="658">
        <v>8.0000000000000002E-3</v>
      </c>
      <c r="AM1344" s="658">
        <v>0</v>
      </c>
      <c r="AN1344" s="659" t="s">
        <v>636</v>
      </c>
      <c r="AO1344" s="253" t="s">
        <v>34</v>
      </c>
      <c r="AP1344" s="944" t="s">
        <v>1735</v>
      </c>
      <c r="AQ1344" s="663" t="s">
        <v>675</v>
      </c>
      <c r="AR1344" s="658">
        <v>3.3600000000000001E-3</v>
      </c>
      <c r="AS1344" s="658">
        <v>3.3600000000000001E-3</v>
      </c>
      <c r="AT1344" s="658" t="s">
        <v>1417</v>
      </c>
      <c r="AU1344" s="658" t="s">
        <v>2751</v>
      </c>
      <c r="AX1344"/>
      <c r="AY1344"/>
      <c r="BA1344"/>
      <c r="BB1344"/>
      <c r="BC1344"/>
      <c r="BD1344"/>
      <c r="BE1344"/>
      <c r="BF1344"/>
      <c r="BG1344"/>
      <c r="BH1344"/>
      <c r="BI1344"/>
      <c r="BJ1344"/>
      <c r="BR1344"/>
      <c r="BS1344"/>
      <c r="BT1344"/>
      <c r="BU1344"/>
      <c r="BX1344"/>
      <c r="BY1344"/>
      <c r="CA1344"/>
    </row>
    <row r="1345" spans="2:79" ht="18.75">
      <c r="B1345" s="252" t="s">
        <v>2660</v>
      </c>
      <c r="C1345" s="251">
        <v>33701820000160</v>
      </c>
      <c r="D1345" s="252" t="s">
        <v>11</v>
      </c>
      <c r="E1345" s="252" t="s">
        <v>620</v>
      </c>
      <c r="F1345" s="252" t="s">
        <v>663</v>
      </c>
      <c r="G1345" s="253" t="s">
        <v>1417</v>
      </c>
      <c r="H1345" s="253" t="s">
        <v>1417</v>
      </c>
      <c r="I1345" s="253" t="s">
        <v>1417</v>
      </c>
      <c r="J1345" s="253" t="s">
        <v>608</v>
      </c>
      <c r="K1345" s="253" t="s">
        <v>48</v>
      </c>
      <c r="L1345" s="655"/>
      <c r="M1345" s="655" t="s">
        <v>34</v>
      </c>
      <c r="N1345" s="253" t="s">
        <v>3985</v>
      </c>
      <c r="O1345" s="253" t="s">
        <v>1321</v>
      </c>
      <c r="P1345" s="656">
        <v>44047</v>
      </c>
      <c r="Q1345" s="657"/>
      <c r="R1345" s="657"/>
      <c r="S1345" s="253">
        <v>2</v>
      </c>
      <c r="T1345" s="658"/>
      <c r="U1345" s="659"/>
      <c r="V1345" s="658"/>
      <c r="W1345" s="659"/>
      <c r="X1345" s="658"/>
      <c r="Y1345" s="659"/>
      <c r="Z1345" s="658"/>
      <c r="AA1345" s="659"/>
      <c r="AB1345" s="658"/>
      <c r="AC1345" s="660"/>
      <c r="AD1345" s="682">
        <v>19959517000130</v>
      </c>
      <c r="AE1345" s="944" t="s">
        <v>1759</v>
      </c>
      <c r="AF1345" s="661" t="s">
        <v>1760</v>
      </c>
      <c r="AG1345" s="662" t="s">
        <v>719</v>
      </c>
      <c r="AH1345" s="662" t="s">
        <v>2119</v>
      </c>
      <c r="AI1345" s="662">
        <v>5000</v>
      </c>
      <c r="AJ1345" s="662">
        <v>0</v>
      </c>
      <c r="AK1345" s="662">
        <v>0</v>
      </c>
      <c r="AL1345" s="658">
        <v>0.01</v>
      </c>
      <c r="AM1345" s="658">
        <v>0</v>
      </c>
      <c r="AN1345" s="659" t="s">
        <v>64</v>
      </c>
      <c r="AO1345" s="253" t="s">
        <v>4397</v>
      </c>
      <c r="AP1345" s="944" t="s">
        <v>1735</v>
      </c>
      <c r="AQ1345" s="663" t="s">
        <v>2190</v>
      </c>
      <c r="AR1345" s="658">
        <v>0</v>
      </c>
      <c r="AS1345" s="658">
        <v>0</v>
      </c>
      <c r="AT1345" s="658" t="s">
        <v>1417</v>
      </c>
      <c r="AU1345" s="658" t="s">
        <v>2751</v>
      </c>
      <c r="AX1345"/>
      <c r="AY1345"/>
      <c r="BA1345"/>
      <c r="BB1345"/>
      <c r="BC1345"/>
      <c r="BD1345"/>
      <c r="BE1345"/>
      <c r="BF1345"/>
      <c r="BG1345"/>
      <c r="BH1345"/>
      <c r="BI1345"/>
      <c r="BJ1345"/>
      <c r="BR1345"/>
      <c r="BS1345"/>
      <c r="BT1345"/>
      <c r="BU1345"/>
      <c r="BX1345"/>
      <c r="BY1345"/>
      <c r="CA1345"/>
    </row>
    <row r="1346" spans="2:79" ht="18.75">
      <c r="B1346" s="252" t="s">
        <v>393</v>
      </c>
      <c r="C1346" s="251">
        <v>39669100000140</v>
      </c>
      <c r="D1346" s="252" t="s">
        <v>14</v>
      </c>
      <c r="E1346" s="252" t="s">
        <v>607</v>
      </c>
      <c r="F1346" s="252" t="s">
        <v>1417</v>
      </c>
      <c r="G1346" s="253" t="s">
        <v>1417</v>
      </c>
      <c r="H1346" s="253" t="s">
        <v>34</v>
      </c>
      <c r="I1346" s="253" t="s">
        <v>34</v>
      </c>
      <c r="J1346" s="253" t="s">
        <v>608</v>
      </c>
      <c r="K1346" s="253" t="s">
        <v>48</v>
      </c>
      <c r="L1346" s="655"/>
      <c r="M1346" s="655" t="s">
        <v>34</v>
      </c>
      <c r="N1346" s="253" t="s">
        <v>3986</v>
      </c>
      <c r="O1346" s="253" t="s">
        <v>1321</v>
      </c>
      <c r="P1346" s="656">
        <v>44230</v>
      </c>
      <c r="Q1346" s="657">
        <v>15.32357528</v>
      </c>
      <c r="R1346" s="657">
        <v>17.905312197102052</v>
      </c>
      <c r="S1346" s="253">
        <v>32</v>
      </c>
      <c r="T1346" s="658">
        <v>-5.9762509904112471E-2</v>
      </c>
      <c r="U1346" s="659">
        <v>-2.9883675569178854</v>
      </c>
      <c r="V1346" s="658">
        <v>-0.30721751513422135</v>
      </c>
      <c r="W1346" s="659">
        <v>-2.3825670902354767</v>
      </c>
      <c r="X1346" s="658">
        <v>-0.4741643949907941</v>
      </c>
      <c r="Y1346" s="659">
        <v>-2.4556938816329579</v>
      </c>
      <c r="Z1346" s="658"/>
      <c r="AA1346" s="659"/>
      <c r="AB1346" s="658">
        <v>0.26965199813942103</v>
      </c>
      <c r="AC1346" s="660">
        <v>-1.617497469295579</v>
      </c>
      <c r="AD1346" s="682">
        <v>0</v>
      </c>
      <c r="AE1346" s="944" t="s">
        <v>1759</v>
      </c>
      <c r="AF1346" s="661" t="s">
        <v>1760</v>
      </c>
      <c r="AG1346" s="662" t="s">
        <v>719</v>
      </c>
      <c r="AH1346" s="662" t="s">
        <v>1734</v>
      </c>
      <c r="AI1346" s="662">
        <v>1000</v>
      </c>
      <c r="AJ1346" s="662">
        <v>1000</v>
      </c>
      <c r="AK1346" s="662">
        <v>1000</v>
      </c>
      <c r="AL1346" s="658">
        <v>0.02</v>
      </c>
      <c r="AM1346" s="658">
        <v>0.2</v>
      </c>
      <c r="AN1346" s="659" t="s">
        <v>666</v>
      </c>
      <c r="AO1346" s="253" t="s">
        <v>34</v>
      </c>
      <c r="AP1346" s="944" t="s">
        <v>1731</v>
      </c>
      <c r="AQ1346" s="663" t="s">
        <v>694</v>
      </c>
      <c r="AR1346" s="658">
        <v>6.6660000000000001E-3</v>
      </c>
      <c r="AS1346" s="658">
        <v>6.6660000000000001E-3</v>
      </c>
      <c r="AT1346" s="658" t="s">
        <v>1417</v>
      </c>
      <c r="AU1346" s="658" t="s">
        <v>2751</v>
      </c>
      <c r="AX1346"/>
      <c r="AY1346"/>
      <c r="BA1346"/>
      <c r="BB1346"/>
      <c r="BC1346"/>
      <c r="BD1346"/>
      <c r="BE1346"/>
      <c r="BF1346"/>
      <c r="BG1346"/>
      <c r="BH1346"/>
      <c r="BI1346"/>
      <c r="BJ1346"/>
      <c r="BR1346"/>
      <c r="BS1346"/>
      <c r="BT1346"/>
      <c r="BU1346"/>
      <c r="BX1346"/>
      <c r="BY1346"/>
      <c r="CA1346"/>
    </row>
    <row r="1347" spans="2:79" ht="18.75">
      <c r="B1347" s="252" t="s">
        <v>1207</v>
      </c>
      <c r="C1347" s="251">
        <v>41744647000105</v>
      </c>
      <c r="D1347" s="252" t="s">
        <v>14</v>
      </c>
      <c r="E1347" s="252" t="s">
        <v>607</v>
      </c>
      <c r="F1347" s="252" t="s">
        <v>1417</v>
      </c>
      <c r="G1347" s="253" t="s">
        <v>1417</v>
      </c>
      <c r="H1347" s="253" t="s">
        <v>34</v>
      </c>
      <c r="I1347" s="253" t="s">
        <v>34</v>
      </c>
      <c r="J1347" s="253" t="s">
        <v>608</v>
      </c>
      <c r="K1347" s="253" t="s">
        <v>48</v>
      </c>
      <c r="L1347" s="655"/>
      <c r="M1347" s="655" t="s">
        <v>1414</v>
      </c>
      <c r="N1347" s="253" t="s">
        <v>3987</v>
      </c>
      <c r="O1347" s="253" t="s">
        <v>1324</v>
      </c>
      <c r="P1347" s="656">
        <v>44324</v>
      </c>
      <c r="Q1347" s="657">
        <v>4.7966648300000001</v>
      </c>
      <c r="R1347" s="657">
        <v>5.3758384924497991</v>
      </c>
      <c r="S1347" s="253">
        <v>16</v>
      </c>
      <c r="T1347" s="658">
        <v>2.0935389716582264E-2</v>
      </c>
      <c r="U1347" s="659">
        <v>1.0468542824062614</v>
      </c>
      <c r="V1347" s="658">
        <v>-3.8974343829285663E-2</v>
      </c>
      <c r="W1347" s="659">
        <v>-0.30225812135290747</v>
      </c>
      <c r="X1347" s="658"/>
      <c r="Y1347" s="659"/>
      <c r="Z1347" s="658"/>
      <c r="AA1347" s="659"/>
      <c r="AB1347" s="658">
        <v>0.20575483608563055</v>
      </c>
      <c r="AC1347" s="660">
        <v>-0.81610841558149427</v>
      </c>
      <c r="AD1347" s="682">
        <v>41673080000123</v>
      </c>
      <c r="AE1347" s="944" t="s">
        <v>2053</v>
      </c>
      <c r="AF1347" s="661" t="s">
        <v>1745</v>
      </c>
      <c r="AG1347" s="662" t="s">
        <v>1432</v>
      </c>
      <c r="AH1347" s="662" t="s">
        <v>1734</v>
      </c>
      <c r="AI1347" s="662">
        <v>1000</v>
      </c>
      <c r="AJ1347" s="662">
        <v>500</v>
      </c>
      <c r="AK1347" s="662">
        <v>300</v>
      </c>
      <c r="AL1347" s="658">
        <v>9.0000000000000011E-3</v>
      </c>
      <c r="AM1347" s="658">
        <v>0.1</v>
      </c>
      <c r="AN1347" s="659" t="s">
        <v>34</v>
      </c>
      <c r="AO1347" s="253" t="s">
        <v>34</v>
      </c>
      <c r="AP1347" s="944" t="s">
        <v>1731</v>
      </c>
      <c r="AQ1347" s="663" t="s">
        <v>659</v>
      </c>
      <c r="AR1347" s="658">
        <v>1.8E-3</v>
      </c>
      <c r="AS1347" s="658">
        <v>1.8E-3</v>
      </c>
      <c r="AT1347" s="658" t="s">
        <v>1417</v>
      </c>
      <c r="AU1347" s="658" t="s">
        <v>2751</v>
      </c>
      <c r="AX1347"/>
      <c r="AY1347"/>
      <c r="BA1347"/>
      <c r="BB1347"/>
      <c r="BC1347"/>
      <c r="BD1347"/>
      <c r="BE1347"/>
      <c r="BF1347"/>
      <c r="BG1347"/>
      <c r="BH1347"/>
      <c r="BI1347"/>
      <c r="BJ1347"/>
      <c r="BR1347"/>
      <c r="BS1347"/>
      <c r="BT1347"/>
      <c r="BU1347"/>
      <c r="BX1347"/>
      <c r="BY1347"/>
      <c r="CA1347"/>
    </row>
    <row r="1348" spans="2:79" ht="18.75">
      <c r="B1348" s="252" t="s">
        <v>1208</v>
      </c>
      <c r="C1348" s="251">
        <v>38949124000190</v>
      </c>
      <c r="D1348" s="252" t="s">
        <v>14</v>
      </c>
      <c r="E1348" s="252" t="s">
        <v>607</v>
      </c>
      <c r="F1348" s="252" t="s">
        <v>1417</v>
      </c>
      <c r="G1348" s="253" t="s">
        <v>866</v>
      </c>
      <c r="H1348" s="253" t="s">
        <v>34</v>
      </c>
      <c r="I1348" s="253" t="s">
        <v>34</v>
      </c>
      <c r="J1348" s="253" t="s">
        <v>690</v>
      </c>
      <c r="K1348" s="253" t="s">
        <v>48</v>
      </c>
      <c r="L1348" s="655"/>
      <c r="M1348" s="655" t="s">
        <v>34</v>
      </c>
      <c r="N1348" s="253" t="s">
        <v>3988</v>
      </c>
      <c r="O1348" s="253" t="s">
        <v>1321</v>
      </c>
      <c r="P1348" s="656">
        <v>44114</v>
      </c>
      <c r="Q1348" s="657">
        <v>11.65191939</v>
      </c>
      <c r="R1348" s="657">
        <v>19.769554798830644</v>
      </c>
      <c r="S1348" s="253">
        <v>9</v>
      </c>
      <c r="T1348" s="658">
        <v>9.1556285515056235E-2</v>
      </c>
      <c r="U1348" s="659">
        <v>4.5781851147834285</v>
      </c>
      <c r="V1348" s="658">
        <v>4.4887434495315848E-2</v>
      </c>
      <c r="W1348" s="659">
        <v>0.34811597296760782</v>
      </c>
      <c r="X1348" s="658">
        <v>2.4424166186658214E-2</v>
      </c>
      <c r="Y1348" s="659">
        <v>0.12649257536455816</v>
      </c>
      <c r="Z1348" s="658"/>
      <c r="AA1348" s="659"/>
      <c r="AB1348" s="658">
        <v>0.30692598861232123</v>
      </c>
      <c r="AC1348" s="660">
        <v>-0.27386561604479959</v>
      </c>
      <c r="AD1348" s="682">
        <v>38948616000161</v>
      </c>
      <c r="AE1348" s="944" t="s">
        <v>1747</v>
      </c>
      <c r="AF1348" s="661" t="s">
        <v>1745</v>
      </c>
      <c r="AG1348" s="662" t="s">
        <v>1432</v>
      </c>
      <c r="AH1348" s="662" t="s">
        <v>1730</v>
      </c>
      <c r="AI1348" s="662">
        <v>5000</v>
      </c>
      <c r="AJ1348" s="662">
        <v>5000</v>
      </c>
      <c r="AK1348" s="662">
        <v>5000</v>
      </c>
      <c r="AL1348" s="658">
        <v>1.2E-2</v>
      </c>
      <c r="AM1348" s="658">
        <v>0</v>
      </c>
      <c r="AN1348" s="659" t="s">
        <v>34</v>
      </c>
      <c r="AO1348" s="253" t="s">
        <v>34</v>
      </c>
      <c r="AP1348" s="944" t="s">
        <v>1731</v>
      </c>
      <c r="AQ1348" s="663" t="s">
        <v>687</v>
      </c>
      <c r="AR1348" s="658">
        <v>8.0000000000000002E-3</v>
      </c>
      <c r="AS1348" s="658">
        <v>8.0000000000000002E-3</v>
      </c>
      <c r="AT1348" s="658" t="s">
        <v>1417</v>
      </c>
      <c r="AU1348" s="658" t="s">
        <v>2751</v>
      </c>
      <c r="AX1348"/>
      <c r="AY1348"/>
      <c r="BA1348"/>
      <c r="BB1348"/>
      <c r="BC1348"/>
      <c r="BD1348"/>
      <c r="BE1348"/>
      <c r="BF1348"/>
      <c r="BG1348"/>
      <c r="BH1348"/>
      <c r="BI1348"/>
      <c r="BJ1348"/>
      <c r="BR1348"/>
      <c r="BS1348"/>
      <c r="BT1348"/>
      <c r="BU1348"/>
      <c r="BX1348"/>
      <c r="BY1348"/>
      <c r="CA1348"/>
    </row>
    <row r="1349" spans="2:79" ht="18.75">
      <c r="B1349" s="252" t="s">
        <v>1699</v>
      </c>
      <c r="C1349" s="251">
        <v>38948616000161</v>
      </c>
      <c r="D1349" s="252" t="s">
        <v>14</v>
      </c>
      <c r="E1349" s="252" t="s">
        <v>607</v>
      </c>
      <c r="F1349" s="252" t="s">
        <v>1417</v>
      </c>
      <c r="G1349" s="253" t="s">
        <v>866</v>
      </c>
      <c r="H1349" s="253" t="s">
        <v>34</v>
      </c>
      <c r="I1349" s="253" t="s">
        <v>34</v>
      </c>
      <c r="J1349" s="253" t="s">
        <v>690</v>
      </c>
      <c r="K1349" s="253" t="s">
        <v>48</v>
      </c>
      <c r="L1349" s="655"/>
      <c r="M1349" s="655" t="s">
        <v>34</v>
      </c>
      <c r="N1349" s="253" t="s">
        <v>3989</v>
      </c>
      <c r="O1349" s="253" t="s">
        <v>1321</v>
      </c>
      <c r="P1349" s="656">
        <v>44114</v>
      </c>
      <c r="Q1349" s="657">
        <v>12.080779100000001</v>
      </c>
      <c r="R1349" s="657">
        <v>19.632403700722893</v>
      </c>
      <c r="S1349" s="253">
        <v>9</v>
      </c>
      <c r="T1349" s="658">
        <v>9.4190892096666978E-2</v>
      </c>
      <c r="U1349" s="659">
        <v>4.7099261150586882</v>
      </c>
      <c r="V1349" s="658">
        <v>3.5988398859605253E-2</v>
      </c>
      <c r="W1349" s="659">
        <v>0.27910119224713509</v>
      </c>
      <c r="X1349" s="658">
        <v>2.7771963165889924E-2</v>
      </c>
      <c r="Y1349" s="659">
        <v>0.14383079106716953</v>
      </c>
      <c r="Z1349" s="658"/>
      <c r="AA1349" s="659"/>
      <c r="AB1349" s="658">
        <v>0.31047926305049622</v>
      </c>
      <c r="AC1349" s="660">
        <v>-0.2993936202820246</v>
      </c>
      <c r="AD1349" s="682">
        <v>0</v>
      </c>
      <c r="AE1349" s="944" t="s">
        <v>1747</v>
      </c>
      <c r="AF1349" s="661" t="s">
        <v>1745</v>
      </c>
      <c r="AG1349" s="662" t="s">
        <v>1432</v>
      </c>
      <c r="AH1349" s="662" t="s">
        <v>1730</v>
      </c>
      <c r="AI1349" s="662">
        <v>2000000</v>
      </c>
      <c r="AJ1349" s="662">
        <v>1000</v>
      </c>
      <c r="AK1349" s="662">
        <v>2000000</v>
      </c>
      <c r="AL1349" s="658">
        <v>2E-3</v>
      </c>
      <c r="AM1349" s="658">
        <v>0</v>
      </c>
      <c r="AN1349" s="659" t="s">
        <v>34</v>
      </c>
      <c r="AO1349" s="253" t="s">
        <v>34</v>
      </c>
      <c r="AP1349" s="944" t="s">
        <v>1731</v>
      </c>
      <c r="AQ1349" s="663" t="s">
        <v>687</v>
      </c>
      <c r="AR1349" s="658">
        <v>0</v>
      </c>
      <c r="AS1349" s="658">
        <v>0</v>
      </c>
      <c r="AT1349" s="658" t="s">
        <v>1417</v>
      </c>
      <c r="AU1349" s="658" t="s">
        <v>2751</v>
      </c>
      <c r="AX1349"/>
      <c r="AY1349"/>
      <c r="BA1349"/>
      <c r="BB1349"/>
      <c r="BC1349"/>
      <c r="BD1349"/>
      <c r="BE1349"/>
      <c r="BF1349"/>
      <c r="BG1349"/>
      <c r="BH1349"/>
      <c r="BI1349"/>
      <c r="BJ1349"/>
      <c r="BR1349"/>
      <c r="BS1349"/>
      <c r="BT1349"/>
      <c r="BU1349"/>
      <c r="BX1349"/>
      <c r="BY1349"/>
      <c r="CA1349"/>
    </row>
    <row r="1350" spans="2:79" ht="18.75">
      <c r="B1350" s="252" t="s">
        <v>595</v>
      </c>
      <c r="C1350" s="251">
        <v>41922414000155</v>
      </c>
      <c r="D1350" s="252" t="s">
        <v>14</v>
      </c>
      <c r="E1350" s="252" t="s">
        <v>607</v>
      </c>
      <c r="F1350" s="252" t="s">
        <v>1417</v>
      </c>
      <c r="G1350" s="253" t="s">
        <v>1417</v>
      </c>
      <c r="H1350" s="253" t="s">
        <v>34</v>
      </c>
      <c r="I1350" s="253" t="s">
        <v>34</v>
      </c>
      <c r="J1350" s="253" t="s">
        <v>608</v>
      </c>
      <c r="K1350" s="253" t="s">
        <v>48</v>
      </c>
      <c r="L1350" s="655"/>
      <c r="M1350" s="655" t="s">
        <v>34</v>
      </c>
      <c r="N1350" s="253" t="s">
        <v>3990</v>
      </c>
      <c r="O1350" s="253" t="s">
        <v>1321</v>
      </c>
      <c r="P1350" s="656">
        <v>44360</v>
      </c>
      <c r="Q1350" s="657">
        <v>4.2844447199999998</v>
      </c>
      <c r="R1350" s="657">
        <v>4.5895818741224481</v>
      </c>
      <c r="S1350" s="253">
        <v>32</v>
      </c>
      <c r="T1350" s="658">
        <v>-3.122354127738769E-2</v>
      </c>
      <c r="U1350" s="659">
        <v>-1.5613035315140098</v>
      </c>
      <c r="V1350" s="658">
        <v>-0.11570191284507525</v>
      </c>
      <c r="W1350" s="659">
        <v>-0.89730421034598995</v>
      </c>
      <c r="X1350" s="658"/>
      <c r="Y1350" s="659"/>
      <c r="Z1350" s="658"/>
      <c r="AA1350" s="659"/>
      <c r="AB1350" s="658">
        <v>0.22860270616451062</v>
      </c>
      <c r="AC1350" s="660">
        <v>-1.0701790297959457</v>
      </c>
      <c r="AD1350" s="682">
        <v>41902964000102</v>
      </c>
      <c r="AE1350" s="944" t="s">
        <v>2051</v>
      </c>
      <c r="AF1350" s="661" t="s">
        <v>1769</v>
      </c>
      <c r="AG1350" s="662" t="s">
        <v>719</v>
      </c>
      <c r="AH1350" s="662" t="s">
        <v>1734</v>
      </c>
      <c r="AI1350" s="662">
        <v>5000</v>
      </c>
      <c r="AJ1350" s="662">
        <v>500</v>
      </c>
      <c r="AK1350" s="662">
        <v>2500</v>
      </c>
      <c r="AL1350" s="658">
        <v>1.89E-2</v>
      </c>
      <c r="AM1350" s="658">
        <v>0</v>
      </c>
      <c r="AN1350" s="659" t="s">
        <v>666</v>
      </c>
      <c r="AO1350" s="253" t="s">
        <v>34</v>
      </c>
      <c r="AP1350" s="944" t="s">
        <v>1731</v>
      </c>
      <c r="AQ1350" s="663" t="s">
        <v>659</v>
      </c>
      <c r="AR1350" s="658">
        <v>6.2993700000000003E-3</v>
      </c>
      <c r="AS1350" s="658">
        <v>6.2993700000000003E-3</v>
      </c>
      <c r="AT1350" s="658" t="s">
        <v>1417</v>
      </c>
      <c r="AU1350" s="658" t="s">
        <v>2751</v>
      </c>
      <c r="AX1350"/>
      <c r="AY1350"/>
      <c r="BA1350"/>
      <c r="BB1350"/>
      <c r="BC1350"/>
      <c r="BD1350"/>
      <c r="BE1350"/>
      <c r="BF1350"/>
      <c r="BG1350"/>
      <c r="BH1350"/>
      <c r="BI1350"/>
      <c r="BJ1350"/>
      <c r="BR1350"/>
      <c r="BS1350"/>
      <c r="BT1350"/>
      <c r="BU1350"/>
      <c r="BX1350"/>
      <c r="BY1350"/>
      <c r="CA1350"/>
    </row>
    <row r="1351" spans="2:79" ht="18.75">
      <c r="B1351" s="252" t="s">
        <v>540</v>
      </c>
      <c r="C1351" s="251">
        <v>41922498000127</v>
      </c>
      <c r="D1351" s="252" t="s">
        <v>14</v>
      </c>
      <c r="E1351" s="252" t="s">
        <v>614</v>
      </c>
      <c r="F1351" s="252" t="s">
        <v>1417</v>
      </c>
      <c r="G1351" s="253" t="s">
        <v>1417</v>
      </c>
      <c r="H1351" s="253" t="s">
        <v>865</v>
      </c>
      <c r="I1351" s="253" t="s">
        <v>34</v>
      </c>
      <c r="J1351" s="253" t="s">
        <v>608</v>
      </c>
      <c r="K1351" s="253" t="s">
        <v>48</v>
      </c>
      <c r="L1351" s="655"/>
      <c r="M1351" s="655" t="s">
        <v>34</v>
      </c>
      <c r="N1351" s="253" t="s">
        <v>3991</v>
      </c>
      <c r="O1351" s="253" t="s">
        <v>1321</v>
      </c>
      <c r="P1351" s="656">
        <v>44377</v>
      </c>
      <c r="Q1351" s="657">
        <v>0</v>
      </c>
      <c r="R1351" s="657">
        <v>0</v>
      </c>
      <c r="S1351" s="253">
        <v>32</v>
      </c>
      <c r="T1351" s="658"/>
      <c r="U1351" s="659"/>
      <c r="V1351" s="658"/>
      <c r="W1351" s="659"/>
      <c r="X1351" s="658"/>
      <c r="Y1351" s="659"/>
      <c r="Z1351" s="658"/>
      <c r="AA1351" s="659"/>
      <c r="AB1351" s="658"/>
      <c r="AC1351" s="660"/>
      <c r="AD1351" s="682">
        <v>41902620000101</v>
      </c>
      <c r="AE1351" s="944" t="s">
        <v>2051</v>
      </c>
      <c r="AF1351" s="661" t="s">
        <v>1769</v>
      </c>
      <c r="AG1351" s="662" t="s">
        <v>719</v>
      </c>
      <c r="AH1351" s="662" t="s">
        <v>1730</v>
      </c>
      <c r="AI1351" s="662">
        <v>5000</v>
      </c>
      <c r="AJ1351" s="662">
        <v>500</v>
      </c>
      <c r="AK1351" s="662">
        <v>2500</v>
      </c>
      <c r="AL1351" s="658">
        <v>1.89E-2</v>
      </c>
      <c r="AM1351" s="658">
        <v>0.2</v>
      </c>
      <c r="AN1351" s="659" t="s">
        <v>2141</v>
      </c>
      <c r="AO1351" s="253" t="s">
        <v>34</v>
      </c>
      <c r="AP1351" s="944" t="s">
        <v>1746</v>
      </c>
      <c r="AQ1351" s="663" t="s">
        <v>674</v>
      </c>
      <c r="AR1351" s="658">
        <v>6.2993700000000003E-3</v>
      </c>
      <c r="AS1351" s="658">
        <v>6.2993700000000003E-3</v>
      </c>
      <c r="AT1351" s="658" t="s">
        <v>1417</v>
      </c>
      <c r="AU1351" s="658" t="s">
        <v>2751</v>
      </c>
      <c r="AX1351"/>
      <c r="AY1351"/>
      <c r="BA1351"/>
      <c r="BB1351"/>
      <c r="BC1351"/>
      <c r="BD1351"/>
      <c r="BE1351"/>
      <c r="BF1351"/>
      <c r="BG1351"/>
      <c r="BH1351"/>
      <c r="BI1351"/>
      <c r="BJ1351"/>
      <c r="BR1351"/>
      <c r="BS1351"/>
      <c r="BT1351"/>
      <c r="BU1351"/>
      <c r="BX1351"/>
      <c r="BY1351"/>
      <c r="CA1351"/>
    </row>
    <row r="1352" spans="2:79" ht="18.75">
      <c r="B1352" s="252" t="s">
        <v>394</v>
      </c>
      <c r="C1352" s="251">
        <v>12120451000141</v>
      </c>
      <c r="D1352" s="252" t="s">
        <v>13</v>
      </c>
      <c r="E1352" s="252" t="s">
        <v>615</v>
      </c>
      <c r="F1352" s="252" t="s">
        <v>619</v>
      </c>
      <c r="G1352" s="253" t="s">
        <v>34</v>
      </c>
      <c r="H1352" s="253" t="s">
        <v>1337</v>
      </c>
      <c r="I1352" s="253" t="s">
        <v>34</v>
      </c>
      <c r="J1352" s="253" t="s">
        <v>1417</v>
      </c>
      <c r="K1352" s="253" t="s">
        <v>48</v>
      </c>
      <c r="L1352" s="655"/>
      <c r="M1352" s="655" t="s">
        <v>34</v>
      </c>
      <c r="N1352" s="253" t="s">
        <v>3992</v>
      </c>
      <c r="O1352" s="253" t="s">
        <v>1321</v>
      </c>
      <c r="P1352" s="656">
        <v>40384</v>
      </c>
      <c r="Q1352" s="657">
        <v>28.341367000000002</v>
      </c>
      <c r="R1352" s="657">
        <v>20.500433702811247</v>
      </c>
      <c r="S1352" s="253">
        <v>1</v>
      </c>
      <c r="T1352" s="658">
        <v>-2.5839357802857843E-2</v>
      </c>
      <c r="U1352" s="659">
        <v>-1.2920725497230126</v>
      </c>
      <c r="V1352" s="658">
        <v>9.0518214890418669E-2</v>
      </c>
      <c r="W1352" s="659">
        <v>0.7019968238807982</v>
      </c>
      <c r="X1352" s="658">
        <v>0.13485899575136218</v>
      </c>
      <c r="Y1352" s="659">
        <v>0.69843373785206897</v>
      </c>
      <c r="Z1352" s="658">
        <v>0.15923979220210072</v>
      </c>
      <c r="AA1352" s="659">
        <v>0.71901177363062563</v>
      </c>
      <c r="AB1352" s="658">
        <v>0.10083261786724766</v>
      </c>
      <c r="AC1352" s="660">
        <v>-0.3810839723209356</v>
      </c>
      <c r="AD1352" s="682">
        <v>0</v>
      </c>
      <c r="AE1352" s="944" t="s">
        <v>1864</v>
      </c>
      <c r="AF1352" s="661" t="s">
        <v>1745</v>
      </c>
      <c r="AG1352" s="662" t="s">
        <v>1432</v>
      </c>
      <c r="AH1352" s="662" t="s">
        <v>1734</v>
      </c>
      <c r="AI1352" s="662">
        <v>1000</v>
      </c>
      <c r="AJ1352" s="662">
        <v>1000</v>
      </c>
      <c r="AK1352" s="662">
        <v>1000</v>
      </c>
      <c r="AL1352" s="658">
        <v>0.02</v>
      </c>
      <c r="AM1352" s="658">
        <v>0.2</v>
      </c>
      <c r="AN1352" s="659" t="s">
        <v>64</v>
      </c>
      <c r="AO1352" s="253" t="s">
        <v>34</v>
      </c>
      <c r="AP1352" s="944" t="s">
        <v>1746</v>
      </c>
      <c r="AQ1352" s="663" t="s">
        <v>668</v>
      </c>
      <c r="AR1352" s="658">
        <v>4.0000000000000001E-3</v>
      </c>
      <c r="AS1352" s="658">
        <v>4.0000000000000001E-3</v>
      </c>
      <c r="AT1352" s="658" t="s">
        <v>1417</v>
      </c>
      <c r="AU1352" s="658" t="s">
        <v>2751</v>
      </c>
      <c r="AX1352"/>
      <c r="AY1352"/>
      <c r="BA1352"/>
      <c r="BB1352"/>
      <c r="BC1352"/>
      <c r="BD1352"/>
      <c r="BE1352"/>
      <c r="BF1352"/>
      <c r="BG1352"/>
      <c r="BH1352"/>
      <c r="BI1352"/>
      <c r="BJ1352"/>
      <c r="BR1352"/>
      <c r="BS1352"/>
      <c r="BT1352"/>
      <c r="BU1352"/>
      <c r="BX1352"/>
      <c r="BY1352"/>
      <c r="CA1352"/>
    </row>
    <row r="1353" spans="2:79" ht="18.75">
      <c r="B1353" s="252" t="s">
        <v>395</v>
      </c>
      <c r="C1353" s="251">
        <v>3618010000183</v>
      </c>
      <c r="D1353" s="252" t="s">
        <v>14</v>
      </c>
      <c r="E1353" s="252" t="s">
        <v>607</v>
      </c>
      <c r="F1353" s="252" t="s">
        <v>1417</v>
      </c>
      <c r="G1353" s="253" t="s">
        <v>1417</v>
      </c>
      <c r="H1353" s="253" t="s">
        <v>34</v>
      </c>
      <c r="I1353" s="253" t="s">
        <v>34</v>
      </c>
      <c r="J1353" s="253" t="s">
        <v>608</v>
      </c>
      <c r="K1353" s="253" t="s">
        <v>48</v>
      </c>
      <c r="L1353" s="655"/>
      <c r="M1353" s="655" t="s">
        <v>34</v>
      </c>
      <c r="N1353" s="253" t="s">
        <v>3993</v>
      </c>
      <c r="O1353" s="253" t="s">
        <v>1321</v>
      </c>
      <c r="P1353" s="656">
        <v>40551</v>
      </c>
      <c r="Q1353" s="657">
        <v>15.17235477</v>
      </c>
      <c r="R1353" s="657">
        <v>22.269065998674698</v>
      </c>
      <c r="S1353" s="253">
        <v>17</v>
      </c>
      <c r="T1353" s="658">
        <v>-4.2760769555959088E-2</v>
      </c>
      <c r="U1353" s="659">
        <v>-2.138211675762915</v>
      </c>
      <c r="V1353" s="658">
        <v>-0.31524339890638131</v>
      </c>
      <c r="W1353" s="659">
        <v>-2.4448103075118386</v>
      </c>
      <c r="X1353" s="658">
        <v>-0.42627443158481704</v>
      </c>
      <c r="Y1353" s="659">
        <v>-2.2076721166711089</v>
      </c>
      <c r="Z1353" s="658">
        <v>-0.4677635175774324</v>
      </c>
      <c r="AA1353" s="659">
        <v>-2.1120818594525463</v>
      </c>
      <c r="AB1353" s="658">
        <v>0.42582171052788481</v>
      </c>
      <c r="AC1353" s="660">
        <v>-1.043129782656026</v>
      </c>
      <c r="AD1353" s="682">
        <v>0</v>
      </c>
      <c r="AE1353" s="944" t="s">
        <v>1864</v>
      </c>
      <c r="AF1353" s="661" t="s">
        <v>1745</v>
      </c>
      <c r="AG1353" s="662" t="s">
        <v>1432</v>
      </c>
      <c r="AH1353" s="662" t="s">
        <v>1734</v>
      </c>
      <c r="AI1353" s="662">
        <v>1000</v>
      </c>
      <c r="AJ1353" s="662">
        <v>1000</v>
      </c>
      <c r="AK1353" s="662">
        <v>1000</v>
      </c>
      <c r="AL1353" s="658">
        <v>0.02</v>
      </c>
      <c r="AM1353" s="658">
        <v>0.2</v>
      </c>
      <c r="AN1353" s="659" t="s">
        <v>666</v>
      </c>
      <c r="AO1353" s="253" t="s">
        <v>34</v>
      </c>
      <c r="AP1353" s="944" t="s">
        <v>1731</v>
      </c>
      <c r="AQ1353" s="663" t="s">
        <v>659</v>
      </c>
      <c r="AR1353" s="658">
        <v>4.0000000000000001E-3</v>
      </c>
      <c r="AS1353" s="658">
        <v>4.0000000000000001E-3</v>
      </c>
      <c r="AT1353" s="658" t="s">
        <v>1417</v>
      </c>
      <c r="AU1353" s="658" t="s">
        <v>2751</v>
      </c>
      <c r="AX1353"/>
      <c r="AY1353"/>
      <c r="BA1353"/>
      <c r="BB1353"/>
      <c r="BC1353"/>
      <c r="BD1353"/>
      <c r="BE1353"/>
      <c r="BF1353"/>
      <c r="BG1353"/>
      <c r="BH1353"/>
      <c r="BI1353"/>
      <c r="BJ1353"/>
      <c r="BR1353"/>
      <c r="BS1353"/>
      <c r="BT1353"/>
      <c r="BU1353"/>
      <c r="BX1353"/>
      <c r="BY1353"/>
      <c r="CA1353"/>
    </row>
    <row r="1354" spans="2:79" ht="18.75">
      <c r="B1354" s="252" t="s">
        <v>1209</v>
      </c>
      <c r="C1354" s="251">
        <v>16599959000125</v>
      </c>
      <c r="D1354" s="252" t="s">
        <v>11</v>
      </c>
      <c r="E1354" s="252" t="s">
        <v>620</v>
      </c>
      <c r="F1354" s="252" t="s">
        <v>663</v>
      </c>
      <c r="G1354" s="253" t="s">
        <v>738</v>
      </c>
      <c r="H1354" s="253" t="s">
        <v>34</v>
      </c>
      <c r="I1354" s="253" t="s">
        <v>34</v>
      </c>
      <c r="J1354" s="253" t="s">
        <v>608</v>
      </c>
      <c r="K1354" s="253" t="s">
        <v>48</v>
      </c>
      <c r="L1354" s="655"/>
      <c r="M1354" s="655" t="s">
        <v>34</v>
      </c>
      <c r="N1354" s="253" t="s">
        <v>3994</v>
      </c>
      <c r="O1354" s="253" t="s">
        <v>1321</v>
      </c>
      <c r="P1354" s="656">
        <v>41182</v>
      </c>
      <c r="Q1354" s="657">
        <v>202.85211100000001</v>
      </c>
      <c r="R1354" s="657">
        <v>111.94967118473893</v>
      </c>
      <c r="S1354" s="253">
        <v>15</v>
      </c>
      <c r="T1354" s="658">
        <v>-3.3816360611810259E-3</v>
      </c>
      <c r="U1354" s="659">
        <v>-0.16909550001750448</v>
      </c>
      <c r="V1354" s="658">
        <v>0.126092975875431</v>
      </c>
      <c r="W1354" s="659">
        <v>0.97789012615183768</v>
      </c>
      <c r="X1354" s="658">
        <v>0.22623671353512775</v>
      </c>
      <c r="Y1354" s="659">
        <v>1.1716782598991806</v>
      </c>
      <c r="Z1354" s="658">
        <v>0.203440282696562</v>
      </c>
      <c r="AA1354" s="659">
        <v>0.91858923241951596</v>
      </c>
      <c r="AB1354" s="658">
        <v>1.0507197311216706E-2</v>
      </c>
      <c r="AC1354" s="660">
        <v>-0.27133149658414663</v>
      </c>
      <c r="AD1354" s="682">
        <v>0</v>
      </c>
      <c r="AE1354" s="944" t="s">
        <v>1864</v>
      </c>
      <c r="AF1354" s="661" t="s">
        <v>1745</v>
      </c>
      <c r="AG1354" s="662" t="s">
        <v>1432</v>
      </c>
      <c r="AH1354" s="662" t="s">
        <v>1734</v>
      </c>
      <c r="AI1354" s="662">
        <v>500</v>
      </c>
      <c r="AJ1354" s="662">
        <v>0</v>
      </c>
      <c r="AK1354" s="662">
        <v>0</v>
      </c>
      <c r="AL1354" s="658">
        <v>7.4999999999999997E-3</v>
      </c>
      <c r="AM1354" s="658">
        <v>0</v>
      </c>
      <c r="AN1354" s="659" t="s">
        <v>64</v>
      </c>
      <c r="AO1354" s="253" t="s">
        <v>34</v>
      </c>
      <c r="AP1354" s="944" t="s">
        <v>1735</v>
      </c>
      <c r="AQ1354" s="663" t="s">
        <v>675</v>
      </c>
      <c r="AR1354" s="658">
        <v>1.5E-3</v>
      </c>
      <c r="AS1354" s="658">
        <v>1.5E-3</v>
      </c>
      <c r="AT1354" s="658" t="s">
        <v>1417</v>
      </c>
      <c r="AU1354" s="658" t="s">
        <v>2751</v>
      </c>
      <c r="AX1354"/>
      <c r="AY1354"/>
      <c r="BA1354"/>
      <c r="BB1354"/>
      <c r="BC1354"/>
      <c r="BD1354"/>
      <c r="BE1354"/>
      <c r="BF1354"/>
      <c r="BG1354"/>
      <c r="BH1354"/>
      <c r="BI1354"/>
      <c r="BJ1354"/>
      <c r="BR1354"/>
      <c r="BS1354"/>
      <c r="BT1354"/>
      <c r="BU1354"/>
      <c r="BX1354"/>
      <c r="BY1354"/>
      <c r="CA1354"/>
    </row>
    <row r="1355" spans="2:79" ht="18.75">
      <c r="B1355" s="252" t="s">
        <v>1210</v>
      </c>
      <c r="C1355" s="251">
        <v>42922205000174</v>
      </c>
      <c r="D1355" s="252" t="s">
        <v>14</v>
      </c>
      <c r="E1355" s="252" t="s">
        <v>607</v>
      </c>
      <c r="F1355" s="252" t="s">
        <v>1417</v>
      </c>
      <c r="G1355" s="253" t="s">
        <v>1417</v>
      </c>
      <c r="H1355" s="253" t="s">
        <v>34</v>
      </c>
      <c r="I1355" s="253" t="s">
        <v>34</v>
      </c>
      <c r="J1355" s="253" t="s">
        <v>608</v>
      </c>
      <c r="K1355" s="253" t="s">
        <v>48</v>
      </c>
      <c r="L1355" s="655"/>
      <c r="M1355" s="655" t="s">
        <v>1414</v>
      </c>
      <c r="N1355" s="253" t="s">
        <v>3995</v>
      </c>
      <c r="O1355" s="253" t="s">
        <v>1321</v>
      </c>
      <c r="P1355" s="656">
        <v>44400</v>
      </c>
      <c r="Q1355" s="657">
        <v>78.148860080000006</v>
      </c>
      <c r="R1355" s="657">
        <v>43.82141571341613</v>
      </c>
      <c r="S1355" s="253">
        <v>92</v>
      </c>
      <c r="T1355" s="658">
        <v>-8.274345775595382E-3</v>
      </c>
      <c r="U1355" s="659">
        <v>-0.41375080314035234</v>
      </c>
      <c r="V1355" s="658">
        <v>-9.8111054898947225E-3</v>
      </c>
      <c r="W1355" s="659">
        <v>-7.6088165249429629E-2</v>
      </c>
      <c r="X1355" s="658"/>
      <c r="Y1355" s="659"/>
      <c r="Z1355" s="658"/>
      <c r="AA1355" s="659"/>
      <c r="AB1355" s="658">
        <v>0.24903921345200886</v>
      </c>
      <c r="AC1355" s="660">
        <v>-0.55716131212172293</v>
      </c>
      <c r="AD1355" s="682">
        <v>27389566000103</v>
      </c>
      <c r="AE1355" s="944" t="s">
        <v>1918</v>
      </c>
      <c r="AF1355" s="661" t="s">
        <v>1742</v>
      </c>
      <c r="AG1355" s="662" t="s">
        <v>741</v>
      </c>
      <c r="AH1355" s="662" t="s">
        <v>1734</v>
      </c>
      <c r="AI1355" s="662">
        <v>1000</v>
      </c>
      <c r="AJ1355" s="662">
        <v>1000</v>
      </c>
      <c r="AK1355" s="662">
        <v>0</v>
      </c>
      <c r="AL1355" s="658">
        <v>0</v>
      </c>
      <c r="AM1355" s="658">
        <v>0</v>
      </c>
      <c r="AN1355" s="659" t="s">
        <v>2122</v>
      </c>
      <c r="AO1355" s="253" t="s">
        <v>34</v>
      </c>
      <c r="AP1355" s="944" t="s">
        <v>1731</v>
      </c>
      <c r="AQ1355" s="663" t="s">
        <v>659</v>
      </c>
      <c r="AR1355" s="658">
        <v>2.333E-3</v>
      </c>
      <c r="AS1355" s="658">
        <v>2.333E-3</v>
      </c>
      <c r="AT1355" s="658" t="s">
        <v>1417</v>
      </c>
      <c r="AU1355" s="658" t="s">
        <v>2751</v>
      </c>
      <c r="AX1355"/>
      <c r="AY1355"/>
      <c r="BA1355"/>
      <c r="BB1355"/>
      <c r="BC1355"/>
      <c r="BD1355"/>
      <c r="BE1355"/>
      <c r="BF1355"/>
      <c r="BG1355"/>
      <c r="BH1355"/>
      <c r="BI1355"/>
      <c r="BJ1355"/>
      <c r="BR1355"/>
      <c r="BS1355"/>
      <c r="BT1355"/>
      <c r="BU1355"/>
      <c r="BX1355"/>
      <c r="BY1355"/>
      <c r="CA1355"/>
    </row>
    <row r="1356" spans="2:79" ht="18.75">
      <c r="B1356" s="252" t="s">
        <v>1211</v>
      </c>
      <c r="C1356" s="251">
        <v>39346123000114</v>
      </c>
      <c r="D1356" s="252" t="s">
        <v>14</v>
      </c>
      <c r="E1356" s="252" t="s">
        <v>607</v>
      </c>
      <c r="F1356" s="252" t="s">
        <v>1417</v>
      </c>
      <c r="G1356" s="253" t="s">
        <v>1417</v>
      </c>
      <c r="H1356" s="253" t="s">
        <v>34</v>
      </c>
      <c r="I1356" s="253" t="s">
        <v>34</v>
      </c>
      <c r="J1356" s="253" t="s">
        <v>608</v>
      </c>
      <c r="K1356" s="253" t="s">
        <v>48</v>
      </c>
      <c r="L1356" s="655"/>
      <c r="M1356" s="655" t="s">
        <v>1414</v>
      </c>
      <c r="N1356" s="253" t="s">
        <v>3997</v>
      </c>
      <c r="O1356" s="253" t="s">
        <v>1321</v>
      </c>
      <c r="P1356" s="656">
        <v>44148</v>
      </c>
      <c r="Q1356" s="657">
        <v>181.13318473000001</v>
      </c>
      <c r="R1356" s="657">
        <v>173.12715979801612</v>
      </c>
      <c r="S1356" s="253">
        <v>92</v>
      </c>
      <c r="T1356" s="658">
        <v>-8.9623656495803061E-3</v>
      </c>
      <c r="U1356" s="659">
        <v>-0.44815458359117633</v>
      </c>
      <c r="V1356" s="658">
        <v>6.6372375853350318E-2</v>
      </c>
      <c r="W1356" s="659">
        <v>0.51473835513526445</v>
      </c>
      <c r="X1356" s="658">
        <v>0.29414461644062162</v>
      </c>
      <c r="Y1356" s="659">
        <v>1.5233727849231102</v>
      </c>
      <c r="Z1356" s="658"/>
      <c r="AA1356" s="659"/>
      <c r="AB1356" s="658">
        <v>0.22058150238786661</v>
      </c>
      <c r="AC1356" s="660">
        <v>-0.28366627716322901</v>
      </c>
      <c r="AD1356" s="682">
        <v>39344744000169</v>
      </c>
      <c r="AE1356" s="944" t="s">
        <v>1918</v>
      </c>
      <c r="AF1356" s="661" t="s">
        <v>1742</v>
      </c>
      <c r="AG1356" s="662" t="s">
        <v>741</v>
      </c>
      <c r="AH1356" s="662" t="s">
        <v>1730</v>
      </c>
      <c r="AI1356" s="662">
        <v>1000</v>
      </c>
      <c r="AJ1356" s="662">
        <v>1000</v>
      </c>
      <c r="AK1356" s="662">
        <v>1000</v>
      </c>
      <c r="AL1356" s="658">
        <v>0.02</v>
      </c>
      <c r="AM1356" s="658">
        <v>0.2</v>
      </c>
      <c r="AN1356" s="659" t="s">
        <v>666</v>
      </c>
      <c r="AO1356" s="253" t="s">
        <v>34</v>
      </c>
      <c r="AP1356" s="944" t="s">
        <v>1731</v>
      </c>
      <c r="AQ1356" s="663" t="s">
        <v>659</v>
      </c>
      <c r="AR1356" s="658">
        <v>0</v>
      </c>
      <c r="AS1356" s="658">
        <v>0</v>
      </c>
      <c r="AT1356" s="658" t="s">
        <v>1417</v>
      </c>
      <c r="AU1356" s="658" t="s">
        <v>2751</v>
      </c>
      <c r="AX1356"/>
      <c r="AY1356"/>
      <c r="BA1356"/>
      <c r="BB1356"/>
      <c r="BC1356"/>
      <c r="BD1356"/>
      <c r="BE1356"/>
      <c r="BF1356"/>
      <c r="BG1356"/>
      <c r="BH1356"/>
      <c r="BI1356"/>
      <c r="BJ1356"/>
      <c r="BR1356"/>
      <c r="BS1356"/>
      <c r="BT1356"/>
      <c r="BU1356"/>
      <c r="BX1356"/>
      <c r="BY1356"/>
      <c r="CA1356"/>
    </row>
    <row r="1357" spans="2:79" ht="18.75">
      <c r="B1357" s="252" t="s">
        <v>1212</v>
      </c>
      <c r="C1357" s="251">
        <v>36499392000122</v>
      </c>
      <c r="D1357" s="252" t="s">
        <v>14</v>
      </c>
      <c r="E1357" s="252" t="s">
        <v>607</v>
      </c>
      <c r="F1357" s="252" t="s">
        <v>1417</v>
      </c>
      <c r="G1357" s="253" t="s">
        <v>1417</v>
      </c>
      <c r="H1357" s="253" t="s">
        <v>34</v>
      </c>
      <c r="I1357" s="253" t="s">
        <v>34</v>
      </c>
      <c r="J1357" s="253" t="s">
        <v>690</v>
      </c>
      <c r="K1357" s="253" t="s">
        <v>1417</v>
      </c>
      <c r="L1357" s="655"/>
      <c r="M1357" s="655" t="s">
        <v>1414</v>
      </c>
      <c r="N1357" s="253" t="s">
        <v>3998</v>
      </c>
      <c r="O1357" s="253" t="s">
        <v>1321</v>
      </c>
      <c r="P1357" s="656">
        <v>43916</v>
      </c>
      <c r="Q1357" s="657">
        <v>10.650479069999999</v>
      </c>
      <c r="R1357" s="657">
        <v>11.201103935951418</v>
      </c>
      <c r="S1357" s="253">
        <v>32</v>
      </c>
      <c r="T1357" s="658">
        <v>9.6200483171173357E-2</v>
      </c>
      <c r="U1357" s="659">
        <v>4.8104138084196624</v>
      </c>
      <c r="V1357" s="658">
        <v>-0.23791573470230087</v>
      </c>
      <c r="W1357" s="659">
        <v>-1.8451102942592432</v>
      </c>
      <c r="X1357" s="658">
        <v>-0.41674447140455995</v>
      </c>
      <c r="Y1357" s="659">
        <v>-2.1583165236445225</v>
      </c>
      <c r="Z1357" s="658"/>
      <c r="AA1357" s="659"/>
      <c r="AB1357" s="658">
        <v>0.36906219074824248</v>
      </c>
      <c r="AC1357" s="660">
        <v>-0.9940320448575678</v>
      </c>
      <c r="AD1357" s="682">
        <v>0</v>
      </c>
      <c r="AE1357" s="944" t="s">
        <v>1918</v>
      </c>
      <c r="AF1357" s="661" t="s">
        <v>1742</v>
      </c>
      <c r="AG1357" s="662" t="s">
        <v>741</v>
      </c>
      <c r="AH1357" s="662" t="s">
        <v>1734</v>
      </c>
      <c r="AI1357" s="662">
        <v>1000</v>
      </c>
      <c r="AJ1357" s="662">
        <v>1000</v>
      </c>
      <c r="AK1357" s="662">
        <v>1000</v>
      </c>
      <c r="AL1357" s="658">
        <v>0.01</v>
      </c>
      <c r="AM1357" s="658">
        <v>0</v>
      </c>
      <c r="AN1357" s="659" t="s">
        <v>2122</v>
      </c>
      <c r="AO1357" s="253" t="s">
        <v>34</v>
      </c>
      <c r="AP1357" s="944" t="s">
        <v>1731</v>
      </c>
      <c r="AQ1357" s="663" t="s">
        <v>659</v>
      </c>
      <c r="AR1357" s="658">
        <v>3.4995E-3</v>
      </c>
      <c r="AS1357" s="658">
        <v>3.4995E-3</v>
      </c>
      <c r="AT1357" s="658" t="s">
        <v>1417</v>
      </c>
      <c r="AU1357" s="658" t="s">
        <v>2751</v>
      </c>
      <c r="AX1357"/>
      <c r="AY1357"/>
      <c r="BA1357"/>
      <c r="BB1357"/>
      <c r="BC1357"/>
      <c r="BD1357"/>
      <c r="BE1357"/>
      <c r="BF1357"/>
      <c r="BG1357"/>
      <c r="BH1357"/>
      <c r="BI1357"/>
      <c r="BJ1357"/>
      <c r="BR1357"/>
      <c r="BS1357"/>
      <c r="BT1357"/>
      <c r="BU1357"/>
      <c r="BX1357"/>
      <c r="BY1357"/>
      <c r="CA1357"/>
    </row>
    <row r="1358" spans="2:79" ht="18.75">
      <c r="B1358" s="252" t="s">
        <v>1213</v>
      </c>
      <c r="C1358" s="251">
        <v>41269079000138</v>
      </c>
      <c r="D1358" s="252" t="s">
        <v>14</v>
      </c>
      <c r="E1358" s="252" t="s">
        <v>607</v>
      </c>
      <c r="F1358" s="252" t="s">
        <v>1417</v>
      </c>
      <c r="G1358" s="253" t="s">
        <v>1417</v>
      </c>
      <c r="H1358" s="253" t="s">
        <v>34</v>
      </c>
      <c r="I1358" s="253" t="s">
        <v>34</v>
      </c>
      <c r="J1358" s="253" t="s">
        <v>690</v>
      </c>
      <c r="K1358" s="253" t="s">
        <v>1417</v>
      </c>
      <c r="L1358" s="655"/>
      <c r="M1358" s="655" t="s">
        <v>1414</v>
      </c>
      <c r="N1358" s="253" t="s">
        <v>3999</v>
      </c>
      <c r="O1358" s="253" t="s">
        <v>1321</v>
      </c>
      <c r="P1358" s="656">
        <v>44232</v>
      </c>
      <c r="Q1358" s="657">
        <v>12.44701673</v>
      </c>
      <c r="R1358" s="657">
        <v>12.583693176036032</v>
      </c>
      <c r="S1358" s="253">
        <v>62</v>
      </c>
      <c r="T1358" s="658">
        <v>9.1575187430307903E-2</v>
      </c>
      <c r="U1358" s="659">
        <v>4.5791302871062163</v>
      </c>
      <c r="V1358" s="658">
        <v>-0.24111989155587987</v>
      </c>
      <c r="W1358" s="659">
        <v>-1.8699595241866271</v>
      </c>
      <c r="X1358" s="658">
        <v>-0.43547733043314518</v>
      </c>
      <c r="Y1358" s="659">
        <v>-2.2553338614876193</v>
      </c>
      <c r="Z1358" s="658"/>
      <c r="AA1358" s="659"/>
      <c r="AB1358" s="658">
        <v>0.35935617737110132</v>
      </c>
      <c r="AC1358" s="660">
        <v>-1.029796687258584</v>
      </c>
      <c r="AD1358" s="682">
        <v>0</v>
      </c>
      <c r="AE1358" s="944" t="s">
        <v>1918</v>
      </c>
      <c r="AF1358" s="661" t="s">
        <v>1742</v>
      </c>
      <c r="AG1358" s="662" t="s">
        <v>741</v>
      </c>
      <c r="AH1358" s="662" t="s">
        <v>1730</v>
      </c>
      <c r="AI1358" s="662">
        <v>50000</v>
      </c>
      <c r="AJ1358" s="662">
        <v>10000</v>
      </c>
      <c r="AK1358" s="662">
        <v>50000</v>
      </c>
      <c r="AL1358" s="658">
        <v>0</v>
      </c>
      <c r="AM1358" s="658">
        <v>0</v>
      </c>
      <c r="AN1358" s="659" t="s">
        <v>2122</v>
      </c>
      <c r="AO1358" s="253" t="s">
        <v>34</v>
      </c>
      <c r="AP1358" s="944" t="s">
        <v>1731</v>
      </c>
      <c r="AQ1358" s="663" t="s">
        <v>659</v>
      </c>
      <c r="AR1358" s="658">
        <v>3.4995E-3</v>
      </c>
      <c r="AS1358" s="658">
        <v>3.4995E-3</v>
      </c>
      <c r="AT1358" s="658" t="s">
        <v>1417</v>
      </c>
      <c r="AU1358" s="658" t="s">
        <v>2751</v>
      </c>
      <c r="AX1358"/>
      <c r="AY1358"/>
      <c r="BA1358"/>
      <c r="BB1358"/>
      <c r="BC1358"/>
      <c r="BD1358"/>
      <c r="BE1358"/>
      <c r="BF1358"/>
      <c r="BG1358"/>
      <c r="BH1358"/>
      <c r="BI1358"/>
      <c r="BJ1358"/>
      <c r="BR1358"/>
      <c r="BS1358"/>
      <c r="BT1358"/>
      <c r="BU1358"/>
      <c r="BX1358"/>
      <c r="BY1358"/>
      <c r="CA1358"/>
    </row>
    <row r="1359" spans="2:79" ht="18.75">
      <c r="B1359" s="252" t="s">
        <v>397</v>
      </c>
      <c r="C1359" s="251">
        <v>34713026000107</v>
      </c>
      <c r="D1359" s="252" t="s">
        <v>14</v>
      </c>
      <c r="E1359" s="252" t="s">
        <v>607</v>
      </c>
      <c r="F1359" s="252" t="s">
        <v>1417</v>
      </c>
      <c r="G1359" s="253" t="s">
        <v>1417</v>
      </c>
      <c r="H1359" s="253" t="s">
        <v>34</v>
      </c>
      <c r="I1359" s="253" t="s">
        <v>34</v>
      </c>
      <c r="J1359" s="253" t="s">
        <v>608</v>
      </c>
      <c r="K1359" s="253" t="s">
        <v>48</v>
      </c>
      <c r="L1359" s="655"/>
      <c r="M1359" s="655" t="s">
        <v>34</v>
      </c>
      <c r="N1359" s="253" t="s">
        <v>4000</v>
      </c>
      <c r="O1359" s="253" t="s">
        <v>1321</v>
      </c>
      <c r="P1359" s="656">
        <v>43734</v>
      </c>
      <c r="Q1359" s="657">
        <v>151.52976179999999</v>
      </c>
      <c r="R1359" s="657">
        <v>139.50596713443082</v>
      </c>
      <c r="S1359" s="253">
        <v>32</v>
      </c>
      <c r="T1359" s="658">
        <v>-2.040171245047151E-2</v>
      </c>
      <c r="U1359" s="659">
        <v>-1.0201682574975208</v>
      </c>
      <c r="V1359" s="658">
        <v>-9.1565095987443113E-2</v>
      </c>
      <c r="W1359" s="659">
        <v>-0.71011571139953333</v>
      </c>
      <c r="X1359" s="658">
        <v>3.7578625281746936E-2</v>
      </c>
      <c r="Y1359" s="659">
        <v>0.19461942136409291</v>
      </c>
      <c r="Z1359" s="658">
        <v>0.17574867123130544</v>
      </c>
      <c r="AA1359" s="659">
        <v>0.79355393565741916</v>
      </c>
      <c r="AB1359" s="658">
        <v>0.24439130351918978</v>
      </c>
      <c r="AC1359" s="660">
        <v>-0.90227844550498471</v>
      </c>
      <c r="AD1359" s="682">
        <v>36771013000101</v>
      </c>
      <c r="AE1359" s="944" t="s">
        <v>1918</v>
      </c>
      <c r="AF1359" s="661" t="s">
        <v>1742</v>
      </c>
      <c r="AG1359" s="662" t="s">
        <v>741</v>
      </c>
      <c r="AH1359" s="662" t="s">
        <v>1734</v>
      </c>
      <c r="AI1359" s="662">
        <v>1000</v>
      </c>
      <c r="AJ1359" s="662">
        <v>1000</v>
      </c>
      <c r="AK1359" s="662">
        <v>1000</v>
      </c>
      <c r="AL1359" s="658">
        <v>0.02</v>
      </c>
      <c r="AM1359" s="658">
        <v>0.2</v>
      </c>
      <c r="AN1359" s="659" t="s">
        <v>34</v>
      </c>
      <c r="AO1359" s="253" t="s">
        <v>34</v>
      </c>
      <c r="AP1359" s="944" t="s">
        <v>1731</v>
      </c>
      <c r="AQ1359" s="663" t="s">
        <v>659</v>
      </c>
      <c r="AR1359" s="658">
        <v>4.6666666666666697E-3</v>
      </c>
      <c r="AS1359" s="658">
        <v>4.6666666666666697E-3</v>
      </c>
      <c r="AT1359" s="658" t="s">
        <v>1417</v>
      </c>
      <c r="AU1359" s="658" t="s">
        <v>2751</v>
      </c>
      <c r="AX1359"/>
      <c r="AY1359"/>
      <c r="BA1359"/>
      <c r="BB1359"/>
      <c r="BC1359"/>
      <c r="BD1359"/>
      <c r="BE1359"/>
      <c r="BF1359"/>
      <c r="BG1359"/>
      <c r="BH1359"/>
      <c r="BI1359"/>
      <c r="BJ1359"/>
      <c r="BR1359"/>
      <c r="BS1359"/>
      <c r="BT1359"/>
      <c r="BU1359"/>
      <c r="BX1359"/>
      <c r="BY1359"/>
      <c r="CA1359"/>
    </row>
    <row r="1360" spans="2:79" ht="18.75">
      <c r="B1360" s="252" t="s">
        <v>1214</v>
      </c>
      <c r="C1360" s="251">
        <v>38028896000190</v>
      </c>
      <c r="D1360" s="252" t="s">
        <v>14</v>
      </c>
      <c r="E1360" s="252" t="s">
        <v>614</v>
      </c>
      <c r="F1360" s="252" t="s">
        <v>1417</v>
      </c>
      <c r="G1360" s="253" t="s">
        <v>1417</v>
      </c>
      <c r="H1360" s="253" t="s">
        <v>1338</v>
      </c>
      <c r="I1360" s="253" t="s">
        <v>34</v>
      </c>
      <c r="J1360" s="253" t="s">
        <v>608</v>
      </c>
      <c r="K1360" s="253" t="s">
        <v>48</v>
      </c>
      <c r="L1360" s="655"/>
      <c r="M1360" s="655" t="s">
        <v>34</v>
      </c>
      <c r="N1360" s="253" t="s">
        <v>4001</v>
      </c>
      <c r="O1360" s="253" t="s">
        <v>1321</v>
      </c>
      <c r="P1360" s="656">
        <v>44078</v>
      </c>
      <c r="Q1360" s="657">
        <v>24.460565500000001</v>
      </c>
      <c r="R1360" s="657">
        <v>24.992426692693858</v>
      </c>
      <c r="S1360" s="253">
        <v>32</v>
      </c>
      <c r="T1360" s="658">
        <v>-3.0318920587320441E-2</v>
      </c>
      <c r="U1360" s="659">
        <v>-1.5160688329404213</v>
      </c>
      <c r="V1360" s="658">
        <v>-7.6981376886533393E-2</v>
      </c>
      <c r="W1360" s="659">
        <v>-0.59701444773009238</v>
      </c>
      <c r="X1360" s="658">
        <v>-0.10317596309985011</v>
      </c>
      <c r="Y1360" s="659">
        <v>-0.53434754695322262</v>
      </c>
      <c r="Z1360" s="658"/>
      <c r="AA1360" s="659"/>
      <c r="AB1360" s="658">
        <v>0.22061464815942577</v>
      </c>
      <c r="AC1360" s="660">
        <v>-0.93341619902097861</v>
      </c>
      <c r="AD1360" s="682">
        <v>38028868000172</v>
      </c>
      <c r="AE1360" s="944" t="s">
        <v>2033</v>
      </c>
      <c r="AF1360" s="661" t="s">
        <v>1769</v>
      </c>
      <c r="AG1360" s="662" t="s">
        <v>719</v>
      </c>
      <c r="AH1360" s="662" t="s">
        <v>1734</v>
      </c>
      <c r="AI1360" s="662">
        <v>1000</v>
      </c>
      <c r="AJ1360" s="662">
        <v>1000</v>
      </c>
      <c r="AK1360" s="662">
        <v>1000</v>
      </c>
      <c r="AL1360" s="658">
        <v>0.02</v>
      </c>
      <c r="AM1360" s="658">
        <v>0.2</v>
      </c>
      <c r="AN1360" s="659" t="s">
        <v>2122</v>
      </c>
      <c r="AO1360" s="253" t="s">
        <v>34</v>
      </c>
      <c r="AP1360" s="944" t="s">
        <v>1731</v>
      </c>
      <c r="AQ1360" s="663" t="s">
        <v>659</v>
      </c>
      <c r="AR1360" s="658">
        <v>5.3333333333333297E-3</v>
      </c>
      <c r="AS1360" s="658">
        <v>5.3333333333333297E-3</v>
      </c>
      <c r="AT1360" s="658" t="s">
        <v>1417</v>
      </c>
      <c r="AU1360" s="658" t="s">
        <v>2751</v>
      </c>
      <c r="AX1360"/>
      <c r="AY1360"/>
      <c r="BA1360"/>
      <c r="BB1360"/>
      <c r="BC1360"/>
      <c r="BD1360"/>
      <c r="BE1360"/>
      <c r="BF1360"/>
      <c r="BG1360"/>
      <c r="BH1360"/>
      <c r="BI1360"/>
      <c r="BJ1360"/>
      <c r="BR1360"/>
      <c r="BS1360"/>
      <c r="BT1360"/>
      <c r="BU1360"/>
      <c r="BX1360"/>
      <c r="BY1360"/>
      <c r="CA1360"/>
    </row>
    <row r="1361" spans="2:79" ht="18.75">
      <c r="B1361" s="252" t="s">
        <v>398</v>
      </c>
      <c r="C1361" s="251">
        <v>28703554000174</v>
      </c>
      <c r="D1361" s="252" t="s">
        <v>14</v>
      </c>
      <c r="E1361" s="252" t="s">
        <v>614</v>
      </c>
      <c r="F1361" s="252" t="s">
        <v>1417</v>
      </c>
      <c r="G1361" s="253" t="s">
        <v>1417</v>
      </c>
      <c r="H1361" s="253" t="s">
        <v>1338</v>
      </c>
      <c r="I1361" s="253" t="s">
        <v>34</v>
      </c>
      <c r="J1361" s="253" t="s">
        <v>608</v>
      </c>
      <c r="K1361" s="253" t="s">
        <v>48</v>
      </c>
      <c r="L1361" s="655"/>
      <c r="M1361" s="655" t="s">
        <v>34</v>
      </c>
      <c r="N1361" s="253" t="s">
        <v>4002</v>
      </c>
      <c r="O1361" s="253" t="s">
        <v>1324</v>
      </c>
      <c r="P1361" s="656">
        <v>43096</v>
      </c>
      <c r="Q1361" s="657">
        <v>0</v>
      </c>
      <c r="R1361" s="657">
        <v>0</v>
      </c>
      <c r="S1361" s="253">
        <v>32</v>
      </c>
      <c r="T1361" s="658"/>
      <c r="U1361" s="659"/>
      <c r="V1361" s="658"/>
      <c r="W1361" s="659"/>
      <c r="X1361" s="658"/>
      <c r="Y1361" s="659"/>
      <c r="Z1361" s="658"/>
      <c r="AA1361" s="659"/>
      <c r="AB1361" s="658"/>
      <c r="AC1361" s="660"/>
      <c r="AD1361" s="682">
        <v>33600915000197</v>
      </c>
      <c r="AE1361" s="944" t="s">
        <v>1899</v>
      </c>
      <c r="AF1361" s="661" t="s">
        <v>1745</v>
      </c>
      <c r="AG1361" s="662" t="s">
        <v>1432</v>
      </c>
      <c r="AH1361" s="662" t="s">
        <v>1730</v>
      </c>
      <c r="AI1361" s="662">
        <v>30000</v>
      </c>
      <c r="AJ1361" s="662">
        <v>10000</v>
      </c>
      <c r="AK1361" s="662">
        <v>30000</v>
      </c>
      <c r="AL1361" s="658">
        <v>0.02</v>
      </c>
      <c r="AM1361" s="658">
        <v>0</v>
      </c>
      <c r="AN1361" s="659" t="s">
        <v>34</v>
      </c>
      <c r="AO1361" s="253" t="s">
        <v>34</v>
      </c>
      <c r="AP1361" s="944" t="s">
        <v>1731</v>
      </c>
      <c r="AQ1361" s="663" t="s">
        <v>659</v>
      </c>
      <c r="AR1361" s="658">
        <v>6.6666666666666697E-3</v>
      </c>
      <c r="AS1361" s="658">
        <v>6.6666666666666697E-3</v>
      </c>
      <c r="AT1361" s="658" t="s">
        <v>1417</v>
      </c>
      <c r="AU1361" s="658" t="s">
        <v>2751</v>
      </c>
      <c r="AX1361"/>
      <c r="AY1361"/>
      <c r="BA1361"/>
      <c r="BB1361"/>
      <c r="BC1361"/>
      <c r="BD1361"/>
      <c r="BE1361"/>
      <c r="BF1361"/>
      <c r="BG1361"/>
      <c r="BH1361"/>
      <c r="BI1361"/>
      <c r="BJ1361"/>
      <c r="BR1361"/>
      <c r="BS1361"/>
      <c r="BT1361"/>
      <c r="BU1361"/>
      <c r="BX1361"/>
      <c r="BY1361"/>
      <c r="CA1361"/>
    </row>
    <row r="1362" spans="2:79" ht="18.75">
      <c r="B1362" s="252" t="s">
        <v>1215</v>
      </c>
      <c r="C1362" s="251">
        <v>34096113000154</v>
      </c>
      <c r="D1362" s="252" t="s">
        <v>14</v>
      </c>
      <c r="E1362" s="252" t="s">
        <v>614</v>
      </c>
      <c r="F1362" s="252" t="s">
        <v>1417</v>
      </c>
      <c r="G1362" s="253" t="s">
        <v>1417</v>
      </c>
      <c r="H1362" s="253" t="s">
        <v>1338</v>
      </c>
      <c r="I1362" s="253" t="s">
        <v>34</v>
      </c>
      <c r="J1362" s="253" t="s">
        <v>608</v>
      </c>
      <c r="K1362" s="253" t="s">
        <v>48</v>
      </c>
      <c r="L1362" s="655"/>
      <c r="M1362" s="655" t="s">
        <v>34</v>
      </c>
      <c r="N1362" s="253" t="s">
        <v>4003</v>
      </c>
      <c r="O1362" s="253" t="s">
        <v>1321</v>
      </c>
      <c r="P1362" s="656">
        <v>43660</v>
      </c>
      <c r="Q1362" s="657">
        <v>53.393646539999999</v>
      </c>
      <c r="R1362" s="657">
        <v>60.004396911606442</v>
      </c>
      <c r="S1362" s="253">
        <v>32</v>
      </c>
      <c r="T1362" s="658">
        <v>1.8419631092399191E-2</v>
      </c>
      <c r="U1362" s="659">
        <v>0.92105616138344071</v>
      </c>
      <c r="V1362" s="658">
        <v>-6.3827694188344219E-2</v>
      </c>
      <c r="W1362" s="659">
        <v>-0.49500355978181487</v>
      </c>
      <c r="X1362" s="658">
        <v>-0.15271908190847538</v>
      </c>
      <c r="Y1362" s="659">
        <v>-0.7909309914729612</v>
      </c>
      <c r="Z1362" s="658">
        <v>-0.11491587267955405</v>
      </c>
      <c r="AA1362" s="659">
        <v>-0.51887699858821656</v>
      </c>
      <c r="AB1362" s="658">
        <v>0.24842618099860592</v>
      </c>
      <c r="AC1362" s="660">
        <v>-0.77597136847752102</v>
      </c>
      <c r="AD1362" s="682">
        <v>33600915000197</v>
      </c>
      <c r="AE1362" s="944" t="s">
        <v>1899</v>
      </c>
      <c r="AF1362" s="661" t="s">
        <v>1745</v>
      </c>
      <c r="AG1362" s="662" t="s">
        <v>1432</v>
      </c>
      <c r="AH1362" s="662" t="s">
        <v>1730</v>
      </c>
      <c r="AI1362" s="662">
        <v>30000</v>
      </c>
      <c r="AJ1362" s="662">
        <v>10000</v>
      </c>
      <c r="AK1362" s="662">
        <v>30000</v>
      </c>
      <c r="AL1362" s="658">
        <v>1.9199999999999998E-2</v>
      </c>
      <c r="AM1362" s="658">
        <v>0.2</v>
      </c>
      <c r="AN1362" s="659" t="s">
        <v>34</v>
      </c>
      <c r="AO1362" s="253" t="s">
        <v>34</v>
      </c>
      <c r="AP1362" s="944" t="s">
        <v>1731</v>
      </c>
      <c r="AQ1362" s="663" t="s">
        <v>659</v>
      </c>
      <c r="AR1362" s="658">
        <v>6.4000000000000003E-3</v>
      </c>
      <c r="AS1362" s="658">
        <v>6.4000000000000003E-3</v>
      </c>
      <c r="AT1362" s="658" t="s">
        <v>1417</v>
      </c>
      <c r="AU1362" s="658" t="s">
        <v>2751</v>
      </c>
      <c r="AX1362"/>
      <c r="AY1362"/>
      <c r="BA1362"/>
      <c r="BB1362"/>
      <c r="BC1362"/>
      <c r="BD1362"/>
      <c r="BE1362"/>
      <c r="BF1362"/>
      <c r="BG1362"/>
      <c r="BH1362"/>
      <c r="BI1362"/>
      <c r="BJ1362"/>
      <c r="BR1362"/>
      <c r="BS1362"/>
      <c r="BT1362"/>
      <c r="BU1362"/>
      <c r="BX1362"/>
      <c r="BY1362"/>
      <c r="CA1362"/>
    </row>
    <row r="1363" spans="2:79" ht="18.75">
      <c r="B1363" s="252" t="s">
        <v>1216</v>
      </c>
      <c r="C1363" s="251">
        <v>34096196000181</v>
      </c>
      <c r="D1363" s="252" t="s">
        <v>14</v>
      </c>
      <c r="E1363" s="252" t="s">
        <v>614</v>
      </c>
      <c r="F1363" s="252" t="s">
        <v>1417</v>
      </c>
      <c r="G1363" s="253" t="s">
        <v>1417</v>
      </c>
      <c r="H1363" s="253" t="s">
        <v>1338</v>
      </c>
      <c r="I1363" s="253" t="s">
        <v>34</v>
      </c>
      <c r="J1363" s="253" t="s">
        <v>608</v>
      </c>
      <c r="K1363" s="253" t="s">
        <v>48</v>
      </c>
      <c r="L1363" s="655"/>
      <c r="M1363" s="655" t="s">
        <v>34</v>
      </c>
      <c r="N1363" s="253" t="s">
        <v>4004</v>
      </c>
      <c r="O1363" s="253" t="s">
        <v>1324</v>
      </c>
      <c r="P1363" s="656">
        <v>43677</v>
      </c>
      <c r="Q1363" s="657">
        <v>0</v>
      </c>
      <c r="R1363" s="657">
        <v>0</v>
      </c>
      <c r="S1363" s="253">
        <v>32</v>
      </c>
      <c r="T1363" s="658"/>
      <c r="U1363" s="659"/>
      <c r="V1363" s="658"/>
      <c r="W1363" s="659"/>
      <c r="X1363" s="658"/>
      <c r="Y1363" s="659"/>
      <c r="Z1363" s="658"/>
      <c r="AA1363" s="659"/>
      <c r="AB1363" s="658"/>
      <c r="AC1363" s="660"/>
      <c r="AD1363" s="682">
        <v>33589828000186</v>
      </c>
      <c r="AE1363" s="944" t="s">
        <v>1899</v>
      </c>
      <c r="AF1363" s="661" t="s">
        <v>1745</v>
      </c>
      <c r="AG1363" s="662" t="s">
        <v>1432</v>
      </c>
      <c r="AH1363" s="662" t="s">
        <v>1734</v>
      </c>
      <c r="AI1363" s="662">
        <v>10000</v>
      </c>
      <c r="AJ1363" s="662">
        <v>5000</v>
      </c>
      <c r="AK1363" s="662">
        <v>10000</v>
      </c>
      <c r="AL1363" s="658">
        <v>1.9199999999999998E-2</v>
      </c>
      <c r="AM1363" s="658">
        <v>0.2</v>
      </c>
      <c r="AN1363" s="659" t="s">
        <v>34</v>
      </c>
      <c r="AO1363" s="253" t="s">
        <v>34</v>
      </c>
      <c r="AP1363" s="944" t="s">
        <v>1746</v>
      </c>
      <c r="AQ1363" s="663" t="s">
        <v>668</v>
      </c>
      <c r="AR1363" s="658">
        <v>6.4000000000000003E-3</v>
      </c>
      <c r="AS1363" s="658">
        <v>6.4000000000000003E-3</v>
      </c>
      <c r="AT1363" s="658" t="s">
        <v>1417</v>
      </c>
      <c r="AU1363" s="658" t="s">
        <v>2751</v>
      </c>
      <c r="AX1363"/>
      <c r="AY1363"/>
      <c r="BA1363"/>
      <c r="BB1363"/>
      <c r="BC1363"/>
      <c r="BD1363"/>
      <c r="BE1363"/>
      <c r="BF1363"/>
      <c r="BG1363"/>
      <c r="BH1363"/>
      <c r="BI1363"/>
      <c r="BJ1363"/>
      <c r="BR1363"/>
      <c r="BS1363"/>
      <c r="BT1363"/>
      <c r="BU1363"/>
      <c r="BX1363"/>
      <c r="BY1363"/>
      <c r="CA1363"/>
    </row>
    <row r="1364" spans="2:79" ht="18.75">
      <c r="B1364" s="252" t="s">
        <v>1217</v>
      </c>
      <c r="C1364" s="251">
        <v>9141867000131</v>
      </c>
      <c r="D1364" s="252" t="s">
        <v>14</v>
      </c>
      <c r="E1364" s="252" t="s">
        <v>614</v>
      </c>
      <c r="F1364" s="252" t="s">
        <v>1417</v>
      </c>
      <c r="G1364" s="253" t="s">
        <v>1417</v>
      </c>
      <c r="H1364" s="253" t="s">
        <v>1338</v>
      </c>
      <c r="I1364" s="253" t="s">
        <v>34</v>
      </c>
      <c r="J1364" s="253" t="s">
        <v>608</v>
      </c>
      <c r="K1364" s="253" t="s">
        <v>48</v>
      </c>
      <c r="L1364" s="655"/>
      <c r="M1364" s="655" t="s">
        <v>34</v>
      </c>
      <c r="N1364" s="253" t="s">
        <v>4005</v>
      </c>
      <c r="O1364" s="253" t="s">
        <v>1324</v>
      </c>
      <c r="P1364" s="656">
        <v>39375</v>
      </c>
      <c r="Q1364" s="657">
        <v>131.68608800000001</v>
      </c>
      <c r="R1364" s="657">
        <v>175.00487198795179</v>
      </c>
      <c r="S1364" s="253">
        <v>32</v>
      </c>
      <c r="T1364" s="658">
        <v>1.7714058626824736E-2</v>
      </c>
      <c r="U1364" s="659">
        <v>0.88577468025822825</v>
      </c>
      <c r="V1364" s="658">
        <v>-6.5110613041855725E-2</v>
      </c>
      <c r="W1364" s="659">
        <v>-0.50495299329143661</v>
      </c>
      <c r="X1364" s="658">
        <v>-0.14450605864555333</v>
      </c>
      <c r="Y1364" s="659">
        <v>-0.74839580496479152</v>
      </c>
      <c r="Z1364" s="658">
        <v>-8.2702108407077923E-2</v>
      </c>
      <c r="AA1364" s="659">
        <v>-0.37342292919659387</v>
      </c>
      <c r="AB1364" s="658">
        <v>0.24882486901358705</v>
      </c>
      <c r="AC1364" s="660">
        <v>-0.77988395315119308</v>
      </c>
      <c r="AD1364" s="682">
        <v>33589828000186</v>
      </c>
      <c r="AE1364" s="944" t="s">
        <v>1899</v>
      </c>
      <c r="AF1364" s="661" t="s">
        <v>1745</v>
      </c>
      <c r="AG1364" s="662" t="s">
        <v>1432</v>
      </c>
      <c r="AH1364" s="662" t="s">
        <v>1734</v>
      </c>
      <c r="AI1364" s="662">
        <v>10000</v>
      </c>
      <c r="AJ1364" s="662">
        <v>5000</v>
      </c>
      <c r="AK1364" s="662">
        <v>5000</v>
      </c>
      <c r="AL1364" s="658">
        <v>0.02</v>
      </c>
      <c r="AM1364" s="658">
        <v>0.2</v>
      </c>
      <c r="AN1364" s="659" t="s">
        <v>34</v>
      </c>
      <c r="AO1364" s="253" t="s">
        <v>34</v>
      </c>
      <c r="AP1364" s="944" t="s">
        <v>1746</v>
      </c>
      <c r="AQ1364" s="663" t="s">
        <v>674</v>
      </c>
      <c r="AR1364" s="658">
        <v>6.6666666666666697E-3</v>
      </c>
      <c r="AS1364" s="658">
        <v>6.6666666666666697E-3</v>
      </c>
      <c r="AT1364" s="658" t="s">
        <v>1417</v>
      </c>
      <c r="AU1364" s="658" t="s">
        <v>2751</v>
      </c>
      <c r="AX1364"/>
      <c r="AY1364"/>
      <c r="BA1364"/>
      <c r="BB1364"/>
      <c r="BC1364"/>
      <c r="BD1364"/>
      <c r="BE1364"/>
      <c r="BF1364"/>
      <c r="BG1364"/>
      <c r="BH1364"/>
      <c r="BI1364"/>
      <c r="BJ1364"/>
      <c r="BR1364"/>
      <c r="BS1364"/>
      <c r="BT1364"/>
      <c r="BU1364"/>
      <c r="BX1364"/>
      <c r="BY1364"/>
      <c r="CA1364"/>
    </row>
    <row r="1365" spans="2:79" ht="18.75">
      <c r="B1365" s="252" t="s">
        <v>1218</v>
      </c>
      <c r="C1365" s="251">
        <v>34270970000129</v>
      </c>
      <c r="D1365" s="252" t="s">
        <v>14</v>
      </c>
      <c r="E1365" s="252" t="s">
        <v>614</v>
      </c>
      <c r="F1365" s="252" t="s">
        <v>1417</v>
      </c>
      <c r="G1365" s="253" t="s">
        <v>1417</v>
      </c>
      <c r="H1365" s="253" t="s">
        <v>1338</v>
      </c>
      <c r="I1365" s="253" t="s">
        <v>34</v>
      </c>
      <c r="J1365" s="253" t="s">
        <v>608</v>
      </c>
      <c r="K1365" s="253" t="s">
        <v>48</v>
      </c>
      <c r="L1365" s="655"/>
      <c r="M1365" s="655" t="s">
        <v>34</v>
      </c>
      <c r="N1365" s="253" t="s">
        <v>4006</v>
      </c>
      <c r="O1365" s="253" t="s">
        <v>1321</v>
      </c>
      <c r="P1365" s="656">
        <v>43692</v>
      </c>
      <c r="Q1365" s="657">
        <v>6.3917640100000002</v>
      </c>
      <c r="R1365" s="657">
        <v>8.1335469110843395</v>
      </c>
      <c r="S1365" s="253">
        <v>32</v>
      </c>
      <c r="T1365" s="658">
        <v>1.7331975264564425E-2</v>
      </c>
      <c r="U1365" s="659">
        <v>0.86666896455705011</v>
      </c>
      <c r="V1365" s="658">
        <v>-6.3271284582521958E-2</v>
      </c>
      <c r="W1365" s="659">
        <v>-0.49068843076013835</v>
      </c>
      <c r="X1365" s="658">
        <v>-0.15042357166881903</v>
      </c>
      <c r="Y1365" s="659">
        <v>-0.77904256098281577</v>
      </c>
      <c r="Z1365" s="658">
        <v>-0.11411036144476883</v>
      </c>
      <c r="AA1365" s="659">
        <v>-0.51523989222432942</v>
      </c>
      <c r="AB1365" s="658">
        <v>0.24582375792428965</v>
      </c>
      <c r="AC1365" s="660">
        <v>-0.78192277122583875</v>
      </c>
      <c r="AD1365" s="682">
        <v>34096196000181</v>
      </c>
      <c r="AE1365" s="944" t="s">
        <v>1797</v>
      </c>
      <c r="AF1365" s="661" t="s">
        <v>1745</v>
      </c>
      <c r="AG1365" s="662" t="s">
        <v>1432</v>
      </c>
      <c r="AH1365" s="662" t="s">
        <v>1734</v>
      </c>
      <c r="AI1365" s="662">
        <v>100</v>
      </c>
      <c r="AJ1365" s="662">
        <v>100</v>
      </c>
      <c r="AK1365" s="662">
        <v>100</v>
      </c>
      <c r="AL1365" s="658">
        <v>0</v>
      </c>
      <c r="AM1365" s="658">
        <v>0</v>
      </c>
      <c r="AN1365" s="659" t="s">
        <v>34</v>
      </c>
      <c r="AO1365" s="253" t="s">
        <v>34</v>
      </c>
      <c r="AP1365" s="944" t="s">
        <v>1746</v>
      </c>
      <c r="AQ1365" s="663" t="s">
        <v>668</v>
      </c>
      <c r="AR1365" s="658">
        <v>7.6800000000000002E-3</v>
      </c>
      <c r="AS1365" s="658">
        <v>7.6800000000000002E-3</v>
      </c>
      <c r="AT1365" s="658" t="s">
        <v>1417</v>
      </c>
      <c r="AU1365" s="658" t="s">
        <v>2751</v>
      </c>
      <c r="AX1365"/>
      <c r="AY1365"/>
      <c r="BA1365"/>
      <c r="BB1365"/>
      <c r="BC1365"/>
      <c r="BD1365"/>
      <c r="BE1365"/>
      <c r="BF1365"/>
      <c r="BG1365"/>
      <c r="BH1365"/>
      <c r="BI1365"/>
      <c r="BJ1365"/>
      <c r="BR1365"/>
      <c r="BS1365"/>
      <c r="BT1365"/>
      <c r="BU1365"/>
      <c r="BX1365"/>
      <c r="BY1365"/>
      <c r="CA1365"/>
    </row>
    <row r="1366" spans="2:79" ht="18.75">
      <c r="B1366" s="252" t="s">
        <v>399</v>
      </c>
      <c r="C1366" s="251">
        <v>40575693000165</v>
      </c>
      <c r="D1366" s="252" t="s">
        <v>13</v>
      </c>
      <c r="E1366" s="252" t="s">
        <v>616</v>
      </c>
      <c r="F1366" s="252" t="s">
        <v>617</v>
      </c>
      <c r="G1366" s="253" t="s">
        <v>34</v>
      </c>
      <c r="H1366" s="253" t="s">
        <v>1338</v>
      </c>
      <c r="I1366" s="253" t="s">
        <v>34</v>
      </c>
      <c r="J1366" s="253" t="s">
        <v>608</v>
      </c>
      <c r="K1366" s="253" t="s">
        <v>48</v>
      </c>
      <c r="L1366" s="655"/>
      <c r="M1366" s="655" t="s">
        <v>34</v>
      </c>
      <c r="N1366" s="253" t="s">
        <v>4007</v>
      </c>
      <c r="O1366" s="253" t="s">
        <v>1321</v>
      </c>
      <c r="P1366" s="656">
        <v>44232</v>
      </c>
      <c r="Q1366" s="657">
        <v>0</v>
      </c>
      <c r="R1366" s="657">
        <v>0</v>
      </c>
      <c r="S1366" s="253">
        <v>6</v>
      </c>
      <c r="T1366" s="658"/>
      <c r="U1366" s="659"/>
      <c r="V1366" s="658"/>
      <c r="W1366" s="659"/>
      <c r="X1366" s="658"/>
      <c r="Y1366" s="659"/>
      <c r="Z1366" s="658"/>
      <c r="AA1366" s="659"/>
      <c r="AB1366" s="658"/>
      <c r="AC1366" s="660"/>
      <c r="AD1366" s="682">
        <v>0</v>
      </c>
      <c r="AE1366" s="944" t="s">
        <v>1899</v>
      </c>
      <c r="AF1366" s="661" t="s">
        <v>1745</v>
      </c>
      <c r="AG1366" s="662" t="s">
        <v>1432</v>
      </c>
      <c r="AH1366" s="662" t="s">
        <v>1734</v>
      </c>
      <c r="AI1366" s="662">
        <v>5000</v>
      </c>
      <c r="AJ1366" s="662">
        <v>1000</v>
      </c>
      <c r="AK1366" s="662">
        <v>5000</v>
      </c>
      <c r="AL1366" s="658">
        <v>0.02</v>
      </c>
      <c r="AM1366" s="658">
        <v>0.2</v>
      </c>
      <c r="AN1366" s="659" t="s">
        <v>64</v>
      </c>
      <c r="AO1366" s="253" t="s">
        <v>34</v>
      </c>
      <c r="AP1366" s="944" t="s">
        <v>1746</v>
      </c>
      <c r="AQ1366" s="663" t="s">
        <v>674</v>
      </c>
      <c r="AR1366" s="658">
        <v>6.6666666666666697E-3</v>
      </c>
      <c r="AS1366" s="658">
        <v>6.6666666666666697E-3</v>
      </c>
      <c r="AT1366" s="658" t="s">
        <v>1417</v>
      </c>
      <c r="AU1366" s="658" t="s">
        <v>2751</v>
      </c>
      <c r="AX1366"/>
      <c r="AY1366"/>
      <c r="BA1366"/>
      <c r="BB1366"/>
      <c r="BC1366"/>
      <c r="BD1366"/>
      <c r="BE1366"/>
      <c r="BF1366"/>
      <c r="BG1366"/>
      <c r="BH1366"/>
      <c r="BI1366"/>
      <c r="BJ1366"/>
      <c r="BR1366"/>
      <c r="BS1366"/>
      <c r="BT1366"/>
      <c r="BU1366"/>
      <c r="BX1366"/>
      <c r="BY1366"/>
      <c r="CA1366"/>
    </row>
    <row r="1367" spans="2:79" ht="18.75">
      <c r="B1367" s="252" t="s">
        <v>1219</v>
      </c>
      <c r="C1367" s="251">
        <v>27528774000146</v>
      </c>
      <c r="D1367" s="252" t="s">
        <v>13</v>
      </c>
      <c r="E1367" s="252" t="s">
        <v>616</v>
      </c>
      <c r="F1367" s="252" t="s">
        <v>619</v>
      </c>
      <c r="G1367" s="253" t="s">
        <v>34</v>
      </c>
      <c r="H1367" s="253" t="s">
        <v>1338</v>
      </c>
      <c r="I1367" s="253" t="s">
        <v>34</v>
      </c>
      <c r="J1367" s="253" t="s">
        <v>611</v>
      </c>
      <c r="K1367" s="253" t="s">
        <v>48</v>
      </c>
      <c r="L1367" s="655"/>
      <c r="M1367" s="655" t="s">
        <v>34</v>
      </c>
      <c r="N1367" s="253" t="s">
        <v>4008</v>
      </c>
      <c r="O1367" s="253" t="s">
        <v>1321</v>
      </c>
      <c r="P1367" s="656">
        <v>42900</v>
      </c>
      <c r="Q1367" s="657">
        <v>0</v>
      </c>
      <c r="R1367" s="657">
        <v>1.0934413926701569</v>
      </c>
      <c r="S1367" s="253">
        <v>5</v>
      </c>
      <c r="T1367" s="658"/>
      <c r="U1367" s="659"/>
      <c r="V1367" s="658">
        <v>-0.19554169314171455</v>
      </c>
      <c r="W1367" s="659">
        <v>-1.5164864628399475</v>
      </c>
      <c r="X1367" s="658">
        <v>-0.20861995881630291</v>
      </c>
      <c r="Y1367" s="659">
        <v>-1.0804412179907796</v>
      </c>
      <c r="Z1367" s="658">
        <v>-0.26556858845330678</v>
      </c>
      <c r="AA1367" s="659">
        <v>-1.1991157433944126</v>
      </c>
      <c r="AB1367" s="658">
        <v>0.11150721892120213</v>
      </c>
      <c r="AC1367" s="660">
        <v>-2.9099963726815248</v>
      </c>
      <c r="AD1367" s="682">
        <v>18851134000181</v>
      </c>
      <c r="AE1367" s="944" t="s">
        <v>1753</v>
      </c>
      <c r="AF1367" s="661" t="s">
        <v>1729</v>
      </c>
      <c r="AG1367" s="662" t="s">
        <v>1433</v>
      </c>
      <c r="AH1367" s="662" t="s">
        <v>1730</v>
      </c>
      <c r="AI1367" s="662">
        <v>5000</v>
      </c>
      <c r="AJ1367" s="662">
        <v>0</v>
      </c>
      <c r="AK1367" s="662">
        <v>0</v>
      </c>
      <c r="AL1367" s="658">
        <v>9.300000000000001E-3</v>
      </c>
      <c r="AM1367" s="658">
        <v>0</v>
      </c>
      <c r="AN1367" s="659" t="s">
        <v>34</v>
      </c>
      <c r="AO1367" s="253" t="s">
        <v>34</v>
      </c>
      <c r="AP1367" s="944" t="s">
        <v>1746</v>
      </c>
      <c r="AQ1367" s="663" t="s">
        <v>679</v>
      </c>
      <c r="AR1367" s="658">
        <v>4.6499999999999996E-3</v>
      </c>
      <c r="AS1367" s="658">
        <v>4.6499999999999996E-3</v>
      </c>
      <c r="AT1367" s="658" t="s">
        <v>1417</v>
      </c>
      <c r="AU1367" s="658" t="s">
        <v>2751</v>
      </c>
      <c r="AX1367"/>
      <c r="AY1367"/>
      <c r="BA1367"/>
      <c r="BB1367"/>
      <c r="BC1367"/>
      <c r="BD1367"/>
      <c r="BE1367"/>
      <c r="BF1367"/>
      <c r="BG1367"/>
      <c r="BH1367"/>
      <c r="BI1367"/>
      <c r="BJ1367"/>
      <c r="BR1367"/>
      <c r="BS1367"/>
      <c r="BT1367"/>
      <c r="BU1367"/>
      <c r="BX1367"/>
      <c r="BY1367"/>
      <c r="CA1367"/>
    </row>
    <row r="1368" spans="2:79" ht="18.75">
      <c r="B1368" s="252" t="s">
        <v>1220</v>
      </c>
      <c r="C1368" s="251">
        <v>45126846000100</v>
      </c>
      <c r="D1368" s="252" t="s">
        <v>14</v>
      </c>
      <c r="E1368" s="252" t="s">
        <v>607</v>
      </c>
      <c r="F1368" s="252" t="s">
        <v>1417</v>
      </c>
      <c r="G1368" s="253" t="s">
        <v>1417</v>
      </c>
      <c r="H1368" s="253" t="s">
        <v>34</v>
      </c>
      <c r="I1368" s="253" t="s">
        <v>34</v>
      </c>
      <c r="J1368" s="253" t="s">
        <v>608</v>
      </c>
      <c r="K1368" s="253" t="s">
        <v>48</v>
      </c>
      <c r="L1368" s="655"/>
      <c r="M1368" s="655" t="s">
        <v>34</v>
      </c>
      <c r="N1368" s="253" t="s">
        <v>4009</v>
      </c>
      <c r="O1368" s="253" t="s">
        <v>1321</v>
      </c>
      <c r="P1368" s="656">
        <v>44609</v>
      </c>
      <c r="Q1368" s="657">
        <v>28.061876040000001</v>
      </c>
      <c r="R1368" s="657">
        <v>24.642884566710521</v>
      </c>
      <c r="S1368" s="253">
        <v>30</v>
      </c>
      <c r="T1368" s="658">
        <v>-2.2279498423334987E-2</v>
      </c>
      <c r="U1368" s="659">
        <v>-1.1140651619137549</v>
      </c>
      <c r="V1368" s="658">
        <v>-1.7017700000000913E-2</v>
      </c>
      <c r="W1368" s="659">
        <v>-0.13197754025771691</v>
      </c>
      <c r="X1368" s="658"/>
      <c r="Y1368" s="659"/>
      <c r="Z1368" s="658"/>
      <c r="AA1368" s="659"/>
      <c r="AB1368" s="658">
        <v>0.20463205177283916</v>
      </c>
      <c r="AC1368" s="660">
        <v>-0.71328810996246272</v>
      </c>
      <c r="AD1368" s="682">
        <v>45127383000100</v>
      </c>
      <c r="AE1368" s="944" t="s">
        <v>2069</v>
      </c>
      <c r="AF1368" s="661" t="s">
        <v>1745</v>
      </c>
      <c r="AG1368" s="662" t="s">
        <v>1432</v>
      </c>
      <c r="AH1368" s="662" t="s">
        <v>1734</v>
      </c>
      <c r="AI1368" s="662">
        <v>1000</v>
      </c>
      <c r="AJ1368" s="662">
        <v>1000</v>
      </c>
      <c r="AK1368" s="662">
        <v>1000</v>
      </c>
      <c r="AL1368" s="658">
        <v>0</v>
      </c>
      <c r="AM1368" s="658">
        <v>0</v>
      </c>
      <c r="AN1368" s="659" t="s">
        <v>2127</v>
      </c>
      <c r="AO1368" s="253" t="s">
        <v>34</v>
      </c>
      <c r="AP1368" s="944" t="s">
        <v>1731</v>
      </c>
      <c r="AQ1368" s="663" t="s">
        <v>659</v>
      </c>
      <c r="AR1368" s="658">
        <v>5.0666666666666698E-3</v>
      </c>
      <c r="AS1368" s="658">
        <v>5.0666666666666698E-3</v>
      </c>
      <c r="AT1368" s="658" t="s">
        <v>1417</v>
      </c>
      <c r="AU1368" s="658" t="s">
        <v>2751</v>
      </c>
      <c r="AX1368"/>
      <c r="AY1368"/>
      <c r="BA1368"/>
      <c r="BB1368"/>
      <c r="BC1368"/>
      <c r="BD1368"/>
      <c r="BE1368"/>
      <c r="BF1368"/>
      <c r="BG1368"/>
      <c r="BH1368"/>
      <c r="BI1368"/>
      <c r="BJ1368"/>
      <c r="BR1368"/>
      <c r="BS1368"/>
      <c r="BT1368"/>
      <c r="BU1368"/>
      <c r="BX1368"/>
      <c r="BY1368"/>
      <c r="CA1368"/>
    </row>
    <row r="1369" spans="2:79" ht="18.75">
      <c r="B1369" s="252" t="s">
        <v>1700</v>
      </c>
      <c r="C1369" s="251">
        <v>45274764000103</v>
      </c>
      <c r="D1369" s="252" t="s">
        <v>14</v>
      </c>
      <c r="E1369" s="252" t="s">
        <v>614</v>
      </c>
      <c r="F1369" s="252" t="s">
        <v>689</v>
      </c>
      <c r="G1369" s="253" t="s">
        <v>1417</v>
      </c>
      <c r="H1369" s="253" t="s">
        <v>1338</v>
      </c>
      <c r="I1369" s="253" t="s">
        <v>34</v>
      </c>
      <c r="J1369" s="253" t="s">
        <v>608</v>
      </c>
      <c r="K1369" s="253" t="s">
        <v>48</v>
      </c>
      <c r="L1369" s="655"/>
      <c r="M1369" s="655" t="s">
        <v>34</v>
      </c>
      <c r="N1369" s="253" t="s">
        <v>4011</v>
      </c>
      <c r="O1369" s="253" t="s">
        <v>1321</v>
      </c>
      <c r="P1369" s="656">
        <v>44618</v>
      </c>
      <c r="Q1369" s="657">
        <v>24.839329240000001</v>
      </c>
      <c r="R1369" s="657">
        <v>28.636093492675442</v>
      </c>
      <c r="S1369" s="253">
        <v>32</v>
      </c>
      <c r="T1369" s="658">
        <v>3.4859256840489294E-3</v>
      </c>
      <c r="U1369" s="659">
        <v>0.17431040357496363</v>
      </c>
      <c r="V1369" s="658">
        <v>8.1314354709357994E-2</v>
      </c>
      <c r="W1369" s="659">
        <v>0.63061803429276531</v>
      </c>
      <c r="X1369" s="658"/>
      <c r="Y1369" s="659"/>
      <c r="Z1369" s="658"/>
      <c r="AA1369" s="659"/>
      <c r="AB1369" s="658">
        <v>7.5787446585591958E-2</v>
      </c>
      <c r="AC1369" s="660">
        <v>-0.62846232302653238</v>
      </c>
      <c r="AD1369" s="682">
        <v>0</v>
      </c>
      <c r="AE1369" s="944" t="s">
        <v>2069</v>
      </c>
      <c r="AF1369" s="661" t="s">
        <v>1745</v>
      </c>
      <c r="AG1369" s="662" t="s">
        <v>1432</v>
      </c>
      <c r="AH1369" s="662" t="s">
        <v>1734</v>
      </c>
      <c r="AI1369" s="662">
        <v>1000</v>
      </c>
      <c r="AJ1369" s="662">
        <v>1000</v>
      </c>
      <c r="AK1369" s="662">
        <v>1000</v>
      </c>
      <c r="AL1369" s="658">
        <v>0</v>
      </c>
      <c r="AM1369" s="658">
        <v>0</v>
      </c>
      <c r="AN1369" s="659" t="s">
        <v>2127</v>
      </c>
      <c r="AO1369" s="253" t="s">
        <v>34</v>
      </c>
      <c r="AP1369" s="944" t="s">
        <v>1746</v>
      </c>
      <c r="AQ1369" s="663" t="s">
        <v>668</v>
      </c>
      <c r="AR1369" s="658">
        <v>0</v>
      </c>
      <c r="AS1369" s="658">
        <v>0</v>
      </c>
      <c r="AT1369" s="658" t="s">
        <v>1417</v>
      </c>
      <c r="AU1369" s="658" t="s">
        <v>2751</v>
      </c>
      <c r="AX1369"/>
      <c r="AY1369"/>
      <c r="BA1369"/>
      <c r="BB1369"/>
      <c r="BC1369"/>
      <c r="BD1369"/>
      <c r="BE1369"/>
      <c r="BF1369"/>
      <c r="BG1369"/>
      <c r="BH1369"/>
      <c r="BI1369"/>
      <c r="BJ1369"/>
      <c r="BR1369"/>
      <c r="BS1369"/>
      <c r="BT1369"/>
      <c r="BU1369"/>
      <c r="BX1369"/>
      <c r="BY1369"/>
      <c r="CA1369"/>
    </row>
    <row r="1370" spans="2:79" ht="18.75">
      <c r="B1370" s="252" t="s">
        <v>1701</v>
      </c>
      <c r="C1370" s="251">
        <v>27036105000157</v>
      </c>
      <c r="D1370" s="252" t="s">
        <v>11</v>
      </c>
      <c r="E1370" s="252" t="s">
        <v>620</v>
      </c>
      <c r="F1370" s="252" t="s">
        <v>672</v>
      </c>
      <c r="G1370" s="253" t="s">
        <v>738</v>
      </c>
      <c r="H1370" s="253" t="s">
        <v>34</v>
      </c>
      <c r="I1370" s="253" t="s">
        <v>1304</v>
      </c>
      <c r="J1370" s="253" t="s">
        <v>608</v>
      </c>
      <c r="K1370" s="253" t="s">
        <v>48</v>
      </c>
      <c r="L1370" s="655"/>
      <c r="M1370" s="655" t="s">
        <v>34</v>
      </c>
      <c r="N1370" s="253" t="s">
        <v>4014</v>
      </c>
      <c r="O1370" s="253" t="s">
        <v>1324</v>
      </c>
      <c r="P1370" s="656">
        <v>42783</v>
      </c>
      <c r="Q1370" s="657">
        <v>4.0413629999999996</v>
      </c>
      <c r="R1370" s="657">
        <v>5.2065354658634559</v>
      </c>
      <c r="S1370" s="253">
        <v>0</v>
      </c>
      <c r="T1370" s="658">
        <v>1.9706999245260981E-2</v>
      </c>
      <c r="U1370" s="659">
        <v>0.98542978337478782</v>
      </c>
      <c r="V1370" s="658">
        <v>0.12696465264933465</v>
      </c>
      <c r="W1370" s="659">
        <v>0.98465024981834848</v>
      </c>
      <c r="X1370" s="658">
        <v>0.19033216623634153</v>
      </c>
      <c r="Y1370" s="659">
        <v>0.98572887598109393</v>
      </c>
      <c r="Z1370" s="658">
        <v>0.20507920634409982</v>
      </c>
      <c r="AA1370" s="659">
        <v>0.92598942669486239</v>
      </c>
      <c r="AB1370" s="658">
        <v>7.8118757506191446E-4</v>
      </c>
      <c r="AC1370" s="660">
        <v>-2.5336511494013831</v>
      </c>
      <c r="AD1370" s="682">
        <v>0</v>
      </c>
      <c r="AE1370" s="944" t="s">
        <v>1747</v>
      </c>
      <c r="AF1370" s="661" t="s">
        <v>1745</v>
      </c>
      <c r="AG1370" s="662" t="s">
        <v>1432</v>
      </c>
      <c r="AH1370" s="662" t="s">
        <v>1734</v>
      </c>
      <c r="AI1370" s="662">
        <v>0</v>
      </c>
      <c r="AJ1370" s="662">
        <v>0</v>
      </c>
      <c r="AK1370" s="662">
        <v>0</v>
      </c>
      <c r="AL1370" s="658">
        <v>0</v>
      </c>
      <c r="AM1370" s="658">
        <v>0</v>
      </c>
      <c r="AN1370" s="659" t="s">
        <v>34</v>
      </c>
      <c r="AO1370" s="253" t="s">
        <v>34</v>
      </c>
      <c r="AP1370" s="944" t="s">
        <v>1735</v>
      </c>
      <c r="AQ1370" s="663" t="s">
        <v>684</v>
      </c>
      <c r="AR1370" s="658">
        <v>0</v>
      </c>
      <c r="AS1370" s="658">
        <v>0</v>
      </c>
      <c r="AT1370" s="658" t="s">
        <v>1417</v>
      </c>
      <c r="AU1370" s="658" t="s">
        <v>2751</v>
      </c>
      <c r="AX1370"/>
      <c r="AY1370"/>
      <c r="BA1370"/>
      <c r="BB1370"/>
      <c r="BC1370"/>
      <c r="BD1370"/>
      <c r="BE1370"/>
      <c r="BF1370"/>
      <c r="BG1370"/>
      <c r="BH1370"/>
      <c r="BI1370"/>
      <c r="BJ1370"/>
      <c r="BR1370"/>
      <c r="BS1370"/>
      <c r="BT1370"/>
      <c r="BU1370"/>
      <c r="BX1370"/>
      <c r="BY1370"/>
      <c r="CA1370"/>
    </row>
    <row r="1371" spans="2:79" ht="18.75">
      <c r="B1371" s="252" t="s">
        <v>400</v>
      </c>
      <c r="C1371" s="251">
        <v>24769058000162</v>
      </c>
      <c r="D1371" s="252" t="s">
        <v>11</v>
      </c>
      <c r="E1371" s="252" t="s">
        <v>620</v>
      </c>
      <c r="F1371" s="252" t="s">
        <v>663</v>
      </c>
      <c r="G1371" s="253" t="s">
        <v>738</v>
      </c>
      <c r="H1371" s="253" t="s">
        <v>34</v>
      </c>
      <c r="I1371" s="253" t="s">
        <v>1417</v>
      </c>
      <c r="J1371" s="253" t="s">
        <v>608</v>
      </c>
      <c r="K1371" s="253" t="s">
        <v>48</v>
      </c>
      <c r="L1371" s="655"/>
      <c r="M1371" s="655" t="s">
        <v>1414</v>
      </c>
      <c r="N1371" s="253" t="s">
        <v>4016</v>
      </c>
      <c r="O1371" s="253" t="s">
        <v>1321</v>
      </c>
      <c r="P1371" s="656">
        <v>42473</v>
      </c>
      <c r="Q1371" s="657">
        <v>39.687654000000002</v>
      </c>
      <c r="R1371" s="657">
        <v>47.69870601626014</v>
      </c>
      <c r="S1371" s="253">
        <v>1</v>
      </c>
      <c r="T1371" s="658">
        <v>1.9550160435709119E-2</v>
      </c>
      <c r="U1371" s="659">
        <v>0.9775872076382196</v>
      </c>
      <c r="V1371" s="658">
        <v>0.13311073282708596</v>
      </c>
      <c r="W1371" s="659">
        <v>1.0323150073405922</v>
      </c>
      <c r="X1371" s="658">
        <v>0.20572847313518916</v>
      </c>
      <c r="Y1371" s="659">
        <v>1.0654662351136317</v>
      </c>
      <c r="Z1371" s="658">
        <v>0.23811170547559746</v>
      </c>
      <c r="AA1371" s="659">
        <v>1.0751403107769435</v>
      </c>
      <c r="AB1371" s="658">
        <v>1.8297942198035426E-3</v>
      </c>
      <c r="AC1371" s="660">
        <v>2.2772087348406793</v>
      </c>
      <c r="AD1371" s="682">
        <v>0</v>
      </c>
      <c r="AE1371" s="944" t="s">
        <v>1936</v>
      </c>
      <c r="AF1371" s="661" t="s">
        <v>1937</v>
      </c>
      <c r="AG1371" s="662" t="s">
        <v>1432</v>
      </c>
      <c r="AH1371" s="662" t="s">
        <v>1734</v>
      </c>
      <c r="AI1371" s="662">
        <v>100</v>
      </c>
      <c r="AJ1371" s="662">
        <v>0</v>
      </c>
      <c r="AK1371" s="662">
        <v>100</v>
      </c>
      <c r="AL1371" s="658">
        <v>3.4999999999999996E-3</v>
      </c>
      <c r="AM1371" s="658">
        <v>0</v>
      </c>
      <c r="AN1371" s="659" t="s">
        <v>64</v>
      </c>
      <c r="AO1371" s="253" t="s">
        <v>34</v>
      </c>
      <c r="AP1371" s="944" t="s">
        <v>1735</v>
      </c>
      <c r="AQ1371" s="663" t="s">
        <v>676</v>
      </c>
      <c r="AR1371" s="658">
        <v>8.1666666666666704E-4</v>
      </c>
      <c r="AS1371" s="658">
        <v>8.1666666666666704E-4</v>
      </c>
      <c r="AT1371" s="658" t="s">
        <v>1417</v>
      </c>
      <c r="AU1371" s="658" t="s">
        <v>2751</v>
      </c>
      <c r="AX1371"/>
      <c r="AY1371"/>
      <c r="BA1371"/>
      <c r="BB1371"/>
      <c r="BC1371"/>
      <c r="BD1371"/>
      <c r="BE1371"/>
      <c r="BF1371"/>
      <c r="BG1371"/>
      <c r="BH1371"/>
      <c r="BI1371"/>
      <c r="BJ1371"/>
      <c r="BR1371"/>
      <c r="BS1371"/>
      <c r="BT1371"/>
      <c r="BU1371"/>
      <c r="BX1371"/>
      <c r="BY1371"/>
      <c r="CA1371"/>
    </row>
    <row r="1372" spans="2:79" ht="18.75">
      <c r="B1372" s="252" t="s">
        <v>401</v>
      </c>
      <c r="C1372" s="251">
        <v>35088081000108</v>
      </c>
      <c r="D1372" s="252" t="s">
        <v>14</v>
      </c>
      <c r="E1372" s="252" t="s">
        <v>614</v>
      </c>
      <c r="F1372" s="252" t="s">
        <v>1417</v>
      </c>
      <c r="G1372" s="253" t="s">
        <v>1417</v>
      </c>
      <c r="H1372" s="253" t="s">
        <v>1338</v>
      </c>
      <c r="I1372" s="253" t="s">
        <v>34</v>
      </c>
      <c r="J1372" s="253" t="s">
        <v>608</v>
      </c>
      <c r="K1372" s="253" t="s">
        <v>48</v>
      </c>
      <c r="L1372" s="655"/>
      <c r="M1372" s="655" t="s">
        <v>34</v>
      </c>
      <c r="N1372" s="253" t="s">
        <v>4017</v>
      </c>
      <c r="O1372" s="253" t="s">
        <v>1321</v>
      </c>
      <c r="P1372" s="656">
        <v>43796</v>
      </c>
      <c r="Q1372" s="657">
        <v>39.340731150000003</v>
      </c>
      <c r="R1372" s="657">
        <v>48.71964523485947</v>
      </c>
      <c r="S1372" s="253">
        <v>62</v>
      </c>
      <c r="T1372" s="658">
        <v>-8.6790876980765708E-3</v>
      </c>
      <c r="U1372" s="659">
        <v>-0.43398953862867101</v>
      </c>
      <c r="V1372" s="658">
        <v>4.1655773360992354E-2</v>
      </c>
      <c r="W1372" s="659">
        <v>0.32305343881466975</v>
      </c>
      <c r="X1372" s="658">
        <v>-0.16990596475271669</v>
      </c>
      <c r="Y1372" s="659">
        <v>-0.87994173013410681</v>
      </c>
      <c r="Z1372" s="658">
        <v>-0.13060122552119668</v>
      </c>
      <c r="AA1372" s="659">
        <v>-0.58970071174892025</v>
      </c>
      <c r="AB1372" s="658">
        <v>0.22068316423920212</v>
      </c>
      <c r="AC1372" s="660">
        <v>-0.39553600015986246</v>
      </c>
      <c r="AD1372" s="682">
        <v>34429833000194</v>
      </c>
      <c r="AE1372" s="944" t="s">
        <v>1797</v>
      </c>
      <c r="AF1372" s="661" t="s">
        <v>1745</v>
      </c>
      <c r="AG1372" s="662" t="s">
        <v>1432</v>
      </c>
      <c r="AH1372" s="662" t="s">
        <v>1730</v>
      </c>
      <c r="AI1372" s="662">
        <v>100</v>
      </c>
      <c r="AJ1372" s="662">
        <v>100</v>
      </c>
      <c r="AK1372" s="662">
        <v>100</v>
      </c>
      <c r="AL1372" s="658">
        <v>0</v>
      </c>
      <c r="AM1372" s="658">
        <v>0</v>
      </c>
      <c r="AN1372" s="659" t="s">
        <v>34</v>
      </c>
      <c r="AO1372" s="253" t="s">
        <v>34</v>
      </c>
      <c r="AP1372" s="944" t="s">
        <v>1731</v>
      </c>
      <c r="AQ1372" s="663" t="s">
        <v>659</v>
      </c>
      <c r="AR1372" s="658">
        <v>4.0000000000000001E-3</v>
      </c>
      <c r="AS1372" s="658">
        <v>4.0000000000000001E-3</v>
      </c>
      <c r="AT1372" s="658" t="s">
        <v>1417</v>
      </c>
      <c r="AU1372" s="658" t="s">
        <v>2751</v>
      </c>
      <c r="AX1372"/>
      <c r="AY1372"/>
      <c r="BA1372"/>
      <c r="BB1372"/>
      <c r="BC1372"/>
      <c r="BD1372"/>
      <c r="BE1372"/>
      <c r="BF1372"/>
      <c r="BG1372"/>
      <c r="BH1372"/>
      <c r="BI1372"/>
      <c r="BJ1372"/>
      <c r="BR1372"/>
      <c r="BS1372"/>
      <c r="BT1372"/>
      <c r="BU1372"/>
      <c r="BX1372"/>
      <c r="BY1372"/>
      <c r="CA1372"/>
    </row>
    <row r="1373" spans="2:79" ht="18.75">
      <c r="B1373" s="252" t="s">
        <v>402</v>
      </c>
      <c r="C1373" s="251">
        <v>34429833000194</v>
      </c>
      <c r="D1373" s="252" t="s">
        <v>14</v>
      </c>
      <c r="E1373" s="252" t="s">
        <v>614</v>
      </c>
      <c r="F1373" s="252" t="s">
        <v>1417</v>
      </c>
      <c r="G1373" s="253" t="s">
        <v>1417</v>
      </c>
      <c r="H1373" s="253" t="s">
        <v>1338</v>
      </c>
      <c r="I1373" s="253" t="s">
        <v>34</v>
      </c>
      <c r="J1373" s="253" t="s">
        <v>608</v>
      </c>
      <c r="K1373" s="253" t="s">
        <v>48</v>
      </c>
      <c r="L1373" s="655"/>
      <c r="M1373" s="655" t="s">
        <v>34</v>
      </c>
      <c r="N1373" s="253" t="s">
        <v>4018</v>
      </c>
      <c r="O1373" s="253" t="s">
        <v>1321</v>
      </c>
      <c r="P1373" s="656">
        <v>43701</v>
      </c>
      <c r="Q1373" s="657">
        <v>141.19789062000001</v>
      </c>
      <c r="R1373" s="657">
        <v>214.54847083911301</v>
      </c>
      <c r="S1373" s="253">
        <v>62</v>
      </c>
      <c r="T1373" s="658">
        <v>-8.8945802720907796E-3</v>
      </c>
      <c r="U1373" s="659">
        <v>-0.44476504015921287</v>
      </c>
      <c r="V1373" s="658">
        <v>4.3359316461089259E-2</v>
      </c>
      <c r="W1373" s="659">
        <v>0.33626494378148564</v>
      </c>
      <c r="X1373" s="658">
        <v>-0.1726190425996148</v>
      </c>
      <c r="Y1373" s="659">
        <v>-0.89399274016228691</v>
      </c>
      <c r="Z1373" s="658">
        <v>-0.13063747940977144</v>
      </c>
      <c r="AA1373" s="659">
        <v>-0.58986440809871243</v>
      </c>
      <c r="AB1373" s="658">
        <v>0.2235858448583021</v>
      </c>
      <c r="AC1373" s="660">
        <v>-0.38278180374047593</v>
      </c>
      <c r="AD1373" s="682">
        <v>31493903000185</v>
      </c>
      <c r="AE1373" s="944" t="s">
        <v>1968</v>
      </c>
      <c r="AF1373" s="661" t="s">
        <v>1745</v>
      </c>
      <c r="AG1373" s="662" t="s">
        <v>1432</v>
      </c>
      <c r="AH1373" s="662" t="s">
        <v>1730</v>
      </c>
      <c r="AI1373" s="662">
        <v>5</v>
      </c>
      <c r="AJ1373" s="662">
        <v>0</v>
      </c>
      <c r="AK1373" s="662">
        <v>5000</v>
      </c>
      <c r="AL1373" s="658">
        <v>1.9299999999999998E-2</v>
      </c>
      <c r="AM1373" s="658">
        <v>0.2</v>
      </c>
      <c r="AN1373" s="659" t="s">
        <v>34</v>
      </c>
      <c r="AO1373" s="253" t="s">
        <v>34</v>
      </c>
      <c r="AP1373" s="944" t="s">
        <v>1731</v>
      </c>
      <c r="AQ1373" s="663" t="s">
        <v>659</v>
      </c>
      <c r="AR1373" s="658">
        <v>4.0000000000000001E-3</v>
      </c>
      <c r="AS1373" s="658">
        <v>4.0000000000000001E-3</v>
      </c>
      <c r="AT1373" s="658" t="s">
        <v>1417</v>
      </c>
      <c r="AU1373" s="658" t="s">
        <v>2751</v>
      </c>
      <c r="AX1373"/>
      <c r="AY1373"/>
      <c r="BA1373"/>
      <c r="BB1373"/>
      <c r="BC1373"/>
      <c r="BD1373"/>
      <c r="BE1373"/>
      <c r="BF1373"/>
      <c r="BG1373"/>
      <c r="BH1373"/>
      <c r="BI1373"/>
      <c r="BJ1373"/>
      <c r="BR1373"/>
      <c r="BS1373"/>
      <c r="BT1373"/>
      <c r="BU1373"/>
      <c r="BX1373"/>
      <c r="BY1373"/>
      <c r="CA1373"/>
    </row>
    <row r="1374" spans="2:79" ht="18.75">
      <c r="B1374" s="252" t="s">
        <v>403</v>
      </c>
      <c r="C1374" s="251">
        <v>32041875000128</v>
      </c>
      <c r="D1374" s="252" t="s">
        <v>14</v>
      </c>
      <c r="E1374" s="252" t="s">
        <v>614</v>
      </c>
      <c r="F1374" s="252" t="s">
        <v>1417</v>
      </c>
      <c r="G1374" s="253" t="s">
        <v>1417</v>
      </c>
      <c r="H1374" s="253" t="s">
        <v>1338</v>
      </c>
      <c r="I1374" s="253" t="s">
        <v>34</v>
      </c>
      <c r="J1374" s="253" t="s">
        <v>608</v>
      </c>
      <c r="K1374" s="253" t="s">
        <v>48</v>
      </c>
      <c r="L1374" s="655"/>
      <c r="M1374" s="655" t="s">
        <v>34</v>
      </c>
      <c r="N1374" s="253" t="s">
        <v>4019</v>
      </c>
      <c r="O1374" s="253" t="s">
        <v>1321</v>
      </c>
      <c r="P1374" s="656">
        <v>43483</v>
      </c>
      <c r="Q1374" s="657">
        <v>36.235577380000002</v>
      </c>
      <c r="R1374" s="657">
        <v>47.313255787782261</v>
      </c>
      <c r="S1374" s="253">
        <v>32</v>
      </c>
      <c r="T1374" s="658">
        <v>-9.0563945890883568E-3</v>
      </c>
      <c r="U1374" s="659">
        <v>-0.45285641142083238</v>
      </c>
      <c r="V1374" s="658">
        <v>4.2971699601981328E-2</v>
      </c>
      <c r="W1374" s="659">
        <v>0.33325885484893397</v>
      </c>
      <c r="X1374" s="658">
        <v>-0.16855234661237473</v>
      </c>
      <c r="Y1374" s="659">
        <v>-0.87293135183404558</v>
      </c>
      <c r="Z1374" s="658">
        <v>-0.10932588007390076</v>
      </c>
      <c r="AA1374" s="659">
        <v>-0.49363663346093883</v>
      </c>
      <c r="AB1374" s="658">
        <v>0.22614604642685784</v>
      </c>
      <c r="AC1374" s="660">
        <v>-0.38016233846746872</v>
      </c>
      <c r="AD1374" s="682">
        <v>31493876000140</v>
      </c>
      <c r="AE1374" s="944" t="s">
        <v>1797</v>
      </c>
      <c r="AF1374" s="661" t="s">
        <v>1745</v>
      </c>
      <c r="AG1374" s="662" t="s">
        <v>1432</v>
      </c>
      <c r="AH1374" s="662" t="s">
        <v>1730</v>
      </c>
      <c r="AI1374" s="662">
        <v>30000</v>
      </c>
      <c r="AJ1374" s="662">
        <v>30000</v>
      </c>
      <c r="AK1374" s="662">
        <v>30000</v>
      </c>
      <c r="AL1374" s="658">
        <v>0</v>
      </c>
      <c r="AM1374" s="658">
        <v>0</v>
      </c>
      <c r="AN1374" s="659" t="s">
        <v>34</v>
      </c>
      <c r="AO1374" s="253" t="s">
        <v>34</v>
      </c>
      <c r="AP1374" s="944" t="s">
        <v>1731</v>
      </c>
      <c r="AQ1374" s="663" t="s">
        <v>659</v>
      </c>
      <c r="AR1374" s="658">
        <v>5.0000000000000001E-3</v>
      </c>
      <c r="AS1374" s="658">
        <v>5.0000000000000001E-3</v>
      </c>
      <c r="AT1374" s="658" t="s">
        <v>1417</v>
      </c>
      <c r="AU1374" s="658" t="s">
        <v>2751</v>
      </c>
      <c r="AX1374"/>
      <c r="AY1374"/>
      <c r="BA1374"/>
      <c r="BB1374"/>
      <c r="BC1374"/>
      <c r="BD1374"/>
      <c r="BE1374"/>
      <c r="BF1374"/>
      <c r="BG1374"/>
      <c r="BH1374"/>
      <c r="BI1374"/>
      <c r="BJ1374"/>
      <c r="BR1374"/>
      <c r="BS1374"/>
      <c r="BT1374"/>
      <c r="BU1374"/>
      <c r="BX1374"/>
      <c r="BY1374"/>
      <c r="CA1374"/>
    </row>
    <row r="1375" spans="2:79" ht="18.75">
      <c r="B1375" s="252" t="s">
        <v>404</v>
      </c>
      <c r="C1375" s="251">
        <v>31493876000140</v>
      </c>
      <c r="D1375" s="252" t="s">
        <v>14</v>
      </c>
      <c r="E1375" s="252" t="s">
        <v>607</v>
      </c>
      <c r="F1375" s="252" t="s">
        <v>1417</v>
      </c>
      <c r="G1375" s="253" t="s">
        <v>1417</v>
      </c>
      <c r="H1375" s="253" t="s">
        <v>34</v>
      </c>
      <c r="I1375" s="253" t="s">
        <v>34</v>
      </c>
      <c r="J1375" s="253" t="s">
        <v>608</v>
      </c>
      <c r="K1375" s="253" t="s">
        <v>48</v>
      </c>
      <c r="L1375" s="655"/>
      <c r="M1375" s="655" t="s">
        <v>34</v>
      </c>
      <c r="N1375" s="253" t="s">
        <v>4020</v>
      </c>
      <c r="O1375" s="253" t="s">
        <v>1324</v>
      </c>
      <c r="P1375" s="656">
        <v>43386</v>
      </c>
      <c r="Q1375" s="657">
        <v>239.02606001999999</v>
      </c>
      <c r="R1375" s="657">
        <v>448.17023037851385</v>
      </c>
      <c r="S1375" s="253">
        <v>32</v>
      </c>
      <c r="T1375" s="658">
        <v>-8.9920934836008604E-3</v>
      </c>
      <c r="U1375" s="659">
        <v>-0.4496410957016449</v>
      </c>
      <c r="V1375" s="658">
        <v>4.2610332641479731E-2</v>
      </c>
      <c r="W1375" s="659">
        <v>0.33045634201950314</v>
      </c>
      <c r="X1375" s="658">
        <v>-0.17124111462851987</v>
      </c>
      <c r="Y1375" s="659">
        <v>-0.88685646142922347</v>
      </c>
      <c r="Z1375" s="658">
        <v>-0.11741687487579722</v>
      </c>
      <c r="AA1375" s="659">
        <v>-0.53016971631980359</v>
      </c>
      <c r="AB1375" s="658">
        <v>0.22670973696647673</v>
      </c>
      <c r="AC1375" s="660">
        <v>-0.38081106687567923</v>
      </c>
      <c r="AD1375" s="682">
        <v>31493903000185</v>
      </c>
      <c r="AE1375" s="944" t="s">
        <v>1968</v>
      </c>
      <c r="AF1375" s="661" t="s">
        <v>1745</v>
      </c>
      <c r="AG1375" s="662" t="s">
        <v>1432</v>
      </c>
      <c r="AH1375" s="662" t="s">
        <v>1730</v>
      </c>
      <c r="AI1375" s="662">
        <v>500</v>
      </c>
      <c r="AJ1375" s="662">
        <v>0</v>
      </c>
      <c r="AK1375" s="662">
        <v>500</v>
      </c>
      <c r="AL1375" s="658">
        <v>0</v>
      </c>
      <c r="AM1375" s="658">
        <v>0.2</v>
      </c>
      <c r="AN1375" s="659" t="s">
        <v>2127</v>
      </c>
      <c r="AO1375" s="253" t="s">
        <v>34</v>
      </c>
      <c r="AP1375" s="944" t="s">
        <v>1731</v>
      </c>
      <c r="AQ1375" s="663" t="s">
        <v>659</v>
      </c>
      <c r="AR1375" s="658">
        <v>5.0000000000000001E-3</v>
      </c>
      <c r="AS1375" s="658">
        <v>5.0000000000000001E-3</v>
      </c>
      <c r="AT1375" s="658" t="s">
        <v>1417</v>
      </c>
      <c r="AU1375" s="658" t="s">
        <v>2751</v>
      </c>
      <c r="AX1375"/>
      <c r="AY1375"/>
      <c r="BA1375"/>
      <c r="BB1375"/>
      <c r="BC1375"/>
      <c r="BD1375"/>
      <c r="BE1375"/>
      <c r="BF1375"/>
      <c r="BG1375"/>
      <c r="BH1375"/>
      <c r="BI1375"/>
      <c r="BJ1375"/>
      <c r="BR1375"/>
      <c r="BS1375"/>
      <c r="BT1375"/>
      <c r="BU1375"/>
      <c r="BX1375"/>
      <c r="BY1375"/>
      <c r="CA1375"/>
    </row>
    <row r="1376" spans="2:79" ht="18.75">
      <c r="B1376" s="252" t="s">
        <v>596</v>
      </c>
      <c r="C1376" s="251">
        <v>35957054000124</v>
      </c>
      <c r="D1376" s="252" t="s">
        <v>14</v>
      </c>
      <c r="E1376" s="252" t="s">
        <v>607</v>
      </c>
      <c r="F1376" s="252" t="s">
        <v>1417</v>
      </c>
      <c r="G1376" s="253" t="s">
        <v>1417</v>
      </c>
      <c r="H1376" s="253" t="s">
        <v>34</v>
      </c>
      <c r="I1376" s="253" t="s">
        <v>34</v>
      </c>
      <c r="J1376" s="253" t="s">
        <v>608</v>
      </c>
      <c r="K1376" s="253" t="s">
        <v>48</v>
      </c>
      <c r="L1376" s="655"/>
      <c r="M1376" s="655" t="s">
        <v>34</v>
      </c>
      <c r="N1376" s="253" t="s">
        <v>4021</v>
      </c>
      <c r="O1376" s="253" t="s">
        <v>1321</v>
      </c>
      <c r="P1376" s="656">
        <v>43939</v>
      </c>
      <c r="Q1376" s="657">
        <v>7.5270830399999999</v>
      </c>
      <c r="R1376" s="657">
        <v>10.089701984939756</v>
      </c>
      <c r="S1376" s="253">
        <v>62</v>
      </c>
      <c r="T1376" s="658">
        <v>-1.7594859031793031E-2</v>
      </c>
      <c r="U1376" s="659">
        <v>-0.87981421770131707</v>
      </c>
      <c r="V1376" s="658">
        <v>-1.1955343934988982E-2</v>
      </c>
      <c r="W1376" s="659">
        <v>-9.2717399265163647E-2</v>
      </c>
      <c r="X1376" s="658">
        <v>-0.21137733436752193</v>
      </c>
      <c r="Y1376" s="659">
        <v>-1.0947216455007878</v>
      </c>
      <c r="Z1376" s="658"/>
      <c r="AA1376" s="659"/>
      <c r="AB1376" s="658">
        <v>0.24541928850964748</v>
      </c>
      <c r="AC1376" s="660">
        <v>-0.57411646100603275</v>
      </c>
      <c r="AD1376" s="682">
        <v>35957175000176</v>
      </c>
      <c r="AE1376" s="944" t="s">
        <v>1968</v>
      </c>
      <c r="AF1376" s="661" t="s">
        <v>1745</v>
      </c>
      <c r="AG1376" s="662" t="s">
        <v>1432</v>
      </c>
      <c r="AH1376" s="662" t="s">
        <v>1730</v>
      </c>
      <c r="AI1376" s="662">
        <v>1</v>
      </c>
      <c r="AJ1376" s="662">
        <v>0</v>
      </c>
      <c r="AK1376" s="662">
        <v>1000</v>
      </c>
      <c r="AL1376" s="658">
        <v>1.9299999999999998E-2</v>
      </c>
      <c r="AM1376" s="658">
        <v>0.2</v>
      </c>
      <c r="AN1376" s="659" t="s">
        <v>34</v>
      </c>
      <c r="AO1376" s="253" t="s">
        <v>34</v>
      </c>
      <c r="AP1376" s="944" t="s">
        <v>1731</v>
      </c>
      <c r="AQ1376" s="663" t="s">
        <v>659</v>
      </c>
      <c r="AR1376" s="658">
        <v>4.0000000000000001E-3</v>
      </c>
      <c r="AS1376" s="658">
        <v>4.0000000000000001E-3</v>
      </c>
      <c r="AT1376" s="658" t="s">
        <v>1417</v>
      </c>
      <c r="AU1376" s="658" t="s">
        <v>2751</v>
      </c>
      <c r="AX1376"/>
      <c r="AY1376"/>
      <c r="BA1376"/>
      <c r="BB1376"/>
      <c r="BC1376"/>
      <c r="BD1376"/>
      <c r="BE1376"/>
      <c r="BF1376"/>
      <c r="BG1376"/>
      <c r="BH1376"/>
      <c r="BI1376"/>
      <c r="BJ1376"/>
      <c r="BR1376"/>
      <c r="BS1376"/>
      <c r="BT1376"/>
      <c r="BU1376"/>
      <c r="BX1376"/>
      <c r="BY1376"/>
      <c r="CA1376"/>
    </row>
    <row r="1377" spans="2:79" ht="18.75">
      <c r="B1377" s="252" t="s">
        <v>405</v>
      </c>
      <c r="C1377" s="251">
        <v>31533145000181</v>
      </c>
      <c r="D1377" s="252" t="s">
        <v>14</v>
      </c>
      <c r="E1377" s="252" t="s">
        <v>607</v>
      </c>
      <c r="F1377" s="252" t="s">
        <v>1417</v>
      </c>
      <c r="G1377" s="253" t="s">
        <v>1417</v>
      </c>
      <c r="H1377" s="253" t="s">
        <v>34</v>
      </c>
      <c r="I1377" s="253" t="s">
        <v>34</v>
      </c>
      <c r="J1377" s="253" t="s">
        <v>608</v>
      </c>
      <c r="K1377" s="253" t="s">
        <v>48</v>
      </c>
      <c r="L1377" s="655"/>
      <c r="M1377" s="655" t="s">
        <v>34</v>
      </c>
      <c r="N1377" s="253" t="s">
        <v>4022</v>
      </c>
      <c r="O1377" s="253" t="s">
        <v>1321</v>
      </c>
      <c r="P1377" s="656">
        <v>43397</v>
      </c>
      <c r="Q1377" s="657">
        <v>413.35717232000002</v>
      </c>
      <c r="R1377" s="657">
        <v>569.21403432248985</v>
      </c>
      <c r="S1377" s="253">
        <v>32</v>
      </c>
      <c r="T1377" s="658">
        <v>-1.7182013371953353E-2</v>
      </c>
      <c r="U1377" s="659">
        <v>-0.85917026252174467</v>
      </c>
      <c r="V1377" s="658">
        <v>-2.4094159322633146E-2</v>
      </c>
      <c r="W1377" s="659">
        <v>-0.18685767653551835</v>
      </c>
      <c r="X1377" s="658">
        <v>-0.16124666735703719</v>
      </c>
      <c r="Y1377" s="659">
        <v>-0.83509529320536358</v>
      </c>
      <c r="Z1377" s="658">
        <v>-0.12168437535557697</v>
      </c>
      <c r="AA1377" s="659">
        <v>-0.54943866314838086</v>
      </c>
      <c r="AB1377" s="658">
        <v>0.23721880653143096</v>
      </c>
      <c r="AC1377" s="660">
        <v>-0.64513463754040212</v>
      </c>
      <c r="AD1377" s="682">
        <v>31533735000104</v>
      </c>
      <c r="AE1377" s="944" t="s">
        <v>1968</v>
      </c>
      <c r="AF1377" s="661" t="s">
        <v>1745</v>
      </c>
      <c r="AG1377" s="662" t="s">
        <v>1432</v>
      </c>
      <c r="AH1377" s="662" t="s">
        <v>1734</v>
      </c>
      <c r="AI1377" s="662">
        <v>500</v>
      </c>
      <c r="AJ1377" s="662">
        <v>500</v>
      </c>
      <c r="AK1377" s="662">
        <v>500</v>
      </c>
      <c r="AL1377" s="658">
        <v>2.9300000000000003E-2</v>
      </c>
      <c r="AM1377" s="658">
        <v>0</v>
      </c>
      <c r="AN1377" s="659" t="s">
        <v>34</v>
      </c>
      <c r="AO1377" s="253" t="s">
        <v>34</v>
      </c>
      <c r="AP1377" s="944" t="s">
        <v>1731</v>
      </c>
      <c r="AQ1377" s="663" t="s">
        <v>659</v>
      </c>
      <c r="AR1377" s="658">
        <v>7.4999999999999997E-3</v>
      </c>
      <c r="AS1377" s="658">
        <v>7.4999999999999997E-3</v>
      </c>
      <c r="AT1377" s="658" t="s">
        <v>1417</v>
      </c>
      <c r="AU1377" s="658" t="s">
        <v>2751</v>
      </c>
      <c r="AX1377"/>
      <c r="AY1377"/>
      <c r="BA1377"/>
      <c r="BB1377"/>
      <c r="BC1377"/>
      <c r="BD1377"/>
      <c r="BE1377"/>
      <c r="BF1377"/>
      <c r="BG1377"/>
      <c r="BH1377"/>
      <c r="BI1377"/>
      <c r="BJ1377"/>
      <c r="BR1377"/>
      <c r="BS1377"/>
      <c r="BT1377"/>
      <c r="BU1377"/>
      <c r="BX1377"/>
      <c r="BY1377"/>
      <c r="CA1377"/>
    </row>
    <row r="1378" spans="2:79" ht="18.75">
      <c r="B1378" s="252" t="s">
        <v>406</v>
      </c>
      <c r="C1378" s="251">
        <v>40938273000104</v>
      </c>
      <c r="D1378" s="252" t="s">
        <v>14</v>
      </c>
      <c r="E1378" s="252" t="s">
        <v>607</v>
      </c>
      <c r="F1378" s="252" t="s">
        <v>672</v>
      </c>
      <c r="G1378" s="253" t="s">
        <v>1417</v>
      </c>
      <c r="H1378" s="253" t="s">
        <v>34</v>
      </c>
      <c r="I1378" s="253" t="s">
        <v>34</v>
      </c>
      <c r="J1378" s="253" t="s">
        <v>690</v>
      </c>
      <c r="K1378" s="253" t="s">
        <v>1417</v>
      </c>
      <c r="L1378" s="655"/>
      <c r="M1378" s="655" t="s">
        <v>1414</v>
      </c>
      <c r="N1378" s="253" t="s">
        <v>4023</v>
      </c>
      <c r="O1378" s="253" t="s">
        <v>1321</v>
      </c>
      <c r="P1378" s="656">
        <v>44291</v>
      </c>
      <c r="Q1378" s="657">
        <v>0</v>
      </c>
      <c r="R1378" s="657">
        <v>0</v>
      </c>
      <c r="S1378" s="253">
        <v>1</v>
      </c>
      <c r="T1378" s="658"/>
      <c r="U1378" s="659"/>
      <c r="V1378" s="658"/>
      <c r="W1378" s="659"/>
      <c r="X1378" s="658"/>
      <c r="Y1378" s="659"/>
      <c r="Z1378" s="658"/>
      <c r="AA1378" s="659"/>
      <c r="AB1378" s="658"/>
      <c r="AC1378" s="660"/>
      <c r="AD1378" s="682">
        <v>0</v>
      </c>
      <c r="AE1378" s="944" t="s">
        <v>1962</v>
      </c>
      <c r="AF1378" s="661" t="s">
        <v>1745</v>
      </c>
      <c r="AG1378" s="662" t="s">
        <v>1432</v>
      </c>
      <c r="AH1378" s="662" t="s">
        <v>1734</v>
      </c>
      <c r="AI1378" s="662">
        <v>500</v>
      </c>
      <c r="AJ1378" s="662">
        <v>100</v>
      </c>
      <c r="AK1378" s="662">
        <v>100</v>
      </c>
      <c r="AL1378" s="658">
        <v>5.0000000000000001E-3</v>
      </c>
      <c r="AM1378" s="658">
        <v>0</v>
      </c>
      <c r="AN1378" s="659" t="s">
        <v>34</v>
      </c>
      <c r="AO1378" s="253" t="s">
        <v>34</v>
      </c>
      <c r="AP1378" s="944" t="s">
        <v>1746</v>
      </c>
      <c r="AQ1378" s="663" t="s">
        <v>668</v>
      </c>
      <c r="AR1378" s="658">
        <v>6.6649999999999999E-4</v>
      </c>
      <c r="AS1378" s="658">
        <v>6.6649999999999999E-4</v>
      </c>
      <c r="AT1378" s="658" t="s">
        <v>1417</v>
      </c>
      <c r="AU1378" s="658" t="s">
        <v>2751</v>
      </c>
      <c r="AX1378"/>
      <c r="AY1378"/>
      <c r="BA1378"/>
      <c r="BB1378"/>
      <c r="BC1378"/>
      <c r="BD1378"/>
      <c r="BE1378"/>
      <c r="BF1378"/>
      <c r="BG1378"/>
      <c r="BH1378"/>
      <c r="BI1378"/>
      <c r="BJ1378"/>
      <c r="BR1378"/>
      <c r="BS1378"/>
      <c r="BT1378"/>
      <c r="BU1378"/>
      <c r="BX1378"/>
      <c r="BY1378"/>
      <c r="CA1378"/>
    </row>
    <row r="1379" spans="2:79" ht="18.75">
      <c r="B1379" s="252" t="s">
        <v>1391</v>
      </c>
      <c r="C1379" s="251">
        <v>41395002000104</v>
      </c>
      <c r="D1379" s="252" t="s">
        <v>11</v>
      </c>
      <c r="E1379" s="252" t="s">
        <v>621</v>
      </c>
      <c r="F1379" s="252" t="s">
        <v>672</v>
      </c>
      <c r="G1379" s="253" t="s">
        <v>738</v>
      </c>
      <c r="H1379" s="253" t="s">
        <v>34</v>
      </c>
      <c r="I1379" s="253" t="s">
        <v>1417</v>
      </c>
      <c r="J1379" s="253" t="s">
        <v>608</v>
      </c>
      <c r="K1379" s="253" t="s">
        <v>48</v>
      </c>
      <c r="L1379" s="655"/>
      <c r="M1379" s="655" t="s">
        <v>1414</v>
      </c>
      <c r="N1379" s="253" t="s">
        <v>4024</v>
      </c>
      <c r="O1379" s="253" t="s">
        <v>1321</v>
      </c>
      <c r="P1379" s="656">
        <v>44376</v>
      </c>
      <c r="Q1379" s="657">
        <v>0</v>
      </c>
      <c r="R1379" s="657">
        <v>0</v>
      </c>
      <c r="S1379" s="253">
        <v>1</v>
      </c>
      <c r="T1379" s="658"/>
      <c r="U1379" s="659"/>
      <c r="V1379" s="658"/>
      <c r="W1379" s="659"/>
      <c r="X1379" s="658"/>
      <c r="Y1379" s="659"/>
      <c r="Z1379" s="658"/>
      <c r="AA1379" s="659"/>
      <c r="AB1379" s="658"/>
      <c r="AC1379" s="660"/>
      <c r="AD1379" s="682">
        <v>0</v>
      </c>
      <c r="AE1379" s="944" t="s">
        <v>1962</v>
      </c>
      <c r="AF1379" s="661" t="s">
        <v>1745</v>
      </c>
      <c r="AG1379" s="662" t="s">
        <v>1432</v>
      </c>
      <c r="AH1379" s="662" t="s">
        <v>1734</v>
      </c>
      <c r="AI1379" s="662">
        <v>0</v>
      </c>
      <c r="AJ1379" s="662">
        <v>0</v>
      </c>
      <c r="AK1379" s="662">
        <v>0</v>
      </c>
      <c r="AL1379" s="658">
        <v>3.0000000000000001E-3</v>
      </c>
      <c r="AM1379" s="658">
        <v>0</v>
      </c>
      <c r="AN1379" s="659" t="s">
        <v>636</v>
      </c>
      <c r="AO1379" s="253" t="s">
        <v>34</v>
      </c>
      <c r="AP1379" s="944" t="s">
        <v>1735</v>
      </c>
      <c r="AQ1379" s="663" t="s">
        <v>676</v>
      </c>
      <c r="AR1379" s="658">
        <v>6.6649999999999999E-4</v>
      </c>
      <c r="AS1379" s="658">
        <v>6.6649999999999999E-4</v>
      </c>
      <c r="AT1379" s="658" t="s">
        <v>1417</v>
      </c>
      <c r="AU1379" s="658" t="s">
        <v>2751</v>
      </c>
      <c r="AX1379"/>
      <c r="AY1379"/>
      <c r="BA1379"/>
      <c r="BB1379"/>
      <c r="BC1379"/>
      <c r="BD1379"/>
      <c r="BE1379"/>
      <c r="BF1379"/>
      <c r="BG1379"/>
      <c r="BH1379"/>
      <c r="BI1379"/>
      <c r="BJ1379"/>
      <c r="BR1379"/>
      <c r="BS1379"/>
      <c r="BT1379"/>
      <c r="BU1379"/>
      <c r="BX1379"/>
      <c r="BY1379"/>
      <c r="CA1379"/>
    </row>
    <row r="1380" spans="2:79" ht="18.75">
      <c r="B1380" s="252" t="s">
        <v>574</v>
      </c>
      <c r="C1380" s="251">
        <v>41360111000196</v>
      </c>
      <c r="D1380" s="252" t="s">
        <v>14</v>
      </c>
      <c r="E1380" s="252" t="s">
        <v>614</v>
      </c>
      <c r="F1380" s="252" t="s">
        <v>1417</v>
      </c>
      <c r="G1380" s="253" t="s">
        <v>1417</v>
      </c>
      <c r="H1380" s="253" t="s">
        <v>1338</v>
      </c>
      <c r="I1380" s="253" t="s">
        <v>34</v>
      </c>
      <c r="J1380" s="253" t="s">
        <v>608</v>
      </c>
      <c r="K1380" s="253" t="s">
        <v>48</v>
      </c>
      <c r="L1380" s="655"/>
      <c r="M1380" s="655" t="s">
        <v>34</v>
      </c>
      <c r="N1380" s="253" t="s">
        <v>4025</v>
      </c>
      <c r="O1380" s="253" t="s">
        <v>1321</v>
      </c>
      <c r="P1380" s="656">
        <v>44294</v>
      </c>
      <c r="Q1380" s="657">
        <v>79.195706509999994</v>
      </c>
      <c r="R1380" s="657">
        <v>75.43400647336037</v>
      </c>
      <c r="S1380" s="253">
        <v>32</v>
      </c>
      <c r="T1380" s="658">
        <v>-3.9250596772566593E-2</v>
      </c>
      <c r="U1380" s="659">
        <v>-1.9626888190104672</v>
      </c>
      <c r="V1380" s="658">
        <v>-0.10865600901430017</v>
      </c>
      <c r="W1380" s="659">
        <v>-0.84266104138202469</v>
      </c>
      <c r="X1380" s="658"/>
      <c r="Y1380" s="659"/>
      <c r="Z1380" s="658"/>
      <c r="AA1380" s="659"/>
      <c r="AB1380" s="658">
        <v>0.22524366038441282</v>
      </c>
      <c r="AC1380" s="660">
        <v>-1.0548572956752162</v>
      </c>
      <c r="AD1380" s="682">
        <v>41301308000154</v>
      </c>
      <c r="AE1380" s="944" t="s">
        <v>2055</v>
      </c>
      <c r="AF1380" s="661" t="s">
        <v>1767</v>
      </c>
      <c r="AG1380" s="662" t="s">
        <v>59</v>
      </c>
      <c r="AH1380" s="662" t="s">
        <v>1730</v>
      </c>
      <c r="AI1380" s="662">
        <v>20000</v>
      </c>
      <c r="AJ1380" s="662">
        <v>0</v>
      </c>
      <c r="AK1380" s="662">
        <v>0</v>
      </c>
      <c r="AL1380" s="658">
        <v>0</v>
      </c>
      <c r="AM1380" s="658">
        <v>0</v>
      </c>
      <c r="AN1380" s="659" t="s">
        <v>2141</v>
      </c>
      <c r="AO1380" s="253" t="s">
        <v>34</v>
      </c>
      <c r="AP1380" s="944" t="s">
        <v>1731</v>
      </c>
      <c r="AQ1380" s="663" t="s">
        <v>659</v>
      </c>
      <c r="AR1380" s="658">
        <v>6.6666666666666697E-3</v>
      </c>
      <c r="AS1380" s="658">
        <v>6.6666666666666697E-3</v>
      </c>
      <c r="AT1380" s="658" t="s">
        <v>1417</v>
      </c>
      <c r="AU1380" s="658" t="s">
        <v>2751</v>
      </c>
      <c r="AX1380"/>
      <c r="AY1380"/>
      <c r="BA1380"/>
      <c r="BB1380"/>
      <c r="BC1380"/>
      <c r="BD1380"/>
      <c r="BE1380"/>
      <c r="BF1380"/>
      <c r="BG1380"/>
      <c r="BH1380"/>
      <c r="BI1380"/>
      <c r="BJ1380"/>
      <c r="BR1380"/>
      <c r="BS1380"/>
      <c r="BT1380"/>
      <c r="BU1380"/>
      <c r="BX1380"/>
      <c r="BY1380"/>
      <c r="CA1380"/>
    </row>
    <row r="1381" spans="2:79" ht="18.75">
      <c r="B1381" s="252" t="s">
        <v>407</v>
      </c>
      <c r="C1381" s="251">
        <v>28581175000159</v>
      </c>
      <c r="D1381" s="252" t="s">
        <v>13</v>
      </c>
      <c r="E1381" s="252" t="s">
        <v>615</v>
      </c>
      <c r="F1381" s="252" t="s">
        <v>619</v>
      </c>
      <c r="G1381" s="253" t="s">
        <v>34</v>
      </c>
      <c r="H1381" s="253" t="s">
        <v>1338</v>
      </c>
      <c r="I1381" s="253" t="s">
        <v>34</v>
      </c>
      <c r="J1381" s="253" t="s">
        <v>1417</v>
      </c>
      <c r="K1381" s="253" t="s">
        <v>48</v>
      </c>
      <c r="L1381" s="655"/>
      <c r="M1381" s="655" t="s">
        <v>34</v>
      </c>
      <c r="N1381" s="253" t="s">
        <v>4026</v>
      </c>
      <c r="O1381" s="253" t="s">
        <v>1321</v>
      </c>
      <c r="P1381" s="656">
        <v>43223</v>
      </c>
      <c r="Q1381" s="657">
        <v>0</v>
      </c>
      <c r="R1381" s="657">
        <v>0</v>
      </c>
      <c r="S1381" s="253">
        <v>31</v>
      </c>
      <c r="T1381" s="658"/>
      <c r="U1381" s="659"/>
      <c r="V1381" s="658"/>
      <c r="W1381" s="659"/>
      <c r="X1381" s="658"/>
      <c r="Y1381" s="659"/>
      <c r="Z1381" s="658"/>
      <c r="AA1381" s="659"/>
      <c r="AB1381" s="658"/>
      <c r="AC1381" s="660"/>
      <c r="AD1381" s="682">
        <v>28653777000174</v>
      </c>
      <c r="AE1381" s="944" t="s">
        <v>2055</v>
      </c>
      <c r="AF1381" s="661" t="s">
        <v>1767</v>
      </c>
      <c r="AG1381" s="662" t="s">
        <v>59</v>
      </c>
      <c r="AH1381" s="662" t="s">
        <v>1734</v>
      </c>
      <c r="AI1381" s="662">
        <v>500</v>
      </c>
      <c r="AJ1381" s="662">
        <v>100</v>
      </c>
      <c r="AK1381" s="662">
        <v>100</v>
      </c>
      <c r="AL1381" s="658">
        <v>1.3999999999999999E-2</v>
      </c>
      <c r="AM1381" s="658">
        <v>0.2</v>
      </c>
      <c r="AN1381" s="659" t="s">
        <v>64</v>
      </c>
      <c r="AO1381" s="253" t="s">
        <v>34</v>
      </c>
      <c r="AP1381" s="944" t="s">
        <v>1746</v>
      </c>
      <c r="AQ1381" s="663" t="s">
        <v>664</v>
      </c>
      <c r="AR1381" s="658">
        <v>3.7333333333333298E-3</v>
      </c>
      <c r="AS1381" s="658">
        <v>3.7333333333333298E-3</v>
      </c>
      <c r="AT1381" s="658" t="s">
        <v>1417</v>
      </c>
      <c r="AU1381" s="658" t="s">
        <v>2751</v>
      </c>
      <c r="AX1381"/>
      <c r="AY1381"/>
      <c r="BA1381"/>
      <c r="BB1381"/>
      <c r="BC1381"/>
      <c r="BD1381"/>
      <c r="BE1381"/>
      <c r="BF1381"/>
      <c r="BG1381"/>
      <c r="BH1381"/>
      <c r="BI1381"/>
      <c r="BJ1381"/>
      <c r="BR1381"/>
      <c r="BS1381"/>
      <c r="BT1381"/>
      <c r="BU1381"/>
      <c r="BX1381"/>
      <c r="BY1381"/>
      <c r="CA1381"/>
    </row>
    <row r="1382" spans="2:79" ht="18.75">
      <c r="B1382" s="252" t="s">
        <v>1225</v>
      </c>
      <c r="C1382" s="251">
        <v>35471498000155</v>
      </c>
      <c r="D1382" s="252" t="s">
        <v>14</v>
      </c>
      <c r="E1382" s="252" t="s">
        <v>607</v>
      </c>
      <c r="F1382" s="252" t="s">
        <v>1317</v>
      </c>
      <c r="G1382" s="253" t="s">
        <v>1417</v>
      </c>
      <c r="H1382" s="253" t="s">
        <v>34</v>
      </c>
      <c r="I1382" s="253" t="s">
        <v>34</v>
      </c>
      <c r="J1382" s="253" t="s">
        <v>608</v>
      </c>
      <c r="K1382" s="253" t="s">
        <v>48</v>
      </c>
      <c r="L1382" s="655"/>
      <c r="M1382" s="655" t="s">
        <v>34</v>
      </c>
      <c r="N1382" s="253" t="s">
        <v>4029</v>
      </c>
      <c r="O1382" s="253" t="s">
        <v>1321</v>
      </c>
      <c r="P1382" s="656">
        <v>43898</v>
      </c>
      <c r="Q1382" s="657">
        <v>483.77971965</v>
      </c>
      <c r="R1382" s="657">
        <v>556.94026645104407</v>
      </c>
      <c r="S1382" s="253">
        <v>62</v>
      </c>
      <c r="T1382" s="658">
        <v>-9.1257140174375584E-3</v>
      </c>
      <c r="U1382" s="659">
        <v>-0.45632266360928997</v>
      </c>
      <c r="V1382" s="658">
        <v>0.11969727036587385</v>
      </c>
      <c r="W1382" s="659">
        <v>0.92828944677894742</v>
      </c>
      <c r="X1382" s="658">
        <v>0.41404366283990757</v>
      </c>
      <c r="Y1382" s="659">
        <v>2.1443290561380106</v>
      </c>
      <c r="Z1382" s="658"/>
      <c r="AA1382" s="659"/>
      <c r="AB1382" s="658">
        <v>0.21296211162895914</v>
      </c>
      <c r="AC1382" s="660">
        <v>-4.3419174472803808E-2</v>
      </c>
      <c r="AD1382" s="682">
        <v>29088425000186</v>
      </c>
      <c r="AE1382" s="944" t="s">
        <v>1959</v>
      </c>
      <c r="AF1382" s="661" t="s">
        <v>1745</v>
      </c>
      <c r="AG1382" s="662" t="s">
        <v>1432</v>
      </c>
      <c r="AH1382" s="662" t="s">
        <v>1734</v>
      </c>
      <c r="AI1382" s="662">
        <v>50</v>
      </c>
      <c r="AJ1382" s="662">
        <v>50</v>
      </c>
      <c r="AK1382" s="662">
        <v>30</v>
      </c>
      <c r="AL1382" s="658">
        <v>0.02</v>
      </c>
      <c r="AM1382" s="658">
        <v>0.2</v>
      </c>
      <c r="AN1382" s="659" t="s">
        <v>2160</v>
      </c>
      <c r="AO1382" s="253" t="s">
        <v>34</v>
      </c>
      <c r="AP1382" s="944" t="s">
        <v>1731</v>
      </c>
      <c r="AQ1382" s="663" t="s">
        <v>681</v>
      </c>
      <c r="AR1382" s="658">
        <v>5.3333333333333297E-3</v>
      </c>
      <c r="AS1382" s="658">
        <v>5.3333333333333297E-3</v>
      </c>
      <c r="AT1382" s="658" t="s">
        <v>1417</v>
      </c>
      <c r="AU1382" s="658" t="s">
        <v>2751</v>
      </c>
      <c r="AX1382"/>
      <c r="AY1382"/>
      <c r="BA1382"/>
      <c r="BB1382"/>
      <c r="BC1382"/>
      <c r="BD1382"/>
      <c r="BE1382"/>
      <c r="BF1382"/>
      <c r="BG1382"/>
      <c r="BH1382"/>
      <c r="BI1382"/>
      <c r="BJ1382"/>
      <c r="BR1382"/>
      <c r="BS1382"/>
      <c r="BT1382"/>
      <c r="BU1382"/>
      <c r="BX1382"/>
      <c r="BY1382"/>
      <c r="CA1382"/>
    </row>
    <row r="1383" spans="2:79" ht="18.75">
      <c r="B1383" s="252" t="s">
        <v>597</v>
      </c>
      <c r="C1383" s="251">
        <v>41574875000184</v>
      </c>
      <c r="D1383" s="252" t="s">
        <v>14</v>
      </c>
      <c r="E1383" s="252" t="s">
        <v>607</v>
      </c>
      <c r="F1383" s="252" t="s">
        <v>1417</v>
      </c>
      <c r="G1383" s="253" t="s">
        <v>1417</v>
      </c>
      <c r="H1383" s="253" t="s">
        <v>34</v>
      </c>
      <c r="I1383" s="253" t="s">
        <v>34</v>
      </c>
      <c r="J1383" s="253" t="s">
        <v>608</v>
      </c>
      <c r="K1383" s="253" t="s">
        <v>48</v>
      </c>
      <c r="L1383" s="655"/>
      <c r="M1383" s="655" t="s">
        <v>34</v>
      </c>
      <c r="N1383" s="253" t="s">
        <v>4030</v>
      </c>
      <c r="O1383" s="253" t="s">
        <v>1321</v>
      </c>
      <c r="P1383" s="656">
        <v>44336</v>
      </c>
      <c r="Q1383" s="657">
        <v>1.28633639</v>
      </c>
      <c r="R1383" s="657">
        <v>1.2674911013186809</v>
      </c>
      <c r="S1383" s="253">
        <v>92</v>
      </c>
      <c r="T1383" s="658">
        <v>-1.0841444891936169E-2</v>
      </c>
      <c r="U1383" s="659">
        <v>-0.54211615672028091</v>
      </c>
      <c r="V1383" s="658">
        <v>5.5583592288579231E-2</v>
      </c>
      <c r="W1383" s="659">
        <v>0.43106799326196227</v>
      </c>
      <c r="X1383" s="658"/>
      <c r="Y1383" s="659"/>
      <c r="Z1383" s="658"/>
      <c r="AA1383" s="659"/>
      <c r="AB1383" s="658">
        <v>0.21946780140032646</v>
      </c>
      <c r="AC1383" s="660">
        <v>-0.334264601413645</v>
      </c>
      <c r="AD1383" s="682">
        <v>29088425000186</v>
      </c>
      <c r="AE1383" s="944" t="s">
        <v>1959</v>
      </c>
      <c r="AF1383" s="661" t="s">
        <v>1745</v>
      </c>
      <c r="AG1383" s="662" t="s">
        <v>1432</v>
      </c>
      <c r="AH1383" s="662" t="s">
        <v>1734</v>
      </c>
      <c r="AI1383" s="662">
        <v>50</v>
      </c>
      <c r="AJ1383" s="662">
        <v>50</v>
      </c>
      <c r="AK1383" s="662">
        <v>30</v>
      </c>
      <c r="AL1383" s="658">
        <v>0.02</v>
      </c>
      <c r="AM1383" s="658">
        <v>0.2</v>
      </c>
      <c r="AN1383" s="659" t="s">
        <v>34</v>
      </c>
      <c r="AO1383" s="253" t="s">
        <v>34</v>
      </c>
      <c r="AP1383" s="944" t="s">
        <v>1731</v>
      </c>
      <c r="AQ1383" s="663" t="s">
        <v>681</v>
      </c>
      <c r="AR1383" s="658">
        <v>5.3333333333333297E-3</v>
      </c>
      <c r="AS1383" s="658">
        <v>5.3333333333333297E-3</v>
      </c>
      <c r="AT1383" s="658" t="s">
        <v>1417</v>
      </c>
      <c r="AU1383" s="658" t="s">
        <v>2751</v>
      </c>
      <c r="AX1383"/>
      <c r="AY1383"/>
      <c r="BA1383"/>
      <c r="BB1383"/>
      <c r="BC1383"/>
      <c r="BD1383"/>
      <c r="BE1383"/>
      <c r="BF1383"/>
      <c r="BG1383"/>
      <c r="BH1383"/>
      <c r="BI1383"/>
      <c r="BJ1383"/>
      <c r="BR1383"/>
      <c r="BS1383"/>
      <c r="BT1383"/>
      <c r="BU1383"/>
      <c r="BX1383"/>
      <c r="BY1383"/>
      <c r="CA1383"/>
    </row>
    <row r="1384" spans="2:79" ht="18.75">
      <c r="B1384" s="252" t="s">
        <v>598</v>
      </c>
      <c r="C1384" s="251">
        <v>42887842000157</v>
      </c>
      <c r="D1384" s="252" t="s">
        <v>14</v>
      </c>
      <c r="E1384" s="252" t="s">
        <v>607</v>
      </c>
      <c r="F1384" s="252" t="s">
        <v>1417</v>
      </c>
      <c r="G1384" s="253" t="s">
        <v>1417</v>
      </c>
      <c r="H1384" s="253" t="s">
        <v>34</v>
      </c>
      <c r="I1384" s="253" t="s">
        <v>34</v>
      </c>
      <c r="J1384" s="253" t="s">
        <v>608</v>
      </c>
      <c r="K1384" s="253" t="s">
        <v>48</v>
      </c>
      <c r="L1384" s="655"/>
      <c r="M1384" s="655" t="s">
        <v>34</v>
      </c>
      <c r="N1384" s="253" t="s">
        <v>4032</v>
      </c>
      <c r="O1384" s="253" t="s">
        <v>1321</v>
      </c>
      <c r="P1384" s="656">
        <v>44429</v>
      </c>
      <c r="Q1384" s="657">
        <v>28.78</v>
      </c>
      <c r="R1384" s="657">
        <v>31.689824561403519</v>
      </c>
      <c r="S1384" s="253">
        <v>32</v>
      </c>
      <c r="T1384" s="658">
        <v>-1.1102230246251565E-16</v>
      </c>
      <c r="U1384" s="659">
        <v>-5.5515648071948829E-15</v>
      </c>
      <c r="V1384" s="658">
        <v>1.5543122344752192E-15</v>
      </c>
      <c r="W1384" s="659">
        <v>1.2054173331208339E-14</v>
      </c>
      <c r="X1384" s="658"/>
      <c r="Y1384" s="659"/>
      <c r="Z1384" s="658"/>
      <c r="AA1384" s="659"/>
      <c r="AB1384" s="658">
        <v>0.20553669027396024</v>
      </c>
      <c r="AC1384" s="660">
        <v>-0.62735227114398517</v>
      </c>
      <c r="AD1384" s="682">
        <v>43104134000165</v>
      </c>
      <c r="AE1384" s="944" t="s">
        <v>1959</v>
      </c>
      <c r="AF1384" s="661" t="s">
        <v>1745</v>
      </c>
      <c r="AG1384" s="662" t="s">
        <v>1432</v>
      </c>
      <c r="AH1384" s="662" t="s">
        <v>1801</v>
      </c>
      <c r="AI1384" s="662">
        <v>50</v>
      </c>
      <c r="AJ1384" s="662">
        <v>50</v>
      </c>
      <c r="AK1384" s="662">
        <v>30</v>
      </c>
      <c r="AL1384" s="658">
        <v>0</v>
      </c>
      <c r="AM1384" s="658">
        <v>0</v>
      </c>
      <c r="AN1384" s="659" t="s">
        <v>34</v>
      </c>
      <c r="AO1384" s="253" t="s">
        <v>34</v>
      </c>
      <c r="AP1384" s="944" t="s">
        <v>1731</v>
      </c>
      <c r="AQ1384" s="663" t="s">
        <v>681</v>
      </c>
      <c r="AR1384" s="658">
        <v>5.3333333333333297E-3</v>
      </c>
      <c r="AS1384" s="658">
        <v>5.3333333333333297E-3</v>
      </c>
      <c r="AT1384" s="658" t="s">
        <v>1417</v>
      </c>
      <c r="AU1384" s="658" t="s">
        <v>2751</v>
      </c>
      <c r="AX1384"/>
      <c r="AY1384"/>
      <c r="BA1384"/>
      <c r="BB1384"/>
      <c r="BC1384"/>
      <c r="BD1384"/>
      <c r="BE1384"/>
      <c r="BF1384"/>
      <c r="BG1384"/>
      <c r="BH1384"/>
      <c r="BI1384"/>
      <c r="BJ1384"/>
      <c r="BR1384"/>
      <c r="BS1384"/>
      <c r="BT1384"/>
      <c r="BU1384"/>
      <c r="BX1384"/>
      <c r="BY1384"/>
      <c r="CA1384"/>
    </row>
    <row r="1385" spans="2:79" ht="18.75">
      <c r="B1385" s="252" t="s">
        <v>1227</v>
      </c>
      <c r="C1385" s="251">
        <v>40265153000185</v>
      </c>
      <c r="D1385" s="252" t="s">
        <v>14</v>
      </c>
      <c r="E1385" s="252" t="s">
        <v>607</v>
      </c>
      <c r="F1385" s="252" t="s">
        <v>1417</v>
      </c>
      <c r="G1385" s="253" t="s">
        <v>1417</v>
      </c>
      <c r="H1385" s="253" t="s">
        <v>34</v>
      </c>
      <c r="I1385" s="253" t="s">
        <v>34</v>
      </c>
      <c r="J1385" s="253" t="s">
        <v>608</v>
      </c>
      <c r="K1385" s="253" t="s">
        <v>48</v>
      </c>
      <c r="L1385" s="655"/>
      <c r="M1385" s="655" t="s">
        <v>34</v>
      </c>
      <c r="N1385" s="253" t="s">
        <v>4034</v>
      </c>
      <c r="O1385" s="253" t="s">
        <v>1321</v>
      </c>
      <c r="P1385" s="656">
        <v>44225</v>
      </c>
      <c r="Q1385" s="657">
        <v>22.974147689999999</v>
      </c>
      <c r="R1385" s="657">
        <v>27.355220108024188</v>
      </c>
      <c r="S1385" s="253">
        <v>32</v>
      </c>
      <c r="T1385" s="658">
        <v>-6.7080858737229243E-2</v>
      </c>
      <c r="U1385" s="659">
        <v>-3.3543146407700157</v>
      </c>
      <c r="V1385" s="658">
        <v>-1.5700117507779665E-2</v>
      </c>
      <c r="W1385" s="659">
        <v>-0.1217592794815848</v>
      </c>
      <c r="X1385" s="658">
        <v>0.20307014124487921</v>
      </c>
      <c r="Y1385" s="659">
        <v>1.0516987539882077</v>
      </c>
      <c r="Z1385" s="658"/>
      <c r="AA1385" s="659"/>
      <c r="AB1385" s="658">
        <v>0.20067382963693878</v>
      </c>
      <c r="AC1385" s="660">
        <v>-0.72079168078996414</v>
      </c>
      <c r="AD1385" s="682">
        <v>40265107000186</v>
      </c>
      <c r="AE1385" s="944" t="s">
        <v>1959</v>
      </c>
      <c r="AF1385" s="661" t="s">
        <v>1745</v>
      </c>
      <c r="AG1385" s="662" t="s">
        <v>1432</v>
      </c>
      <c r="AH1385" s="662" t="s">
        <v>1734</v>
      </c>
      <c r="AI1385" s="662">
        <v>50</v>
      </c>
      <c r="AJ1385" s="662">
        <v>50</v>
      </c>
      <c r="AK1385" s="662">
        <v>30</v>
      </c>
      <c r="AL1385" s="658">
        <v>0.02</v>
      </c>
      <c r="AM1385" s="658">
        <v>0.2</v>
      </c>
      <c r="AN1385" s="659" t="s">
        <v>34</v>
      </c>
      <c r="AO1385" s="253" t="s">
        <v>34</v>
      </c>
      <c r="AP1385" s="944" t="s">
        <v>1731</v>
      </c>
      <c r="AQ1385" s="663" t="s">
        <v>659</v>
      </c>
      <c r="AR1385" s="658">
        <v>5.3333333333333297E-3</v>
      </c>
      <c r="AS1385" s="658">
        <v>5.3333333333333297E-3</v>
      </c>
      <c r="AT1385" s="658" t="s">
        <v>1417</v>
      </c>
      <c r="AU1385" s="658" t="s">
        <v>2751</v>
      </c>
      <c r="AX1385"/>
      <c r="AY1385"/>
      <c r="BA1385"/>
      <c r="BB1385"/>
      <c r="BC1385"/>
      <c r="BD1385"/>
      <c r="BE1385"/>
      <c r="BF1385"/>
      <c r="BG1385"/>
      <c r="BH1385"/>
      <c r="BI1385"/>
      <c r="BJ1385"/>
      <c r="BR1385"/>
      <c r="BS1385"/>
      <c r="BT1385"/>
      <c r="BU1385"/>
      <c r="BX1385"/>
      <c r="BY1385"/>
      <c r="CA1385"/>
    </row>
    <row r="1386" spans="2:79" ht="18.75">
      <c r="B1386" s="252" t="s">
        <v>1308</v>
      </c>
      <c r="C1386" s="251">
        <v>46521638000179</v>
      </c>
      <c r="D1386" s="252" t="s">
        <v>11</v>
      </c>
      <c r="E1386" s="252" t="s">
        <v>620</v>
      </c>
      <c r="F1386" s="252" t="s">
        <v>663</v>
      </c>
      <c r="G1386" s="253" t="s">
        <v>738</v>
      </c>
      <c r="H1386" s="253" t="s">
        <v>34</v>
      </c>
      <c r="I1386" s="253" t="s">
        <v>1417</v>
      </c>
      <c r="J1386" s="253" t="s">
        <v>608</v>
      </c>
      <c r="K1386" s="253" t="s">
        <v>48</v>
      </c>
      <c r="L1386" s="655"/>
      <c r="M1386" s="655" t="s">
        <v>34</v>
      </c>
      <c r="N1386" s="253" t="s">
        <v>4035</v>
      </c>
      <c r="O1386" s="253" t="s">
        <v>1321</v>
      </c>
      <c r="P1386" s="656">
        <v>44742</v>
      </c>
      <c r="Q1386" s="657"/>
      <c r="R1386" s="657"/>
      <c r="S1386" s="253">
        <v>31</v>
      </c>
      <c r="T1386" s="658"/>
      <c r="U1386" s="659"/>
      <c r="V1386" s="658"/>
      <c r="W1386" s="659"/>
      <c r="X1386" s="658"/>
      <c r="Y1386" s="659"/>
      <c r="Z1386" s="658"/>
      <c r="AA1386" s="659"/>
      <c r="AB1386" s="658"/>
      <c r="AC1386" s="660"/>
      <c r="AD1386" s="682">
        <v>46539828000113</v>
      </c>
      <c r="AE1386" s="944" t="s">
        <v>2629</v>
      </c>
      <c r="AF1386" s="661" t="s">
        <v>1745</v>
      </c>
      <c r="AG1386" s="662" t="s">
        <v>1432</v>
      </c>
      <c r="AH1386" s="662" t="s">
        <v>1734</v>
      </c>
      <c r="AI1386" s="662">
        <v>50</v>
      </c>
      <c r="AJ1386" s="662">
        <v>50</v>
      </c>
      <c r="AK1386" s="662">
        <v>30</v>
      </c>
      <c r="AL1386" s="658">
        <v>0.01</v>
      </c>
      <c r="AM1386" s="658">
        <v>0.2</v>
      </c>
      <c r="AN1386" s="659" t="s">
        <v>2127</v>
      </c>
      <c r="AO1386" s="253" t="s">
        <v>34</v>
      </c>
      <c r="AP1386" s="944" t="s">
        <v>1746</v>
      </c>
      <c r="AQ1386" s="663" t="s">
        <v>668</v>
      </c>
      <c r="AR1386" s="658">
        <v>2.66666666666667E-3</v>
      </c>
      <c r="AS1386" s="658">
        <v>2.66666666666667E-3</v>
      </c>
      <c r="AT1386" s="658" t="s">
        <v>1417</v>
      </c>
      <c r="AU1386" s="658" t="s">
        <v>2751</v>
      </c>
      <c r="AX1386"/>
      <c r="AY1386"/>
      <c r="BA1386"/>
      <c r="BB1386"/>
      <c r="BC1386"/>
      <c r="BD1386"/>
      <c r="BE1386"/>
      <c r="BF1386"/>
      <c r="BG1386"/>
      <c r="BH1386"/>
      <c r="BI1386"/>
      <c r="BJ1386"/>
      <c r="BR1386"/>
      <c r="BS1386"/>
      <c r="BT1386"/>
      <c r="BU1386"/>
      <c r="BX1386"/>
      <c r="BY1386"/>
      <c r="CA1386"/>
    </row>
    <row r="1387" spans="2:79" ht="18.75">
      <c r="B1387" s="252" t="s">
        <v>408</v>
      </c>
      <c r="C1387" s="251">
        <v>36492413000188</v>
      </c>
      <c r="D1387" s="252" t="s">
        <v>14</v>
      </c>
      <c r="E1387" s="252" t="s">
        <v>607</v>
      </c>
      <c r="F1387" s="252" t="s">
        <v>1417</v>
      </c>
      <c r="G1387" s="253" t="s">
        <v>1417</v>
      </c>
      <c r="H1387" s="253" t="s">
        <v>34</v>
      </c>
      <c r="I1387" s="253" t="s">
        <v>34</v>
      </c>
      <c r="J1387" s="253" t="s">
        <v>608</v>
      </c>
      <c r="K1387" s="253" t="s">
        <v>48</v>
      </c>
      <c r="L1387" s="655"/>
      <c r="M1387" s="655" t="s">
        <v>1414</v>
      </c>
      <c r="N1387" s="253" t="s">
        <v>4037</v>
      </c>
      <c r="O1387" s="253" t="s">
        <v>1321</v>
      </c>
      <c r="P1387" s="656">
        <v>43939</v>
      </c>
      <c r="Q1387" s="657">
        <v>138.63786517</v>
      </c>
      <c r="R1387" s="657">
        <v>145.54195919572575</v>
      </c>
      <c r="S1387" s="253">
        <v>3</v>
      </c>
      <c r="T1387" s="658">
        <v>-1.3018937798929819E-2</v>
      </c>
      <c r="U1387" s="659">
        <v>-0.65099962177419524</v>
      </c>
      <c r="V1387" s="658">
        <v>-0.12502915032089501</v>
      </c>
      <c r="W1387" s="659">
        <v>-0.96963982911105351</v>
      </c>
      <c r="X1387" s="658">
        <v>-0.21261124803663423</v>
      </c>
      <c r="Y1387" s="659">
        <v>-1.101112075232993</v>
      </c>
      <c r="Z1387" s="658"/>
      <c r="AA1387" s="659"/>
      <c r="AB1387" s="658">
        <v>0.21951414471578357</v>
      </c>
      <c r="AC1387" s="660">
        <v>-1.1569781077047019</v>
      </c>
      <c r="AD1387" s="682">
        <v>36247991000159</v>
      </c>
      <c r="AE1387" s="944" t="s">
        <v>2014</v>
      </c>
      <c r="AF1387" s="661" t="s">
        <v>1745</v>
      </c>
      <c r="AG1387" s="662" t="s">
        <v>1432</v>
      </c>
      <c r="AH1387" s="662" t="s">
        <v>1734</v>
      </c>
      <c r="AI1387" s="662">
        <v>1000</v>
      </c>
      <c r="AJ1387" s="662">
        <v>500</v>
      </c>
      <c r="AK1387" s="662">
        <v>0</v>
      </c>
      <c r="AL1387" s="658">
        <v>1.4999999999999999E-2</v>
      </c>
      <c r="AM1387" s="658">
        <v>0.2</v>
      </c>
      <c r="AN1387" s="659" t="s">
        <v>34</v>
      </c>
      <c r="AO1387" s="253" t="s">
        <v>34</v>
      </c>
      <c r="AP1387" s="944" t="s">
        <v>1731</v>
      </c>
      <c r="AQ1387" s="663" t="s">
        <v>659</v>
      </c>
      <c r="AR1387" s="658">
        <v>3.0000000000000001E-3</v>
      </c>
      <c r="AS1387" s="658">
        <v>3.0000000000000001E-3</v>
      </c>
      <c r="AT1387" s="658" t="s">
        <v>1417</v>
      </c>
      <c r="AU1387" s="658" t="s">
        <v>2751</v>
      </c>
      <c r="AX1387"/>
      <c r="AY1387"/>
      <c r="BA1387"/>
      <c r="BB1387"/>
      <c r="BC1387"/>
      <c r="BD1387"/>
      <c r="BE1387"/>
      <c r="BF1387"/>
      <c r="BG1387"/>
      <c r="BH1387"/>
      <c r="BI1387"/>
      <c r="BJ1387"/>
      <c r="BR1387"/>
      <c r="BS1387"/>
      <c r="BT1387"/>
      <c r="BU1387"/>
      <c r="BX1387"/>
      <c r="BY1387"/>
      <c r="CA1387"/>
    </row>
    <row r="1388" spans="2:79" ht="18.75">
      <c r="B1388" s="252" t="s">
        <v>409</v>
      </c>
      <c r="C1388" s="251">
        <v>31951995000108</v>
      </c>
      <c r="D1388" s="252" t="s">
        <v>13</v>
      </c>
      <c r="E1388" s="252" t="s">
        <v>615</v>
      </c>
      <c r="F1388" s="252" t="s">
        <v>619</v>
      </c>
      <c r="G1388" s="253" t="s">
        <v>34</v>
      </c>
      <c r="H1388" s="253" t="s">
        <v>1337</v>
      </c>
      <c r="I1388" s="253" t="s">
        <v>34</v>
      </c>
      <c r="J1388" s="253" t="s">
        <v>1417</v>
      </c>
      <c r="K1388" s="253" t="s">
        <v>48</v>
      </c>
      <c r="L1388" s="655"/>
      <c r="M1388" s="655" t="s">
        <v>1414</v>
      </c>
      <c r="N1388" s="253" t="s">
        <v>4038</v>
      </c>
      <c r="O1388" s="253" t="s">
        <v>1321</v>
      </c>
      <c r="P1388" s="656">
        <v>43439</v>
      </c>
      <c r="Q1388" s="657">
        <v>38.545387550000001</v>
      </c>
      <c r="R1388" s="657">
        <v>39.403133355120971</v>
      </c>
      <c r="S1388" s="253">
        <v>3</v>
      </c>
      <c r="T1388" s="658">
        <v>-2.6929112545953537E-2</v>
      </c>
      <c r="U1388" s="659">
        <v>-1.3465647008138832</v>
      </c>
      <c r="V1388" s="658">
        <v>2.2916684477893634E-2</v>
      </c>
      <c r="W1388" s="659">
        <v>0.17772599400943964</v>
      </c>
      <c r="X1388" s="658">
        <v>7.5557208428900235E-2</v>
      </c>
      <c r="Y1388" s="659">
        <v>0.39131022154398332</v>
      </c>
      <c r="Z1388" s="658">
        <v>2.9721472975108298E-4</v>
      </c>
      <c r="AA1388" s="659">
        <v>1.3420068378150903E-3</v>
      </c>
      <c r="AB1388" s="658">
        <v>6.9462901037984845E-2</v>
      </c>
      <c r="AC1388" s="660">
        <v>-1.5263863642970392</v>
      </c>
      <c r="AD1388" s="682">
        <v>0</v>
      </c>
      <c r="AE1388" s="944" t="s">
        <v>1970</v>
      </c>
      <c r="AF1388" s="661" t="s">
        <v>1745</v>
      </c>
      <c r="AG1388" s="662" t="s">
        <v>1432</v>
      </c>
      <c r="AH1388" s="662" t="s">
        <v>1734</v>
      </c>
      <c r="AI1388" s="662">
        <v>1000</v>
      </c>
      <c r="AJ1388" s="662">
        <v>1000</v>
      </c>
      <c r="AK1388" s="662">
        <v>1000</v>
      </c>
      <c r="AL1388" s="658">
        <v>0.02</v>
      </c>
      <c r="AM1388" s="658">
        <v>0.2</v>
      </c>
      <c r="AN1388" s="659" t="s">
        <v>34</v>
      </c>
      <c r="AO1388" s="253" t="s">
        <v>34</v>
      </c>
      <c r="AP1388" s="944" t="s">
        <v>1746</v>
      </c>
      <c r="AQ1388" s="663" t="s">
        <v>664</v>
      </c>
      <c r="AR1388" s="658">
        <v>2.66666666666667E-3</v>
      </c>
      <c r="AS1388" s="658">
        <v>2.66666666666667E-3</v>
      </c>
      <c r="AT1388" s="658" t="s">
        <v>1417</v>
      </c>
      <c r="AU1388" s="658" t="s">
        <v>2751</v>
      </c>
      <c r="AX1388"/>
      <c r="AY1388"/>
      <c r="BA1388"/>
      <c r="BB1388"/>
      <c r="BC1388"/>
      <c r="BD1388"/>
      <c r="BE1388"/>
      <c r="BF1388"/>
      <c r="BG1388"/>
      <c r="BH1388"/>
      <c r="BI1388"/>
      <c r="BJ1388"/>
      <c r="BR1388"/>
      <c r="BS1388"/>
      <c r="BT1388"/>
      <c r="BU1388"/>
      <c r="BX1388"/>
      <c r="BY1388"/>
      <c r="CA1388"/>
    </row>
    <row r="1389" spans="2:79" ht="18.75">
      <c r="B1389" s="252" t="s">
        <v>410</v>
      </c>
      <c r="C1389" s="251">
        <v>31907986000101</v>
      </c>
      <c r="D1389" s="252" t="s">
        <v>14</v>
      </c>
      <c r="E1389" s="252" t="s">
        <v>607</v>
      </c>
      <c r="F1389" s="252" t="s">
        <v>1417</v>
      </c>
      <c r="G1389" s="253" t="s">
        <v>1417</v>
      </c>
      <c r="H1389" s="253" t="s">
        <v>34</v>
      </c>
      <c r="I1389" s="253" t="s">
        <v>34</v>
      </c>
      <c r="J1389" s="253" t="s">
        <v>608</v>
      </c>
      <c r="K1389" s="253" t="s">
        <v>48</v>
      </c>
      <c r="L1389" s="655"/>
      <c r="M1389" s="655" t="s">
        <v>1414</v>
      </c>
      <c r="N1389" s="253" t="s">
        <v>4039</v>
      </c>
      <c r="O1389" s="253" t="s">
        <v>1321</v>
      </c>
      <c r="P1389" s="656">
        <v>43439</v>
      </c>
      <c r="Q1389" s="657">
        <v>3.5531850899999999</v>
      </c>
      <c r="R1389" s="657">
        <v>3.5805994240322558</v>
      </c>
      <c r="S1389" s="253">
        <v>3</v>
      </c>
      <c r="T1389" s="658">
        <v>-7.4566011447099401E-2</v>
      </c>
      <c r="U1389" s="659">
        <v>-3.7286025940812388</v>
      </c>
      <c r="V1389" s="658">
        <v>-0.25896589803990711</v>
      </c>
      <c r="W1389" s="659">
        <v>-2.0083608380648279</v>
      </c>
      <c r="X1389" s="658">
        <v>-0.28300390566947642</v>
      </c>
      <c r="Y1389" s="659">
        <v>-1.4656751265439423</v>
      </c>
      <c r="Z1389" s="658">
        <v>-0.30807967476290721</v>
      </c>
      <c r="AA1389" s="659">
        <v>-1.3910650742980684</v>
      </c>
      <c r="AB1389" s="658">
        <v>0.28735167366926939</v>
      </c>
      <c r="AC1389" s="660">
        <v>-1.349947966313795</v>
      </c>
      <c r="AD1389" s="682">
        <v>0</v>
      </c>
      <c r="AE1389" s="944" t="s">
        <v>1970</v>
      </c>
      <c r="AF1389" s="661" t="s">
        <v>1745</v>
      </c>
      <c r="AG1389" s="662" t="s">
        <v>1432</v>
      </c>
      <c r="AH1389" s="662" t="s">
        <v>1734</v>
      </c>
      <c r="AI1389" s="662">
        <v>1000</v>
      </c>
      <c r="AJ1389" s="662">
        <v>1000</v>
      </c>
      <c r="AK1389" s="662">
        <v>1000</v>
      </c>
      <c r="AL1389" s="658">
        <v>0.02</v>
      </c>
      <c r="AM1389" s="658">
        <v>0.2</v>
      </c>
      <c r="AN1389" s="659" t="s">
        <v>34</v>
      </c>
      <c r="AO1389" s="253" t="s">
        <v>34</v>
      </c>
      <c r="AP1389" s="944" t="s">
        <v>1731</v>
      </c>
      <c r="AQ1389" s="663" t="s">
        <v>659</v>
      </c>
      <c r="AR1389" s="658">
        <v>2.66666666666667E-3</v>
      </c>
      <c r="AS1389" s="658">
        <v>2.66666666666667E-3</v>
      </c>
      <c r="AT1389" s="658" t="s">
        <v>1417</v>
      </c>
      <c r="AU1389" s="658" t="s">
        <v>2751</v>
      </c>
      <c r="AX1389"/>
      <c r="AY1389"/>
      <c r="BA1389"/>
      <c r="BB1389"/>
      <c r="BC1389"/>
      <c r="BD1389"/>
      <c r="BE1389"/>
      <c r="BF1389"/>
      <c r="BG1389"/>
      <c r="BH1389"/>
      <c r="BI1389"/>
      <c r="BJ1389"/>
      <c r="BR1389"/>
      <c r="BS1389"/>
      <c r="BT1389"/>
      <c r="BU1389"/>
      <c r="BX1389"/>
      <c r="BY1389"/>
      <c r="CA1389"/>
    </row>
    <row r="1390" spans="2:79" ht="18.75">
      <c r="B1390" s="252" t="s">
        <v>1229</v>
      </c>
      <c r="C1390" s="251">
        <v>5382556000103</v>
      </c>
      <c r="D1390" s="252" t="s">
        <v>14</v>
      </c>
      <c r="E1390" s="252" t="s">
        <v>607</v>
      </c>
      <c r="F1390" s="252" t="s">
        <v>1417</v>
      </c>
      <c r="G1390" s="253" t="s">
        <v>1417</v>
      </c>
      <c r="H1390" s="253" t="s">
        <v>34</v>
      </c>
      <c r="I1390" s="253" t="s">
        <v>34</v>
      </c>
      <c r="J1390" s="253" t="s">
        <v>608</v>
      </c>
      <c r="K1390" s="253" t="s">
        <v>48</v>
      </c>
      <c r="L1390" s="655"/>
      <c r="M1390" s="655" t="s">
        <v>34</v>
      </c>
      <c r="N1390" s="253" t="s">
        <v>4040</v>
      </c>
      <c r="O1390" s="253" t="s">
        <v>1321</v>
      </c>
      <c r="P1390" s="656">
        <v>38540</v>
      </c>
      <c r="Q1390" s="657">
        <v>17.110624999999999</v>
      </c>
      <c r="R1390" s="657">
        <v>21.325751787148594</v>
      </c>
      <c r="S1390" s="253">
        <v>32</v>
      </c>
      <c r="T1390" s="658">
        <v>-1.3214210267851967E-2</v>
      </c>
      <c r="U1390" s="659">
        <v>-0.66076403615074142</v>
      </c>
      <c r="V1390" s="658">
        <v>-0.1997475975212154</v>
      </c>
      <c r="W1390" s="659">
        <v>-1.5491045554473886</v>
      </c>
      <c r="X1390" s="658">
        <v>-0.36108374974443713</v>
      </c>
      <c r="Y1390" s="659">
        <v>-1.8700500593717415</v>
      </c>
      <c r="Z1390" s="658">
        <v>-0.3408766224976103</v>
      </c>
      <c r="AA1390" s="659">
        <v>-1.539152378572312</v>
      </c>
      <c r="AB1390" s="658">
        <v>0.27562115136670423</v>
      </c>
      <c r="AC1390" s="660">
        <v>-1.1925481964578666</v>
      </c>
      <c r="AD1390" s="682">
        <v>0</v>
      </c>
      <c r="AE1390" s="944" t="s">
        <v>1773</v>
      </c>
      <c r="AF1390" s="661" t="s">
        <v>1745</v>
      </c>
      <c r="AG1390" s="662" t="s">
        <v>1432</v>
      </c>
      <c r="AH1390" s="662" t="s">
        <v>1734</v>
      </c>
      <c r="AI1390" s="662">
        <v>1000</v>
      </c>
      <c r="AJ1390" s="662">
        <v>100</v>
      </c>
      <c r="AK1390" s="662">
        <v>100</v>
      </c>
      <c r="AL1390" s="658">
        <v>0.02</v>
      </c>
      <c r="AM1390" s="658">
        <v>0.2</v>
      </c>
      <c r="AN1390" s="659" t="s">
        <v>666</v>
      </c>
      <c r="AO1390" s="253" t="s">
        <v>34</v>
      </c>
      <c r="AP1390" s="944" t="s">
        <v>1731</v>
      </c>
      <c r="AQ1390" s="663" t="s">
        <v>659</v>
      </c>
      <c r="AR1390" s="658">
        <v>4.0000000000000001E-3</v>
      </c>
      <c r="AS1390" s="658">
        <v>4.0000000000000001E-3</v>
      </c>
      <c r="AT1390" s="658" t="s">
        <v>1417</v>
      </c>
      <c r="AU1390" s="658" t="s">
        <v>2751</v>
      </c>
      <c r="AX1390"/>
      <c r="AY1390"/>
      <c r="BA1390"/>
      <c r="BB1390"/>
      <c r="BC1390"/>
      <c r="BD1390"/>
      <c r="BE1390"/>
      <c r="BF1390"/>
      <c r="BG1390"/>
      <c r="BH1390"/>
      <c r="BI1390"/>
      <c r="BJ1390"/>
      <c r="BR1390"/>
      <c r="BS1390"/>
      <c r="BT1390"/>
      <c r="BU1390"/>
      <c r="BX1390"/>
      <c r="BY1390"/>
      <c r="CA1390"/>
    </row>
    <row r="1391" spans="2:79" ht="18.75">
      <c r="B1391" s="252" t="s">
        <v>1230</v>
      </c>
      <c r="C1391" s="251">
        <v>31533459000184</v>
      </c>
      <c r="D1391" s="252" t="s">
        <v>13</v>
      </c>
      <c r="E1391" s="252" t="s">
        <v>615</v>
      </c>
      <c r="F1391" s="252" t="s">
        <v>619</v>
      </c>
      <c r="G1391" s="253" t="s">
        <v>34</v>
      </c>
      <c r="H1391" s="253" t="s">
        <v>1337</v>
      </c>
      <c r="I1391" s="253" t="s">
        <v>34</v>
      </c>
      <c r="J1391" s="253" t="s">
        <v>1417</v>
      </c>
      <c r="K1391" s="253" t="s">
        <v>48</v>
      </c>
      <c r="L1391" s="655"/>
      <c r="M1391" s="655" t="s">
        <v>34</v>
      </c>
      <c r="N1391" s="253" t="s">
        <v>4041</v>
      </c>
      <c r="O1391" s="253" t="s">
        <v>1321</v>
      </c>
      <c r="P1391" s="656">
        <v>43412</v>
      </c>
      <c r="Q1391" s="657">
        <v>40.25014745</v>
      </c>
      <c r="R1391" s="657">
        <v>84.410016479032279</v>
      </c>
      <c r="S1391" s="253">
        <v>3</v>
      </c>
      <c r="T1391" s="658">
        <v>-4.8943257383714522E-3</v>
      </c>
      <c r="U1391" s="659">
        <v>-0.24473611086623642</v>
      </c>
      <c r="V1391" s="658">
        <v>9.0599482518023189E-2</v>
      </c>
      <c r="W1391" s="659">
        <v>0.70262707953190406</v>
      </c>
      <c r="X1391" s="658">
        <v>0.15008439442830745</v>
      </c>
      <c r="Y1391" s="659">
        <v>0.77728596457213495</v>
      </c>
      <c r="Z1391" s="658">
        <v>0.19094575124067803</v>
      </c>
      <c r="AA1391" s="659">
        <v>0.86217296172144187</v>
      </c>
      <c r="AB1391" s="658">
        <v>2.1469815453857882E-2</v>
      </c>
      <c r="AC1391" s="660">
        <v>-1.785969097460272</v>
      </c>
      <c r="AD1391" s="682">
        <v>0</v>
      </c>
      <c r="AE1391" s="944" t="s">
        <v>1773</v>
      </c>
      <c r="AF1391" s="661" t="s">
        <v>1745</v>
      </c>
      <c r="AG1391" s="662" t="s">
        <v>1432</v>
      </c>
      <c r="AH1391" s="662" t="s">
        <v>1734</v>
      </c>
      <c r="AI1391" s="662">
        <v>1000</v>
      </c>
      <c r="AJ1391" s="662">
        <v>1000</v>
      </c>
      <c r="AK1391" s="662">
        <v>1000</v>
      </c>
      <c r="AL1391" s="658">
        <v>0.02</v>
      </c>
      <c r="AM1391" s="658">
        <v>0.2</v>
      </c>
      <c r="AN1391" s="659" t="s">
        <v>64</v>
      </c>
      <c r="AO1391" s="253" t="s">
        <v>34</v>
      </c>
      <c r="AP1391" s="944" t="s">
        <v>1746</v>
      </c>
      <c r="AQ1391" s="663" t="s">
        <v>668</v>
      </c>
      <c r="AR1391" s="658">
        <v>4.0000000000000001E-3</v>
      </c>
      <c r="AS1391" s="658">
        <v>4.0000000000000001E-3</v>
      </c>
      <c r="AT1391" s="658" t="s">
        <v>1417</v>
      </c>
      <c r="AU1391" s="658" t="s">
        <v>2751</v>
      </c>
      <c r="AX1391"/>
      <c r="AY1391"/>
      <c r="BA1391"/>
      <c r="BB1391"/>
      <c r="BC1391"/>
      <c r="BD1391"/>
      <c r="BE1391"/>
      <c r="BF1391"/>
      <c r="BG1391"/>
      <c r="BH1391"/>
      <c r="BI1391"/>
      <c r="BJ1391"/>
      <c r="BR1391"/>
      <c r="BS1391"/>
      <c r="BT1391"/>
      <c r="BU1391"/>
      <c r="BX1391"/>
      <c r="BY1391"/>
      <c r="CA1391"/>
    </row>
    <row r="1392" spans="2:79" ht="18.75">
      <c r="B1392" s="252" t="s">
        <v>1231</v>
      </c>
      <c r="C1392" s="251">
        <v>37504085000155</v>
      </c>
      <c r="D1392" s="252" t="s">
        <v>13</v>
      </c>
      <c r="E1392" s="252" t="s">
        <v>616</v>
      </c>
      <c r="F1392" s="252" t="s">
        <v>619</v>
      </c>
      <c r="G1392" s="253" t="s">
        <v>34</v>
      </c>
      <c r="H1392" s="253" t="s">
        <v>1338</v>
      </c>
      <c r="I1392" s="253" t="s">
        <v>34</v>
      </c>
      <c r="J1392" s="253" t="s">
        <v>611</v>
      </c>
      <c r="K1392" s="253" t="s">
        <v>49</v>
      </c>
      <c r="L1392" s="655"/>
      <c r="M1392" s="655" t="s">
        <v>34</v>
      </c>
      <c r="N1392" s="253" t="s">
        <v>4042</v>
      </c>
      <c r="O1392" s="253" t="s">
        <v>1321</v>
      </c>
      <c r="P1392" s="656">
        <v>44048</v>
      </c>
      <c r="Q1392" s="657">
        <v>1.26147878</v>
      </c>
      <c r="R1392" s="657">
        <v>1.011244995</v>
      </c>
      <c r="S1392" s="253">
        <v>6</v>
      </c>
      <c r="T1392" s="658">
        <v>0.10216906953417881</v>
      </c>
      <c r="U1392" s="659">
        <v>5.1088673016964004</v>
      </c>
      <c r="V1392" s="658">
        <v>-0.13955165744149733</v>
      </c>
      <c r="W1392" s="659">
        <v>-1.082266374892926</v>
      </c>
      <c r="X1392" s="658">
        <v>-0.27300840000000148</v>
      </c>
      <c r="Y1392" s="659">
        <v>-1.4139084768847376</v>
      </c>
      <c r="Z1392" s="658"/>
      <c r="AA1392" s="659"/>
      <c r="AB1392" s="658">
        <v>0.32650642122292961</v>
      </c>
      <c r="AC1392" s="660">
        <v>-0.82232859581332485</v>
      </c>
      <c r="AD1392" s="682">
        <v>37843206000193</v>
      </c>
      <c r="AE1392" s="944" t="s">
        <v>1747</v>
      </c>
      <c r="AF1392" s="661" t="s">
        <v>1745</v>
      </c>
      <c r="AG1392" s="662" t="s">
        <v>1432</v>
      </c>
      <c r="AH1392" s="662" t="s">
        <v>1730</v>
      </c>
      <c r="AI1392" s="662">
        <v>5000</v>
      </c>
      <c r="AJ1392" s="662">
        <v>5000</v>
      </c>
      <c r="AK1392" s="662">
        <v>5000</v>
      </c>
      <c r="AL1392" s="658">
        <v>0.01</v>
      </c>
      <c r="AM1392" s="658">
        <v>0</v>
      </c>
      <c r="AN1392" s="659" t="s">
        <v>34</v>
      </c>
      <c r="AO1392" s="253" t="s">
        <v>34</v>
      </c>
      <c r="AP1392" s="944" t="s">
        <v>1746</v>
      </c>
      <c r="AQ1392" s="663" t="s">
        <v>679</v>
      </c>
      <c r="AR1392" s="658">
        <v>6.6666666666666697E-3</v>
      </c>
      <c r="AS1392" s="658">
        <v>6.6666666666666697E-3</v>
      </c>
      <c r="AT1392" s="658" t="s">
        <v>1417</v>
      </c>
      <c r="AU1392" s="658" t="s">
        <v>2751</v>
      </c>
      <c r="AX1392"/>
      <c r="AY1392"/>
      <c r="BA1392"/>
      <c r="BB1392"/>
      <c r="BC1392"/>
      <c r="BD1392"/>
      <c r="BE1392"/>
      <c r="BF1392"/>
      <c r="BG1392"/>
      <c r="BH1392"/>
      <c r="BI1392"/>
      <c r="BJ1392"/>
      <c r="BR1392"/>
      <c r="BS1392"/>
      <c r="BT1392"/>
      <c r="BU1392"/>
      <c r="BX1392"/>
      <c r="BY1392"/>
      <c r="CA1392"/>
    </row>
    <row r="1393" spans="2:108" ht="18.75">
      <c r="B1393" s="252" t="s">
        <v>412</v>
      </c>
      <c r="C1393" s="251">
        <v>26262377000102</v>
      </c>
      <c r="D1393" s="252" t="s">
        <v>13</v>
      </c>
      <c r="E1393" s="252" t="s">
        <v>616</v>
      </c>
      <c r="F1393" s="252" t="s">
        <v>617</v>
      </c>
      <c r="G1393" s="253" t="s">
        <v>34</v>
      </c>
      <c r="H1393" s="253" t="s">
        <v>1338</v>
      </c>
      <c r="I1393" s="253" t="s">
        <v>34</v>
      </c>
      <c r="J1393" s="253" t="s">
        <v>608</v>
      </c>
      <c r="K1393" s="253" t="s">
        <v>48</v>
      </c>
      <c r="L1393" s="655"/>
      <c r="M1393" s="655" t="s">
        <v>34</v>
      </c>
      <c r="N1393" s="253" t="s">
        <v>4044</v>
      </c>
      <c r="O1393" s="253" t="s">
        <v>1324</v>
      </c>
      <c r="P1393" s="656">
        <v>42890</v>
      </c>
      <c r="Q1393" s="657">
        <v>86.637243999999995</v>
      </c>
      <c r="R1393" s="657">
        <v>106.1234133252032</v>
      </c>
      <c r="S1393" s="253">
        <v>32</v>
      </c>
      <c r="T1393" s="658">
        <v>-2.1331113322801132E-3</v>
      </c>
      <c r="U1393" s="659">
        <v>-0.106664206555373</v>
      </c>
      <c r="V1393" s="658">
        <v>1.9027055013133731E-2</v>
      </c>
      <c r="W1393" s="659">
        <v>0.1475607114346543</v>
      </c>
      <c r="X1393" s="658">
        <v>-5.8635380694832429E-2</v>
      </c>
      <c r="Y1393" s="659">
        <v>-0.30367220133075329</v>
      </c>
      <c r="Z1393" s="658">
        <v>8.0734102378108741E-2</v>
      </c>
      <c r="AA1393" s="659">
        <v>0.36453683680827292</v>
      </c>
      <c r="AB1393" s="658">
        <v>7.787345154662631E-2</v>
      </c>
      <c r="AC1393" s="660">
        <v>-1.4114804500201521</v>
      </c>
      <c r="AD1393" s="682">
        <v>26855094000174</v>
      </c>
      <c r="AE1393" s="944" t="s">
        <v>1949</v>
      </c>
      <c r="AF1393" s="661" t="s">
        <v>1767</v>
      </c>
      <c r="AG1393" s="662" t="s">
        <v>59</v>
      </c>
      <c r="AH1393" s="662" t="s">
        <v>1734</v>
      </c>
      <c r="AI1393" s="662">
        <v>5000</v>
      </c>
      <c r="AJ1393" s="662">
        <v>1000</v>
      </c>
      <c r="AK1393" s="662">
        <v>5000</v>
      </c>
      <c r="AL1393" s="658">
        <v>2.5000000000000001E-2</v>
      </c>
      <c r="AM1393" s="658">
        <v>0.2</v>
      </c>
      <c r="AN1393" s="659" t="s">
        <v>64</v>
      </c>
      <c r="AO1393" s="253" t="s">
        <v>34</v>
      </c>
      <c r="AP1393" s="944" t="s">
        <v>1746</v>
      </c>
      <c r="AQ1393" s="663" t="s">
        <v>674</v>
      </c>
      <c r="AR1393" s="658">
        <v>3.8E-3</v>
      </c>
      <c r="AS1393" s="658">
        <v>3.8E-3</v>
      </c>
      <c r="AT1393" s="658" t="s">
        <v>1417</v>
      </c>
      <c r="AU1393" s="658" t="s">
        <v>2751</v>
      </c>
      <c r="AX1393"/>
      <c r="AY1393"/>
      <c r="BA1393"/>
      <c r="BB1393"/>
      <c r="BC1393"/>
      <c r="BD1393"/>
      <c r="BE1393"/>
      <c r="BF1393"/>
      <c r="BG1393"/>
      <c r="BH1393"/>
      <c r="BI1393"/>
      <c r="BJ1393"/>
      <c r="BR1393"/>
      <c r="BS1393"/>
      <c r="BT1393"/>
      <c r="BU1393"/>
      <c r="BX1393"/>
      <c r="BY1393"/>
      <c r="CA1393"/>
    </row>
    <row r="1394" spans="2:108" ht="18.75">
      <c r="B1394" s="252" t="s">
        <v>413</v>
      </c>
      <c r="C1394" s="251">
        <v>26277600000195</v>
      </c>
      <c r="D1394" s="252" t="s">
        <v>13</v>
      </c>
      <c r="E1394" s="252" t="s">
        <v>615</v>
      </c>
      <c r="F1394" s="252" t="s">
        <v>619</v>
      </c>
      <c r="G1394" s="253" t="s">
        <v>34</v>
      </c>
      <c r="H1394" s="253" t="s">
        <v>1337</v>
      </c>
      <c r="I1394" s="253" t="s">
        <v>34</v>
      </c>
      <c r="J1394" s="253" t="s">
        <v>1417</v>
      </c>
      <c r="K1394" s="253" t="s">
        <v>48</v>
      </c>
      <c r="L1394" s="655"/>
      <c r="M1394" s="655" t="s">
        <v>34</v>
      </c>
      <c r="N1394" s="253" t="s">
        <v>4045</v>
      </c>
      <c r="O1394" s="253" t="s">
        <v>1321</v>
      </c>
      <c r="P1394" s="656">
        <v>42890</v>
      </c>
      <c r="Q1394" s="657">
        <v>283.595347</v>
      </c>
      <c r="R1394" s="657">
        <v>309.42984610569113</v>
      </c>
      <c r="S1394" s="253">
        <v>31</v>
      </c>
      <c r="T1394" s="658">
        <v>1.0002174935637154E-3</v>
      </c>
      <c r="U1394" s="659">
        <v>5.0014925953132464E-2</v>
      </c>
      <c r="V1394" s="658">
        <v>0.14979095541761911</v>
      </c>
      <c r="W1394" s="659">
        <v>1.1616753056446902</v>
      </c>
      <c r="X1394" s="658">
        <v>0.20093663527355687</v>
      </c>
      <c r="Y1394" s="659">
        <v>1.0406493424011032</v>
      </c>
      <c r="Z1394" s="658">
        <v>0.30466361549275689</v>
      </c>
      <c r="AA1394" s="659">
        <v>1.3756406203930995</v>
      </c>
      <c r="AB1394" s="658">
        <v>5.5503360309752336E-2</v>
      </c>
      <c r="AC1394" s="660">
        <v>0.37559970881921151</v>
      </c>
      <c r="AD1394" s="682">
        <v>26859555000187</v>
      </c>
      <c r="AE1394" s="944" t="s">
        <v>1949</v>
      </c>
      <c r="AF1394" s="661" t="s">
        <v>1767</v>
      </c>
      <c r="AG1394" s="662" t="s">
        <v>59</v>
      </c>
      <c r="AH1394" s="662" t="s">
        <v>1734</v>
      </c>
      <c r="AI1394" s="662">
        <v>500</v>
      </c>
      <c r="AJ1394" s="662">
        <v>100</v>
      </c>
      <c r="AK1394" s="662">
        <v>500</v>
      </c>
      <c r="AL1394" s="658">
        <v>2.5000000000000001E-2</v>
      </c>
      <c r="AM1394" s="658">
        <v>0.2</v>
      </c>
      <c r="AN1394" s="659" t="s">
        <v>64</v>
      </c>
      <c r="AO1394" s="253" t="s">
        <v>34</v>
      </c>
      <c r="AP1394" s="944" t="s">
        <v>1746</v>
      </c>
      <c r="AQ1394" s="663" t="s">
        <v>664</v>
      </c>
      <c r="AR1394" s="658">
        <v>3.8E-3</v>
      </c>
      <c r="AS1394" s="658">
        <v>3.8E-3</v>
      </c>
      <c r="AT1394" s="658" t="s">
        <v>1417</v>
      </c>
      <c r="AU1394" s="658" t="s">
        <v>2751</v>
      </c>
      <c r="AX1394"/>
      <c r="AY1394"/>
      <c r="BA1394"/>
      <c r="BB1394"/>
      <c r="BC1394"/>
      <c r="BD1394"/>
      <c r="BE1394"/>
      <c r="BF1394"/>
      <c r="BG1394"/>
      <c r="BH1394"/>
      <c r="BI1394"/>
      <c r="BJ1394"/>
      <c r="BR1394"/>
      <c r="BS1394"/>
      <c r="BT1394"/>
      <c r="BU1394"/>
      <c r="BX1394"/>
      <c r="BY1394"/>
      <c r="CA1394"/>
    </row>
    <row r="1395" spans="2:108" ht="18.75">
      <c r="B1395" s="252" t="s">
        <v>1232</v>
      </c>
      <c r="C1395" s="251">
        <v>26277595000110</v>
      </c>
      <c r="D1395" s="252" t="s">
        <v>14</v>
      </c>
      <c r="E1395" s="252" t="s">
        <v>607</v>
      </c>
      <c r="F1395" s="252" t="s">
        <v>1417</v>
      </c>
      <c r="G1395" s="253" t="s">
        <v>1417</v>
      </c>
      <c r="H1395" s="253" t="s">
        <v>34</v>
      </c>
      <c r="I1395" s="253" t="s">
        <v>34</v>
      </c>
      <c r="J1395" s="253" t="s">
        <v>608</v>
      </c>
      <c r="K1395" s="253" t="s">
        <v>48</v>
      </c>
      <c r="L1395" s="655"/>
      <c r="M1395" s="655" t="s">
        <v>34</v>
      </c>
      <c r="N1395" s="253" t="s">
        <v>4047</v>
      </c>
      <c r="O1395" s="253" t="s">
        <v>1321</v>
      </c>
      <c r="P1395" s="656">
        <v>42959</v>
      </c>
      <c r="Q1395" s="657">
        <v>829.46612997</v>
      </c>
      <c r="R1395" s="657">
        <v>995.65274852590346</v>
      </c>
      <c r="S1395" s="253">
        <v>32</v>
      </c>
      <c r="T1395" s="658">
        <v>-4.7439994075918035E-2</v>
      </c>
      <c r="U1395" s="659">
        <v>-2.3721918544638392</v>
      </c>
      <c r="V1395" s="658">
        <v>-6.7917598688171821E-2</v>
      </c>
      <c r="W1395" s="659">
        <v>-0.52672203735376555</v>
      </c>
      <c r="X1395" s="658">
        <v>-0.15309300763086509</v>
      </c>
      <c r="Y1395" s="659">
        <v>-0.79286755001332854</v>
      </c>
      <c r="Z1395" s="658">
        <v>8.6657855335736667E-3</v>
      </c>
      <c r="AA1395" s="659">
        <v>3.9128422238139685E-2</v>
      </c>
      <c r="AB1395" s="658">
        <v>0.24001183189687197</v>
      </c>
      <c r="AC1395" s="660">
        <v>-0.8202158476068272</v>
      </c>
      <c r="AD1395" s="682">
        <v>26855139000100</v>
      </c>
      <c r="AE1395" s="944" t="s">
        <v>1949</v>
      </c>
      <c r="AF1395" s="661" t="s">
        <v>1767</v>
      </c>
      <c r="AG1395" s="662" t="s">
        <v>59</v>
      </c>
      <c r="AH1395" s="662" t="s">
        <v>1734</v>
      </c>
      <c r="AI1395" s="662">
        <v>10000</v>
      </c>
      <c r="AJ1395" s="662">
        <v>5000</v>
      </c>
      <c r="AK1395" s="662">
        <v>10000</v>
      </c>
      <c r="AL1395" s="658">
        <v>3.5000000000000003E-2</v>
      </c>
      <c r="AM1395" s="658">
        <v>0</v>
      </c>
      <c r="AN1395" s="659" t="s">
        <v>666</v>
      </c>
      <c r="AO1395" s="253" t="s">
        <v>34</v>
      </c>
      <c r="AP1395" s="944" t="s">
        <v>1731</v>
      </c>
      <c r="AQ1395" s="663" t="s">
        <v>659</v>
      </c>
      <c r="AR1395" s="658">
        <v>5.7999999999999996E-3</v>
      </c>
      <c r="AS1395" s="658">
        <v>5.7999999999999996E-3</v>
      </c>
      <c r="AT1395" s="658" t="s">
        <v>1417</v>
      </c>
      <c r="AU1395" s="658" t="s">
        <v>2751</v>
      </c>
      <c r="AX1395"/>
      <c r="AY1395"/>
      <c r="BA1395"/>
      <c r="BB1395"/>
      <c r="BC1395"/>
      <c r="BD1395"/>
      <c r="BE1395"/>
      <c r="BF1395"/>
      <c r="BG1395"/>
      <c r="BH1395"/>
      <c r="BI1395"/>
      <c r="BJ1395"/>
      <c r="BR1395"/>
      <c r="BS1395"/>
      <c r="BT1395"/>
      <c r="BU1395"/>
      <c r="BX1395"/>
      <c r="BY1395"/>
      <c r="CA1395"/>
    </row>
    <row r="1396" spans="2:108" ht="18.75">
      <c r="B1396" s="252" t="s">
        <v>1235</v>
      </c>
      <c r="C1396" s="251">
        <v>26882932000107</v>
      </c>
      <c r="D1396" s="252" t="s">
        <v>13</v>
      </c>
      <c r="E1396" s="252" t="s">
        <v>615</v>
      </c>
      <c r="F1396" s="252" t="s">
        <v>619</v>
      </c>
      <c r="G1396" s="253" t="s">
        <v>34</v>
      </c>
      <c r="H1396" s="253" t="s">
        <v>1337</v>
      </c>
      <c r="I1396" s="253" t="s">
        <v>34</v>
      </c>
      <c r="J1396" s="253" t="s">
        <v>1417</v>
      </c>
      <c r="K1396" s="253" t="s">
        <v>48</v>
      </c>
      <c r="L1396" s="655"/>
      <c r="M1396" s="655" t="s">
        <v>34</v>
      </c>
      <c r="N1396" s="253" t="s">
        <v>4050</v>
      </c>
      <c r="O1396" s="253" t="s">
        <v>1321</v>
      </c>
      <c r="P1396" s="656">
        <v>42893</v>
      </c>
      <c r="Q1396" s="657">
        <v>0</v>
      </c>
      <c r="R1396" s="657">
        <v>0</v>
      </c>
      <c r="S1396" s="253">
        <v>31</v>
      </c>
      <c r="T1396" s="658"/>
      <c r="U1396" s="659"/>
      <c r="V1396" s="658"/>
      <c r="W1396" s="659"/>
      <c r="X1396" s="658"/>
      <c r="Y1396" s="659"/>
      <c r="Z1396" s="658"/>
      <c r="AA1396" s="659"/>
      <c r="AB1396" s="658"/>
      <c r="AC1396" s="660"/>
      <c r="AD1396" s="682">
        <v>26277600000195</v>
      </c>
      <c r="AE1396" s="944" t="s">
        <v>1797</v>
      </c>
      <c r="AF1396" s="661" t="s">
        <v>1745</v>
      </c>
      <c r="AG1396" s="662" t="s">
        <v>1432</v>
      </c>
      <c r="AH1396" s="662" t="s">
        <v>1734</v>
      </c>
      <c r="AI1396" s="662">
        <v>5000</v>
      </c>
      <c r="AJ1396" s="662">
        <v>5000</v>
      </c>
      <c r="AK1396" s="662">
        <v>5000</v>
      </c>
      <c r="AL1396" s="658">
        <v>0</v>
      </c>
      <c r="AM1396" s="658">
        <v>0</v>
      </c>
      <c r="AN1396" s="659" t="s">
        <v>34</v>
      </c>
      <c r="AO1396" s="253" t="s">
        <v>34</v>
      </c>
      <c r="AP1396" s="944" t="s">
        <v>1746</v>
      </c>
      <c r="AQ1396" s="663" t="s">
        <v>664</v>
      </c>
      <c r="AR1396" s="658">
        <v>3.8E-3</v>
      </c>
      <c r="AS1396" s="658">
        <v>3.8E-3</v>
      </c>
      <c r="AT1396" s="658" t="s">
        <v>1417</v>
      </c>
      <c r="AU1396" s="658" t="s">
        <v>2751</v>
      </c>
      <c r="AX1396"/>
      <c r="AY1396"/>
      <c r="BA1396"/>
      <c r="BB1396"/>
      <c r="BC1396"/>
      <c r="BD1396"/>
      <c r="BE1396"/>
      <c r="BF1396"/>
      <c r="BG1396"/>
      <c r="BH1396"/>
      <c r="BI1396"/>
      <c r="BJ1396"/>
      <c r="BR1396"/>
      <c r="BS1396"/>
      <c r="BT1396"/>
      <c r="BU1396"/>
      <c r="BX1396"/>
      <c r="BY1396"/>
      <c r="CA1396"/>
    </row>
    <row r="1397" spans="2:108" ht="18.75">
      <c r="B1397" s="252" t="s">
        <v>1703</v>
      </c>
      <c r="C1397" s="251">
        <v>26859438000113</v>
      </c>
      <c r="D1397" s="252" t="s">
        <v>13</v>
      </c>
      <c r="E1397" s="252" t="s">
        <v>615</v>
      </c>
      <c r="F1397" s="252" t="s">
        <v>619</v>
      </c>
      <c r="G1397" s="253" t="s">
        <v>34</v>
      </c>
      <c r="H1397" s="253" t="s">
        <v>1337</v>
      </c>
      <c r="I1397" s="253" t="s">
        <v>34</v>
      </c>
      <c r="J1397" s="253" t="s">
        <v>1417</v>
      </c>
      <c r="K1397" s="253" t="s">
        <v>48</v>
      </c>
      <c r="L1397" s="655"/>
      <c r="M1397" s="655" t="s">
        <v>34</v>
      </c>
      <c r="N1397" s="253" t="s">
        <v>4051</v>
      </c>
      <c r="O1397" s="253" t="s">
        <v>1321</v>
      </c>
      <c r="P1397" s="656">
        <v>42890</v>
      </c>
      <c r="Q1397" s="657">
        <v>127.812105</v>
      </c>
      <c r="R1397" s="657">
        <v>158.47554241129032</v>
      </c>
      <c r="S1397" s="253">
        <v>30</v>
      </c>
      <c r="T1397" s="658">
        <v>1.0505591848615214E-3</v>
      </c>
      <c r="U1397" s="659">
        <v>5.2532214421707753E-2</v>
      </c>
      <c r="V1397" s="658">
        <v>0.14951734399163796</v>
      </c>
      <c r="W1397" s="659">
        <v>1.1595533641962337</v>
      </c>
      <c r="X1397" s="658">
        <v>0.20127853756961223</v>
      </c>
      <c r="Y1397" s="659">
        <v>1.0424200518542153</v>
      </c>
      <c r="Z1397" s="658">
        <v>0.30533048234512772</v>
      </c>
      <c r="AA1397" s="659">
        <v>1.3786517089637884</v>
      </c>
      <c r="AB1397" s="658">
        <v>5.4837312179021262E-2</v>
      </c>
      <c r="AC1397" s="660">
        <v>0.37517219074643576</v>
      </c>
      <c r="AD1397" s="682">
        <v>26859555000187</v>
      </c>
      <c r="AE1397" s="944" t="s">
        <v>1949</v>
      </c>
      <c r="AF1397" s="661" t="s">
        <v>1733</v>
      </c>
      <c r="AG1397" s="662" t="s">
        <v>59</v>
      </c>
      <c r="AH1397" s="662" t="s">
        <v>1734</v>
      </c>
      <c r="AI1397" s="662">
        <v>50000</v>
      </c>
      <c r="AJ1397" s="662">
        <v>50000</v>
      </c>
      <c r="AK1397" s="662">
        <v>50000</v>
      </c>
      <c r="AL1397" s="658">
        <v>2.5000000000000001E-2</v>
      </c>
      <c r="AM1397" s="658">
        <v>0.2</v>
      </c>
      <c r="AN1397" s="659" t="s">
        <v>64</v>
      </c>
      <c r="AO1397" s="253" t="s">
        <v>34</v>
      </c>
      <c r="AP1397" s="944" t="s">
        <v>1746</v>
      </c>
      <c r="AQ1397" s="663" t="s">
        <v>664</v>
      </c>
      <c r="AR1397" s="658">
        <v>0</v>
      </c>
      <c r="AS1397" s="658">
        <v>0</v>
      </c>
      <c r="AT1397" s="658" t="s">
        <v>1417</v>
      </c>
      <c r="AU1397" s="658" t="s">
        <v>2751</v>
      </c>
      <c r="AX1397"/>
      <c r="AY1397"/>
      <c r="BA1397"/>
      <c r="BB1397"/>
      <c r="BC1397"/>
      <c r="BD1397"/>
      <c r="BE1397"/>
      <c r="BF1397"/>
      <c r="BG1397"/>
      <c r="BH1397"/>
      <c r="BI1397"/>
      <c r="BJ1397"/>
      <c r="BR1397"/>
      <c r="BS1397"/>
      <c r="BT1397"/>
      <c r="BU1397"/>
      <c r="BX1397"/>
      <c r="BY1397"/>
      <c r="CA1397"/>
    </row>
    <row r="1398" spans="2:108" ht="18.75">
      <c r="B1398" s="252" t="s">
        <v>541</v>
      </c>
      <c r="C1398" s="251">
        <v>43508144000166</v>
      </c>
      <c r="D1398" s="252" t="s">
        <v>13</v>
      </c>
      <c r="E1398" s="252" t="s">
        <v>615</v>
      </c>
      <c r="F1398" s="252" t="s">
        <v>619</v>
      </c>
      <c r="G1398" s="253" t="s">
        <v>34</v>
      </c>
      <c r="H1398" s="253" t="s">
        <v>1338</v>
      </c>
      <c r="I1398" s="253" t="s">
        <v>34</v>
      </c>
      <c r="J1398" s="253" t="s">
        <v>1417</v>
      </c>
      <c r="K1398" s="253" t="s">
        <v>48</v>
      </c>
      <c r="L1398" s="655"/>
      <c r="M1398" s="655" t="s">
        <v>1414</v>
      </c>
      <c r="N1398" s="253" t="s">
        <v>4052</v>
      </c>
      <c r="O1398" s="253" t="s">
        <v>1321</v>
      </c>
      <c r="P1398" s="656">
        <v>44476</v>
      </c>
      <c r="Q1398" s="657"/>
      <c r="R1398" s="657"/>
      <c r="S1398" s="253">
        <v>61</v>
      </c>
      <c r="T1398" s="658"/>
      <c r="U1398" s="659"/>
      <c r="V1398" s="658"/>
      <c r="W1398" s="659"/>
      <c r="X1398" s="658"/>
      <c r="Y1398" s="659"/>
      <c r="Z1398" s="658"/>
      <c r="AA1398" s="659"/>
      <c r="AB1398" s="658"/>
      <c r="AC1398" s="660"/>
      <c r="AD1398" s="682">
        <v>0</v>
      </c>
      <c r="AE1398" s="944" t="s">
        <v>1845</v>
      </c>
      <c r="AF1398" s="661" t="s">
        <v>1745</v>
      </c>
      <c r="AG1398" s="662" t="s">
        <v>1432</v>
      </c>
      <c r="AH1398" s="662" t="s">
        <v>1730</v>
      </c>
      <c r="AI1398" s="662">
        <v>0</v>
      </c>
      <c r="AJ1398" s="662">
        <v>0</v>
      </c>
      <c r="AK1398" s="662">
        <v>0</v>
      </c>
      <c r="AL1398" s="658">
        <v>1.4999999999999999E-2</v>
      </c>
      <c r="AM1398" s="658">
        <v>0</v>
      </c>
      <c r="AN1398" s="659" t="s">
        <v>64</v>
      </c>
      <c r="AO1398" s="253" t="s">
        <v>34</v>
      </c>
      <c r="AP1398" s="944" t="s">
        <v>1746</v>
      </c>
      <c r="AQ1398" s="663" t="s">
        <v>671</v>
      </c>
      <c r="AR1398" s="658">
        <v>0</v>
      </c>
      <c r="AS1398" s="658">
        <v>0</v>
      </c>
      <c r="AT1398" s="658" t="s">
        <v>1417</v>
      </c>
      <c r="AU1398" s="658" t="s">
        <v>2751</v>
      </c>
      <c r="AX1398"/>
      <c r="AY1398"/>
      <c r="BA1398"/>
      <c r="BB1398"/>
      <c r="BC1398"/>
      <c r="BD1398"/>
      <c r="BE1398"/>
      <c r="BF1398"/>
      <c r="BG1398"/>
      <c r="BH1398"/>
      <c r="BI1398"/>
      <c r="BJ1398"/>
      <c r="BR1398"/>
      <c r="BS1398"/>
      <c r="BT1398"/>
      <c r="BU1398"/>
      <c r="BX1398"/>
      <c r="BY1398"/>
      <c r="CA1398"/>
    </row>
    <row r="1399" spans="2:108" ht="18.75">
      <c r="B1399" s="252" t="s">
        <v>414</v>
      </c>
      <c r="C1399" s="251">
        <v>13418910000130</v>
      </c>
      <c r="D1399" s="252" t="s">
        <v>13</v>
      </c>
      <c r="E1399" s="252" t="s">
        <v>616</v>
      </c>
      <c r="F1399" s="252" t="s">
        <v>617</v>
      </c>
      <c r="G1399" s="253" t="s">
        <v>34</v>
      </c>
      <c r="H1399" s="253" t="s">
        <v>1338</v>
      </c>
      <c r="I1399" s="253" t="s">
        <v>34</v>
      </c>
      <c r="J1399" s="253" t="s">
        <v>608</v>
      </c>
      <c r="K1399" s="253" t="s">
        <v>48</v>
      </c>
      <c r="L1399" s="655"/>
      <c r="M1399" s="655" t="s">
        <v>1414</v>
      </c>
      <c r="N1399" s="253" t="s">
        <v>4053</v>
      </c>
      <c r="O1399" s="253" t="s">
        <v>1321</v>
      </c>
      <c r="P1399" s="656">
        <v>40758</v>
      </c>
      <c r="Q1399" s="657">
        <v>75.088614000000007</v>
      </c>
      <c r="R1399" s="657">
        <v>59.630869554216879</v>
      </c>
      <c r="S1399" s="253">
        <v>16</v>
      </c>
      <c r="T1399" s="658">
        <v>1.1658286892400005E-2</v>
      </c>
      <c r="U1399" s="659">
        <v>0.5829615652754202</v>
      </c>
      <c r="V1399" s="658">
        <v>0.15440726606521715</v>
      </c>
      <c r="W1399" s="659">
        <v>1.1974762261178131</v>
      </c>
      <c r="X1399" s="658">
        <v>0.19662443019302356</v>
      </c>
      <c r="Y1399" s="659">
        <v>1.0183164643012665</v>
      </c>
      <c r="Z1399" s="658">
        <v>0.28865204844714865</v>
      </c>
      <c r="AA1399" s="659">
        <v>1.3033439597352079</v>
      </c>
      <c r="AB1399" s="658">
        <v>8.2082465186061299E-2</v>
      </c>
      <c r="AC1399" s="660">
        <v>0.31021676262657888</v>
      </c>
      <c r="AD1399" s="682">
        <v>0</v>
      </c>
      <c r="AE1399" s="944" t="s">
        <v>1845</v>
      </c>
      <c r="AF1399" s="661" t="s">
        <v>1745</v>
      </c>
      <c r="AG1399" s="662" t="s">
        <v>1432</v>
      </c>
      <c r="AH1399" s="662" t="s">
        <v>1734</v>
      </c>
      <c r="AI1399" s="662">
        <v>1000</v>
      </c>
      <c r="AJ1399" s="662">
        <v>500</v>
      </c>
      <c r="AK1399" s="662">
        <v>500</v>
      </c>
      <c r="AL1399" s="658">
        <v>1.3000000000000001E-2</v>
      </c>
      <c r="AM1399" s="658">
        <v>0.2</v>
      </c>
      <c r="AN1399" s="659" t="s">
        <v>34</v>
      </c>
      <c r="AO1399" s="253" t="s">
        <v>34</v>
      </c>
      <c r="AP1399" s="944" t="s">
        <v>1746</v>
      </c>
      <c r="AQ1399" s="663" t="s">
        <v>668</v>
      </c>
      <c r="AR1399" s="658">
        <v>3.0333333333333302E-3</v>
      </c>
      <c r="AS1399" s="658">
        <v>3.0333333333333302E-3</v>
      </c>
      <c r="AT1399" s="658" t="s">
        <v>1417</v>
      </c>
      <c r="AU1399" s="658" t="s">
        <v>2751</v>
      </c>
      <c r="AX1399"/>
      <c r="AY1399"/>
      <c r="BA1399"/>
      <c r="BB1399"/>
      <c r="BC1399"/>
      <c r="BD1399"/>
      <c r="BE1399"/>
      <c r="BF1399"/>
      <c r="BG1399"/>
      <c r="BH1399"/>
      <c r="BI1399"/>
      <c r="BJ1399"/>
      <c r="BR1399"/>
      <c r="BS1399"/>
      <c r="BT1399"/>
      <c r="BU1399"/>
      <c r="BX1399"/>
      <c r="BY1399"/>
      <c r="CA1399"/>
    </row>
    <row r="1400" spans="2:108" ht="18.75">
      <c r="B1400" s="252" t="s">
        <v>493</v>
      </c>
      <c r="C1400" s="251">
        <v>41574480000181</v>
      </c>
      <c r="D1400" s="252" t="s">
        <v>11</v>
      </c>
      <c r="E1400" s="252" t="s">
        <v>620</v>
      </c>
      <c r="F1400" s="252" t="s">
        <v>685</v>
      </c>
      <c r="G1400" s="253" t="s">
        <v>738</v>
      </c>
      <c r="H1400" s="253" t="s">
        <v>34</v>
      </c>
      <c r="I1400" s="253" t="s">
        <v>1319</v>
      </c>
      <c r="J1400" s="253" t="s">
        <v>608</v>
      </c>
      <c r="K1400" s="253" t="s">
        <v>48</v>
      </c>
      <c r="L1400" s="655"/>
      <c r="M1400" s="655" t="s">
        <v>1414</v>
      </c>
      <c r="N1400" s="253" t="s">
        <v>4054</v>
      </c>
      <c r="O1400" s="253" t="s">
        <v>1321</v>
      </c>
      <c r="P1400" s="656">
        <v>44343</v>
      </c>
      <c r="Q1400" s="657">
        <v>0</v>
      </c>
      <c r="R1400" s="657">
        <v>0</v>
      </c>
      <c r="S1400" s="253">
        <v>31</v>
      </c>
      <c r="T1400" s="658"/>
      <c r="U1400" s="659"/>
      <c r="V1400" s="658"/>
      <c r="W1400" s="659"/>
      <c r="X1400" s="658"/>
      <c r="Y1400" s="659"/>
      <c r="Z1400" s="658"/>
      <c r="AA1400" s="659"/>
      <c r="AB1400" s="658"/>
      <c r="AC1400" s="660"/>
      <c r="AD1400" s="682">
        <v>0</v>
      </c>
      <c r="AE1400" s="944" t="s">
        <v>1845</v>
      </c>
      <c r="AF1400" s="661" t="s">
        <v>1745</v>
      </c>
      <c r="AG1400" s="662" t="s">
        <v>1432</v>
      </c>
      <c r="AH1400" s="662" t="s">
        <v>1801</v>
      </c>
      <c r="AI1400" s="662">
        <v>100000</v>
      </c>
      <c r="AJ1400" s="662">
        <v>50000</v>
      </c>
      <c r="AK1400" s="662">
        <v>10000</v>
      </c>
      <c r="AL1400" s="658">
        <v>0.01</v>
      </c>
      <c r="AM1400" s="658">
        <v>0.2</v>
      </c>
      <c r="AN1400" s="659" t="s">
        <v>64</v>
      </c>
      <c r="AO1400" s="253" t="s">
        <v>34</v>
      </c>
      <c r="AP1400" s="944" t="s">
        <v>1746</v>
      </c>
      <c r="AQ1400" s="663" t="s">
        <v>671</v>
      </c>
      <c r="AR1400" s="658">
        <v>0</v>
      </c>
      <c r="AS1400" s="658">
        <v>0</v>
      </c>
      <c r="AT1400" s="658" t="s">
        <v>1417</v>
      </c>
      <c r="AU1400" s="658" t="s">
        <v>2751</v>
      </c>
      <c r="AX1400"/>
      <c r="AY1400"/>
      <c r="BA1400"/>
      <c r="BB1400"/>
      <c r="BC1400"/>
      <c r="BD1400"/>
      <c r="BE1400"/>
      <c r="BF1400"/>
      <c r="BG1400"/>
      <c r="BH1400"/>
      <c r="BI1400"/>
      <c r="BJ1400"/>
      <c r="BR1400"/>
      <c r="BS1400"/>
      <c r="BT1400"/>
      <c r="BU1400"/>
      <c r="BX1400"/>
      <c r="BY1400"/>
      <c r="CA1400"/>
    </row>
    <row r="1401" spans="2:108" ht="18.75">
      <c r="B1401" s="252" t="s">
        <v>1236</v>
      </c>
      <c r="C1401" s="251">
        <v>17439235000187</v>
      </c>
      <c r="D1401" s="252" t="s">
        <v>14</v>
      </c>
      <c r="E1401" s="252" t="s">
        <v>614</v>
      </c>
      <c r="F1401" s="252" t="s">
        <v>1417</v>
      </c>
      <c r="G1401" s="253" t="s">
        <v>1417</v>
      </c>
      <c r="H1401" s="253" t="s">
        <v>1338</v>
      </c>
      <c r="I1401" s="253" t="s">
        <v>34</v>
      </c>
      <c r="J1401" s="253" t="s">
        <v>608</v>
      </c>
      <c r="K1401" s="253" t="s">
        <v>48</v>
      </c>
      <c r="L1401" s="655"/>
      <c r="M1401" s="655" t="s">
        <v>34</v>
      </c>
      <c r="N1401" s="253" t="s">
        <v>4055</v>
      </c>
      <c r="O1401" s="253" t="s">
        <v>1321</v>
      </c>
      <c r="P1401" s="656">
        <v>41361</v>
      </c>
      <c r="Q1401" s="657">
        <v>52.143749999999997</v>
      </c>
      <c r="R1401" s="657">
        <v>52.260313654618486</v>
      </c>
      <c r="S1401" s="253">
        <v>19</v>
      </c>
      <c r="T1401" s="658">
        <v>-3.4117363412379476E-2</v>
      </c>
      <c r="U1401" s="659">
        <v>-1.7060063593834467</v>
      </c>
      <c r="V1401" s="658">
        <v>-1.787165365906529E-2</v>
      </c>
      <c r="W1401" s="659">
        <v>-0.13860021567316008</v>
      </c>
      <c r="X1401" s="658">
        <v>-4.2907324791252588E-2</v>
      </c>
      <c r="Y1401" s="659">
        <v>-0.22221671656549163</v>
      </c>
      <c r="Z1401" s="658">
        <v>0.12948591706302093</v>
      </c>
      <c r="AA1401" s="659">
        <v>0.58466478510289432</v>
      </c>
      <c r="AB1401" s="658">
        <v>0.21946271214927823</v>
      </c>
      <c r="AC1401" s="660">
        <v>-0.66897725662840568</v>
      </c>
      <c r="AD1401" s="682">
        <v>0</v>
      </c>
      <c r="AE1401" s="944" t="s">
        <v>1845</v>
      </c>
      <c r="AF1401" s="661" t="s">
        <v>1745</v>
      </c>
      <c r="AG1401" s="662" t="s">
        <v>1432</v>
      </c>
      <c r="AH1401" s="662" t="s">
        <v>1734</v>
      </c>
      <c r="AI1401" s="662">
        <v>1000</v>
      </c>
      <c r="AJ1401" s="662">
        <v>500</v>
      </c>
      <c r="AK1401" s="662">
        <v>500</v>
      </c>
      <c r="AL1401" s="658">
        <v>1.8000000000000002E-2</v>
      </c>
      <c r="AM1401" s="658">
        <v>0.2</v>
      </c>
      <c r="AN1401" s="659" t="s">
        <v>666</v>
      </c>
      <c r="AO1401" s="253" t="s">
        <v>34</v>
      </c>
      <c r="AP1401" s="944" t="s">
        <v>1731</v>
      </c>
      <c r="AQ1401" s="663" t="s">
        <v>670</v>
      </c>
      <c r="AR1401" s="658">
        <v>4.6666666666666697E-3</v>
      </c>
      <c r="AS1401" s="658">
        <v>4.6666666666666697E-3</v>
      </c>
      <c r="AT1401" s="658" t="s">
        <v>1417</v>
      </c>
      <c r="AU1401" s="658" t="s">
        <v>2751</v>
      </c>
      <c r="AX1401"/>
      <c r="AY1401"/>
      <c r="BA1401"/>
      <c r="BB1401"/>
      <c r="BC1401"/>
      <c r="BD1401"/>
      <c r="BE1401"/>
      <c r="BF1401"/>
      <c r="BG1401"/>
      <c r="BH1401"/>
      <c r="BI1401"/>
      <c r="BJ1401"/>
      <c r="BR1401"/>
      <c r="BS1401"/>
      <c r="BT1401"/>
      <c r="BU1401"/>
      <c r="BX1401"/>
      <c r="BY1401"/>
      <c r="CA1401"/>
    </row>
    <row r="1402" spans="2:108" ht="18.75">
      <c r="B1402" s="252" t="s">
        <v>542</v>
      </c>
      <c r="C1402" s="251">
        <v>29562681000163</v>
      </c>
      <c r="D1402" s="252" t="s">
        <v>13</v>
      </c>
      <c r="E1402" s="252" t="s">
        <v>615</v>
      </c>
      <c r="F1402" s="252" t="s">
        <v>619</v>
      </c>
      <c r="G1402" s="253" t="s">
        <v>34</v>
      </c>
      <c r="H1402" s="253" t="s">
        <v>1338</v>
      </c>
      <c r="I1402" s="253" t="s">
        <v>34</v>
      </c>
      <c r="J1402" s="253" t="s">
        <v>1417</v>
      </c>
      <c r="K1402" s="253" t="s">
        <v>48</v>
      </c>
      <c r="L1402" s="655"/>
      <c r="M1402" s="655" t="s">
        <v>1414</v>
      </c>
      <c r="N1402" s="253" t="s">
        <v>4056</v>
      </c>
      <c r="O1402" s="253" t="s">
        <v>1321</v>
      </c>
      <c r="P1402" s="656">
        <v>43237</v>
      </c>
      <c r="Q1402" s="657">
        <v>18.98977494</v>
      </c>
      <c r="R1402" s="657">
        <v>11.003697135622488</v>
      </c>
      <c r="S1402" s="253">
        <v>4</v>
      </c>
      <c r="T1402" s="658">
        <v>1.7425045867368816E-2</v>
      </c>
      <c r="U1402" s="659">
        <v>0.87132287166988198</v>
      </c>
      <c r="V1402" s="658">
        <v>0.22370240382838413</v>
      </c>
      <c r="W1402" s="659">
        <v>1.7348815061381402</v>
      </c>
      <c r="X1402" s="658">
        <v>0.31155587201268964</v>
      </c>
      <c r="Y1402" s="659">
        <v>1.6135455482760088</v>
      </c>
      <c r="Z1402" s="658">
        <v>0.33382665314321591</v>
      </c>
      <c r="AA1402" s="659">
        <v>1.5073198139887605</v>
      </c>
      <c r="AB1402" s="658">
        <v>7.0667105017415022E-2</v>
      </c>
      <c r="AC1402" s="660">
        <v>1.3409137725147187</v>
      </c>
      <c r="AD1402" s="682">
        <v>0</v>
      </c>
      <c r="AE1402" s="944" t="s">
        <v>1845</v>
      </c>
      <c r="AF1402" s="661" t="s">
        <v>1745</v>
      </c>
      <c r="AG1402" s="662" t="s">
        <v>1432</v>
      </c>
      <c r="AH1402" s="662" t="s">
        <v>1734</v>
      </c>
      <c r="AI1402" s="662">
        <v>5000</v>
      </c>
      <c r="AJ1402" s="662">
        <v>1000</v>
      </c>
      <c r="AK1402" s="662">
        <v>5000</v>
      </c>
      <c r="AL1402" s="658">
        <v>0.02</v>
      </c>
      <c r="AM1402" s="658">
        <v>0.2</v>
      </c>
      <c r="AN1402" s="659" t="s">
        <v>34</v>
      </c>
      <c r="AO1402" s="253" t="s">
        <v>34</v>
      </c>
      <c r="AP1402" s="944" t="s">
        <v>1746</v>
      </c>
      <c r="AQ1402" s="663" t="s">
        <v>668</v>
      </c>
      <c r="AR1402" s="658">
        <v>2.666E-3</v>
      </c>
      <c r="AS1402" s="658">
        <v>2.666E-3</v>
      </c>
      <c r="AT1402" s="658" t="s">
        <v>1417</v>
      </c>
      <c r="AU1402" s="658" t="s">
        <v>2751</v>
      </c>
      <c r="AX1402"/>
      <c r="AY1402"/>
      <c r="BA1402"/>
      <c r="BB1402"/>
      <c r="BC1402"/>
      <c r="BD1402"/>
      <c r="BE1402"/>
      <c r="BF1402"/>
      <c r="BG1402"/>
      <c r="BH1402"/>
      <c r="BI1402"/>
      <c r="BJ1402"/>
      <c r="BR1402"/>
      <c r="BS1402"/>
      <c r="BT1402"/>
      <c r="BU1402"/>
      <c r="BX1402"/>
      <c r="BY1402"/>
      <c r="CA1402"/>
    </row>
    <row r="1403" spans="2:108" ht="18.75">
      <c r="B1403" s="252" t="s">
        <v>1237</v>
      </c>
      <c r="C1403" s="251">
        <v>31188723000190</v>
      </c>
      <c r="D1403" s="252" t="s">
        <v>14</v>
      </c>
      <c r="E1403" s="252" t="s">
        <v>607</v>
      </c>
      <c r="F1403" s="252" t="s">
        <v>1417</v>
      </c>
      <c r="G1403" s="253" t="s">
        <v>1417</v>
      </c>
      <c r="H1403" s="253" t="s">
        <v>34</v>
      </c>
      <c r="I1403" s="253" t="s">
        <v>34</v>
      </c>
      <c r="J1403" s="253" t="s">
        <v>608</v>
      </c>
      <c r="K1403" s="253" t="s">
        <v>48</v>
      </c>
      <c r="L1403" s="655"/>
      <c r="M1403" s="655" t="s">
        <v>1414</v>
      </c>
      <c r="N1403" s="253" t="s">
        <v>4057</v>
      </c>
      <c r="O1403" s="253" t="s">
        <v>1321</v>
      </c>
      <c r="P1403" s="656">
        <v>43303</v>
      </c>
      <c r="Q1403" s="657">
        <v>65.144289979999996</v>
      </c>
      <c r="R1403" s="657">
        <v>62.403664926244744</v>
      </c>
      <c r="S1403" s="253">
        <v>60</v>
      </c>
      <c r="T1403" s="658">
        <v>-2.6647846655577512E-2</v>
      </c>
      <c r="U1403" s="659">
        <v>-1.3325002670574038</v>
      </c>
      <c r="V1403" s="658">
        <v>9.1502631258609579E-2</v>
      </c>
      <c r="W1403" s="659">
        <v>0.70963127805869908</v>
      </c>
      <c r="X1403" s="658">
        <v>-5.912500754398109E-2</v>
      </c>
      <c r="Y1403" s="659">
        <v>-0.30620797514768217</v>
      </c>
      <c r="Z1403" s="658">
        <v>-6.500342438754203E-2</v>
      </c>
      <c r="AA1403" s="659">
        <v>-0.29350846804442315</v>
      </c>
      <c r="AB1403" s="658">
        <v>0.31733942979278812</v>
      </c>
      <c r="AC1403" s="660">
        <v>-0.1179849545095189</v>
      </c>
      <c r="AD1403" s="682">
        <v>0</v>
      </c>
      <c r="AE1403" s="944" t="s">
        <v>1876</v>
      </c>
      <c r="AF1403" s="661" t="s">
        <v>1742</v>
      </c>
      <c r="AG1403" s="662" t="s">
        <v>741</v>
      </c>
      <c r="AH1403" s="662" t="s">
        <v>1734</v>
      </c>
      <c r="AI1403" s="662">
        <v>5000</v>
      </c>
      <c r="AJ1403" s="662">
        <v>0</v>
      </c>
      <c r="AK1403" s="662">
        <v>1000</v>
      </c>
      <c r="AL1403" s="658">
        <v>0.02</v>
      </c>
      <c r="AM1403" s="658">
        <v>0.3</v>
      </c>
      <c r="AN1403" s="659" t="s">
        <v>2141</v>
      </c>
      <c r="AO1403" s="253" t="s">
        <v>34</v>
      </c>
      <c r="AP1403" s="944" t="s">
        <v>1731</v>
      </c>
      <c r="AQ1403" s="663" t="s">
        <v>659</v>
      </c>
      <c r="AR1403" s="658">
        <v>1.9599999999999999E-3</v>
      </c>
      <c r="AS1403" s="658">
        <v>1.9599999999999999E-3</v>
      </c>
      <c r="AT1403" s="658" t="s">
        <v>1417</v>
      </c>
      <c r="AU1403" s="658" t="s">
        <v>2751</v>
      </c>
      <c r="AX1403"/>
      <c r="AY1403"/>
      <c r="BA1403"/>
      <c r="BB1403"/>
      <c r="BC1403"/>
      <c r="BD1403"/>
      <c r="BE1403"/>
      <c r="BF1403"/>
      <c r="BG1403"/>
      <c r="BH1403"/>
      <c r="BI1403"/>
      <c r="BJ1403"/>
      <c r="BR1403"/>
      <c r="BS1403"/>
      <c r="BT1403"/>
      <c r="BU1403"/>
      <c r="BX1403"/>
      <c r="BY1403"/>
      <c r="CA1403"/>
    </row>
    <row r="1404" spans="2:108" ht="18.75">
      <c r="B1404" s="252" t="s">
        <v>415</v>
      </c>
      <c r="C1404" s="251">
        <v>26343648000154</v>
      </c>
      <c r="D1404" s="252" t="s">
        <v>13</v>
      </c>
      <c r="E1404" s="252" t="s">
        <v>615</v>
      </c>
      <c r="F1404" s="252" t="s">
        <v>619</v>
      </c>
      <c r="G1404" s="253" t="s">
        <v>34</v>
      </c>
      <c r="H1404" s="253" t="s">
        <v>865</v>
      </c>
      <c r="I1404" s="253" t="s">
        <v>34</v>
      </c>
      <c r="J1404" s="253" t="s">
        <v>1417</v>
      </c>
      <c r="K1404" s="253" t="s">
        <v>48</v>
      </c>
      <c r="L1404" s="655"/>
      <c r="M1404" s="655" t="s">
        <v>1414</v>
      </c>
      <c r="N1404" s="253" t="s">
        <v>4058</v>
      </c>
      <c r="O1404" s="253" t="s">
        <v>1321</v>
      </c>
      <c r="P1404" s="656">
        <v>42644</v>
      </c>
      <c r="Q1404" s="657">
        <v>23.524735</v>
      </c>
      <c r="R1404" s="657">
        <v>19.958815310483867</v>
      </c>
      <c r="S1404" s="253">
        <v>30</v>
      </c>
      <c r="T1404" s="658">
        <v>1.0510194647626037E-2</v>
      </c>
      <c r="U1404" s="659">
        <v>0.52555230281076826</v>
      </c>
      <c r="V1404" s="658">
        <v>6.0516936740953708E-2</v>
      </c>
      <c r="W1404" s="659">
        <v>0.46932760919527883</v>
      </c>
      <c r="X1404" s="658">
        <v>5.1275992932639847E-2</v>
      </c>
      <c r="Y1404" s="659">
        <v>0.26555798674378145</v>
      </c>
      <c r="Z1404" s="658">
        <v>0.13088691985526557</v>
      </c>
      <c r="AA1404" s="659">
        <v>0.59099070080890592</v>
      </c>
      <c r="AB1404" s="658">
        <v>6.9933932155093803E-2</v>
      </c>
      <c r="AC1404" s="660">
        <v>-0.97845166998593547</v>
      </c>
      <c r="AD1404" s="682">
        <v>0</v>
      </c>
      <c r="AE1404" s="944" t="s">
        <v>1904</v>
      </c>
      <c r="AF1404" s="661" t="s">
        <v>1745</v>
      </c>
      <c r="AG1404" s="662" t="s">
        <v>1432</v>
      </c>
      <c r="AH1404" s="662" t="s">
        <v>1730</v>
      </c>
      <c r="AI1404" s="662">
        <v>25000</v>
      </c>
      <c r="AJ1404" s="662">
        <v>5000</v>
      </c>
      <c r="AK1404" s="662">
        <v>25000</v>
      </c>
      <c r="AL1404" s="658">
        <v>7.8000000000000005E-3</v>
      </c>
      <c r="AM1404" s="658">
        <v>0</v>
      </c>
      <c r="AN1404" s="659" t="s">
        <v>34</v>
      </c>
      <c r="AO1404" s="253" t="s">
        <v>34</v>
      </c>
      <c r="AP1404" s="944" t="s">
        <v>1746</v>
      </c>
      <c r="AQ1404" s="663" t="s">
        <v>668</v>
      </c>
      <c r="AR1404" s="658">
        <v>1.25E-3</v>
      </c>
      <c r="AS1404" s="658">
        <v>1.25E-3</v>
      </c>
      <c r="AT1404" s="658" t="s">
        <v>1417</v>
      </c>
      <c r="AU1404" s="658" t="s">
        <v>2751</v>
      </c>
      <c r="AX1404"/>
      <c r="AY1404"/>
      <c r="BA1404"/>
      <c r="BB1404"/>
      <c r="BC1404"/>
      <c r="BD1404"/>
      <c r="BE1404"/>
      <c r="BF1404"/>
      <c r="BG1404"/>
      <c r="BH1404"/>
      <c r="BI1404"/>
      <c r="BJ1404"/>
      <c r="BR1404"/>
      <c r="BS1404"/>
      <c r="BT1404"/>
      <c r="BU1404"/>
      <c r="BX1404"/>
      <c r="BY1404"/>
      <c r="CA1404"/>
      <c r="CE1404" s="175"/>
      <c r="CF1404" s="161"/>
      <c r="CG1404" s="161"/>
      <c r="CH1404" s="161"/>
      <c r="CI1404" s="163"/>
      <c r="CJ1404" s="161"/>
      <c r="CK1404" s="161"/>
      <c r="CL1404" s="161"/>
      <c r="CM1404" s="161"/>
      <c r="CN1404" s="163"/>
      <c r="CO1404" s="163"/>
      <c r="CP1404" s="176"/>
      <c r="CQ1404" s="176"/>
      <c r="CR1404" s="176"/>
      <c r="CS1404" s="163"/>
      <c r="CT1404" s="163"/>
      <c r="CU1404" s="163"/>
      <c r="CV1404" s="163"/>
      <c r="CW1404" s="163"/>
      <c r="CX1404" s="163"/>
      <c r="CY1404" s="163"/>
      <c r="CZ1404" s="163"/>
      <c r="DA1404" s="164"/>
      <c r="DB1404" s="165"/>
      <c r="DC1404" s="166"/>
      <c r="DD1404" s="162"/>
    </row>
    <row r="1405" spans="2:108" ht="18.75">
      <c r="B1405" s="252" t="s">
        <v>599</v>
      </c>
      <c r="C1405" s="251">
        <v>14163402000111</v>
      </c>
      <c r="D1405" s="252" t="s">
        <v>14</v>
      </c>
      <c r="E1405" s="252" t="s">
        <v>607</v>
      </c>
      <c r="F1405" s="252" t="s">
        <v>1417</v>
      </c>
      <c r="G1405" s="253" t="s">
        <v>1417</v>
      </c>
      <c r="H1405" s="253" t="s">
        <v>34</v>
      </c>
      <c r="I1405" s="253" t="s">
        <v>34</v>
      </c>
      <c r="J1405" s="253" t="s">
        <v>608</v>
      </c>
      <c r="K1405" s="253" t="s">
        <v>48</v>
      </c>
      <c r="L1405" s="655"/>
      <c r="M1405" s="655" t="s">
        <v>1414</v>
      </c>
      <c r="N1405" s="253" t="s">
        <v>4059</v>
      </c>
      <c r="O1405" s="253" t="s">
        <v>1321</v>
      </c>
      <c r="P1405" s="656">
        <v>40947</v>
      </c>
      <c r="Q1405" s="657">
        <v>0</v>
      </c>
      <c r="R1405" s="657">
        <v>0</v>
      </c>
      <c r="S1405" s="253">
        <v>92</v>
      </c>
      <c r="T1405" s="658"/>
      <c r="U1405" s="659"/>
      <c r="V1405" s="658"/>
      <c r="W1405" s="659"/>
      <c r="X1405" s="658"/>
      <c r="Y1405" s="659"/>
      <c r="Z1405" s="658"/>
      <c r="AA1405" s="659"/>
      <c r="AB1405" s="658"/>
      <c r="AC1405" s="660"/>
      <c r="AD1405" s="682">
        <v>0</v>
      </c>
      <c r="AE1405" s="944" t="s">
        <v>1904</v>
      </c>
      <c r="AF1405" s="661" t="s">
        <v>1745</v>
      </c>
      <c r="AG1405" s="662" t="s">
        <v>1432</v>
      </c>
      <c r="AH1405" s="662" t="s">
        <v>2131</v>
      </c>
      <c r="AI1405" s="662">
        <v>25000</v>
      </c>
      <c r="AJ1405" s="662">
        <v>25000</v>
      </c>
      <c r="AK1405" s="662">
        <v>5000</v>
      </c>
      <c r="AL1405" s="658">
        <v>8.0000000000000004E-4</v>
      </c>
      <c r="AM1405" s="658">
        <v>0</v>
      </c>
      <c r="AN1405" s="659" t="s">
        <v>2127</v>
      </c>
      <c r="AO1405" s="253" t="s">
        <v>34</v>
      </c>
      <c r="AP1405" s="944" t="s">
        <v>1731</v>
      </c>
      <c r="AQ1405" s="663" t="s">
        <v>659</v>
      </c>
      <c r="AR1405" s="658">
        <v>1.3333333333333299E-4</v>
      </c>
      <c r="AS1405" s="658">
        <v>1.3333333333333299E-4</v>
      </c>
      <c r="AT1405" s="658" t="s">
        <v>1417</v>
      </c>
      <c r="AU1405" s="658" t="s">
        <v>2751</v>
      </c>
      <c r="AX1405"/>
      <c r="AY1405"/>
      <c r="BA1405"/>
      <c r="BB1405"/>
      <c r="BC1405"/>
      <c r="BD1405"/>
      <c r="BE1405"/>
      <c r="BF1405"/>
      <c r="BG1405"/>
      <c r="BH1405"/>
      <c r="BI1405"/>
      <c r="BJ1405"/>
      <c r="BR1405"/>
      <c r="BS1405"/>
      <c r="BT1405"/>
      <c r="BU1405"/>
      <c r="BX1405"/>
      <c r="BY1405"/>
      <c r="CA1405"/>
    </row>
    <row r="1406" spans="2:108" ht="18.75">
      <c r="B1406" s="252" t="s">
        <v>1704</v>
      </c>
      <c r="C1406" s="251">
        <v>20852221000103</v>
      </c>
      <c r="D1406" s="252" t="s">
        <v>14</v>
      </c>
      <c r="E1406" s="252" t="s">
        <v>607</v>
      </c>
      <c r="F1406" s="252" t="s">
        <v>1417</v>
      </c>
      <c r="G1406" s="253" t="s">
        <v>1417</v>
      </c>
      <c r="H1406" s="253" t="s">
        <v>34</v>
      </c>
      <c r="I1406" s="253" t="s">
        <v>34</v>
      </c>
      <c r="J1406" s="253" t="s">
        <v>611</v>
      </c>
      <c r="K1406" s="253" t="s">
        <v>48</v>
      </c>
      <c r="L1406" s="655"/>
      <c r="M1406" s="655" t="s">
        <v>34</v>
      </c>
      <c r="N1406" s="253" t="s">
        <v>4060</v>
      </c>
      <c r="O1406" s="253" t="s">
        <v>1321</v>
      </c>
      <c r="P1406" s="656">
        <v>41893</v>
      </c>
      <c r="Q1406" s="657">
        <v>0</v>
      </c>
      <c r="R1406" s="657">
        <v>11.653216082758622</v>
      </c>
      <c r="S1406" s="253">
        <v>6</v>
      </c>
      <c r="T1406" s="658"/>
      <c r="U1406" s="659"/>
      <c r="V1406" s="658">
        <v>5.1864109995347851E-2</v>
      </c>
      <c r="W1406" s="659">
        <v>0.40222225476070866</v>
      </c>
      <c r="X1406" s="658">
        <v>0.32275052760941914</v>
      </c>
      <c r="Y1406" s="659">
        <v>1.6715225865064109</v>
      </c>
      <c r="Z1406" s="658">
        <v>0.67914431211819593</v>
      </c>
      <c r="AA1406" s="659">
        <v>3.0665247024908724</v>
      </c>
      <c r="AB1406" s="658">
        <v>0.19770738615301292</v>
      </c>
      <c r="AC1406" s="660">
        <v>-0.38986808207451412</v>
      </c>
      <c r="AD1406" s="682">
        <v>0</v>
      </c>
      <c r="AE1406" s="944" t="s">
        <v>1904</v>
      </c>
      <c r="AF1406" s="661" t="s">
        <v>1745</v>
      </c>
      <c r="AG1406" s="662" t="s">
        <v>1432</v>
      </c>
      <c r="AH1406" s="662" t="s">
        <v>1801</v>
      </c>
      <c r="AI1406" s="662">
        <v>200000</v>
      </c>
      <c r="AJ1406" s="662">
        <v>50000</v>
      </c>
      <c r="AK1406" s="662">
        <v>200000</v>
      </c>
      <c r="AL1406" s="658">
        <v>8.0000000000000004E-4</v>
      </c>
      <c r="AM1406" s="658">
        <v>0.1</v>
      </c>
      <c r="AN1406" s="659" t="s">
        <v>34</v>
      </c>
      <c r="AO1406" s="253" t="s">
        <v>34</v>
      </c>
      <c r="AP1406" s="944" t="s">
        <v>1746</v>
      </c>
      <c r="AQ1406" s="663" t="s">
        <v>687</v>
      </c>
      <c r="AR1406" s="658">
        <v>1.3333333333333299E-4</v>
      </c>
      <c r="AS1406" s="658">
        <v>1.3333333333333299E-4</v>
      </c>
      <c r="AT1406" s="658" t="s">
        <v>1417</v>
      </c>
      <c r="AU1406" s="658" t="s">
        <v>2751</v>
      </c>
      <c r="AX1406"/>
      <c r="AY1406"/>
      <c r="BA1406"/>
      <c r="BB1406"/>
      <c r="BC1406"/>
      <c r="BD1406"/>
      <c r="BE1406"/>
      <c r="BF1406"/>
      <c r="BG1406"/>
      <c r="BH1406"/>
      <c r="BI1406"/>
      <c r="BJ1406"/>
      <c r="BR1406"/>
      <c r="BS1406"/>
      <c r="BT1406"/>
      <c r="BU1406"/>
      <c r="BX1406"/>
      <c r="BY1406"/>
      <c r="CA1406"/>
    </row>
    <row r="1407" spans="2:108" ht="18.75">
      <c r="B1407" s="252" t="s">
        <v>416</v>
      </c>
      <c r="C1407" s="251">
        <v>30509221000150</v>
      </c>
      <c r="D1407" s="252" t="s">
        <v>11</v>
      </c>
      <c r="E1407" s="252" t="s">
        <v>620</v>
      </c>
      <c r="F1407" s="252" t="s">
        <v>663</v>
      </c>
      <c r="G1407" s="253" t="s">
        <v>738</v>
      </c>
      <c r="H1407" s="253" t="s">
        <v>34</v>
      </c>
      <c r="I1407" s="253" t="s">
        <v>1304</v>
      </c>
      <c r="J1407" s="253" t="s">
        <v>608</v>
      </c>
      <c r="K1407" s="253" t="s">
        <v>48</v>
      </c>
      <c r="L1407" s="655"/>
      <c r="M1407" s="655" t="s">
        <v>1414</v>
      </c>
      <c r="N1407" s="253" t="s">
        <v>4061</v>
      </c>
      <c r="O1407" s="253" t="s">
        <v>1321</v>
      </c>
      <c r="P1407" s="656">
        <v>43203</v>
      </c>
      <c r="Q1407" s="657">
        <v>1543.97276973</v>
      </c>
      <c r="R1407" s="657">
        <v>1087.6268466642744</v>
      </c>
      <c r="S1407" s="253">
        <v>0</v>
      </c>
      <c r="T1407" s="658">
        <v>1.9407921549273066E-2</v>
      </c>
      <c r="U1407" s="659">
        <v>0.9704746871928831</v>
      </c>
      <c r="V1407" s="658">
        <v>0.12861747700903581</v>
      </c>
      <c r="W1407" s="659">
        <v>0.99746841522679863</v>
      </c>
      <c r="X1407" s="658">
        <v>0.19874974803745893</v>
      </c>
      <c r="Y1407" s="659">
        <v>1.0293234696400089</v>
      </c>
      <c r="Z1407" s="658">
        <v>0.23155660961394564</v>
      </c>
      <c r="AA1407" s="659">
        <v>1.0455422371005898</v>
      </c>
      <c r="AB1407" s="658">
        <v>1.7174100069231651E-3</v>
      </c>
      <c r="AC1407" s="660">
        <v>-0.19007251409776388</v>
      </c>
      <c r="AD1407" s="682">
        <v>0</v>
      </c>
      <c r="AE1407" s="944" t="s">
        <v>1978</v>
      </c>
      <c r="AF1407" s="661" t="s">
        <v>1783</v>
      </c>
      <c r="AG1407" s="662" t="s">
        <v>736</v>
      </c>
      <c r="AH1407" s="662" t="s">
        <v>1734</v>
      </c>
      <c r="AI1407" s="662">
        <v>100</v>
      </c>
      <c r="AJ1407" s="662">
        <v>100</v>
      </c>
      <c r="AK1407" s="662">
        <v>100</v>
      </c>
      <c r="AL1407" s="658">
        <v>6.0000000000000001E-3</v>
      </c>
      <c r="AM1407" s="658">
        <v>0</v>
      </c>
      <c r="AN1407" s="659" t="s">
        <v>64</v>
      </c>
      <c r="AO1407" s="253" t="s">
        <v>34</v>
      </c>
      <c r="AP1407" s="944" t="s">
        <v>1735</v>
      </c>
      <c r="AQ1407" s="663" t="s">
        <v>675</v>
      </c>
      <c r="AR1407" s="658">
        <v>8.0000000000000004E-4</v>
      </c>
      <c r="AS1407" s="658">
        <v>8.0000000000000004E-4</v>
      </c>
      <c r="AT1407" s="658" t="s">
        <v>1417</v>
      </c>
      <c r="AU1407" s="658" t="s">
        <v>2751</v>
      </c>
      <c r="AX1407"/>
      <c r="AY1407"/>
      <c r="BA1407"/>
      <c r="BB1407"/>
      <c r="BC1407"/>
      <c r="BD1407"/>
      <c r="BE1407"/>
      <c r="BF1407"/>
      <c r="BG1407"/>
      <c r="BH1407"/>
      <c r="BI1407"/>
      <c r="BJ1407"/>
      <c r="BR1407"/>
      <c r="BS1407"/>
      <c r="BT1407"/>
      <c r="BU1407"/>
      <c r="BX1407"/>
    </row>
    <row r="1408" spans="2:108" ht="18.75">
      <c r="B1408" s="252" t="s">
        <v>1238</v>
      </c>
      <c r="C1408" s="251">
        <v>27477408000105</v>
      </c>
      <c r="D1408" s="252" t="s">
        <v>13</v>
      </c>
      <c r="E1408" s="252" t="s">
        <v>615</v>
      </c>
      <c r="F1408" s="252" t="s">
        <v>619</v>
      </c>
      <c r="G1408" s="253" t="s">
        <v>34</v>
      </c>
      <c r="H1408" s="253" t="s">
        <v>1338</v>
      </c>
      <c r="I1408" s="253" t="s">
        <v>34</v>
      </c>
      <c r="J1408" s="253" t="s">
        <v>1417</v>
      </c>
      <c r="K1408" s="253" t="s">
        <v>48</v>
      </c>
      <c r="L1408" s="655"/>
      <c r="M1408" s="655" t="s">
        <v>1414</v>
      </c>
      <c r="N1408" s="253" t="s">
        <v>4062</v>
      </c>
      <c r="O1408" s="253" t="s">
        <v>1321</v>
      </c>
      <c r="P1408" s="656">
        <v>43250</v>
      </c>
      <c r="Q1408" s="657">
        <v>0</v>
      </c>
      <c r="R1408" s="657">
        <v>0</v>
      </c>
      <c r="S1408" s="253">
        <v>22</v>
      </c>
      <c r="T1408" s="658"/>
      <c r="U1408" s="659"/>
      <c r="V1408" s="658"/>
      <c r="W1408" s="659"/>
      <c r="X1408" s="658"/>
      <c r="Y1408" s="659"/>
      <c r="Z1408" s="658"/>
      <c r="AA1408" s="659"/>
      <c r="AB1408" s="658"/>
      <c r="AC1408" s="660"/>
      <c r="AD1408" s="682">
        <v>0</v>
      </c>
      <c r="AE1408" s="944" t="s">
        <v>1978</v>
      </c>
      <c r="AF1408" s="661" t="s">
        <v>1783</v>
      </c>
      <c r="AG1408" s="662" t="s">
        <v>736</v>
      </c>
      <c r="AH1408" s="662" t="s">
        <v>1734</v>
      </c>
      <c r="AI1408" s="662">
        <v>100</v>
      </c>
      <c r="AJ1408" s="662">
        <v>100</v>
      </c>
      <c r="AK1408" s="662">
        <v>0</v>
      </c>
      <c r="AL1408" s="658">
        <v>8.5000000000000006E-3</v>
      </c>
      <c r="AM1408" s="658">
        <v>0.1</v>
      </c>
      <c r="AN1408" s="659" t="s">
        <v>64</v>
      </c>
      <c r="AO1408" s="253" t="s">
        <v>34</v>
      </c>
      <c r="AP1408" s="944" t="s">
        <v>1746</v>
      </c>
      <c r="AQ1408" s="663" t="s">
        <v>668</v>
      </c>
      <c r="AR1408" s="658">
        <v>2.2666666666666699E-3</v>
      </c>
      <c r="AS1408" s="658">
        <v>2.2666666666666699E-3</v>
      </c>
      <c r="AT1408" s="658" t="s">
        <v>1417</v>
      </c>
      <c r="AU1408" s="658" t="s">
        <v>2751</v>
      </c>
      <c r="AX1408"/>
      <c r="AY1408"/>
      <c r="BA1408"/>
      <c r="BB1408"/>
      <c r="BC1408"/>
      <c r="BD1408"/>
      <c r="BE1408"/>
      <c r="BF1408"/>
      <c r="BG1408"/>
      <c r="BH1408"/>
      <c r="BI1408"/>
      <c r="BJ1408"/>
      <c r="BR1408"/>
      <c r="BS1408"/>
      <c r="BT1408"/>
      <c r="BU1408"/>
      <c r="BX1408"/>
    </row>
    <row r="1409" spans="2:76" ht="18.75">
      <c r="B1409" s="252" t="s">
        <v>1239</v>
      </c>
      <c r="C1409" s="251">
        <v>28849591000195</v>
      </c>
      <c r="D1409" s="252" t="s">
        <v>11</v>
      </c>
      <c r="E1409" s="252" t="s">
        <v>621</v>
      </c>
      <c r="F1409" s="252" t="s">
        <v>692</v>
      </c>
      <c r="G1409" s="253" t="s">
        <v>738</v>
      </c>
      <c r="H1409" s="253" t="s">
        <v>34</v>
      </c>
      <c r="I1409" s="253" t="s">
        <v>1417</v>
      </c>
      <c r="J1409" s="253" t="s">
        <v>608</v>
      </c>
      <c r="K1409" s="253" t="s">
        <v>48</v>
      </c>
      <c r="L1409" s="655"/>
      <c r="M1409" s="655" t="s">
        <v>34</v>
      </c>
      <c r="N1409" s="253" t="s">
        <v>4063</v>
      </c>
      <c r="O1409" s="253" t="s">
        <v>1321</v>
      </c>
      <c r="P1409" s="656">
        <v>43053</v>
      </c>
      <c r="Q1409" s="657">
        <v>0</v>
      </c>
      <c r="R1409" s="657">
        <v>0</v>
      </c>
      <c r="S1409" s="253">
        <v>46</v>
      </c>
      <c r="T1409" s="658"/>
      <c r="U1409" s="659"/>
      <c r="V1409" s="658"/>
      <c r="W1409" s="659"/>
      <c r="X1409" s="658"/>
      <c r="Y1409" s="659"/>
      <c r="Z1409" s="658"/>
      <c r="AA1409" s="659"/>
      <c r="AB1409" s="658"/>
      <c r="AC1409" s="660"/>
      <c r="AD1409" s="682">
        <v>0</v>
      </c>
      <c r="AE1409" s="944" t="s">
        <v>1978</v>
      </c>
      <c r="AF1409" s="661" t="s">
        <v>1783</v>
      </c>
      <c r="AG1409" s="662" t="s">
        <v>736</v>
      </c>
      <c r="AH1409" s="662" t="s">
        <v>1734</v>
      </c>
      <c r="AI1409" s="662">
        <v>100</v>
      </c>
      <c r="AJ1409" s="662">
        <v>100</v>
      </c>
      <c r="AK1409" s="662">
        <v>100</v>
      </c>
      <c r="AL1409" s="658">
        <v>1.1000000000000001E-2</v>
      </c>
      <c r="AM1409" s="658">
        <v>0</v>
      </c>
      <c r="AN1409" s="659" t="s">
        <v>64</v>
      </c>
      <c r="AO1409" s="253" t="s">
        <v>34</v>
      </c>
      <c r="AP1409" s="944" t="s">
        <v>1746</v>
      </c>
      <c r="AQ1409" s="663" t="s">
        <v>671</v>
      </c>
      <c r="AR1409" s="658">
        <v>2.9333333333333299E-3</v>
      </c>
      <c r="AS1409" s="658">
        <v>2.9333333333333299E-3</v>
      </c>
      <c r="AT1409" s="658" t="s">
        <v>1417</v>
      </c>
      <c r="AU1409" s="658" t="s">
        <v>2751</v>
      </c>
      <c r="AX1409"/>
      <c r="AY1409"/>
      <c r="BA1409"/>
      <c r="BB1409"/>
      <c r="BC1409"/>
      <c r="BD1409"/>
      <c r="BE1409"/>
      <c r="BF1409"/>
      <c r="BG1409"/>
      <c r="BH1409"/>
      <c r="BI1409"/>
      <c r="BJ1409"/>
      <c r="BR1409"/>
      <c r="BS1409"/>
      <c r="BT1409"/>
      <c r="BU1409"/>
      <c r="BX1409"/>
    </row>
    <row r="1410" spans="2:76" ht="18.75">
      <c r="B1410" s="252" t="s">
        <v>417</v>
      </c>
      <c r="C1410" s="251">
        <v>36017289000107</v>
      </c>
      <c r="D1410" s="252" t="s">
        <v>11</v>
      </c>
      <c r="E1410" s="252" t="s">
        <v>620</v>
      </c>
      <c r="F1410" s="252" t="s">
        <v>663</v>
      </c>
      <c r="G1410" s="253" t="s">
        <v>738</v>
      </c>
      <c r="H1410" s="253" t="s">
        <v>34</v>
      </c>
      <c r="I1410" s="253" t="s">
        <v>34</v>
      </c>
      <c r="J1410" s="253" t="s">
        <v>608</v>
      </c>
      <c r="K1410" s="253" t="s">
        <v>48</v>
      </c>
      <c r="L1410" s="655"/>
      <c r="M1410" s="655" t="s">
        <v>1414</v>
      </c>
      <c r="N1410" s="253" t="s">
        <v>4064</v>
      </c>
      <c r="O1410" s="253" t="s">
        <v>1321</v>
      </c>
      <c r="P1410" s="656">
        <v>43836</v>
      </c>
      <c r="Q1410" s="657">
        <v>502.53020879000002</v>
      </c>
      <c r="R1410" s="657">
        <v>362.21526130384615</v>
      </c>
      <c r="S1410" s="253">
        <v>7</v>
      </c>
      <c r="T1410" s="658">
        <v>2.0735622083922989E-2</v>
      </c>
      <c r="U1410" s="659">
        <v>1.0368650916356745</v>
      </c>
      <c r="V1410" s="658">
        <v>0.13527959325707961</v>
      </c>
      <c r="W1410" s="659">
        <v>1.0491351924838748</v>
      </c>
      <c r="X1410" s="658">
        <v>0.2108842519503169</v>
      </c>
      <c r="Y1410" s="659">
        <v>1.0921679753225477</v>
      </c>
      <c r="Z1410" s="658">
        <v>0.23408476999999972</v>
      </c>
      <c r="AA1410" s="659">
        <v>1.0569575815824035</v>
      </c>
      <c r="AB1410" s="658">
        <v>2.0559832559124995E-3</v>
      </c>
      <c r="AC1410" s="660">
        <v>3.0815833699381545</v>
      </c>
      <c r="AD1410" s="682">
        <v>0</v>
      </c>
      <c r="AE1410" s="944" t="s">
        <v>1978</v>
      </c>
      <c r="AF1410" s="661" t="s">
        <v>1783</v>
      </c>
      <c r="AG1410" s="662" t="s">
        <v>736</v>
      </c>
      <c r="AH1410" s="662" t="s">
        <v>1734</v>
      </c>
      <c r="AI1410" s="662">
        <v>100</v>
      </c>
      <c r="AJ1410" s="662">
        <v>100</v>
      </c>
      <c r="AK1410" s="662">
        <v>100</v>
      </c>
      <c r="AL1410" s="658">
        <v>5.0000000000000001E-3</v>
      </c>
      <c r="AM1410" s="658">
        <v>0</v>
      </c>
      <c r="AN1410" s="659" t="s">
        <v>64</v>
      </c>
      <c r="AO1410" s="253" t="s">
        <v>34</v>
      </c>
      <c r="AP1410" s="944" t="s">
        <v>1735</v>
      </c>
      <c r="AQ1410" s="663" t="s">
        <v>675</v>
      </c>
      <c r="AR1410" s="658">
        <v>8.0000000000000004E-4</v>
      </c>
      <c r="AS1410" s="658">
        <v>8.0000000000000004E-4</v>
      </c>
      <c r="AT1410" s="658" t="s">
        <v>1417</v>
      </c>
      <c r="AU1410" s="658" t="s">
        <v>2751</v>
      </c>
      <c r="AX1410"/>
      <c r="AY1410"/>
      <c r="BA1410"/>
      <c r="BB1410"/>
      <c r="BC1410"/>
      <c r="BD1410"/>
      <c r="BE1410"/>
      <c r="BF1410"/>
      <c r="BG1410"/>
      <c r="BH1410"/>
      <c r="BI1410"/>
      <c r="BJ1410"/>
      <c r="BR1410"/>
      <c r="BS1410"/>
      <c r="BT1410"/>
      <c r="BU1410"/>
      <c r="BX1410"/>
    </row>
    <row r="1411" spans="2:76" ht="18.75">
      <c r="B1411" s="252" t="s">
        <v>1240</v>
      </c>
      <c r="C1411" s="251">
        <v>35948858000167</v>
      </c>
      <c r="D1411" s="252" t="s">
        <v>14</v>
      </c>
      <c r="E1411" s="252" t="s">
        <v>607</v>
      </c>
      <c r="F1411" s="252" t="s">
        <v>1417</v>
      </c>
      <c r="G1411" s="253" t="s">
        <v>1417</v>
      </c>
      <c r="H1411" s="253" t="s">
        <v>34</v>
      </c>
      <c r="I1411" s="253" t="s">
        <v>34</v>
      </c>
      <c r="J1411" s="253" t="s">
        <v>608</v>
      </c>
      <c r="K1411" s="253" t="s">
        <v>48</v>
      </c>
      <c r="L1411" s="655"/>
      <c r="M1411" s="655" t="s">
        <v>34</v>
      </c>
      <c r="N1411" s="253" t="s">
        <v>4065</v>
      </c>
      <c r="O1411" s="253" t="s">
        <v>1321</v>
      </c>
      <c r="P1411" s="656">
        <v>43819</v>
      </c>
      <c r="Q1411" s="657">
        <v>21.169606269999999</v>
      </c>
      <c r="R1411" s="657">
        <v>23.859880958554214</v>
      </c>
      <c r="S1411" s="253">
        <v>17</v>
      </c>
      <c r="T1411" s="658">
        <v>-3.260445392760114E-2</v>
      </c>
      <c r="U1411" s="659">
        <v>-1.6303547572650121</v>
      </c>
      <c r="V1411" s="658">
        <v>-0.13097046916296107</v>
      </c>
      <c r="W1411" s="659">
        <v>-1.0157165989837544</v>
      </c>
      <c r="X1411" s="658">
        <v>-0.11702952729490412</v>
      </c>
      <c r="Y1411" s="659">
        <v>-0.6060950530755751</v>
      </c>
      <c r="Z1411" s="658">
        <v>-9.6057921039471861E-3</v>
      </c>
      <c r="AA1411" s="659">
        <v>-4.3372812299456213E-2</v>
      </c>
      <c r="AB1411" s="658">
        <v>0.21125668055942026</v>
      </c>
      <c r="AC1411" s="660">
        <v>-1.2303250146763676</v>
      </c>
      <c r="AD1411" s="682">
        <v>0</v>
      </c>
      <c r="AE1411" s="944" t="s">
        <v>1978</v>
      </c>
      <c r="AF1411" s="661" t="s">
        <v>1745</v>
      </c>
      <c r="AG1411" s="662" t="s">
        <v>1432</v>
      </c>
      <c r="AH1411" s="662" t="s">
        <v>1734</v>
      </c>
      <c r="AI1411" s="662">
        <v>100</v>
      </c>
      <c r="AJ1411" s="662">
        <v>100</v>
      </c>
      <c r="AK1411" s="662">
        <v>100</v>
      </c>
      <c r="AL1411" s="658">
        <v>1.8000000000000002E-2</v>
      </c>
      <c r="AM1411" s="658">
        <v>0.2</v>
      </c>
      <c r="AN1411" s="659" t="s">
        <v>2127</v>
      </c>
      <c r="AO1411" s="253" t="s">
        <v>34</v>
      </c>
      <c r="AP1411" s="944" t="s">
        <v>1731</v>
      </c>
      <c r="AQ1411" s="663" t="s">
        <v>659</v>
      </c>
      <c r="AR1411" s="658">
        <v>6.0000000000000001E-3</v>
      </c>
      <c r="AS1411" s="658">
        <v>6.0000000000000001E-3</v>
      </c>
      <c r="AT1411" s="658" t="s">
        <v>1417</v>
      </c>
      <c r="AU1411" s="658" t="s">
        <v>2751</v>
      </c>
      <c r="AX1411"/>
      <c r="AY1411"/>
      <c r="BA1411"/>
      <c r="BB1411"/>
      <c r="BC1411"/>
      <c r="BD1411"/>
      <c r="BE1411"/>
      <c r="BF1411"/>
      <c r="BG1411"/>
      <c r="BH1411"/>
      <c r="BI1411"/>
      <c r="BJ1411"/>
      <c r="BR1411"/>
      <c r="BS1411"/>
      <c r="BT1411"/>
      <c r="BU1411"/>
      <c r="BX1411"/>
    </row>
    <row r="1412" spans="2:76" ht="18.75">
      <c r="B1412" s="252" t="s">
        <v>1241</v>
      </c>
      <c r="C1412" s="251">
        <v>10326625000100</v>
      </c>
      <c r="D1412" s="252" t="s">
        <v>11</v>
      </c>
      <c r="E1412" s="252" t="s">
        <v>620</v>
      </c>
      <c r="F1412" s="252" t="s">
        <v>685</v>
      </c>
      <c r="G1412" s="253" t="s">
        <v>738</v>
      </c>
      <c r="H1412" s="253" t="s">
        <v>34</v>
      </c>
      <c r="I1412" s="253" t="s">
        <v>1319</v>
      </c>
      <c r="J1412" s="253" t="s">
        <v>608</v>
      </c>
      <c r="K1412" s="253" t="s">
        <v>48</v>
      </c>
      <c r="L1412" s="655"/>
      <c r="M1412" s="655" t="s">
        <v>34</v>
      </c>
      <c r="N1412" s="253" t="s">
        <v>4066</v>
      </c>
      <c r="O1412" s="253" t="s">
        <v>1321</v>
      </c>
      <c r="P1412" s="656">
        <v>39831</v>
      </c>
      <c r="Q1412" s="657">
        <v>405.31084900000002</v>
      </c>
      <c r="R1412" s="657">
        <v>335.09797810080624</v>
      </c>
      <c r="S1412" s="253">
        <v>15</v>
      </c>
      <c r="T1412" s="658">
        <v>2.4835785870571669E-3</v>
      </c>
      <c r="U1412" s="659">
        <v>0.12418898882469585</v>
      </c>
      <c r="V1412" s="658">
        <v>0.12253747949006222</v>
      </c>
      <c r="W1412" s="659">
        <v>0.95031614921393481</v>
      </c>
      <c r="X1412" s="658">
        <v>0.2071176324264965</v>
      </c>
      <c r="Y1412" s="659">
        <v>1.072660680770698</v>
      </c>
      <c r="Z1412" s="658">
        <v>0.24097573482822754</v>
      </c>
      <c r="AA1412" s="659">
        <v>1.0880721966836471</v>
      </c>
      <c r="AB1412" s="658">
        <v>6.671630662426202E-3</v>
      </c>
      <c r="AC1412" s="660">
        <v>-0.96024949234770363</v>
      </c>
      <c r="AD1412" s="682">
        <v>0</v>
      </c>
      <c r="AE1412" s="944" t="s">
        <v>1816</v>
      </c>
      <c r="AF1412" s="661" t="s">
        <v>1729</v>
      </c>
      <c r="AG1412" s="662" t="s">
        <v>1433</v>
      </c>
      <c r="AH1412" s="662" t="s">
        <v>1734</v>
      </c>
      <c r="AI1412" s="662">
        <v>1000</v>
      </c>
      <c r="AJ1412" s="662">
        <v>100</v>
      </c>
      <c r="AK1412" s="662">
        <v>0</v>
      </c>
      <c r="AL1412" s="658">
        <v>4.0000000000000001E-3</v>
      </c>
      <c r="AM1412" s="658">
        <v>0.2</v>
      </c>
      <c r="AN1412" s="659" t="s">
        <v>2127</v>
      </c>
      <c r="AO1412" s="253" t="s">
        <v>34</v>
      </c>
      <c r="AP1412" s="944" t="s">
        <v>1735</v>
      </c>
      <c r="AQ1412" s="663" t="s">
        <v>675</v>
      </c>
      <c r="AR1412" s="658">
        <v>1.3500000000000001E-3</v>
      </c>
      <c r="AS1412" s="658">
        <v>1.3500000000000001E-3</v>
      </c>
      <c r="AT1412" s="658" t="s">
        <v>1417</v>
      </c>
      <c r="AU1412" s="658" t="s">
        <v>2751</v>
      </c>
      <c r="AX1412"/>
      <c r="AY1412"/>
      <c r="BA1412"/>
      <c r="BB1412"/>
      <c r="BC1412"/>
      <c r="BD1412"/>
      <c r="BE1412"/>
      <c r="BF1412"/>
      <c r="BG1412"/>
      <c r="BH1412"/>
      <c r="BI1412"/>
      <c r="BJ1412"/>
      <c r="BR1412"/>
      <c r="BS1412"/>
      <c r="BT1412"/>
      <c r="BU1412"/>
      <c r="BX1412"/>
    </row>
    <row r="1413" spans="2:76" ht="18.75">
      <c r="B1413" s="252" t="s">
        <v>418</v>
      </c>
      <c r="C1413" s="251">
        <v>11701985000107</v>
      </c>
      <c r="D1413" s="252" t="s">
        <v>11</v>
      </c>
      <c r="E1413" s="252" t="s">
        <v>620</v>
      </c>
      <c r="F1413" s="252" t="s">
        <v>685</v>
      </c>
      <c r="G1413" s="253" t="s">
        <v>738</v>
      </c>
      <c r="H1413" s="253" t="s">
        <v>34</v>
      </c>
      <c r="I1413" s="253" t="s">
        <v>1319</v>
      </c>
      <c r="J1413" s="253" t="s">
        <v>608</v>
      </c>
      <c r="K1413" s="253" t="s">
        <v>48</v>
      </c>
      <c r="L1413" s="655"/>
      <c r="M1413" s="655" t="s">
        <v>34</v>
      </c>
      <c r="N1413" s="253" t="s">
        <v>4067</v>
      </c>
      <c r="O1413" s="253" t="s">
        <v>1321</v>
      </c>
      <c r="P1413" s="656">
        <v>40321</v>
      </c>
      <c r="Q1413" s="657">
        <v>280.46091799999999</v>
      </c>
      <c r="R1413" s="657">
        <v>185.52869219105682</v>
      </c>
      <c r="S1413" s="253">
        <v>91</v>
      </c>
      <c r="T1413" s="658">
        <v>2.0635164360425007E-2</v>
      </c>
      <c r="U1413" s="659">
        <v>1.0318417985674138</v>
      </c>
      <c r="V1413" s="658">
        <v>0.15523040333028404</v>
      </c>
      <c r="W1413" s="659">
        <v>1.2038599108424226</v>
      </c>
      <c r="X1413" s="658">
        <v>0.25832827179757345</v>
      </c>
      <c r="Y1413" s="659">
        <v>1.3378802019043063</v>
      </c>
      <c r="Z1413" s="658">
        <v>0.30690134123876156</v>
      </c>
      <c r="AA1413" s="659">
        <v>1.385744572020289</v>
      </c>
      <c r="AB1413" s="658">
        <v>3.0667684597949223E-3</v>
      </c>
      <c r="AC1413" s="660">
        <v>8.571398274147338</v>
      </c>
      <c r="AD1413" s="682">
        <v>22128298000152</v>
      </c>
      <c r="AE1413" s="944" t="s">
        <v>1816</v>
      </c>
      <c r="AF1413" s="661" t="s">
        <v>1729</v>
      </c>
      <c r="AG1413" s="662" t="s">
        <v>1433</v>
      </c>
      <c r="AH1413" s="662" t="s">
        <v>1730</v>
      </c>
      <c r="AI1413" s="662">
        <v>1000</v>
      </c>
      <c r="AJ1413" s="662">
        <v>0</v>
      </c>
      <c r="AK1413" s="662">
        <v>0</v>
      </c>
      <c r="AL1413" s="658">
        <v>5.0000000000000001E-3</v>
      </c>
      <c r="AM1413" s="658">
        <v>0.2</v>
      </c>
      <c r="AN1413" s="659" t="s">
        <v>64</v>
      </c>
      <c r="AO1413" s="253" t="s">
        <v>34</v>
      </c>
      <c r="AP1413" s="944" t="s">
        <v>1746</v>
      </c>
      <c r="AQ1413" s="663" t="s">
        <v>686</v>
      </c>
      <c r="AR1413" s="658">
        <v>8.0000000000000004E-4</v>
      </c>
      <c r="AS1413" s="658">
        <v>8.0000000000000004E-4</v>
      </c>
      <c r="AT1413" s="658" t="s">
        <v>1417</v>
      </c>
      <c r="AU1413" s="658" t="s">
        <v>2751</v>
      </c>
      <c r="AX1413"/>
      <c r="AY1413"/>
      <c r="BA1413"/>
      <c r="BB1413"/>
      <c r="BC1413"/>
      <c r="BD1413"/>
      <c r="BE1413"/>
      <c r="BF1413"/>
      <c r="BG1413"/>
      <c r="BH1413"/>
      <c r="BI1413"/>
      <c r="BJ1413"/>
      <c r="BR1413"/>
      <c r="BS1413"/>
      <c r="BT1413"/>
      <c r="BU1413"/>
      <c r="BX1413"/>
    </row>
    <row r="1414" spans="2:76" ht="18.75">
      <c r="B1414" s="252" t="s">
        <v>419</v>
      </c>
      <c r="C1414" s="251">
        <v>23729525000168</v>
      </c>
      <c r="D1414" s="252" t="s">
        <v>11</v>
      </c>
      <c r="E1414" s="252" t="s">
        <v>620</v>
      </c>
      <c r="F1414" s="252" t="s">
        <v>685</v>
      </c>
      <c r="G1414" s="253" t="s">
        <v>738</v>
      </c>
      <c r="H1414" s="253" t="s">
        <v>34</v>
      </c>
      <c r="I1414" s="253" t="s">
        <v>1319</v>
      </c>
      <c r="J1414" s="253" t="s">
        <v>608</v>
      </c>
      <c r="K1414" s="253" t="s">
        <v>48</v>
      </c>
      <c r="L1414" s="655"/>
      <c r="M1414" s="655" t="s">
        <v>34</v>
      </c>
      <c r="N1414" s="253" t="s">
        <v>4068</v>
      </c>
      <c r="O1414" s="253" t="s">
        <v>1321</v>
      </c>
      <c r="P1414" s="656">
        <v>42554</v>
      </c>
      <c r="Q1414" s="657">
        <v>140.382668</v>
      </c>
      <c r="R1414" s="657">
        <v>78.49934855102039</v>
      </c>
      <c r="S1414" s="253">
        <v>91</v>
      </c>
      <c r="T1414" s="658">
        <v>2.022395386727327E-2</v>
      </c>
      <c r="U1414" s="659">
        <v>1.0112796083453077</v>
      </c>
      <c r="V1414" s="658">
        <v>0.1517279402931464</v>
      </c>
      <c r="W1414" s="659">
        <v>1.1766972239643503</v>
      </c>
      <c r="X1414" s="658">
        <v>0.24992692155148388</v>
      </c>
      <c r="Y1414" s="659">
        <v>1.2943696713483834</v>
      </c>
      <c r="Z1414" s="658">
        <v>0.29383152743298968</v>
      </c>
      <c r="AA1414" s="659">
        <v>1.326730742150533</v>
      </c>
      <c r="AB1414" s="658">
        <v>3.4033474431462152E-3</v>
      </c>
      <c r="AC1414" s="660">
        <v>6.6945944329725604</v>
      </c>
      <c r="AD1414" s="682">
        <v>22128298000152</v>
      </c>
      <c r="AE1414" s="944" t="s">
        <v>1816</v>
      </c>
      <c r="AF1414" s="661" t="s">
        <v>1729</v>
      </c>
      <c r="AG1414" s="662" t="s">
        <v>1433</v>
      </c>
      <c r="AH1414" s="662" t="s">
        <v>1730</v>
      </c>
      <c r="AI1414" s="662">
        <v>1000</v>
      </c>
      <c r="AJ1414" s="662">
        <v>1000</v>
      </c>
      <c r="AK1414" s="662">
        <v>1000</v>
      </c>
      <c r="AL1414" s="658">
        <v>8.0000000000000002E-3</v>
      </c>
      <c r="AM1414" s="658">
        <v>0.2</v>
      </c>
      <c r="AN1414" s="659" t="s">
        <v>64</v>
      </c>
      <c r="AO1414" s="253" t="s">
        <v>34</v>
      </c>
      <c r="AP1414" s="944" t="s">
        <v>1746</v>
      </c>
      <c r="AQ1414" s="663" t="s">
        <v>686</v>
      </c>
      <c r="AR1414" s="658">
        <v>2.3999999999999998E-3</v>
      </c>
      <c r="AS1414" s="658">
        <v>2.3999999999999998E-3</v>
      </c>
      <c r="AT1414" s="658" t="s">
        <v>1417</v>
      </c>
      <c r="AU1414" s="658" t="s">
        <v>2751</v>
      </c>
      <c r="AX1414"/>
      <c r="AY1414"/>
      <c r="BA1414"/>
      <c r="BB1414"/>
      <c r="BC1414"/>
      <c r="BD1414"/>
      <c r="BE1414"/>
      <c r="BF1414"/>
      <c r="BG1414"/>
      <c r="BH1414"/>
      <c r="BI1414"/>
      <c r="BJ1414"/>
      <c r="BR1414"/>
      <c r="BS1414"/>
      <c r="BT1414"/>
      <c r="BU1414"/>
      <c r="BX1414"/>
    </row>
    <row r="1415" spans="2:76" ht="18.75">
      <c r="B1415" s="252" t="s">
        <v>1242</v>
      </c>
      <c r="C1415" s="251">
        <v>17313316000136</v>
      </c>
      <c r="D1415" s="252" t="s">
        <v>11</v>
      </c>
      <c r="E1415" s="252" t="s">
        <v>620</v>
      </c>
      <c r="F1415" s="252" t="s">
        <v>685</v>
      </c>
      <c r="G1415" s="253" t="s">
        <v>738</v>
      </c>
      <c r="H1415" s="253" t="s">
        <v>34</v>
      </c>
      <c r="I1415" s="253" t="s">
        <v>1319</v>
      </c>
      <c r="J1415" s="253" t="s">
        <v>608</v>
      </c>
      <c r="K1415" s="253" t="s">
        <v>48</v>
      </c>
      <c r="L1415" s="655"/>
      <c r="M1415" s="655" t="s">
        <v>34</v>
      </c>
      <c r="N1415" s="253" t="s">
        <v>4069</v>
      </c>
      <c r="O1415" s="253" t="s">
        <v>1321</v>
      </c>
      <c r="P1415" s="656">
        <v>41361</v>
      </c>
      <c r="Q1415" s="657">
        <v>753.05049399999996</v>
      </c>
      <c r="R1415" s="657">
        <v>485.37751668979587</v>
      </c>
      <c r="S1415" s="253">
        <v>181</v>
      </c>
      <c r="T1415" s="658">
        <v>1.8120032459057134E-2</v>
      </c>
      <c r="U1415" s="659">
        <v>0.90607501622382725</v>
      </c>
      <c r="V1415" s="658">
        <v>0.15489365902339403</v>
      </c>
      <c r="W1415" s="659">
        <v>1.2012483543266108</v>
      </c>
      <c r="X1415" s="658">
        <v>0.26492041020230306</v>
      </c>
      <c r="Y1415" s="659">
        <v>1.3720208377647582</v>
      </c>
      <c r="Z1415" s="658">
        <v>0.3346087464622467</v>
      </c>
      <c r="AA1415" s="659">
        <v>1.5108511819758985</v>
      </c>
      <c r="AB1415" s="658">
        <v>5.4044427306546633E-3</v>
      </c>
      <c r="AC1415" s="660">
        <v>4.8015588044657234</v>
      </c>
      <c r="AD1415" s="682">
        <v>0</v>
      </c>
      <c r="AE1415" s="944" t="s">
        <v>1816</v>
      </c>
      <c r="AF1415" s="661" t="s">
        <v>1745</v>
      </c>
      <c r="AG1415" s="662" t="s">
        <v>1432</v>
      </c>
      <c r="AH1415" s="662" t="s">
        <v>1801</v>
      </c>
      <c r="AI1415" s="662">
        <v>0</v>
      </c>
      <c r="AJ1415" s="662">
        <v>0</v>
      </c>
      <c r="AK1415" s="662">
        <v>0</v>
      </c>
      <c r="AL1415" s="658">
        <v>0</v>
      </c>
      <c r="AM1415" s="658">
        <v>0.2</v>
      </c>
      <c r="AN1415" s="659" t="s">
        <v>64</v>
      </c>
      <c r="AO1415" s="253" t="s">
        <v>34</v>
      </c>
      <c r="AP1415" s="944" t="s">
        <v>1746</v>
      </c>
      <c r="AQ1415" s="663" t="s">
        <v>668</v>
      </c>
      <c r="AR1415" s="658">
        <v>3.0666666666666698E-3</v>
      </c>
      <c r="AS1415" s="658">
        <v>3.0666666666666698E-3</v>
      </c>
      <c r="AT1415" s="658" t="s">
        <v>1417</v>
      </c>
      <c r="AU1415" s="658" t="s">
        <v>2751</v>
      </c>
      <c r="AX1415"/>
      <c r="AY1415"/>
      <c r="BA1415"/>
      <c r="BB1415"/>
      <c r="BC1415"/>
      <c r="BD1415"/>
      <c r="BE1415"/>
      <c r="BF1415"/>
      <c r="BG1415"/>
      <c r="BH1415"/>
      <c r="BI1415"/>
      <c r="BJ1415"/>
      <c r="BR1415"/>
      <c r="BS1415"/>
      <c r="BT1415"/>
      <c r="BU1415"/>
      <c r="BX1415"/>
    </row>
    <row r="1416" spans="2:76" ht="18.75">
      <c r="B1416" s="252" t="s">
        <v>1705</v>
      </c>
      <c r="C1416" s="251">
        <v>32397281000154</v>
      </c>
      <c r="D1416" s="252" t="s">
        <v>11</v>
      </c>
      <c r="E1416" s="252" t="s">
        <v>620</v>
      </c>
      <c r="F1416" s="252" t="s">
        <v>663</v>
      </c>
      <c r="G1416" s="253" t="s">
        <v>738</v>
      </c>
      <c r="H1416" s="253" t="s">
        <v>34</v>
      </c>
      <c r="I1416" s="253" t="s">
        <v>1319</v>
      </c>
      <c r="J1416" s="253" t="s">
        <v>608</v>
      </c>
      <c r="K1416" s="253" t="s">
        <v>48</v>
      </c>
      <c r="L1416" s="655"/>
      <c r="M1416" s="655" t="s">
        <v>34</v>
      </c>
      <c r="N1416" s="253" t="s">
        <v>4070</v>
      </c>
      <c r="O1416" s="253" t="s">
        <v>1321</v>
      </c>
      <c r="P1416" s="656">
        <v>43502</v>
      </c>
      <c r="Q1416" s="657">
        <v>35.504551839999998</v>
      </c>
      <c r="R1416" s="657">
        <v>36.739277260645139</v>
      </c>
      <c r="S1416" s="253">
        <v>121</v>
      </c>
      <c r="T1416" s="658">
        <v>1.7208873188428564E-2</v>
      </c>
      <c r="U1416" s="659">
        <v>0.86051336213834495</v>
      </c>
      <c r="V1416" s="658">
        <v>0.14989922808812306</v>
      </c>
      <c r="W1416" s="659">
        <v>1.1625149937770609</v>
      </c>
      <c r="X1416" s="658">
        <v>0.25214973016064501</v>
      </c>
      <c r="Y1416" s="659">
        <v>1.3058815806339046</v>
      </c>
      <c r="Z1416" s="658">
        <v>0.31582928130976318</v>
      </c>
      <c r="AA1416" s="659">
        <v>1.4260566946156996</v>
      </c>
      <c r="AB1416" s="658">
        <v>5.675335066103254E-3</v>
      </c>
      <c r="AC1416" s="660">
        <v>3.6923491559984414</v>
      </c>
      <c r="AD1416" s="682">
        <v>0</v>
      </c>
      <c r="AE1416" s="944" t="s">
        <v>1816</v>
      </c>
      <c r="AF1416" s="661" t="s">
        <v>1745</v>
      </c>
      <c r="AG1416" s="662" t="s">
        <v>1432</v>
      </c>
      <c r="AH1416" s="662" t="s">
        <v>1730</v>
      </c>
      <c r="AI1416" s="662">
        <v>0</v>
      </c>
      <c r="AJ1416" s="662">
        <v>0</v>
      </c>
      <c r="AK1416" s="662">
        <v>0</v>
      </c>
      <c r="AL1416" s="658">
        <v>9.0000000000000011E-3</v>
      </c>
      <c r="AM1416" s="658">
        <v>0.2</v>
      </c>
      <c r="AN1416" s="659" t="s">
        <v>34</v>
      </c>
      <c r="AO1416" s="253" t="s">
        <v>34</v>
      </c>
      <c r="AP1416" s="944" t="s">
        <v>1746</v>
      </c>
      <c r="AQ1416" s="663" t="s">
        <v>668</v>
      </c>
      <c r="AR1416" s="658">
        <v>0</v>
      </c>
      <c r="AS1416" s="658">
        <v>0</v>
      </c>
      <c r="AT1416" s="658" t="s">
        <v>1417</v>
      </c>
      <c r="AU1416" s="658" t="s">
        <v>2751</v>
      </c>
      <c r="AX1416"/>
      <c r="AY1416"/>
      <c r="BA1416"/>
      <c r="BB1416"/>
      <c r="BC1416"/>
      <c r="BD1416"/>
      <c r="BE1416"/>
      <c r="BF1416"/>
      <c r="BG1416"/>
      <c r="BH1416"/>
      <c r="BI1416"/>
      <c r="BJ1416"/>
      <c r="BR1416"/>
      <c r="BS1416"/>
      <c r="BT1416"/>
      <c r="BU1416"/>
      <c r="BX1416"/>
    </row>
    <row r="1417" spans="2:76" ht="18.75">
      <c r="B1417" s="252" t="s">
        <v>420</v>
      </c>
      <c r="C1417" s="251">
        <v>39817321000119</v>
      </c>
      <c r="D1417" s="252" t="s">
        <v>11</v>
      </c>
      <c r="E1417" s="252" t="s">
        <v>620</v>
      </c>
      <c r="F1417" s="252" t="s">
        <v>685</v>
      </c>
      <c r="G1417" s="253" t="s">
        <v>738</v>
      </c>
      <c r="H1417" s="253" t="s">
        <v>34</v>
      </c>
      <c r="I1417" s="253" t="s">
        <v>1319</v>
      </c>
      <c r="J1417" s="253" t="s">
        <v>608</v>
      </c>
      <c r="K1417" s="253" t="s">
        <v>48</v>
      </c>
      <c r="L1417" s="655"/>
      <c r="M1417" s="655" t="s">
        <v>1414</v>
      </c>
      <c r="N1417" s="253" t="s">
        <v>4071</v>
      </c>
      <c r="O1417" s="253" t="s">
        <v>1321</v>
      </c>
      <c r="P1417" s="656">
        <v>44265</v>
      </c>
      <c r="Q1417" s="657">
        <v>0</v>
      </c>
      <c r="R1417" s="657">
        <v>0</v>
      </c>
      <c r="S1417" s="253">
        <v>31</v>
      </c>
      <c r="T1417" s="658"/>
      <c r="U1417" s="659"/>
      <c r="V1417" s="658"/>
      <c r="W1417" s="659"/>
      <c r="X1417" s="658"/>
      <c r="Y1417" s="659"/>
      <c r="Z1417" s="658"/>
      <c r="AA1417" s="659"/>
      <c r="AB1417" s="658"/>
      <c r="AC1417" s="660"/>
      <c r="AD1417" s="682">
        <v>0</v>
      </c>
      <c r="AE1417" s="944" t="s">
        <v>1816</v>
      </c>
      <c r="AF1417" s="661" t="s">
        <v>1742</v>
      </c>
      <c r="AG1417" s="662" t="s">
        <v>741</v>
      </c>
      <c r="AH1417" s="662" t="s">
        <v>2131</v>
      </c>
      <c r="AI1417" s="662">
        <v>1000</v>
      </c>
      <c r="AJ1417" s="662">
        <v>1000</v>
      </c>
      <c r="AK1417" s="662">
        <v>1000</v>
      </c>
      <c r="AL1417" s="658">
        <v>5.4000000000000003E-3</v>
      </c>
      <c r="AM1417" s="658">
        <v>0.1</v>
      </c>
      <c r="AN1417" s="659" t="s">
        <v>2122</v>
      </c>
      <c r="AO1417" s="253" t="s">
        <v>34</v>
      </c>
      <c r="AP1417" s="944" t="s">
        <v>1746</v>
      </c>
      <c r="AQ1417" s="663" t="s">
        <v>679</v>
      </c>
      <c r="AR1417" s="658">
        <v>0</v>
      </c>
      <c r="AS1417" s="658">
        <v>0</v>
      </c>
      <c r="AT1417" s="658" t="s">
        <v>1417</v>
      </c>
      <c r="AU1417" s="658" t="s">
        <v>2751</v>
      </c>
      <c r="AX1417"/>
      <c r="AY1417"/>
      <c r="BA1417"/>
      <c r="BB1417"/>
      <c r="BC1417"/>
      <c r="BD1417"/>
      <c r="BE1417"/>
      <c r="BF1417"/>
      <c r="BG1417"/>
      <c r="BH1417"/>
      <c r="BI1417"/>
      <c r="BJ1417"/>
      <c r="BR1417"/>
      <c r="BS1417"/>
      <c r="BT1417"/>
      <c r="BU1417"/>
      <c r="BX1417"/>
    </row>
    <row r="1418" spans="2:76" ht="18.75">
      <c r="B1418" s="252" t="s">
        <v>1243</v>
      </c>
      <c r="C1418" s="251">
        <v>37240657000136</v>
      </c>
      <c r="D1418" s="252" t="s">
        <v>11</v>
      </c>
      <c r="E1418" s="252" t="s">
        <v>621</v>
      </c>
      <c r="F1418" s="252" t="s">
        <v>672</v>
      </c>
      <c r="G1418" s="253" t="s">
        <v>738</v>
      </c>
      <c r="H1418" s="253" t="s">
        <v>34</v>
      </c>
      <c r="I1418" s="253" t="s">
        <v>1417</v>
      </c>
      <c r="J1418" s="253" t="s">
        <v>608</v>
      </c>
      <c r="K1418" s="253" t="s">
        <v>48</v>
      </c>
      <c r="L1418" s="655"/>
      <c r="M1418" s="655" t="s">
        <v>1414</v>
      </c>
      <c r="N1418" s="253" t="s">
        <v>4072</v>
      </c>
      <c r="O1418" s="253" t="s">
        <v>1321</v>
      </c>
      <c r="P1418" s="656">
        <v>43998</v>
      </c>
      <c r="Q1418" s="657">
        <v>27.657772000000001</v>
      </c>
      <c r="R1418" s="657">
        <v>28.39863294578312</v>
      </c>
      <c r="S1418" s="253">
        <v>3</v>
      </c>
      <c r="T1418" s="658">
        <v>2.1238420179451989E-2</v>
      </c>
      <c r="U1418" s="659">
        <v>1.06200703294252</v>
      </c>
      <c r="V1418" s="658">
        <v>0.12107192366976105</v>
      </c>
      <c r="W1418" s="659">
        <v>0.93895030939576207</v>
      </c>
      <c r="X1418" s="658">
        <v>5.5436903236325552E-2</v>
      </c>
      <c r="Y1418" s="659">
        <v>0.28710731031748188</v>
      </c>
      <c r="Z1418" s="658"/>
      <c r="AA1418" s="659"/>
      <c r="AB1418" s="658">
        <v>2.3127551831396701E-2</v>
      </c>
      <c r="AC1418" s="660">
        <v>-0.34037263582480543</v>
      </c>
      <c r="AD1418" s="682">
        <v>0</v>
      </c>
      <c r="AE1418" s="944" t="s">
        <v>2018</v>
      </c>
      <c r="AF1418" s="661" t="s">
        <v>1745</v>
      </c>
      <c r="AG1418" s="662" t="s">
        <v>1432</v>
      </c>
      <c r="AH1418" s="662" t="s">
        <v>1734</v>
      </c>
      <c r="AI1418" s="662">
        <v>1000</v>
      </c>
      <c r="AJ1418" s="662">
        <v>100</v>
      </c>
      <c r="AK1418" s="662">
        <v>500</v>
      </c>
      <c r="AL1418" s="658">
        <v>5.5000000000000005E-3</v>
      </c>
      <c r="AM1418" s="658">
        <v>0</v>
      </c>
      <c r="AN1418" s="659" t="s">
        <v>2218</v>
      </c>
      <c r="AO1418" s="253" t="s">
        <v>34</v>
      </c>
      <c r="AP1418" s="944" t="s">
        <v>1735</v>
      </c>
      <c r="AQ1418" s="663" t="s">
        <v>676</v>
      </c>
      <c r="AR1418" s="658">
        <v>7.3333333333333302E-4</v>
      </c>
      <c r="AS1418" s="658">
        <v>7.3333333333333302E-4</v>
      </c>
      <c r="AT1418" s="658" t="s">
        <v>1417</v>
      </c>
      <c r="AU1418" s="658" t="s">
        <v>2751</v>
      </c>
      <c r="AX1418"/>
      <c r="AY1418"/>
      <c r="BA1418"/>
      <c r="BB1418"/>
      <c r="BC1418"/>
      <c r="BD1418"/>
      <c r="BE1418"/>
      <c r="BF1418"/>
      <c r="BG1418"/>
      <c r="BH1418"/>
      <c r="BI1418"/>
      <c r="BJ1418"/>
      <c r="BR1418"/>
      <c r="BS1418"/>
      <c r="BT1418"/>
      <c r="BU1418"/>
      <c r="BX1418"/>
    </row>
    <row r="1419" spans="2:76" ht="18.75">
      <c r="B1419" s="252" t="s">
        <v>1244</v>
      </c>
      <c r="C1419" s="251">
        <v>38120906000112</v>
      </c>
      <c r="D1419" s="252" t="s">
        <v>13</v>
      </c>
      <c r="E1419" s="252" t="s">
        <v>615</v>
      </c>
      <c r="F1419" s="252" t="s">
        <v>619</v>
      </c>
      <c r="G1419" s="253" t="s">
        <v>34</v>
      </c>
      <c r="H1419" s="253" t="s">
        <v>1337</v>
      </c>
      <c r="I1419" s="253" t="s">
        <v>34</v>
      </c>
      <c r="J1419" s="253" t="s">
        <v>1417</v>
      </c>
      <c r="K1419" s="253" t="s">
        <v>48</v>
      </c>
      <c r="L1419" s="655"/>
      <c r="M1419" s="655" t="s">
        <v>1414</v>
      </c>
      <c r="N1419" s="253" t="s">
        <v>4073</v>
      </c>
      <c r="O1419" s="253" t="s">
        <v>1321</v>
      </c>
      <c r="P1419" s="656">
        <v>44146</v>
      </c>
      <c r="Q1419" s="657">
        <v>0</v>
      </c>
      <c r="R1419" s="657">
        <v>0</v>
      </c>
      <c r="S1419" s="253">
        <v>31</v>
      </c>
      <c r="T1419" s="658"/>
      <c r="U1419" s="659"/>
      <c r="V1419" s="658"/>
      <c r="W1419" s="659"/>
      <c r="X1419" s="658"/>
      <c r="Y1419" s="659"/>
      <c r="Z1419" s="658"/>
      <c r="AA1419" s="659"/>
      <c r="AB1419" s="658"/>
      <c r="AC1419" s="660"/>
      <c r="AD1419" s="682">
        <v>0</v>
      </c>
      <c r="AE1419" s="944" t="s">
        <v>2018</v>
      </c>
      <c r="AF1419" s="661" t="s">
        <v>1745</v>
      </c>
      <c r="AG1419" s="662" t="s">
        <v>1432</v>
      </c>
      <c r="AH1419" s="662" t="s">
        <v>1734</v>
      </c>
      <c r="AI1419" s="662">
        <v>1000</v>
      </c>
      <c r="AJ1419" s="662">
        <v>100</v>
      </c>
      <c r="AK1419" s="662">
        <v>500</v>
      </c>
      <c r="AL1419" s="658">
        <v>1.7500000000000002E-2</v>
      </c>
      <c r="AM1419" s="658">
        <v>0.2</v>
      </c>
      <c r="AN1419" s="659" t="s">
        <v>34</v>
      </c>
      <c r="AO1419" s="253" t="s">
        <v>34</v>
      </c>
      <c r="AP1419" s="944" t="s">
        <v>1746</v>
      </c>
      <c r="AQ1419" s="663" t="s">
        <v>668</v>
      </c>
      <c r="AR1419" s="658">
        <v>3.5000000000000001E-3</v>
      </c>
      <c r="AS1419" s="658">
        <v>3.5000000000000001E-3</v>
      </c>
      <c r="AT1419" s="658" t="s">
        <v>1417</v>
      </c>
      <c r="AU1419" s="658" t="s">
        <v>2751</v>
      </c>
      <c r="AX1419"/>
      <c r="AY1419"/>
      <c r="BA1419"/>
      <c r="BB1419"/>
      <c r="BC1419"/>
      <c r="BD1419"/>
      <c r="BE1419"/>
      <c r="BF1419"/>
      <c r="BG1419"/>
      <c r="BH1419"/>
      <c r="BI1419"/>
      <c r="BJ1419"/>
      <c r="BR1419"/>
      <c r="BS1419"/>
      <c r="BT1419"/>
      <c r="BU1419"/>
      <c r="BX1419"/>
    </row>
    <row r="1420" spans="2:76" ht="18.75">
      <c r="B1420" s="252" t="s">
        <v>421</v>
      </c>
      <c r="C1420" s="251">
        <v>37240631000198</v>
      </c>
      <c r="D1420" s="252" t="s">
        <v>11</v>
      </c>
      <c r="E1420" s="252" t="s">
        <v>620</v>
      </c>
      <c r="F1420" s="252" t="s">
        <v>663</v>
      </c>
      <c r="G1420" s="253" t="s">
        <v>738</v>
      </c>
      <c r="H1420" s="253" t="s">
        <v>34</v>
      </c>
      <c r="I1420" s="253" t="s">
        <v>1304</v>
      </c>
      <c r="J1420" s="253" t="s">
        <v>608</v>
      </c>
      <c r="K1420" s="253" t="s">
        <v>48</v>
      </c>
      <c r="L1420" s="655"/>
      <c r="M1420" s="655" t="s">
        <v>1414</v>
      </c>
      <c r="N1420" s="253" t="s">
        <v>4074</v>
      </c>
      <c r="O1420" s="253" t="s">
        <v>1321</v>
      </c>
      <c r="P1420" s="656">
        <v>43998</v>
      </c>
      <c r="Q1420" s="657">
        <v>47.316395640000003</v>
      </c>
      <c r="R1420" s="657">
        <v>30.440999389076286</v>
      </c>
      <c r="S1420" s="253">
        <v>1</v>
      </c>
      <c r="T1420" s="658">
        <v>1.9777783450713127E-2</v>
      </c>
      <c r="U1420" s="659">
        <v>0.98896928035131704</v>
      </c>
      <c r="V1420" s="658">
        <v>0.12141243759354214</v>
      </c>
      <c r="W1420" s="659">
        <v>0.94159110045942696</v>
      </c>
      <c r="X1420" s="658">
        <v>0.17929415240166025</v>
      </c>
      <c r="Y1420" s="659">
        <v>0.92856308427348788</v>
      </c>
      <c r="Z1420" s="658"/>
      <c r="AA1420" s="659"/>
      <c r="AB1420" s="658">
        <v>4.9989595414050873E-3</v>
      </c>
      <c r="AC1420" s="660">
        <v>-1.5066078832735046</v>
      </c>
      <c r="AD1420" s="682">
        <v>0</v>
      </c>
      <c r="AE1420" s="944" t="s">
        <v>2018</v>
      </c>
      <c r="AF1420" s="661" t="s">
        <v>1745</v>
      </c>
      <c r="AG1420" s="662" t="s">
        <v>1432</v>
      </c>
      <c r="AH1420" s="662" t="s">
        <v>1734</v>
      </c>
      <c r="AI1420" s="662">
        <v>1000</v>
      </c>
      <c r="AJ1420" s="662">
        <v>100</v>
      </c>
      <c r="AK1420" s="662">
        <v>500</v>
      </c>
      <c r="AL1420" s="658">
        <v>5.5000000000000005E-3</v>
      </c>
      <c r="AM1420" s="658">
        <v>0</v>
      </c>
      <c r="AN1420" s="659" t="s">
        <v>64</v>
      </c>
      <c r="AO1420" s="253" t="s">
        <v>34</v>
      </c>
      <c r="AP1420" s="944" t="s">
        <v>1735</v>
      </c>
      <c r="AQ1420" s="663" t="s">
        <v>675</v>
      </c>
      <c r="AR1420" s="658">
        <v>7.3333333333333302E-4</v>
      </c>
      <c r="AS1420" s="658">
        <v>7.3333333333333302E-4</v>
      </c>
      <c r="AT1420" s="658" t="s">
        <v>1417</v>
      </c>
      <c r="AU1420" s="658" t="s">
        <v>2751</v>
      </c>
      <c r="AX1420"/>
      <c r="AY1420"/>
      <c r="BA1420"/>
      <c r="BB1420"/>
      <c r="BC1420"/>
      <c r="BD1420"/>
      <c r="BE1420"/>
      <c r="BF1420"/>
      <c r="BG1420"/>
      <c r="BH1420"/>
      <c r="BI1420"/>
      <c r="BJ1420"/>
      <c r="BR1420"/>
      <c r="BS1420"/>
      <c r="BT1420"/>
      <c r="BU1420"/>
      <c r="BX1420"/>
    </row>
    <row r="1421" spans="2:76" ht="18.75">
      <c r="B1421" s="252" t="s">
        <v>1245</v>
      </c>
      <c r="C1421" s="251">
        <v>36436851000129</v>
      </c>
      <c r="D1421" s="252" t="s">
        <v>14</v>
      </c>
      <c r="E1421" s="252" t="s">
        <v>607</v>
      </c>
      <c r="F1421" s="252" t="s">
        <v>1417</v>
      </c>
      <c r="G1421" s="253" t="s">
        <v>1417</v>
      </c>
      <c r="H1421" s="253" t="s">
        <v>34</v>
      </c>
      <c r="I1421" s="253" t="s">
        <v>34</v>
      </c>
      <c r="J1421" s="253" t="s">
        <v>608</v>
      </c>
      <c r="K1421" s="253" t="s">
        <v>48</v>
      </c>
      <c r="L1421" s="655"/>
      <c r="M1421" s="655" t="s">
        <v>1414</v>
      </c>
      <c r="N1421" s="253" t="s">
        <v>4076</v>
      </c>
      <c r="O1421" s="253" t="s">
        <v>1321</v>
      </c>
      <c r="P1421" s="656">
        <v>43911</v>
      </c>
      <c r="Q1421" s="657">
        <v>145.98630434</v>
      </c>
      <c r="R1421" s="657">
        <v>208.92925000618476</v>
      </c>
      <c r="S1421" s="253">
        <v>90</v>
      </c>
      <c r="T1421" s="658">
        <v>-3.2783901094548873E-2</v>
      </c>
      <c r="U1421" s="659">
        <v>-1.6393278424441291</v>
      </c>
      <c r="V1421" s="658">
        <v>-0.21447518365763607</v>
      </c>
      <c r="W1421" s="659">
        <v>-1.6633215525867404</v>
      </c>
      <c r="X1421" s="658">
        <v>-0.39773702969822977</v>
      </c>
      <c r="Y1421" s="659">
        <v>-2.0598771241517868</v>
      </c>
      <c r="Z1421" s="658"/>
      <c r="AA1421" s="659"/>
      <c r="AB1421" s="658">
        <v>0.23893694773644661</v>
      </c>
      <c r="AC1421" s="660">
        <v>-1.4372791498250166</v>
      </c>
      <c r="AD1421" s="682">
        <v>0</v>
      </c>
      <c r="AE1421" s="944" t="s">
        <v>1797</v>
      </c>
      <c r="AF1421" s="661" t="s">
        <v>1745</v>
      </c>
      <c r="AG1421" s="662" t="s">
        <v>1432</v>
      </c>
      <c r="AH1421" s="662" t="s">
        <v>1730</v>
      </c>
      <c r="AI1421" s="662">
        <v>0</v>
      </c>
      <c r="AJ1421" s="662">
        <v>0</v>
      </c>
      <c r="AK1421" s="662">
        <v>0</v>
      </c>
      <c r="AL1421" s="658">
        <v>0</v>
      </c>
      <c r="AM1421" s="658">
        <v>0</v>
      </c>
      <c r="AN1421" s="659" t="s">
        <v>34</v>
      </c>
      <c r="AO1421" s="253" t="s">
        <v>34</v>
      </c>
      <c r="AP1421" s="944" t="s">
        <v>1731</v>
      </c>
      <c r="AQ1421" s="663" t="s">
        <v>659</v>
      </c>
      <c r="AR1421" s="658">
        <v>0</v>
      </c>
      <c r="AS1421" s="658">
        <v>0</v>
      </c>
      <c r="AT1421" s="658" t="s">
        <v>1417</v>
      </c>
      <c r="AU1421" s="658" t="s">
        <v>2751</v>
      </c>
      <c r="AX1421"/>
      <c r="AY1421"/>
      <c r="BA1421"/>
      <c r="BB1421"/>
      <c r="BC1421"/>
      <c r="BD1421"/>
      <c r="BE1421"/>
      <c r="BF1421"/>
      <c r="BG1421"/>
      <c r="BH1421"/>
      <c r="BI1421"/>
      <c r="BJ1421"/>
      <c r="BR1421"/>
      <c r="BS1421"/>
      <c r="BT1421"/>
      <c r="BU1421"/>
      <c r="BX1421"/>
    </row>
    <row r="1422" spans="2:76" ht="18.75">
      <c r="B1422" s="252" t="s">
        <v>1246</v>
      </c>
      <c r="C1422" s="251">
        <v>30397165000100</v>
      </c>
      <c r="D1422" s="252" t="s">
        <v>14</v>
      </c>
      <c r="E1422" s="252" t="s">
        <v>607</v>
      </c>
      <c r="F1422" s="252" t="s">
        <v>1417</v>
      </c>
      <c r="G1422" s="253" t="s">
        <v>1417</v>
      </c>
      <c r="H1422" s="253" t="s">
        <v>34</v>
      </c>
      <c r="I1422" s="253" t="s">
        <v>34</v>
      </c>
      <c r="J1422" s="253" t="s">
        <v>608</v>
      </c>
      <c r="K1422" s="253" t="s">
        <v>48</v>
      </c>
      <c r="L1422" s="655"/>
      <c r="M1422" s="655" t="s">
        <v>34</v>
      </c>
      <c r="N1422" s="253" t="s">
        <v>4077</v>
      </c>
      <c r="O1422" s="253" t="s">
        <v>1321</v>
      </c>
      <c r="P1422" s="656">
        <v>43937</v>
      </c>
      <c r="Q1422" s="657">
        <v>74.611889149999996</v>
      </c>
      <c r="R1422" s="657">
        <v>112.51475039072584</v>
      </c>
      <c r="S1422" s="253">
        <v>31</v>
      </c>
      <c r="T1422" s="658">
        <v>7.6584949310221084E-4</v>
      </c>
      <c r="U1422" s="659">
        <v>3.8295576647311549E-2</v>
      </c>
      <c r="V1422" s="658">
        <v>-0.14928536076268251</v>
      </c>
      <c r="W1422" s="659">
        <v>-1.157754262323561</v>
      </c>
      <c r="X1422" s="658">
        <v>-0.17188366348026574</v>
      </c>
      <c r="Y1422" s="659">
        <v>-0.89018421716236584</v>
      </c>
      <c r="Z1422" s="658"/>
      <c r="AA1422" s="659"/>
      <c r="AB1422" s="658">
        <v>0.25914084007163823</v>
      </c>
      <c r="AC1422" s="660">
        <v>-1.0736604470856685</v>
      </c>
      <c r="AD1422" s="682">
        <v>0</v>
      </c>
      <c r="AE1422" s="944" t="s">
        <v>2011</v>
      </c>
      <c r="AF1422" s="661" t="s">
        <v>1745</v>
      </c>
      <c r="AG1422" s="662" t="s">
        <v>1432</v>
      </c>
      <c r="AH1422" s="662" t="s">
        <v>1734</v>
      </c>
      <c r="AI1422" s="662">
        <v>0</v>
      </c>
      <c r="AJ1422" s="662">
        <v>0</v>
      </c>
      <c r="AK1422" s="662">
        <v>0</v>
      </c>
      <c r="AL1422" s="658">
        <v>0.02</v>
      </c>
      <c r="AM1422" s="658">
        <v>0.2</v>
      </c>
      <c r="AN1422" s="659" t="s">
        <v>666</v>
      </c>
      <c r="AO1422" s="253" t="s">
        <v>34</v>
      </c>
      <c r="AP1422" s="944" t="s">
        <v>1731</v>
      </c>
      <c r="AQ1422" s="663" t="s">
        <v>670</v>
      </c>
      <c r="AR1422" s="658">
        <v>6.0000000000000001E-3</v>
      </c>
      <c r="AS1422" s="658">
        <v>6.0000000000000001E-3</v>
      </c>
      <c r="AT1422" s="658" t="s">
        <v>1417</v>
      </c>
      <c r="AU1422" s="658" t="s">
        <v>2751</v>
      </c>
      <c r="AX1422"/>
      <c r="AY1422"/>
      <c r="BA1422"/>
      <c r="BB1422"/>
      <c r="BC1422"/>
      <c r="BD1422"/>
      <c r="BE1422"/>
      <c r="BF1422"/>
      <c r="BG1422"/>
      <c r="BH1422"/>
      <c r="BI1422"/>
      <c r="BJ1422"/>
      <c r="BR1422"/>
      <c r="BS1422"/>
      <c r="BT1422"/>
      <c r="BU1422"/>
      <c r="BX1422"/>
    </row>
    <row r="1423" spans="2:76" ht="18.75">
      <c r="B1423" s="252" t="s">
        <v>422</v>
      </c>
      <c r="C1423" s="251">
        <v>10643371000145</v>
      </c>
      <c r="D1423" s="252" t="s">
        <v>14</v>
      </c>
      <c r="E1423" s="252" t="s">
        <v>607</v>
      </c>
      <c r="F1423" s="252" t="s">
        <v>1417</v>
      </c>
      <c r="G1423" s="253" t="s">
        <v>1417</v>
      </c>
      <c r="H1423" s="253" t="s">
        <v>34</v>
      </c>
      <c r="I1423" s="253" t="s">
        <v>34</v>
      </c>
      <c r="J1423" s="253" t="s">
        <v>608</v>
      </c>
      <c r="K1423" s="253" t="s">
        <v>48</v>
      </c>
      <c r="L1423" s="655"/>
      <c r="M1423" s="655" t="s">
        <v>34</v>
      </c>
      <c r="N1423" s="253" t="s">
        <v>4078</v>
      </c>
      <c r="O1423" s="253" t="s">
        <v>1321</v>
      </c>
      <c r="P1423" s="656">
        <v>40171</v>
      </c>
      <c r="Q1423" s="657">
        <v>132.199094</v>
      </c>
      <c r="R1423" s="657">
        <v>129.71572014919352</v>
      </c>
      <c r="S1423" s="253">
        <v>22</v>
      </c>
      <c r="T1423" s="658">
        <v>-9.7990075685427946E-3</v>
      </c>
      <c r="U1423" s="659">
        <v>-0.48999006826871955</v>
      </c>
      <c r="V1423" s="658">
        <v>3.3856131673621004E-2</v>
      </c>
      <c r="W1423" s="659">
        <v>0.2625647990577834</v>
      </c>
      <c r="X1423" s="658">
        <v>0.19553416210476526</v>
      </c>
      <c r="Y1423" s="659">
        <v>1.0126699739659313</v>
      </c>
      <c r="Z1423" s="658">
        <v>0.1523765855604029</v>
      </c>
      <c r="AA1423" s="659">
        <v>0.68802249443100394</v>
      </c>
      <c r="AB1423" s="658">
        <v>0.19405252856659042</v>
      </c>
      <c r="AC1423" s="660">
        <v>-0.49001050630750914</v>
      </c>
      <c r="AD1423" s="682">
        <v>0</v>
      </c>
      <c r="AE1423" s="944" t="s">
        <v>1787</v>
      </c>
      <c r="AF1423" s="661" t="s">
        <v>1767</v>
      </c>
      <c r="AG1423" s="662" t="s">
        <v>59</v>
      </c>
      <c r="AH1423" s="662" t="s">
        <v>1730</v>
      </c>
      <c r="AI1423" s="662">
        <v>20000</v>
      </c>
      <c r="AJ1423" s="662">
        <v>10000</v>
      </c>
      <c r="AK1423" s="662">
        <v>20000</v>
      </c>
      <c r="AL1423" s="658">
        <v>0</v>
      </c>
      <c r="AM1423" s="658">
        <v>0.2</v>
      </c>
      <c r="AN1423" s="659" t="s">
        <v>666</v>
      </c>
      <c r="AO1423" s="253" t="s">
        <v>34</v>
      </c>
      <c r="AP1423" s="944" t="s">
        <v>1731</v>
      </c>
      <c r="AQ1423" s="663" t="s">
        <v>659</v>
      </c>
      <c r="AR1423" s="658">
        <v>4.0000000000000001E-3</v>
      </c>
      <c r="AS1423" s="658">
        <v>4.0000000000000001E-3</v>
      </c>
      <c r="AT1423" s="658" t="s">
        <v>1417</v>
      </c>
      <c r="AU1423" s="658" t="s">
        <v>2751</v>
      </c>
      <c r="AX1423"/>
      <c r="AY1423"/>
      <c r="BA1423"/>
      <c r="BB1423"/>
      <c r="BC1423"/>
      <c r="BD1423"/>
      <c r="BE1423"/>
      <c r="BF1423"/>
      <c r="BG1423"/>
      <c r="BH1423"/>
      <c r="BI1423"/>
      <c r="BJ1423"/>
      <c r="BR1423"/>
      <c r="BS1423"/>
      <c r="BT1423"/>
      <c r="BU1423"/>
      <c r="BX1423"/>
    </row>
    <row r="1424" spans="2:76" ht="18.75">
      <c r="B1424" s="252" t="s">
        <v>423</v>
      </c>
      <c r="C1424" s="251">
        <v>2162620000152</v>
      </c>
      <c r="D1424" s="252" t="s">
        <v>13</v>
      </c>
      <c r="E1424" s="252" t="s">
        <v>616</v>
      </c>
      <c r="F1424" s="252" t="s">
        <v>17</v>
      </c>
      <c r="G1424" s="253" t="s">
        <v>1417</v>
      </c>
      <c r="H1424" s="253" t="s">
        <v>34</v>
      </c>
      <c r="I1424" s="253" t="s">
        <v>34</v>
      </c>
      <c r="J1424" s="253" t="s">
        <v>611</v>
      </c>
      <c r="K1424" s="253" t="s">
        <v>49</v>
      </c>
      <c r="L1424" s="655"/>
      <c r="M1424" s="655" t="s">
        <v>34</v>
      </c>
      <c r="N1424" s="253" t="s">
        <v>4079</v>
      </c>
      <c r="O1424" s="253" t="s">
        <v>1321</v>
      </c>
      <c r="P1424" s="656">
        <v>35782</v>
      </c>
      <c r="Q1424" s="657">
        <v>0</v>
      </c>
      <c r="R1424" s="657">
        <v>0</v>
      </c>
      <c r="S1424" s="253">
        <v>31</v>
      </c>
      <c r="T1424" s="658"/>
      <c r="U1424" s="659"/>
      <c r="V1424" s="658"/>
      <c r="W1424" s="659"/>
      <c r="X1424" s="658"/>
      <c r="Y1424" s="659"/>
      <c r="Z1424" s="658"/>
      <c r="AA1424" s="659"/>
      <c r="AB1424" s="658"/>
      <c r="AC1424" s="660"/>
      <c r="AD1424" s="682">
        <v>11904064000133</v>
      </c>
      <c r="AE1424" s="944" t="s">
        <v>1787</v>
      </c>
      <c r="AF1424" s="661" t="s">
        <v>1767</v>
      </c>
      <c r="AG1424" s="662" t="s">
        <v>59</v>
      </c>
      <c r="AH1424" s="662" t="s">
        <v>1730</v>
      </c>
      <c r="AI1424" s="662">
        <v>20000</v>
      </c>
      <c r="AJ1424" s="662">
        <v>10000</v>
      </c>
      <c r="AK1424" s="662">
        <v>20000</v>
      </c>
      <c r="AL1424" s="658">
        <v>1.95E-2</v>
      </c>
      <c r="AM1424" s="658">
        <v>0.2</v>
      </c>
      <c r="AN1424" s="659" t="s">
        <v>2194</v>
      </c>
      <c r="AO1424" s="253" t="s">
        <v>34</v>
      </c>
      <c r="AP1424" s="944" t="s">
        <v>1746</v>
      </c>
      <c r="AQ1424" s="663" t="s">
        <v>664</v>
      </c>
      <c r="AR1424" s="658">
        <v>3.8999999999999998E-3</v>
      </c>
      <c r="AS1424" s="658">
        <v>3.8999999999999998E-3</v>
      </c>
      <c r="AT1424" s="658" t="s">
        <v>1417</v>
      </c>
      <c r="AU1424" s="658" t="s">
        <v>2751</v>
      </c>
      <c r="AX1424"/>
      <c r="AY1424"/>
      <c r="BA1424"/>
      <c r="BB1424"/>
      <c r="BC1424"/>
      <c r="BD1424"/>
      <c r="BE1424"/>
      <c r="BF1424"/>
      <c r="BG1424"/>
      <c r="BH1424"/>
      <c r="BI1424"/>
      <c r="BJ1424"/>
      <c r="BR1424"/>
      <c r="BS1424"/>
      <c r="BT1424"/>
      <c r="BU1424"/>
      <c r="BX1424"/>
    </row>
    <row r="1425" spans="2:76" ht="18.75">
      <c r="B1425" s="252" t="s">
        <v>424</v>
      </c>
      <c r="C1425" s="251">
        <v>7088369000147</v>
      </c>
      <c r="D1425" s="252" t="s">
        <v>13</v>
      </c>
      <c r="E1425" s="252" t="s">
        <v>616</v>
      </c>
      <c r="F1425" s="252" t="s">
        <v>617</v>
      </c>
      <c r="G1425" s="253" t="s">
        <v>34</v>
      </c>
      <c r="H1425" s="253" t="s">
        <v>865</v>
      </c>
      <c r="I1425" s="253" t="s">
        <v>34</v>
      </c>
      <c r="J1425" s="253" t="s">
        <v>608</v>
      </c>
      <c r="K1425" s="253" t="s">
        <v>48</v>
      </c>
      <c r="L1425" s="655"/>
      <c r="M1425" s="655" t="s">
        <v>34</v>
      </c>
      <c r="N1425" s="253" t="s">
        <v>4080</v>
      </c>
      <c r="O1425" s="253" t="s">
        <v>1321</v>
      </c>
      <c r="P1425" s="656">
        <v>38317</v>
      </c>
      <c r="Q1425" s="657">
        <v>0</v>
      </c>
      <c r="R1425" s="657">
        <v>0</v>
      </c>
      <c r="S1425" s="253">
        <v>31</v>
      </c>
      <c r="T1425" s="658"/>
      <c r="U1425" s="659"/>
      <c r="V1425" s="658"/>
      <c r="W1425" s="659"/>
      <c r="X1425" s="658"/>
      <c r="Y1425" s="659"/>
      <c r="Z1425" s="658"/>
      <c r="AA1425" s="659"/>
      <c r="AB1425" s="658"/>
      <c r="AC1425" s="660"/>
      <c r="AD1425" s="682">
        <v>9489380000144</v>
      </c>
      <c r="AE1425" s="944" t="s">
        <v>1787</v>
      </c>
      <c r="AF1425" s="661" t="s">
        <v>1767</v>
      </c>
      <c r="AG1425" s="662" t="s">
        <v>59</v>
      </c>
      <c r="AH1425" s="662" t="s">
        <v>1730</v>
      </c>
      <c r="AI1425" s="662">
        <v>20000</v>
      </c>
      <c r="AJ1425" s="662">
        <v>10000</v>
      </c>
      <c r="AK1425" s="662">
        <v>20000</v>
      </c>
      <c r="AL1425" s="658">
        <v>1.95E-2</v>
      </c>
      <c r="AM1425" s="658">
        <v>0.2</v>
      </c>
      <c r="AN1425" s="659" t="s">
        <v>64</v>
      </c>
      <c r="AO1425" s="253" t="s">
        <v>34</v>
      </c>
      <c r="AP1425" s="944" t="s">
        <v>1746</v>
      </c>
      <c r="AQ1425" s="663" t="s">
        <v>664</v>
      </c>
      <c r="AR1425" s="658">
        <v>3.8999999999999998E-3</v>
      </c>
      <c r="AS1425" s="658">
        <v>3.8999999999999998E-3</v>
      </c>
      <c r="AT1425" s="658" t="s">
        <v>1417</v>
      </c>
      <c r="AU1425" s="658" t="s">
        <v>2751</v>
      </c>
      <c r="AX1425"/>
      <c r="AY1425"/>
      <c r="BA1425"/>
      <c r="BB1425"/>
      <c r="BC1425"/>
      <c r="BD1425"/>
      <c r="BE1425"/>
      <c r="BF1425"/>
      <c r="BG1425"/>
      <c r="BH1425"/>
      <c r="BI1425"/>
      <c r="BJ1425"/>
      <c r="BR1425"/>
      <c r="BS1425"/>
      <c r="BT1425"/>
      <c r="BU1425"/>
      <c r="BX1425"/>
    </row>
    <row r="1426" spans="2:76" ht="18.75">
      <c r="B1426" s="252" t="s">
        <v>425</v>
      </c>
      <c r="C1426" s="251">
        <v>19941946000180</v>
      </c>
      <c r="D1426" s="252" t="s">
        <v>11</v>
      </c>
      <c r="E1426" s="252" t="s">
        <v>621</v>
      </c>
      <c r="F1426" s="252" t="s">
        <v>672</v>
      </c>
      <c r="G1426" s="253" t="s">
        <v>866</v>
      </c>
      <c r="H1426" s="253" t="s">
        <v>34</v>
      </c>
      <c r="I1426" s="253" t="s">
        <v>1417</v>
      </c>
      <c r="J1426" s="253" t="s">
        <v>608</v>
      </c>
      <c r="K1426" s="253" t="s">
        <v>48</v>
      </c>
      <c r="L1426" s="655"/>
      <c r="M1426" s="655" t="s">
        <v>34</v>
      </c>
      <c r="N1426" s="253" t="s">
        <v>4081</v>
      </c>
      <c r="O1426" s="253" t="s">
        <v>1321</v>
      </c>
      <c r="P1426" s="656">
        <v>41869</v>
      </c>
      <c r="Q1426" s="657">
        <v>153.85882100000001</v>
      </c>
      <c r="R1426" s="657">
        <v>150.19166839024388</v>
      </c>
      <c r="S1426" s="253">
        <v>31</v>
      </c>
      <c r="T1426" s="658">
        <v>1.4052906035131763E-2</v>
      </c>
      <c r="U1426" s="659">
        <v>0.70270222156304496</v>
      </c>
      <c r="V1426" s="658">
        <v>0.58104955746864473</v>
      </c>
      <c r="W1426" s="659">
        <v>4.506219486919063</v>
      </c>
      <c r="X1426" s="658">
        <v>0.58104955746864473</v>
      </c>
      <c r="Y1426" s="659">
        <v>3.0092513446290954</v>
      </c>
      <c r="Z1426" s="658">
        <v>0.58104955746864473</v>
      </c>
      <c r="AA1426" s="659">
        <v>2.623599711512993</v>
      </c>
      <c r="AB1426" s="658">
        <v>0.68711381473074551</v>
      </c>
      <c r="AC1426" s="660">
        <v>0.65797781725436544</v>
      </c>
      <c r="AD1426" s="682">
        <v>0</v>
      </c>
      <c r="AE1426" s="944" t="s">
        <v>1787</v>
      </c>
      <c r="AF1426" s="661" t="s">
        <v>1767</v>
      </c>
      <c r="AG1426" s="662" t="s">
        <v>59</v>
      </c>
      <c r="AH1426" s="662" t="s">
        <v>1730</v>
      </c>
      <c r="AI1426" s="662">
        <v>20000</v>
      </c>
      <c r="AJ1426" s="662">
        <v>10000</v>
      </c>
      <c r="AK1426" s="662">
        <v>20000</v>
      </c>
      <c r="AL1426" s="658">
        <v>0</v>
      </c>
      <c r="AM1426" s="658">
        <v>0</v>
      </c>
      <c r="AN1426" s="659" t="s">
        <v>150</v>
      </c>
      <c r="AO1426" s="253" t="s">
        <v>34</v>
      </c>
      <c r="AP1426" s="944" t="s">
        <v>1746</v>
      </c>
      <c r="AQ1426" s="663" t="s">
        <v>664</v>
      </c>
      <c r="AR1426" s="658">
        <v>4.0000000000000001E-3</v>
      </c>
      <c r="AS1426" s="658">
        <v>4.0000000000000001E-3</v>
      </c>
      <c r="AT1426" s="658" t="s">
        <v>1417</v>
      </c>
      <c r="AU1426" s="658" t="s">
        <v>2751</v>
      </c>
      <c r="AX1426"/>
      <c r="AY1426"/>
      <c r="BA1426"/>
      <c r="BB1426"/>
      <c r="BC1426"/>
      <c r="BD1426"/>
      <c r="BE1426"/>
      <c r="BF1426"/>
      <c r="BG1426"/>
      <c r="BH1426"/>
      <c r="BI1426"/>
      <c r="BJ1426"/>
      <c r="BR1426"/>
      <c r="BS1426"/>
      <c r="BT1426"/>
      <c r="BU1426"/>
      <c r="BX1426"/>
    </row>
    <row r="1427" spans="2:76" ht="18.75">
      <c r="B1427" s="252" t="s">
        <v>1706</v>
      </c>
      <c r="C1427" s="251">
        <v>8815403000109</v>
      </c>
      <c r="D1427" s="252" t="s">
        <v>13</v>
      </c>
      <c r="E1427" s="252" t="s">
        <v>615</v>
      </c>
      <c r="F1427" s="252" t="s">
        <v>619</v>
      </c>
      <c r="G1427" s="253" t="s">
        <v>34</v>
      </c>
      <c r="H1427" s="253" t="s">
        <v>1338</v>
      </c>
      <c r="I1427" s="253" t="s">
        <v>34</v>
      </c>
      <c r="J1427" s="253" t="s">
        <v>611</v>
      </c>
      <c r="K1427" s="253" t="s">
        <v>48</v>
      </c>
      <c r="L1427" s="655"/>
      <c r="M1427" s="655" t="s">
        <v>34</v>
      </c>
      <c r="N1427" s="253" t="s">
        <v>4082</v>
      </c>
      <c r="O1427" s="253" t="s">
        <v>1321</v>
      </c>
      <c r="P1427" s="656">
        <v>39214</v>
      </c>
      <c r="Q1427" s="657">
        <v>0</v>
      </c>
      <c r="R1427" s="657">
        <v>9.7162536769230758</v>
      </c>
      <c r="S1427" s="253">
        <v>31</v>
      </c>
      <c r="T1427" s="658"/>
      <c r="U1427" s="659"/>
      <c r="V1427" s="658">
        <v>0.11523032945584144</v>
      </c>
      <c r="W1427" s="659">
        <v>0.893646934936418</v>
      </c>
      <c r="X1427" s="658">
        <v>0.19232239131062245</v>
      </c>
      <c r="Y1427" s="659">
        <v>0.99603623686608633</v>
      </c>
      <c r="Z1427" s="658">
        <v>0.13226383279685305</v>
      </c>
      <c r="AA1427" s="659">
        <v>0.59720784416594619</v>
      </c>
      <c r="AB1427" s="658">
        <v>7.084409557975728E-2</v>
      </c>
      <c r="AC1427" s="660">
        <v>-0.1935740710460192</v>
      </c>
      <c r="AD1427" s="682">
        <v>9489380000144</v>
      </c>
      <c r="AE1427" s="944" t="s">
        <v>1787</v>
      </c>
      <c r="AF1427" s="661" t="s">
        <v>1767</v>
      </c>
      <c r="AG1427" s="662" t="s">
        <v>59</v>
      </c>
      <c r="AH1427" s="662" t="s">
        <v>1734</v>
      </c>
      <c r="AI1427" s="662">
        <v>10000</v>
      </c>
      <c r="AJ1427" s="662">
        <v>5000</v>
      </c>
      <c r="AK1427" s="662">
        <v>10000</v>
      </c>
      <c r="AL1427" s="658">
        <v>2.5000000000000001E-2</v>
      </c>
      <c r="AM1427" s="658">
        <v>0.2</v>
      </c>
      <c r="AN1427" s="659" t="s">
        <v>64</v>
      </c>
      <c r="AO1427" s="253" t="s">
        <v>34</v>
      </c>
      <c r="AP1427" s="944" t="s">
        <v>1746</v>
      </c>
      <c r="AQ1427" s="663" t="s">
        <v>664</v>
      </c>
      <c r="AR1427" s="658">
        <v>4.7375000000000004E-3</v>
      </c>
      <c r="AS1427" s="658">
        <v>4.7375000000000004E-3</v>
      </c>
      <c r="AT1427" s="658" t="s">
        <v>1417</v>
      </c>
      <c r="AU1427" s="658" t="s">
        <v>2751</v>
      </c>
      <c r="AX1427"/>
      <c r="AY1427"/>
      <c r="BA1427"/>
      <c r="BB1427"/>
      <c r="BC1427"/>
      <c r="BD1427"/>
      <c r="BE1427"/>
      <c r="BF1427"/>
      <c r="BG1427"/>
      <c r="BH1427"/>
      <c r="BI1427"/>
      <c r="BJ1427"/>
      <c r="BR1427"/>
      <c r="BS1427"/>
      <c r="BT1427"/>
      <c r="BU1427"/>
      <c r="BX1427"/>
    </row>
    <row r="1428" spans="2:76" ht="18.75">
      <c r="B1428" s="252" t="s">
        <v>426</v>
      </c>
      <c r="C1428" s="251">
        <v>11447072000106</v>
      </c>
      <c r="D1428" s="252" t="s">
        <v>14</v>
      </c>
      <c r="E1428" s="252" t="s">
        <v>607</v>
      </c>
      <c r="F1428" s="252" t="s">
        <v>1417</v>
      </c>
      <c r="G1428" s="253" t="s">
        <v>1417</v>
      </c>
      <c r="H1428" s="253" t="s">
        <v>34</v>
      </c>
      <c r="I1428" s="253" t="s">
        <v>34</v>
      </c>
      <c r="J1428" s="253" t="s">
        <v>608</v>
      </c>
      <c r="K1428" s="253" t="s">
        <v>48</v>
      </c>
      <c r="L1428" s="655"/>
      <c r="M1428" s="655" t="s">
        <v>34</v>
      </c>
      <c r="N1428" s="253" t="s">
        <v>4083</v>
      </c>
      <c r="O1428" s="253" t="s">
        <v>1321</v>
      </c>
      <c r="P1428" s="656">
        <v>40230</v>
      </c>
      <c r="Q1428" s="657">
        <v>39.212231000000003</v>
      </c>
      <c r="R1428" s="657">
        <v>39.52236940160644</v>
      </c>
      <c r="S1428" s="253">
        <v>14</v>
      </c>
      <c r="T1428" s="658">
        <v>4.4032793262176462E-3</v>
      </c>
      <c r="U1428" s="659">
        <v>0.22018180132709866</v>
      </c>
      <c r="V1428" s="658">
        <v>6.9356329015629159E-2</v>
      </c>
      <c r="W1428" s="659">
        <v>0.53787983715702858</v>
      </c>
      <c r="X1428" s="658">
        <v>3.3299540031115571E-2</v>
      </c>
      <c r="Y1428" s="659">
        <v>0.17245807061744881</v>
      </c>
      <c r="Z1428" s="658">
        <v>0.18707602524527056</v>
      </c>
      <c r="AA1428" s="659">
        <v>0.84470007687937188</v>
      </c>
      <c r="AB1428" s="658">
        <v>0.20699667211897049</v>
      </c>
      <c r="AC1428" s="660">
        <v>-0.28786733535943743</v>
      </c>
      <c r="AD1428" s="682">
        <v>0</v>
      </c>
      <c r="AE1428" s="944" t="s">
        <v>1824</v>
      </c>
      <c r="AF1428" s="661" t="s">
        <v>1745</v>
      </c>
      <c r="AG1428" s="662" t="s">
        <v>1432</v>
      </c>
      <c r="AH1428" s="662" t="s">
        <v>1734</v>
      </c>
      <c r="AI1428" s="662">
        <v>100</v>
      </c>
      <c r="AJ1428" s="662">
        <v>100</v>
      </c>
      <c r="AK1428" s="662">
        <v>500</v>
      </c>
      <c r="AL1428" s="658">
        <v>0.02</v>
      </c>
      <c r="AM1428" s="658">
        <v>0.2</v>
      </c>
      <c r="AN1428" s="659" t="s">
        <v>2127</v>
      </c>
      <c r="AO1428" s="253" t="s">
        <v>34</v>
      </c>
      <c r="AP1428" s="944" t="s">
        <v>1731</v>
      </c>
      <c r="AQ1428" s="663" t="s">
        <v>659</v>
      </c>
      <c r="AR1428" s="658">
        <v>6.6666666666666697E-3</v>
      </c>
      <c r="AS1428" s="658">
        <v>6.6666666666666697E-3</v>
      </c>
      <c r="AT1428" s="658" t="s">
        <v>1417</v>
      </c>
      <c r="AU1428" s="658" t="s">
        <v>2751</v>
      </c>
      <c r="AX1428"/>
      <c r="AY1428"/>
      <c r="BA1428"/>
      <c r="BB1428"/>
      <c r="BC1428"/>
      <c r="BD1428"/>
      <c r="BE1428"/>
      <c r="BF1428"/>
      <c r="BG1428"/>
      <c r="BH1428"/>
      <c r="BI1428"/>
      <c r="BJ1428"/>
      <c r="BR1428"/>
      <c r="BS1428"/>
      <c r="BT1428"/>
      <c r="BU1428"/>
      <c r="BX1428"/>
    </row>
    <row r="1429" spans="2:76" ht="18.75">
      <c r="B1429" s="252" t="s">
        <v>1707</v>
      </c>
      <c r="C1429" s="251">
        <v>18239849000188</v>
      </c>
      <c r="D1429" s="252" t="s">
        <v>13</v>
      </c>
      <c r="E1429" s="252" t="s">
        <v>616</v>
      </c>
      <c r="F1429" s="252" t="s">
        <v>619</v>
      </c>
      <c r="G1429" s="253" t="s">
        <v>34</v>
      </c>
      <c r="H1429" s="253" t="s">
        <v>1338</v>
      </c>
      <c r="I1429" s="253" t="s">
        <v>34</v>
      </c>
      <c r="J1429" s="253" t="s">
        <v>611</v>
      </c>
      <c r="K1429" s="253" t="s">
        <v>48</v>
      </c>
      <c r="L1429" s="655"/>
      <c r="M1429" s="655" t="s">
        <v>34</v>
      </c>
      <c r="N1429" s="253" t="s">
        <v>4084</v>
      </c>
      <c r="O1429" s="253" t="s">
        <v>1324</v>
      </c>
      <c r="P1429" s="656">
        <v>41472</v>
      </c>
      <c r="Q1429" s="657">
        <v>0</v>
      </c>
      <c r="R1429" s="657">
        <v>6.3607060399999984</v>
      </c>
      <c r="S1429" s="253">
        <v>48</v>
      </c>
      <c r="T1429" s="658"/>
      <c r="U1429" s="659"/>
      <c r="V1429" s="658">
        <v>2.6509768955051083E-2</v>
      </c>
      <c r="W1429" s="659">
        <v>0.20559147825427881</v>
      </c>
      <c r="X1429" s="658">
        <v>-1.8514238823299944E-2</v>
      </c>
      <c r="Y1429" s="659">
        <v>-9.5885105422881353E-2</v>
      </c>
      <c r="Z1429" s="658">
        <v>0.2488331520106466</v>
      </c>
      <c r="AA1429" s="659">
        <v>1.1235506118860272</v>
      </c>
      <c r="AB1429" s="658">
        <v>0.12152974536334193</v>
      </c>
      <c r="AC1429" s="660">
        <v>-0.84287299529416571</v>
      </c>
      <c r="AD1429" s="682">
        <v>22188059000198</v>
      </c>
      <c r="AE1429" s="944" t="s">
        <v>1749</v>
      </c>
      <c r="AF1429" s="661" t="s">
        <v>1767</v>
      </c>
      <c r="AG1429" s="662" t="s">
        <v>59</v>
      </c>
      <c r="AH1429" s="662" t="s">
        <v>1801</v>
      </c>
      <c r="AI1429" s="662">
        <v>1000000</v>
      </c>
      <c r="AJ1429" s="662">
        <v>100000</v>
      </c>
      <c r="AK1429" s="662">
        <v>1000000</v>
      </c>
      <c r="AL1429" s="658">
        <v>0</v>
      </c>
      <c r="AM1429" s="658">
        <v>0</v>
      </c>
      <c r="AN1429" s="659" t="s">
        <v>64</v>
      </c>
      <c r="AO1429" s="253" t="s">
        <v>34</v>
      </c>
      <c r="AP1429" s="944" t="s">
        <v>1746</v>
      </c>
      <c r="AQ1429" s="663" t="s">
        <v>679</v>
      </c>
      <c r="AR1429" s="658">
        <v>0</v>
      </c>
      <c r="AS1429" s="658">
        <v>0</v>
      </c>
      <c r="AT1429" s="658" t="s">
        <v>1417</v>
      </c>
      <c r="AU1429" s="658" t="s">
        <v>2751</v>
      </c>
      <c r="AX1429"/>
      <c r="AY1429"/>
      <c r="BA1429"/>
      <c r="BB1429"/>
      <c r="BC1429"/>
      <c r="BD1429"/>
      <c r="BE1429"/>
      <c r="BF1429"/>
      <c r="BG1429"/>
      <c r="BH1429"/>
      <c r="BI1429"/>
      <c r="BJ1429"/>
      <c r="BR1429"/>
      <c r="BS1429"/>
      <c r="BT1429"/>
      <c r="BU1429"/>
      <c r="BX1429"/>
    </row>
    <row r="1430" spans="2:76" ht="18.75">
      <c r="B1430" s="252" t="s">
        <v>1247</v>
      </c>
      <c r="C1430" s="251">
        <v>18679873000138</v>
      </c>
      <c r="D1430" s="252" t="s">
        <v>13</v>
      </c>
      <c r="E1430" s="252" t="s">
        <v>616</v>
      </c>
      <c r="F1430" s="252" t="s">
        <v>619</v>
      </c>
      <c r="G1430" s="253" t="s">
        <v>34</v>
      </c>
      <c r="H1430" s="253" t="s">
        <v>1338</v>
      </c>
      <c r="I1430" s="253" t="s">
        <v>34</v>
      </c>
      <c r="J1430" s="253" t="s">
        <v>611</v>
      </c>
      <c r="K1430" s="253" t="s">
        <v>48</v>
      </c>
      <c r="L1430" s="655"/>
      <c r="M1430" s="655" t="s">
        <v>1414</v>
      </c>
      <c r="N1430" s="253" t="s">
        <v>4085</v>
      </c>
      <c r="O1430" s="253" t="s">
        <v>1321</v>
      </c>
      <c r="P1430" s="656">
        <v>41609</v>
      </c>
      <c r="Q1430" s="657">
        <v>6.7349490000000003</v>
      </c>
      <c r="R1430" s="657">
        <v>11.414472634538157</v>
      </c>
      <c r="S1430" s="253">
        <v>48</v>
      </c>
      <c r="T1430" s="658">
        <v>3.5888373865278211E-4</v>
      </c>
      <c r="U1430" s="659">
        <v>1.7945640553185174E-2</v>
      </c>
      <c r="V1430" s="658">
        <v>7.6795347798334967E-2</v>
      </c>
      <c r="W1430" s="659">
        <v>0.59557173446820555</v>
      </c>
      <c r="X1430" s="658">
        <v>1.1219306463229994E-2</v>
      </c>
      <c r="Y1430" s="659">
        <v>5.8104704885009142E-2</v>
      </c>
      <c r="Z1430" s="658">
        <v>0.41074813071459659</v>
      </c>
      <c r="AA1430" s="659">
        <v>1.8546415936397465</v>
      </c>
      <c r="AB1430" s="658">
        <v>0.16665262413804049</v>
      </c>
      <c r="AC1430" s="660">
        <v>-0.31291773482821406</v>
      </c>
      <c r="AD1430" s="682">
        <v>22187896000100</v>
      </c>
      <c r="AE1430" s="944" t="s">
        <v>1749</v>
      </c>
      <c r="AF1430" s="661" t="s">
        <v>1767</v>
      </c>
      <c r="AG1430" s="662" t="s">
        <v>59</v>
      </c>
      <c r="AH1430" s="662" t="s">
        <v>1801</v>
      </c>
      <c r="AI1430" s="662">
        <v>500000</v>
      </c>
      <c r="AJ1430" s="662">
        <v>100000</v>
      </c>
      <c r="AK1430" s="662">
        <v>500000</v>
      </c>
      <c r="AL1430" s="658">
        <v>0</v>
      </c>
      <c r="AM1430" s="658">
        <v>0</v>
      </c>
      <c r="AN1430" s="659" t="s">
        <v>64</v>
      </c>
      <c r="AO1430" s="253" t="s">
        <v>34</v>
      </c>
      <c r="AP1430" s="944" t="s">
        <v>1746</v>
      </c>
      <c r="AQ1430" s="663" t="s">
        <v>679</v>
      </c>
      <c r="AR1430" s="658">
        <v>2.66666666666667E-3</v>
      </c>
      <c r="AS1430" s="658">
        <v>2.66666666666667E-3</v>
      </c>
      <c r="AT1430" s="658" t="s">
        <v>1417</v>
      </c>
      <c r="AU1430" s="658" t="s">
        <v>2751</v>
      </c>
      <c r="AX1430"/>
      <c r="AY1430"/>
      <c r="BA1430"/>
      <c r="BB1430"/>
      <c r="BC1430"/>
      <c r="BD1430"/>
      <c r="BE1430"/>
      <c r="BF1430"/>
      <c r="BG1430"/>
      <c r="BH1430"/>
      <c r="BI1430"/>
      <c r="BJ1430"/>
      <c r="BR1430"/>
      <c r="BS1430"/>
      <c r="BT1430"/>
      <c r="BU1430"/>
      <c r="BX1430"/>
    </row>
    <row r="1431" spans="2:76" ht="18.75">
      <c r="B1431" s="252" t="s">
        <v>2638</v>
      </c>
      <c r="C1431" s="251">
        <v>23339936000147</v>
      </c>
      <c r="D1431" s="252" t="s">
        <v>13</v>
      </c>
      <c r="E1431" s="252" t="s">
        <v>615</v>
      </c>
      <c r="F1431" s="252" t="s">
        <v>619</v>
      </c>
      <c r="G1431" s="253" t="s">
        <v>34</v>
      </c>
      <c r="H1431" s="253" t="s">
        <v>1338</v>
      </c>
      <c r="I1431" s="253" t="s">
        <v>34</v>
      </c>
      <c r="J1431" s="253" t="s">
        <v>608</v>
      </c>
      <c r="K1431" s="253" t="s">
        <v>48</v>
      </c>
      <c r="L1431" s="655"/>
      <c r="M1431" s="655" t="s">
        <v>34</v>
      </c>
      <c r="N1431" s="253" t="s">
        <v>4086</v>
      </c>
      <c r="O1431" s="253" t="s">
        <v>1321</v>
      </c>
      <c r="P1431" s="656">
        <v>42348</v>
      </c>
      <c r="Q1431" s="657"/>
      <c r="R1431" s="657"/>
      <c r="S1431" s="253">
        <v>3</v>
      </c>
      <c r="T1431" s="658"/>
      <c r="U1431" s="659"/>
      <c r="V1431" s="658"/>
      <c r="W1431" s="659"/>
      <c r="X1431" s="658"/>
      <c r="Y1431" s="659"/>
      <c r="Z1431" s="658"/>
      <c r="AA1431" s="659"/>
      <c r="AB1431" s="658"/>
      <c r="AC1431" s="660"/>
      <c r="AD1431" s="682">
        <v>23339924000112</v>
      </c>
      <c r="AE1431" s="944" t="s">
        <v>1749</v>
      </c>
      <c r="AF1431" s="661" t="s">
        <v>1767</v>
      </c>
      <c r="AG1431" s="662" t="s">
        <v>59</v>
      </c>
      <c r="AH1431" s="662" t="s">
        <v>2119</v>
      </c>
      <c r="AI1431" s="662">
        <v>1</v>
      </c>
      <c r="AJ1431" s="662">
        <v>1</v>
      </c>
      <c r="AK1431" s="662">
        <v>1</v>
      </c>
      <c r="AL1431" s="658">
        <v>1.6E-2</v>
      </c>
      <c r="AM1431" s="658">
        <v>0</v>
      </c>
      <c r="AN1431" s="659" t="s">
        <v>64</v>
      </c>
      <c r="AO1431" s="253" t="s">
        <v>4397</v>
      </c>
      <c r="AP1431" s="944" t="s">
        <v>1746</v>
      </c>
      <c r="AQ1431" s="663" t="s">
        <v>2177</v>
      </c>
      <c r="AR1431" s="658">
        <v>0</v>
      </c>
      <c r="AS1431" s="658">
        <v>0</v>
      </c>
      <c r="AT1431" s="658" t="s">
        <v>1417</v>
      </c>
      <c r="AU1431" s="658" t="s">
        <v>2751</v>
      </c>
      <c r="AX1431"/>
      <c r="AY1431"/>
      <c r="BA1431"/>
      <c r="BB1431"/>
      <c r="BC1431"/>
      <c r="BD1431"/>
      <c r="BE1431"/>
      <c r="BF1431"/>
      <c r="BG1431"/>
      <c r="BH1431"/>
      <c r="BI1431"/>
      <c r="BJ1431"/>
      <c r="BR1431"/>
      <c r="BS1431"/>
      <c r="BT1431"/>
      <c r="BU1431"/>
      <c r="BX1431"/>
    </row>
    <row r="1432" spans="2:76" ht="18.75">
      <c r="B1432" s="252" t="s">
        <v>427</v>
      </c>
      <c r="C1432" s="251">
        <v>23243536000133</v>
      </c>
      <c r="D1432" s="252" t="s">
        <v>14</v>
      </c>
      <c r="E1432" s="252" t="s">
        <v>614</v>
      </c>
      <c r="F1432" s="252" t="s">
        <v>1417</v>
      </c>
      <c r="G1432" s="253" t="s">
        <v>1417</v>
      </c>
      <c r="H1432" s="253" t="s">
        <v>1338</v>
      </c>
      <c r="I1432" s="253" t="s">
        <v>34</v>
      </c>
      <c r="J1432" s="253" t="s">
        <v>608</v>
      </c>
      <c r="K1432" s="253" t="s">
        <v>48</v>
      </c>
      <c r="L1432" s="655"/>
      <c r="M1432" s="655" t="s">
        <v>34</v>
      </c>
      <c r="N1432" s="253" t="s">
        <v>4087</v>
      </c>
      <c r="O1432" s="253" t="s">
        <v>1321</v>
      </c>
      <c r="P1432" s="656">
        <v>42789</v>
      </c>
      <c r="Q1432" s="657">
        <v>131.80038400000001</v>
      </c>
      <c r="R1432" s="657">
        <v>193.64125257028127</v>
      </c>
      <c r="S1432" s="253">
        <v>31</v>
      </c>
      <c r="T1432" s="658">
        <v>-4.8371242917757296E-2</v>
      </c>
      <c r="U1432" s="659">
        <v>-2.418758068480535</v>
      </c>
      <c r="V1432" s="658">
        <v>-0.21320909910270713</v>
      </c>
      <c r="W1432" s="659">
        <v>-1.6535026742825161</v>
      </c>
      <c r="X1432" s="658">
        <v>-0.31192681617645002</v>
      </c>
      <c r="Y1432" s="659">
        <v>-1.615466665346369</v>
      </c>
      <c r="Z1432" s="658">
        <v>-0.2645193555612162</v>
      </c>
      <c r="AA1432" s="659">
        <v>-1.1943781662331954</v>
      </c>
      <c r="AB1432" s="658">
        <v>0.24031225975555656</v>
      </c>
      <c r="AC1432" s="660">
        <v>-1.4237850740429574</v>
      </c>
      <c r="AD1432" s="682">
        <v>16929553000163</v>
      </c>
      <c r="AE1432" s="944" t="s">
        <v>1749</v>
      </c>
      <c r="AF1432" s="661" t="s">
        <v>1729</v>
      </c>
      <c r="AG1432" s="662" t="s">
        <v>1433</v>
      </c>
      <c r="AH1432" s="662" t="s">
        <v>1734</v>
      </c>
      <c r="AI1432" s="662">
        <v>10000</v>
      </c>
      <c r="AJ1432" s="662">
        <v>5000</v>
      </c>
      <c r="AK1432" s="662">
        <v>10000</v>
      </c>
      <c r="AL1432" s="658">
        <v>0.02</v>
      </c>
      <c r="AM1432" s="658">
        <v>0.2</v>
      </c>
      <c r="AN1432" s="659" t="s">
        <v>666</v>
      </c>
      <c r="AO1432" s="253" t="s">
        <v>34</v>
      </c>
      <c r="AP1432" s="944" t="s">
        <v>1731</v>
      </c>
      <c r="AQ1432" s="663" t="s">
        <v>659</v>
      </c>
      <c r="AR1432" s="658">
        <v>5.0000000000000001E-3</v>
      </c>
      <c r="AS1432" s="658">
        <v>5.0000000000000001E-3</v>
      </c>
      <c r="AT1432" s="658" t="s">
        <v>1417</v>
      </c>
      <c r="AU1432" s="658" t="s">
        <v>2751</v>
      </c>
      <c r="AX1432"/>
      <c r="AY1432"/>
      <c r="BA1432"/>
      <c r="BB1432"/>
      <c r="BC1432"/>
      <c r="BD1432"/>
      <c r="BE1432"/>
      <c r="BF1432"/>
      <c r="BG1432"/>
      <c r="BH1432"/>
      <c r="BI1432"/>
      <c r="BJ1432"/>
      <c r="BR1432"/>
      <c r="BS1432"/>
      <c r="BT1432"/>
      <c r="BU1432"/>
      <c r="BX1432"/>
    </row>
    <row r="1433" spans="2:76" ht="18.75">
      <c r="B1433" s="252" t="s">
        <v>1248</v>
      </c>
      <c r="C1433" s="251">
        <v>37013129000144</v>
      </c>
      <c r="D1433" s="252" t="s">
        <v>14</v>
      </c>
      <c r="E1433" s="252" t="s">
        <v>607</v>
      </c>
      <c r="F1433" s="252" t="s">
        <v>1417</v>
      </c>
      <c r="G1433" s="253" t="s">
        <v>1417</v>
      </c>
      <c r="H1433" s="253" t="s">
        <v>34</v>
      </c>
      <c r="I1433" s="253" t="s">
        <v>34</v>
      </c>
      <c r="J1433" s="253" t="s">
        <v>611</v>
      </c>
      <c r="K1433" s="253" t="s">
        <v>48</v>
      </c>
      <c r="L1433" s="655"/>
      <c r="M1433" s="655" t="s">
        <v>1414</v>
      </c>
      <c r="N1433" s="253" t="s">
        <v>4088</v>
      </c>
      <c r="O1433" s="253" t="s">
        <v>1321</v>
      </c>
      <c r="P1433" s="656">
        <v>44013</v>
      </c>
      <c r="Q1433" s="657">
        <v>75.085243879999993</v>
      </c>
      <c r="R1433" s="657">
        <v>127.17211546931456</v>
      </c>
      <c r="S1433" s="253">
        <v>10</v>
      </c>
      <c r="T1433" s="658">
        <v>3.3995944109810772E-2</v>
      </c>
      <c r="U1433" s="659">
        <v>1.6999349024589954</v>
      </c>
      <c r="V1433" s="658">
        <v>-3.3181689284331517E-2</v>
      </c>
      <c r="W1433" s="659">
        <v>-0.25733428920134221</v>
      </c>
      <c r="X1433" s="658">
        <v>5.4648069097524177E-2</v>
      </c>
      <c r="Y1433" s="659">
        <v>0.2830219441686479</v>
      </c>
      <c r="Z1433" s="658"/>
      <c r="AA1433" s="659"/>
      <c r="AB1433" s="658">
        <v>0.20989797377081632</v>
      </c>
      <c r="AC1433" s="660">
        <v>-0.77240192374673322</v>
      </c>
      <c r="AD1433" s="682">
        <v>36428288000147</v>
      </c>
      <c r="AE1433" s="944" t="s">
        <v>1749</v>
      </c>
      <c r="AF1433" s="661" t="s">
        <v>1767</v>
      </c>
      <c r="AG1433" s="662" t="s">
        <v>59</v>
      </c>
      <c r="AH1433" s="662" t="s">
        <v>1730</v>
      </c>
      <c r="AI1433" s="662">
        <v>10000</v>
      </c>
      <c r="AJ1433" s="662">
        <v>5000</v>
      </c>
      <c r="AK1433" s="662">
        <v>10000</v>
      </c>
      <c r="AL1433" s="658">
        <v>0</v>
      </c>
      <c r="AM1433" s="658">
        <v>0</v>
      </c>
      <c r="AN1433" s="659" t="s">
        <v>2122</v>
      </c>
      <c r="AO1433" s="253" t="s">
        <v>34</v>
      </c>
      <c r="AP1433" s="944" t="s">
        <v>1731</v>
      </c>
      <c r="AQ1433" s="663" t="s">
        <v>687</v>
      </c>
      <c r="AR1433" s="658">
        <v>2E-3</v>
      </c>
      <c r="AS1433" s="658">
        <v>2E-3</v>
      </c>
      <c r="AT1433" s="658" t="s">
        <v>1417</v>
      </c>
      <c r="AU1433" s="658" t="s">
        <v>2751</v>
      </c>
      <c r="AX1433"/>
      <c r="AY1433"/>
      <c r="BA1433"/>
      <c r="BB1433"/>
      <c r="BC1433"/>
      <c r="BD1433"/>
      <c r="BE1433"/>
      <c r="BF1433"/>
      <c r="BG1433"/>
      <c r="BH1433"/>
      <c r="BI1433"/>
      <c r="BJ1433"/>
      <c r="BR1433"/>
      <c r="BS1433"/>
      <c r="BT1433"/>
      <c r="BU1433"/>
      <c r="BX1433"/>
    </row>
    <row r="1434" spans="2:76" ht="18.75">
      <c r="B1434" s="252" t="s">
        <v>1249</v>
      </c>
      <c r="C1434" s="251">
        <v>34831155000191</v>
      </c>
      <c r="D1434" s="252" t="s">
        <v>14</v>
      </c>
      <c r="E1434" s="252" t="s">
        <v>607</v>
      </c>
      <c r="F1434" s="252" t="s">
        <v>1417</v>
      </c>
      <c r="G1434" s="253" t="s">
        <v>1417</v>
      </c>
      <c r="H1434" s="253" t="s">
        <v>34</v>
      </c>
      <c r="I1434" s="253" t="s">
        <v>34</v>
      </c>
      <c r="J1434" s="253" t="s">
        <v>611</v>
      </c>
      <c r="K1434" s="253" t="s">
        <v>48</v>
      </c>
      <c r="L1434" s="655"/>
      <c r="M1434" s="655" t="s">
        <v>1414</v>
      </c>
      <c r="N1434" s="253" t="s">
        <v>4089</v>
      </c>
      <c r="O1434" s="253" t="s">
        <v>1321</v>
      </c>
      <c r="P1434" s="656">
        <v>43848</v>
      </c>
      <c r="Q1434" s="657">
        <v>119.47249621</v>
      </c>
      <c r="R1434" s="657">
        <v>173.09557005614454</v>
      </c>
      <c r="S1434" s="253">
        <v>10</v>
      </c>
      <c r="T1434" s="658">
        <v>3.737139150252089E-3</v>
      </c>
      <c r="U1434" s="659">
        <v>0.18687209439864089</v>
      </c>
      <c r="V1434" s="658">
        <v>-0.10181141174844877</v>
      </c>
      <c r="W1434" s="659">
        <v>-0.78957906724910931</v>
      </c>
      <c r="X1434" s="658">
        <v>-0.15370258638123657</v>
      </c>
      <c r="Y1434" s="659">
        <v>-0.79602455383621107</v>
      </c>
      <c r="Z1434" s="658">
        <v>0.36222322786791894</v>
      </c>
      <c r="AA1434" s="659">
        <v>1.6355382151527755</v>
      </c>
      <c r="AB1434" s="658">
        <v>0.23479764403356332</v>
      </c>
      <c r="AC1434" s="660">
        <v>-0.98278380153700196</v>
      </c>
      <c r="AD1434" s="682">
        <v>25682017000105</v>
      </c>
      <c r="AE1434" s="944" t="s">
        <v>1749</v>
      </c>
      <c r="AF1434" s="661" t="s">
        <v>1767</v>
      </c>
      <c r="AG1434" s="662" t="s">
        <v>59</v>
      </c>
      <c r="AH1434" s="662" t="s">
        <v>1730</v>
      </c>
      <c r="AI1434" s="662">
        <v>10000</v>
      </c>
      <c r="AJ1434" s="662">
        <v>5000</v>
      </c>
      <c r="AK1434" s="662">
        <v>10000</v>
      </c>
      <c r="AL1434" s="658">
        <v>0</v>
      </c>
      <c r="AM1434" s="658">
        <v>0</v>
      </c>
      <c r="AN1434" s="659" t="s">
        <v>2122</v>
      </c>
      <c r="AO1434" s="253" t="s">
        <v>34</v>
      </c>
      <c r="AP1434" s="944" t="s">
        <v>1731</v>
      </c>
      <c r="AQ1434" s="663" t="s">
        <v>687</v>
      </c>
      <c r="AR1434" s="658">
        <v>2E-3</v>
      </c>
      <c r="AS1434" s="658">
        <v>2E-3</v>
      </c>
      <c r="AT1434" s="658" t="s">
        <v>1417</v>
      </c>
      <c r="AU1434" s="658" t="s">
        <v>2751</v>
      </c>
      <c r="AX1434"/>
      <c r="AY1434"/>
      <c r="BA1434"/>
      <c r="BB1434"/>
      <c r="BC1434"/>
      <c r="BD1434"/>
      <c r="BE1434"/>
      <c r="BF1434"/>
      <c r="BG1434"/>
      <c r="BH1434"/>
      <c r="BI1434"/>
      <c r="BJ1434"/>
      <c r="BR1434"/>
      <c r="BS1434"/>
      <c r="BT1434"/>
      <c r="BU1434"/>
      <c r="BX1434"/>
    </row>
    <row r="1435" spans="2:76" ht="18.75">
      <c r="B1435" s="252" t="s">
        <v>543</v>
      </c>
      <c r="C1435" s="251">
        <v>22187946000141</v>
      </c>
      <c r="D1435" s="252" t="s">
        <v>13</v>
      </c>
      <c r="E1435" s="252" t="s">
        <v>615</v>
      </c>
      <c r="F1435" s="252" t="s">
        <v>619</v>
      </c>
      <c r="G1435" s="253" t="s">
        <v>34</v>
      </c>
      <c r="H1435" s="253" t="s">
        <v>1338</v>
      </c>
      <c r="I1435" s="253" t="s">
        <v>34</v>
      </c>
      <c r="J1435" s="253" t="s">
        <v>611</v>
      </c>
      <c r="K1435" s="253" t="s">
        <v>48</v>
      </c>
      <c r="L1435" s="655"/>
      <c r="M1435" s="655" t="s">
        <v>1414</v>
      </c>
      <c r="N1435" s="253" t="s">
        <v>4090</v>
      </c>
      <c r="O1435" s="253" t="s">
        <v>1324</v>
      </c>
      <c r="P1435" s="656">
        <v>42147</v>
      </c>
      <c r="Q1435" s="657">
        <v>1309.794719</v>
      </c>
      <c r="R1435" s="657">
        <v>1307.9678415564526</v>
      </c>
      <c r="S1435" s="253">
        <v>1</v>
      </c>
      <c r="T1435" s="658">
        <v>2.3252544839424072E-2</v>
      </c>
      <c r="U1435" s="659">
        <v>1.1627214239395864</v>
      </c>
      <c r="V1435" s="658">
        <v>0.15367950915736817</v>
      </c>
      <c r="W1435" s="659">
        <v>1.1918322456384614</v>
      </c>
      <c r="X1435" s="658">
        <v>0.16789349705186973</v>
      </c>
      <c r="Y1435" s="659">
        <v>0.86951917485125019</v>
      </c>
      <c r="Z1435" s="658">
        <v>0.25732932772656358</v>
      </c>
      <c r="AA1435" s="659">
        <v>1.1619131988129545</v>
      </c>
      <c r="AB1435" s="658">
        <v>7.031749994806212E-2</v>
      </c>
      <c r="AC1435" s="660">
        <v>0.35177018137519128</v>
      </c>
      <c r="AD1435" s="682">
        <v>7455507000189</v>
      </c>
      <c r="AE1435" s="944" t="s">
        <v>1749</v>
      </c>
      <c r="AF1435" s="661" t="s">
        <v>1767</v>
      </c>
      <c r="AG1435" s="662" t="s">
        <v>59</v>
      </c>
      <c r="AH1435" s="662" t="s">
        <v>1734</v>
      </c>
      <c r="AI1435" s="662">
        <v>5000</v>
      </c>
      <c r="AJ1435" s="662">
        <v>2000</v>
      </c>
      <c r="AK1435" s="662">
        <v>5000</v>
      </c>
      <c r="AL1435" s="658">
        <v>0</v>
      </c>
      <c r="AM1435" s="658">
        <v>0</v>
      </c>
      <c r="AN1435" s="659" t="s">
        <v>64</v>
      </c>
      <c r="AO1435" s="253" t="s">
        <v>34</v>
      </c>
      <c r="AP1435" s="944" t="s">
        <v>1746</v>
      </c>
      <c r="AQ1435" s="663" t="s">
        <v>664</v>
      </c>
      <c r="AR1435" s="658">
        <v>0</v>
      </c>
      <c r="AS1435" s="658">
        <v>0</v>
      </c>
      <c r="AT1435" s="658" t="s">
        <v>1417</v>
      </c>
      <c r="AU1435" s="658" t="s">
        <v>2751</v>
      </c>
      <c r="AX1435"/>
      <c r="AY1435"/>
      <c r="BA1435"/>
      <c r="BB1435"/>
      <c r="BC1435"/>
      <c r="BD1435"/>
      <c r="BE1435"/>
      <c r="BF1435"/>
      <c r="BG1435"/>
      <c r="BH1435"/>
      <c r="BI1435"/>
      <c r="BJ1435"/>
      <c r="BR1435"/>
      <c r="BS1435"/>
      <c r="BT1435"/>
      <c r="BU1435"/>
      <c r="BX1435"/>
    </row>
    <row r="1436" spans="2:76" ht="18.75">
      <c r="B1436" s="252" t="s">
        <v>40</v>
      </c>
      <c r="C1436" s="251">
        <v>40716583000176</v>
      </c>
      <c r="D1436" s="252" t="s">
        <v>13</v>
      </c>
      <c r="E1436" s="252" t="s">
        <v>615</v>
      </c>
      <c r="F1436" s="252" t="s">
        <v>619</v>
      </c>
      <c r="G1436" s="253" t="s">
        <v>34</v>
      </c>
      <c r="H1436" s="253" t="s">
        <v>1338</v>
      </c>
      <c r="I1436" s="253" t="s">
        <v>34</v>
      </c>
      <c r="J1436" s="253" t="s">
        <v>611</v>
      </c>
      <c r="K1436" s="253" t="s">
        <v>48</v>
      </c>
      <c r="L1436" s="655"/>
      <c r="M1436" s="655" t="s">
        <v>1414</v>
      </c>
      <c r="N1436" s="253" t="s">
        <v>4091</v>
      </c>
      <c r="O1436" s="253" t="s">
        <v>1321</v>
      </c>
      <c r="P1436" s="656">
        <v>44249</v>
      </c>
      <c r="Q1436" s="657">
        <v>0</v>
      </c>
      <c r="R1436" s="657">
        <v>0</v>
      </c>
      <c r="S1436" s="253">
        <v>60</v>
      </c>
      <c r="T1436" s="658"/>
      <c r="U1436" s="659"/>
      <c r="V1436" s="658"/>
      <c r="W1436" s="659"/>
      <c r="X1436" s="658"/>
      <c r="Y1436" s="659"/>
      <c r="Z1436" s="658"/>
      <c r="AA1436" s="659"/>
      <c r="AB1436" s="658"/>
      <c r="AC1436" s="660"/>
      <c r="AD1436" s="682">
        <v>40697810000163</v>
      </c>
      <c r="AE1436" s="944" t="s">
        <v>1797</v>
      </c>
      <c r="AF1436" s="661" t="s">
        <v>1745</v>
      </c>
      <c r="AG1436" s="662" t="s">
        <v>1432</v>
      </c>
      <c r="AH1436" s="662" t="s">
        <v>1734</v>
      </c>
      <c r="AI1436" s="662">
        <v>50000</v>
      </c>
      <c r="AJ1436" s="662">
        <v>10000</v>
      </c>
      <c r="AK1436" s="662">
        <v>10000</v>
      </c>
      <c r="AL1436" s="658">
        <v>0</v>
      </c>
      <c r="AM1436" s="658">
        <v>0</v>
      </c>
      <c r="AN1436" s="659" t="s">
        <v>64</v>
      </c>
      <c r="AO1436" s="253" t="s">
        <v>34</v>
      </c>
      <c r="AP1436" s="944" t="s">
        <v>1746</v>
      </c>
      <c r="AQ1436" s="663" t="s">
        <v>664</v>
      </c>
      <c r="AR1436" s="658">
        <v>0</v>
      </c>
      <c r="AS1436" s="658">
        <v>0</v>
      </c>
      <c r="AT1436" s="658" t="s">
        <v>1417</v>
      </c>
      <c r="AU1436" s="658" t="s">
        <v>2751</v>
      </c>
      <c r="AX1436"/>
      <c r="AY1436"/>
      <c r="BA1436"/>
      <c r="BB1436"/>
      <c r="BC1436"/>
      <c r="BD1436"/>
      <c r="BE1436"/>
      <c r="BF1436"/>
      <c r="BG1436"/>
      <c r="BH1436"/>
      <c r="BI1436"/>
      <c r="BJ1436"/>
      <c r="BR1436"/>
      <c r="BS1436"/>
      <c r="BT1436"/>
      <c r="BU1436"/>
      <c r="BX1436"/>
    </row>
    <row r="1437" spans="2:76" ht="18.75">
      <c r="B1437" s="252" t="s">
        <v>1250</v>
      </c>
      <c r="C1437" s="251">
        <v>37099014000114</v>
      </c>
      <c r="D1437" s="252" t="s">
        <v>14</v>
      </c>
      <c r="E1437" s="252" t="s">
        <v>607</v>
      </c>
      <c r="F1437" s="252" t="s">
        <v>1417</v>
      </c>
      <c r="G1437" s="253" t="s">
        <v>1417</v>
      </c>
      <c r="H1437" s="253" t="s">
        <v>34</v>
      </c>
      <c r="I1437" s="253" t="s">
        <v>34</v>
      </c>
      <c r="J1437" s="253" t="s">
        <v>608</v>
      </c>
      <c r="K1437" s="253" t="s">
        <v>48</v>
      </c>
      <c r="L1437" s="655"/>
      <c r="M1437" s="655" t="s">
        <v>34</v>
      </c>
      <c r="N1437" s="253" t="s">
        <v>4092</v>
      </c>
      <c r="O1437" s="253" t="s">
        <v>1321</v>
      </c>
      <c r="P1437" s="656">
        <v>43974</v>
      </c>
      <c r="Q1437" s="657">
        <v>1.8658746799999999</v>
      </c>
      <c r="R1437" s="657">
        <v>2.2330024729838693</v>
      </c>
      <c r="S1437" s="253">
        <v>3</v>
      </c>
      <c r="T1437" s="658">
        <v>-3.737692809037596E-2</v>
      </c>
      <c r="U1437" s="659">
        <v>-1.8689977958045247</v>
      </c>
      <c r="V1437" s="658">
        <v>-6.759934915191701E-2</v>
      </c>
      <c r="W1437" s="659">
        <v>-0.52425391351898964</v>
      </c>
      <c r="X1437" s="658">
        <v>-7.372800274535618E-2</v>
      </c>
      <c r="Y1437" s="659">
        <v>-0.38183677888826772</v>
      </c>
      <c r="Z1437" s="658"/>
      <c r="AA1437" s="659"/>
      <c r="AB1437" s="658">
        <v>0.21244199850940235</v>
      </c>
      <c r="AC1437" s="660">
        <v>-0.92516197351629914</v>
      </c>
      <c r="AD1437" s="682">
        <v>0</v>
      </c>
      <c r="AE1437" s="944" t="s">
        <v>2016</v>
      </c>
      <c r="AF1437" s="661" t="s">
        <v>1745</v>
      </c>
      <c r="AG1437" s="662" t="s">
        <v>1432</v>
      </c>
      <c r="AH1437" s="662" t="s">
        <v>1734</v>
      </c>
      <c r="AI1437" s="662">
        <v>5000</v>
      </c>
      <c r="AJ1437" s="662">
        <v>1000</v>
      </c>
      <c r="AK1437" s="662">
        <v>1000</v>
      </c>
      <c r="AL1437" s="658">
        <v>0.02</v>
      </c>
      <c r="AM1437" s="658">
        <v>0.2</v>
      </c>
      <c r="AN1437" s="659" t="s">
        <v>666</v>
      </c>
      <c r="AO1437" s="253" t="s">
        <v>34</v>
      </c>
      <c r="AP1437" s="944" t="s">
        <v>1731</v>
      </c>
      <c r="AQ1437" s="663" t="s">
        <v>670</v>
      </c>
      <c r="AR1437" s="658">
        <v>6.0000000000000001E-3</v>
      </c>
      <c r="AS1437" s="658">
        <v>6.0000000000000001E-3</v>
      </c>
      <c r="AT1437" s="658" t="s">
        <v>1417</v>
      </c>
      <c r="AU1437" s="658" t="s">
        <v>2751</v>
      </c>
      <c r="AX1437"/>
      <c r="AY1437"/>
      <c r="BA1437"/>
      <c r="BB1437"/>
      <c r="BC1437"/>
      <c r="BD1437"/>
      <c r="BE1437"/>
      <c r="BF1437"/>
      <c r="BG1437"/>
      <c r="BH1437"/>
      <c r="BI1437"/>
      <c r="BJ1437"/>
      <c r="BR1437"/>
      <c r="BS1437"/>
      <c r="BT1437"/>
      <c r="BU1437"/>
      <c r="BX1437"/>
    </row>
    <row r="1438" spans="2:76" ht="18.75">
      <c r="B1438" s="252" t="s">
        <v>1251</v>
      </c>
      <c r="C1438" s="251">
        <v>44839845000140</v>
      </c>
      <c r="D1438" s="252" t="s">
        <v>11</v>
      </c>
      <c r="E1438" s="252" t="s">
        <v>620</v>
      </c>
      <c r="F1438" s="252" t="s">
        <v>663</v>
      </c>
      <c r="G1438" s="253" t="s">
        <v>738</v>
      </c>
      <c r="H1438" s="253" t="s">
        <v>34</v>
      </c>
      <c r="I1438" s="253" t="s">
        <v>1417</v>
      </c>
      <c r="J1438" s="253" t="s">
        <v>608</v>
      </c>
      <c r="K1438" s="253" t="s">
        <v>48</v>
      </c>
      <c r="L1438" s="655"/>
      <c r="M1438" s="655" t="s">
        <v>1414</v>
      </c>
      <c r="N1438" s="253" t="s">
        <v>4093</v>
      </c>
      <c r="O1438" s="253" t="s">
        <v>1321</v>
      </c>
      <c r="P1438" s="656">
        <v>44634</v>
      </c>
      <c r="Q1438" s="657"/>
      <c r="R1438" s="657"/>
      <c r="S1438" s="253">
        <v>0</v>
      </c>
      <c r="T1438" s="658"/>
      <c r="U1438" s="659"/>
      <c r="V1438" s="658"/>
      <c r="W1438" s="659"/>
      <c r="X1438" s="658"/>
      <c r="Y1438" s="659"/>
      <c r="Z1438" s="658"/>
      <c r="AA1438" s="659"/>
      <c r="AB1438" s="658"/>
      <c r="AC1438" s="660"/>
      <c r="AD1438" s="682">
        <v>0</v>
      </c>
      <c r="AE1438" s="944" t="s">
        <v>2016</v>
      </c>
      <c r="AF1438" s="661" t="s">
        <v>1745</v>
      </c>
      <c r="AG1438" s="662" t="s">
        <v>1432</v>
      </c>
      <c r="AH1438" s="662" t="s">
        <v>1734</v>
      </c>
      <c r="AI1438" s="662">
        <v>1000</v>
      </c>
      <c r="AJ1438" s="662">
        <v>100</v>
      </c>
      <c r="AK1438" s="662">
        <v>1000</v>
      </c>
      <c r="AL1438" s="658">
        <v>1.4000000000000002E-3</v>
      </c>
      <c r="AM1438" s="658">
        <v>0</v>
      </c>
      <c r="AN1438" s="659" t="s">
        <v>2127</v>
      </c>
      <c r="AO1438" s="253" t="s">
        <v>34</v>
      </c>
      <c r="AP1438" s="944" t="s">
        <v>1735</v>
      </c>
      <c r="AQ1438" s="663" t="s">
        <v>669</v>
      </c>
      <c r="AR1438" s="658">
        <v>9.3333333333333105E-4</v>
      </c>
      <c r="AS1438" s="658">
        <v>9.3333333333333105E-4</v>
      </c>
      <c r="AT1438" s="658" t="s">
        <v>1417</v>
      </c>
      <c r="AU1438" s="658" t="s">
        <v>2751</v>
      </c>
      <c r="AX1438"/>
      <c r="AY1438"/>
      <c r="BA1438"/>
      <c r="BB1438"/>
      <c r="BC1438"/>
      <c r="BD1438"/>
      <c r="BE1438"/>
      <c r="BF1438"/>
      <c r="BG1438"/>
      <c r="BH1438"/>
      <c r="BI1438"/>
      <c r="BJ1438"/>
      <c r="BR1438"/>
      <c r="BS1438"/>
      <c r="BT1438"/>
      <c r="BU1438"/>
      <c r="BX1438"/>
    </row>
    <row r="1439" spans="2:76" ht="18.75">
      <c r="B1439" s="252" t="s">
        <v>1252</v>
      </c>
      <c r="C1439" s="251">
        <v>36896492000192</v>
      </c>
      <c r="D1439" s="252" t="s">
        <v>14</v>
      </c>
      <c r="E1439" s="252" t="s">
        <v>607</v>
      </c>
      <c r="F1439" s="252" t="s">
        <v>1417</v>
      </c>
      <c r="G1439" s="253" t="s">
        <v>1417</v>
      </c>
      <c r="H1439" s="253" t="s">
        <v>34</v>
      </c>
      <c r="I1439" s="253" t="s">
        <v>34</v>
      </c>
      <c r="J1439" s="253" t="s">
        <v>608</v>
      </c>
      <c r="K1439" s="253" t="s">
        <v>48</v>
      </c>
      <c r="L1439" s="655"/>
      <c r="M1439" s="655" t="s">
        <v>1414</v>
      </c>
      <c r="N1439" s="253" t="s">
        <v>4094</v>
      </c>
      <c r="O1439" s="253" t="s">
        <v>1321</v>
      </c>
      <c r="P1439" s="656">
        <v>43974</v>
      </c>
      <c r="Q1439" s="657">
        <v>5.9554960699999997</v>
      </c>
      <c r="R1439" s="657">
        <v>8.2623791481124549</v>
      </c>
      <c r="S1439" s="253">
        <v>32</v>
      </c>
      <c r="T1439" s="658">
        <v>-2.8460063675310399E-2</v>
      </c>
      <c r="U1439" s="659">
        <v>-1.4231184582370133</v>
      </c>
      <c r="V1439" s="658">
        <v>-6.2692360434915662E-2</v>
      </c>
      <c r="W1439" s="659">
        <v>-0.4861986944857376</v>
      </c>
      <c r="X1439" s="658">
        <v>-0.18314158514529078</v>
      </c>
      <c r="Y1439" s="659">
        <v>-0.94848890989080625</v>
      </c>
      <c r="Z1439" s="658"/>
      <c r="AA1439" s="659"/>
      <c r="AB1439" s="658">
        <v>0.20203515428798885</v>
      </c>
      <c r="AC1439" s="660">
        <v>-0.94852933172480536</v>
      </c>
      <c r="AD1439" s="682">
        <v>0</v>
      </c>
      <c r="AE1439" s="944" t="s">
        <v>2016</v>
      </c>
      <c r="AF1439" s="661" t="s">
        <v>1745</v>
      </c>
      <c r="AG1439" s="662" t="s">
        <v>1432</v>
      </c>
      <c r="AH1439" s="662" t="s">
        <v>1734</v>
      </c>
      <c r="AI1439" s="662">
        <v>5000</v>
      </c>
      <c r="AJ1439" s="662">
        <v>1000</v>
      </c>
      <c r="AK1439" s="662">
        <v>1000</v>
      </c>
      <c r="AL1439" s="658">
        <v>0.01</v>
      </c>
      <c r="AM1439" s="658">
        <v>0.1</v>
      </c>
      <c r="AN1439" s="659" t="s">
        <v>34</v>
      </c>
      <c r="AO1439" s="253" t="s">
        <v>34</v>
      </c>
      <c r="AP1439" s="944" t="s">
        <v>1731</v>
      </c>
      <c r="AQ1439" s="663" t="s">
        <v>670</v>
      </c>
      <c r="AR1439" s="658">
        <v>3.0000000000000001E-3</v>
      </c>
      <c r="AS1439" s="658">
        <v>3.0000000000000001E-3</v>
      </c>
      <c r="AT1439" s="658" t="s">
        <v>1417</v>
      </c>
      <c r="AU1439" s="658" t="s">
        <v>2751</v>
      </c>
      <c r="AX1439"/>
      <c r="AY1439"/>
      <c r="BA1439"/>
      <c r="BB1439"/>
      <c r="BC1439"/>
      <c r="BD1439"/>
      <c r="BE1439"/>
      <c r="BF1439"/>
      <c r="BG1439"/>
      <c r="BH1439"/>
      <c r="BI1439"/>
      <c r="BJ1439"/>
      <c r="BR1439"/>
      <c r="BS1439"/>
      <c r="BT1439"/>
      <c r="BU1439"/>
      <c r="BX1439"/>
    </row>
    <row r="1440" spans="2:76" ht="18.75">
      <c r="B1440" s="252" t="s">
        <v>428</v>
      </c>
      <c r="C1440" s="251">
        <v>29574952000109</v>
      </c>
      <c r="D1440" s="252" t="s">
        <v>14</v>
      </c>
      <c r="E1440" s="252" t="s">
        <v>614</v>
      </c>
      <c r="F1440" s="252" t="s">
        <v>1417</v>
      </c>
      <c r="G1440" s="253" t="s">
        <v>1417</v>
      </c>
      <c r="H1440" s="253" t="s">
        <v>1338</v>
      </c>
      <c r="I1440" s="253" t="s">
        <v>34</v>
      </c>
      <c r="J1440" s="253" t="s">
        <v>608</v>
      </c>
      <c r="K1440" s="253" t="s">
        <v>48</v>
      </c>
      <c r="L1440" s="655"/>
      <c r="M1440" s="655" t="s">
        <v>1414</v>
      </c>
      <c r="N1440" s="253" t="s">
        <v>4095</v>
      </c>
      <c r="O1440" s="253" t="s">
        <v>1321</v>
      </c>
      <c r="P1440" s="656">
        <v>43155</v>
      </c>
      <c r="Q1440" s="657">
        <v>52.79757455</v>
      </c>
      <c r="R1440" s="657">
        <v>94.308488495983937</v>
      </c>
      <c r="S1440" s="253">
        <v>10</v>
      </c>
      <c r="T1440" s="658">
        <v>-0.21597815916459817</v>
      </c>
      <c r="U1440" s="659">
        <v>-10.799782754872526</v>
      </c>
      <c r="V1440" s="658">
        <v>-0.35816777375035336</v>
      </c>
      <c r="W1440" s="659">
        <v>-2.7777021441882019</v>
      </c>
      <c r="X1440" s="658">
        <v>-0.27375064864523013</v>
      </c>
      <c r="Y1440" s="659">
        <v>-1.4177525771081925</v>
      </c>
      <c r="Z1440" s="658">
        <v>-0.15988410405465914</v>
      </c>
      <c r="AA1440" s="659">
        <v>-0.72192102012908443</v>
      </c>
      <c r="AB1440" s="658">
        <v>0.43460847280578763</v>
      </c>
      <c r="AC1440" s="660">
        <v>-1.1208057681259611</v>
      </c>
      <c r="AD1440" s="682">
        <v>0</v>
      </c>
      <c r="AE1440" s="944" t="s">
        <v>1883</v>
      </c>
      <c r="AF1440" s="661" t="s">
        <v>1729</v>
      </c>
      <c r="AG1440" s="662" t="s">
        <v>1433</v>
      </c>
      <c r="AH1440" s="662" t="s">
        <v>1734</v>
      </c>
      <c r="AI1440" s="662">
        <v>500</v>
      </c>
      <c r="AJ1440" s="662">
        <v>100</v>
      </c>
      <c r="AK1440" s="662">
        <v>500</v>
      </c>
      <c r="AL1440" s="658">
        <v>0.04</v>
      </c>
      <c r="AM1440" s="658">
        <v>0.2</v>
      </c>
      <c r="AN1440" s="659" t="s">
        <v>2127</v>
      </c>
      <c r="AO1440" s="253" t="s">
        <v>34</v>
      </c>
      <c r="AP1440" s="944" t="s">
        <v>1746</v>
      </c>
      <c r="AQ1440" s="663" t="s">
        <v>674</v>
      </c>
      <c r="AR1440" s="658">
        <v>3.3333333333333301E-3</v>
      </c>
      <c r="AS1440" s="658">
        <v>3.3333333333333301E-3</v>
      </c>
      <c r="AT1440" s="658" t="s">
        <v>1417</v>
      </c>
      <c r="AU1440" s="658" t="s">
        <v>2751</v>
      </c>
      <c r="AX1440"/>
      <c r="AY1440"/>
      <c r="BA1440"/>
      <c r="BB1440"/>
      <c r="BC1440"/>
      <c r="BD1440"/>
      <c r="BE1440"/>
      <c r="BF1440"/>
      <c r="BG1440"/>
      <c r="BH1440"/>
      <c r="BI1440"/>
      <c r="BJ1440"/>
      <c r="BR1440"/>
      <c r="BS1440"/>
      <c r="BT1440"/>
      <c r="BU1440"/>
      <c r="BX1440"/>
    </row>
    <row r="1441" spans="2:76" ht="18.75">
      <c r="B1441" s="252" t="s">
        <v>601</v>
      </c>
      <c r="C1441" s="251">
        <v>37829310000123</v>
      </c>
      <c r="D1441" s="252" t="s">
        <v>14</v>
      </c>
      <c r="E1441" s="252" t="s">
        <v>607</v>
      </c>
      <c r="F1441" s="252" t="s">
        <v>1417</v>
      </c>
      <c r="G1441" s="253" t="s">
        <v>1417</v>
      </c>
      <c r="H1441" s="253" t="s">
        <v>34</v>
      </c>
      <c r="I1441" s="253" t="s">
        <v>34</v>
      </c>
      <c r="J1441" s="253" t="s">
        <v>608</v>
      </c>
      <c r="K1441" s="253" t="s">
        <v>48</v>
      </c>
      <c r="L1441" s="655"/>
      <c r="M1441" s="655" t="s">
        <v>34</v>
      </c>
      <c r="N1441" s="253" t="s">
        <v>4096</v>
      </c>
      <c r="O1441" s="253" t="s">
        <v>1321</v>
      </c>
      <c r="P1441" s="656">
        <v>44089</v>
      </c>
      <c r="Q1441" s="657">
        <v>0</v>
      </c>
      <c r="R1441" s="657">
        <v>0</v>
      </c>
      <c r="S1441" s="253">
        <v>15</v>
      </c>
      <c r="T1441" s="658"/>
      <c r="U1441" s="659"/>
      <c r="V1441" s="658"/>
      <c r="W1441" s="659"/>
      <c r="X1441" s="658"/>
      <c r="Y1441" s="659"/>
      <c r="Z1441" s="658"/>
      <c r="AA1441" s="659"/>
      <c r="AB1441" s="658"/>
      <c r="AC1441" s="660"/>
      <c r="AD1441" s="682">
        <v>0</v>
      </c>
      <c r="AE1441" s="944" t="s">
        <v>1883</v>
      </c>
      <c r="AF1441" s="661" t="s">
        <v>1729</v>
      </c>
      <c r="AG1441" s="662" t="s">
        <v>1433</v>
      </c>
      <c r="AH1441" s="662" t="s">
        <v>1730</v>
      </c>
      <c r="AI1441" s="662">
        <v>500</v>
      </c>
      <c r="AJ1441" s="662">
        <v>0</v>
      </c>
      <c r="AK1441" s="662">
        <v>500</v>
      </c>
      <c r="AL1441" s="658">
        <v>0.02</v>
      </c>
      <c r="AM1441" s="658">
        <v>0.2</v>
      </c>
      <c r="AN1441" s="659" t="s">
        <v>34</v>
      </c>
      <c r="AO1441" s="253" t="s">
        <v>34</v>
      </c>
      <c r="AP1441" s="944" t="s">
        <v>1731</v>
      </c>
      <c r="AQ1441" s="663" t="s">
        <v>659</v>
      </c>
      <c r="AR1441" s="658">
        <v>4.0000000000000001E-3</v>
      </c>
      <c r="AS1441" s="658">
        <v>4.0000000000000001E-3</v>
      </c>
      <c r="AT1441" s="658" t="s">
        <v>1417</v>
      </c>
      <c r="AU1441" s="658" t="s">
        <v>2751</v>
      </c>
      <c r="AX1441"/>
      <c r="AY1441"/>
      <c r="BA1441"/>
      <c r="BB1441"/>
      <c r="BC1441"/>
      <c r="BD1441"/>
      <c r="BE1441"/>
      <c r="BF1441"/>
      <c r="BG1441"/>
      <c r="BH1441"/>
      <c r="BI1441"/>
      <c r="BJ1441"/>
      <c r="BR1441"/>
      <c r="BS1441"/>
      <c r="BT1441"/>
      <c r="BU1441"/>
      <c r="BX1441"/>
    </row>
    <row r="1442" spans="2:76" ht="18.75">
      <c r="B1442" s="252" t="s">
        <v>1253</v>
      </c>
      <c r="C1442" s="251">
        <v>31132367000192</v>
      </c>
      <c r="D1442" s="252" t="s">
        <v>14</v>
      </c>
      <c r="E1442" s="252" t="s">
        <v>607</v>
      </c>
      <c r="F1442" s="252" t="s">
        <v>1417</v>
      </c>
      <c r="G1442" s="253" t="s">
        <v>1417</v>
      </c>
      <c r="H1442" s="253" t="s">
        <v>34</v>
      </c>
      <c r="I1442" s="253" t="s">
        <v>34</v>
      </c>
      <c r="J1442" s="253" t="s">
        <v>608</v>
      </c>
      <c r="K1442" s="253" t="s">
        <v>48</v>
      </c>
      <c r="L1442" s="655"/>
      <c r="M1442" s="655" t="s">
        <v>1414</v>
      </c>
      <c r="N1442" s="253" t="s">
        <v>4097</v>
      </c>
      <c r="O1442" s="253" t="s">
        <v>1321</v>
      </c>
      <c r="P1442" s="656">
        <v>43476</v>
      </c>
      <c r="Q1442" s="657">
        <v>15.885287679999999</v>
      </c>
      <c r="R1442" s="657">
        <v>25.483516671807216</v>
      </c>
      <c r="S1442" s="253">
        <v>14</v>
      </c>
      <c r="T1442" s="658">
        <v>-9.9401520731333237E-2</v>
      </c>
      <c r="U1442" s="659">
        <v>-4.970478651891022</v>
      </c>
      <c r="V1442" s="658">
        <v>-0.28611361495543353</v>
      </c>
      <c r="W1442" s="659">
        <v>-2.2188998005640959</v>
      </c>
      <c r="X1442" s="658">
        <v>-0.20519515632053631</v>
      </c>
      <c r="Y1442" s="659">
        <v>-1.0627041912896951</v>
      </c>
      <c r="Z1442" s="658">
        <v>-0.21663684535874927</v>
      </c>
      <c r="AA1442" s="659">
        <v>-0.97817536848734354</v>
      </c>
      <c r="AB1442" s="658">
        <v>0.31859965155205255</v>
      </c>
      <c r="AC1442" s="660">
        <v>-1.3027557386841966</v>
      </c>
      <c r="AD1442" s="682">
        <v>0</v>
      </c>
      <c r="AE1442" s="944" t="s">
        <v>1883</v>
      </c>
      <c r="AF1442" s="661" t="s">
        <v>1729</v>
      </c>
      <c r="AG1442" s="662" t="s">
        <v>1433</v>
      </c>
      <c r="AH1442" s="662" t="s">
        <v>1734</v>
      </c>
      <c r="AI1442" s="662">
        <v>500</v>
      </c>
      <c r="AJ1442" s="662">
        <v>100</v>
      </c>
      <c r="AK1442" s="662">
        <v>100</v>
      </c>
      <c r="AL1442" s="658">
        <v>2.5000000000000001E-2</v>
      </c>
      <c r="AM1442" s="658">
        <v>0.2</v>
      </c>
      <c r="AN1442" s="659" t="s">
        <v>2127</v>
      </c>
      <c r="AO1442" s="253" t="s">
        <v>34</v>
      </c>
      <c r="AP1442" s="944" t="s">
        <v>1731</v>
      </c>
      <c r="AQ1442" s="663" t="s">
        <v>659</v>
      </c>
      <c r="AR1442" s="658">
        <v>3.3333333333333301E-3</v>
      </c>
      <c r="AS1442" s="658">
        <v>3.3333333333333301E-3</v>
      </c>
      <c r="AT1442" s="658" t="s">
        <v>1417</v>
      </c>
      <c r="AU1442" s="658" t="s">
        <v>2751</v>
      </c>
      <c r="AX1442"/>
      <c r="AY1442"/>
      <c r="BA1442"/>
      <c r="BB1442"/>
      <c r="BC1442"/>
      <c r="BD1442"/>
      <c r="BE1442"/>
      <c r="BF1442"/>
      <c r="BG1442"/>
      <c r="BH1442"/>
      <c r="BI1442"/>
      <c r="BJ1442"/>
      <c r="BR1442"/>
      <c r="BS1442"/>
      <c r="BT1442"/>
      <c r="BU1442"/>
      <c r="BX1442"/>
    </row>
    <row r="1443" spans="2:76" ht="18.75">
      <c r="B1443" s="252" t="s">
        <v>54</v>
      </c>
      <c r="C1443" s="251">
        <v>18832847000106</v>
      </c>
      <c r="D1443" s="252" t="s">
        <v>14</v>
      </c>
      <c r="E1443" s="252" t="s">
        <v>614</v>
      </c>
      <c r="F1443" s="252" t="s">
        <v>1417</v>
      </c>
      <c r="G1443" s="253" t="s">
        <v>1417</v>
      </c>
      <c r="H1443" s="253" t="s">
        <v>1338</v>
      </c>
      <c r="I1443" s="253" t="s">
        <v>34</v>
      </c>
      <c r="J1443" s="253" t="s">
        <v>608</v>
      </c>
      <c r="K1443" s="253" t="s">
        <v>48</v>
      </c>
      <c r="L1443" s="655"/>
      <c r="M1443" s="655" t="s">
        <v>1414</v>
      </c>
      <c r="N1443" s="253" t="s">
        <v>4098</v>
      </c>
      <c r="O1443" s="253" t="s">
        <v>1324</v>
      </c>
      <c r="P1443" s="656">
        <v>41571</v>
      </c>
      <c r="Q1443" s="657">
        <v>80.520653999999993</v>
      </c>
      <c r="R1443" s="657">
        <v>172.38037147389556</v>
      </c>
      <c r="S1443" s="253">
        <v>20</v>
      </c>
      <c r="T1443" s="658">
        <v>-0.29336924631420214</v>
      </c>
      <c r="U1443" s="659">
        <v>-14.669650576748703</v>
      </c>
      <c r="V1443" s="658">
        <v>-0.56097746102128632</v>
      </c>
      <c r="W1443" s="659">
        <v>-4.3505541551211184</v>
      </c>
      <c r="X1443" s="658">
        <v>-0.52071987658968211</v>
      </c>
      <c r="Y1443" s="659">
        <v>-2.6968043752226012</v>
      </c>
      <c r="Z1443" s="658">
        <v>-0.51533952617525147</v>
      </c>
      <c r="AA1443" s="659">
        <v>-2.3269007175478191</v>
      </c>
      <c r="AB1443" s="658">
        <v>0.70360982639310421</v>
      </c>
      <c r="AC1443" s="660">
        <v>-0.98054538835081329</v>
      </c>
      <c r="AD1443" s="682">
        <v>0</v>
      </c>
      <c r="AE1443" s="944" t="s">
        <v>1883</v>
      </c>
      <c r="AF1443" s="661" t="s">
        <v>1729</v>
      </c>
      <c r="AG1443" s="662" t="s">
        <v>1433</v>
      </c>
      <c r="AH1443" s="662" t="s">
        <v>1734</v>
      </c>
      <c r="AI1443" s="662">
        <v>500000</v>
      </c>
      <c r="AJ1443" s="662">
        <v>1000</v>
      </c>
      <c r="AK1443" s="662">
        <v>5000</v>
      </c>
      <c r="AL1443" s="658">
        <v>0.04</v>
      </c>
      <c r="AM1443" s="658">
        <v>0.2</v>
      </c>
      <c r="AN1443" s="659" t="s">
        <v>34</v>
      </c>
      <c r="AO1443" s="253" t="s">
        <v>34</v>
      </c>
      <c r="AP1443" s="944" t="s">
        <v>1746</v>
      </c>
      <c r="AQ1443" s="663" t="s">
        <v>674</v>
      </c>
      <c r="AR1443" s="658">
        <v>3.3333333333333301E-3</v>
      </c>
      <c r="AS1443" s="658">
        <v>3.3333333333333301E-3</v>
      </c>
      <c r="AT1443" s="658" t="s">
        <v>1417</v>
      </c>
      <c r="AU1443" s="658" t="s">
        <v>2751</v>
      </c>
      <c r="AX1443"/>
      <c r="AY1443"/>
      <c r="BA1443"/>
      <c r="BB1443"/>
      <c r="BC1443"/>
      <c r="BD1443"/>
      <c r="BE1443"/>
      <c r="BF1443"/>
      <c r="BG1443"/>
      <c r="BH1443"/>
      <c r="BI1443"/>
      <c r="BJ1443"/>
      <c r="BR1443"/>
      <c r="BS1443"/>
      <c r="BT1443"/>
      <c r="BU1443"/>
      <c r="BX1443"/>
    </row>
    <row r="1444" spans="2:76" ht="18.75">
      <c r="B1444" s="252" t="s">
        <v>429</v>
      </c>
      <c r="C1444" s="251">
        <v>30887013000195</v>
      </c>
      <c r="D1444" s="252" t="s">
        <v>13</v>
      </c>
      <c r="E1444" s="252" t="s">
        <v>615</v>
      </c>
      <c r="F1444" s="252" t="s">
        <v>619</v>
      </c>
      <c r="G1444" s="253" t="s">
        <v>34</v>
      </c>
      <c r="H1444" s="253" t="s">
        <v>1338</v>
      </c>
      <c r="I1444" s="253" t="s">
        <v>34</v>
      </c>
      <c r="J1444" s="253" t="s">
        <v>1417</v>
      </c>
      <c r="K1444" s="253" t="s">
        <v>48</v>
      </c>
      <c r="L1444" s="655"/>
      <c r="M1444" s="655" t="s">
        <v>1414</v>
      </c>
      <c r="N1444" s="253" t="s">
        <v>4099</v>
      </c>
      <c r="O1444" s="253" t="s">
        <v>1321</v>
      </c>
      <c r="P1444" s="656">
        <v>43328</v>
      </c>
      <c r="Q1444" s="657">
        <v>16.206603170000001</v>
      </c>
      <c r="R1444" s="657">
        <v>24.708440124779113</v>
      </c>
      <c r="S1444" s="253">
        <v>1</v>
      </c>
      <c r="T1444" s="658">
        <v>-7.1195817819714402E-2</v>
      </c>
      <c r="U1444" s="659">
        <v>-3.5600792620999013</v>
      </c>
      <c r="V1444" s="658">
        <v>-0.40569550227184381</v>
      </c>
      <c r="W1444" s="659">
        <v>-3.1462944160170925</v>
      </c>
      <c r="X1444" s="658">
        <v>-0.5306232865834184</v>
      </c>
      <c r="Y1444" s="659">
        <v>-2.7480940620608405</v>
      </c>
      <c r="Z1444" s="658">
        <v>-0.52219538137488686</v>
      </c>
      <c r="AA1444" s="659">
        <v>-2.3578568029500682</v>
      </c>
      <c r="AB1444" s="658">
        <v>0.63374547333045972</v>
      </c>
      <c r="AC1444" s="660">
        <v>-0.84361850966602525</v>
      </c>
      <c r="AD1444" s="682">
        <v>0</v>
      </c>
      <c r="AE1444" s="944" t="s">
        <v>1883</v>
      </c>
      <c r="AF1444" s="661" t="s">
        <v>1729</v>
      </c>
      <c r="AG1444" s="662" t="s">
        <v>1433</v>
      </c>
      <c r="AH1444" s="662" t="s">
        <v>1734</v>
      </c>
      <c r="AI1444" s="662">
        <v>500</v>
      </c>
      <c r="AJ1444" s="662">
        <v>100</v>
      </c>
      <c r="AK1444" s="662">
        <v>500</v>
      </c>
      <c r="AL1444" s="658">
        <v>0.01</v>
      </c>
      <c r="AM1444" s="658">
        <v>0.15</v>
      </c>
      <c r="AN1444" s="659" t="s">
        <v>64</v>
      </c>
      <c r="AO1444" s="253" t="s">
        <v>34</v>
      </c>
      <c r="AP1444" s="944" t="s">
        <v>1746</v>
      </c>
      <c r="AQ1444" s="663" t="s">
        <v>664</v>
      </c>
      <c r="AR1444" s="658">
        <v>2E-3</v>
      </c>
      <c r="AS1444" s="658">
        <v>2E-3</v>
      </c>
      <c r="AT1444" s="658" t="s">
        <v>1417</v>
      </c>
      <c r="AU1444" s="658" t="s">
        <v>2751</v>
      </c>
      <c r="AX1444"/>
      <c r="AY1444"/>
      <c r="BA1444"/>
      <c r="BB1444"/>
      <c r="BC1444"/>
      <c r="BD1444"/>
      <c r="BE1444"/>
      <c r="BF1444"/>
      <c r="BG1444"/>
      <c r="BH1444"/>
      <c r="BI1444"/>
      <c r="BJ1444"/>
      <c r="BR1444"/>
      <c r="BS1444"/>
      <c r="BT1444"/>
      <c r="BU1444"/>
      <c r="BX1444"/>
    </row>
    <row r="1445" spans="2:76" ht="18.75">
      <c r="B1445" s="252" t="s">
        <v>1482</v>
      </c>
      <c r="C1445" s="251">
        <v>22175345000119</v>
      </c>
      <c r="D1445" s="252" t="s">
        <v>11</v>
      </c>
      <c r="E1445" s="252" t="s">
        <v>620</v>
      </c>
      <c r="F1445" s="252" t="s">
        <v>685</v>
      </c>
      <c r="G1445" s="253" t="s">
        <v>738</v>
      </c>
      <c r="H1445" s="253" t="s">
        <v>34</v>
      </c>
      <c r="I1445" s="253" t="s">
        <v>1319</v>
      </c>
      <c r="J1445" s="253" t="s">
        <v>608</v>
      </c>
      <c r="K1445" s="253" t="s">
        <v>48</v>
      </c>
      <c r="L1445" s="655"/>
      <c r="M1445" s="655" t="s">
        <v>34</v>
      </c>
      <c r="N1445" s="253" t="s">
        <v>4100</v>
      </c>
      <c r="O1445" s="253" t="s">
        <v>1321</v>
      </c>
      <c r="P1445" s="656">
        <v>42248</v>
      </c>
      <c r="Q1445" s="657">
        <v>28.366206999999999</v>
      </c>
      <c r="R1445" s="657">
        <v>22.723660419642858</v>
      </c>
      <c r="S1445" s="253">
        <v>29</v>
      </c>
      <c r="T1445" s="658">
        <v>9.0605107766670301E-3</v>
      </c>
      <c r="U1445" s="659">
        <v>0.45306223747194757</v>
      </c>
      <c r="V1445" s="658">
        <v>0.15132870550072153</v>
      </c>
      <c r="W1445" s="659">
        <v>1.1736010343564989</v>
      </c>
      <c r="X1445" s="658">
        <v>0.25909171415992049</v>
      </c>
      <c r="Y1445" s="659">
        <v>1.3418340642313829</v>
      </c>
      <c r="Z1445" s="658">
        <v>0.33331915902718579</v>
      </c>
      <c r="AA1445" s="659">
        <v>1.5050283374713156</v>
      </c>
      <c r="AB1445" s="658">
        <v>0.12470062018953348</v>
      </c>
      <c r="AC1445" s="660">
        <v>0.17950829771263641</v>
      </c>
      <c r="AD1445" s="682">
        <v>12167116000107</v>
      </c>
      <c r="AE1445" s="944" t="s">
        <v>1933</v>
      </c>
      <c r="AF1445" s="661" t="s">
        <v>1745</v>
      </c>
      <c r="AG1445" s="662" t="s">
        <v>1432</v>
      </c>
      <c r="AH1445" s="662" t="s">
        <v>1730</v>
      </c>
      <c r="AI1445" s="662">
        <v>5000</v>
      </c>
      <c r="AJ1445" s="662">
        <v>5000</v>
      </c>
      <c r="AK1445" s="662">
        <v>5000</v>
      </c>
      <c r="AL1445" s="658">
        <v>1.2500000000000001E-2</v>
      </c>
      <c r="AM1445" s="658">
        <v>0</v>
      </c>
      <c r="AN1445" s="659" t="s">
        <v>2429</v>
      </c>
      <c r="AO1445" s="253" t="s">
        <v>34</v>
      </c>
      <c r="AP1445" s="944" t="s">
        <v>1934</v>
      </c>
      <c r="AQ1445" s="663" t="s">
        <v>2431</v>
      </c>
      <c r="AR1445" s="658">
        <v>0</v>
      </c>
      <c r="AS1445" s="658">
        <v>0</v>
      </c>
      <c r="AT1445" s="658" t="s">
        <v>1417</v>
      </c>
      <c r="AU1445" s="658" t="s">
        <v>2751</v>
      </c>
      <c r="AX1445"/>
      <c r="AY1445"/>
      <c r="BA1445"/>
      <c r="BB1445"/>
      <c r="BC1445"/>
      <c r="BD1445"/>
      <c r="BE1445"/>
      <c r="BF1445"/>
      <c r="BG1445"/>
      <c r="BH1445"/>
      <c r="BI1445"/>
      <c r="BJ1445"/>
      <c r="BR1445"/>
      <c r="BS1445"/>
      <c r="BT1445"/>
      <c r="BU1445"/>
      <c r="BX1445"/>
    </row>
    <row r="1446" spans="2:76" ht="18.75">
      <c r="B1446" s="252" t="s">
        <v>430</v>
      </c>
      <c r="C1446" s="251">
        <v>24572582000149</v>
      </c>
      <c r="D1446" s="252" t="s">
        <v>13</v>
      </c>
      <c r="E1446" s="252" t="s">
        <v>615</v>
      </c>
      <c r="F1446" s="252" t="s">
        <v>619</v>
      </c>
      <c r="G1446" s="253" t="s">
        <v>34</v>
      </c>
      <c r="H1446" s="253" t="s">
        <v>1337</v>
      </c>
      <c r="I1446" s="253" t="s">
        <v>34</v>
      </c>
      <c r="J1446" s="253" t="s">
        <v>611</v>
      </c>
      <c r="K1446" s="253" t="s">
        <v>48</v>
      </c>
      <c r="L1446" s="655"/>
      <c r="M1446" s="655" t="s">
        <v>34</v>
      </c>
      <c r="N1446" s="253" t="s">
        <v>4101</v>
      </c>
      <c r="O1446" s="253" t="s">
        <v>1321</v>
      </c>
      <c r="P1446" s="656">
        <v>42592</v>
      </c>
      <c r="Q1446" s="657">
        <v>314.75502</v>
      </c>
      <c r="R1446" s="657">
        <v>374.873304385246</v>
      </c>
      <c r="S1446" s="253">
        <v>31</v>
      </c>
      <c r="T1446" s="658">
        <v>5.0999784947660665E-3</v>
      </c>
      <c r="U1446" s="659">
        <v>0.25501958166066019</v>
      </c>
      <c r="V1446" s="658">
        <v>6.1092644939140239E-2</v>
      </c>
      <c r="W1446" s="659">
        <v>0.47379240478474488</v>
      </c>
      <c r="X1446" s="658">
        <v>5.4369456894206136E-2</v>
      </c>
      <c r="Y1446" s="659">
        <v>0.28157901363597965</v>
      </c>
      <c r="Z1446" s="658">
        <v>7.116562720573083E-2</v>
      </c>
      <c r="AA1446" s="659">
        <v>0.32133252079220814</v>
      </c>
      <c r="AB1446" s="658">
        <v>4.6686586040490592E-2</v>
      </c>
      <c r="AC1446" s="660">
        <v>-1.4533353209592517</v>
      </c>
      <c r="AD1446" s="682">
        <v>24572601000137</v>
      </c>
      <c r="AE1446" s="944" t="s">
        <v>1840</v>
      </c>
      <c r="AF1446" s="661" t="s">
        <v>1769</v>
      </c>
      <c r="AG1446" s="662" t="s">
        <v>719</v>
      </c>
      <c r="AH1446" s="662" t="s">
        <v>1734</v>
      </c>
      <c r="AI1446" s="662">
        <v>1000</v>
      </c>
      <c r="AJ1446" s="662">
        <v>500</v>
      </c>
      <c r="AK1446" s="662">
        <v>1000</v>
      </c>
      <c r="AL1446" s="658">
        <v>0.02</v>
      </c>
      <c r="AM1446" s="658">
        <v>0.2</v>
      </c>
      <c r="AN1446" s="659" t="s">
        <v>64</v>
      </c>
      <c r="AO1446" s="253" t="s">
        <v>34</v>
      </c>
      <c r="AP1446" s="944" t="s">
        <v>1746</v>
      </c>
      <c r="AQ1446" s="663" t="s">
        <v>668</v>
      </c>
      <c r="AR1446" s="658">
        <v>5.1840000000000002E-3</v>
      </c>
      <c r="AS1446" s="658">
        <v>5.1840000000000002E-3</v>
      </c>
      <c r="AT1446" s="658" t="s">
        <v>1417</v>
      </c>
      <c r="AU1446" s="658" t="s">
        <v>2751</v>
      </c>
      <c r="AX1446"/>
      <c r="AY1446"/>
      <c r="BA1446"/>
      <c r="BB1446"/>
      <c r="BC1446"/>
      <c r="BD1446"/>
      <c r="BE1446"/>
      <c r="BF1446"/>
      <c r="BG1446"/>
      <c r="BH1446"/>
      <c r="BI1446"/>
      <c r="BJ1446"/>
      <c r="BR1446"/>
      <c r="BS1446"/>
      <c r="BT1446"/>
      <c r="BU1446"/>
      <c r="BX1446"/>
    </row>
    <row r="1447" spans="2:76" ht="18.75">
      <c r="B1447" s="252" t="s">
        <v>1254</v>
      </c>
      <c r="C1447" s="251">
        <v>35002827000119</v>
      </c>
      <c r="D1447" s="252" t="s">
        <v>13</v>
      </c>
      <c r="E1447" s="252" t="s">
        <v>615</v>
      </c>
      <c r="F1447" s="252" t="s">
        <v>619</v>
      </c>
      <c r="G1447" s="253" t="s">
        <v>34</v>
      </c>
      <c r="H1447" s="253" t="s">
        <v>1337</v>
      </c>
      <c r="I1447" s="253" t="s">
        <v>34</v>
      </c>
      <c r="J1447" s="253" t="s">
        <v>1417</v>
      </c>
      <c r="K1447" s="253" t="s">
        <v>48</v>
      </c>
      <c r="L1447" s="655"/>
      <c r="M1447" s="655" t="s">
        <v>1414</v>
      </c>
      <c r="N1447" s="253" t="s">
        <v>4102</v>
      </c>
      <c r="O1447" s="253" t="s">
        <v>1321</v>
      </c>
      <c r="P1447" s="656">
        <v>43784</v>
      </c>
      <c r="Q1447" s="657">
        <v>0</v>
      </c>
      <c r="R1447" s="657">
        <v>2.175801332605042</v>
      </c>
      <c r="S1447" s="253">
        <v>10</v>
      </c>
      <c r="T1447" s="658">
        <v>9.865244129273476E-3</v>
      </c>
      <c r="U1447" s="659">
        <v>0.49330216458942255</v>
      </c>
      <c r="V1447" s="658">
        <v>0.15573451624312806</v>
      </c>
      <c r="W1447" s="659">
        <v>1.2077694627941731</v>
      </c>
      <c r="X1447" s="658">
        <v>0.21296740808462822</v>
      </c>
      <c r="Y1447" s="659">
        <v>1.1029566254775509</v>
      </c>
      <c r="Z1447" s="658">
        <v>0.21689604263121476</v>
      </c>
      <c r="AA1447" s="659">
        <v>0.9793457159741018</v>
      </c>
      <c r="AB1447" s="658">
        <v>3.8029455754023667E-2</v>
      </c>
      <c r="AC1447" s="660">
        <v>0.70446989748216837</v>
      </c>
      <c r="AD1447" s="682">
        <v>35002795000151</v>
      </c>
      <c r="AE1447" s="944" t="s">
        <v>1840</v>
      </c>
      <c r="AF1447" s="661" t="s">
        <v>1745</v>
      </c>
      <c r="AG1447" s="662" t="s">
        <v>1432</v>
      </c>
      <c r="AH1447" s="662" t="s">
        <v>1734</v>
      </c>
      <c r="AI1447" s="662">
        <v>1000</v>
      </c>
      <c r="AJ1447" s="662">
        <v>100</v>
      </c>
      <c r="AK1447" s="662">
        <v>1000</v>
      </c>
      <c r="AL1447" s="658">
        <v>0.01</v>
      </c>
      <c r="AM1447" s="658">
        <v>0</v>
      </c>
      <c r="AN1447" s="659" t="s">
        <v>34</v>
      </c>
      <c r="AO1447" s="253" t="s">
        <v>34</v>
      </c>
      <c r="AP1447" s="944" t="s">
        <v>1746</v>
      </c>
      <c r="AQ1447" s="663" t="s">
        <v>664</v>
      </c>
      <c r="AR1447" s="658">
        <v>2E-3</v>
      </c>
      <c r="AS1447" s="658">
        <v>2E-3</v>
      </c>
      <c r="AT1447" s="658" t="s">
        <v>1417</v>
      </c>
      <c r="AU1447" s="658" t="s">
        <v>2751</v>
      </c>
      <c r="AX1447"/>
      <c r="AY1447"/>
      <c r="BA1447"/>
      <c r="BB1447"/>
      <c r="BC1447"/>
      <c r="BD1447"/>
      <c r="BE1447"/>
      <c r="BF1447"/>
      <c r="BG1447"/>
      <c r="BH1447"/>
      <c r="BI1447"/>
      <c r="BJ1447"/>
      <c r="BR1447"/>
      <c r="BS1447"/>
      <c r="BT1447"/>
      <c r="BU1447"/>
      <c r="BX1447"/>
    </row>
    <row r="1448" spans="2:76" ht="18.75">
      <c r="B1448" s="252" t="s">
        <v>1708</v>
      </c>
      <c r="C1448" s="251">
        <v>35002795000151</v>
      </c>
      <c r="D1448" s="252" t="s">
        <v>13</v>
      </c>
      <c r="E1448" s="252" t="s">
        <v>615</v>
      </c>
      <c r="F1448" s="252" t="s">
        <v>619</v>
      </c>
      <c r="G1448" s="253" t="s">
        <v>34</v>
      </c>
      <c r="H1448" s="253" t="s">
        <v>1337</v>
      </c>
      <c r="I1448" s="253" t="s">
        <v>34</v>
      </c>
      <c r="J1448" s="253" t="s">
        <v>1417</v>
      </c>
      <c r="K1448" s="253" t="s">
        <v>48</v>
      </c>
      <c r="L1448" s="655"/>
      <c r="M1448" s="655" t="s">
        <v>34</v>
      </c>
      <c r="N1448" s="253" t="s">
        <v>4103</v>
      </c>
      <c r="O1448" s="253" t="s">
        <v>1321</v>
      </c>
      <c r="P1448" s="656">
        <v>43784</v>
      </c>
      <c r="Q1448" s="657">
        <v>33.58979789</v>
      </c>
      <c r="R1448" s="657">
        <v>28.721391377818954</v>
      </c>
      <c r="S1448" s="253">
        <v>10</v>
      </c>
      <c r="T1448" s="658">
        <v>5.6355213716401398E-3</v>
      </c>
      <c r="U1448" s="659">
        <v>0.28179889466402552</v>
      </c>
      <c r="V1448" s="658">
        <v>0.15174164461215067</v>
      </c>
      <c r="W1448" s="659">
        <v>1.1768035052075905</v>
      </c>
      <c r="X1448" s="658">
        <v>0.21778641241382046</v>
      </c>
      <c r="Y1448" s="659">
        <v>1.1279142131238986</v>
      </c>
      <c r="Z1448" s="658">
        <v>0.22267898837466471</v>
      </c>
      <c r="AA1448" s="659">
        <v>1.0054573179694777</v>
      </c>
      <c r="AB1448" s="658">
        <v>3.7994324352381779E-2</v>
      </c>
      <c r="AC1448" s="660">
        <v>0.60003001906081221</v>
      </c>
      <c r="AD1448" s="682">
        <v>34719487000189</v>
      </c>
      <c r="AE1448" s="944" t="s">
        <v>1840</v>
      </c>
      <c r="AF1448" s="661" t="s">
        <v>1745</v>
      </c>
      <c r="AG1448" s="662" t="s">
        <v>1432</v>
      </c>
      <c r="AH1448" s="662" t="s">
        <v>1734</v>
      </c>
      <c r="AI1448" s="662">
        <v>1000</v>
      </c>
      <c r="AJ1448" s="662">
        <v>100</v>
      </c>
      <c r="AK1448" s="662">
        <v>1000</v>
      </c>
      <c r="AL1448" s="658">
        <v>0.02</v>
      </c>
      <c r="AM1448" s="658">
        <v>0.2</v>
      </c>
      <c r="AN1448" s="659" t="s">
        <v>34</v>
      </c>
      <c r="AO1448" s="253" t="s">
        <v>34</v>
      </c>
      <c r="AP1448" s="944" t="s">
        <v>1746</v>
      </c>
      <c r="AQ1448" s="663" t="s">
        <v>664</v>
      </c>
      <c r="AR1448" s="658">
        <v>4.0000000000000001E-3</v>
      </c>
      <c r="AS1448" s="658">
        <v>4.0000000000000001E-3</v>
      </c>
      <c r="AT1448" s="658" t="s">
        <v>1417</v>
      </c>
      <c r="AU1448" s="658" t="s">
        <v>2751</v>
      </c>
      <c r="AX1448"/>
      <c r="AY1448"/>
      <c r="BA1448"/>
      <c r="BB1448"/>
      <c r="BC1448"/>
      <c r="BD1448"/>
      <c r="BE1448"/>
      <c r="BF1448"/>
      <c r="BG1448"/>
      <c r="BH1448"/>
      <c r="BI1448"/>
      <c r="BJ1448"/>
      <c r="BR1448"/>
      <c r="BS1448"/>
      <c r="BT1448"/>
      <c r="BU1448"/>
      <c r="BX1448"/>
    </row>
    <row r="1449" spans="2:76" ht="18.75">
      <c r="B1449" s="252" t="s">
        <v>4546</v>
      </c>
      <c r="C1449" s="251">
        <v>41727273000110</v>
      </c>
      <c r="D1449" s="252" t="s">
        <v>13</v>
      </c>
      <c r="E1449" s="252" t="s">
        <v>615</v>
      </c>
      <c r="F1449" s="252" t="s">
        <v>619</v>
      </c>
      <c r="G1449" s="253" t="s">
        <v>34</v>
      </c>
      <c r="H1449" s="253" t="s">
        <v>1337</v>
      </c>
      <c r="I1449" s="253" t="s">
        <v>34</v>
      </c>
      <c r="J1449" s="253" t="s">
        <v>608</v>
      </c>
      <c r="K1449" s="253" t="s">
        <v>48</v>
      </c>
      <c r="L1449" s="655"/>
      <c r="M1449" s="655" t="s">
        <v>34</v>
      </c>
      <c r="N1449" s="253" t="s">
        <v>4547</v>
      </c>
      <c r="O1449" s="253" t="s">
        <v>1321</v>
      </c>
      <c r="P1449" s="656">
        <v>44406</v>
      </c>
      <c r="Q1449" s="657">
        <v>3.0472176100000001</v>
      </c>
      <c r="R1449" s="657">
        <v>3.0413723225</v>
      </c>
      <c r="S1449" s="253">
        <v>24</v>
      </c>
      <c r="T1449" s="658">
        <v>-1.6894814232373268E-3</v>
      </c>
      <c r="U1449" s="659">
        <v>-8.4480914227306511E-2</v>
      </c>
      <c r="V1449" s="658">
        <v>-1.6894814232373268E-3</v>
      </c>
      <c r="W1449" s="659">
        <v>-1.3102452302600069E-2</v>
      </c>
      <c r="X1449" s="658"/>
      <c r="Y1449" s="659"/>
      <c r="Z1449" s="658"/>
      <c r="AA1449" s="659"/>
      <c r="AB1449" s="658">
        <v>3.3453464476862836E-2</v>
      </c>
      <c r="AC1449" s="660">
        <v>-3.9049286198855322</v>
      </c>
      <c r="AD1449" s="682">
        <v>36620541000160</v>
      </c>
      <c r="AE1449" s="944" t="s">
        <v>1863</v>
      </c>
      <c r="AF1449" s="661" t="s">
        <v>1745</v>
      </c>
      <c r="AG1449" s="662" t="s">
        <v>1432</v>
      </c>
      <c r="AH1449" s="662" t="s">
        <v>2119</v>
      </c>
      <c r="AI1449" s="662">
        <v>0</v>
      </c>
      <c r="AJ1449" s="662">
        <v>0</v>
      </c>
      <c r="AK1449" s="662">
        <v>0</v>
      </c>
      <c r="AL1449" s="658">
        <v>0.02</v>
      </c>
      <c r="AM1449" s="658">
        <v>0.2</v>
      </c>
      <c r="AN1449" s="659" t="s">
        <v>2122</v>
      </c>
      <c r="AO1449" s="253" t="s">
        <v>4400</v>
      </c>
      <c r="AP1449" s="944" t="s">
        <v>1746</v>
      </c>
      <c r="AQ1449" s="663" t="s">
        <v>2177</v>
      </c>
      <c r="AR1449" s="658">
        <v>0</v>
      </c>
      <c r="AS1449" s="658">
        <v>0</v>
      </c>
      <c r="AT1449" s="658" t="s">
        <v>1417</v>
      </c>
      <c r="AU1449" s="658" t="s">
        <v>2751</v>
      </c>
      <c r="AX1449"/>
      <c r="AY1449"/>
      <c r="BA1449"/>
      <c r="BB1449"/>
      <c r="BC1449"/>
      <c r="BD1449"/>
      <c r="BE1449"/>
      <c r="BF1449"/>
      <c r="BG1449"/>
      <c r="BH1449"/>
      <c r="BI1449"/>
      <c r="BJ1449"/>
      <c r="BR1449"/>
      <c r="BS1449"/>
      <c r="BT1449"/>
      <c r="BU1449"/>
      <c r="BX1449"/>
    </row>
    <row r="1450" spans="2:76" ht="18.75">
      <c r="B1450" s="252" t="s">
        <v>1255</v>
      </c>
      <c r="C1450" s="251">
        <v>19587174000120</v>
      </c>
      <c r="D1450" s="252" t="s">
        <v>14</v>
      </c>
      <c r="E1450" s="252" t="s">
        <v>607</v>
      </c>
      <c r="F1450" s="252" t="s">
        <v>1417</v>
      </c>
      <c r="G1450" s="253" t="s">
        <v>1417</v>
      </c>
      <c r="H1450" s="253" t="s">
        <v>34</v>
      </c>
      <c r="I1450" s="253" t="s">
        <v>34</v>
      </c>
      <c r="J1450" s="253" t="s">
        <v>611</v>
      </c>
      <c r="K1450" s="253" t="s">
        <v>1417</v>
      </c>
      <c r="L1450" s="655"/>
      <c r="M1450" s="655" t="s">
        <v>1414</v>
      </c>
      <c r="N1450" s="253" t="s">
        <v>4105</v>
      </c>
      <c r="O1450" s="253" t="s">
        <v>1321</v>
      </c>
      <c r="P1450" s="656">
        <v>41726</v>
      </c>
      <c r="Q1450" s="657">
        <v>118.182215</v>
      </c>
      <c r="R1450" s="657">
        <v>124.96589377499996</v>
      </c>
      <c r="S1450" s="253">
        <v>32</v>
      </c>
      <c r="T1450" s="658">
        <v>-8.3169159865309483E-3</v>
      </c>
      <c r="U1450" s="659">
        <v>-0.41587948611325809</v>
      </c>
      <c r="V1450" s="658">
        <v>0.32488234325991083</v>
      </c>
      <c r="W1450" s="659">
        <v>2.5195633097659487</v>
      </c>
      <c r="X1450" s="658">
        <v>0.32488234325991083</v>
      </c>
      <c r="Y1450" s="659">
        <v>1.6825632439344818</v>
      </c>
      <c r="Z1450" s="658">
        <v>0.32488234325991083</v>
      </c>
      <c r="AA1450" s="659">
        <v>1.4669337771561135</v>
      </c>
      <c r="AB1450" s="658">
        <v>0.40912092874925576</v>
      </c>
      <c r="AC1450" s="660">
        <v>0.47892547177221112</v>
      </c>
      <c r="AD1450" s="682">
        <v>19587181000122</v>
      </c>
      <c r="AE1450" s="944" t="s">
        <v>1863</v>
      </c>
      <c r="AF1450" s="661" t="s">
        <v>1769</v>
      </c>
      <c r="AG1450" s="662" t="s">
        <v>1432</v>
      </c>
      <c r="AH1450" s="662" t="s">
        <v>1730</v>
      </c>
      <c r="AI1450" s="662">
        <v>25000</v>
      </c>
      <c r="AJ1450" s="662">
        <v>500</v>
      </c>
      <c r="AK1450" s="662">
        <v>1000</v>
      </c>
      <c r="AL1450" s="658">
        <v>0.01</v>
      </c>
      <c r="AM1450" s="658">
        <v>0.1</v>
      </c>
      <c r="AN1450" s="659" t="s">
        <v>2127</v>
      </c>
      <c r="AO1450" s="253" t="s">
        <v>34</v>
      </c>
      <c r="AP1450" s="944" t="s">
        <v>1746</v>
      </c>
      <c r="AQ1450" s="663" t="s">
        <v>679</v>
      </c>
      <c r="AR1450" s="658">
        <v>1.66666666666667E-3</v>
      </c>
      <c r="AS1450" s="658">
        <v>1.66666666666667E-3</v>
      </c>
      <c r="AT1450" s="658" t="s">
        <v>1417</v>
      </c>
      <c r="AU1450" s="658" t="s">
        <v>2751</v>
      </c>
      <c r="AX1450"/>
      <c r="AY1450"/>
      <c r="BA1450"/>
      <c r="BB1450"/>
      <c r="BC1450"/>
      <c r="BD1450"/>
      <c r="BE1450"/>
      <c r="BF1450"/>
      <c r="BG1450"/>
      <c r="BH1450"/>
      <c r="BI1450"/>
      <c r="BJ1450"/>
      <c r="BR1450"/>
      <c r="BS1450"/>
      <c r="BT1450"/>
      <c r="BU1450"/>
      <c r="BX1450"/>
    </row>
    <row r="1451" spans="2:76" ht="18.75">
      <c r="B1451" s="252" t="s">
        <v>431</v>
      </c>
      <c r="C1451" s="251">
        <v>40226025000122</v>
      </c>
      <c r="D1451" s="252" t="s">
        <v>14</v>
      </c>
      <c r="E1451" s="252" t="s">
        <v>607</v>
      </c>
      <c r="F1451" s="252" t="s">
        <v>1417</v>
      </c>
      <c r="G1451" s="253" t="s">
        <v>1417</v>
      </c>
      <c r="H1451" s="253" t="s">
        <v>34</v>
      </c>
      <c r="I1451" s="253" t="s">
        <v>34</v>
      </c>
      <c r="J1451" s="253" t="s">
        <v>608</v>
      </c>
      <c r="K1451" s="253" t="s">
        <v>48</v>
      </c>
      <c r="L1451" s="655"/>
      <c r="M1451" s="655" t="s">
        <v>34</v>
      </c>
      <c r="N1451" s="253" t="s">
        <v>4106</v>
      </c>
      <c r="O1451" s="253" t="s">
        <v>1321</v>
      </c>
      <c r="P1451" s="656">
        <v>44310</v>
      </c>
      <c r="Q1451" s="657">
        <v>121.10651941</v>
      </c>
      <c r="R1451" s="657">
        <v>146.96536415155114</v>
      </c>
      <c r="S1451" s="253">
        <v>32</v>
      </c>
      <c r="T1451" s="658">
        <v>-2.7722041360796701E-2</v>
      </c>
      <c r="U1451" s="659">
        <v>-1.386214353230165</v>
      </c>
      <c r="V1451" s="658">
        <v>-0.13258993564025667</v>
      </c>
      <c r="W1451" s="659">
        <v>-1.0282760636707151</v>
      </c>
      <c r="X1451" s="658"/>
      <c r="Y1451" s="659"/>
      <c r="Z1451" s="658"/>
      <c r="AA1451" s="659"/>
      <c r="AB1451" s="658">
        <v>0.23865715884513869</v>
      </c>
      <c r="AC1451" s="660">
        <v>-1.0958558559592619</v>
      </c>
      <c r="AD1451" s="682">
        <v>0</v>
      </c>
      <c r="AE1451" s="944" t="s">
        <v>1839</v>
      </c>
      <c r="AF1451" s="661" t="s">
        <v>1769</v>
      </c>
      <c r="AG1451" s="662" t="s">
        <v>719</v>
      </c>
      <c r="AH1451" s="662" t="s">
        <v>1734</v>
      </c>
      <c r="AI1451" s="662">
        <v>500</v>
      </c>
      <c r="AJ1451" s="662">
        <v>500</v>
      </c>
      <c r="AK1451" s="662">
        <v>500</v>
      </c>
      <c r="AL1451" s="658">
        <v>1.9699999999999999E-2</v>
      </c>
      <c r="AM1451" s="658">
        <v>0.2</v>
      </c>
      <c r="AN1451" s="659" t="s">
        <v>666</v>
      </c>
      <c r="AO1451" s="253" t="s">
        <v>34</v>
      </c>
      <c r="AP1451" s="944" t="s">
        <v>1731</v>
      </c>
      <c r="AQ1451" s="663" t="s">
        <v>659</v>
      </c>
      <c r="AR1451" s="658">
        <v>4.9175E-3</v>
      </c>
      <c r="AS1451" s="658">
        <v>4.9175E-3</v>
      </c>
      <c r="AT1451" s="658" t="s">
        <v>1417</v>
      </c>
      <c r="AU1451" s="658" t="s">
        <v>2751</v>
      </c>
      <c r="AX1451"/>
      <c r="AY1451"/>
      <c r="BA1451"/>
      <c r="BB1451"/>
      <c r="BC1451"/>
      <c r="BD1451"/>
      <c r="BE1451"/>
      <c r="BF1451"/>
      <c r="BG1451"/>
      <c r="BH1451"/>
      <c r="BI1451"/>
      <c r="BJ1451"/>
      <c r="BR1451"/>
      <c r="BS1451"/>
      <c r="BT1451"/>
      <c r="BU1451"/>
      <c r="BX1451"/>
    </row>
    <row r="1452" spans="2:76" ht="18.75">
      <c r="B1452" s="252" t="s">
        <v>432</v>
      </c>
      <c r="C1452" s="251">
        <v>12440825000106</v>
      </c>
      <c r="D1452" s="252" t="s">
        <v>13</v>
      </c>
      <c r="E1452" s="252" t="s">
        <v>615</v>
      </c>
      <c r="F1452" s="252" t="s">
        <v>619</v>
      </c>
      <c r="G1452" s="253" t="s">
        <v>34</v>
      </c>
      <c r="H1452" s="253" t="s">
        <v>1337</v>
      </c>
      <c r="I1452" s="253" t="s">
        <v>34</v>
      </c>
      <c r="J1452" s="253" t="s">
        <v>1417</v>
      </c>
      <c r="K1452" s="253" t="s">
        <v>48</v>
      </c>
      <c r="L1452" s="655"/>
      <c r="M1452" s="655" t="s">
        <v>1414</v>
      </c>
      <c r="N1452" s="253" t="s">
        <v>4107</v>
      </c>
      <c r="O1452" s="253" t="s">
        <v>1321</v>
      </c>
      <c r="P1452" s="656">
        <v>40635</v>
      </c>
      <c r="Q1452" s="657">
        <v>361.09521599999999</v>
      </c>
      <c r="R1452" s="657">
        <v>476.31238082995969</v>
      </c>
      <c r="S1452" s="253">
        <v>1</v>
      </c>
      <c r="T1452" s="658">
        <v>1.8217387293259169E-2</v>
      </c>
      <c r="U1452" s="659">
        <v>0.91094315225936651</v>
      </c>
      <c r="V1452" s="658">
        <v>0.1192602874873574</v>
      </c>
      <c r="W1452" s="659">
        <v>0.92490050905873056</v>
      </c>
      <c r="X1452" s="658">
        <v>0.16982732152642588</v>
      </c>
      <c r="Y1452" s="659">
        <v>0.87953443744896542</v>
      </c>
      <c r="Z1452" s="658">
        <v>0.198883705671</v>
      </c>
      <c r="AA1452" s="659">
        <v>0.89801502490814322</v>
      </c>
      <c r="AB1452" s="658">
        <v>7.7202765793407202E-3</v>
      </c>
      <c r="AC1452" s="660">
        <v>-1.2543102387476766</v>
      </c>
      <c r="AD1452" s="682">
        <v>0</v>
      </c>
      <c r="AE1452" s="944" t="s">
        <v>1840</v>
      </c>
      <c r="AF1452" s="661" t="s">
        <v>1769</v>
      </c>
      <c r="AG1452" s="662" t="s">
        <v>719</v>
      </c>
      <c r="AH1452" s="662" t="s">
        <v>1734</v>
      </c>
      <c r="AI1452" s="662">
        <v>500</v>
      </c>
      <c r="AJ1452" s="662">
        <v>0</v>
      </c>
      <c r="AK1452" s="662">
        <v>500</v>
      </c>
      <c r="AL1452" s="658">
        <v>0.02</v>
      </c>
      <c r="AM1452" s="658">
        <v>0.2</v>
      </c>
      <c r="AN1452" s="659" t="s">
        <v>64</v>
      </c>
      <c r="AO1452" s="253" t="s">
        <v>34</v>
      </c>
      <c r="AP1452" s="944" t="s">
        <v>1746</v>
      </c>
      <c r="AQ1452" s="663" t="s">
        <v>688</v>
      </c>
      <c r="AR1452" s="658">
        <v>1.92E-3</v>
      </c>
      <c r="AS1452" s="658">
        <v>1.92E-3</v>
      </c>
      <c r="AT1452" s="658" t="s">
        <v>1417</v>
      </c>
      <c r="AU1452" s="658" t="s">
        <v>2751</v>
      </c>
      <c r="AX1452"/>
      <c r="AY1452"/>
      <c r="BA1452"/>
      <c r="BB1452"/>
      <c r="BC1452"/>
      <c r="BD1452"/>
      <c r="BE1452"/>
      <c r="BF1452"/>
      <c r="BG1452"/>
      <c r="BH1452"/>
      <c r="BI1452"/>
      <c r="BJ1452"/>
      <c r="BR1452"/>
      <c r="BS1452"/>
      <c r="BT1452"/>
      <c r="BU1452"/>
      <c r="BX1452"/>
    </row>
    <row r="1453" spans="2:76" ht="18.75">
      <c r="B1453" s="252" t="s">
        <v>1256</v>
      </c>
      <c r="C1453" s="251">
        <v>12287682000144</v>
      </c>
      <c r="D1453" s="252" t="s">
        <v>14</v>
      </c>
      <c r="E1453" s="252" t="s">
        <v>607</v>
      </c>
      <c r="F1453" s="252" t="s">
        <v>1417</v>
      </c>
      <c r="G1453" s="253" t="s">
        <v>1417</v>
      </c>
      <c r="H1453" s="253" t="s">
        <v>34</v>
      </c>
      <c r="I1453" s="253" t="s">
        <v>34</v>
      </c>
      <c r="J1453" s="253" t="s">
        <v>608</v>
      </c>
      <c r="K1453" s="253" t="s">
        <v>48</v>
      </c>
      <c r="L1453" s="655"/>
      <c r="M1453" s="655" t="s">
        <v>34</v>
      </c>
      <c r="N1453" s="253" t="s">
        <v>4108</v>
      </c>
      <c r="O1453" s="253" t="s">
        <v>1321</v>
      </c>
      <c r="P1453" s="656">
        <v>40632</v>
      </c>
      <c r="Q1453" s="657">
        <v>67.941199999999995</v>
      </c>
      <c r="R1453" s="657">
        <v>86.696293821138156</v>
      </c>
      <c r="S1453" s="253">
        <v>14</v>
      </c>
      <c r="T1453" s="658">
        <v>-3.5754849608061634E-2</v>
      </c>
      <c r="U1453" s="659">
        <v>-1.7878873016318364</v>
      </c>
      <c r="V1453" s="658">
        <v>-6.214188300516954E-2</v>
      </c>
      <c r="W1453" s="659">
        <v>-0.48192957132894909</v>
      </c>
      <c r="X1453" s="658">
        <v>-2.8688986935960781E-3</v>
      </c>
      <c r="Y1453" s="659">
        <v>-1.4858005036471488E-2</v>
      </c>
      <c r="Z1453" s="658">
        <v>-1.1242647052431276E-2</v>
      </c>
      <c r="AA1453" s="659">
        <v>-5.0763665825514039E-2</v>
      </c>
      <c r="AB1453" s="658">
        <v>0.20590356497343801</v>
      </c>
      <c r="AC1453" s="660">
        <v>-0.92803537654439527</v>
      </c>
      <c r="AD1453" s="682">
        <v>0</v>
      </c>
      <c r="AE1453" s="944" t="s">
        <v>1839</v>
      </c>
      <c r="AF1453" s="661" t="s">
        <v>1769</v>
      </c>
      <c r="AG1453" s="662" t="s">
        <v>719</v>
      </c>
      <c r="AH1453" s="662" t="s">
        <v>1734</v>
      </c>
      <c r="AI1453" s="662">
        <v>500</v>
      </c>
      <c r="AJ1453" s="662">
        <v>500</v>
      </c>
      <c r="AK1453" s="662">
        <v>500</v>
      </c>
      <c r="AL1453" s="658">
        <v>2.9700000000000001E-2</v>
      </c>
      <c r="AM1453" s="658">
        <v>0</v>
      </c>
      <c r="AN1453" s="659" t="s">
        <v>2122</v>
      </c>
      <c r="AO1453" s="253" t="s">
        <v>34</v>
      </c>
      <c r="AP1453" s="944" t="s">
        <v>1731</v>
      </c>
      <c r="AQ1453" s="663" t="s">
        <v>667</v>
      </c>
      <c r="AR1453" s="658">
        <v>7.4174999999999996E-3</v>
      </c>
      <c r="AS1453" s="658">
        <v>7.4174999999999996E-3</v>
      </c>
      <c r="AT1453" s="658" t="s">
        <v>1417</v>
      </c>
      <c r="AU1453" s="658" t="s">
        <v>2751</v>
      </c>
      <c r="AX1453"/>
      <c r="AY1453"/>
      <c r="BA1453"/>
      <c r="BB1453"/>
      <c r="BC1453"/>
      <c r="BD1453"/>
      <c r="BE1453"/>
      <c r="BF1453"/>
      <c r="BG1453"/>
      <c r="BH1453"/>
      <c r="BI1453"/>
      <c r="BJ1453"/>
      <c r="BR1453"/>
      <c r="BS1453"/>
      <c r="BT1453"/>
      <c r="BU1453"/>
      <c r="BX1453"/>
    </row>
    <row r="1454" spans="2:76" ht="18.75">
      <c r="B1454" s="252" t="s">
        <v>1257</v>
      </c>
      <c r="C1454" s="251">
        <v>35636909000115</v>
      </c>
      <c r="D1454" s="252" t="s">
        <v>14</v>
      </c>
      <c r="E1454" s="252" t="s">
        <v>614</v>
      </c>
      <c r="F1454" s="252" t="s">
        <v>1417</v>
      </c>
      <c r="G1454" s="253" t="s">
        <v>1417</v>
      </c>
      <c r="H1454" s="253" t="s">
        <v>865</v>
      </c>
      <c r="I1454" s="253" t="s">
        <v>34</v>
      </c>
      <c r="J1454" s="253" t="s">
        <v>608</v>
      </c>
      <c r="K1454" s="253" t="s">
        <v>48</v>
      </c>
      <c r="L1454" s="655"/>
      <c r="M1454" s="655" t="s">
        <v>34</v>
      </c>
      <c r="N1454" s="253" t="s">
        <v>4109</v>
      </c>
      <c r="O1454" s="253" t="s">
        <v>1321</v>
      </c>
      <c r="P1454" s="656">
        <v>43828</v>
      </c>
      <c r="Q1454" s="657">
        <v>203.70730821999999</v>
      </c>
      <c r="R1454" s="657">
        <v>242.77681387702489</v>
      </c>
      <c r="S1454" s="253">
        <v>32</v>
      </c>
      <c r="T1454" s="658">
        <v>-1.8476461670356104E-2</v>
      </c>
      <c r="U1454" s="659">
        <v>-0.92389792046751895</v>
      </c>
      <c r="V1454" s="658">
        <v>-2.5447483222472145E-2</v>
      </c>
      <c r="W1454" s="659">
        <v>-0.19735312301023128</v>
      </c>
      <c r="X1454" s="658">
        <v>0.14217623102751453</v>
      </c>
      <c r="Y1454" s="659">
        <v>0.73632964502676312</v>
      </c>
      <c r="Z1454" s="658">
        <v>0.50073460698438255</v>
      </c>
      <c r="AA1454" s="659">
        <v>2.2609554616168706</v>
      </c>
      <c r="AB1454" s="658">
        <v>0.1803863547068853</v>
      </c>
      <c r="AC1454" s="660">
        <v>-0.85589285797218573</v>
      </c>
      <c r="AD1454" s="682">
        <v>35636871000180</v>
      </c>
      <c r="AE1454" s="944" t="s">
        <v>1840</v>
      </c>
      <c r="AF1454" s="661" t="s">
        <v>1769</v>
      </c>
      <c r="AG1454" s="662" t="s">
        <v>719</v>
      </c>
      <c r="AH1454" s="662" t="s">
        <v>1734</v>
      </c>
      <c r="AI1454" s="662">
        <v>500</v>
      </c>
      <c r="AJ1454" s="662">
        <v>1000</v>
      </c>
      <c r="AK1454" s="662">
        <v>500</v>
      </c>
      <c r="AL1454" s="658">
        <v>1.4999999999999999E-2</v>
      </c>
      <c r="AM1454" s="658">
        <v>0.2</v>
      </c>
      <c r="AN1454" s="659" t="s">
        <v>2122</v>
      </c>
      <c r="AO1454" s="253" t="s">
        <v>34</v>
      </c>
      <c r="AP1454" s="944" t="s">
        <v>1746</v>
      </c>
      <c r="AQ1454" s="663" t="s">
        <v>668</v>
      </c>
      <c r="AR1454" s="658">
        <v>3.8400000000000001E-3</v>
      </c>
      <c r="AS1454" s="658">
        <v>3.8400000000000001E-3</v>
      </c>
      <c r="AT1454" s="658" t="s">
        <v>1417</v>
      </c>
      <c r="AU1454" s="658" t="s">
        <v>2751</v>
      </c>
      <c r="AX1454"/>
      <c r="AY1454"/>
      <c r="BA1454"/>
      <c r="BB1454"/>
      <c r="BC1454"/>
      <c r="BD1454"/>
      <c r="BE1454"/>
      <c r="BF1454"/>
      <c r="BG1454"/>
      <c r="BH1454"/>
      <c r="BI1454"/>
      <c r="BJ1454"/>
      <c r="BR1454"/>
      <c r="BS1454"/>
      <c r="BT1454"/>
      <c r="BU1454"/>
      <c r="BX1454"/>
    </row>
    <row r="1455" spans="2:76" ht="18.75">
      <c r="B1455" s="252" t="s">
        <v>1709</v>
      </c>
      <c r="C1455" s="251">
        <v>33796273000143</v>
      </c>
      <c r="D1455" s="252" t="s">
        <v>11</v>
      </c>
      <c r="E1455" s="252" t="s">
        <v>621</v>
      </c>
      <c r="F1455" s="252" t="s">
        <v>672</v>
      </c>
      <c r="G1455" s="253" t="s">
        <v>738</v>
      </c>
      <c r="H1455" s="253" t="s">
        <v>34</v>
      </c>
      <c r="I1455" s="253" t="s">
        <v>34</v>
      </c>
      <c r="J1455" s="253" t="s">
        <v>608</v>
      </c>
      <c r="K1455" s="253" t="s">
        <v>48</v>
      </c>
      <c r="L1455" s="655"/>
      <c r="M1455" s="655" t="s">
        <v>34</v>
      </c>
      <c r="N1455" s="253" t="s">
        <v>4110</v>
      </c>
      <c r="O1455" s="253" t="s">
        <v>1321</v>
      </c>
      <c r="P1455" s="656">
        <v>43891</v>
      </c>
      <c r="Q1455" s="657">
        <v>166.51729356000001</v>
      </c>
      <c r="R1455" s="657">
        <v>201.00236549004126</v>
      </c>
      <c r="S1455" s="253">
        <v>2</v>
      </c>
      <c r="T1455" s="658">
        <v>2.5696402526845574E-2</v>
      </c>
      <c r="U1455" s="659">
        <v>1.2849242068972051</v>
      </c>
      <c r="V1455" s="658">
        <v>0.10705401619621613</v>
      </c>
      <c r="W1455" s="659">
        <v>0.83023709034038873</v>
      </c>
      <c r="X1455" s="658">
        <v>0.16906242789515868</v>
      </c>
      <c r="Y1455" s="659">
        <v>0.87557305901092541</v>
      </c>
      <c r="Z1455" s="658"/>
      <c r="AA1455" s="659"/>
      <c r="AB1455" s="658">
        <v>2.2368540047645394E-2</v>
      </c>
      <c r="AC1455" s="660">
        <v>-0.97860178643516094</v>
      </c>
      <c r="AD1455" s="682">
        <v>0</v>
      </c>
      <c r="AE1455" s="944" t="s">
        <v>1863</v>
      </c>
      <c r="AF1455" s="661" t="s">
        <v>1729</v>
      </c>
      <c r="AG1455" s="662" t="s">
        <v>719</v>
      </c>
      <c r="AH1455" s="662" t="s">
        <v>1801</v>
      </c>
      <c r="AI1455" s="662">
        <v>0</v>
      </c>
      <c r="AJ1455" s="662">
        <v>0</v>
      </c>
      <c r="AK1455" s="662">
        <v>0</v>
      </c>
      <c r="AL1455" s="658">
        <v>0.01</v>
      </c>
      <c r="AM1455" s="658">
        <v>0.2</v>
      </c>
      <c r="AN1455" s="659" t="s">
        <v>635</v>
      </c>
      <c r="AO1455" s="253" t="s">
        <v>34</v>
      </c>
      <c r="AP1455" s="944" t="s">
        <v>1746</v>
      </c>
      <c r="AQ1455" s="663" t="s">
        <v>2177</v>
      </c>
      <c r="AR1455" s="658">
        <v>0</v>
      </c>
      <c r="AS1455" s="658">
        <v>0</v>
      </c>
      <c r="AT1455" s="658" t="s">
        <v>1417</v>
      </c>
      <c r="AU1455" s="658" t="s">
        <v>2751</v>
      </c>
      <c r="AX1455"/>
      <c r="AY1455"/>
      <c r="BA1455"/>
      <c r="BB1455"/>
      <c r="BC1455"/>
      <c r="BD1455"/>
      <c r="BE1455"/>
      <c r="BF1455"/>
      <c r="BG1455"/>
      <c r="BH1455"/>
      <c r="BI1455"/>
      <c r="BJ1455"/>
      <c r="BR1455"/>
      <c r="BS1455"/>
      <c r="BT1455"/>
      <c r="BU1455"/>
      <c r="BX1455"/>
    </row>
    <row r="1456" spans="2:76" ht="18.75">
      <c r="B1456" s="252" t="s">
        <v>2666</v>
      </c>
      <c r="C1456" s="251">
        <v>37278685000142</v>
      </c>
      <c r="D1456" s="252" t="s">
        <v>13</v>
      </c>
      <c r="E1456" s="252" t="s">
        <v>615</v>
      </c>
      <c r="F1456" s="252" t="s">
        <v>619</v>
      </c>
      <c r="G1456" s="253" t="s">
        <v>34</v>
      </c>
      <c r="H1456" s="253" t="s">
        <v>1337</v>
      </c>
      <c r="I1456" s="253" t="s">
        <v>34</v>
      </c>
      <c r="J1456" s="253" t="s">
        <v>608</v>
      </c>
      <c r="K1456" s="253" t="s">
        <v>48</v>
      </c>
      <c r="L1456" s="655"/>
      <c r="M1456" s="655" t="s">
        <v>34</v>
      </c>
      <c r="N1456" s="253" t="s">
        <v>4115</v>
      </c>
      <c r="O1456" s="253" t="s">
        <v>1321</v>
      </c>
      <c r="P1456" s="656">
        <v>44216</v>
      </c>
      <c r="Q1456" s="657"/>
      <c r="R1456" s="657"/>
      <c r="S1456" s="253">
        <v>3</v>
      </c>
      <c r="T1456" s="658"/>
      <c r="U1456" s="659"/>
      <c r="V1456" s="658"/>
      <c r="W1456" s="659"/>
      <c r="X1456" s="658"/>
      <c r="Y1456" s="659"/>
      <c r="Z1456" s="658"/>
      <c r="AA1456" s="659"/>
      <c r="AB1456" s="658"/>
      <c r="AC1456" s="660"/>
      <c r="AD1456" s="682">
        <v>31932658000165</v>
      </c>
      <c r="AE1456" s="944" t="s">
        <v>1961</v>
      </c>
      <c r="AF1456" s="661" t="s">
        <v>1767</v>
      </c>
      <c r="AG1456" s="662" t="s">
        <v>59</v>
      </c>
      <c r="AH1456" s="662" t="s">
        <v>2119</v>
      </c>
      <c r="AI1456" s="662">
        <v>1000</v>
      </c>
      <c r="AJ1456" s="662">
        <v>0</v>
      </c>
      <c r="AK1456" s="662">
        <v>0</v>
      </c>
      <c r="AL1456" s="658">
        <v>1.4999999999999999E-2</v>
      </c>
      <c r="AM1456" s="658">
        <v>0.2</v>
      </c>
      <c r="AN1456" s="659" t="s">
        <v>64</v>
      </c>
      <c r="AO1456" s="253" t="s">
        <v>34</v>
      </c>
      <c r="AP1456" s="944" t="s">
        <v>1746</v>
      </c>
      <c r="AQ1456" s="663" t="s">
        <v>2177</v>
      </c>
      <c r="AR1456" s="658">
        <v>0</v>
      </c>
      <c r="AS1456" s="658">
        <v>0</v>
      </c>
      <c r="AT1456" s="658" t="s">
        <v>1417</v>
      </c>
      <c r="AU1456" s="658" t="s">
        <v>2751</v>
      </c>
      <c r="AX1456"/>
      <c r="AY1456"/>
      <c r="BA1456"/>
      <c r="BB1456"/>
      <c r="BC1456"/>
      <c r="BD1456"/>
      <c r="BE1456"/>
      <c r="BF1456"/>
      <c r="BG1456"/>
      <c r="BH1456"/>
      <c r="BI1456"/>
      <c r="BJ1456"/>
      <c r="BR1456"/>
      <c r="BS1456"/>
      <c r="BT1456"/>
      <c r="BU1456"/>
      <c r="BX1456"/>
    </row>
    <row r="1457" spans="2:76" ht="18.75">
      <c r="B1457" s="252" t="s">
        <v>4552</v>
      </c>
      <c r="C1457" s="251">
        <v>39914112000193</v>
      </c>
      <c r="D1457" s="252" t="s">
        <v>13</v>
      </c>
      <c r="E1457" s="252" t="s">
        <v>615</v>
      </c>
      <c r="F1457" s="252" t="s">
        <v>619</v>
      </c>
      <c r="G1457" s="253" t="s">
        <v>34</v>
      </c>
      <c r="H1457" s="253" t="s">
        <v>1338</v>
      </c>
      <c r="I1457" s="253" t="s">
        <v>34</v>
      </c>
      <c r="J1457" s="253" t="s">
        <v>608</v>
      </c>
      <c r="K1457" s="253" t="s">
        <v>48</v>
      </c>
      <c r="L1457" s="655"/>
      <c r="M1457" s="655" t="s">
        <v>34</v>
      </c>
      <c r="N1457" s="253" t="s">
        <v>4553</v>
      </c>
      <c r="O1457" s="253" t="s">
        <v>1321</v>
      </c>
      <c r="P1457" s="656">
        <v>44274</v>
      </c>
      <c r="Q1457" s="657">
        <v>5.3030743400000002</v>
      </c>
      <c r="R1457" s="657">
        <v>5.3401395275000008</v>
      </c>
      <c r="S1457" s="253">
        <v>3</v>
      </c>
      <c r="T1457" s="658">
        <v>-7.8607819155918079E-3</v>
      </c>
      <c r="U1457" s="659">
        <v>-0.39307093504359147</v>
      </c>
      <c r="V1457" s="658">
        <v>-7.8607819155918079E-3</v>
      </c>
      <c r="W1457" s="659">
        <v>-6.0962801184772042E-2</v>
      </c>
      <c r="X1457" s="658"/>
      <c r="Y1457" s="659"/>
      <c r="Z1457" s="658"/>
      <c r="AA1457" s="659"/>
      <c r="AB1457" s="658">
        <v>3.7389517448602652E-2</v>
      </c>
      <c r="AC1457" s="660">
        <v>-3.6589049738456287</v>
      </c>
      <c r="AD1457" s="682">
        <v>28036868000160</v>
      </c>
      <c r="AE1457" s="944" t="s">
        <v>4554</v>
      </c>
      <c r="AF1457" s="661" t="s">
        <v>1767</v>
      </c>
      <c r="AG1457" s="662" t="s">
        <v>59</v>
      </c>
      <c r="AH1457" s="662" t="s">
        <v>2119</v>
      </c>
      <c r="AI1457" s="662">
        <v>500</v>
      </c>
      <c r="AJ1457" s="662">
        <v>0</v>
      </c>
      <c r="AK1457" s="662">
        <v>0</v>
      </c>
      <c r="AL1457" s="658">
        <v>0.02</v>
      </c>
      <c r="AM1457" s="658">
        <v>0</v>
      </c>
      <c r="AN1457" s="659" t="s">
        <v>64</v>
      </c>
      <c r="AO1457" s="253" t="s">
        <v>4397</v>
      </c>
      <c r="AP1457" s="944" t="s">
        <v>1746</v>
      </c>
      <c r="AQ1457" s="663" t="s">
        <v>2177</v>
      </c>
      <c r="AR1457" s="658">
        <v>0</v>
      </c>
      <c r="AS1457" s="658">
        <v>0</v>
      </c>
      <c r="AT1457" s="658" t="s">
        <v>1417</v>
      </c>
      <c r="AU1457" s="658" t="s">
        <v>2751</v>
      </c>
      <c r="AX1457"/>
      <c r="AY1457"/>
      <c r="BA1457"/>
      <c r="BB1457"/>
      <c r="BC1457"/>
      <c r="BD1457"/>
      <c r="BE1457"/>
      <c r="BF1457"/>
      <c r="BG1457"/>
      <c r="BH1457"/>
      <c r="BI1457"/>
      <c r="BJ1457"/>
      <c r="BR1457"/>
      <c r="BS1457"/>
      <c r="BT1457"/>
      <c r="BU1457"/>
      <c r="BX1457"/>
    </row>
    <row r="1458" spans="2:76" ht="18.75">
      <c r="B1458" s="252" t="s">
        <v>56</v>
      </c>
      <c r="C1458" s="251">
        <v>21329166000126</v>
      </c>
      <c r="D1458" s="252" t="s">
        <v>14</v>
      </c>
      <c r="E1458" s="252" t="s">
        <v>607</v>
      </c>
      <c r="F1458" s="252" t="s">
        <v>1417</v>
      </c>
      <c r="G1458" s="253" t="s">
        <v>1417</v>
      </c>
      <c r="H1458" s="253" t="s">
        <v>34</v>
      </c>
      <c r="I1458" s="253" t="s">
        <v>34</v>
      </c>
      <c r="J1458" s="253" t="s">
        <v>611</v>
      </c>
      <c r="K1458" s="253" t="s">
        <v>48</v>
      </c>
      <c r="L1458" s="655"/>
      <c r="M1458" s="655" t="s">
        <v>34</v>
      </c>
      <c r="N1458" s="253" t="s">
        <v>4118</v>
      </c>
      <c r="O1458" s="253" t="s">
        <v>1321</v>
      </c>
      <c r="P1458" s="656">
        <v>42005</v>
      </c>
      <c r="Q1458" s="657">
        <v>305.03859499999999</v>
      </c>
      <c r="R1458" s="657">
        <v>443.69958327822576</v>
      </c>
      <c r="S1458" s="253">
        <v>17</v>
      </c>
      <c r="T1458" s="658">
        <v>-3.6079272004537533E-2</v>
      </c>
      <c r="U1458" s="659">
        <v>-1.8041097354941635</v>
      </c>
      <c r="V1458" s="658">
        <v>-0.14974089602215679</v>
      </c>
      <c r="W1458" s="659">
        <v>-1.1612870795107293</v>
      </c>
      <c r="X1458" s="658">
        <v>-0.25440660272038707</v>
      </c>
      <c r="Y1458" s="659">
        <v>-1.317569906866606</v>
      </c>
      <c r="Z1458" s="658">
        <v>-0.18055333171152477</v>
      </c>
      <c r="AA1458" s="659">
        <v>-0.8152483086894502</v>
      </c>
      <c r="AB1458" s="658">
        <v>0.31250261420115866</v>
      </c>
      <c r="AC1458" s="660">
        <v>-0.89178391733246454</v>
      </c>
      <c r="AD1458" s="682">
        <v>34507968000120</v>
      </c>
      <c r="AE1458" s="944" t="s">
        <v>1909</v>
      </c>
      <c r="AF1458" s="661" t="s">
        <v>1745</v>
      </c>
      <c r="AG1458" s="662" t="s">
        <v>1432</v>
      </c>
      <c r="AH1458" s="662" t="s">
        <v>1734</v>
      </c>
      <c r="AI1458" s="662">
        <v>5000</v>
      </c>
      <c r="AJ1458" s="662">
        <v>2000</v>
      </c>
      <c r="AK1458" s="662">
        <v>2000</v>
      </c>
      <c r="AL1458" s="658">
        <v>0.02</v>
      </c>
      <c r="AM1458" s="658">
        <v>0.2</v>
      </c>
      <c r="AN1458" s="659" t="s">
        <v>2160</v>
      </c>
      <c r="AO1458" s="253" t="s">
        <v>34</v>
      </c>
      <c r="AP1458" s="944" t="s">
        <v>1731</v>
      </c>
      <c r="AQ1458" s="663" t="s">
        <v>659</v>
      </c>
      <c r="AR1458" s="658">
        <v>5.3340000000000002E-3</v>
      </c>
      <c r="AS1458" s="658">
        <v>5.3340000000000002E-3</v>
      </c>
      <c r="AT1458" s="658" t="s">
        <v>1417</v>
      </c>
      <c r="AU1458" s="658" t="s">
        <v>2751</v>
      </c>
      <c r="AX1458"/>
      <c r="AY1458"/>
      <c r="BA1458"/>
      <c r="BB1458"/>
      <c r="BC1458"/>
      <c r="BD1458"/>
      <c r="BE1458"/>
      <c r="BF1458"/>
      <c r="BG1458"/>
      <c r="BH1458"/>
      <c r="BI1458"/>
      <c r="BJ1458"/>
      <c r="BR1458"/>
      <c r="BS1458"/>
      <c r="BT1458"/>
      <c r="BU1458"/>
      <c r="BX1458"/>
    </row>
    <row r="1459" spans="2:76" ht="18.75">
      <c r="B1459" s="252" t="s">
        <v>1710</v>
      </c>
      <c r="C1459" s="251">
        <v>45560980000115</v>
      </c>
      <c r="D1459" s="252" t="s">
        <v>13</v>
      </c>
      <c r="E1459" s="252" t="s">
        <v>615</v>
      </c>
      <c r="F1459" s="252" t="s">
        <v>617</v>
      </c>
      <c r="G1459" s="253" t="s">
        <v>34</v>
      </c>
      <c r="H1459" s="253" t="s">
        <v>1338</v>
      </c>
      <c r="I1459" s="253" t="s">
        <v>34</v>
      </c>
      <c r="J1459" s="253" t="s">
        <v>611</v>
      </c>
      <c r="K1459" s="253" t="s">
        <v>48</v>
      </c>
      <c r="L1459" s="655"/>
      <c r="M1459" s="655" t="s">
        <v>34</v>
      </c>
      <c r="N1459" s="253" t="s">
        <v>4119</v>
      </c>
      <c r="O1459" s="253" t="s">
        <v>1321</v>
      </c>
      <c r="P1459" s="656">
        <v>44656</v>
      </c>
      <c r="Q1459" s="657">
        <v>493.39188494000001</v>
      </c>
      <c r="R1459" s="657">
        <v>450.80552204977084</v>
      </c>
      <c r="S1459" s="253">
        <v>31</v>
      </c>
      <c r="T1459" s="658">
        <v>-5.2817258420821966E-3</v>
      </c>
      <c r="U1459" s="659">
        <v>-0.26410768517483396</v>
      </c>
      <c r="V1459" s="658"/>
      <c r="W1459" s="659"/>
      <c r="X1459" s="658"/>
      <c r="Y1459" s="659"/>
      <c r="Z1459" s="658"/>
      <c r="AA1459" s="659"/>
      <c r="AB1459" s="658">
        <v>8.8589125493882398E-2</v>
      </c>
      <c r="AC1459" s="660"/>
      <c r="AD1459" s="682">
        <v>41373649000135</v>
      </c>
      <c r="AE1459" s="944" t="s">
        <v>1909</v>
      </c>
      <c r="AF1459" s="661" t="s">
        <v>1745</v>
      </c>
      <c r="AG1459" s="662" t="s">
        <v>1432</v>
      </c>
      <c r="AH1459" s="662" t="s">
        <v>1734</v>
      </c>
      <c r="AI1459" s="662">
        <v>5000</v>
      </c>
      <c r="AJ1459" s="662">
        <v>3000</v>
      </c>
      <c r="AK1459" s="662">
        <v>1000</v>
      </c>
      <c r="AL1459" s="658">
        <v>0</v>
      </c>
      <c r="AM1459" s="658">
        <v>0</v>
      </c>
      <c r="AN1459" s="659" t="s">
        <v>2127</v>
      </c>
      <c r="AO1459" s="253" t="s">
        <v>34</v>
      </c>
      <c r="AP1459" s="944" t="s">
        <v>1746</v>
      </c>
      <c r="AQ1459" s="663" t="s">
        <v>668</v>
      </c>
      <c r="AR1459" s="658">
        <v>3.3333333333333301E-3</v>
      </c>
      <c r="AS1459" s="658">
        <v>3.3333333333333301E-3</v>
      </c>
      <c r="AT1459" s="658" t="s">
        <v>1417</v>
      </c>
      <c r="AU1459" s="658" t="s">
        <v>2751</v>
      </c>
      <c r="AX1459"/>
      <c r="AY1459"/>
      <c r="BA1459"/>
      <c r="BB1459"/>
      <c r="BC1459"/>
      <c r="BD1459"/>
      <c r="BE1459"/>
      <c r="BF1459"/>
      <c r="BG1459"/>
      <c r="BH1459"/>
      <c r="BI1459"/>
      <c r="BJ1459"/>
      <c r="BR1459"/>
      <c r="BS1459"/>
      <c r="BT1459"/>
      <c r="BU1459"/>
      <c r="BX1459"/>
    </row>
    <row r="1460" spans="2:76" ht="18.75">
      <c r="B1460" s="252" t="s">
        <v>52</v>
      </c>
      <c r="C1460" s="251">
        <v>30057258000195</v>
      </c>
      <c r="D1460" s="252" t="s">
        <v>13</v>
      </c>
      <c r="E1460" s="252" t="s">
        <v>615</v>
      </c>
      <c r="F1460" s="252" t="s">
        <v>617</v>
      </c>
      <c r="G1460" s="253" t="s">
        <v>34</v>
      </c>
      <c r="H1460" s="253" t="s">
        <v>1338</v>
      </c>
      <c r="I1460" s="253" t="s">
        <v>34</v>
      </c>
      <c r="J1460" s="253" t="s">
        <v>611</v>
      </c>
      <c r="K1460" s="253" t="s">
        <v>48</v>
      </c>
      <c r="L1460" s="655"/>
      <c r="M1460" s="655" t="s">
        <v>1414</v>
      </c>
      <c r="N1460" s="253" t="s">
        <v>4120</v>
      </c>
      <c r="O1460" s="253" t="s">
        <v>1324</v>
      </c>
      <c r="P1460" s="656">
        <v>43205</v>
      </c>
      <c r="Q1460" s="657">
        <v>805.23586997999996</v>
      </c>
      <c r="R1460" s="657">
        <v>1010.8254220189158</v>
      </c>
      <c r="S1460" s="253">
        <v>16</v>
      </c>
      <c r="T1460" s="658">
        <v>-5.2867365439627223E-3</v>
      </c>
      <c r="U1460" s="659">
        <v>-0.26435824056417717</v>
      </c>
      <c r="V1460" s="658">
        <v>7.0279934276043621E-2</v>
      </c>
      <c r="W1460" s="659">
        <v>0.54504268233813902</v>
      </c>
      <c r="X1460" s="658">
        <v>0.22240992621926536</v>
      </c>
      <c r="Y1460" s="659">
        <v>1.1518593567990094</v>
      </c>
      <c r="Z1460" s="658">
        <v>0.40629361438682143</v>
      </c>
      <c r="AA1460" s="659">
        <v>1.8345282184512428</v>
      </c>
      <c r="AB1460" s="658">
        <v>8.62728697347592E-2</v>
      </c>
      <c r="AC1460" s="660">
        <v>-0.67998172949507341</v>
      </c>
      <c r="AD1460" s="682">
        <v>41373649000135</v>
      </c>
      <c r="AE1460" s="944" t="s">
        <v>1909</v>
      </c>
      <c r="AF1460" s="661" t="s">
        <v>1745</v>
      </c>
      <c r="AG1460" s="662" t="s">
        <v>1432</v>
      </c>
      <c r="AH1460" s="662" t="s">
        <v>1734</v>
      </c>
      <c r="AI1460" s="662">
        <v>5000</v>
      </c>
      <c r="AJ1460" s="662">
        <v>2000</v>
      </c>
      <c r="AK1460" s="662">
        <v>3000</v>
      </c>
      <c r="AL1460" s="658">
        <v>1.3999999999999999E-2</v>
      </c>
      <c r="AM1460" s="658">
        <v>0.2</v>
      </c>
      <c r="AN1460" s="659" t="s">
        <v>64</v>
      </c>
      <c r="AO1460" s="253" t="s">
        <v>34</v>
      </c>
      <c r="AP1460" s="944" t="s">
        <v>1746</v>
      </c>
      <c r="AQ1460" s="663" t="s">
        <v>668</v>
      </c>
      <c r="AR1460" s="658">
        <v>3.3333333333333301E-3</v>
      </c>
      <c r="AS1460" s="658">
        <v>3.3333333333333301E-3</v>
      </c>
      <c r="AT1460" s="658" t="s">
        <v>1417</v>
      </c>
      <c r="AU1460" s="658" t="s">
        <v>2751</v>
      </c>
      <c r="AX1460"/>
      <c r="AY1460"/>
      <c r="BA1460"/>
      <c r="BB1460"/>
      <c r="BC1460"/>
      <c r="BD1460"/>
      <c r="BE1460"/>
      <c r="BF1460"/>
      <c r="BG1460"/>
      <c r="BH1460"/>
      <c r="BI1460"/>
      <c r="BJ1460"/>
      <c r="BR1460"/>
      <c r="BS1460"/>
      <c r="BT1460"/>
      <c r="BU1460"/>
      <c r="BX1460"/>
    </row>
    <row r="1461" spans="2:76" ht="18.75">
      <c r="B1461" s="252" t="s">
        <v>55</v>
      </c>
      <c r="C1461" s="251">
        <v>30773631000104</v>
      </c>
      <c r="D1461" s="252" t="s">
        <v>14</v>
      </c>
      <c r="E1461" s="252" t="s">
        <v>614</v>
      </c>
      <c r="F1461" s="252" t="s">
        <v>1417</v>
      </c>
      <c r="G1461" s="253" t="s">
        <v>1417</v>
      </c>
      <c r="H1461" s="253" t="s">
        <v>1338</v>
      </c>
      <c r="I1461" s="253" t="s">
        <v>34</v>
      </c>
      <c r="J1461" s="253" t="s">
        <v>611</v>
      </c>
      <c r="K1461" s="253" t="s">
        <v>48</v>
      </c>
      <c r="L1461" s="655"/>
      <c r="M1461" s="655" t="s">
        <v>1414</v>
      </c>
      <c r="N1461" s="253" t="s">
        <v>4121</v>
      </c>
      <c r="O1461" s="253" t="s">
        <v>1321</v>
      </c>
      <c r="P1461" s="656">
        <v>43398</v>
      </c>
      <c r="Q1461" s="657">
        <v>17.739269109999999</v>
      </c>
      <c r="R1461" s="657">
        <v>32.404643644899622</v>
      </c>
      <c r="S1461" s="253">
        <v>32</v>
      </c>
      <c r="T1461" s="658">
        <v>-2.487454844483572E-2</v>
      </c>
      <c r="U1461" s="659">
        <v>-1.2438281739638597</v>
      </c>
      <c r="V1461" s="658">
        <v>-0.13329035695461533</v>
      </c>
      <c r="W1461" s="659">
        <v>-1.0337080481464744</v>
      </c>
      <c r="X1461" s="658">
        <v>-0.22079354604517099</v>
      </c>
      <c r="Y1461" s="659">
        <v>-1.1434881358767943</v>
      </c>
      <c r="Z1461" s="658">
        <v>-6.7043686496644161E-2</v>
      </c>
      <c r="AA1461" s="659">
        <v>-0.30272081665057471</v>
      </c>
      <c r="AB1461" s="658">
        <v>0.30627154584777588</v>
      </c>
      <c r="AC1461" s="660">
        <v>-0.85621491763306101</v>
      </c>
      <c r="AD1461" s="682">
        <v>32774675000184</v>
      </c>
      <c r="AE1461" s="944" t="s">
        <v>1909</v>
      </c>
      <c r="AF1461" s="661" t="s">
        <v>1745</v>
      </c>
      <c r="AG1461" s="662" t="s">
        <v>1432</v>
      </c>
      <c r="AH1461" s="662" t="s">
        <v>1734</v>
      </c>
      <c r="AI1461" s="662">
        <v>2000</v>
      </c>
      <c r="AJ1461" s="662">
        <v>2000</v>
      </c>
      <c r="AK1461" s="662">
        <v>2000</v>
      </c>
      <c r="AL1461" s="658">
        <v>0.02</v>
      </c>
      <c r="AM1461" s="658">
        <v>0.2</v>
      </c>
      <c r="AN1461" s="659" t="s">
        <v>34</v>
      </c>
      <c r="AO1461" s="253" t="s">
        <v>34</v>
      </c>
      <c r="AP1461" s="944" t="s">
        <v>1746</v>
      </c>
      <c r="AQ1461" s="663" t="s">
        <v>668</v>
      </c>
      <c r="AR1461" s="658">
        <v>3.3333333333333301E-3</v>
      </c>
      <c r="AS1461" s="658">
        <v>3.3333333333333301E-3</v>
      </c>
      <c r="AT1461" s="658" t="s">
        <v>1417</v>
      </c>
      <c r="AU1461" s="658" t="s">
        <v>2751</v>
      </c>
      <c r="AX1461"/>
      <c r="AY1461"/>
      <c r="BA1461"/>
      <c r="BB1461"/>
      <c r="BC1461"/>
      <c r="BD1461"/>
      <c r="BE1461"/>
      <c r="BF1461"/>
      <c r="BG1461"/>
      <c r="BH1461"/>
      <c r="BI1461"/>
      <c r="BJ1461"/>
      <c r="BR1461"/>
      <c r="BS1461"/>
      <c r="BT1461"/>
      <c r="BU1461"/>
      <c r="BX1461"/>
    </row>
    <row r="1462" spans="2:76" ht="18.75">
      <c r="B1462" s="252" t="s">
        <v>53</v>
      </c>
      <c r="C1462" s="251">
        <v>21646715000196</v>
      </c>
      <c r="D1462" s="252" t="s">
        <v>13</v>
      </c>
      <c r="E1462" s="252" t="s">
        <v>615</v>
      </c>
      <c r="F1462" s="252" t="s">
        <v>619</v>
      </c>
      <c r="G1462" s="253" t="s">
        <v>34</v>
      </c>
      <c r="H1462" s="253" t="s">
        <v>1338</v>
      </c>
      <c r="I1462" s="253" t="s">
        <v>34</v>
      </c>
      <c r="J1462" s="253" t="s">
        <v>611</v>
      </c>
      <c r="K1462" s="253" t="s">
        <v>48</v>
      </c>
      <c r="L1462" s="655"/>
      <c r="M1462" s="655" t="s">
        <v>34</v>
      </c>
      <c r="N1462" s="253" t="s">
        <v>4122</v>
      </c>
      <c r="O1462" s="253" t="s">
        <v>1321</v>
      </c>
      <c r="P1462" s="656">
        <v>42036</v>
      </c>
      <c r="Q1462" s="657">
        <v>622.08923600000003</v>
      </c>
      <c r="R1462" s="657">
        <v>907.60708583534188</v>
      </c>
      <c r="S1462" s="253">
        <v>16</v>
      </c>
      <c r="T1462" s="658">
        <v>-5.3536678902461277E-2</v>
      </c>
      <c r="U1462" s="659">
        <v>-2.6770507897667164</v>
      </c>
      <c r="V1462" s="658">
        <v>-3.4267645386630963E-2</v>
      </c>
      <c r="W1462" s="659">
        <v>-0.26575621550215434</v>
      </c>
      <c r="X1462" s="658">
        <v>0.29123595708679995</v>
      </c>
      <c r="Y1462" s="659">
        <v>1.5083088597224992</v>
      </c>
      <c r="Z1462" s="658">
        <v>0.90007057369465904</v>
      </c>
      <c r="AA1462" s="659">
        <v>4.0640679734345575</v>
      </c>
      <c r="AB1462" s="658">
        <v>0.25872318212813245</v>
      </c>
      <c r="AC1462" s="660">
        <v>-0.6308346762393674</v>
      </c>
      <c r="AD1462" s="682">
        <v>31301673000105</v>
      </c>
      <c r="AE1462" s="944" t="s">
        <v>1909</v>
      </c>
      <c r="AF1462" s="661" t="s">
        <v>1745</v>
      </c>
      <c r="AG1462" s="662" t="s">
        <v>1432</v>
      </c>
      <c r="AH1462" s="662" t="s">
        <v>1730</v>
      </c>
      <c r="AI1462" s="662">
        <v>5000</v>
      </c>
      <c r="AJ1462" s="662">
        <v>2000</v>
      </c>
      <c r="AK1462" s="662">
        <v>2000</v>
      </c>
      <c r="AL1462" s="658">
        <v>0.02</v>
      </c>
      <c r="AM1462" s="658">
        <v>0.2</v>
      </c>
      <c r="AN1462" s="659" t="s">
        <v>64</v>
      </c>
      <c r="AO1462" s="253" t="s">
        <v>34</v>
      </c>
      <c r="AP1462" s="944" t="s">
        <v>1746</v>
      </c>
      <c r="AQ1462" s="663" t="s">
        <v>668</v>
      </c>
      <c r="AR1462" s="658">
        <v>5.3333333333333297E-3</v>
      </c>
      <c r="AS1462" s="658">
        <v>5.3333333333333297E-3</v>
      </c>
      <c r="AT1462" s="658" t="s">
        <v>1417</v>
      </c>
      <c r="AU1462" s="658" t="s">
        <v>2751</v>
      </c>
      <c r="AX1462"/>
      <c r="AY1462"/>
      <c r="BA1462"/>
      <c r="BB1462"/>
      <c r="BC1462"/>
      <c r="BD1462"/>
      <c r="BE1462"/>
      <c r="BF1462"/>
      <c r="BG1462"/>
      <c r="BH1462"/>
      <c r="BI1462"/>
      <c r="BJ1462"/>
      <c r="BR1462"/>
      <c r="BS1462"/>
      <c r="BT1462"/>
      <c r="BU1462"/>
      <c r="BX1462"/>
    </row>
    <row r="1463" spans="2:76" ht="18.75">
      <c r="B1463" s="252" t="s">
        <v>435</v>
      </c>
      <c r="C1463" s="251">
        <v>35779895000199</v>
      </c>
      <c r="D1463" s="252" t="s">
        <v>14</v>
      </c>
      <c r="E1463" s="252" t="s">
        <v>614</v>
      </c>
      <c r="F1463" s="252" t="s">
        <v>1417</v>
      </c>
      <c r="G1463" s="253" t="s">
        <v>1417</v>
      </c>
      <c r="H1463" s="253" t="s">
        <v>1338</v>
      </c>
      <c r="I1463" s="253" t="s">
        <v>34</v>
      </c>
      <c r="J1463" s="253" t="s">
        <v>608</v>
      </c>
      <c r="K1463" s="253" t="s">
        <v>48</v>
      </c>
      <c r="L1463" s="655"/>
      <c r="M1463" s="655" t="s">
        <v>34</v>
      </c>
      <c r="N1463" s="253" t="s">
        <v>4123</v>
      </c>
      <c r="O1463" s="253" t="s">
        <v>1321</v>
      </c>
      <c r="P1463" s="656">
        <v>43800</v>
      </c>
      <c r="Q1463" s="657">
        <v>14.76975264</v>
      </c>
      <c r="R1463" s="657">
        <v>18.408301888024187</v>
      </c>
      <c r="S1463" s="253">
        <v>32</v>
      </c>
      <c r="T1463" s="658">
        <v>-3.3346597988388349E-2</v>
      </c>
      <c r="U1463" s="659">
        <v>-1.6674649662802323</v>
      </c>
      <c r="V1463" s="658">
        <v>-0.15082170763683911</v>
      </c>
      <c r="W1463" s="659">
        <v>-1.1696691087148954</v>
      </c>
      <c r="X1463" s="658">
        <v>-9.0691661634537013E-2</v>
      </c>
      <c r="Y1463" s="659">
        <v>-0.46969144234328886</v>
      </c>
      <c r="Z1463" s="658">
        <v>4.0864649999997393E-2</v>
      </c>
      <c r="AA1463" s="659">
        <v>0.18451521487796352</v>
      </c>
      <c r="AB1463" s="658">
        <v>0.25868406870209648</v>
      </c>
      <c r="AC1463" s="660">
        <v>-1.08149534869814</v>
      </c>
      <c r="AD1463" s="682">
        <v>35779924000112</v>
      </c>
      <c r="AE1463" s="944" t="s">
        <v>2008</v>
      </c>
      <c r="AF1463" s="661" t="s">
        <v>1783</v>
      </c>
      <c r="AG1463" s="662" t="s">
        <v>736</v>
      </c>
      <c r="AH1463" s="662" t="s">
        <v>1734</v>
      </c>
      <c r="AI1463" s="662">
        <v>100</v>
      </c>
      <c r="AJ1463" s="662">
        <v>50</v>
      </c>
      <c r="AK1463" s="662">
        <v>50</v>
      </c>
      <c r="AL1463" s="658">
        <v>2.1000000000000001E-2</v>
      </c>
      <c r="AM1463" s="658">
        <v>0.2</v>
      </c>
      <c r="AN1463" s="659" t="s">
        <v>64</v>
      </c>
      <c r="AO1463" s="253" t="s">
        <v>34</v>
      </c>
      <c r="AP1463" s="944" t="s">
        <v>1746</v>
      </c>
      <c r="AQ1463" s="663" t="s">
        <v>668</v>
      </c>
      <c r="AR1463" s="658">
        <v>4.0000000000000001E-3</v>
      </c>
      <c r="AS1463" s="658">
        <v>4.0000000000000001E-3</v>
      </c>
      <c r="AT1463" s="658" t="s">
        <v>1417</v>
      </c>
      <c r="AU1463" s="658" t="s">
        <v>2751</v>
      </c>
      <c r="AX1463"/>
      <c r="AY1463"/>
      <c r="BA1463"/>
      <c r="BB1463"/>
      <c r="BC1463"/>
      <c r="BD1463"/>
      <c r="BE1463"/>
      <c r="BF1463"/>
      <c r="BG1463"/>
      <c r="BH1463"/>
      <c r="BI1463"/>
      <c r="BJ1463"/>
      <c r="BR1463"/>
      <c r="BS1463"/>
      <c r="BT1463"/>
      <c r="BU1463"/>
      <c r="BX1463"/>
    </row>
    <row r="1464" spans="2:76" ht="18.75">
      <c r="B1464" s="252" t="s">
        <v>1711</v>
      </c>
      <c r="C1464" s="251">
        <v>44515852000197</v>
      </c>
      <c r="D1464" s="252" t="s">
        <v>14</v>
      </c>
      <c r="E1464" s="252" t="s">
        <v>607</v>
      </c>
      <c r="F1464" s="252" t="s">
        <v>1417</v>
      </c>
      <c r="G1464" s="253" t="s">
        <v>1417</v>
      </c>
      <c r="H1464" s="253" t="s">
        <v>34</v>
      </c>
      <c r="I1464" s="253" t="s">
        <v>1417</v>
      </c>
      <c r="J1464" s="253" t="s">
        <v>611</v>
      </c>
      <c r="K1464" s="253" t="s">
        <v>48</v>
      </c>
      <c r="L1464" s="655"/>
      <c r="M1464" s="655" t="s">
        <v>34</v>
      </c>
      <c r="N1464" s="253" t="s">
        <v>4124</v>
      </c>
      <c r="O1464" s="253" t="s">
        <v>1321</v>
      </c>
      <c r="P1464" s="656">
        <v>44569</v>
      </c>
      <c r="Q1464" s="657">
        <v>0</v>
      </c>
      <c r="R1464" s="657">
        <v>13.867650572118645</v>
      </c>
      <c r="S1464" s="253">
        <v>62</v>
      </c>
      <c r="T1464" s="658"/>
      <c r="U1464" s="659"/>
      <c r="V1464" s="658">
        <v>-4.7899552221054909E-2</v>
      </c>
      <c r="W1464" s="659">
        <v>-0.37147587991212377</v>
      </c>
      <c r="X1464" s="658"/>
      <c r="Y1464" s="659"/>
      <c r="Z1464" s="658"/>
      <c r="AA1464" s="659"/>
      <c r="AB1464" s="658">
        <v>0.26115261426754055</v>
      </c>
      <c r="AC1464" s="660">
        <v>-0.67716519769039762</v>
      </c>
      <c r="AD1464" s="682">
        <v>0</v>
      </c>
      <c r="AE1464" s="944" t="s">
        <v>1997</v>
      </c>
      <c r="AF1464" s="661" t="s">
        <v>1745</v>
      </c>
      <c r="AG1464" s="662" t="s">
        <v>1432</v>
      </c>
      <c r="AH1464" s="662" t="s">
        <v>1734</v>
      </c>
      <c r="AI1464" s="662">
        <v>1000</v>
      </c>
      <c r="AJ1464" s="662">
        <v>100</v>
      </c>
      <c r="AK1464" s="662">
        <v>100</v>
      </c>
      <c r="AL1464" s="658">
        <v>0</v>
      </c>
      <c r="AM1464" s="658">
        <v>0</v>
      </c>
      <c r="AN1464" s="659" t="s">
        <v>2127</v>
      </c>
      <c r="AO1464" s="253" t="s">
        <v>34</v>
      </c>
      <c r="AP1464" s="944" t="s">
        <v>1731</v>
      </c>
      <c r="AQ1464" s="663" t="s">
        <v>659</v>
      </c>
      <c r="AR1464" s="658">
        <v>4.9994999999999996E-3</v>
      </c>
      <c r="AS1464" s="658">
        <v>4.9994999999999996E-3</v>
      </c>
      <c r="AT1464" s="658" t="s">
        <v>1417</v>
      </c>
      <c r="AU1464" s="658" t="s">
        <v>2751</v>
      </c>
      <c r="AX1464"/>
      <c r="AY1464"/>
      <c r="BA1464"/>
      <c r="BB1464"/>
      <c r="BC1464"/>
      <c r="BD1464"/>
      <c r="BE1464"/>
      <c r="BF1464"/>
      <c r="BG1464"/>
      <c r="BH1464"/>
      <c r="BI1464"/>
      <c r="BJ1464"/>
      <c r="BR1464"/>
      <c r="BS1464"/>
      <c r="BT1464"/>
      <c r="BU1464"/>
      <c r="BX1464"/>
    </row>
    <row r="1465" spans="2:76" ht="18.75">
      <c r="B1465" s="252" t="s">
        <v>498</v>
      </c>
      <c r="C1465" s="251">
        <v>42190534000178</v>
      </c>
      <c r="D1465" s="252" t="s">
        <v>14</v>
      </c>
      <c r="E1465" s="252" t="s">
        <v>607</v>
      </c>
      <c r="F1465" s="252" t="s">
        <v>860</v>
      </c>
      <c r="G1465" s="253" t="s">
        <v>1417</v>
      </c>
      <c r="H1465" s="253" t="s">
        <v>34</v>
      </c>
      <c r="I1465" s="253" t="s">
        <v>34</v>
      </c>
      <c r="J1465" s="253" t="s">
        <v>611</v>
      </c>
      <c r="K1465" s="253" t="s">
        <v>48</v>
      </c>
      <c r="L1465" s="655"/>
      <c r="M1465" s="655" t="s">
        <v>1414</v>
      </c>
      <c r="N1465" s="253" t="s">
        <v>4125</v>
      </c>
      <c r="O1465" s="253" t="s">
        <v>1321</v>
      </c>
      <c r="P1465" s="656">
        <v>44377</v>
      </c>
      <c r="Q1465" s="657">
        <v>0</v>
      </c>
      <c r="R1465" s="657">
        <v>0</v>
      </c>
      <c r="S1465" s="253">
        <v>6</v>
      </c>
      <c r="T1465" s="658"/>
      <c r="U1465" s="659"/>
      <c r="V1465" s="658"/>
      <c r="W1465" s="659"/>
      <c r="X1465" s="658"/>
      <c r="Y1465" s="659"/>
      <c r="Z1465" s="658"/>
      <c r="AA1465" s="659"/>
      <c r="AB1465" s="658"/>
      <c r="AC1465" s="660"/>
      <c r="AD1465" s="682">
        <v>0</v>
      </c>
      <c r="AE1465" s="944" t="s">
        <v>1997</v>
      </c>
      <c r="AF1465" s="661" t="s">
        <v>1745</v>
      </c>
      <c r="AG1465" s="662" t="s">
        <v>1432</v>
      </c>
      <c r="AH1465" s="662" t="s">
        <v>1734</v>
      </c>
      <c r="AI1465" s="662">
        <v>0</v>
      </c>
      <c r="AJ1465" s="662">
        <v>0</v>
      </c>
      <c r="AK1465" s="662">
        <v>0</v>
      </c>
      <c r="AL1465" s="658">
        <v>9.0000000000000011E-3</v>
      </c>
      <c r="AM1465" s="658">
        <v>0.1</v>
      </c>
      <c r="AN1465" s="659" t="s">
        <v>34</v>
      </c>
      <c r="AO1465" s="253" t="s">
        <v>34</v>
      </c>
      <c r="AP1465" s="944" t="s">
        <v>1746</v>
      </c>
      <c r="AQ1465" s="663" t="s">
        <v>668</v>
      </c>
      <c r="AR1465" s="658">
        <v>2.9997000000000001E-3</v>
      </c>
      <c r="AS1465" s="658">
        <v>2.9997000000000001E-3</v>
      </c>
      <c r="AT1465" s="658" t="s">
        <v>1417</v>
      </c>
      <c r="AU1465" s="658" t="s">
        <v>2751</v>
      </c>
      <c r="AX1465"/>
      <c r="AY1465"/>
      <c r="BA1465"/>
      <c r="BB1465"/>
      <c r="BC1465"/>
      <c r="BD1465"/>
      <c r="BE1465"/>
      <c r="BF1465"/>
      <c r="BG1465"/>
      <c r="BH1465"/>
      <c r="BI1465"/>
      <c r="BJ1465"/>
      <c r="BR1465"/>
      <c r="BS1465"/>
      <c r="BT1465"/>
      <c r="BU1465"/>
      <c r="BX1465"/>
    </row>
    <row r="1466" spans="2:76" ht="18.75">
      <c r="B1466" s="252" t="s">
        <v>499</v>
      </c>
      <c r="C1466" s="251">
        <v>42480017000133</v>
      </c>
      <c r="D1466" s="252" t="s">
        <v>14</v>
      </c>
      <c r="E1466" s="252" t="s">
        <v>607</v>
      </c>
      <c r="F1466" s="252" t="s">
        <v>860</v>
      </c>
      <c r="G1466" s="253" t="s">
        <v>1417</v>
      </c>
      <c r="H1466" s="253" t="s">
        <v>34</v>
      </c>
      <c r="I1466" s="253" t="s">
        <v>34</v>
      </c>
      <c r="J1466" s="253" t="s">
        <v>611</v>
      </c>
      <c r="K1466" s="253" t="s">
        <v>48</v>
      </c>
      <c r="L1466" s="655"/>
      <c r="M1466" s="655" t="s">
        <v>1414</v>
      </c>
      <c r="N1466" s="253" t="s">
        <v>4126</v>
      </c>
      <c r="O1466" s="253" t="s">
        <v>1321</v>
      </c>
      <c r="P1466" s="656">
        <v>44394</v>
      </c>
      <c r="Q1466" s="657">
        <v>2.1588369900000002</v>
      </c>
      <c r="R1466" s="657">
        <v>3.045042790674156</v>
      </c>
      <c r="S1466" s="253">
        <v>7</v>
      </c>
      <c r="T1466" s="658">
        <v>1.3372511745621818E-2</v>
      </c>
      <c r="U1466" s="659">
        <v>0.6686797512225916</v>
      </c>
      <c r="V1466" s="658">
        <v>-6.2028432493203556E-2</v>
      </c>
      <c r="W1466" s="659">
        <v>-0.48104972743052282</v>
      </c>
      <c r="X1466" s="658"/>
      <c r="Y1466" s="659"/>
      <c r="Z1466" s="658"/>
      <c r="AA1466" s="659"/>
      <c r="AB1466" s="658">
        <v>0.30383478991753438</v>
      </c>
      <c r="AC1466" s="660">
        <v>-0.62854007597953099</v>
      </c>
      <c r="AD1466" s="682">
        <v>0</v>
      </c>
      <c r="AE1466" s="944" t="s">
        <v>1997</v>
      </c>
      <c r="AF1466" s="661" t="s">
        <v>1745</v>
      </c>
      <c r="AG1466" s="662" t="s">
        <v>1432</v>
      </c>
      <c r="AH1466" s="662" t="s">
        <v>1801</v>
      </c>
      <c r="AI1466" s="662">
        <v>100</v>
      </c>
      <c r="AJ1466" s="662">
        <v>100</v>
      </c>
      <c r="AK1466" s="662">
        <v>100</v>
      </c>
      <c r="AL1466" s="658">
        <v>0</v>
      </c>
      <c r="AM1466" s="658">
        <v>0</v>
      </c>
      <c r="AN1466" s="659" t="s">
        <v>34</v>
      </c>
      <c r="AO1466" s="253" t="s">
        <v>34</v>
      </c>
      <c r="AP1466" s="944" t="s">
        <v>1731</v>
      </c>
      <c r="AQ1466" s="663" t="s">
        <v>659</v>
      </c>
      <c r="AR1466" s="658">
        <v>2.9997000000000001E-3</v>
      </c>
      <c r="AS1466" s="658">
        <v>2.9997000000000001E-3</v>
      </c>
      <c r="AT1466" s="658" t="s">
        <v>1417</v>
      </c>
      <c r="AU1466" s="658" t="s">
        <v>2751</v>
      </c>
      <c r="AX1466"/>
      <c r="AY1466"/>
      <c r="BA1466"/>
      <c r="BB1466"/>
      <c r="BC1466"/>
      <c r="BD1466"/>
      <c r="BE1466"/>
      <c r="BF1466"/>
      <c r="BG1466"/>
      <c r="BH1466"/>
      <c r="BI1466"/>
      <c r="BJ1466"/>
      <c r="BR1466"/>
      <c r="BS1466"/>
      <c r="BT1466"/>
      <c r="BU1466"/>
      <c r="BX1466"/>
    </row>
    <row r="1467" spans="2:76" ht="18.75">
      <c r="B1467" s="252" t="s">
        <v>603</v>
      </c>
      <c r="C1467" s="251">
        <v>43140576000167</v>
      </c>
      <c r="D1467" s="252" t="s">
        <v>14</v>
      </c>
      <c r="E1467" s="252" t="s">
        <v>607</v>
      </c>
      <c r="F1467" s="252" t="s">
        <v>1417</v>
      </c>
      <c r="G1467" s="253" t="s">
        <v>866</v>
      </c>
      <c r="H1467" s="253" t="s">
        <v>34</v>
      </c>
      <c r="I1467" s="253" t="s">
        <v>34</v>
      </c>
      <c r="J1467" s="253" t="s">
        <v>611</v>
      </c>
      <c r="K1467" s="253" t="s">
        <v>1417</v>
      </c>
      <c r="L1467" s="655"/>
      <c r="M1467" s="655" t="s">
        <v>1414</v>
      </c>
      <c r="N1467" s="253" t="s">
        <v>4127</v>
      </c>
      <c r="O1467" s="253" t="s">
        <v>1321</v>
      </c>
      <c r="P1467" s="656">
        <v>44439</v>
      </c>
      <c r="Q1467" s="657">
        <v>0</v>
      </c>
      <c r="R1467" s="657">
        <v>0</v>
      </c>
      <c r="S1467" s="253">
        <v>12</v>
      </c>
      <c r="T1467" s="658"/>
      <c r="U1467" s="659"/>
      <c r="V1467" s="658"/>
      <c r="W1467" s="659"/>
      <c r="X1467" s="658"/>
      <c r="Y1467" s="659"/>
      <c r="Z1467" s="658"/>
      <c r="AA1467" s="659"/>
      <c r="AB1467" s="658"/>
      <c r="AC1467" s="660"/>
      <c r="AD1467" s="682">
        <v>0</v>
      </c>
      <c r="AE1467" s="944" t="s">
        <v>1997</v>
      </c>
      <c r="AF1467" s="661" t="s">
        <v>1745</v>
      </c>
      <c r="AG1467" s="662" t="s">
        <v>1432</v>
      </c>
      <c r="AH1467" s="662" t="s">
        <v>1734</v>
      </c>
      <c r="AI1467" s="662">
        <v>100</v>
      </c>
      <c r="AJ1467" s="662">
        <v>100</v>
      </c>
      <c r="AK1467" s="662">
        <v>100</v>
      </c>
      <c r="AL1467" s="658">
        <v>9.0000000000000011E-3</v>
      </c>
      <c r="AM1467" s="658">
        <v>0.1</v>
      </c>
      <c r="AN1467" s="659" t="s">
        <v>34</v>
      </c>
      <c r="AO1467" s="253" t="s">
        <v>34</v>
      </c>
      <c r="AP1467" s="944" t="s">
        <v>1731</v>
      </c>
      <c r="AQ1467" s="663" t="s">
        <v>694</v>
      </c>
      <c r="AR1467" s="658">
        <v>2.9997000000000001E-3</v>
      </c>
      <c r="AS1467" s="658">
        <v>2.9997000000000001E-3</v>
      </c>
      <c r="AT1467" s="658" t="s">
        <v>1417</v>
      </c>
      <c r="AU1467" s="658" t="s">
        <v>2751</v>
      </c>
      <c r="AX1467"/>
      <c r="AY1467"/>
      <c r="BA1467"/>
      <c r="BB1467"/>
      <c r="BC1467"/>
      <c r="BD1467"/>
      <c r="BE1467"/>
      <c r="BF1467"/>
      <c r="BG1467"/>
      <c r="BH1467"/>
      <c r="BI1467"/>
      <c r="BJ1467"/>
      <c r="BR1467"/>
      <c r="BS1467"/>
      <c r="BT1467"/>
      <c r="BU1467"/>
      <c r="BX1467"/>
    </row>
    <row r="1468" spans="2:76" ht="18.75">
      <c r="B1468" s="252" t="s">
        <v>500</v>
      </c>
      <c r="C1468" s="251">
        <v>42730566000119</v>
      </c>
      <c r="D1468" s="252" t="s">
        <v>14</v>
      </c>
      <c r="E1468" s="252" t="s">
        <v>607</v>
      </c>
      <c r="F1468" s="252" t="s">
        <v>860</v>
      </c>
      <c r="G1468" s="253" t="s">
        <v>1417</v>
      </c>
      <c r="H1468" s="253" t="s">
        <v>34</v>
      </c>
      <c r="I1468" s="253" t="s">
        <v>34</v>
      </c>
      <c r="J1468" s="253" t="s">
        <v>611</v>
      </c>
      <c r="K1468" s="253" t="s">
        <v>48</v>
      </c>
      <c r="L1468" s="655"/>
      <c r="M1468" s="655" t="s">
        <v>1414</v>
      </c>
      <c r="N1468" s="253" t="s">
        <v>4128</v>
      </c>
      <c r="O1468" s="253" t="s">
        <v>1321</v>
      </c>
      <c r="P1468" s="656">
        <v>44402</v>
      </c>
      <c r="Q1468" s="657">
        <v>0</v>
      </c>
      <c r="R1468" s="657">
        <v>0</v>
      </c>
      <c r="S1468" s="253">
        <v>12</v>
      </c>
      <c r="T1468" s="658"/>
      <c r="U1468" s="659"/>
      <c r="V1468" s="658"/>
      <c r="W1468" s="659"/>
      <c r="X1468" s="658"/>
      <c r="Y1468" s="659"/>
      <c r="Z1468" s="658"/>
      <c r="AA1468" s="659"/>
      <c r="AB1468" s="658"/>
      <c r="AC1468" s="660"/>
      <c r="AD1468" s="682">
        <v>0</v>
      </c>
      <c r="AE1468" s="944" t="s">
        <v>1997</v>
      </c>
      <c r="AF1468" s="661" t="s">
        <v>1745</v>
      </c>
      <c r="AG1468" s="662" t="s">
        <v>1432</v>
      </c>
      <c r="AH1468" s="662" t="s">
        <v>1801</v>
      </c>
      <c r="AI1468" s="662">
        <v>100</v>
      </c>
      <c r="AJ1468" s="662">
        <v>100</v>
      </c>
      <c r="AK1468" s="662">
        <v>100</v>
      </c>
      <c r="AL1468" s="658">
        <v>0</v>
      </c>
      <c r="AM1468" s="658">
        <v>0</v>
      </c>
      <c r="AN1468" s="659" t="s">
        <v>2127</v>
      </c>
      <c r="AO1468" s="253" t="s">
        <v>34</v>
      </c>
      <c r="AP1468" s="944" t="s">
        <v>1731</v>
      </c>
      <c r="AQ1468" s="663" t="s">
        <v>694</v>
      </c>
      <c r="AR1468" s="658">
        <v>2.9997000000000001E-3</v>
      </c>
      <c r="AS1468" s="658">
        <v>2.9997000000000001E-3</v>
      </c>
      <c r="AT1468" s="658" t="s">
        <v>1417</v>
      </c>
      <c r="AU1468" s="658" t="s">
        <v>2751</v>
      </c>
      <c r="AX1468"/>
      <c r="AY1468"/>
      <c r="BA1468"/>
      <c r="BB1468"/>
      <c r="BC1468"/>
      <c r="BD1468"/>
      <c r="BE1468"/>
      <c r="BF1468"/>
      <c r="BG1468"/>
      <c r="BH1468"/>
      <c r="BI1468"/>
      <c r="BJ1468"/>
      <c r="BR1468"/>
      <c r="BS1468"/>
      <c r="BT1468"/>
      <c r="BU1468"/>
      <c r="BX1468"/>
    </row>
    <row r="1469" spans="2:76" ht="18.75">
      <c r="B1469" s="252" t="s">
        <v>501</v>
      </c>
      <c r="C1469" s="251">
        <v>34218661000100</v>
      </c>
      <c r="D1469" s="252" t="s">
        <v>14</v>
      </c>
      <c r="E1469" s="252" t="s">
        <v>607</v>
      </c>
      <c r="F1469" s="252" t="s">
        <v>860</v>
      </c>
      <c r="G1469" s="253" t="s">
        <v>1417</v>
      </c>
      <c r="H1469" s="253" t="s">
        <v>34</v>
      </c>
      <c r="I1469" s="253" t="s">
        <v>34</v>
      </c>
      <c r="J1469" s="253" t="s">
        <v>611</v>
      </c>
      <c r="K1469" s="253" t="s">
        <v>48</v>
      </c>
      <c r="L1469" s="655"/>
      <c r="M1469" s="655" t="s">
        <v>1414</v>
      </c>
      <c r="N1469" s="253" t="s">
        <v>4129</v>
      </c>
      <c r="O1469" s="253" t="s">
        <v>1321</v>
      </c>
      <c r="P1469" s="656">
        <v>43766</v>
      </c>
      <c r="Q1469" s="657">
        <v>0</v>
      </c>
      <c r="R1469" s="657">
        <v>0</v>
      </c>
      <c r="S1469" s="253">
        <v>32</v>
      </c>
      <c r="T1469" s="658"/>
      <c r="U1469" s="659"/>
      <c r="V1469" s="658"/>
      <c r="W1469" s="659"/>
      <c r="X1469" s="658"/>
      <c r="Y1469" s="659"/>
      <c r="Z1469" s="658"/>
      <c r="AA1469" s="659"/>
      <c r="AB1469" s="658"/>
      <c r="AC1469" s="660"/>
      <c r="AD1469" s="682">
        <v>0</v>
      </c>
      <c r="AE1469" s="944" t="s">
        <v>1997</v>
      </c>
      <c r="AF1469" s="661" t="s">
        <v>1745</v>
      </c>
      <c r="AG1469" s="662" t="s">
        <v>1432</v>
      </c>
      <c r="AH1469" s="662" t="s">
        <v>1730</v>
      </c>
      <c r="AI1469" s="662">
        <v>0</v>
      </c>
      <c r="AJ1469" s="662">
        <v>100</v>
      </c>
      <c r="AK1469" s="662">
        <v>0</v>
      </c>
      <c r="AL1469" s="658">
        <v>9.0000000000000011E-3</v>
      </c>
      <c r="AM1469" s="658">
        <v>0.1</v>
      </c>
      <c r="AN1469" s="659" t="s">
        <v>2127</v>
      </c>
      <c r="AO1469" s="253" t="s">
        <v>34</v>
      </c>
      <c r="AP1469" s="944" t="s">
        <v>1731</v>
      </c>
      <c r="AQ1469" s="663" t="s">
        <v>687</v>
      </c>
      <c r="AR1469" s="658">
        <v>2.9997000000000001E-3</v>
      </c>
      <c r="AS1469" s="658">
        <v>2.9997000000000001E-3</v>
      </c>
      <c r="AT1469" s="658" t="s">
        <v>1417</v>
      </c>
      <c r="AU1469" s="658" t="s">
        <v>2751</v>
      </c>
      <c r="AX1469"/>
      <c r="AY1469"/>
      <c r="BA1469"/>
      <c r="BB1469"/>
      <c r="BC1469"/>
      <c r="BD1469"/>
      <c r="BE1469"/>
      <c r="BF1469"/>
      <c r="BG1469"/>
      <c r="BH1469"/>
      <c r="BI1469"/>
      <c r="BJ1469"/>
      <c r="BR1469"/>
      <c r="BS1469"/>
      <c r="BT1469"/>
      <c r="BU1469"/>
      <c r="BX1469"/>
    </row>
    <row r="1470" spans="2:76" ht="18.75">
      <c r="B1470" s="252" t="s">
        <v>502</v>
      </c>
      <c r="C1470" s="251">
        <v>34218748000187</v>
      </c>
      <c r="D1470" s="252" t="s">
        <v>14</v>
      </c>
      <c r="E1470" s="252" t="s">
        <v>607</v>
      </c>
      <c r="F1470" s="252" t="s">
        <v>860</v>
      </c>
      <c r="G1470" s="253" t="s">
        <v>1417</v>
      </c>
      <c r="H1470" s="253" t="s">
        <v>34</v>
      </c>
      <c r="I1470" s="253" t="s">
        <v>34</v>
      </c>
      <c r="J1470" s="253" t="s">
        <v>611</v>
      </c>
      <c r="K1470" s="253" t="s">
        <v>48</v>
      </c>
      <c r="L1470" s="655"/>
      <c r="M1470" s="655" t="s">
        <v>1414</v>
      </c>
      <c r="N1470" s="253" t="s">
        <v>4130</v>
      </c>
      <c r="O1470" s="253" t="s">
        <v>1321</v>
      </c>
      <c r="P1470" s="656">
        <v>43788</v>
      </c>
      <c r="Q1470" s="657">
        <v>0</v>
      </c>
      <c r="R1470" s="657">
        <v>0</v>
      </c>
      <c r="S1470" s="253">
        <v>12</v>
      </c>
      <c r="T1470" s="658"/>
      <c r="U1470" s="659"/>
      <c r="V1470" s="658"/>
      <c r="W1470" s="659"/>
      <c r="X1470" s="658"/>
      <c r="Y1470" s="659"/>
      <c r="Z1470" s="658"/>
      <c r="AA1470" s="659"/>
      <c r="AB1470" s="658"/>
      <c r="AC1470" s="660"/>
      <c r="AD1470" s="682">
        <v>0</v>
      </c>
      <c r="AE1470" s="944" t="s">
        <v>1997</v>
      </c>
      <c r="AF1470" s="661" t="s">
        <v>1745</v>
      </c>
      <c r="AG1470" s="662" t="s">
        <v>1432</v>
      </c>
      <c r="AH1470" s="662" t="s">
        <v>1734</v>
      </c>
      <c r="AI1470" s="662">
        <v>0</v>
      </c>
      <c r="AJ1470" s="662">
        <v>0</v>
      </c>
      <c r="AK1470" s="662">
        <v>0</v>
      </c>
      <c r="AL1470" s="658">
        <v>7.1999999999999998E-3</v>
      </c>
      <c r="AM1470" s="658">
        <v>0</v>
      </c>
      <c r="AN1470" s="659" t="s">
        <v>2127</v>
      </c>
      <c r="AO1470" s="253" t="s">
        <v>34</v>
      </c>
      <c r="AP1470" s="944" t="s">
        <v>1746</v>
      </c>
      <c r="AQ1470" s="663" t="s">
        <v>668</v>
      </c>
      <c r="AR1470" s="658">
        <v>2.3997599999999999E-3</v>
      </c>
      <c r="AS1470" s="658">
        <v>2.3997599999999999E-3</v>
      </c>
      <c r="AT1470" s="658" t="s">
        <v>1417</v>
      </c>
      <c r="AU1470" s="658" t="s">
        <v>2751</v>
      </c>
      <c r="AX1470"/>
      <c r="AY1470"/>
      <c r="BA1470"/>
      <c r="BB1470"/>
      <c r="BC1470"/>
      <c r="BD1470"/>
      <c r="BE1470"/>
      <c r="BF1470"/>
      <c r="BG1470"/>
      <c r="BH1470"/>
      <c r="BI1470"/>
      <c r="BJ1470"/>
      <c r="BR1470"/>
      <c r="BS1470"/>
      <c r="BT1470"/>
      <c r="BU1470"/>
      <c r="BX1470"/>
    </row>
    <row r="1471" spans="2:76" ht="18.75">
      <c r="B1471" s="252" t="s">
        <v>544</v>
      </c>
      <c r="C1471" s="251">
        <v>30568854000130</v>
      </c>
      <c r="D1471" s="252" t="s">
        <v>13</v>
      </c>
      <c r="E1471" s="252" t="s">
        <v>615</v>
      </c>
      <c r="F1471" s="252" t="s">
        <v>619</v>
      </c>
      <c r="G1471" s="253" t="s">
        <v>34</v>
      </c>
      <c r="H1471" s="253" t="s">
        <v>1338</v>
      </c>
      <c r="I1471" s="253" t="s">
        <v>34</v>
      </c>
      <c r="J1471" s="253" t="s">
        <v>1417</v>
      </c>
      <c r="K1471" s="253" t="s">
        <v>48</v>
      </c>
      <c r="L1471" s="655"/>
      <c r="M1471" s="655" t="s">
        <v>1414</v>
      </c>
      <c r="N1471" s="253" t="s">
        <v>4132</v>
      </c>
      <c r="O1471" s="253" t="s">
        <v>1321</v>
      </c>
      <c r="P1471" s="656">
        <v>43644</v>
      </c>
      <c r="Q1471" s="657">
        <v>0</v>
      </c>
      <c r="R1471" s="657">
        <v>0</v>
      </c>
      <c r="S1471" s="253">
        <v>31</v>
      </c>
      <c r="T1471" s="658"/>
      <c r="U1471" s="659"/>
      <c r="V1471" s="658"/>
      <c r="W1471" s="659"/>
      <c r="X1471" s="658"/>
      <c r="Y1471" s="659"/>
      <c r="Z1471" s="658"/>
      <c r="AA1471" s="659"/>
      <c r="AB1471" s="658"/>
      <c r="AC1471" s="660"/>
      <c r="AD1471" s="682">
        <v>0</v>
      </c>
      <c r="AE1471" s="944" t="s">
        <v>1997</v>
      </c>
      <c r="AF1471" s="661" t="s">
        <v>1745</v>
      </c>
      <c r="AG1471" s="662" t="s">
        <v>1432</v>
      </c>
      <c r="AH1471" s="662" t="s">
        <v>1734</v>
      </c>
      <c r="AI1471" s="662">
        <v>1000</v>
      </c>
      <c r="AJ1471" s="662">
        <v>100</v>
      </c>
      <c r="AK1471" s="662">
        <v>100</v>
      </c>
      <c r="AL1471" s="658">
        <v>1.0500000000000001E-2</v>
      </c>
      <c r="AM1471" s="658">
        <v>0.15</v>
      </c>
      <c r="AN1471" s="659" t="s">
        <v>2127</v>
      </c>
      <c r="AO1471" s="253" t="s">
        <v>34</v>
      </c>
      <c r="AP1471" s="944" t="s">
        <v>1746</v>
      </c>
      <c r="AQ1471" s="663" t="s">
        <v>668</v>
      </c>
      <c r="AR1471" s="658">
        <v>3.49965E-3</v>
      </c>
      <c r="AS1471" s="658">
        <v>3.49965E-3</v>
      </c>
      <c r="AT1471" s="658" t="s">
        <v>1417</v>
      </c>
      <c r="AU1471" s="658" t="s">
        <v>2751</v>
      </c>
      <c r="AX1471"/>
      <c r="AY1471"/>
      <c r="BA1471"/>
      <c r="BB1471"/>
      <c r="BC1471"/>
      <c r="BD1471"/>
      <c r="BE1471"/>
      <c r="BF1471"/>
      <c r="BG1471"/>
      <c r="BH1471"/>
      <c r="BI1471"/>
      <c r="BJ1471"/>
      <c r="BR1471"/>
      <c r="BS1471"/>
      <c r="BT1471"/>
      <c r="BU1471"/>
      <c r="BX1471"/>
    </row>
    <row r="1472" spans="2:76" ht="18.75">
      <c r="B1472" s="252" t="s">
        <v>1258</v>
      </c>
      <c r="C1472" s="251">
        <v>44209582000196</v>
      </c>
      <c r="D1472" s="252" t="s">
        <v>13</v>
      </c>
      <c r="E1472" s="252" t="s">
        <v>616</v>
      </c>
      <c r="F1472" s="252" t="s">
        <v>701</v>
      </c>
      <c r="G1472" s="253" t="s">
        <v>1417</v>
      </c>
      <c r="H1472" s="253" t="s">
        <v>34</v>
      </c>
      <c r="I1472" s="253" t="s">
        <v>34</v>
      </c>
      <c r="J1472" s="253" t="s">
        <v>611</v>
      </c>
      <c r="K1472" s="253" t="s">
        <v>49</v>
      </c>
      <c r="L1472" s="655"/>
      <c r="M1472" s="655" t="s">
        <v>1414</v>
      </c>
      <c r="N1472" s="253" t="s">
        <v>4133</v>
      </c>
      <c r="O1472" s="253" t="s">
        <v>1321</v>
      </c>
      <c r="P1472" s="656">
        <v>44523</v>
      </c>
      <c r="Q1472" s="657"/>
      <c r="R1472" s="657"/>
      <c r="S1472" s="253">
        <v>7</v>
      </c>
      <c r="T1472" s="658"/>
      <c r="U1472" s="659"/>
      <c r="V1472" s="658"/>
      <c r="W1472" s="659"/>
      <c r="X1472" s="658"/>
      <c r="Y1472" s="659"/>
      <c r="Z1472" s="658"/>
      <c r="AA1472" s="659"/>
      <c r="AB1472" s="658"/>
      <c r="AC1472" s="660"/>
      <c r="AD1472" s="682">
        <v>0</v>
      </c>
      <c r="AE1472" s="944" t="s">
        <v>1997</v>
      </c>
      <c r="AF1472" s="661" t="s">
        <v>1745</v>
      </c>
      <c r="AG1472" s="662" t="s">
        <v>1432</v>
      </c>
      <c r="AH1472" s="662" t="s">
        <v>1734</v>
      </c>
      <c r="AI1472" s="662">
        <v>1000</v>
      </c>
      <c r="AJ1472" s="662">
        <v>100</v>
      </c>
      <c r="AK1472" s="662">
        <v>100</v>
      </c>
      <c r="AL1472" s="658">
        <v>3.4000000000000002E-3</v>
      </c>
      <c r="AM1472" s="658">
        <v>0</v>
      </c>
      <c r="AN1472" s="659" t="s">
        <v>2127</v>
      </c>
      <c r="AO1472" s="253" t="s">
        <v>34</v>
      </c>
      <c r="AP1472" s="944" t="s">
        <v>1746</v>
      </c>
      <c r="AQ1472" s="663" t="s">
        <v>671</v>
      </c>
      <c r="AR1472" s="658">
        <v>1.1332200000000001E-3</v>
      </c>
      <c r="AS1472" s="658">
        <v>1.1332200000000001E-3</v>
      </c>
      <c r="AT1472" s="658" t="s">
        <v>1417</v>
      </c>
      <c r="AU1472" s="658" t="s">
        <v>2751</v>
      </c>
      <c r="AX1472"/>
      <c r="AY1472"/>
      <c r="BA1472"/>
      <c r="BB1472"/>
      <c r="BC1472"/>
      <c r="BD1472"/>
      <c r="BE1472"/>
      <c r="BF1472"/>
      <c r="BG1472"/>
      <c r="BH1472"/>
      <c r="BI1472"/>
      <c r="BJ1472"/>
      <c r="BR1472"/>
      <c r="BS1472"/>
      <c r="BT1472"/>
      <c r="BU1472"/>
      <c r="BX1472"/>
    </row>
    <row r="1473" spans="2:76" ht="18.75">
      <c r="B1473" s="252" t="s">
        <v>1259</v>
      </c>
      <c r="C1473" s="251">
        <v>41545885000191</v>
      </c>
      <c r="D1473" s="252" t="s">
        <v>13</v>
      </c>
      <c r="E1473" s="252" t="s">
        <v>616</v>
      </c>
      <c r="F1473" s="252" t="s">
        <v>701</v>
      </c>
      <c r="G1473" s="253" t="s">
        <v>1417</v>
      </c>
      <c r="H1473" s="253" t="s">
        <v>34</v>
      </c>
      <c r="I1473" s="253" t="s">
        <v>34</v>
      </c>
      <c r="J1473" s="253" t="s">
        <v>611</v>
      </c>
      <c r="K1473" s="253" t="s">
        <v>49</v>
      </c>
      <c r="L1473" s="655"/>
      <c r="M1473" s="655" t="s">
        <v>1414</v>
      </c>
      <c r="N1473" s="253" t="s">
        <v>4134</v>
      </c>
      <c r="O1473" s="253" t="s">
        <v>1324</v>
      </c>
      <c r="P1473" s="656">
        <v>44306</v>
      </c>
      <c r="Q1473" s="657">
        <v>0</v>
      </c>
      <c r="R1473" s="657">
        <v>0</v>
      </c>
      <c r="S1473" s="253">
        <v>7</v>
      </c>
      <c r="T1473" s="658"/>
      <c r="U1473" s="659"/>
      <c r="V1473" s="658"/>
      <c r="W1473" s="659"/>
      <c r="X1473" s="658"/>
      <c r="Y1473" s="659"/>
      <c r="Z1473" s="658"/>
      <c r="AA1473" s="659"/>
      <c r="AB1473" s="658"/>
      <c r="AC1473" s="660"/>
      <c r="AD1473" s="682">
        <v>0</v>
      </c>
      <c r="AE1473" s="944" t="s">
        <v>1997</v>
      </c>
      <c r="AF1473" s="661" t="s">
        <v>1745</v>
      </c>
      <c r="AG1473" s="662" t="s">
        <v>1432</v>
      </c>
      <c r="AH1473" s="662" t="s">
        <v>1734</v>
      </c>
      <c r="AI1473" s="662">
        <v>0</v>
      </c>
      <c r="AJ1473" s="662">
        <v>0</v>
      </c>
      <c r="AK1473" s="662">
        <v>0</v>
      </c>
      <c r="AL1473" s="658">
        <v>5.0000000000000001E-4</v>
      </c>
      <c r="AM1473" s="658">
        <v>0</v>
      </c>
      <c r="AN1473" s="659" t="s">
        <v>34</v>
      </c>
      <c r="AO1473" s="253" t="s">
        <v>34</v>
      </c>
      <c r="AP1473" s="944" t="s">
        <v>1746</v>
      </c>
      <c r="AQ1473" s="663" t="s">
        <v>671</v>
      </c>
      <c r="AR1473" s="658">
        <v>1.6665000000000001E-4</v>
      </c>
      <c r="AS1473" s="658">
        <v>1.6665000000000001E-4</v>
      </c>
      <c r="AT1473" s="658" t="s">
        <v>1417</v>
      </c>
      <c r="AU1473" s="658" t="s">
        <v>2751</v>
      </c>
      <c r="AX1473"/>
      <c r="AY1473"/>
      <c r="BA1473"/>
      <c r="BB1473"/>
      <c r="BC1473"/>
      <c r="BD1473"/>
      <c r="BE1473"/>
      <c r="BF1473"/>
      <c r="BG1473"/>
      <c r="BH1473"/>
      <c r="BI1473"/>
      <c r="BJ1473"/>
      <c r="BR1473"/>
      <c r="BS1473"/>
      <c r="BT1473"/>
      <c r="BU1473"/>
      <c r="BX1473"/>
    </row>
    <row r="1474" spans="2:76" ht="18.75">
      <c r="B1474" s="252" t="s">
        <v>1260</v>
      </c>
      <c r="C1474" s="251">
        <v>43508446000134</v>
      </c>
      <c r="D1474" s="252" t="s">
        <v>13</v>
      </c>
      <c r="E1474" s="252" t="s">
        <v>616</v>
      </c>
      <c r="F1474" s="252" t="s">
        <v>701</v>
      </c>
      <c r="G1474" s="253" t="s">
        <v>1417</v>
      </c>
      <c r="H1474" s="253" t="s">
        <v>34</v>
      </c>
      <c r="I1474" s="253" t="s">
        <v>34</v>
      </c>
      <c r="J1474" s="253" t="s">
        <v>611</v>
      </c>
      <c r="K1474" s="253" t="s">
        <v>49</v>
      </c>
      <c r="L1474" s="655"/>
      <c r="M1474" s="655" t="s">
        <v>1414</v>
      </c>
      <c r="N1474" s="253" t="s">
        <v>4135</v>
      </c>
      <c r="O1474" s="253" t="s">
        <v>1321</v>
      </c>
      <c r="P1474" s="656">
        <v>44469</v>
      </c>
      <c r="Q1474" s="657"/>
      <c r="R1474" s="657"/>
      <c r="S1474" s="253">
        <v>7</v>
      </c>
      <c r="T1474" s="658"/>
      <c r="U1474" s="659"/>
      <c r="V1474" s="658"/>
      <c r="W1474" s="659"/>
      <c r="X1474" s="658"/>
      <c r="Y1474" s="659"/>
      <c r="Z1474" s="658"/>
      <c r="AA1474" s="659"/>
      <c r="AB1474" s="658"/>
      <c r="AC1474" s="660"/>
      <c r="AD1474" s="682">
        <v>0</v>
      </c>
      <c r="AE1474" s="944" t="s">
        <v>1997</v>
      </c>
      <c r="AF1474" s="661" t="s">
        <v>1745</v>
      </c>
      <c r="AG1474" s="662" t="s">
        <v>1432</v>
      </c>
      <c r="AH1474" s="662" t="s">
        <v>1734</v>
      </c>
      <c r="AI1474" s="662">
        <v>0</v>
      </c>
      <c r="AJ1474" s="662">
        <v>0</v>
      </c>
      <c r="AK1474" s="662">
        <v>0</v>
      </c>
      <c r="AL1474" s="658">
        <v>3.4000000000000002E-3</v>
      </c>
      <c r="AM1474" s="658">
        <v>0</v>
      </c>
      <c r="AN1474" s="659" t="s">
        <v>2127</v>
      </c>
      <c r="AO1474" s="253" t="s">
        <v>34</v>
      </c>
      <c r="AP1474" s="944" t="s">
        <v>1746</v>
      </c>
      <c r="AQ1474" s="663" t="s">
        <v>671</v>
      </c>
      <c r="AR1474" s="658">
        <v>1.1332200000000001E-3</v>
      </c>
      <c r="AS1474" s="658">
        <v>1.1332200000000001E-3</v>
      </c>
      <c r="AT1474" s="658" t="s">
        <v>1417</v>
      </c>
      <c r="AU1474" s="658" t="s">
        <v>2751</v>
      </c>
      <c r="AX1474"/>
      <c r="AY1474"/>
      <c r="BA1474"/>
      <c r="BB1474"/>
      <c r="BC1474"/>
      <c r="BD1474"/>
      <c r="BE1474"/>
      <c r="BF1474"/>
      <c r="BG1474"/>
      <c r="BH1474"/>
      <c r="BI1474"/>
      <c r="BJ1474"/>
      <c r="BR1474"/>
      <c r="BS1474"/>
      <c r="BT1474"/>
      <c r="BU1474"/>
      <c r="BX1474"/>
    </row>
    <row r="1475" spans="2:76" ht="18.75">
      <c r="B1475" s="252" t="s">
        <v>1261</v>
      </c>
      <c r="C1475" s="251">
        <v>44026806000124</v>
      </c>
      <c r="D1475" s="252" t="s">
        <v>13</v>
      </c>
      <c r="E1475" s="252" t="s">
        <v>616</v>
      </c>
      <c r="F1475" s="252" t="s">
        <v>701</v>
      </c>
      <c r="G1475" s="253" t="s">
        <v>1417</v>
      </c>
      <c r="H1475" s="253" t="s">
        <v>34</v>
      </c>
      <c r="I1475" s="253" t="s">
        <v>34</v>
      </c>
      <c r="J1475" s="253" t="s">
        <v>611</v>
      </c>
      <c r="K1475" s="253" t="s">
        <v>49</v>
      </c>
      <c r="L1475" s="655"/>
      <c r="M1475" s="655" t="s">
        <v>1414</v>
      </c>
      <c r="N1475" s="253" t="s">
        <v>4136</v>
      </c>
      <c r="O1475" s="253" t="s">
        <v>1321</v>
      </c>
      <c r="P1475" s="656">
        <v>44530</v>
      </c>
      <c r="Q1475" s="657"/>
      <c r="R1475" s="657"/>
      <c r="S1475" s="253">
        <v>7</v>
      </c>
      <c r="T1475" s="658"/>
      <c r="U1475" s="659"/>
      <c r="V1475" s="658"/>
      <c r="W1475" s="659"/>
      <c r="X1475" s="658"/>
      <c r="Y1475" s="659"/>
      <c r="Z1475" s="658"/>
      <c r="AA1475" s="659"/>
      <c r="AB1475" s="658"/>
      <c r="AC1475" s="660"/>
      <c r="AD1475" s="682">
        <v>0</v>
      </c>
      <c r="AE1475" s="944" t="s">
        <v>1997</v>
      </c>
      <c r="AF1475" s="661" t="s">
        <v>1745</v>
      </c>
      <c r="AG1475" s="662" t="s">
        <v>1432</v>
      </c>
      <c r="AH1475" s="662" t="s">
        <v>1734</v>
      </c>
      <c r="AI1475" s="662">
        <v>1000</v>
      </c>
      <c r="AJ1475" s="662">
        <v>100</v>
      </c>
      <c r="AK1475" s="662">
        <v>100</v>
      </c>
      <c r="AL1475" s="658">
        <v>3.4000000000000002E-3</v>
      </c>
      <c r="AM1475" s="658">
        <v>0</v>
      </c>
      <c r="AN1475" s="659" t="s">
        <v>2127</v>
      </c>
      <c r="AO1475" s="253" t="s">
        <v>34</v>
      </c>
      <c r="AP1475" s="944" t="s">
        <v>1746</v>
      </c>
      <c r="AQ1475" s="663" t="s">
        <v>671</v>
      </c>
      <c r="AR1475" s="658">
        <v>1.1332200000000001E-3</v>
      </c>
      <c r="AS1475" s="658">
        <v>1.1332200000000001E-3</v>
      </c>
      <c r="AT1475" s="658" t="s">
        <v>1417</v>
      </c>
      <c r="AU1475" s="658" t="s">
        <v>2751</v>
      </c>
      <c r="AX1475"/>
      <c r="AY1475"/>
      <c r="BA1475"/>
      <c r="BB1475"/>
      <c r="BC1475"/>
      <c r="BD1475"/>
      <c r="BE1475"/>
      <c r="BF1475"/>
      <c r="BG1475"/>
      <c r="BH1475"/>
      <c r="BI1475"/>
      <c r="BJ1475"/>
      <c r="BR1475"/>
      <c r="BS1475"/>
      <c r="BT1475"/>
      <c r="BU1475"/>
      <c r="BX1475"/>
    </row>
    <row r="1476" spans="2:76" ht="18.75">
      <c r="B1476" s="252" t="s">
        <v>504</v>
      </c>
      <c r="C1476" s="251">
        <v>41033759000158</v>
      </c>
      <c r="D1476" s="252" t="s">
        <v>13</v>
      </c>
      <c r="E1476" s="252" t="s">
        <v>616</v>
      </c>
      <c r="F1476" s="252" t="s">
        <v>701</v>
      </c>
      <c r="G1476" s="253" t="s">
        <v>1417</v>
      </c>
      <c r="H1476" s="253" t="s">
        <v>34</v>
      </c>
      <c r="I1476" s="253" t="s">
        <v>34</v>
      </c>
      <c r="J1476" s="253" t="s">
        <v>611</v>
      </c>
      <c r="K1476" s="253" t="s">
        <v>49</v>
      </c>
      <c r="L1476" s="655"/>
      <c r="M1476" s="655" t="s">
        <v>1414</v>
      </c>
      <c r="N1476" s="253" t="s">
        <v>4137</v>
      </c>
      <c r="O1476" s="253" t="s">
        <v>1321</v>
      </c>
      <c r="P1476" s="656">
        <v>44286</v>
      </c>
      <c r="Q1476" s="657">
        <v>0</v>
      </c>
      <c r="R1476" s="657">
        <v>0</v>
      </c>
      <c r="S1476" s="253">
        <v>13</v>
      </c>
      <c r="T1476" s="658"/>
      <c r="U1476" s="659"/>
      <c r="V1476" s="658"/>
      <c r="W1476" s="659"/>
      <c r="X1476" s="658"/>
      <c r="Y1476" s="659"/>
      <c r="Z1476" s="658"/>
      <c r="AA1476" s="659"/>
      <c r="AB1476" s="658"/>
      <c r="AC1476" s="660"/>
      <c r="AD1476" s="682">
        <v>41395280000161</v>
      </c>
      <c r="AE1476" s="944" t="s">
        <v>1997</v>
      </c>
      <c r="AF1476" s="661" t="s">
        <v>1745</v>
      </c>
      <c r="AG1476" s="662" t="s">
        <v>1432</v>
      </c>
      <c r="AH1476" s="662" t="s">
        <v>1730</v>
      </c>
      <c r="AI1476" s="662">
        <v>0</v>
      </c>
      <c r="AJ1476" s="662">
        <v>0</v>
      </c>
      <c r="AK1476" s="662">
        <v>0</v>
      </c>
      <c r="AL1476" s="658">
        <v>5.0000000000000001E-4</v>
      </c>
      <c r="AM1476" s="658">
        <v>0</v>
      </c>
      <c r="AN1476" s="659" t="s">
        <v>34</v>
      </c>
      <c r="AO1476" s="253" t="s">
        <v>34</v>
      </c>
      <c r="AP1476" s="944" t="s">
        <v>1746</v>
      </c>
      <c r="AQ1476" s="663" t="s">
        <v>679</v>
      </c>
      <c r="AR1476" s="658">
        <v>1.6665000000000001E-4</v>
      </c>
      <c r="AS1476" s="658">
        <v>1.6665000000000001E-4</v>
      </c>
      <c r="AT1476" s="658" t="s">
        <v>1417</v>
      </c>
      <c r="AU1476" s="658" t="s">
        <v>2751</v>
      </c>
      <c r="AX1476"/>
      <c r="AY1476"/>
      <c r="BA1476"/>
      <c r="BB1476"/>
      <c r="BC1476"/>
      <c r="BD1476"/>
      <c r="BE1476"/>
      <c r="BF1476"/>
      <c r="BG1476"/>
      <c r="BH1476"/>
      <c r="BI1476"/>
      <c r="BJ1476"/>
      <c r="BR1476"/>
      <c r="BS1476"/>
      <c r="BT1476"/>
      <c r="BU1476"/>
      <c r="BX1476"/>
    </row>
    <row r="1477" spans="2:76" ht="18.75">
      <c r="B1477" s="252" t="s">
        <v>505</v>
      </c>
      <c r="C1477" s="251">
        <v>36380409000128</v>
      </c>
      <c r="D1477" s="252" t="s">
        <v>13</v>
      </c>
      <c r="E1477" s="252" t="s">
        <v>616</v>
      </c>
      <c r="F1477" s="252" t="s">
        <v>701</v>
      </c>
      <c r="G1477" s="253" t="s">
        <v>1417</v>
      </c>
      <c r="H1477" s="253" t="s">
        <v>34</v>
      </c>
      <c r="I1477" s="253" t="s">
        <v>34</v>
      </c>
      <c r="J1477" s="253" t="s">
        <v>611</v>
      </c>
      <c r="K1477" s="253" t="s">
        <v>49</v>
      </c>
      <c r="L1477" s="655"/>
      <c r="M1477" s="655" t="s">
        <v>1414</v>
      </c>
      <c r="N1477" s="253" t="s">
        <v>4138</v>
      </c>
      <c r="O1477" s="253" t="s">
        <v>1321</v>
      </c>
      <c r="P1477" s="656">
        <v>43889</v>
      </c>
      <c r="Q1477" s="657">
        <v>0</v>
      </c>
      <c r="R1477" s="657">
        <v>0</v>
      </c>
      <c r="S1477" s="253">
        <v>7</v>
      </c>
      <c r="T1477" s="658"/>
      <c r="U1477" s="659"/>
      <c r="V1477" s="658"/>
      <c r="W1477" s="659"/>
      <c r="X1477" s="658"/>
      <c r="Y1477" s="659"/>
      <c r="Z1477" s="658"/>
      <c r="AA1477" s="659"/>
      <c r="AB1477" s="658"/>
      <c r="AC1477" s="660"/>
      <c r="AD1477" s="682">
        <v>0</v>
      </c>
      <c r="AE1477" s="944" t="s">
        <v>1997</v>
      </c>
      <c r="AF1477" s="661" t="s">
        <v>1745</v>
      </c>
      <c r="AG1477" s="662" t="s">
        <v>1432</v>
      </c>
      <c r="AH1477" s="662" t="s">
        <v>1734</v>
      </c>
      <c r="AI1477" s="662">
        <v>0</v>
      </c>
      <c r="AJ1477" s="662">
        <v>0</v>
      </c>
      <c r="AK1477" s="662">
        <v>0</v>
      </c>
      <c r="AL1477" s="658">
        <v>5.0000000000000001E-4</v>
      </c>
      <c r="AM1477" s="658">
        <v>0</v>
      </c>
      <c r="AN1477" s="659" t="s">
        <v>34</v>
      </c>
      <c r="AO1477" s="253" t="s">
        <v>34</v>
      </c>
      <c r="AP1477" s="944" t="s">
        <v>1746</v>
      </c>
      <c r="AQ1477" s="663" t="s">
        <v>668</v>
      </c>
      <c r="AR1477" s="658">
        <v>1.6665000000000001E-4</v>
      </c>
      <c r="AS1477" s="658">
        <v>1.6665000000000001E-4</v>
      </c>
      <c r="AT1477" s="658" t="s">
        <v>1417</v>
      </c>
      <c r="AU1477" s="658" t="s">
        <v>2751</v>
      </c>
      <c r="AX1477"/>
      <c r="AY1477"/>
      <c r="BA1477"/>
      <c r="BB1477"/>
      <c r="BC1477"/>
      <c r="BD1477"/>
      <c r="BE1477"/>
      <c r="BF1477"/>
      <c r="BG1477"/>
      <c r="BH1477"/>
      <c r="BI1477"/>
      <c r="BJ1477"/>
      <c r="BR1477"/>
      <c r="BS1477"/>
      <c r="BT1477"/>
      <c r="BU1477"/>
      <c r="BX1477"/>
    </row>
    <row r="1478" spans="2:76" ht="18.75">
      <c r="B1478" s="252" t="s">
        <v>604</v>
      </c>
      <c r="C1478" s="251">
        <v>43508005000132</v>
      </c>
      <c r="D1478" s="252" t="s">
        <v>13</v>
      </c>
      <c r="E1478" s="252" t="s">
        <v>616</v>
      </c>
      <c r="F1478" s="252" t="s">
        <v>701</v>
      </c>
      <c r="G1478" s="253" t="s">
        <v>1417</v>
      </c>
      <c r="H1478" s="253" t="s">
        <v>34</v>
      </c>
      <c r="I1478" s="253" t="s">
        <v>34</v>
      </c>
      <c r="J1478" s="253" t="s">
        <v>611</v>
      </c>
      <c r="K1478" s="253" t="s">
        <v>49</v>
      </c>
      <c r="L1478" s="655"/>
      <c r="M1478" s="655" t="s">
        <v>34</v>
      </c>
      <c r="N1478" s="253" t="s">
        <v>4139</v>
      </c>
      <c r="O1478" s="253" t="s">
        <v>1321</v>
      </c>
      <c r="P1478" s="656">
        <v>44471</v>
      </c>
      <c r="Q1478" s="657">
        <v>8.92</v>
      </c>
      <c r="R1478" s="657">
        <v>11.664799999999998</v>
      </c>
      <c r="S1478" s="253">
        <v>13</v>
      </c>
      <c r="T1478" s="658">
        <v>0.46153846153846145</v>
      </c>
      <c r="U1478" s="659">
        <v>23.078792489544025</v>
      </c>
      <c r="V1478" s="658">
        <v>-0.6415094339622649</v>
      </c>
      <c r="W1478" s="659">
        <v>-4.975104576203333</v>
      </c>
      <c r="X1478" s="658"/>
      <c r="Y1478" s="659"/>
      <c r="Z1478" s="658"/>
      <c r="AA1478" s="659"/>
      <c r="AB1478" s="658">
        <v>0.77749546991423846</v>
      </c>
      <c r="AC1478" s="660">
        <v>-0.99094254979265406</v>
      </c>
      <c r="AD1478" s="682">
        <v>41395280000161</v>
      </c>
      <c r="AE1478" s="944" t="s">
        <v>1997</v>
      </c>
      <c r="AF1478" s="661" t="s">
        <v>1745</v>
      </c>
      <c r="AG1478" s="662" t="s">
        <v>1432</v>
      </c>
      <c r="AH1478" s="662" t="s">
        <v>1730</v>
      </c>
      <c r="AI1478" s="662">
        <v>0</v>
      </c>
      <c r="AJ1478" s="662">
        <v>0</v>
      </c>
      <c r="AK1478" s="662">
        <v>0</v>
      </c>
      <c r="AL1478" s="658">
        <v>0</v>
      </c>
      <c r="AM1478" s="658">
        <v>0</v>
      </c>
      <c r="AN1478" s="659" t="s">
        <v>2127</v>
      </c>
      <c r="AO1478" s="253" t="s">
        <v>34</v>
      </c>
      <c r="AP1478" s="944" t="s">
        <v>1746</v>
      </c>
      <c r="AQ1478" s="663" t="s">
        <v>679</v>
      </c>
      <c r="AR1478" s="658">
        <v>4.6661999999999997E-3</v>
      </c>
      <c r="AS1478" s="658">
        <v>4.6661999999999997E-3</v>
      </c>
      <c r="AT1478" s="658" t="s">
        <v>1417</v>
      </c>
      <c r="AU1478" s="658" t="s">
        <v>2751</v>
      </c>
      <c r="AX1478"/>
      <c r="AY1478"/>
      <c r="BA1478"/>
      <c r="BB1478"/>
      <c r="BC1478"/>
      <c r="BD1478"/>
      <c r="BE1478"/>
      <c r="BF1478"/>
      <c r="BG1478"/>
      <c r="BH1478"/>
      <c r="BI1478"/>
      <c r="BJ1478"/>
      <c r="BR1478"/>
      <c r="BS1478"/>
      <c r="BT1478"/>
      <c r="BU1478"/>
      <c r="BX1478"/>
    </row>
    <row r="1479" spans="2:76" ht="18.75">
      <c r="B1479" s="252" t="s">
        <v>1262</v>
      </c>
      <c r="C1479" s="251">
        <v>43984912000158</v>
      </c>
      <c r="D1479" s="252" t="s">
        <v>13</v>
      </c>
      <c r="E1479" s="252" t="s">
        <v>616</v>
      </c>
      <c r="F1479" s="252" t="s">
        <v>701</v>
      </c>
      <c r="G1479" s="253" t="s">
        <v>1417</v>
      </c>
      <c r="H1479" s="253" t="s">
        <v>34</v>
      </c>
      <c r="I1479" s="253" t="s">
        <v>34</v>
      </c>
      <c r="J1479" s="253" t="s">
        <v>611</v>
      </c>
      <c r="K1479" s="253" t="s">
        <v>49</v>
      </c>
      <c r="L1479" s="655"/>
      <c r="M1479" s="655" t="s">
        <v>34</v>
      </c>
      <c r="N1479" s="253" t="s">
        <v>4140</v>
      </c>
      <c r="O1479" s="253" t="s">
        <v>1321</v>
      </c>
      <c r="P1479" s="656">
        <v>44530</v>
      </c>
      <c r="Q1479" s="657"/>
      <c r="R1479" s="657"/>
      <c r="S1479" s="253">
        <v>13</v>
      </c>
      <c r="T1479" s="658"/>
      <c r="U1479" s="659"/>
      <c r="V1479" s="658"/>
      <c r="W1479" s="659"/>
      <c r="X1479" s="658"/>
      <c r="Y1479" s="659"/>
      <c r="Z1479" s="658"/>
      <c r="AA1479" s="659"/>
      <c r="AB1479" s="658"/>
      <c r="AC1479" s="660"/>
      <c r="AD1479" s="682">
        <v>41395280000161</v>
      </c>
      <c r="AE1479" s="944" t="s">
        <v>1997</v>
      </c>
      <c r="AF1479" s="661" t="s">
        <v>1745</v>
      </c>
      <c r="AG1479" s="662" t="s">
        <v>1432</v>
      </c>
      <c r="AH1479" s="662" t="s">
        <v>1730</v>
      </c>
      <c r="AI1479" s="662">
        <v>5000</v>
      </c>
      <c r="AJ1479" s="662">
        <v>100</v>
      </c>
      <c r="AK1479" s="662">
        <v>100</v>
      </c>
      <c r="AL1479" s="658">
        <v>1.3999999999999999E-2</v>
      </c>
      <c r="AM1479" s="658">
        <v>0.2</v>
      </c>
      <c r="AN1479" s="659" t="s">
        <v>2127</v>
      </c>
      <c r="AO1479" s="253" t="s">
        <v>34</v>
      </c>
      <c r="AP1479" s="944" t="s">
        <v>1746</v>
      </c>
      <c r="AQ1479" s="663" t="s">
        <v>679</v>
      </c>
      <c r="AR1479" s="658">
        <v>4.6661999999999997E-3</v>
      </c>
      <c r="AS1479" s="658">
        <v>4.6661999999999997E-3</v>
      </c>
      <c r="AT1479" s="658" t="s">
        <v>1417</v>
      </c>
      <c r="AU1479" s="658" t="s">
        <v>2751</v>
      </c>
      <c r="AX1479"/>
      <c r="AY1479"/>
      <c r="BA1479"/>
      <c r="BB1479"/>
      <c r="BC1479"/>
      <c r="BD1479"/>
      <c r="BE1479"/>
      <c r="BF1479"/>
      <c r="BG1479"/>
      <c r="BH1479"/>
      <c r="BI1479"/>
      <c r="BJ1479"/>
      <c r="BR1479"/>
      <c r="BS1479"/>
      <c r="BT1479"/>
      <c r="BU1479"/>
      <c r="BX1479"/>
    </row>
    <row r="1480" spans="2:76" ht="18.75">
      <c r="B1480" s="252" t="s">
        <v>506</v>
      </c>
      <c r="C1480" s="251">
        <v>43507873000106</v>
      </c>
      <c r="D1480" s="252" t="s">
        <v>13</v>
      </c>
      <c r="E1480" s="252" t="s">
        <v>616</v>
      </c>
      <c r="F1480" s="252" t="s">
        <v>701</v>
      </c>
      <c r="G1480" s="253" t="s">
        <v>1417</v>
      </c>
      <c r="H1480" s="253" t="s">
        <v>34</v>
      </c>
      <c r="I1480" s="253" t="s">
        <v>34</v>
      </c>
      <c r="J1480" s="253" t="s">
        <v>611</v>
      </c>
      <c r="K1480" s="253" t="s">
        <v>49</v>
      </c>
      <c r="L1480" s="655"/>
      <c r="M1480" s="655" t="s">
        <v>1414</v>
      </c>
      <c r="N1480" s="253" t="s">
        <v>4141</v>
      </c>
      <c r="O1480" s="253" t="s">
        <v>1321</v>
      </c>
      <c r="P1480" s="656">
        <v>44494</v>
      </c>
      <c r="Q1480" s="657"/>
      <c r="R1480" s="657"/>
      <c r="S1480" s="253">
        <v>13</v>
      </c>
      <c r="T1480" s="658"/>
      <c r="U1480" s="659"/>
      <c r="V1480" s="658"/>
      <c r="W1480" s="659"/>
      <c r="X1480" s="658"/>
      <c r="Y1480" s="659"/>
      <c r="Z1480" s="658"/>
      <c r="AA1480" s="659"/>
      <c r="AB1480" s="658"/>
      <c r="AC1480" s="660"/>
      <c r="AD1480" s="682">
        <v>35435027000191</v>
      </c>
      <c r="AE1480" s="944" t="s">
        <v>1997</v>
      </c>
      <c r="AF1480" s="661" t="s">
        <v>1745</v>
      </c>
      <c r="AG1480" s="662" t="s">
        <v>1432</v>
      </c>
      <c r="AH1480" s="662" t="s">
        <v>1730</v>
      </c>
      <c r="AI1480" s="662">
        <v>500</v>
      </c>
      <c r="AJ1480" s="662">
        <v>500</v>
      </c>
      <c r="AK1480" s="662">
        <v>500</v>
      </c>
      <c r="AL1480" s="658">
        <v>5.0000000000000001E-4</v>
      </c>
      <c r="AM1480" s="658">
        <v>0</v>
      </c>
      <c r="AN1480" s="659" t="s">
        <v>2127</v>
      </c>
      <c r="AO1480" s="253" t="s">
        <v>34</v>
      </c>
      <c r="AP1480" s="944" t="s">
        <v>1746</v>
      </c>
      <c r="AQ1480" s="663" t="s">
        <v>679</v>
      </c>
      <c r="AR1480" s="658">
        <v>1.6665000000000001E-4</v>
      </c>
      <c r="AS1480" s="658">
        <v>1.6665000000000001E-4</v>
      </c>
      <c r="AT1480" s="658" t="s">
        <v>1417</v>
      </c>
      <c r="AU1480" s="658" t="s">
        <v>2751</v>
      </c>
      <c r="AX1480"/>
      <c r="AY1480"/>
      <c r="BA1480"/>
      <c r="BB1480"/>
      <c r="BC1480"/>
      <c r="BD1480"/>
      <c r="BE1480"/>
      <c r="BF1480"/>
      <c r="BG1480"/>
      <c r="BH1480"/>
      <c r="BI1480"/>
      <c r="BJ1480"/>
      <c r="BR1480"/>
      <c r="BS1480"/>
      <c r="BT1480"/>
      <c r="BU1480"/>
      <c r="BX1480"/>
    </row>
    <row r="1481" spans="2:76" ht="18.75">
      <c r="B1481" s="252" t="s">
        <v>507</v>
      </c>
      <c r="C1481" s="251">
        <v>43095852000112</v>
      </c>
      <c r="D1481" s="252" t="s">
        <v>14</v>
      </c>
      <c r="E1481" s="252" t="s">
        <v>607</v>
      </c>
      <c r="F1481" s="252" t="s">
        <v>1417</v>
      </c>
      <c r="G1481" s="253" t="s">
        <v>1417</v>
      </c>
      <c r="H1481" s="253" t="s">
        <v>34</v>
      </c>
      <c r="I1481" s="253" t="s">
        <v>34</v>
      </c>
      <c r="J1481" s="253" t="s">
        <v>611</v>
      </c>
      <c r="K1481" s="253" t="s">
        <v>48</v>
      </c>
      <c r="L1481" s="655"/>
      <c r="M1481" s="655" t="s">
        <v>1414</v>
      </c>
      <c r="N1481" s="253" t="s">
        <v>4142</v>
      </c>
      <c r="O1481" s="253" t="s">
        <v>1321</v>
      </c>
      <c r="P1481" s="656">
        <v>44426</v>
      </c>
      <c r="Q1481" s="657">
        <v>0</v>
      </c>
      <c r="R1481" s="657">
        <v>0</v>
      </c>
      <c r="S1481" s="253">
        <v>7</v>
      </c>
      <c r="T1481" s="658"/>
      <c r="U1481" s="659"/>
      <c r="V1481" s="658"/>
      <c r="W1481" s="659"/>
      <c r="X1481" s="658"/>
      <c r="Y1481" s="659"/>
      <c r="Z1481" s="658"/>
      <c r="AA1481" s="659"/>
      <c r="AB1481" s="658"/>
      <c r="AC1481" s="660"/>
      <c r="AD1481" s="682">
        <v>0</v>
      </c>
      <c r="AE1481" s="944" t="s">
        <v>1997</v>
      </c>
      <c r="AF1481" s="661" t="s">
        <v>1745</v>
      </c>
      <c r="AG1481" s="662" t="s">
        <v>1432</v>
      </c>
      <c r="AH1481" s="662" t="s">
        <v>1801</v>
      </c>
      <c r="AI1481" s="662">
        <v>0</v>
      </c>
      <c r="AJ1481" s="662">
        <v>0</v>
      </c>
      <c r="AK1481" s="662">
        <v>0</v>
      </c>
      <c r="AL1481" s="658">
        <v>0</v>
      </c>
      <c r="AM1481" s="658">
        <v>0</v>
      </c>
      <c r="AN1481" s="659" t="s">
        <v>34</v>
      </c>
      <c r="AO1481" s="253" t="s">
        <v>34</v>
      </c>
      <c r="AP1481" s="944" t="s">
        <v>1731</v>
      </c>
      <c r="AQ1481" s="663" t="s">
        <v>694</v>
      </c>
      <c r="AR1481" s="658">
        <v>2.9997000000000001E-3</v>
      </c>
      <c r="AS1481" s="658">
        <v>2.9997000000000001E-3</v>
      </c>
      <c r="AT1481" s="658" t="s">
        <v>1417</v>
      </c>
      <c r="AU1481" s="658" t="s">
        <v>2751</v>
      </c>
      <c r="AX1481"/>
      <c r="AY1481"/>
      <c r="BA1481"/>
      <c r="BB1481"/>
      <c r="BC1481"/>
      <c r="BD1481"/>
      <c r="BE1481"/>
      <c r="BF1481"/>
      <c r="BG1481"/>
      <c r="BH1481"/>
      <c r="BI1481"/>
      <c r="BJ1481"/>
      <c r="BR1481"/>
      <c r="BS1481"/>
      <c r="BT1481"/>
      <c r="BU1481"/>
      <c r="BX1481"/>
    </row>
    <row r="1482" spans="2:76" ht="18.75">
      <c r="B1482" s="252" t="s">
        <v>508</v>
      </c>
      <c r="C1482" s="251">
        <v>42081209000177</v>
      </c>
      <c r="D1482" s="252" t="s">
        <v>14</v>
      </c>
      <c r="E1482" s="252" t="s">
        <v>607</v>
      </c>
      <c r="F1482" s="252" t="s">
        <v>860</v>
      </c>
      <c r="G1482" s="253" t="s">
        <v>1417</v>
      </c>
      <c r="H1482" s="253" t="s">
        <v>34</v>
      </c>
      <c r="I1482" s="253" t="s">
        <v>34</v>
      </c>
      <c r="J1482" s="253" t="s">
        <v>611</v>
      </c>
      <c r="K1482" s="253" t="s">
        <v>48</v>
      </c>
      <c r="L1482" s="655"/>
      <c r="M1482" s="655" t="s">
        <v>1414</v>
      </c>
      <c r="N1482" s="253" t="s">
        <v>4143</v>
      </c>
      <c r="O1482" s="253" t="s">
        <v>1321</v>
      </c>
      <c r="P1482" s="656">
        <v>44370</v>
      </c>
      <c r="Q1482" s="657">
        <v>12.60028056</v>
      </c>
      <c r="R1482" s="657">
        <v>16.140293415282255</v>
      </c>
      <c r="S1482" s="253">
        <v>11</v>
      </c>
      <c r="T1482" s="658">
        <v>-1.6691798491952237E-2</v>
      </c>
      <c r="U1482" s="659">
        <v>-0.83465753295827427</v>
      </c>
      <c r="V1482" s="658">
        <v>-8.5544541266369123E-4</v>
      </c>
      <c r="W1482" s="659">
        <v>-6.6342444271608684E-3</v>
      </c>
      <c r="X1482" s="658"/>
      <c r="Y1482" s="659"/>
      <c r="Z1482" s="658"/>
      <c r="AA1482" s="659"/>
      <c r="AB1482" s="658">
        <v>0.19315759442580777</v>
      </c>
      <c r="AC1482" s="660">
        <v>-0.67198680562005164</v>
      </c>
      <c r="AD1482" s="682">
        <v>0</v>
      </c>
      <c r="AE1482" s="944" t="s">
        <v>1997</v>
      </c>
      <c r="AF1482" s="661" t="s">
        <v>1745</v>
      </c>
      <c r="AG1482" s="662" t="s">
        <v>1432</v>
      </c>
      <c r="AH1482" s="662" t="s">
        <v>1734</v>
      </c>
      <c r="AI1482" s="662">
        <v>0</v>
      </c>
      <c r="AJ1482" s="662">
        <v>0</v>
      </c>
      <c r="AK1482" s="662">
        <v>0</v>
      </c>
      <c r="AL1482" s="658">
        <v>5.0000000000000001E-4</v>
      </c>
      <c r="AM1482" s="658">
        <v>0</v>
      </c>
      <c r="AN1482" s="659" t="s">
        <v>34</v>
      </c>
      <c r="AO1482" s="253" t="s">
        <v>34</v>
      </c>
      <c r="AP1482" s="944" t="s">
        <v>1746</v>
      </c>
      <c r="AQ1482" s="663" t="s">
        <v>668</v>
      </c>
      <c r="AR1482" s="658">
        <v>1.6665000000000001E-4</v>
      </c>
      <c r="AS1482" s="658">
        <v>1.6665000000000001E-4</v>
      </c>
      <c r="AT1482" s="658" t="s">
        <v>1417</v>
      </c>
      <c r="AU1482" s="658" t="s">
        <v>2751</v>
      </c>
      <c r="AX1482"/>
      <c r="AY1482"/>
      <c r="BA1482"/>
      <c r="BB1482"/>
      <c r="BC1482"/>
      <c r="BD1482"/>
      <c r="BE1482"/>
      <c r="BF1482"/>
      <c r="BG1482"/>
      <c r="BH1482"/>
      <c r="BI1482"/>
      <c r="BJ1482"/>
      <c r="BR1482"/>
      <c r="BS1482"/>
      <c r="BT1482"/>
      <c r="BU1482"/>
      <c r="BX1482"/>
    </row>
    <row r="1483" spans="2:76" ht="18.75">
      <c r="B1483" s="252" t="s">
        <v>1263</v>
      </c>
      <c r="C1483" s="251">
        <v>35820605000103</v>
      </c>
      <c r="D1483" s="252" t="s">
        <v>13</v>
      </c>
      <c r="E1483" s="252" t="s">
        <v>615</v>
      </c>
      <c r="F1483" s="252" t="s">
        <v>619</v>
      </c>
      <c r="G1483" s="253" t="s">
        <v>34</v>
      </c>
      <c r="H1483" s="253" t="s">
        <v>865</v>
      </c>
      <c r="I1483" s="253" t="s">
        <v>34</v>
      </c>
      <c r="J1483" s="253" t="s">
        <v>1417</v>
      </c>
      <c r="K1483" s="253" t="s">
        <v>48</v>
      </c>
      <c r="L1483" s="655"/>
      <c r="M1483" s="655" t="s">
        <v>1414</v>
      </c>
      <c r="N1483" s="253" t="s">
        <v>4144</v>
      </c>
      <c r="O1483" s="253" t="s">
        <v>1321</v>
      </c>
      <c r="P1483" s="656">
        <v>43943</v>
      </c>
      <c r="Q1483" s="657">
        <v>0</v>
      </c>
      <c r="R1483" s="657">
        <v>0</v>
      </c>
      <c r="S1483" s="253">
        <v>61</v>
      </c>
      <c r="T1483" s="658"/>
      <c r="U1483" s="659"/>
      <c r="V1483" s="658"/>
      <c r="W1483" s="659"/>
      <c r="X1483" s="658"/>
      <c r="Y1483" s="659"/>
      <c r="Z1483" s="658"/>
      <c r="AA1483" s="659"/>
      <c r="AB1483" s="658"/>
      <c r="AC1483" s="660"/>
      <c r="AD1483" s="682">
        <v>0</v>
      </c>
      <c r="AE1483" s="944" t="s">
        <v>1997</v>
      </c>
      <c r="AF1483" s="661" t="s">
        <v>1783</v>
      </c>
      <c r="AG1483" s="662" t="s">
        <v>736</v>
      </c>
      <c r="AH1483" s="662" t="s">
        <v>1734</v>
      </c>
      <c r="AI1483" s="662">
        <v>1000</v>
      </c>
      <c r="AJ1483" s="662">
        <v>100</v>
      </c>
      <c r="AK1483" s="662">
        <v>100</v>
      </c>
      <c r="AL1483" s="658">
        <v>0</v>
      </c>
      <c r="AM1483" s="658">
        <v>0</v>
      </c>
      <c r="AN1483" s="659" t="s">
        <v>64</v>
      </c>
      <c r="AO1483" s="253" t="s">
        <v>34</v>
      </c>
      <c r="AP1483" s="944" t="s">
        <v>1746</v>
      </c>
      <c r="AQ1483" s="663" t="s">
        <v>668</v>
      </c>
      <c r="AR1483" s="658">
        <v>0</v>
      </c>
      <c r="AS1483" s="658">
        <v>0</v>
      </c>
      <c r="AT1483" s="658" t="s">
        <v>1417</v>
      </c>
      <c r="AU1483" s="658" t="s">
        <v>2751</v>
      </c>
      <c r="AX1483"/>
      <c r="AY1483"/>
      <c r="BA1483"/>
      <c r="BB1483"/>
      <c r="BC1483"/>
      <c r="BD1483"/>
      <c r="BE1483"/>
      <c r="BF1483"/>
      <c r="BG1483"/>
      <c r="BH1483"/>
      <c r="BI1483"/>
      <c r="BJ1483"/>
      <c r="BR1483"/>
      <c r="BS1483"/>
      <c r="BT1483"/>
      <c r="BU1483"/>
      <c r="BX1483"/>
    </row>
    <row r="1484" spans="2:76" ht="18.75">
      <c r="B1484" s="252" t="s">
        <v>545</v>
      </c>
      <c r="C1484" s="251">
        <v>30509286000104</v>
      </c>
      <c r="D1484" s="252" t="s">
        <v>13</v>
      </c>
      <c r="E1484" s="252" t="s">
        <v>615</v>
      </c>
      <c r="F1484" s="252" t="s">
        <v>619</v>
      </c>
      <c r="G1484" s="253" t="s">
        <v>34</v>
      </c>
      <c r="H1484" s="253" t="s">
        <v>865</v>
      </c>
      <c r="I1484" s="253" t="s">
        <v>34</v>
      </c>
      <c r="J1484" s="253" t="s">
        <v>1417</v>
      </c>
      <c r="K1484" s="253" t="s">
        <v>48</v>
      </c>
      <c r="L1484" s="655"/>
      <c r="M1484" s="655" t="s">
        <v>1414</v>
      </c>
      <c r="N1484" s="253" t="s">
        <v>4145</v>
      </c>
      <c r="O1484" s="253" t="s">
        <v>1321</v>
      </c>
      <c r="P1484" s="656">
        <v>43563</v>
      </c>
      <c r="Q1484" s="657">
        <v>0</v>
      </c>
      <c r="R1484" s="657">
        <v>0</v>
      </c>
      <c r="S1484" s="253">
        <v>61</v>
      </c>
      <c r="T1484" s="658"/>
      <c r="U1484" s="659"/>
      <c r="V1484" s="658"/>
      <c r="W1484" s="659"/>
      <c r="X1484" s="658"/>
      <c r="Y1484" s="659"/>
      <c r="Z1484" s="658"/>
      <c r="AA1484" s="659"/>
      <c r="AB1484" s="658"/>
      <c r="AC1484" s="660"/>
      <c r="AD1484" s="682">
        <v>0</v>
      </c>
      <c r="AE1484" s="944" t="s">
        <v>1997</v>
      </c>
      <c r="AF1484" s="661" t="s">
        <v>1783</v>
      </c>
      <c r="AG1484" s="662" t="s">
        <v>736</v>
      </c>
      <c r="AH1484" s="662" t="s">
        <v>1734</v>
      </c>
      <c r="AI1484" s="662">
        <v>1000</v>
      </c>
      <c r="AJ1484" s="662">
        <v>100</v>
      </c>
      <c r="AK1484" s="662">
        <v>100</v>
      </c>
      <c r="AL1484" s="658">
        <v>7.4999999999999997E-3</v>
      </c>
      <c r="AM1484" s="658">
        <v>0.1</v>
      </c>
      <c r="AN1484" s="659" t="s">
        <v>64</v>
      </c>
      <c r="AO1484" s="253" t="s">
        <v>34</v>
      </c>
      <c r="AP1484" s="944" t="s">
        <v>1746</v>
      </c>
      <c r="AQ1484" s="663" t="s">
        <v>668</v>
      </c>
      <c r="AR1484" s="658">
        <v>2.4997499999999998E-3</v>
      </c>
      <c r="AS1484" s="658">
        <v>2.4997499999999998E-3</v>
      </c>
      <c r="AT1484" s="658" t="s">
        <v>1417</v>
      </c>
      <c r="AU1484" s="658" t="s">
        <v>2751</v>
      </c>
      <c r="AX1484"/>
      <c r="AY1484"/>
      <c r="BA1484"/>
      <c r="BB1484"/>
      <c r="BC1484"/>
      <c r="BD1484"/>
      <c r="BE1484"/>
      <c r="BF1484"/>
      <c r="BG1484"/>
      <c r="BH1484"/>
      <c r="BI1484"/>
      <c r="BJ1484"/>
      <c r="BR1484"/>
      <c r="BS1484"/>
      <c r="BT1484"/>
      <c r="BU1484"/>
      <c r="BX1484"/>
    </row>
    <row r="1485" spans="2:76" ht="18.75">
      <c r="B1485" s="252" t="s">
        <v>1264</v>
      </c>
      <c r="C1485" s="251">
        <v>33925183000105</v>
      </c>
      <c r="D1485" s="252" t="s">
        <v>13</v>
      </c>
      <c r="E1485" s="252" t="s">
        <v>616</v>
      </c>
      <c r="F1485" s="252" t="s">
        <v>619</v>
      </c>
      <c r="G1485" s="253" t="s">
        <v>34</v>
      </c>
      <c r="H1485" s="253" t="s">
        <v>1338</v>
      </c>
      <c r="I1485" s="253" t="s">
        <v>34</v>
      </c>
      <c r="J1485" s="253" t="s">
        <v>611</v>
      </c>
      <c r="K1485" s="253" t="s">
        <v>48</v>
      </c>
      <c r="L1485" s="655"/>
      <c r="M1485" s="655" t="s">
        <v>1414</v>
      </c>
      <c r="N1485" s="253" t="s">
        <v>4146</v>
      </c>
      <c r="O1485" s="253" t="s">
        <v>1321</v>
      </c>
      <c r="P1485" s="656">
        <v>43909</v>
      </c>
      <c r="Q1485" s="657">
        <v>0</v>
      </c>
      <c r="R1485" s="657">
        <v>0</v>
      </c>
      <c r="S1485" s="253">
        <v>62</v>
      </c>
      <c r="T1485" s="658"/>
      <c r="U1485" s="659"/>
      <c r="V1485" s="658"/>
      <c r="W1485" s="659"/>
      <c r="X1485" s="658"/>
      <c r="Y1485" s="659"/>
      <c r="Z1485" s="658"/>
      <c r="AA1485" s="659"/>
      <c r="AB1485" s="658"/>
      <c r="AC1485" s="660"/>
      <c r="AD1485" s="682">
        <v>0</v>
      </c>
      <c r="AE1485" s="944" t="s">
        <v>1997</v>
      </c>
      <c r="AF1485" s="661" t="s">
        <v>1783</v>
      </c>
      <c r="AG1485" s="662" t="s">
        <v>736</v>
      </c>
      <c r="AH1485" s="662" t="s">
        <v>1730</v>
      </c>
      <c r="AI1485" s="662">
        <v>1000</v>
      </c>
      <c r="AJ1485" s="662">
        <v>0</v>
      </c>
      <c r="AK1485" s="662">
        <v>0</v>
      </c>
      <c r="AL1485" s="658">
        <v>7.4999999999999997E-3</v>
      </c>
      <c r="AM1485" s="658">
        <v>0.1</v>
      </c>
      <c r="AN1485" s="659" t="s">
        <v>2122</v>
      </c>
      <c r="AO1485" s="253" t="s">
        <v>34</v>
      </c>
      <c r="AP1485" s="944" t="s">
        <v>1746</v>
      </c>
      <c r="AQ1485" s="663" t="s">
        <v>679</v>
      </c>
      <c r="AR1485" s="658">
        <v>2.4997499999999998E-3</v>
      </c>
      <c r="AS1485" s="658">
        <v>2.4997499999999998E-3</v>
      </c>
      <c r="AT1485" s="658" t="s">
        <v>1417</v>
      </c>
      <c r="AU1485" s="658" t="s">
        <v>2751</v>
      </c>
      <c r="AX1485"/>
      <c r="AY1485"/>
      <c r="BA1485"/>
      <c r="BB1485"/>
      <c r="BC1485"/>
      <c r="BD1485"/>
      <c r="BE1485"/>
      <c r="BF1485"/>
      <c r="BG1485"/>
      <c r="BH1485"/>
      <c r="BI1485"/>
      <c r="BJ1485"/>
      <c r="BR1485"/>
      <c r="BS1485"/>
      <c r="BT1485"/>
      <c r="BU1485"/>
      <c r="BX1485"/>
    </row>
    <row r="1486" spans="2:76" ht="18.75">
      <c r="B1486" s="252" t="s">
        <v>1265</v>
      </c>
      <c r="C1486" s="251">
        <v>40190965000109</v>
      </c>
      <c r="D1486" s="252" t="s">
        <v>13</v>
      </c>
      <c r="E1486" s="252" t="s">
        <v>615</v>
      </c>
      <c r="F1486" s="252" t="s">
        <v>619</v>
      </c>
      <c r="G1486" s="253" t="s">
        <v>34</v>
      </c>
      <c r="H1486" s="253" t="s">
        <v>865</v>
      </c>
      <c r="I1486" s="253" t="s">
        <v>34</v>
      </c>
      <c r="J1486" s="253" t="s">
        <v>1417</v>
      </c>
      <c r="K1486" s="253" t="s">
        <v>48</v>
      </c>
      <c r="L1486" s="655"/>
      <c r="M1486" s="655" t="s">
        <v>1414</v>
      </c>
      <c r="N1486" s="253" t="s">
        <v>4147</v>
      </c>
      <c r="O1486" s="253" t="s">
        <v>1321</v>
      </c>
      <c r="P1486" s="656">
        <v>44253</v>
      </c>
      <c r="Q1486" s="657">
        <v>0</v>
      </c>
      <c r="R1486" s="657">
        <v>0</v>
      </c>
      <c r="S1486" s="253">
        <v>62</v>
      </c>
      <c r="T1486" s="658"/>
      <c r="U1486" s="659"/>
      <c r="V1486" s="658"/>
      <c r="W1486" s="659"/>
      <c r="X1486" s="658"/>
      <c r="Y1486" s="659"/>
      <c r="Z1486" s="658"/>
      <c r="AA1486" s="659"/>
      <c r="AB1486" s="658"/>
      <c r="AC1486" s="660"/>
      <c r="AD1486" s="682">
        <v>0</v>
      </c>
      <c r="AE1486" s="944" t="s">
        <v>1997</v>
      </c>
      <c r="AF1486" s="661" t="s">
        <v>1745</v>
      </c>
      <c r="AG1486" s="662" t="s">
        <v>1432</v>
      </c>
      <c r="AH1486" s="662" t="s">
        <v>1734</v>
      </c>
      <c r="AI1486" s="662">
        <v>0</v>
      </c>
      <c r="AJ1486" s="662">
        <v>0</v>
      </c>
      <c r="AK1486" s="662">
        <v>0</v>
      </c>
      <c r="AL1486" s="658">
        <v>7.4999999999999997E-3</v>
      </c>
      <c r="AM1486" s="658">
        <v>0.1</v>
      </c>
      <c r="AN1486" s="659" t="s">
        <v>34</v>
      </c>
      <c r="AO1486" s="253" t="s">
        <v>34</v>
      </c>
      <c r="AP1486" s="944" t="s">
        <v>1746</v>
      </c>
      <c r="AQ1486" s="663" t="s">
        <v>668</v>
      </c>
      <c r="AR1486" s="658">
        <v>2.4997499999999998E-3</v>
      </c>
      <c r="AS1486" s="658">
        <v>2.4997499999999998E-3</v>
      </c>
      <c r="AT1486" s="658" t="s">
        <v>1417</v>
      </c>
      <c r="AU1486" s="658" t="s">
        <v>2751</v>
      </c>
      <c r="AX1486"/>
      <c r="AY1486"/>
      <c r="BA1486"/>
      <c r="BB1486"/>
      <c r="BC1486"/>
      <c r="BD1486"/>
      <c r="BE1486"/>
      <c r="BF1486"/>
      <c r="BG1486"/>
      <c r="BH1486"/>
      <c r="BI1486"/>
      <c r="BJ1486"/>
      <c r="BR1486"/>
      <c r="BS1486"/>
      <c r="BT1486"/>
      <c r="BU1486"/>
      <c r="BX1486"/>
    </row>
    <row r="1487" spans="2:76" ht="18.75">
      <c r="B1487" s="252" t="s">
        <v>1266</v>
      </c>
      <c r="C1487" s="251">
        <v>38173769000184</v>
      </c>
      <c r="D1487" s="252" t="s">
        <v>14</v>
      </c>
      <c r="E1487" s="252" t="s">
        <v>607</v>
      </c>
      <c r="F1487" s="252" t="s">
        <v>1417</v>
      </c>
      <c r="G1487" s="253" t="s">
        <v>1417</v>
      </c>
      <c r="H1487" s="253" t="s">
        <v>34</v>
      </c>
      <c r="I1487" s="253" t="s">
        <v>34</v>
      </c>
      <c r="J1487" s="253" t="s">
        <v>611</v>
      </c>
      <c r="K1487" s="253" t="s">
        <v>1417</v>
      </c>
      <c r="L1487" s="655"/>
      <c r="M1487" s="655" t="s">
        <v>1414</v>
      </c>
      <c r="N1487" s="253" t="s">
        <v>4148</v>
      </c>
      <c r="O1487" s="253" t="s">
        <v>1321</v>
      </c>
      <c r="P1487" s="656">
        <v>44078</v>
      </c>
      <c r="Q1487" s="657">
        <v>7.2640022799999997</v>
      </c>
      <c r="R1487" s="657">
        <v>10.758710103145166</v>
      </c>
      <c r="S1487" s="253">
        <v>12</v>
      </c>
      <c r="T1487" s="658">
        <v>2.2805471477115313E-2</v>
      </c>
      <c r="U1487" s="659">
        <v>1.140365945000879</v>
      </c>
      <c r="V1487" s="658">
        <v>-7.7764958603223411E-2</v>
      </c>
      <c r="W1487" s="659">
        <v>-0.6030913669118656</v>
      </c>
      <c r="X1487" s="658">
        <v>-1.9777379662157424E-2</v>
      </c>
      <c r="Y1487" s="659">
        <v>-0.10242690245022512</v>
      </c>
      <c r="Z1487" s="658"/>
      <c r="AA1487" s="659"/>
      <c r="AB1487" s="658">
        <v>0.22612959159438822</v>
      </c>
      <c r="AC1487" s="660">
        <v>-0.91411684155335282</v>
      </c>
      <c r="AD1487" s="682">
        <v>0</v>
      </c>
      <c r="AE1487" s="944" t="s">
        <v>1997</v>
      </c>
      <c r="AF1487" s="661" t="s">
        <v>1745</v>
      </c>
      <c r="AG1487" s="662" t="s">
        <v>1432</v>
      </c>
      <c r="AH1487" s="662" t="s">
        <v>1734</v>
      </c>
      <c r="AI1487" s="662">
        <v>0</v>
      </c>
      <c r="AJ1487" s="662">
        <v>0</v>
      </c>
      <c r="AK1487" s="662">
        <v>0</v>
      </c>
      <c r="AL1487" s="658">
        <v>9.0000000000000011E-3</v>
      </c>
      <c r="AM1487" s="658">
        <v>0</v>
      </c>
      <c r="AN1487" s="659" t="s">
        <v>2122</v>
      </c>
      <c r="AO1487" s="253" t="s">
        <v>34</v>
      </c>
      <c r="AP1487" s="944" t="s">
        <v>1731</v>
      </c>
      <c r="AQ1487" s="663" t="s">
        <v>659</v>
      </c>
      <c r="AR1487" s="658">
        <v>2.9997000000000001E-3</v>
      </c>
      <c r="AS1487" s="658">
        <v>2.9997000000000001E-3</v>
      </c>
      <c r="AT1487" s="658" t="s">
        <v>1417</v>
      </c>
      <c r="AU1487" s="658" t="s">
        <v>2751</v>
      </c>
      <c r="AX1487"/>
      <c r="AY1487"/>
      <c r="BA1487"/>
      <c r="BB1487"/>
      <c r="BC1487"/>
      <c r="BD1487"/>
      <c r="BE1487"/>
      <c r="BF1487"/>
      <c r="BG1487"/>
      <c r="BH1487"/>
      <c r="BI1487"/>
      <c r="BJ1487"/>
      <c r="BR1487"/>
      <c r="BS1487"/>
      <c r="BT1487"/>
      <c r="BU1487"/>
      <c r="BX1487"/>
    </row>
    <row r="1488" spans="2:76" ht="18.75">
      <c r="B1488" s="252" t="s">
        <v>1712</v>
      </c>
      <c r="C1488" s="251">
        <v>42730540000170</v>
      </c>
      <c r="D1488" s="252" t="s">
        <v>14</v>
      </c>
      <c r="E1488" s="252" t="s">
        <v>607</v>
      </c>
      <c r="F1488" s="252" t="s">
        <v>860</v>
      </c>
      <c r="G1488" s="253" t="s">
        <v>1417</v>
      </c>
      <c r="H1488" s="253" t="s">
        <v>34</v>
      </c>
      <c r="I1488" s="253" t="s">
        <v>34</v>
      </c>
      <c r="J1488" s="253" t="s">
        <v>611</v>
      </c>
      <c r="K1488" s="253" t="s">
        <v>48</v>
      </c>
      <c r="L1488" s="655"/>
      <c r="M1488" s="655" t="s">
        <v>34</v>
      </c>
      <c r="N1488" s="253" t="s">
        <v>4149</v>
      </c>
      <c r="O1488" s="253" t="s">
        <v>1321</v>
      </c>
      <c r="P1488" s="656">
        <v>44419</v>
      </c>
      <c r="Q1488" s="657">
        <v>0</v>
      </c>
      <c r="R1488" s="657">
        <v>0</v>
      </c>
      <c r="S1488" s="253">
        <v>7</v>
      </c>
      <c r="T1488" s="658"/>
      <c r="U1488" s="659"/>
      <c r="V1488" s="658"/>
      <c r="W1488" s="659"/>
      <c r="X1488" s="658"/>
      <c r="Y1488" s="659"/>
      <c r="Z1488" s="658"/>
      <c r="AA1488" s="659"/>
      <c r="AB1488" s="658"/>
      <c r="AC1488" s="660"/>
      <c r="AD1488" s="682">
        <v>17036289000100</v>
      </c>
      <c r="AE1488" s="944" t="s">
        <v>1997</v>
      </c>
      <c r="AF1488" s="661" t="s">
        <v>1745</v>
      </c>
      <c r="AG1488" s="662" t="s">
        <v>1432</v>
      </c>
      <c r="AH1488" s="662" t="s">
        <v>1801</v>
      </c>
      <c r="AI1488" s="662">
        <v>0</v>
      </c>
      <c r="AJ1488" s="662">
        <v>0</v>
      </c>
      <c r="AK1488" s="662">
        <v>0</v>
      </c>
      <c r="AL1488" s="658">
        <v>0</v>
      </c>
      <c r="AM1488" s="658">
        <v>0</v>
      </c>
      <c r="AN1488" s="659" t="s">
        <v>34</v>
      </c>
      <c r="AO1488" s="253" t="s">
        <v>34</v>
      </c>
      <c r="AP1488" s="944" t="s">
        <v>1731</v>
      </c>
      <c r="AQ1488" s="663" t="s">
        <v>694</v>
      </c>
      <c r="AR1488" s="658">
        <v>2.9997000000000001E-3</v>
      </c>
      <c r="AS1488" s="658">
        <v>2.9997000000000001E-3</v>
      </c>
      <c r="AT1488" s="658" t="s">
        <v>1417</v>
      </c>
      <c r="AU1488" s="658" t="s">
        <v>2751</v>
      </c>
      <c r="AX1488"/>
      <c r="AY1488"/>
      <c r="BA1488"/>
      <c r="BB1488"/>
      <c r="BC1488"/>
      <c r="BD1488"/>
      <c r="BE1488"/>
      <c r="BF1488"/>
      <c r="BG1488"/>
      <c r="BH1488"/>
      <c r="BI1488"/>
      <c r="BJ1488"/>
      <c r="BR1488"/>
      <c r="BS1488"/>
      <c r="BT1488"/>
      <c r="BU1488"/>
      <c r="BX1488"/>
    </row>
    <row r="1489" spans="2:76" ht="18.75">
      <c r="B1489" s="252" t="s">
        <v>1267</v>
      </c>
      <c r="C1489" s="251">
        <v>44209661000105</v>
      </c>
      <c r="D1489" s="252" t="s">
        <v>14</v>
      </c>
      <c r="E1489" s="252" t="s">
        <v>607</v>
      </c>
      <c r="F1489" s="252" t="s">
        <v>860</v>
      </c>
      <c r="G1489" s="253" t="s">
        <v>1417</v>
      </c>
      <c r="H1489" s="253" t="s">
        <v>34</v>
      </c>
      <c r="I1489" s="253" t="s">
        <v>34</v>
      </c>
      <c r="J1489" s="253" t="s">
        <v>611</v>
      </c>
      <c r="K1489" s="253" t="s">
        <v>48</v>
      </c>
      <c r="L1489" s="655"/>
      <c r="M1489" s="655" t="s">
        <v>1414</v>
      </c>
      <c r="N1489" s="253" t="s">
        <v>4150</v>
      </c>
      <c r="O1489" s="253" t="s">
        <v>1321</v>
      </c>
      <c r="P1489" s="656">
        <v>44530</v>
      </c>
      <c r="Q1489" s="657"/>
      <c r="R1489" s="657"/>
      <c r="S1489" s="253">
        <v>12</v>
      </c>
      <c r="T1489" s="658"/>
      <c r="U1489" s="659"/>
      <c r="V1489" s="658"/>
      <c r="W1489" s="659"/>
      <c r="X1489" s="658"/>
      <c r="Y1489" s="659"/>
      <c r="Z1489" s="658"/>
      <c r="AA1489" s="659"/>
      <c r="AB1489" s="658"/>
      <c r="AC1489" s="660"/>
      <c r="AD1489" s="682">
        <v>0</v>
      </c>
      <c r="AE1489" s="944" t="s">
        <v>1997</v>
      </c>
      <c r="AF1489" s="661" t="s">
        <v>1745</v>
      </c>
      <c r="AG1489" s="662" t="s">
        <v>1432</v>
      </c>
      <c r="AH1489" s="662" t="s">
        <v>1734</v>
      </c>
      <c r="AI1489" s="662">
        <v>1000</v>
      </c>
      <c r="AJ1489" s="662">
        <v>100</v>
      </c>
      <c r="AK1489" s="662">
        <v>100</v>
      </c>
      <c r="AL1489" s="658">
        <v>9.0000000000000011E-3</v>
      </c>
      <c r="AM1489" s="658">
        <v>0.1</v>
      </c>
      <c r="AN1489" s="659" t="s">
        <v>2127</v>
      </c>
      <c r="AO1489" s="253" t="s">
        <v>34</v>
      </c>
      <c r="AP1489" s="944" t="s">
        <v>1731</v>
      </c>
      <c r="AQ1489" s="663" t="s">
        <v>659</v>
      </c>
      <c r="AR1489" s="658">
        <v>2.9997000000000001E-3</v>
      </c>
      <c r="AS1489" s="658">
        <v>2.9997000000000001E-3</v>
      </c>
      <c r="AT1489" s="658" t="s">
        <v>1417</v>
      </c>
      <c r="AU1489" s="658" t="s">
        <v>2751</v>
      </c>
      <c r="AX1489"/>
      <c r="AY1489"/>
      <c r="BA1489"/>
      <c r="BB1489"/>
      <c r="BC1489"/>
      <c r="BD1489"/>
      <c r="BE1489"/>
      <c r="BF1489"/>
      <c r="BG1489"/>
      <c r="BH1489"/>
      <c r="BI1489"/>
      <c r="BJ1489"/>
      <c r="BR1489"/>
      <c r="BS1489"/>
      <c r="BT1489"/>
      <c r="BU1489"/>
      <c r="BX1489"/>
    </row>
    <row r="1490" spans="2:76" ht="18.75">
      <c r="B1490" s="252" t="s">
        <v>1713</v>
      </c>
      <c r="C1490" s="251">
        <v>43279729000151</v>
      </c>
      <c r="D1490" s="252" t="s">
        <v>14</v>
      </c>
      <c r="E1490" s="252" t="s">
        <v>607</v>
      </c>
      <c r="F1490" s="252" t="s">
        <v>1417</v>
      </c>
      <c r="G1490" s="253" t="s">
        <v>1417</v>
      </c>
      <c r="H1490" s="253" t="s">
        <v>34</v>
      </c>
      <c r="I1490" s="253" t="s">
        <v>34</v>
      </c>
      <c r="J1490" s="253" t="s">
        <v>611</v>
      </c>
      <c r="K1490" s="253" t="s">
        <v>48</v>
      </c>
      <c r="L1490" s="655"/>
      <c r="M1490" s="655" t="s">
        <v>34</v>
      </c>
      <c r="N1490" s="253" t="s">
        <v>4151</v>
      </c>
      <c r="O1490" s="253" t="s">
        <v>1321</v>
      </c>
      <c r="P1490" s="656">
        <v>44437</v>
      </c>
      <c r="Q1490" s="657">
        <v>0</v>
      </c>
      <c r="R1490" s="657">
        <v>2.8799275362318837</v>
      </c>
      <c r="S1490" s="253">
        <v>32</v>
      </c>
      <c r="T1490" s="658"/>
      <c r="U1490" s="659"/>
      <c r="V1490" s="658">
        <v>-9.3749999999999001E-2</v>
      </c>
      <c r="W1490" s="659">
        <v>-0.72706031950029471</v>
      </c>
      <c r="X1490" s="658"/>
      <c r="Y1490" s="659"/>
      <c r="Z1490" s="658"/>
      <c r="AA1490" s="659"/>
      <c r="AB1490" s="658">
        <v>0.19549731489534156</v>
      </c>
      <c r="AC1490" s="660">
        <v>-1.1391149262894242</v>
      </c>
      <c r="AD1490" s="682">
        <v>0</v>
      </c>
      <c r="AE1490" s="944" t="s">
        <v>1997</v>
      </c>
      <c r="AF1490" s="661" t="s">
        <v>1745</v>
      </c>
      <c r="AG1490" s="662" t="s">
        <v>1432</v>
      </c>
      <c r="AH1490" s="662" t="s">
        <v>1801</v>
      </c>
      <c r="AI1490" s="662">
        <v>100</v>
      </c>
      <c r="AJ1490" s="662">
        <v>100</v>
      </c>
      <c r="AK1490" s="662">
        <v>100</v>
      </c>
      <c r="AL1490" s="658">
        <v>0</v>
      </c>
      <c r="AM1490" s="658">
        <v>0</v>
      </c>
      <c r="AN1490" s="659" t="s">
        <v>34</v>
      </c>
      <c r="AO1490" s="253" t="s">
        <v>34</v>
      </c>
      <c r="AP1490" s="944" t="s">
        <v>1731</v>
      </c>
      <c r="AQ1490" s="663" t="s">
        <v>659</v>
      </c>
      <c r="AR1490" s="658">
        <v>6.6660000000000001E-3</v>
      </c>
      <c r="AS1490" s="658">
        <v>6.6660000000000001E-3</v>
      </c>
      <c r="AT1490" s="658" t="s">
        <v>1417</v>
      </c>
      <c r="AU1490" s="658" t="s">
        <v>2751</v>
      </c>
      <c r="AX1490"/>
      <c r="AY1490"/>
      <c r="BA1490"/>
      <c r="BB1490"/>
      <c r="BC1490"/>
      <c r="BD1490"/>
      <c r="BE1490"/>
      <c r="BF1490"/>
      <c r="BG1490"/>
      <c r="BH1490"/>
      <c r="BI1490"/>
      <c r="BJ1490"/>
      <c r="BR1490"/>
      <c r="BS1490"/>
      <c r="BT1490"/>
      <c r="BU1490"/>
      <c r="BX1490"/>
    </row>
    <row r="1491" spans="2:76" ht="18.75">
      <c r="B1491" s="252" t="s">
        <v>1268</v>
      </c>
      <c r="C1491" s="251">
        <v>34218763000125</v>
      </c>
      <c r="D1491" s="252" t="s">
        <v>14</v>
      </c>
      <c r="E1491" s="252" t="s">
        <v>607</v>
      </c>
      <c r="F1491" s="252" t="s">
        <v>1417</v>
      </c>
      <c r="G1491" s="253" t="s">
        <v>1417</v>
      </c>
      <c r="H1491" s="253" t="s">
        <v>34</v>
      </c>
      <c r="I1491" s="253" t="s">
        <v>34</v>
      </c>
      <c r="J1491" s="253" t="s">
        <v>608</v>
      </c>
      <c r="K1491" s="253" t="s">
        <v>48</v>
      </c>
      <c r="L1491" s="655"/>
      <c r="M1491" s="655" t="s">
        <v>34</v>
      </c>
      <c r="N1491" s="253" t="s">
        <v>4152</v>
      </c>
      <c r="O1491" s="253" t="s">
        <v>1321</v>
      </c>
      <c r="P1491" s="656">
        <v>43645</v>
      </c>
      <c r="Q1491" s="657">
        <v>135.68282235000001</v>
      </c>
      <c r="R1491" s="657">
        <v>169.05189841024108</v>
      </c>
      <c r="S1491" s="253">
        <v>62</v>
      </c>
      <c r="T1491" s="658">
        <v>-5.1033530466435773E-2</v>
      </c>
      <c r="U1491" s="659">
        <v>-2.5518832292280043</v>
      </c>
      <c r="V1491" s="658">
        <v>-0.14101396801500798</v>
      </c>
      <c r="W1491" s="659">
        <v>-1.0936070468159693</v>
      </c>
      <c r="X1491" s="658">
        <v>-0.25886137683219435</v>
      </c>
      <c r="Y1491" s="659">
        <v>-1.3406411489210297</v>
      </c>
      <c r="Z1491" s="658">
        <v>-0.32645172798842392</v>
      </c>
      <c r="AA1491" s="659">
        <v>-1.4740199839487278</v>
      </c>
      <c r="AB1491" s="658">
        <v>0.27874520365321459</v>
      </c>
      <c r="AC1491" s="660">
        <v>-0.96847541741973608</v>
      </c>
      <c r="AD1491" s="682">
        <v>0</v>
      </c>
      <c r="AE1491" s="944" t="s">
        <v>1997</v>
      </c>
      <c r="AF1491" s="661" t="s">
        <v>1745</v>
      </c>
      <c r="AG1491" s="662" t="s">
        <v>1432</v>
      </c>
      <c r="AH1491" s="662" t="s">
        <v>1734</v>
      </c>
      <c r="AI1491" s="662">
        <v>1000</v>
      </c>
      <c r="AJ1491" s="662">
        <v>100</v>
      </c>
      <c r="AK1491" s="662">
        <v>100</v>
      </c>
      <c r="AL1491" s="658">
        <v>1.3999999999999999E-2</v>
      </c>
      <c r="AM1491" s="658">
        <v>0.2</v>
      </c>
      <c r="AN1491" s="659" t="s">
        <v>2127</v>
      </c>
      <c r="AO1491" s="253" t="s">
        <v>34</v>
      </c>
      <c r="AP1491" s="944" t="s">
        <v>1731</v>
      </c>
      <c r="AQ1491" s="663" t="s">
        <v>659</v>
      </c>
      <c r="AR1491" s="658">
        <v>4.6661999999999997E-3</v>
      </c>
      <c r="AS1491" s="658">
        <v>4.6661999999999997E-3</v>
      </c>
      <c r="AT1491" s="658" t="s">
        <v>1417</v>
      </c>
      <c r="AU1491" s="658" t="s">
        <v>2751</v>
      </c>
      <c r="AX1491"/>
      <c r="AY1491"/>
      <c r="BA1491"/>
      <c r="BB1491"/>
      <c r="BC1491"/>
      <c r="BD1491"/>
      <c r="BE1491"/>
      <c r="BF1491"/>
      <c r="BG1491"/>
      <c r="BH1491"/>
      <c r="BI1491"/>
      <c r="BJ1491"/>
      <c r="BR1491"/>
      <c r="BS1491"/>
      <c r="BT1491"/>
      <c r="BU1491"/>
      <c r="BX1491"/>
    </row>
    <row r="1492" spans="2:76" ht="18.75">
      <c r="B1492" s="252" t="s">
        <v>1269</v>
      </c>
      <c r="C1492" s="251">
        <v>40936530000160</v>
      </c>
      <c r="D1492" s="252" t="s">
        <v>13</v>
      </c>
      <c r="E1492" s="252" t="s">
        <v>616</v>
      </c>
      <c r="F1492" s="252" t="s">
        <v>699</v>
      </c>
      <c r="G1492" s="253" t="s">
        <v>1417</v>
      </c>
      <c r="H1492" s="253" t="s">
        <v>34</v>
      </c>
      <c r="I1492" s="253" t="s">
        <v>34</v>
      </c>
      <c r="J1492" s="253" t="s">
        <v>611</v>
      </c>
      <c r="K1492" s="253" t="s">
        <v>49</v>
      </c>
      <c r="L1492" s="655"/>
      <c r="M1492" s="655" t="s">
        <v>1414</v>
      </c>
      <c r="N1492" s="253" t="s">
        <v>4153</v>
      </c>
      <c r="O1492" s="253" t="s">
        <v>1321</v>
      </c>
      <c r="P1492" s="656">
        <v>44273</v>
      </c>
      <c r="Q1492" s="657">
        <v>0</v>
      </c>
      <c r="R1492" s="657">
        <v>0</v>
      </c>
      <c r="S1492" s="253">
        <v>6</v>
      </c>
      <c r="T1492" s="658"/>
      <c r="U1492" s="659"/>
      <c r="V1492" s="658"/>
      <c r="W1492" s="659"/>
      <c r="X1492" s="658"/>
      <c r="Y1492" s="659"/>
      <c r="Z1492" s="658"/>
      <c r="AA1492" s="659"/>
      <c r="AB1492" s="658"/>
      <c r="AC1492" s="660"/>
      <c r="AD1492" s="682">
        <v>0</v>
      </c>
      <c r="AE1492" s="944" t="s">
        <v>1997</v>
      </c>
      <c r="AF1492" s="661" t="s">
        <v>1745</v>
      </c>
      <c r="AG1492" s="662" t="s">
        <v>1432</v>
      </c>
      <c r="AH1492" s="662" t="s">
        <v>1734</v>
      </c>
      <c r="AI1492" s="662">
        <v>0</v>
      </c>
      <c r="AJ1492" s="662">
        <v>0</v>
      </c>
      <c r="AK1492" s="662">
        <v>0</v>
      </c>
      <c r="AL1492" s="658">
        <v>9.0000000000000011E-3</v>
      </c>
      <c r="AM1492" s="658">
        <v>0</v>
      </c>
      <c r="AN1492" s="659" t="s">
        <v>34</v>
      </c>
      <c r="AO1492" s="253" t="s">
        <v>34</v>
      </c>
      <c r="AP1492" s="944" t="s">
        <v>1746</v>
      </c>
      <c r="AQ1492" s="663" t="s">
        <v>668</v>
      </c>
      <c r="AR1492" s="658">
        <v>2.9997000000000001E-3</v>
      </c>
      <c r="AS1492" s="658">
        <v>2.9997000000000001E-3</v>
      </c>
      <c r="AT1492" s="658" t="s">
        <v>1417</v>
      </c>
      <c r="AU1492" s="658" t="s">
        <v>2751</v>
      </c>
      <c r="AX1492"/>
      <c r="AY1492"/>
      <c r="BA1492"/>
      <c r="BB1492"/>
      <c r="BC1492"/>
      <c r="BD1492"/>
      <c r="BE1492"/>
      <c r="BF1492"/>
      <c r="BG1492"/>
      <c r="BH1492"/>
      <c r="BI1492"/>
      <c r="BJ1492"/>
      <c r="BR1492"/>
      <c r="BS1492"/>
      <c r="BT1492"/>
      <c r="BU1492"/>
      <c r="BX1492"/>
    </row>
    <row r="1493" spans="2:76" ht="18.75">
      <c r="B1493" s="252" t="s">
        <v>586</v>
      </c>
      <c r="C1493" s="251">
        <v>38440156000166</v>
      </c>
      <c r="D1493" s="252" t="s">
        <v>14</v>
      </c>
      <c r="E1493" s="252" t="s">
        <v>607</v>
      </c>
      <c r="F1493" s="252" t="s">
        <v>1417</v>
      </c>
      <c r="G1493" s="253" t="s">
        <v>866</v>
      </c>
      <c r="H1493" s="253" t="s">
        <v>34</v>
      </c>
      <c r="I1493" s="253" t="s">
        <v>34</v>
      </c>
      <c r="J1493" s="253" t="s">
        <v>1270</v>
      </c>
      <c r="K1493" s="253" t="s">
        <v>48</v>
      </c>
      <c r="L1493" s="655"/>
      <c r="M1493" s="655" t="s">
        <v>1414</v>
      </c>
      <c r="N1493" s="253" t="s">
        <v>4154</v>
      </c>
      <c r="O1493" s="253" t="s">
        <v>1321</v>
      </c>
      <c r="P1493" s="656">
        <v>44104</v>
      </c>
      <c r="Q1493" s="657">
        <v>0</v>
      </c>
      <c r="R1493" s="657">
        <v>0</v>
      </c>
      <c r="S1493" s="253">
        <v>12</v>
      </c>
      <c r="T1493" s="658"/>
      <c r="U1493" s="659"/>
      <c r="V1493" s="658"/>
      <c r="W1493" s="659"/>
      <c r="X1493" s="658"/>
      <c r="Y1493" s="659"/>
      <c r="Z1493" s="658"/>
      <c r="AA1493" s="659"/>
      <c r="AB1493" s="658"/>
      <c r="AC1493" s="660"/>
      <c r="AD1493" s="682">
        <v>0</v>
      </c>
      <c r="AE1493" s="944" t="s">
        <v>1997</v>
      </c>
      <c r="AF1493" s="661" t="s">
        <v>1745</v>
      </c>
      <c r="AG1493" s="662" t="s">
        <v>1432</v>
      </c>
      <c r="AH1493" s="662" t="s">
        <v>1734</v>
      </c>
      <c r="AI1493" s="662">
        <v>0</v>
      </c>
      <c r="AJ1493" s="662">
        <v>0</v>
      </c>
      <c r="AK1493" s="662">
        <v>0</v>
      </c>
      <c r="AL1493" s="658">
        <v>9.0000000000000011E-3</v>
      </c>
      <c r="AM1493" s="658">
        <v>0</v>
      </c>
      <c r="AN1493" s="659" t="s">
        <v>34</v>
      </c>
      <c r="AO1493" s="253" t="s">
        <v>34</v>
      </c>
      <c r="AP1493" s="944" t="s">
        <v>1731</v>
      </c>
      <c r="AQ1493" s="663" t="s">
        <v>659</v>
      </c>
      <c r="AR1493" s="658">
        <v>2.9997000000000001E-3</v>
      </c>
      <c r="AS1493" s="658">
        <v>2.9997000000000001E-3</v>
      </c>
      <c r="AT1493" s="658" t="s">
        <v>1417</v>
      </c>
      <c r="AU1493" s="658" t="s">
        <v>2751</v>
      </c>
      <c r="AX1493"/>
      <c r="AY1493"/>
      <c r="BA1493"/>
      <c r="BB1493"/>
      <c r="BC1493"/>
      <c r="BD1493"/>
      <c r="BE1493"/>
      <c r="BF1493"/>
      <c r="BG1493"/>
      <c r="BH1493"/>
      <c r="BI1493"/>
      <c r="BJ1493"/>
      <c r="BR1493"/>
      <c r="BS1493"/>
      <c r="BT1493"/>
      <c r="BU1493"/>
      <c r="BX1493"/>
    </row>
    <row r="1494" spans="2:76" ht="18.75">
      <c r="B1494" s="252" t="s">
        <v>509</v>
      </c>
      <c r="C1494" s="251">
        <v>39456513000147</v>
      </c>
      <c r="D1494" s="252" t="s">
        <v>14</v>
      </c>
      <c r="E1494" s="252" t="s">
        <v>607</v>
      </c>
      <c r="F1494" s="252" t="s">
        <v>860</v>
      </c>
      <c r="G1494" s="253" t="s">
        <v>866</v>
      </c>
      <c r="H1494" s="253" t="s">
        <v>34</v>
      </c>
      <c r="I1494" s="253" t="s">
        <v>34</v>
      </c>
      <c r="J1494" s="253" t="s">
        <v>611</v>
      </c>
      <c r="K1494" s="253" t="s">
        <v>1417</v>
      </c>
      <c r="L1494" s="655"/>
      <c r="M1494" s="655" t="s">
        <v>1414</v>
      </c>
      <c r="N1494" s="253" t="s">
        <v>4155</v>
      </c>
      <c r="O1494" s="253" t="s">
        <v>1321</v>
      </c>
      <c r="P1494" s="656">
        <v>44147</v>
      </c>
      <c r="Q1494" s="657">
        <v>0</v>
      </c>
      <c r="R1494" s="657">
        <v>9.8646945168749927</v>
      </c>
      <c r="S1494" s="253">
        <v>12</v>
      </c>
      <c r="T1494" s="658"/>
      <c r="U1494" s="659"/>
      <c r="V1494" s="658">
        <v>-0.35034310611263275</v>
      </c>
      <c r="W1494" s="659">
        <v>-2.717019420426444</v>
      </c>
      <c r="X1494" s="658">
        <v>-0.55152787052052465</v>
      </c>
      <c r="Y1494" s="659">
        <v>-2.8563587470830702</v>
      </c>
      <c r="Z1494" s="658"/>
      <c r="AA1494" s="659"/>
      <c r="AB1494" s="658">
        <v>0.32652748171208917</v>
      </c>
      <c r="AC1494" s="660">
        <v>-1.4678305576191146</v>
      </c>
      <c r="AD1494" s="682">
        <v>0</v>
      </c>
      <c r="AE1494" s="944" t="s">
        <v>1997</v>
      </c>
      <c r="AF1494" s="661" t="s">
        <v>1745</v>
      </c>
      <c r="AG1494" s="662" t="s">
        <v>1432</v>
      </c>
      <c r="AH1494" s="662" t="s">
        <v>1734</v>
      </c>
      <c r="AI1494" s="662">
        <v>0</v>
      </c>
      <c r="AJ1494" s="662">
        <v>0</v>
      </c>
      <c r="AK1494" s="662">
        <v>0</v>
      </c>
      <c r="AL1494" s="658">
        <v>9.0000000000000011E-3</v>
      </c>
      <c r="AM1494" s="658">
        <v>0</v>
      </c>
      <c r="AN1494" s="659" t="s">
        <v>34</v>
      </c>
      <c r="AO1494" s="253" t="s">
        <v>34</v>
      </c>
      <c r="AP1494" s="944" t="s">
        <v>1731</v>
      </c>
      <c r="AQ1494" s="663" t="s">
        <v>659</v>
      </c>
      <c r="AR1494" s="658">
        <v>2.9997000000000001E-3</v>
      </c>
      <c r="AS1494" s="658">
        <v>2.9997000000000001E-3</v>
      </c>
      <c r="AT1494" s="658" t="s">
        <v>1417</v>
      </c>
      <c r="AU1494" s="658" t="s">
        <v>2751</v>
      </c>
      <c r="AX1494"/>
      <c r="AY1494"/>
      <c r="BA1494"/>
      <c r="BB1494"/>
      <c r="BC1494"/>
      <c r="BD1494"/>
      <c r="BE1494"/>
      <c r="BF1494"/>
      <c r="BG1494"/>
      <c r="BH1494"/>
      <c r="BI1494"/>
      <c r="BJ1494"/>
      <c r="BR1494"/>
      <c r="BS1494"/>
      <c r="BT1494"/>
      <c r="BU1494"/>
      <c r="BX1494"/>
    </row>
    <row r="1495" spans="2:76" ht="18.75">
      <c r="B1495" s="252" t="s">
        <v>587</v>
      </c>
      <c r="C1495" s="251">
        <v>36017669000133</v>
      </c>
      <c r="D1495" s="252" t="s">
        <v>14</v>
      </c>
      <c r="E1495" s="252" t="s">
        <v>607</v>
      </c>
      <c r="F1495" s="252" t="s">
        <v>1417</v>
      </c>
      <c r="G1495" s="253" t="s">
        <v>866</v>
      </c>
      <c r="H1495" s="253" t="s">
        <v>34</v>
      </c>
      <c r="I1495" s="253" t="s">
        <v>34</v>
      </c>
      <c r="J1495" s="253" t="s">
        <v>611</v>
      </c>
      <c r="K1495" s="253" t="s">
        <v>1417</v>
      </c>
      <c r="L1495" s="655"/>
      <c r="M1495" s="655" t="s">
        <v>1414</v>
      </c>
      <c r="N1495" s="253" t="s">
        <v>4156</v>
      </c>
      <c r="O1495" s="253" t="s">
        <v>1321</v>
      </c>
      <c r="P1495" s="656">
        <v>43991</v>
      </c>
      <c r="Q1495" s="657">
        <v>0</v>
      </c>
      <c r="R1495" s="657">
        <v>0</v>
      </c>
      <c r="S1495" s="253">
        <v>12</v>
      </c>
      <c r="T1495" s="658"/>
      <c r="U1495" s="659"/>
      <c r="V1495" s="658"/>
      <c r="W1495" s="659"/>
      <c r="X1495" s="658"/>
      <c r="Y1495" s="659"/>
      <c r="Z1495" s="658"/>
      <c r="AA1495" s="659"/>
      <c r="AB1495" s="658"/>
      <c r="AC1495" s="660"/>
      <c r="AD1495" s="682">
        <v>0</v>
      </c>
      <c r="AE1495" s="944" t="s">
        <v>1997</v>
      </c>
      <c r="AF1495" s="661" t="s">
        <v>1745</v>
      </c>
      <c r="AG1495" s="662" t="s">
        <v>1432</v>
      </c>
      <c r="AH1495" s="662" t="s">
        <v>1734</v>
      </c>
      <c r="AI1495" s="662">
        <v>0</v>
      </c>
      <c r="AJ1495" s="662">
        <v>100</v>
      </c>
      <c r="AK1495" s="662">
        <v>0</v>
      </c>
      <c r="AL1495" s="658">
        <v>0</v>
      </c>
      <c r="AM1495" s="658">
        <v>0</v>
      </c>
      <c r="AN1495" s="659" t="s">
        <v>2127</v>
      </c>
      <c r="AO1495" s="253" t="s">
        <v>34</v>
      </c>
      <c r="AP1495" s="944" t="s">
        <v>1731</v>
      </c>
      <c r="AQ1495" s="663" t="s">
        <v>659</v>
      </c>
      <c r="AR1495" s="658">
        <v>2.9997000000000001E-3</v>
      </c>
      <c r="AS1495" s="658">
        <v>2.9997000000000001E-3</v>
      </c>
      <c r="AT1495" s="658" t="s">
        <v>1417</v>
      </c>
      <c r="AU1495" s="658" t="s">
        <v>2751</v>
      </c>
      <c r="AX1495"/>
      <c r="AY1495"/>
      <c r="BA1495"/>
      <c r="BB1495"/>
      <c r="BC1495"/>
      <c r="BD1495"/>
      <c r="BE1495"/>
      <c r="BF1495"/>
      <c r="BG1495"/>
      <c r="BH1495"/>
      <c r="BI1495"/>
      <c r="BJ1495"/>
      <c r="BR1495"/>
      <c r="BS1495"/>
      <c r="BT1495"/>
      <c r="BU1495"/>
      <c r="BX1495"/>
    </row>
    <row r="1496" spans="2:76" ht="18.75">
      <c r="B1496" s="252" t="s">
        <v>436</v>
      </c>
      <c r="C1496" s="251">
        <v>13962947000125</v>
      </c>
      <c r="D1496" s="252" t="s">
        <v>14</v>
      </c>
      <c r="E1496" s="252" t="s">
        <v>607</v>
      </c>
      <c r="F1496" s="252" t="s">
        <v>1417</v>
      </c>
      <c r="G1496" s="253" t="s">
        <v>1417</v>
      </c>
      <c r="H1496" s="253" t="s">
        <v>34</v>
      </c>
      <c r="I1496" s="253" t="s">
        <v>34</v>
      </c>
      <c r="J1496" s="253" t="s">
        <v>608</v>
      </c>
      <c r="K1496" s="253" t="s">
        <v>48</v>
      </c>
      <c r="L1496" s="655"/>
      <c r="M1496" s="655" t="s">
        <v>34</v>
      </c>
      <c r="N1496" s="253" t="s">
        <v>4158</v>
      </c>
      <c r="O1496" s="253" t="s">
        <v>1321</v>
      </c>
      <c r="P1496" s="656">
        <v>41018</v>
      </c>
      <c r="Q1496" s="657">
        <v>637.62719900000002</v>
      </c>
      <c r="R1496" s="657">
        <v>652.29432113252983</v>
      </c>
      <c r="S1496" s="253">
        <v>15</v>
      </c>
      <c r="T1496" s="658">
        <v>-2.0788187017389159E-2</v>
      </c>
      <c r="U1496" s="659">
        <v>-1.0394935512176748</v>
      </c>
      <c r="V1496" s="658">
        <v>-1.7518278728260617E-2</v>
      </c>
      <c r="W1496" s="659">
        <v>-0.13585968351215483</v>
      </c>
      <c r="X1496" s="658">
        <v>6.378382565855456E-2</v>
      </c>
      <c r="Y1496" s="659">
        <v>0.33033595957768347</v>
      </c>
      <c r="Z1496" s="658">
        <v>0.25581370722681296</v>
      </c>
      <c r="AA1496" s="659">
        <v>1.1550697524067097</v>
      </c>
      <c r="AB1496" s="658">
        <v>0.17684524321631326</v>
      </c>
      <c r="AC1496" s="660">
        <v>-0.82819410639108682</v>
      </c>
      <c r="AD1496" s="682">
        <v>22041216000138</v>
      </c>
      <c r="AE1496" s="944" t="s">
        <v>1857</v>
      </c>
      <c r="AF1496" s="661" t="s">
        <v>1783</v>
      </c>
      <c r="AG1496" s="662" t="s">
        <v>736</v>
      </c>
      <c r="AH1496" s="662" t="s">
        <v>1734</v>
      </c>
      <c r="AI1496" s="662">
        <v>1000</v>
      </c>
      <c r="AJ1496" s="662">
        <v>1000</v>
      </c>
      <c r="AK1496" s="662">
        <v>1000</v>
      </c>
      <c r="AL1496" s="658">
        <v>1.8000000000000002E-2</v>
      </c>
      <c r="AM1496" s="658">
        <v>0.2</v>
      </c>
      <c r="AN1496" s="659" t="s">
        <v>666</v>
      </c>
      <c r="AO1496" s="253" t="s">
        <v>34</v>
      </c>
      <c r="AP1496" s="944" t="s">
        <v>1731</v>
      </c>
      <c r="AQ1496" s="663" t="s">
        <v>659</v>
      </c>
      <c r="AR1496" s="658">
        <v>6.0000000000000001E-3</v>
      </c>
      <c r="AS1496" s="658">
        <v>6.0000000000000001E-3</v>
      </c>
      <c r="AT1496" s="658" t="s">
        <v>1417</v>
      </c>
      <c r="AU1496" s="658" t="s">
        <v>2751</v>
      </c>
      <c r="AX1496"/>
      <c r="AY1496"/>
      <c r="BA1496"/>
      <c r="BB1496"/>
      <c r="BC1496"/>
      <c r="BD1496"/>
      <c r="BE1496"/>
      <c r="BF1496"/>
      <c r="BG1496"/>
      <c r="BH1496"/>
      <c r="BI1496"/>
      <c r="BJ1496"/>
      <c r="BR1496"/>
      <c r="BS1496"/>
      <c r="BT1496"/>
      <c r="BU1496"/>
      <c r="BX1496"/>
    </row>
    <row r="1497" spans="2:76" ht="18.75">
      <c r="B1497" s="252" t="s">
        <v>437</v>
      </c>
      <c r="C1497" s="251">
        <v>13962941000158</v>
      </c>
      <c r="D1497" s="252" t="s">
        <v>14</v>
      </c>
      <c r="E1497" s="252" t="s">
        <v>614</v>
      </c>
      <c r="F1497" s="252" t="s">
        <v>1417</v>
      </c>
      <c r="G1497" s="253" t="s">
        <v>1417</v>
      </c>
      <c r="H1497" s="253" t="s">
        <v>1338</v>
      </c>
      <c r="I1497" s="253" t="s">
        <v>34</v>
      </c>
      <c r="J1497" s="253" t="s">
        <v>608</v>
      </c>
      <c r="K1497" s="253" t="s">
        <v>48</v>
      </c>
      <c r="L1497" s="655"/>
      <c r="M1497" s="655" t="s">
        <v>34</v>
      </c>
      <c r="N1497" s="253" t="s">
        <v>4159</v>
      </c>
      <c r="O1497" s="253" t="s">
        <v>1321</v>
      </c>
      <c r="P1497" s="656">
        <v>41018</v>
      </c>
      <c r="Q1497" s="657">
        <v>93.033448000000007</v>
      </c>
      <c r="R1497" s="657">
        <v>97.82451093172692</v>
      </c>
      <c r="S1497" s="253">
        <v>15</v>
      </c>
      <c r="T1497" s="658">
        <v>-5.243883167854857E-2</v>
      </c>
      <c r="U1497" s="659">
        <v>-2.622153981857259</v>
      </c>
      <c r="V1497" s="658">
        <v>-5.046756245984696E-2</v>
      </c>
      <c r="W1497" s="659">
        <v>-0.3913915955888832</v>
      </c>
      <c r="X1497" s="658">
        <v>7.1522438494062701E-2</v>
      </c>
      <c r="Y1497" s="659">
        <v>0.37041417800412729</v>
      </c>
      <c r="Z1497" s="658">
        <v>0.19128818441209638</v>
      </c>
      <c r="AA1497" s="659">
        <v>0.86371914234957903</v>
      </c>
      <c r="AB1497" s="658">
        <v>0.2127408368823219</v>
      </c>
      <c r="AC1497" s="660">
        <v>-0.84333348752349413</v>
      </c>
      <c r="AD1497" s="682">
        <v>0</v>
      </c>
      <c r="AE1497" s="944" t="s">
        <v>1857</v>
      </c>
      <c r="AF1497" s="661" t="s">
        <v>1783</v>
      </c>
      <c r="AG1497" s="662" t="s">
        <v>736</v>
      </c>
      <c r="AH1497" s="662" t="s">
        <v>1734</v>
      </c>
      <c r="AI1497" s="662">
        <v>1000</v>
      </c>
      <c r="AJ1497" s="662">
        <v>1000</v>
      </c>
      <c r="AK1497" s="662">
        <v>1000</v>
      </c>
      <c r="AL1497" s="658">
        <v>1.8000000000000002E-2</v>
      </c>
      <c r="AM1497" s="658">
        <v>0.2</v>
      </c>
      <c r="AN1497" s="659" t="s">
        <v>666</v>
      </c>
      <c r="AO1497" s="253" t="s">
        <v>34</v>
      </c>
      <c r="AP1497" s="944" t="s">
        <v>1731</v>
      </c>
      <c r="AQ1497" s="663" t="s">
        <v>659</v>
      </c>
      <c r="AR1497" s="658">
        <v>6.0000000000000001E-3</v>
      </c>
      <c r="AS1497" s="658">
        <v>6.0000000000000001E-3</v>
      </c>
      <c r="AT1497" s="658" t="s">
        <v>1417</v>
      </c>
      <c r="AU1497" s="658" t="s">
        <v>2751</v>
      </c>
      <c r="AX1497"/>
      <c r="AY1497"/>
      <c r="BA1497"/>
      <c r="BB1497"/>
      <c r="BC1497"/>
      <c r="BD1497"/>
      <c r="BE1497"/>
      <c r="BF1497"/>
      <c r="BG1497"/>
      <c r="BH1497"/>
      <c r="BI1497"/>
      <c r="BJ1497"/>
      <c r="BR1497"/>
      <c r="BS1497"/>
      <c r="BT1497"/>
      <c r="BU1497"/>
      <c r="BX1497"/>
    </row>
    <row r="1498" spans="2:76" ht="18.75">
      <c r="B1498" s="252" t="s">
        <v>1271</v>
      </c>
      <c r="C1498" s="251">
        <v>13060032000124</v>
      </c>
      <c r="D1498" s="252" t="s">
        <v>11</v>
      </c>
      <c r="E1498" s="252" t="s">
        <v>661</v>
      </c>
      <c r="F1498" s="252" t="s">
        <v>672</v>
      </c>
      <c r="G1498" s="253" t="s">
        <v>738</v>
      </c>
      <c r="H1498" s="253" t="s">
        <v>34</v>
      </c>
      <c r="I1498" s="253" t="s">
        <v>1417</v>
      </c>
      <c r="J1498" s="253" t="s">
        <v>608</v>
      </c>
      <c r="K1498" s="253" t="s">
        <v>48</v>
      </c>
      <c r="L1498" s="655"/>
      <c r="M1498" s="655" t="s">
        <v>34</v>
      </c>
      <c r="N1498" s="253" t="s">
        <v>4160</v>
      </c>
      <c r="O1498" s="253" t="s">
        <v>1321</v>
      </c>
      <c r="P1498" s="656">
        <v>40625</v>
      </c>
      <c r="Q1498" s="657">
        <v>195.94892100000001</v>
      </c>
      <c r="R1498" s="657">
        <v>201.00070732128509</v>
      </c>
      <c r="S1498" s="253">
        <v>1</v>
      </c>
      <c r="T1498" s="658">
        <v>1.5035918542347648E-2</v>
      </c>
      <c r="U1498" s="659">
        <v>0.75185682851181224</v>
      </c>
      <c r="V1498" s="658">
        <v>8.5074959565198505E-2</v>
      </c>
      <c r="W1498" s="659">
        <v>0.65978269101811771</v>
      </c>
      <c r="X1498" s="658">
        <v>5.616215883219966E-2</v>
      </c>
      <c r="Y1498" s="659">
        <v>0.2908634036644796</v>
      </c>
      <c r="Z1498" s="658">
        <v>7.2861881918007132E-2</v>
      </c>
      <c r="AA1498" s="659">
        <v>0.32899158070642348</v>
      </c>
      <c r="AB1498" s="658">
        <v>5.7906596774715657E-2</v>
      </c>
      <c r="AC1498" s="660">
        <v>-0.75758121397223588</v>
      </c>
      <c r="AD1498" s="682">
        <v>10342116000162</v>
      </c>
      <c r="AE1498" s="944" t="s">
        <v>1755</v>
      </c>
      <c r="AF1498" s="661" t="s">
        <v>1755</v>
      </c>
      <c r="AG1498" s="662" t="s">
        <v>469</v>
      </c>
      <c r="AH1498" s="662" t="s">
        <v>1734</v>
      </c>
      <c r="AI1498" s="662">
        <v>100</v>
      </c>
      <c r="AJ1498" s="662">
        <v>100</v>
      </c>
      <c r="AK1498" s="662">
        <v>100</v>
      </c>
      <c r="AL1498" s="658">
        <v>3.4999999999999996E-3</v>
      </c>
      <c r="AM1498" s="658">
        <v>0</v>
      </c>
      <c r="AN1498" s="659" t="s">
        <v>633</v>
      </c>
      <c r="AO1498" s="253" t="s">
        <v>34</v>
      </c>
      <c r="AP1498" s="944" t="s">
        <v>1735</v>
      </c>
      <c r="AQ1498" s="663" t="s">
        <v>676</v>
      </c>
      <c r="AR1498" s="658">
        <v>1.16666666666667E-3</v>
      </c>
      <c r="AS1498" s="658">
        <v>1.16666666666667E-3</v>
      </c>
      <c r="AT1498" s="658" t="s">
        <v>1417</v>
      </c>
      <c r="AU1498" s="658" t="s">
        <v>2751</v>
      </c>
      <c r="AX1498"/>
      <c r="AY1498"/>
      <c r="BA1498"/>
      <c r="BB1498"/>
      <c r="BC1498"/>
      <c r="BD1498"/>
      <c r="BE1498"/>
      <c r="BF1498"/>
      <c r="BG1498"/>
      <c r="BH1498"/>
      <c r="BI1498"/>
      <c r="BJ1498"/>
      <c r="BR1498"/>
      <c r="BS1498"/>
      <c r="BT1498"/>
      <c r="BU1498"/>
      <c r="BX1498"/>
    </row>
    <row r="1499" spans="2:76" ht="18.75">
      <c r="B1499" s="252" t="s">
        <v>1272</v>
      </c>
      <c r="C1499" s="251">
        <v>14491665000150</v>
      </c>
      <c r="D1499" s="252" t="s">
        <v>11</v>
      </c>
      <c r="E1499" s="252" t="s">
        <v>620</v>
      </c>
      <c r="F1499" s="252" t="s">
        <v>663</v>
      </c>
      <c r="G1499" s="253" t="s">
        <v>738</v>
      </c>
      <c r="H1499" s="253" t="s">
        <v>34</v>
      </c>
      <c r="I1499" s="253" t="s">
        <v>1417</v>
      </c>
      <c r="J1499" s="253" t="s">
        <v>608</v>
      </c>
      <c r="K1499" s="253" t="s">
        <v>48</v>
      </c>
      <c r="L1499" s="655"/>
      <c r="M1499" s="655" t="s">
        <v>34</v>
      </c>
      <c r="N1499" s="253" t="s">
        <v>4161</v>
      </c>
      <c r="O1499" s="253" t="s">
        <v>1321</v>
      </c>
      <c r="P1499" s="656">
        <v>42501</v>
      </c>
      <c r="Q1499" s="657">
        <v>329.49382500000002</v>
      </c>
      <c r="R1499" s="657">
        <v>357.69041657661285</v>
      </c>
      <c r="S1499" s="253">
        <v>1</v>
      </c>
      <c r="T1499" s="658">
        <v>-1.208329099100458E-2</v>
      </c>
      <c r="U1499" s="659">
        <v>-0.60421349163970506</v>
      </c>
      <c r="V1499" s="658">
        <v>0.10358472321795942</v>
      </c>
      <c r="W1499" s="659">
        <v>0.803331647554133</v>
      </c>
      <c r="X1499" s="658">
        <v>0.18285557020148535</v>
      </c>
      <c r="Y1499" s="659">
        <v>0.94700764062010911</v>
      </c>
      <c r="Z1499" s="658">
        <v>0.1989766366289214</v>
      </c>
      <c r="AA1499" s="659">
        <v>0.89843463392644352</v>
      </c>
      <c r="AB1499" s="658">
        <v>1.5995581411540446E-2</v>
      </c>
      <c r="AC1499" s="660">
        <v>-1.5853869625853587</v>
      </c>
      <c r="AD1499" s="682">
        <v>0</v>
      </c>
      <c r="AE1499" s="944" t="s">
        <v>1755</v>
      </c>
      <c r="AF1499" s="661" t="s">
        <v>1755</v>
      </c>
      <c r="AG1499" s="662" t="s">
        <v>469</v>
      </c>
      <c r="AH1499" s="662" t="s">
        <v>1734</v>
      </c>
      <c r="AI1499" s="662">
        <v>500</v>
      </c>
      <c r="AJ1499" s="662">
        <v>100</v>
      </c>
      <c r="AK1499" s="662">
        <v>500</v>
      </c>
      <c r="AL1499" s="658">
        <v>4.0000000000000001E-3</v>
      </c>
      <c r="AM1499" s="658">
        <v>0.2</v>
      </c>
      <c r="AN1499" s="659" t="s">
        <v>64</v>
      </c>
      <c r="AO1499" s="253" t="s">
        <v>34</v>
      </c>
      <c r="AP1499" s="944" t="s">
        <v>1735</v>
      </c>
      <c r="AQ1499" s="663" t="s">
        <v>675</v>
      </c>
      <c r="AR1499" s="658">
        <v>1.06666666666667E-3</v>
      </c>
      <c r="AS1499" s="658">
        <v>1.06666666666667E-3</v>
      </c>
      <c r="AT1499" s="658" t="s">
        <v>1417</v>
      </c>
      <c r="AU1499" s="658" t="s">
        <v>2751</v>
      </c>
      <c r="AX1499"/>
      <c r="AY1499"/>
      <c r="BA1499"/>
      <c r="BB1499"/>
      <c r="BC1499"/>
      <c r="BD1499"/>
      <c r="BE1499"/>
      <c r="BF1499"/>
      <c r="BG1499"/>
      <c r="BH1499"/>
      <c r="BI1499"/>
      <c r="BJ1499"/>
      <c r="BR1499"/>
      <c r="BS1499"/>
      <c r="BT1499"/>
      <c r="BU1499"/>
      <c r="BX1499"/>
    </row>
    <row r="1500" spans="2:76" ht="18.75">
      <c r="B1500" s="252" t="s">
        <v>1310</v>
      </c>
      <c r="C1500" s="251">
        <v>37405108000174</v>
      </c>
      <c r="D1500" s="252" t="s">
        <v>13</v>
      </c>
      <c r="E1500" s="252" t="s">
        <v>616</v>
      </c>
      <c r="F1500" s="252" t="s">
        <v>619</v>
      </c>
      <c r="G1500" s="253" t="s">
        <v>34</v>
      </c>
      <c r="H1500" s="253" t="s">
        <v>1337</v>
      </c>
      <c r="I1500" s="253" t="s">
        <v>34</v>
      </c>
      <c r="J1500" s="253" t="s">
        <v>611</v>
      </c>
      <c r="K1500" s="253" t="s">
        <v>48</v>
      </c>
      <c r="L1500" s="655"/>
      <c r="M1500" s="655" t="s">
        <v>1414</v>
      </c>
      <c r="N1500" s="253" t="s">
        <v>4164</v>
      </c>
      <c r="O1500" s="253" t="s">
        <v>1321</v>
      </c>
      <c r="P1500" s="656">
        <v>44034</v>
      </c>
      <c r="Q1500" s="657">
        <v>43.782881260000003</v>
      </c>
      <c r="R1500" s="657">
        <v>46.339616133967624</v>
      </c>
      <c r="S1500" s="253">
        <v>10</v>
      </c>
      <c r="T1500" s="658">
        <v>-4.5656919330328005E-4</v>
      </c>
      <c r="U1500" s="659">
        <v>-2.2830308950290652E-2</v>
      </c>
      <c r="V1500" s="658">
        <v>9.929942197578745E-2</v>
      </c>
      <c r="W1500" s="659">
        <v>0.77009780765772129</v>
      </c>
      <c r="X1500" s="658">
        <v>0.20704253120969041</v>
      </c>
      <c r="Y1500" s="659">
        <v>1.0722717321263835</v>
      </c>
      <c r="Z1500" s="658"/>
      <c r="AA1500" s="659"/>
      <c r="AB1500" s="658">
        <v>4.366296742211976E-2</v>
      </c>
      <c r="AC1500" s="660">
        <v>-0.67893890913110355</v>
      </c>
      <c r="AD1500" s="682">
        <v>37405165000153</v>
      </c>
      <c r="AE1500" s="944" t="s">
        <v>1976</v>
      </c>
      <c r="AF1500" s="661" t="s">
        <v>1729</v>
      </c>
      <c r="AG1500" s="662" t="s">
        <v>1433</v>
      </c>
      <c r="AH1500" s="662" t="s">
        <v>1730</v>
      </c>
      <c r="AI1500" s="662">
        <v>1000</v>
      </c>
      <c r="AJ1500" s="662">
        <v>500</v>
      </c>
      <c r="AK1500" s="662">
        <v>0</v>
      </c>
      <c r="AL1500" s="658">
        <v>6.5000000000000006E-3</v>
      </c>
      <c r="AM1500" s="658">
        <v>0</v>
      </c>
      <c r="AN1500" s="659" t="s">
        <v>34</v>
      </c>
      <c r="AO1500" s="253" t="s">
        <v>34</v>
      </c>
      <c r="AP1500" s="944" t="s">
        <v>1746</v>
      </c>
      <c r="AQ1500" s="663" t="s">
        <v>679</v>
      </c>
      <c r="AR1500" s="658">
        <v>3.6833333333333301E-3</v>
      </c>
      <c r="AS1500" s="658">
        <v>3.6833333333333301E-3</v>
      </c>
      <c r="AT1500" s="658" t="s">
        <v>1417</v>
      </c>
      <c r="AU1500" s="658" t="s">
        <v>2751</v>
      </c>
      <c r="AX1500"/>
      <c r="AY1500"/>
      <c r="BA1500"/>
      <c r="BB1500"/>
      <c r="BC1500"/>
      <c r="BD1500"/>
      <c r="BE1500"/>
      <c r="BF1500"/>
      <c r="BG1500"/>
      <c r="BH1500"/>
      <c r="BI1500"/>
      <c r="BJ1500"/>
      <c r="BR1500"/>
      <c r="BS1500"/>
      <c r="BT1500"/>
      <c r="BU1500"/>
      <c r="BX1500"/>
    </row>
    <row r="1501" spans="2:76" ht="18.75">
      <c r="B1501" s="252" t="s">
        <v>1311</v>
      </c>
      <c r="C1501" s="251">
        <v>38032741000127</v>
      </c>
      <c r="D1501" s="252" t="s">
        <v>13</v>
      </c>
      <c r="E1501" s="252" t="s">
        <v>616</v>
      </c>
      <c r="F1501" s="252" t="s">
        <v>619</v>
      </c>
      <c r="G1501" s="253" t="s">
        <v>34</v>
      </c>
      <c r="H1501" s="253" t="s">
        <v>1338</v>
      </c>
      <c r="I1501" s="253" t="s">
        <v>34</v>
      </c>
      <c r="J1501" s="253" t="s">
        <v>611</v>
      </c>
      <c r="K1501" s="253" t="s">
        <v>49</v>
      </c>
      <c r="L1501" s="655"/>
      <c r="M1501" s="655" t="s">
        <v>34</v>
      </c>
      <c r="N1501" s="253" t="s">
        <v>4165</v>
      </c>
      <c r="O1501" s="253" t="s">
        <v>1321</v>
      </c>
      <c r="P1501" s="656">
        <v>44118</v>
      </c>
      <c r="Q1501" s="657">
        <v>49.778874430000002</v>
      </c>
      <c r="R1501" s="657">
        <v>24.100073691895169</v>
      </c>
      <c r="S1501" s="253">
        <v>10</v>
      </c>
      <c r="T1501" s="658">
        <v>-2.6255691149003613E-2</v>
      </c>
      <c r="U1501" s="659">
        <v>-1.3128909033443932</v>
      </c>
      <c r="V1501" s="658">
        <v>1.7409178877611842E-2</v>
      </c>
      <c r="W1501" s="659">
        <v>0.13501358034127339</v>
      </c>
      <c r="X1501" s="658">
        <v>-1.0202564971974581E-2</v>
      </c>
      <c r="Y1501" s="659">
        <v>-5.283900824971715E-2</v>
      </c>
      <c r="Z1501" s="658"/>
      <c r="AA1501" s="659"/>
      <c r="AB1501" s="658">
        <v>0.17138388171888835</v>
      </c>
      <c r="AC1501" s="660">
        <v>-0.65078891579851628</v>
      </c>
      <c r="AD1501" s="682">
        <v>0</v>
      </c>
      <c r="AE1501" s="944" t="s">
        <v>1976</v>
      </c>
      <c r="AF1501" s="661" t="s">
        <v>1729</v>
      </c>
      <c r="AG1501" s="662" t="s">
        <v>1433</v>
      </c>
      <c r="AH1501" s="662" t="s">
        <v>1730</v>
      </c>
      <c r="AI1501" s="662">
        <v>1000</v>
      </c>
      <c r="AJ1501" s="662">
        <v>500</v>
      </c>
      <c r="AK1501" s="662">
        <v>0</v>
      </c>
      <c r="AL1501" s="658">
        <v>7.4999999999999997E-3</v>
      </c>
      <c r="AM1501" s="658">
        <v>0</v>
      </c>
      <c r="AN1501" s="659" t="s">
        <v>34</v>
      </c>
      <c r="AO1501" s="253" t="s">
        <v>34</v>
      </c>
      <c r="AP1501" s="944" t="s">
        <v>1746</v>
      </c>
      <c r="AQ1501" s="663" t="s">
        <v>679</v>
      </c>
      <c r="AR1501" s="658">
        <v>4.2500000000000003E-3</v>
      </c>
      <c r="AS1501" s="658">
        <v>4.2500000000000003E-3</v>
      </c>
      <c r="AT1501" s="658" t="s">
        <v>1417</v>
      </c>
      <c r="AU1501" s="658" t="s">
        <v>2751</v>
      </c>
      <c r="AX1501"/>
      <c r="AY1501"/>
      <c r="BA1501"/>
      <c r="BB1501"/>
      <c r="BC1501"/>
      <c r="BD1501"/>
      <c r="BE1501"/>
      <c r="BF1501"/>
      <c r="BG1501"/>
      <c r="BH1501"/>
      <c r="BI1501"/>
      <c r="BJ1501"/>
      <c r="BR1501"/>
      <c r="BS1501"/>
      <c r="BT1501"/>
      <c r="BU1501"/>
      <c r="BX1501"/>
    </row>
    <row r="1502" spans="2:76" ht="18.75">
      <c r="B1502" s="252" t="s">
        <v>1274</v>
      </c>
      <c r="C1502" s="251">
        <v>817677000117</v>
      </c>
      <c r="D1502" s="252" t="s">
        <v>11</v>
      </c>
      <c r="E1502" s="252" t="s">
        <v>620</v>
      </c>
      <c r="F1502" s="252" t="s">
        <v>663</v>
      </c>
      <c r="G1502" s="253" t="s">
        <v>738</v>
      </c>
      <c r="H1502" s="253" t="s">
        <v>34</v>
      </c>
      <c r="I1502" s="253" t="s">
        <v>1417</v>
      </c>
      <c r="J1502" s="253" t="s">
        <v>608</v>
      </c>
      <c r="K1502" s="253" t="s">
        <v>48</v>
      </c>
      <c r="L1502" s="655"/>
      <c r="M1502" s="655" t="s">
        <v>34</v>
      </c>
      <c r="N1502" s="253" t="s">
        <v>4166</v>
      </c>
      <c r="O1502" s="253" t="s">
        <v>1321</v>
      </c>
      <c r="P1502" s="656">
        <v>34976</v>
      </c>
      <c r="Q1502" s="657">
        <v>299.17544099999998</v>
      </c>
      <c r="R1502" s="657">
        <v>376.74653866129023</v>
      </c>
      <c r="S1502" s="253">
        <v>1</v>
      </c>
      <c r="T1502" s="658">
        <v>-1.5238505470893227E-2</v>
      </c>
      <c r="U1502" s="659">
        <v>-0.76198699549597348</v>
      </c>
      <c r="V1502" s="658">
        <v>0.10324280083992377</v>
      </c>
      <c r="W1502" s="659">
        <v>0.80067993349099797</v>
      </c>
      <c r="X1502" s="658">
        <v>0.19042623717119156</v>
      </c>
      <c r="Y1502" s="659">
        <v>0.98621606865433376</v>
      </c>
      <c r="Z1502" s="658">
        <v>0.20635803513763906</v>
      </c>
      <c r="AA1502" s="659">
        <v>0.93176369295266803</v>
      </c>
      <c r="AB1502" s="658">
        <v>1.4353270492604178E-2</v>
      </c>
      <c r="AC1502" s="660">
        <v>-1.7906099254596797</v>
      </c>
      <c r="AD1502" s="682">
        <v>0</v>
      </c>
      <c r="AE1502" s="944" t="s">
        <v>1738</v>
      </c>
      <c r="AF1502" s="661" t="s">
        <v>1739</v>
      </c>
      <c r="AG1502" s="662" t="s">
        <v>728</v>
      </c>
      <c r="AH1502" s="662" t="s">
        <v>1734</v>
      </c>
      <c r="AI1502" s="662">
        <v>0</v>
      </c>
      <c r="AJ1502" s="662">
        <v>0</v>
      </c>
      <c r="AK1502" s="662">
        <v>0</v>
      </c>
      <c r="AL1502" s="658">
        <v>4.5000000000000005E-3</v>
      </c>
      <c r="AM1502" s="658">
        <v>0</v>
      </c>
      <c r="AN1502" s="659" t="s">
        <v>64</v>
      </c>
      <c r="AO1502" s="253" t="s">
        <v>34</v>
      </c>
      <c r="AP1502" s="944" t="s">
        <v>1735</v>
      </c>
      <c r="AQ1502" s="663" t="s">
        <v>662</v>
      </c>
      <c r="AR1502" s="658">
        <v>1.1999999999999999E-3</v>
      </c>
      <c r="AS1502" s="658">
        <v>1.1999999999999999E-3</v>
      </c>
      <c r="AT1502" s="658" t="s">
        <v>1417</v>
      </c>
      <c r="AU1502" s="658" t="s">
        <v>2751</v>
      </c>
      <c r="AX1502"/>
      <c r="AY1502"/>
      <c r="BA1502"/>
      <c r="BB1502"/>
      <c r="BC1502"/>
      <c r="BD1502"/>
      <c r="BE1502"/>
      <c r="BF1502"/>
      <c r="BG1502"/>
      <c r="BH1502"/>
      <c r="BI1502"/>
      <c r="BJ1502"/>
      <c r="BR1502"/>
      <c r="BS1502"/>
      <c r="BT1502"/>
      <c r="BU1502"/>
      <c r="BX1502"/>
    </row>
    <row r="1503" spans="2:76" ht="18.75">
      <c r="B1503" s="252" t="s">
        <v>1275</v>
      </c>
      <c r="C1503" s="251">
        <v>4192419000143</v>
      </c>
      <c r="D1503" s="252" t="s">
        <v>11</v>
      </c>
      <c r="E1503" s="252" t="s">
        <v>620</v>
      </c>
      <c r="F1503" s="252" t="s">
        <v>663</v>
      </c>
      <c r="G1503" s="253" t="s">
        <v>738</v>
      </c>
      <c r="H1503" s="253" t="s">
        <v>34</v>
      </c>
      <c r="I1503" s="253" t="s">
        <v>1417</v>
      </c>
      <c r="J1503" s="253" t="s">
        <v>608</v>
      </c>
      <c r="K1503" s="253" t="s">
        <v>48</v>
      </c>
      <c r="L1503" s="655"/>
      <c r="M1503" s="655" t="s">
        <v>34</v>
      </c>
      <c r="N1503" s="253" t="s">
        <v>4167</v>
      </c>
      <c r="O1503" s="253" t="s">
        <v>1321</v>
      </c>
      <c r="P1503" s="656">
        <v>38263</v>
      </c>
      <c r="Q1503" s="657">
        <v>72.834788000000003</v>
      </c>
      <c r="R1503" s="657">
        <v>148.13466382258076</v>
      </c>
      <c r="S1503" s="253">
        <v>1</v>
      </c>
      <c r="T1503" s="658">
        <v>1.7273828208402398E-2</v>
      </c>
      <c r="U1503" s="659">
        <v>0.86376137623046068</v>
      </c>
      <c r="V1503" s="658">
        <v>7.8652240066994672E-2</v>
      </c>
      <c r="W1503" s="659">
        <v>0.60997250978691875</v>
      </c>
      <c r="X1503" s="658">
        <v>6.8124517042315036E-2</v>
      </c>
      <c r="Y1503" s="659">
        <v>0.35281636803046168</v>
      </c>
      <c r="Z1503" s="658">
        <v>0.10083436368756149</v>
      </c>
      <c r="AA1503" s="659">
        <v>0.45529508469775992</v>
      </c>
      <c r="AB1503" s="658">
        <v>3.1771425144815395E-2</v>
      </c>
      <c r="AC1503" s="660">
        <v>-1.582921419186023</v>
      </c>
      <c r="AD1503" s="682">
        <v>0</v>
      </c>
      <c r="AE1503" s="944" t="s">
        <v>1738</v>
      </c>
      <c r="AF1503" s="661" t="s">
        <v>1739</v>
      </c>
      <c r="AG1503" s="662" t="s">
        <v>728</v>
      </c>
      <c r="AH1503" s="662" t="s">
        <v>1734</v>
      </c>
      <c r="AI1503" s="662">
        <v>1000</v>
      </c>
      <c r="AJ1503" s="662">
        <v>100</v>
      </c>
      <c r="AK1503" s="662">
        <v>500</v>
      </c>
      <c r="AL1503" s="658">
        <v>8.0000000000000002E-3</v>
      </c>
      <c r="AM1503" s="658">
        <v>0</v>
      </c>
      <c r="AN1503" s="659" t="s">
        <v>34</v>
      </c>
      <c r="AO1503" s="253" t="s">
        <v>34</v>
      </c>
      <c r="AP1503" s="944" t="s">
        <v>1735</v>
      </c>
      <c r="AQ1503" s="663" t="s">
        <v>680</v>
      </c>
      <c r="AR1503" s="658">
        <v>2.13333333333333E-3</v>
      </c>
      <c r="AS1503" s="658">
        <v>2.13333333333333E-3</v>
      </c>
      <c r="AT1503" s="658" t="s">
        <v>1417</v>
      </c>
      <c r="AU1503" s="658" t="s">
        <v>2751</v>
      </c>
      <c r="AX1503"/>
      <c r="AY1503"/>
      <c r="BA1503"/>
      <c r="BB1503"/>
      <c r="BC1503"/>
      <c r="BD1503"/>
      <c r="BE1503"/>
      <c r="BF1503"/>
      <c r="BG1503"/>
      <c r="BH1503"/>
      <c r="BI1503"/>
      <c r="BJ1503"/>
      <c r="BR1503"/>
      <c r="BS1503"/>
      <c r="BT1503"/>
      <c r="BU1503"/>
      <c r="BX1503"/>
    </row>
    <row r="1504" spans="2:76" ht="18.75">
      <c r="B1504" s="252" t="s">
        <v>1276</v>
      </c>
      <c r="C1504" s="251">
        <v>9087483000188</v>
      </c>
      <c r="D1504" s="252" t="s">
        <v>14</v>
      </c>
      <c r="E1504" s="252" t="s">
        <v>607</v>
      </c>
      <c r="F1504" s="252" t="s">
        <v>1417</v>
      </c>
      <c r="G1504" s="253" t="s">
        <v>1417</v>
      </c>
      <c r="H1504" s="253" t="s">
        <v>34</v>
      </c>
      <c r="I1504" s="253" t="s">
        <v>34</v>
      </c>
      <c r="J1504" s="253" t="s">
        <v>608</v>
      </c>
      <c r="K1504" s="253" t="s">
        <v>48</v>
      </c>
      <c r="L1504" s="655"/>
      <c r="M1504" s="655" t="s">
        <v>34</v>
      </c>
      <c r="N1504" s="253" t="s">
        <v>4168</v>
      </c>
      <c r="O1504" s="253" t="s">
        <v>1321</v>
      </c>
      <c r="P1504" s="656">
        <v>39345</v>
      </c>
      <c r="Q1504" s="657">
        <v>20.180305000000001</v>
      </c>
      <c r="R1504" s="657">
        <v>22.810456399193537</v>
      </c>
      <c r="S1504" s="253">
        <v>3</v>
      </c>
      <c r="T1504" s="658">
        <v>-3.3579754165725118E-2</v>
      </c>
      <c r="U1504" s="659">
        <v>-1.6791237195214554</v>
      </c>
      <c r="V1504" s="658">
        <v>-3.345026058644951E-2</v>
      </c>
      <c r="W1504" s="659">
        <v>-0.25941714292642509</v>
      </c>
      <c r="X1504" s="658">
        <v>-4.5126231822724683E-2</v>
      </c>
      <c r="Y1504" s="659">
        <v>-0.2337084196091252</v>
      </c>
      <c r="Z1504" s="658">
        <v>-7.4786998086783574E-2</v>
      </c>
      <c r="AA1504" s="659">
        <v>-0.33768401349483224</v>
      </c>
      <c r="AB1504" s="658">
        <v>0.46055849480435695</v>
      </c>
      <c r="AC1504" s="660">
        <v>-0.35260270272991517</v>
      </c>
      <c r="AD1504" s="682">
        <v>0</v>
      </c>
      <c r="AE1504" s="944" t="s">
        <v>1738</v>
      </c>
      <c r="AF1504" s="661" t="s">
        <v>1739</v>
      </c>
      <c r="AG1504" s="662" t="s">
        <v>728</v>
      </c>
      <c r="AH1504" s="662" t="s">
        <v>1734</v>
      </c>
      <c r="AI1504" s="662">
        <v>5000</v>
      </c>
      <c r="AJ1504" s="662">
        <v>100</v>
      </c>
      <c r="AK1504" s="662">
        <v>1000</v>
      </c>
      <c r="AL1504" s="658">
        <v>0.02</v>
      </c>
      <c r="AM1504" s="658">
        <v>0</v>
      </c>
      <c r="AN1504" s="659" t="s">
        <v>2127</v>
      </c>
      <c r="AO1504" s="253" t="s">
        <v>34</v>
      </c>
      <c r="AP1504" s="944" t="s">
        <v>1731</v>
      </c>
      <c r="AQ1504" s="663" t="s">
        <v>667</v>
      </c>
      <c r="AR1504" s="658">
        <v>5.3333333333333297E-3</v>
      </c>
      <c r="AS1504" s="658">
        <v>5.3333333333333297E-3</v>
      </c>
      <c r="AT1504" s="658" t="s">
        <v>1417</v>
      </c>
      <c r="AU1504" s="658" t="s">
        <v>2751</v>
      </c>
      <c r="AX1504"/>
      <c r="AY1504"/>
      <c r="BA1504"/>
      <c r="BB1504"/>
      <c r="BC1504"/>
      <c r="BD1504"/>
      <c r="BE1504"/>
      <c r="BF1504"/>
      <c r="BG1504"/>
      <c r="BH1504"/>
      <c r="BI1504"/>
      <c r="BJ1504"/>
      <c r="BR1504"/>
      <c r="BS1504"/>
      <c r="BT1504"/>
      <c r="BU1504"/>
      <c r="BX1504"/>
    </row>
    <row r="1505" spans="2:76" ht="18.75">
      <c r="B1505" s="252" t="s">
        <v>1278</v>
      </c>
      <c r="C1505" s="251">
        <v>29982932000169</v>
      </c>
      <c r="D1505" s="252" t="s">
        <v>14</v>
      </c>
      <c r="E1505" s="252" t="s">
        <v>607</v>
      </c>
      <c r="F1505" s="252" t="s">
        <v>1417</v>
      </c>
      <c r="G1505" s="253" t="s">
        <v>1417</v>
      </c>
      <c r="H1505" s="253" t="s">
        <v>34</v>
      </c>
      <c r="I1505" s="253" t="s">
        <v>34</v>
      </c>
      <c r="J1505" s="253" t="s">
        <v>611</v>
      </c>
      <c r="K1505" s="253" t="s">
        <v>1417</v>
      </c>
      <c r="L1505" s="655"/>
      <c r="M1505" s="655" t="s">
        <v>1414</v>
      </c>
      <c r="N1505" s="253" t="s">
        <v>4170</v>
      </c>
      <c r="O1505" s="253" t="s">
        <v>1321</v>
      </c>
      <c r="P1505" s="656">
        <v>43687</v>
      </c>
      <c r="Q1505" s="657">
        <v>12.01952157</v>
      </c>
      <c r="R1505" s="657">
        <v>44.274393341967915</v>
      </c>
      <c r="S1505" s="253">
        <v>5</v>
      </c>
      <c r="T1505" s="658">
        <v>3.2798712020020604E-2</v>
      </c>
      <c r="U1505" s="659">
        <v>1.6400684487077994</v>
      </c>
      <c r="V1505" s="658">
        <v>-7.0002504963350809E-2</v>
      </c>
      <c r="W1505" s="659">
        <v>-0.54289113199440364</v>
      </c>
      <c r="X1505" s="658">
        <v>-8.2302098268036139E-2</v>
      </c>
      <c r="Y1505" s="659">
        <v>-0.42624195594925413</v>
      </c>
      <c r="Z1505" s="658">
        <v>0.47915037371408853</v>
      </c>
      <c r="AA1505" s="659">
        <v>2.1634966692414399</v>
      </c>
      <c r="AB1505" s="658">
        <v>0.2388908302113272</v>
      </c>
      <c r="AC1505" s="660">
        <v>-0.83279217638511915</v>
      </c>
      <c r="AD1505" s="682">
        <v>0</v>
      </c>
      <c r="AE1505" s="944" t="s">
        <v>1738</v>
      </c>
      <c r="AF1505" s="661" t="s">
        <v>1738</v>
      </c>
      <c r="AG1505" s="662" t="s">
        <v>59</v>
      </c>
      <c r="AH1505" s="662" t="s">
        <v>1801</v>
      </c>
      <c r="AI1505" s="662">
        <v>0</v>
      </c>
      <c r="AJ1505" s="662">
        <v>0</v>
      </c>
      <c r="AK1505" s="662">
        <v>0</v>
      </c>
      <c r="AL1505" s="658">
        <v>6.9999999999999993E-3</v>
      </c>
      <c r="AM1505" s="658">
        <v>0</v>
      </c>
      <c r="AN1505" s="659" t="s">
        <v>2122</v>
      </c>
      <c r="AO1505" s="253" t="s">
        <v>34</v>
      </c>
      <c r="AP1505" s="944" t="s">
        <v>1731</v>
      </c>
      <c r="AQ1505" s="663" t="s">
        <v>687</v>
      </c>
      <c r="AR1505" s="658">
        <v>1.8666666666666699E-3</v>
      </c>
      <c r="AS1505" s="658">
        <v>1.8666666666666699E-3</v>
      </c>
      <c r="AT1505" s="658" t="s">
        <v>1417</v>
      </c>
      <c r="AU1505" s="658" t="s">
        <v>2751</v>
      </c>
      <c r="AX1505"/>
      <c r="AY1505"/>
      <c r="BA1505"/>
      <c r="BB1505"/>
      <c r="BC1505"/>
      <c r="BD1505"/>
      <c r="BE1505"/>
      <c r="BF1505"/>
      <c r="BG1505"/>
      <c r="BH1505"/>
      <c r="BI1505"/>
      <c r="BJ1505"/>
      <c r="BR1505"/>
      <c r="BS1505"/>
      <c r="BT1505"/>
      <c r="BU1505"/>
      <c r="BX1505"/>
    </row>
    <row r="1506" spans="2:76" ht="18.75">
      <c r="B1506" s="252" t="s">
        <v>4555</v>
      </c>
      <c r="C1506" s="251">
        <v>36820361000121</v>
      </c>
      <c r="D1506" s="252" t="s">
        <v>13</v>
      </c>
      <c r="E1506" s="252" t="s">
        <v>615</v>
      </c>
      <c r="F1506" s="252" t="s">
        <v>619</v>
      </c>
      <c r="G1506" s="253" t="s">
        <v>34</v>
      </c>
      <c r="H1506" s="253" t="s">
        <v>1337</v>
      </c>
      <c r="I1506" s="253" t="s">
        <v>34</v>
      </c>
      <c r="J1506" s="253" t="s">
        <v>608</v>
      </c>
      <c r="K1506" s="253" t="s">
        <v>48</v>
      </c>
      <c r="L1506" s="655"/>
      <c r="M1506" s="655" t="s">
        <v>34</v>
      </c>
      <c r="N1506" s="253" t="s">
        <v>4556</v>
      </c>
      <c r="O1506" s="253" t="s">
        <v>1321</v>
      </c>
      <c r="P1506" s="656">
        <v>44299</v>
      </c>
      <c r="Q1506" s="657">
        <v>1.4586485300000001</v>
      </c>
      <c r="R1506" s="657">
        <v>1.4663758900000001</v>
      </c>
      <c r="S1506" s="253">
        <v>3</v>
      </c>
      <c r="T1506" s="658">
        <v>-3.8508187070729338E-4</v>
      </c>
      <c r="U1506" s="659">
        <v>-1.9255653268667936E-2</v>
      </c>
      <c r="V1506" s="658">
        <v>-3.8508187070729338E-4</v>
      </c>
      <c r="W1506" s="659">
        <v>-2.9864293114690013E-3</v>
      </c>
      <c r="X1506" s="658"/>
      <c r="Y1506" s="659"/>
      <c r="Z1506" s="658"/>
      <c r="AA1506" s="659"/>
      <c r="AB1506" s="658">
        <v>5.4310959096517723E-2</v>
      </c>
      <c r="AC1506" s="660">
        <v>-2.3812687801675718</v>
      </c>
      <c r="AD1506" s="682">
        <v>0</v>
      </c>
      <c r="AE1506" s="944" t="s">
        <v>1738</v>
      </c>
      <c r="AF1506" s="661" t="s">
        <v>1738</v>
      </c>
      <c r="AG1506" s="662" t="s">
        <v>59</v>
      </c>
      <c r="AH1506" s="662" t="s">
        <v>2119</v>
      </c>
      <c r="AI1506" s="662">
        <v>0</v>
      </c>
      <c r="AJ1506" s="662">
        <v>0</v>
      </c>
      <c r="AK1506" s="662">
        <v>0</v>
      </c>
      <c r="AL1506" s="658">
        <v>5.7000000000000002E-3</v>
      </c>
      <c r="AM1506" s="658">
        <v>0</v>
      </c>
      <c r="AN1506" s="659" t="s">
        <v>64</v>
      </c>
      <c r="AO1506" s="253" t="s">
        <v>4397</v>
      </c>
      <c r="AP1506" s="944" t="s">
        <v>1746</v>
      </c>
      <c r="AQ1506" s="663" t="s">
        <v>2177</v>
      </c>
      <c r="AR1506" s="658">
        <v>0</v>
      </c>
      <c r="AS1506" s="658">
        <v>0</v>
      </c>
      <c r="AT1506" s="658" t="s">
        <v>1417</v>
      </c>
      <c r="AU1506" s="658" t="s">
        <v>2751</v>
      </c>
      <c r="AX1506"/>
      <c r="AY1506"/>
      <c r="BA1506"/>
      <c r="BB1506"/>
      <c r="BC1506"/>
      <c r="BD1506"/>
      <c r="BE1506"/>
      <c r="BF1506"/>
      <c r="BG1506"/>
      <c r="BH1506"/>
      <c r="BI1506"/>
      <c r="BJ1506"/>
      <c r="BR1506"/>
      <c r="BS1506"/>
      <c r="BT1506"/>
      <c r="BU1506"/>
      <c r="BX1506"/>
    </row>
    <row r="1507" spans="2:76" ht="18.75">
      <c r="B1507" s="252" t="s">
        <v>1279</v>
      </c>
      <c r="C1507" s="251">
        <v>819889000133</v>
      </c>
      <c r="D1507" s="252" t="s">
        <v>13</v>
      </c>
      <c r="E1507" s="252" t="s">
        <v>616</v>
      </c>
      <c r="F1507" s="252" t="s">
        <v>17</v>
      </c>
      <c r="G1507" s="253" t="s">
        <v>1417</v>
      </c>
      <c r="H1507" s="253" t="s">
        <v>34</v>
      </c>
      <c r="I1507" s="253" t="s">
        <v>34</v>
      </c>
      <c r="J1507" s="253" t="s">
        <v>611</v>
      </c>
      <c r="K1507" s="253" t="s">
        <v>49</v>
      </c>
      <c r="L1507" s="655"/>
      <c r="M1507" s="655" t="s">
        <v>1414</v>
      </c>
      <c r="N1507" s="253" t="s">
        <v>4171</v>
      </c>
      <c r="O1507" s="253" t="s">
        <v>1321</v>
      </c>
      <c r="P1507" s="656">
        <v>34976</v>
      </c>
      <c r="Q1507" s="657">
        <v>76.635570999999999</v>
      </c>
      <c r="R1507" s="657">
        <v>80.654572807228874</v>
      </c>
      <c r="S1507" s="253">
        <v>1</v>
      </c>
      <c r="T1507" s="658">
        <v>-1.0991523696941008E-2</v>
      </c>
      <c r="U1507" s="659">
        <v>-0.54962070484881598</v>
      </c>
      <c r="V1507" s="658">
        <v>3.0644188609656897E-2</v>
      </c>
      <c r="W1507" s="659">
        <v>0.23765518465455648</v>
      </c>
      <c r="X1507" s="658">
        <v>-4.6000761334025309E-2</v>
      </c>
      <c r="Y1507" s="659">
        <v>-0.23823760145596146</v>
      </c>
      <c r="Z1507" s="658">
        <v>0.1662763808121499</v>
      </c>
      <c r="AA1507" s="659">
        <v>0.75078392044678921</v>
      </c>
      <c r="AB1507" s="658">
        <v>0.17909879092363423</v>
      </c>
      <c r="AC1507" s="660">
        <v>-0.54885753460527487</v>
      </c>
      <c r="AD1507" s="682">
        <v>0</v>
      </c>
      <c r="AE1507" s="944" t="s">
        <v>1738</v>
      </c>
      <c r="AF1507" s="661" t="s">
        <v>1739</v>
      </c>
      <c r="AG1507" s="662" t="s">
        <v>728</v>
      </c>
      <c r="AH1507" s="662" t="s">
        <v>1734</v>
      </c>
      <c r="AI1507" s="662">
        <v>5000</v>
      </c>
      <c r="AJ1507" s="662">
        <v>100</v>
      </c>
      <c r="AK1507" s="662">
        <v>1000</v>
      </c>
      <c r="AL1507" s="658">
        <v>0.01</v>
      </c>
      <c r="AM1507" s="658">
        <v>0</v>
      </c>
      <c r="AN1507" s="659" t="s">
        <v>2194</v>
      </c>
      <c r="AO1507" s="253" t="s">
        <v>34</v>
      </c>
      <c r="AP1507" s="944" t="s">
        <v>1740</v>
      </c>
      <c r="AQ1507" s="663" t="s">
        <v>17</v>
      </c>
      <c r="AR1507" s="658">
        <v>2.66666666666667E-3</v>
      </c>
      <c r="AS1507" s="658">
        <v>2.66666666666667E-3</v>
      </c>
      <c r="AT1507" s="658" t="s">
        <v>1417</v>
      </c>
      <c r="AU1507" s="658" t="s">
        <v>2751</v>
      </c>
      <c r="AX1507"/>
      <c r="AY1507"/>
      <c r="BA1507"/>
      <c r="BB1507"/>
      <c r="BC1507"/>
      <c r="BD1507"/>
      <c r="BE1507"/>
      <c r="BF1507"/>
      <c r="BG1507"/>
      <c r="BH1507"/>
      <c r="BI1507"/>
      <c r="BJ1507"/>
      <c r="BR1507"/>
      <c r="BS1507"/>
      <c r="BT1507"/>
      <c r="BU1507"/>
      <c r="BX1507"/>
    </row>
    <row r="1508" spans="2:76" ht="18.75">
      <c r="B1508" s="252" t="s">
        <v>4557</v>
      </c>
      <c r="C1508" s="251">
        <v>23872787000187</v>
      </c>
      <c r="D1508" s="252" t="s">
        <v>11</v>
      </c>
      <c r="E1508" s="252" t="s">
        <v>620</v>
      </c>
      <c r="F1508" s="252" t="s">
        <v>672</v>
      </c>
      <c r="G1508" s="253" t="s">
        <v>1417</v>
      </c>
      <c r="H1508" s="253" t="s">
        <v>34</v>
      </c>
      <c r="I1508" s="253" t="s">
        <v>1417</v>
      </c>
      <c r="J1508" s="253" t="s">
        <v>608</v>
      </c>
      <c r="K1508" s="253" t="s">
        <v>48</v>
      </c>
      <c r="L1508" s="655"/>
      <c r="M1508" s="655" t="s">
        <v>34</v>
      </c>
      <c r="N1508" s="253" t="s">
        <v>4558</v>
      </c>
      <c r="O1508" s="253" t="s">
        <v>1321</v>
      </c>
      <c r="P1508" s="656">
        <v>42907</v>
      </c>
      <c r="Q1508" s="657">
        <v>5.6026319999999998</v>
      </c>
      <c r="R1508" s="657">
        <v>5.6094297499999994</v>
      </c>
      <c r="S1508" s="253">
        <v>1</v>
      </c>
      <c r="T1508" s="658">
        <v>7.9886526106953681E-4</v>
      </c>
      <c r="U1508" s="659">
        <v>3.9946498772546725E-2</v>
      </c>
      <c r="V1508" s="658">
        <v>7.9886526106953681E-4</v>
      </c>
      <c r="W1508" s="659">
        <v>6.1954478074763729E-3</v>
      </c>
      <c r="X1508" s="658">
        <v>7.9886526106953681E-4</v>
      </c>
      <c r="Y1508" s="659">
        <v>4.1373172565933904E-3</v>
      </c>
      <c r="Z1508" s="658">
        <v>7.9886526106953681E-4</v>
      </c>
      <c r="AA1508" s="659">
        <v>3.607097951525228E-3</v>
      </c>
      <c r="AB1508" s="658">
        <v>6.33537122508924E-3</v>
      </c>
      <c r="AC1508" s="660">
        <v>-20.226919565224652</v>
      </c>
      <c r="AD1508" s="682">
        <v>26370161000160</v>
      </c>
      <c r="AE1508" s="944" t="s">
        <v>1738</v>
      </c>
      <c r="AF1508" s="661" t="s">
        <v>1738</v>
      </c>
      <c r="AG1508" s="662" t="s">
        <v>59</v>
      </c>
      <c r="AH1508" s="662" t="s">
        <v>2119</v>
      </c>
      <c r="AI1508" s="662">
        <v>30000</v>
      </c>
      <c r="AJ1508" s="662">
        <v>0</v>
      </c>
      <c r="AK1508" s="662">
        <v>0</v>
      </c>
      <c r="AL1508" s="658">
        <v>4.0000000000000001E-3</v>
      </c>
      <c r="AM1508" s="658">
        <v>0</v>
      </c>
      <c r="AN1508" s="659" t="s">
        <v>64</v>
      </c>
      <c r="AO1508" s="253" t="s">
        <v>4397</v>
      </c>
      <c r="AP1508" s="944" t="s">
        <v>1735</v>
      </c>
      <c r="AQ1508" s="663" t="s">
        <v>4405</v>
      </c>
      <c r="AR1508" s="658">
        <v>0</v>
      </c>
      <c r="AS1508" s="658">
        <v>0</v>
      </c>
      <c r="AT1508" s="658" t="s">
        <v>1417</v>
      </c>
      <c r="AU1508" s="658" t="s">
        <v>2751</v>
      </c>
      <c r="AX1508"/>
      <c r="AY1508"/>
      <c r="BA1508"/>
      <c r="BB1508"/>
      <c r="BC1508"/>
      <c r="BD1508"/>
      <c r="BE1508"/>
      <c r="BF1508"/>
      <c r="BG1508"/>
      <c r="BH1508"/>
      <c r="BI1508"/>
      <c r="BJ1508"/>
      <c r="BR1508"/>
      <c r="BS1508"/>
      <c r="BT1508"/>
      <c r="BU1508"/>
      <c r="BX1508"/>
    </row>
    <row r="1509" spans="2:76" ht="18.75">
      <c r="B1509" s="252" t="s">
        <v>472</v>
      </c>
      <c r="C1509" s="251">
        <v>9087301000179</v>
      </c>
      <c r="D1509" s="252" t="s">
        <v>11</v>
      </c>
      <c r="E1509" s="252" t="s">
        <v>621</v>
      </c>
      <c r="F1509" s="252" t="s">
        <v>672</v>
      </c>
      <c r="G1509" s="253" t="s">
        <v>865</v>
      </c>
      <c r="H1509" s="253" t="s">
        <v>34</v>
      </c>
      <c r="I1509" s="253" t="s">
        <v>1417</v>
      </c>
      <c r="J1509" s="253" t="s">
        <v>608</v>
      </c>
      <c r="K1509" s="253" t="s">
        <v>48</v>
      </c>
      <c r="L1509" s="655"/>
      <c r="M1509" s="655" t="s">
        <v>34</v>
      </c>
      <c r="N1509" s="253" t="s">
        <v>4172</v>
      </c>
      <c r="O1509" s="253" t="s">
        <v>1321</v>
      </c>
      <c r="P1509" s="656">
        <v>40447</v>
      </c>
      <c r="Q1509" s="657">
        <v>220.11462800000001</v>
      </c>
      <c r="R1509" s="657">
        <v>259.13482902008025</v>
      </c>
      <c r="S1509" s="253">
        <v>1</v>
      </c>
      <c r="T1509" s="658">
        <v>1.3544996876492688E-2</v>
      </c>
      <c r="U1509" s="659">
        <v>0.67730470639887641</v>
      </c>
      <c r="V1509" s="658">
        <v>5.7672216474903948E-2</v>
      </c>
      <c r="W1509" s="659">
        <v>0.44726592145636551</v>
      </c>
      <c r="X1509" s="658">
        <v>3.2115607538860891E-2</v>
      </c>
      <c r="Y1509" s="659">
        <v>0.16632649302914693</v>
      </c>
      <c r="Z1509" s="658">
        <v>5.9738121862388471E-2</v>
      </c>
      <c r="AA1509" s="659">
        <v>0.26973416857467963</v>
      </c>
      <c r="AB1509" s="658">
        <v>0.32183915445427203</v>
      </c>
      <c r="AC1509" s="660">
        <v>-0.22145128081987589</v>
      </c>
      <c r="AD1509" s="682">
        <v>0</v>
      </c>
      <c r="AE1509" s="944" t="s">
        <v>1738</v>
      </c>
      <c r="AF1509" s="661" t="s">
        <v>1739</v>
      </c>
      <c r="AG1509" s="662" t="s">
        <v>728</v>
      </c>
      <c r="AH1509" s="662" t="s">
        <v>1734</v>
      </c>
      <c r="AI1509" s="662">
        <v>1000</v>
      </c>
      <c r="AJ1509" s="662">
        <v>100</v>
      </c>
      <c r="AK1509" s="662">
        <v>500</v>
      </c>
      <c r="AL1509" s="658">
        <v>5.0000000000000001E-3</v>
      </c>
      <c r="AM1509" s="658">
        <v>0</v>
      </c>
      <c r="AN1509" s="659" t="s">
        <v>150</v>
      </c>
      <c r="AO1509" s="253" t="s">
        <v>34</v>
      </c>
      <c r="AP1509" s="944" t="s">
        <v>1735</v>
      </c>
      <c r="AQ1509" s="663" t="s">
        <v>680</v>
      </c>
      <c r="AR1509" s="658">
        <v>1.33333333333333E-3</v>
      </c>
      <c r="AS1509" s="658">
        <v>1.33333333333333E-3</v>
      </c>
      <c r="AT1509" s="658" t="s">
        <v>1417</v>
      </c>
      <c r="AU1509" s="658" t="s">
        <v>2751</v>
      </c>
      <c r="AX1509"/>
      <c r="AY1509"/>
      <c r="BA1509"/>
      <c r="BB1509"/>
      <c r="BC1509"/>
      <c r="BD1509"/>
      <c r="BE1509"/>
      <c r="BF1509"/>
      <c r="BG1509"/>
      <c r="BH1509"/>
      <c r="BI1509"/>
      <c r="BJ1509"/>
      <c r="BR1509"/>
      <c r="BS1509"/>
      <c r="BT1509"/>
      <c r="BU1509"/>
      <c r="BX1509"/>
    </row>
    <row r="1510" spans="2:76" ht="18.75">
      <c r="B1510" s="252" t="s">
        <v>38</v>
      </c>
      <c r="C1510" s="251">
        <v>17517577000178</v>
      </c>
      <c r="D1510" s="252" t="s">
        <v>11</v>
      </c>
      <c r="E1510" s="252" t="s">
        <v>621</v>
      </c>
      <c r="F1510" s="252" t="s">
        <v>672</v>
      </c>
      <c r="G1510" s="253" t="s">
        <v>738</v>
      </c>
      <c r="H1510" s="253" t="s">
        <v>34</v>
      </c>
      <c r="I1510" s="253" t="s">
        <v>1417</v>
      </c>
      <c r="J1510" s="253" t="s">
        <v>608</v>
      </c>
      <c r="K1510" s="253" t="s">
        <v>48</v>
      </c>
      <c r="L1510" s="655"/>
      <c r="M1510" s="655" t="s">
        <v>34</v>
      </c>
      <c r="N1510" s="253" t="s">
        <v>4173</v>
      </c>
      <c r="O1510" s="253" t="s">
        <v>1321</v>
      </c>
      <c r="P1510" s="656">
        <v>41515</v>
      </c>
      <c r="Q1510" s="657">
        <v>425.94710199999997</v>
      </c>
      <c r="R1510" s="657">
        <v>527.9064500602409</v>
      </c>
      <c r="S1510" s="253">
        <v>1</v>
      </c>
      <c r="T1510" s="658">
        <v>2.6776072720907651E-2</v>
      </c>
      <c r="U1510" s="659">
        <v>1.338912089689998</v>
      </c>
      <c r="V1510" s="658">
        <v>9.250743014088636E-2</v>
      </c>
      <c r="W1510" s="659">
        <v>0.71742380495343727</v>
      </c>
      <c r="X1510" s="658">
        <v>0.12517992030968639</v>
      </c>
      <c r="Y1510" s="659">
        <v>0.64830587799357298</v>
      </c>
      <c r="Z1510" s="658">
        <v>0.18994852157163722</v>
      </c>
      <c r="AA1510" s="659">
        <v>0.85767019351797613</v>
      </c>
      <c r="AB1510" s="658">
        <v>0.40436139311157882</v>
      </c>
      <c r="AC1510" s="660">
        <v>-9.0108699610320545E-2</v>
      </c>
      <c r="AD1510" s="682">
        <v>0</v>
      </c>
      <c r="AE1510" s="944" t="s">
        <v>1738</v>
      </c>
      <c r="AF1510" s="661" t="s">
        <v>1739</v>
      </c>
      <c r="AG1510" s="662" t="s">
        <v>728</v>
      </c>
      <c r="AH1510" s="662" t="s">
        <v>1734</v>
      </c>
      <c r="AI1510" s="662">
        <v>1000</v>
      </c>
      <c r="AJ1510" s="662">
        <v>100</v>
      </c>
      <c r="AK1510" s="662">
        <v>500</v>
      </c>
      <c r="AL1510" s="658">
        <v>4.0000000000000001E-3</v>
      </c>
      <c r="AM1510" s="658">
        <v>0</v>
      </c>
      <c r="AN1510" s="659" t="s">
        <v>636</v>
      </c>
      <c r="AO1510" s="253" t="s">
        <v>34</v>
      </c>
      <c r="AP1510" s="944" t="s">
        <v>1735</v>
      </c>
      <c r="AQ1510" s="663" t="s">
        <v>680</v>
      </c>
      <c r="AR1510" s="658">
        <v>1.06666666666667E-3</v>
      </c>
      <c r="AS1510" s="658">
        <v>1.06666666666667E-3</v>
      </c>
      <c r="AT1510" s="658" t="s">
        <v>1417</v>
      </c>
      <c r="AU1510" s="658" t="s">
        <v>2751</v>
      </c>
      <c r="AX1510"/>
      <c r="AY1510"/>
      <c r="BA1510"/>
      <c r="BB1510"/>
      <c r="BC1510"/>
      <c r="BD1510"/>
      <c r="BE1510"/>
      <c r="BF1510"/>
      <c r="BG1510"/>
      <c r="BH1510"/>
      <c r="BI1510"/>
      <c r="BJ1510"/>
      <c r="BR1510"/>
      <c r="BS1510"/>
      <c r="BT1510"/>
      <c r="BU1510"/>
      <c r="BX1510"/>
    </row>
    <row r="1511" spans="2:76" ht="18.75">
      <c r="B1511" s="252" t="s">
        <v>4559</v>
      </c>
      <c r="C1511" s="251">
        <v>7889704000106</v>
      </c>
      <c r="D1511" s="252" t="s">
        <v>11</v>
      </c>
      <c r="E1511" s="252" t="s">
        <v>620</v>
      </c>
      <c r="F1511" s="252" t="s">
        <v>663</v>
      </c>
      <c r="G1511" s="253" t="s">
        <v>1417</v>
      </c>
      <c r="H1511" s="253" t="s">
        <v>34</v>
      </c>
      <c r="I1511" s="253" t="s">
        <v>1417</v>
      </c>
      <c r="J1511" s="253" t="s">
        <v>608</v>
      </c>
      <c r="K1511" s="253" t="s">
        <v>48</v>
      </c>
      <c r="L1511" s="655"/>
      <c r="M1511" s="655" t="s">
        <v>34</v>
      </c>
      <c r="N1511" s="253" t="s">
        <v>4560</v>
      </c>
      <c r="O1511" s="253" t="s">
        <v>1321</v>
      </c>
      <c r="P1511" s="656">
        <v>40219</v>
      </c>
      <c r="Q1511" s="657">
        <v>10.742000000000001</v>
      </c>
      <c r="R1511" s="657">
        <v>10.736110499999999</v>
      </c>
      <c r="S1511" s="253">
        <v>3</v>
      </c>
      <c r="T1511" s="658">
        <v>5.7424910141579133E-4</v>
      </c>
      <c r="U1511" s="659">
        <v>2.8714781005911374E-2</v>
      </c>
      <c r="V1511" s="658">
        <v>5.7424910141579133E-4</v>
      </c>
      <c r="W1511" s="659">
        <v>4.453479841580019E-3</v>
      </c>
      <c r="X1511" s="658">
        <v>5.7424910141579133E-4</v>
      </c>
      <c r="Y1511" s="659">
        <v>2.9740318332154851E-3</v>
      </c>
      <c r="Z1511" s="658">
        <v>5.7424910141579133E-4</v>
      </c>
      <c r="AA1511" s="659">
        <v>2.5928937686048687E-3</v>
      </c>
      <c r="AB1511" s="658">
        <v>3.2595314956675369E-3</v>
      </c>
      <c r="AC1511" s="660">
        <v>-39.382856252807294</v>
      </c>
      <c r="AD1511" s="682">
        <v>0</v>
      </c>
      <c r="AE1511" s="944" t="s">
        <v>1738</v>
      </c>
      <c r="AF1511" s="661" t="s">
        <v>1738</v>
      </c>
      <c r="AG1511" s="662" t="s">
        <v>59</v>
      </c>
      <c r="AH1511" s="662" t="s">
        <v>2119</v>
      </c>
      <c r="AI1511" s="662">
        <v>0</v>
      </c>
      <c r="AJ1511" s="662">
        <v>0</v>
      </c>
      <c r="AK1511" s="662">
        <v>0</v>
      </c>
      <c r="AL1511" s="658">
        <v>6.0000000000000001E-3</v>
      </c>
      <c r="AM1511" s="658">
        <v>0</v>
      </c>
      <c r="AN1511" s="659" t="s">
        <v>2122</v>
      </c>
      <c r="AO1511" s="253" t="s">
        <v>4397</v>
      </c>
      <c r="AP1511" s="944" t="s">
        <v>1735</v>
      </c>
      <c r="AQ1511" s="663" t="s">
        <v>2190</v>
      </c>
      <c r="AR1511" s="658">
        <v>0</v>
      </c>
      <c r="AS1511" s="658">
        <v>0</v>
      </c>
      <c r="AT1511" s="658" t="s">
        <v>1417</v>
      </c>
      <c r="AU1511" s="658" t="s">
        <v>2751</v>
      </c>
      <c r="AX1511"/>
      <c r="AY1511"/>
      <c r="BA1511"/>
      <c r="BB1511"/>
      <c r="BC1511"/>
      <c r="BD1511"/>
      <c r="BE1511"/>
      <c r="BF1511"/>
      <c r="BG1511"/>
      <c r="BH1511"/>
      <c r="BI1511"/>
      <c r="BJ1511"/>
      <c r="BR1511"/>
      <c r="BS1511"/>
      <c r="BT1511"/>
      <c r="BU1511"/>
      <c r="BX1511"/>
    </row>
    <row r="1512" spans="2:76" ht="18.75">
      <c r="B1512" s="252" t="s">
        <v>1280</v>
      </c>
      <c r="C1512" s="251">
        <v>22773406000140</v>
      </c>
      <c r="D1512" s="252" t="s">
        <v>13</v>
      </c>
      <c r="E1512" s="252" t="s">
        <v>615</v>
      </c>
      <c r="F1512" s="252" t="s">
        <v>619</v>
      </c>
      <c r="G1512" s="253" t="s">
        <v>34</v>
      </c>
      <c r="H1512" s="253" t="s">
        <v>1338</v>
      </c>
      <c r="I1512" s="253" t="s">
        <v>34</v>
      </c>
      <c r="J1512" s="253" t="s">
        <v>1417</v>
      </c>
      <c r="K1512" s="253" t="s">
        <v>48</v>
      </c>
      <c r="L1512" s="655"/>
      <c r="M1512" s="655" t="s">
        <v>34</v>
      </c>
      <c r="N1512" s="253" t="s">
        <v>4174</v>
      </c>
      <c r="O1512" s="253" t="s">
        <v>1321</v>
      </c>
      <c r="P1512" s="656">
        <v>42334</v>
      </c>
      <c r="Q1512" s="657">
        <v>25.859686</v>
      </c>
      <c r="R1512" s="657">
        <v>40.066026397590363</v>
      </c>
      <c r="S1512" s="253">
        <v>5</v>
      </c>
      <c r="T1512" s="658">
        <v>2.2599819262285381E-2</v>
      </c>
      <c r="U1512" s="659">
        <v>1.1300825012868827</v>
      </c>
      <c r="V1512" s="658">
        <v>-5.9853859413664834E-2</v>
      </c>
      <c r="W1512" s="659">
        <v>-0.46418523891867025</v>
      </c>
      <c r="X1512" s="658">
        <v>-6.8792527642865697E-2</v>
      </c>
      <c r="Y1512" s="659">
        <v>-0.35627598997164528</v>
      </c>
      <c r="Z1512" s="658">
        <v>-5.5423134522365469E-2</v>
      </c>
      <c r="AA1512" s="659">
        <v>-0.25025080541752331</v>
      </c>
      <c r="AB1512" s="658">
        <v>0.14147400192302237</v>
      </c>
      <c r="AC1512" s="660">
        <v>-1.3345050418746212</v>
      </c>
      <c r="AD1512" s="682">
        <v>22282992000120</v>
      </c>
      <c r="AE1512" s="944" t="s">
        <v>1738</v>
      </c>
      <c r="AF1512" s="661" t="s">
        <v>1739</v>
      </c>
      <c r="AG1512" s="662" t="s">
        <v>728</v>
      </c>
      <c r="AH1512" s="662" t="s">
        <v>1730</v>
      </c>
      <c r="AI1512" s="662">
        <v>1000</v>
      </c>
      <c r="AJ1512" s="662">
        <v>100</v>
      </c>
      <c r="AK1512" s="662">
        <v>500</v>
      </c>
      <c r="AL1512" s="658">
        <v>0.01</v>
      </c>
      <c r="AM1512" s="658">
        <v>0</v>
      </c>
      <c r="AN1512" s="659" t="s">
        <v>2127</v>
      </c>
      <c r="AO1512" s="253" t="s">
        <v>34</v>
      </c>
      <c r="AP1512" s="944" t="s">
        <v>1746</v>
      </c>
      <c r="AQ1512" s="663" t="s">
        <v>679</v>
      </c>
      <c r="AR1512" s="658">
        <v>5.4999999999999997E-3</v>
      </c>
      <c r="AS1512" s="658">
        <v>5.4999999999999997E-3</v>
      </c>
      <c r="AT1512" s="658" t="s">
        <v>1417</v>
      </c>
      <c r="AU1512" s="658" t="s">
        <v>2751</v>
      </c>
      <c r="AX1512"/>
      <c r="AY1512"/>
      <c r="BA1512"/>
      <c r="BB1512"/>
      <c r="BC1512"/>
      <c r="BD1512"/>
      <c r="BE1512"/>
      <c r="BF1512"/>
      <c r="BG1512"/>
      <c r="BH1512"/>
      <c r="BI1512"/>
      <c r="BJ1512"/>
      <c r="BR1512"/>
      <c r="BS1512"/>
      <c r="BT1512"/>
      <c r="BU1512"/>
      <c r="BX1512"/>
    </row>
    <row r="1513" spans="2:76" ht="18.75">
      <c r="B1513" s="252" t="s">
        <v>1281</v>
      </c>
      <c r="C1513" s="251">
        <v>5024659000100</v>
      </c>
      <c r="D1513" s="252" t="s">
        <v>13</v>
      </c>
      <c r="E1513" s="252" t="s">
        <v>615</v>
      </c>
      <c r="F1513" s="252" t="s">
        <v>619</v>
      </c>
      <c r="G1513" s="253" t="s">
        <v>34</v>
      </c>
      <c r="H1513" s="253" t="s">
        <v>1337</v>
      </c>
      <c r="I1513" s="253" t="s">
        <v>34</v>
      </c>
      <c r="J1513" s="253" t="s">
        <v>1417</v>
      </c>
      <c r="K1513" s="253" t="s">
        <v>48</v>
      </c>
      <c r="L1513" s="655"/>
      <c r="M1513" s="655" t="s">
        <v>1414</v>
      </c>
      <c r="N1513" s="253" t="s">
        <v>4175</v>
      </c>
      <c r="O1513" s="253" t="s">
        <v>1321</v>
      </c>
      <c r="P1513" s="656">
        <v>37637</v>
      </c>
      <c r="Q1513" s="657">
        <v>14.109831</v>
      </c>
      <c r="R1513" s="657">
        <v>20.87225043775101</v>
      </c>
      <c r="S1513" s="253">
        <v>1</v>
      </c>
      <c r="T1513" s="658">
        <v>1.3850367588044588E-2</v>
      </c>
      <c r="U1513" s="659">
        <v>0.69257447884817291</v>
      </c>
      <c r="V1513" s="658">
        <v>4.9435618577402307E-2</v>
      </c>
      <c r="W1513" s="659">
        <v>0.3833885508008662</v>
      </c>
      <c r="X1513" s="658">
        <v>5.6310347230271063E-2</v>
      </c>
      <c r="Y1513" s="659">
        <v>0.2916308702779945</v>
      </c>
      <c r="Z1513" s="658">
        <v>8.8028725335026259E-2</v>
      </c>
      <c r="AA1513" s="659">
        <v>0.39747408017997549</v>
      </c>
      <c r="AB1513" s="658">
        <v>3.8928046789083938E-2</v>
      </c>
      <c r="AC1513" s="660">
        <v>-2.0424423372734299</v>
      </c>
      <c r="AD1513" s="682">
        <v>0</v>
      </c>
      <c r="AE1513" s="944" t="s">
        <v>1738</v>
      </c>
      <c r="AF1513" s="661" t="s">
        <v>1739</v>
      </c>
      <c r="AG1513" s="662" t="s">
        <v>728</v>
      </c>
      <c r="AH1513" s="662" t="s">
        <v>1734</v>
      </c>
      <c r="AI1513" s="662">
        <v>5000</v>
      </c>
      <c r="AJ1513" s="662">
        <v>100</v>
      </c>
      <c r="AK1513" s="662">
        <v>1000</v>
      </c>
      <c r="AL1513" s="658">
        <v>1.1000000000000001E-2</v>
      </c>
      <c r="AM1513" s="658">
        <v>0</v>
      </c>
      <c r="AN1513" s="659" t="s">
        <v>2127</v>
      </c>
      <c r="AO1513" s="253" t="s">
        <v>34</v>
      </c>
      <c r="AP1513" s="944" t="s">
        <v>1746</v>
      </c>
      <c r="AQ1513" s="663" t="s">
        <v>664</v>
      </c>
      <c r="AR1513" s="658">
        <v>2.9333333333333299E-3</v>
      </c>
      <c r="AS1513" s="658">
        <v>2.9333333333333299E-3</v>
      </c>
      <c r="AT1513" s="658" t="s">
        <v>1417</v>
      </c>
      <c r="AU1513" s="658" t="s">
        <v>2751</v>
      </c>
      <c r="AX1513"/>
      <c r="AY1513"/>
      <c r="BA1513"/>
      <c r="BB1513"/>
      <c r="BC1513"/>
      <c r="BD1513"/>
      <c r="BE1513"/>
      <c r="BF1513"/>
      <c r="BG1513"/>
      <c r="BH1513"/>
      <c r="BI1513"/>
      <c r="BJ1513"/>
      <c r="BR1513"/>
      <c r="BS1513"/>
      <c r="BT1513"/>
      <c r="BU1513"/>
      <c r="BX1513"/>
    </row>
    <row r="1514" spans="2:76" ht="18.75">
      <c r="B1514" s="252" t="s">
        <v>1282</v>
      </c>
      <c r="C1514" s="251">
        <v>3499367000190</v>
      </c>
      <c r="D1514" s="252" t="s">
        <v>11</v>
      </c>
      <c r="E1514" s="252" t="s">
        <v>620</v>
      </c>
      <c r="F1514" s="252" t="s">
        <v>663</v>
      </c>
      <c r="G1514" s="253" t="s">
        <v>738</v>
      </c>
      <c r="H1514" s="253" t="s">
        <v>34</v>
      </c>
      <c r="I1514" s="253" t="s">
        <v>1304</v>
      </c>
      <c r="J1514" s="253" t="s">
        <v>608</v>
      </c>
      <c r="K1514" s="253" t="s">
        <v>48</v>
      </c>
      <c r="L1514" s="655"/>
      <c r="M1514" s="655" t="s">
        <v>34</v>
      </c>
      <c r="N1514" s="253" t="s">
        <v>4176</v>
      </c>
      <c r="O1514" s="253" t="s">
        <v>1321</v>
      </c>
      <c r="P1514" s="656">
        <v>36608</v>
      </c>
      <c r="Q1514" s="657">
        <v>583.71020999999996</v>
      </c>
      <c r="R1514" s="657">
        <v>729.81639795161311</v>
      </c>
      <c r="S1514" s="253">
        <v>1</v>
      </c>
      <c r="T1514" s="658">
        <v>5.213480389965941E-3</v>
      </c>
      <c r="U1514" s="659">
        <v>0.26069513614805057</v>
      </c>
      <c r="V1514" s="658">
        <v>0.10735550885945799</v>
      </c>
      <c r="W1514" s="659">
        <v>0.8325752594290674</v>
      </c>
      <c r="X1514" s="658">
        <v>0.15980623503981128</v>
      </c>
      <c r="Y1514" s="659">
        <v>0.82763530492769732</v>
      </c>
      <c r="Z1514" s="658">
        <v>0.19247438131914496</v>
      </c>
      <c r="AA1514" s="659">
        <v>0.86907514997944146</v>
      </c>
      <c r="AB1514" s="658">
        <v>1.3720334949100257E-2</v>
      </c>
      <c r="AC1514" s="660">
        <v>-1.5734601718849486</v>
      </c>
      <c r="AD1514" s="682">
        <v>0</v>
      </c>
      <c r="AE1514" s="944" t="s">
        <v>1738</v>
      </c>
      <c r="AF1514" s="661" t="s">
        <v>1739</v>
      </c>
      <c r="AG1514" s="662" t="s">
        <v>728</v>
      </c>
      <c r="AH1514" s="662" t="s">
        <v>1734</v>
      </c>
      <c r="AI1514" s="662">
        <v>1000</v>
      </c>
      <c r="AJ1514" s="662">
        <v>100</v>
      </c>
      <c r="AK1514" s="662">
        <v>500</v>
      </c>
      <c r="AL1514" s="658">
        <v>4.0000000000000001E-3</v>
      </c>
      <c r="AM1514" s="658">
        <v>0</v>
      </c>
      <c r="AN1514" s="659" t="s">
        <v>34</v>
      </c>
      <c r="AO1514" s="253" t="s">
        <v>34</v>
      </c>
      <c r="AP1514" s="944" t="s">
        <v>1735</v>
      </c>
      <c r="AQ1514" s="663" t="s">
        <v>669</v>
      </c>
      <c r="AR1514" s="658">
        <v>1.06666666666667E-3</v>
      </c>
      <c r="AS1514" s="658">
        <v>1.06666666666667E-3</v>
      </c>
      <c r="AT1514" s="658" t="s">
        <v>1417</v>
      </c>
      <c r="AU1514" s="658" t="s">
        <v>2751</v>
      </c>
      <c r="AX1514"/>
      <c r="AY1514"/>
      <c r="BA1514"/>
      <c r="BB1514"/>
      <c r="BC1514"/>
      <c r="BD1514"/>
      <c r="BE1514"/>
      <c r="BF1514"/>
      <c r="BG1514"/>
      <c r="BH1514"/>
      <c r="BI1514"/>
      <c r="BJ1514"/>
      <c r="BR1514"/>
      <c r="BS1514"/>
      <c r="BT1514"/>
      <c r="BU1514"/>
      <c r="BX1514"/>
    </row>
    <row r="1515" spans="2:76" ht="18.75">
      <c r="B1515" s="252" t="s">
        <v>440</v>
      </c>
      <c r="C1515" s="251">
        <v>9087523000191</v>
      </c>
      <c r="D1515" s="252" t="s">
        <v>14</v>
      </c>
      <c r="E1515" s="252" t="s">
        <v>607</v>
      </c>
      <c r="F1515" s="252" t="s">
        <v>1417</v>
      </c>
      <c r="G1515" s="253" t="s">
        <v>1417</v>
      </c>
      <c r="H1515" s="253" t="s">
        <v>34</v>
      </c>
      <c r="I1515" s="253" t="s">
        <v>34</v>
      </c>
      <c r="J1515" s="253" t="s">
        <v>608</v>
      </c>
      <c r="K1515" s="253" t="s">
        <v>48</v>
      </c>
      <c r="L1515" s="655"/>
      <c r="M1515" s="655" t="s">
        <v>34</v>
      </c>
      <c r="N1515" s="253" t="s">
        <v>4178</v>
      </c>
      <c r="O1515" s="253" t="s">
        <v>1321</v>
      </c>
      <c r="P1515" s="656">
        <v>40356</v>
      </c>
      <c r="Q1515" s="657">
        <v>60.052346</v>
      </c>
      <c r="R1515" s="657">
        <v>76.988533012048208</v>
      </c>
      <c r="S1515" s="253">
        <v>3</v>
      </c>
      <c r="T1515" s="658">
        <v>-3.2637456001942011E-2</v>
      </c>
      <c r="U1515" s="659">
        <v>-1.6320049946534598</v>
      </c>
      <c r="V1515" s="658">
        <v>-0.11906929556096213</v>
      </c>
      <c r="W1515" s="659">
        <v>-0.92341930744777667</v>
      </c>
      <c r="X1515" s="658">
        <v>-0.22964587453910512</v>
      </c>
      <c r="Y1515" s="659">
        <v>-1.1893342794304056</v>
      </c>
      <c r="Z1515" s="658">
        <v>-0.20568815193023227</v>
      </c>
      <c r="AA1515" s="659">
        <v>-0.92873898470341554</v>
      </c>
      <c r="AB1515" s="658">
        <v>0.88705419150522824</v>
      </c>
      <c r="AC1515" s="660">
        <v>-0.27959194306595947</v>
      </c>
      <c r="AD1515" s="682">
        <v>0</v>
      </c>
      <c r="AE1515" s="944" t="s">
        <v>1738</v>
      </c>
      <c r="AF1515" s="661" t="s">
        <v>1739</v>
      </c>
      <c r="AG1515" s="662" t="s">
        <v>728</v>
      </c>
      <c r="AH1515" s="662" t="s">
        <v>1734</v>
      </c>
      <c r="AI1515" s="662">
        <v>1000</v>
      </c>
      <c r="AJ1515" s="662">
        <v>100</v>
      </c>
      <c r="AK1515" s="662">
        <v>500</v>
      </c>
      <c r="AL1515" s="658">
        <v>2.5000000000000001E-2</v>
      </c>
      <c r="AM1515" s="658">
        <v>0</v>
      </c>
      <c r="AN1515" s="659" t="s">
        <v>34</v>
      </c>
      <c r="AO1515" s="253" t="s">
        <v>34</v>
      </c>
      <c r="AP1515" s="944" t="s">
        <v>1731</v>
      </c>
      <c r="AQ1515" s="663" t="s">
        <v>659</v>
      </c>
      <c r="AR1515" s="658">
        <v>6.6666666666666697E-3</v>
      </c>
      <c r="AS1515" s="658">
        <v>6.6666666666666697E-3</v>
      </c>
      <c r="AT1515" s="658" t="s">
        <v>1417</v>
      </c>
      <c r="AU1515" s="658" t="s">
        <v>2751</v>
      </c>
      <c r="AX1515"/>
      <c r="AY1515"/>
      <c r="BA1515"/>
      <c r="BB1515"/>
      <c r="BC1515"/>
      <c r="BD1515"/>
      <c r="BE1515"/>
      <c r="BF1515"/>
      <c r="BG1515"/>
      <c r="BH1515"/>
      <c r="BI1515"/>
      <c r="BJ1515"/>
      <c r="BR1515"/>
      <c r="BS1515"/>
      <c r="BT1515"/>
      <c r="BU1515"/>
      <c r="BX1515"/>
    </row>
    <row r="1516" spans="2:76" ht="18.75">
      <c r="B1516" s="252" t="s">
        <v>1283</v>
      </c>
      <c r="C1516" s="251">
        <v>23872712000104</v>
      </c>
      <c r="D1516" s="252" t="s">
        <v>13</v>
      </c>
      <c r="E1516" s="252" t="s">
        <v>615</v>
      </c>
      <c r="F1516" s="252" t="s">
        <v>619</v>
      </c>
      <c r="G1516" s="253" t="s">
        <v>34</v>
      </c>
      <c r="H1516" s="253" t="s">
        <v>1338</v>
      </c>
      <c r="I1516" s="253" t="s">
        <v>34</v>
      </c>
      <c r="J1516" s="253" t="s">
        <v>1417</v>
      </c>
      <c r="K1516" s="253" t="s">
        <v>49</v>
      </c>
      <c r="L1516" s="655"/>
      <c r="M1516" s="655" t="s">
        <v>34</v>
      </c>
      <c r="N1516" s="253" t="s">
        <v>4179</v>
      </c>
      <c r="O1516" s="253" t="s">
        <v>1321</v>
      </c>
      <c r="P1516" s="656">
        <v>42589</v>
      </c>
      <c r="Q1516" s="657">
        <v>65.646019999999993</v>
      </c>
      <c r="R1516" s="657">
        <v>90.992558491612911</v>
      </c>
      <c r="S1516" s="253">
        <v>5</v>
      </c>
      <c r="T1516" s="658">
        <v>-3.8997133619599333E-3</v>
      </c>
      <c r="U1516" s="659">
        <v>-0.19500146347364672</v>
      </c>
      <c r="V1516" s="658">
        <v>-0.12076374864458217</v>
      </c>
      <c r="W1516" s="659">
        <v>-0.93656031651823068</v>
      </c>
      <c r="X1516" s="658">
        <v>-0.22205316261061792</v>
      </c>
      <c r="Y1516" s="659">
        <v>-1.1500116807183078</v>
      </c>
      <c r="Z1516" s="658">
        <v>-1.9120186661991889E-2</v>
      </c>
      <c r="AA1516" s="659">
        <v>-8.6332939360655975E-2</v>
      </c>
      <c r="AB1516" s="658">
        <v>0.20800032310643363</v>
      </c>
      <c r="AC1516" s="660">
        <v>-1.2005157221010434</v>
      </c>
      <c r="AD1516" s="682">
        <v>0</v>
      </c>
      <c r="AE1516" s="944" t="s">
        <v>1738</v>
      </c>
      <c r="AF1516" s="661" t="s">
        <v>1739</v>
      </c>
      <c r="AG1516" s="662" t="s">
        <v>728</v>
      </c>
      <c r="AH1516" s="662" t="s">
        <v>1730</v>
      </c>
      <c r="AI1516" s="662">
        <v>1000</v>
      </c>
      <c r="AJ1516" s="662">
        <v>100</v>
      </c>
      <c r="AK1516" s="662">
        <v>500</v>
      </c>
      <c r="AL1516" s="658">
        <v>0.01</v>
      </c>
      <c r="AM1516" s="658">
        <v>0</v>
      </c>
      <c r="AN1516" s="659" t="s">
        <v>2127</v>
      </c>
      <c r="AO1516" s="253" t="s">
        <v>34</v>
      </c>
      <c r="AP1516" s="944" t="s">
        <v>1746</v>
      </c>
      <c r="AQ1516" s="663" t="s">
        <v>679</v>
      </c>
      <c r="AR1516" s="658">
        <v>5.3333333333333297E-3</v>
      </c>
      <c r="AS1516" s="658">
        <v>5.3333333333333297E-3</v>
      </c>
      <c r="AT1516" s="658" t="s">
        <v>1417</v>
      </c>
      <c r="AU1516" s="658" t="s">
        <v>2751</v>
      </c>
      <c r="AX1516"/>
      <c r="AY1516"/>
      <c r="BA1516"/>
      <c r="BB1516"/>
      <c r="BC1516"/>
      <c r="BD1516"/>
      <c r="BE1516"/>
      <c r="BF1516"/>
      <c r="BG1516"/>
      <c r="BH1516"/>
      <c r="BI1516"/>
      <c r="BJ1516"/>
      <c r="BR1516"/>
      <c r="BS1516"/>
      <c r="BT1516"/>
      <c r="BU1516"/>
      <c r="BX1516"/>
    </row>
    <row r="1517" spans="2:76" ht="18.75">
      <c r="B1517" s="252" t="s">
        <v>1312</v>
      </c>
      <c r="C1517" s="251">
        <v>42014125000110</v>
      </c>
      <c r="D1517" s="252" t="s">
        <v>13</v>
      </c>
      <c r="E1517" s="252" t="s">
        <v>616</v>
      </c>
      <c r="F1517" s="252" t="s">
        <v>619</v>
      </c>
      <c r="G1517" s="253" t="s">
        <v>34</v>
      </c>
      <c r="H1517" s="253" t="s">
        <v>1338</v>
      </c>
      <c r="I1517" s="253" t="s">
        <v>34</v>
      </c>
      <c r="J1517" s="253" t="s">
        <v>612</v>
      </c>
      <c r="K1517" s="253" t="s">
        <v>48</v>
      </c>
      <c r="L1517" s="655"/>
      <c r="M1517" s="655" t="s">
        <v>34</v>
      </c>
      <c r="N1517" s="253" t="s">
        <v>4180</v>
      </c>
      <c r="O1517" s="253" t="s">
        <v>1321</v>
      </c>
      <c r="P1517" s="656">
        <v>44461</v>
      </c>
      <c r="Q1517" s="657"/>
      <c r="R1517" s="657"/>
      <c r="S1517" s="253">
        <v>6</v>
      </c>
      <c r="T1517" s="658"/>
      <c r="U1517" s="659"/>
      <c r="V1517" s="658"/>
      <c r="W1517" s="659"/>
      <c r="X1517" s="658"/>
      <c r="Y1517" s="659"/>
      <c r="Z1517" s="658"/>
      <c r="AA1517" s="659"/>
      <c r="AB1517" s="658"/>
      <c r="AC1517" s="660"/>
      <c r="AD1517" s="682">
        <v>42046741000153</v>
      </c>
      <c r="AE1517" s="944" t="s">
        <v>2059</v>
      </c>
      <c r="AF1517" s="661" t="s">
        <v>1767</v>
      </c>
      <c r="AG1517" s="662" t="s">
        <v>59</v>
      </c>
      <c r="AH1517" s="662" t="s">
        <v>1730</v>
      </c>
      <c r="AI1517" s="662">
        <v>5000</v>
      </c>
      <c r="AJ1517" s="662">
        <v>5000</v>
      </c>
      <c r="AK1517" s="662">
        <v>5000</v>
      </c>
      <c r="AL1517" s="658">
        <v>1.9299999999999998E-2</v>
      </c>
      <c r="AM1517" s="658">
        <v>0.2</v>
      </c>
      <c r="AN1517" s="659" t="s">
        <v>64</v>
      </c>
      <c r="AO1517" s="253" t="s">
        <v>34</v>
      </c>
      <c r="AP1517" s="944" t="s">
        <v>1746</v>
      </c>
      <c r="AQ1517" s="663" t="s">
        <v>664</v>
      </c>
      <c r="AR1517" s="658">
        <v>5.14666666666667E-3</v>
      </c>
      <c r="AS1517" s="658">
        <v>5.14666666666667E-3</v>
      </c>
      <c r="AT1517" s="658" t="s">
        <v>1417</v>
      </c>
      <c r="AU1517" s="658" t="s">
        <v>2751</v>
      </c>
      <c r="AX1517"/>
      <c r="AY1517"/>
      <c r="BA1517"/>
      <c r="BB1517"/>
      <c r="BC1517"/>
      <c r="BD1517"/>
      <c r="BE1517"/>
      <c r="BF1517"/>
      <c r="BG1517"/>
      <c r="BH1517"/>
      <c r="BI1517"/>
      <c r="BJ1517"/>
      <c r="BR1517"/>
      <c r="BS1517"/>
      <c r="BT1517"/>
      <c r="BU1517"/>
      <c r="BX1517"/>
    </row>
    <row r="1518" spans="2:76" ht="18.75">
      <c r="B1518" s="252" t="s">
        <v>1313</v>
      </c>
      <c r="C1518" s="251">
        <v>41326212000140</v>
      </c>
      <c r="D1518" s="252" t="s">
        <v>14</v>
      </c>
      <c r="E1518" s="252" t="s">
        <v>607</v>
      </c>
      <c r="F1518" s="252" t="s">
        <v>1417</v>
      </c>
      <c r="G1518" s="253" t="s">
        <v>1417</v>
      </c>
      <c r="H1518" s="253" t="s">
        <v>34</v>
      </c>
      <c r="I1518" s="253" t="s">
        <v>34</v>
      </c>
      <c r="J1518" s="253" t="s">
        <v>611</v>
      </c>
      <c r="K1518" s="253" t="s">
        <v>48</v>
      </c>
      <c r="L1518" s="655"/>
      <c r="M1518" s="655" t="s">
        <v>34</v>
      </c>
      <c r="N1518" s="253" t="s">
        <v>4181</v>
      </c>
      <c r="O1518" s="253" t="s">
        <v>1324</v>
      </c>
      <c r="P1518" s="656">
        <v>44329</v>
      </c>
      <c r="Q1518" s="657">
        <v>0</v>
      </c>
      <c r="R1518" s="657">
        <v>0</v>
      </c>
      <c r="S1518" s="253">
        <v>6</v>
      </c>
      <c r="T1518" s="658"/>
      <c r="U1518" s="659"/>
      <c r="V1518" s="658"/>
      <c r="W1518" s="659"/>
      <c r="X1518" s="658"/>
      <c r="Y1518" s="659"/>
      <c r="Z1518" s="658"/>
      <c r="AA1518" s="659"/>
      <c r="AB1518" s="658"/>
      <c r="AC1518" s="660"/>
      <c r="AD1518" s="682">
        <v>41326197000130</v>
      </c>
      <c r="AE1518" s="944" t="s">
        <v>2059</v>
      </c>
      <c r="AF1518" s="661" t="s">
        <v>1767</v>
      </c>
      <c r="AG1518" s="662" t="s">
        <v>59</v>
      </c>
      <c r="AH1518" s="662" t="s">
        <v>1730</v>
      </c>
      <c r="AI1518" s="662">
        <v>5000</v>
      </c>
      <c r="AJ1518" s="662">
        <v>0</v>
      </c>
      <c r="AK1518" s="662">
        <v>0</v>
      </c>
      <c r="AL1518" s="658">
        <v>1.95E-2</v>
      </c>
      <c r="AM1518" s="658">
        <v>0.2</v>
      </c>
      <c r="AN1518" s="659" t="s">
        <v>2122</v>
      </c>
      <c r="AO1518" s="253" t="s">
        <v>34</v>
      </c>
      <c r="AP1518" s="944" t="s">
        <v>1731</v>
      </c>
      <c r="AQ1518" s="663" t="s">
        <v>687</v>
      </c>
      <c r="AR1518" s="658">
        <v>5.1999999999999998E-3</v>
      </c>
      <c r="AS1518" s="658">
        <v>5.1999999999999998E-3</v>
      </c>
      <c r="AT1518" s="658" t="s">
        <v>1417</v>
      </c>
      <c r="AU1518" s="658" t="s">
        <v>2751</v>
      </c>
      <c r="AX1518"/>
      <c r="AY1518"/>
      <c r="BA1518"/>
      <c r="BB1518"/>
      <c r="BC1518"/>
      <c r="BD1518"/>
      <c r="BE1518"/>
      <c r="BF1518"/>
      <c r="BG1518"/>
      <c r="BH1518"/>
      <c r="BI1518"/>
      <c r="BJ1518"/>
      <c r="BR1518"/>
      <c r="BS1518"/>
      <c r="BT1518"/>
      <c r="BU1518"/>
      <c r="BX1518"/>
    </row>
    <row r="1519" spans="2:76" ht="18.75">
      <c r="B1519" s="252" t="s">
        <v>1314</v>
      </c>
      <c r="C1519" s="251">
        <v>41409952000140</v>
      </c>
      <c r="D1519" s="252" t="s">
        <v>14</v>
      </c>
      <c r="E1519" s="252" t="s">
        <v>607</v>
      </c>
      <c r="F1519" s="252" t="s">
        <v>1417</v>
      </c>
      <c r="G1519" s="253" t="s">
        <v>1417</v>
      </c>
      <c r="H1519" s="253" t="s">
        <v>34</v>
      </c>
      <c r="I1519" s="253" t="s">
        <v>34</v>
      </c>
      <c r="J1519" s="253" t="s">
        <v>611</v>
      </c>
      <c r="K1519" s="253" t="s">
        <v>49</v>
      </c>
      <c r="L1519" s="655"/>
      <c r="M1519" s="655" t="s">
        <v>34</v>
      </c>
      <c r="N1519" s="253" t="s">
        <v>4182</v>
      </c>
      <c r="O1519" s="253" t="s">
        <v>1321</v>
      </c>
      <c r="P1519" s="656">
        <v>44329</v>
      </c>
      <c r="Q1519" s="657">
        <v>0</v>
      </c>
      <c r="R1519" s="657">
        <v>0</v>
      </c>
      <c r="S1519" s="253">
        <v>6</v>
      </c>
      <c r="T1519" s="658"/>
      <c r="U1519" s="659"/>
      <c r="V1519" s="658"/>
      <c r="W1519" s="659"/>
      <c r="X1519" s="658"/>
      <c r="Y1519" s="659"/>
      <c r="Z1519" s="658"/>
      <c r="AA1519" s="659"/>
      <c r="AB1519" s="658"/>
      <c r="AC1519" s="660"/>
      <c r="AD1519" s="682">
        <v>41326197000130</v>
      </c>
      <c r="AE1519" s="944" t="s">
        <v>2059</v>
      </c>
      <c r="AF1519" s="661" t="s">
        <v>1767</v>
      </c>
      <c r="AG1519" s="662" t="s">
        <v>59</v>
      </c>
      <c r="AH1519" s="662" t="s">
        <v>1730</v>
      </c>
      <c r="AI1519" s="662">
        <v>5000</v>
      </c>
      <c r="AJ1519" s="662">
        <v>0</v>
      </c>
      <c r="AK1519" s="662">
        <v>0</v>
      </c>
      <c r="AL1519" s="658">
        <v>1.95E-2</v>
      </c>
      <c r="AM1519" s="658">
        <v>0.2</v>
      </c>
      <c r="AN1519" s="659" t="s">
        <v>2122</v>
      </c>
      <c r="AO1519" s="253" t="s">
        <v>34</v>
      </c>
      <c r="AP1519" s="944" t="s">
        <v>1731</v>
      </c>
      <c r="AQ1519" s="663" t="s">
        <v>687</v>
      </c>
      <c r="AR1519" s="658">
        <v>5.1999999999999998E-3</v>
      </c>
      <c r="AS1519" s="658">
        <v>5.1999999999999998E-3</v>
      </c>
      <c r="AT1519" s="658" t="s">
        <v>1417</v>
      </c>
      <c r="AU1519" s="658" t="s">
        <v>2751</v>
      </c>
      <c r="AX1519"/>
      <c r="AY1519"/>
      <c r="BA1519"/>
      <c r="BB1519"/>
      <c r="BC1519"/>
      <c r="BD1519"/>
      <c r="BE1519"/>
      <c r="BF1519"/>
      <c r="BG1519"/>
      <c r="BH1519"/>
      <c r="BI1519"/>
      <c r="BJ1519"/>
      <c r="BR1519"/>
      <c r="BS1519"/>
      <c r="BT1519"/>
      <c r="BU1519"/>
      <c r="BX1519"/>
    </row>
    <row r="1520" spans="2:76" ht="18.75">
      <c r="B1520" s="252" t="s">
        <v>1315</v>
      </c>
      <c r="C1520" s="251">
        <v>41978534000174</v>
      </c>
      <c r="D1520" s="252" t="s">
        <v>11</v>
      </c>
      <c r="E1520" s="252" t="s">
        <v>620</v>
      </c>
      <c r="F1520" s="252" t="s">
        <v>619</v>
      </c>
      <c r="G1520" s="253" t="s">
        <v>738</v>
      </c>
      <c r="H1520" s="253" t="s">
        <v>34</v>
      </c>
      <c r="I1520" s="253" t="s">
        <v>1417</v>
      </c>
      <c r="J1520" s="253" t="s">
        <v>608</v>
      </c>
      <c r="K1520" s="253" t="s">
        <v>48</v>
      </c>
      <c r="L1520" s="655"/>
      <c r="M1520" s="655" t="s">
        <v>34</v>
      </c>
      <c r="N1520" s="253" t="s">
        <v>4183</v>
      </c>
      <c r="O1520" s="253" t="s">
        <v>1321</v>
      </c>
      <c r="P1520" s="656">
        <v>44425</v>
      </c>
      <c r="Q1520" s="657">
        <v>569.41971000000001</v>
      </c>
      <c r="R1520" s="657">
        <v>427.43664402597392</v>
      </c>
      <c r="S1520" s="253">
        <v>6</v>
      </c>
      <c r="T1520" s="658">
        <v>1.7709624122263623E-2</v>
      </c>
      <c r="U1520" s="659">
        <v>0.88555293706868188</v>
      </c>
      <c r="V1520" s="658">
        <v>0.12317656891049933</v>
      </c>
      <c r="W1520" s="659">
        <v>0.95527248583486568</v>
      </c>
      <c r="X1520" s="658"/>
      <c r="Y1520" s="659"/>
      <c r="Z1520" s="658"/>
      <c r="AA1520" s="659"/>
      <c r="AB1520" s="658">
        <v>2.8519331099643812E-2</v>
      </c>
      <c r="AC1520" s="660">
        <v>-0.20222565936551903</v>
      </c>
      <c r="AD1520" s="682">
        <v>41955522000124</v>
      </c>
      <c r="AE1520" s="944" t="s">
        <v>2059</v>
      </c>
      <c r="AF1520" s="661" t="s">
        <v>1767</v>
      </c>
      <c r="AG1520" s="662" t="s">
        <v>59</v>
      </c>
      <c r="AH1520" s="662" t="s">
        <v>1730</v>
      </c>
      <c r="AI1520" s="662">
        <v>50000</v>
      </c>
      <c r="AJ1520" s="662">
        <v>5000</v>
      </c>
      <c r="AK1520" s="662">
        <v>50000</v>
      </c>
      <c r="AL1520" s="658">
        <v>0</v>
      </c>
      <c r="AM1520" s="658">
        <v>0</v>
      </c>
      <c r="AN1520" s="659" t="s">
        <v>64</v>
      </c>
      <c r="AO1520" s="253" t="s">
        <v>34</v>
      </c>
      <c r="AP1520" s="944" t="s">
        <v>1746</v>
      </c>
      <c r="AQ1520" s="663" t="s">
        <v>688</v>
      </c>
      <c r="AR1520" s="658">
        <v>2.48E-3</v>
      </c>
      <c r="AS1520" s="658">
        <v>2.48E-3</v>
      </c>
      <c r="AT1520" s="658" t="s">
        <v>1417</v>
      </c>
      <c r="AU1520" s="658" t="s">
        <v>2751</v>
      </c>
      <c r="AX1520"/>
      <c r="AY1520"/>
      <c r="BA1520"/>
      <c r="BB1520"/>
      <c r="BC1520"/>
      <c r="BD1520"/>
      <c r="BE1520"/>
      <c r="BF1520"/>
      <c r="BG1520"/>
      <c r="BH1520"/>
      <c r="BI1520"/>
      <c r="BJ1520"/>
      <c r="BR1520"/>
      <c r="BS1520"/>
      <c r="BT1520"/>
      <c r="BU1520"/>
      <c r="BX1520"/>
    </row>
    <row r="1521" spans="2:76" ht="18.75">
      <c r="B1521" s="252" t="s">
        <v>546</v>
      </c>
      <c r="C1521" s="251">
        <v>41762791000174</v>
      </c>
      <c r="D1521" s="252" t="s">
        <v>13</v>
      </c>
      <c r="E1521" s="252" t="s">
        <v>615</v>
      </c>
      <c r="F1521" s="252" t="s">
        <v>619</v>
      </c>
      <c r="G1521" s="253" t="s">
        <v>34</v>
      </c>
      <c r="H1521" s="253" t="s">
        <v>1337</v>
      </c>
      <c r="I1521" s="253" t="s">
        <v>34</v>
      </c>
      <c r="J1521" s="253" t="s">
        <v>1417</v>
      </c>
      <c r="K1521" s="253" t="s">
        <v>48</v>
      </c>
      <c r="L1521" s="655"/>
      <c r="M1521" s="655" t="s">
        <v>34</v>
      </c>
      <c r="N1521" s="253" t="s">
        <v>4184</v>
      </c>
      <c r="O1521" s="253" t="s">
        <v>1321</v>
      </c>
      <c r="P1521" s="656">
        <v>44332</v>
      </c>
      <c r="Q1521" s="657">
        <v>6.4236566100000001</v>
      </c>
      <c r="R1521" s="657">
        <v>9.0351759623267363</v>
      </c>
      <c r="S1521" s="253">
        <v>6</v>
      </c>
      <c r="T1521" s="658">
        <v>-3.5752538913406129E-3</v>
      </c>
      <c r="U1521" s="659">
        <v>-0.17877717575398375</v>
      </c>
      <c r="V1521" s="658">
        <v>4.2618233291399132E-2</v>
      </c>
      <c r="W1521" s="659">
        <v>0.33051761400941948</v>
      </c>
      <c r="X1521" s="658"/>
      <c r="Y1521" s="659"/>
      <c r="Z1521" s="658"/>
      <c r="AA1521" s="659"/>
      <c r="AB1521" s="658">
        <v>3.3711645395683429E-2</v>
      </c>
      <c r="AC1521" s="660">
        <v>-2.5607078842388007</v>
      </c>
      <c r="AD1521" s="682">
        <v>0</v>
      </c>
      <c r="AE1521" s="944" t="s">
        <v>2054</v>
      </c>
      <c r="AF1521" s="661" t="s">
        <v>1745</v>
      </c>
      <c r="AG1521" s="662" t="s">
        <v>1432</v>
      </c>
      <c r="AH1521" s="662" t="s">
        <v>1734</v>
      </c>
      <c r="AI1521" s="662">
        <v>1000</v>
      </c>
      <c r="AJ1521" s="662">
        <v>0</v>
      </c>
      <c r="AK1521" s="662">
        <v>0</v>
      </c>
      <c r="AL1521" s="658">
        <v>1.2500000000000001E-2</v>
      </c>
      <c r="AM1521" s="658">
        <v>0</v>
      </c>
      <c r="AN1521" s="659" t="s">
        <v>34</v>
      </c>
      <c r="AO1521" s="253" t="s">
        <v>34</v>
      </c>
      <c r="AP1521" s="944" t="s">
        <v>1746</v>
      </c>
      <c r="AQ1521" s="663" t="s">
        <v>668</v>
      </c>
      <c r="AR1521" s="658">
        <v>3.7499999999999999E-3</v>
      </c>
      <c r="AS1521" s="658">
        <v>3.7499999999999999E-3</v>
      </c>
      <c r="AT1521" s="658" t="s">
        <v>1417</v>
      </c>
      <c r="AU1521" s="658" t="s">
        <v>2751</v>
      </c>
      <c r="AX1521"/>
      <c r="AY1521"/>
      <c r="BA1521"/>
      <c r="BB1521"/>
      <c r="BC1521"/>
      <c r="BD1521"/>
      <c r="BE1521"/>
      <c r="BF1521"/>
      <c r="BG1521"/>
      <c r="BH1521"/>
      <c r="BI1521"/>
      <c r="BJ1521"/>
      <c r="BR1521"/>
      <c r="BS1521"/>
      <c r="BT1521"/>
      <c r="BU1521"/>
      <c r="BX1521"/>
    </row>
    <row r="1522" spans="2:76" ht="18.75">
      <c r="B1522" s="252" t="s">
        <v>1284</v>
      </c>
      <c r="C1522" s="251">
        <v>29250108000114</v>
      </c>
      <c r="D1522" s="252" t="s">
        <v>13</v>
      </c>
      <c r="E1522" s="252" t="s">
        <v>616</v>
      </c>
      <c r="F1522" s="252" t="s">
        <v>619</v>
      </c>
      <c r="G1522" s="253" t="s">
        <v>34</v>
      </c>
      <c r="H1522" s="253" t="s">
        <v>1338</v>
      </c>
      <c r="I1522" s="253" t="s">
        <v>34</v>
      </c>
      <c r="J1522" s="253" t="s">
        <v>1417</v>
      </c>
      <c r="K1522" s="253" t="s">
        <v>48</v>
      </c>
      <c r="L1522" s="655"/>
      <c r="M1522" s="655" t="s">
        <v>1414</v>
      </c>
      <c r="N1522" s="253" t="s">
        <v>4185</v>
      </c>
      <c r="O1522" s="253" t="s">
        <v>1321</v>
      </c>
      <c r="P1522" s="656">
        <v>43283</v>
      </c>
      <c r="Q1522" s="657">
        <v>0</v>
      </c>
      <c r="R1522" s="657">
        <v>0</v>
      </c>
      <c r="S1522" s="253">
        <v>41</v>
      </c>
      <c r="T1522" s="658"/>
      <c r="U1522" s="659"/>
      <c r="V1522" s="658"/>
      <c r="W1522" s="659"/>
      <c r="X1522" s="658"/>
      <c r="Y1522" s="659"/>
      <c r="Z1522" s="658"/>
      <c r="AA1522" s="659"/>
      <c r="AB1522" s="658"/>
      <c r="AC1522" s="660"/>
      <c r="AD1522" s="682">
        <v>0</v>
      </c>
      <c r="AE1522" s="944" t="s">
        <v>2612</v>
      </c>
      <c r="AF1522" s="661" t="s">
        <v>1745</v>
      </c>
      <c r="AG1522" s="662" t="s">
        <v>1432</v>
      </c>
      <c r="AH1522" s="662" t="s">
        <v>1734</v>
      </c>
      <c r="AI1522" s="662">
        <v>100</v>
      </c>
      <c r="AJ1522" s="662">
        <v>100</v>
      </c>
      <c r="AK1522" s="662">
        <v>100</v>
      </c>
      <c r="AL1522" s="658">
        <v>2.1499999999999998E-2</v>
      </c>
      <c r="AM1522" s="658">
        <v>0</v>
      </c>
      <c r="AN1522" s="659" t="s">
        <v>2127</v>
      </c>
      <c r="AO1522" s="253" t="s">
        <v>34</v>
      </c>
      <c r="AP1522" s="944" t="s">
        <v>1746</v>
      </c>
      <c r="AQ1522" s="663" t="s">
        <v>668</v>
      </c>
      <c r="AR1522" s="658">
        <v>0</v>
      </c>
      <c r="AS1522" s="658">
        <v>0</v>
      </c>
      <c r="AT1522" s="658" t="s">
        <v>1417</v>
      </c>
      <c r="AU1522" s="658" t="s">
        <v>2751</v>
      </c>
      <c r="AX1522"/>
      <c r="AY1522"/>
      <c r="BA1522"/>
      <c r="BB1522"/>
      <c r="BC1522"/>
      <c r="BD1522"/>
      <c r="BE1522"/>
      <c r="BF1522"/>
      <c r="BG1522"/>
      <c r="BH1522"/>
      <c r="BI1522"/>
      <c r="BJ1522"/>
      <c r="BR1522"/>
      <c r="BS1522"/>
      <c r="BT1522"/>
      <c r="BU1522"/>
      <c r="BX1522"/>
    </row>
    <row r="1523" spans="2:76" ht="18.75">
      <c r="B1523" s="252" t="s">
        <v>1714</v>
      </c>
      <c r="C1523" s="251">
        <v>33755581000120</v>
      </c>
      <c r="D1523" s="252" t="s">
        <v>14</v>
      </c>
      <c r="E1523" s="252" t="s">
        <v>607</v>
      </c>
      <c r="F1523" s="252" t="s">
        <v>1417</v>
      </c>
      <c r="G1523" s="253" t="s">
        <v>1417</v>
      </c>
      <c r="H1523" s="253" t="s">
        <v>34</v>
      </c>
      <c r="I1523" s="253" t="s">
        <v>34</v>
      </c>
      <c r="J1523" s="253" t="s">
        <v>608</v>
      </c>
      <c r="K1523" s="253" t="s">
        <v>48</v>
      </c>
      <c r="L1523" s="655"/>
      <c r="M1523" s="655" t="s">
        <v>34</v>
      </c>
      <c r="N1523" s="253" t="s">
        <v>4186</v>
      </c>
      <c r="O1523" s="253" t="s">
        <v>1324</v>
      </c>
      <c r="P1523" s="656">
        <v>43645</v>
      </c>
      <c r="Q1523" s="657">
        <v>184.98038724</v>
      </c>
      <c r="R1523" s="657">
        <v>289.12583186012034</v>
      </c>
      <c r="S1523" s="253">
        <v>32</v>
      </c>
      <c r="T1523" s="658">
        <v>-1.7302964467014514E-2</v>
      </c>
      <c r="U1523" s="659">
        <v>-0.86521830717439385</v>
      </c>
      <c r="V1523" s="658">
        <v>-8.3166333989857177E-2</v>
      </c>
      <c r="W1523" s="659">
        <v>-0.64498070786490047</v>
      </c>
      <c r="X1523" s="658">
        <v>-0.2480197026587585</v>
      </c>
      <c r="Y1523" s="659">
        <v>-1.2844921988614595</v>
      </c>
      <c r="Z1523" s="658">
        <v>-0.18009112480688971</v>
      </c>
      <c r="AA1523" s="659">
        <v>-0.81316131647669854</v>
      </c>
      <c r="AB1523" s="658">
        <v>0.22346501260793855</v>
      </c>
      <c r="AC1523" s="660">
        <v>-0.94918770934752739</v>
      </c>
      <c r="AD1523" s="682">
        <v>33400461000100</v>
      </c>
      <c r="AE1523" s="944" t="s">
        <v>1979</v>
      </c>
      <c r="AF1523" s="661" t="s">
        <v>1729</v>
      </c>
      <c r="AG1523" s="662" t="s">
        <v>1433</v>
      </c>
      <c r="AH1523" s="662" t="s">
        <v>1730</v>
      </c>
      <c r="AI1523" s="662">
        <v>10000</v>
      </c>
      <c r="AJ1523" s="662">
        <v>500</v>
      </c>
      <c r="AK1523" s="662">
        <v>1000</v>
      </c>
      <c r="AL1523" s="658">
        <v>0.02</v>
      </c>
      <c r="AM1523" s="658">
        <v>0.2</v>
      </c>
      <c r="AN1523" s="659" t="s">
        <v>34</v>
      </c>
      <c r="AO1523" s="253" t="s">
        <v>34</v>
      </c>
      <c r="AP1523" s="944" t="s">
        <v>1746</v>
      </c>
      <c r="AQ1523" s="663" t="s">
        <v>668</v>
      </c>
      <c r="AR1523" s="658">
        <v>0</v>
      </c>
      <c r="AS1523" s="658">
        <v>0</v>
      </c>
      <c r="AT1523" s="658" t="s">
        <v>1417</v>
      </c>
      <c r="AU1523" s="658" t="s">
        <v>2751</v>
      </c>
      <c r="AX1523"/>
      <c r="AY1523"/>
      <c r="BA1523"/>
      <c r="BB1523"/>
      <c r="BC1523"/>
      <c r="BD1523"/>
      <c r="BE1523"/>
      <c r="BF1523"/>
      <c r="BG1523"/>
      <c r="BH1523"/>
      <c r="BI1523"/>
      <c r="BJ1523"/>
      <c r="BR1523"/>
      <c r="BS1523"/>
      <c r="BT1523"/>
      <c r="BU1523"/>
      <c r="BX1523"/>
    </row>
    <row r="1524" spans="2:76" ht="18.75">
      <c r="B1524" s="252" t="s">
        <v>2734</v>
      </c>
      <c r="C1524" s="251">
        <v>32064950000176</v>
      </c>
      <c r="D1524" s="252" t="s">
        <v>11</v>
      </c>
      <c r="E1524" s="252" t="s">
        <v>620</v>
      </c>
      <c r="F1524" s="252" t="s">
        <v>663</v>
      </c>
      <c r="G1524" s="253" t="s">
        <v>1417</v>
      </c>
      <c r="H1524" s="253" t="s">
        <v>1417</v>
      </c>
      <c r="I1524" s="253" t="s">
        <v>1304</v>
      </c>
      <c r="J1524" s="253" t="s">
        <v>608</v>
      </c>
      <c r="K1524" s="253" t="s">
        <v>48</v>
      </c>
      <c r="L1524" s="655"/>
      <c r="M1524" s="655" t="s">
        <v>34</v>
      </c>
      <c r="N1524" s="253" t="s">
        <v>4187</v>
      </c>
      <c r="O1524" s="253" t="s">
        <v>1321</v>
      </c>
      <c r="P1524" s="656">
        <v>43461</v>
      </c>
      <c r="Q1524" s="657">
        <v>2093.7567613199999</v>
      </c>
      <c r="R1524" s="657">
        <v>2161.8572734867066</v>
      </c>
      <c r="S1524" s="253">
        <v>1</v>
      </c>
      <c r="T1524" s="658">
        <v>2.1370503858910705E-3</v>
      </c>
      <c r="U1524" s="659">
        <v>0.10686117519064002</v>
      </c>
      <c r="V1524" s="658">
        <v>0.10759913578098024</v>
      </c>
      <c r="W1524" s="659">
        <v>0.83446466174800971</v>
      </c>
      <c r="X1524" s="658">
        <v>0.18066868460556362</v>
      </c>
      <c r="Y1524" s="659">
        <v>0.93568177635347538</v>
      </c>
      <c r="Z1524" s="658">
        <v>0.21935400184333553</v>
      </c>
      <c r="AA1524" s="659">
        <v>0.99044408270881656</v>
      </c>
      <c r="AB1524" s="658">
        <v>9.8429373370368927E-3</v>
      </c>
      <c r="AC1524" s="660">
        <v>-2.1685369859556296</v>
      </c>
      <c r="AD1524" s="682">
        <v>18814964000139</v>
      </c>
      <c r="AE1524" s="944" t="s">
        <v>2735</v>
      </c>
      <c r="AF1524" s="661" t="s">
        <v>1729</v>
      </c>
      <c r="AG1524" s="662" t="s">
        <v>1433</v>
      </c>
      <c r="AH1524" s="662" t="s">
        <v>2119</v>
      </c>
      <c r="AI1524" s="662">
        <v>5000</v>
      </c>
      <c r="AJ1524" s="662">
        <v>100</v>
      </c>
      <c r="AK1524" s="662">
        <v>5000</v>
      </c>
      <c r="AL1524" s="658">
        <v>7.0000000000000001E-3</v>
      </c>
      <c r="AM1524" s="658">
        <v>0</v>
      </c>
      <c r="AN1524" s="659" t="s">
        <v>64</v>
      </c>
      <c r="AO1524" s="253" t="s">
        <v>34</v>
      </c>
      <c r="AP1524" s="944" t="s">
        <v>1735</v>
      </c>
      <c r="AQ1524" s="663" t="s">
        <v>2190</v>
      </c>
      <c r="AR1524" s="658">
        <v>0</v>
      </c>
      <c r="AS1524" s="658">
        <v>0</v>
      </c>
      <c r="AT1524" s="658" t="s">
        <v>1417</v>
      </c>
      <c r="AU1524" s="658" t="s">
        <v>2751</v>
      </c>
      <c r="AX1524"/>
      <c r="AY1524"/>
      <c r="BA1524"/>
      <c r="BB1524"/>
      <c r="BC1524"/>
      <c r="BD1524"/>
      <c r="BE1524"/>
      <c r="BF1524"/>
      <c r="BG1524"/>
      <c r="BH1524"/>
      <c r="BI1524"/>
      <c r="BJ1524"/>
      <c r="BR1524"/>
      <c r="BS1524"/>
      <c r="BT1524"/>
      <c r="BU1524"/>
      <c r="BX1524"/>
    </row>
    <row r="1525" spans="2:76" ht="18.75">
      <c r="B1525" s="252" t="s">
        <v>1285</v>
      </c>
      <c r="C1525" s="251">
        <v>35001522000192</v>
      </c>
      <c r="D1525" s="252" t="s">
        <v>14</v>
      </c>
      <c r="E1525" s="252" t="s">
        <v>607</v>
      </c>
      <c r="F1525" s="252" t="s">
        <v>1417</v>
      </c>
      <c r="G1525" s="253" t="s">
        <v>1417</v>
      </c>
      <c r="H1525" s="253" t="s">
        <v>34</v>
      </c>
      <c r="I1525" s="253" t="s">
        <v>34</v>
      </c>
      <c r="J1525" s="253" t="s">
        <v>608</v>
      </c>
      <c r="K1525" s="253" t="s">
        <v>48</v>
      </c>
      <c r="L1525" s="655"/>
      <c r="M1525" s="655" t="s">
        <v>34</v>
      </c>
      <c r="N1525" s="253" t="s">
        <v>4188</v>
      </c>
      <c r="O1525" s="253" t="s">
        <v>1321</v>
      </c>
      <c r="P1525" s="656">
        <v>43819</v>
      </c>
      <c r="Q1525" s="657">
        <v>0</v>
      </c>
      <c r="R1525" s="657">
        <v>0</v>
      </c>
      <c r="S1525" s="253">
        <v>10</v>
      </c>
      <c r="T1525" s="658"/>
      <c r="U1525" s="659"/>
      <c r="V1525" s="658"/>
      <c r="W1525" s="659"/>
      <c r="X1525" s="658"/>
      <c r="Y1525" s="659"/>
      <c r="Z1525" s="658"/>
      <c r="AA1525" s="659"/>
      <c r="AB1525" s="658"/>
      <c r="AC1525" s="660"/>
      <c r="AD1525" s="682">
        <v>0</v>
      </c>
      <c r="AE1525" s="944" t="s">
        <v>1906</v>
      </c>
      <c r="AF1525" s="661" t="s">
        <v>1745</v>
      </c>
      <c r="AG1525" s="662" t="s">
        <v>1432</v>
      </c>
      <c r="AH1525" s="662" t="s">
        <v>1734</v>
      </c>
      <c r="AI1525" s="662">
        <v>5000</v>
      </c>
      <c r="AJ1525" s="662">
        <v>1000</v>
      </c>
      <c r="AK1525" s="662">
        <v>1000</v>
      </c>
      <c r="AL1525" s="658">
        <v>0.02</v>
      </c>
      <c r="AM1525" s="658">
        <v>0.2</v>
      </c>
      <c r="AN1525" s="659" t="s">
        <v>34</v>
      </c>
      <c r="AO1525" s="253" t="s">
        <v>34</v>
      </c>
      <c r="AP1525" s="944" t="s">
        <v>1731</v>
      </c>
      <c r="AQ1525" s="663" t="s">
        <v>659</v>
      </c>
      <c r="AR1525" s="658">
        <v>8.0000000000000002E-3</v>
      </c>
      <c r="AS1525" s="658">
        <v>8.0000000000000002E-3</v>
      </c>
      <c r="AT1525" s="658" t="s">
        <v>1417</v>
      </c>
      <c r="AU1525" s="658" t="s">
        <v>2751</v>
      </c>
      <c r="AX1525"/>
      <c r="AY1525"/>
      <c r="BA1525"/>
      <c r="BB1525"/>
      <c r="BC1525"/>
      <c r="BD1525"/>
      <c r="BE1525"/>
      <c r="BF1525"/>
      <c r="BG1525"/>
      <c r="BH1525"/>
      <c r="BI1525"/>
      <c r="BJ1525"/>
      <c r="BR1525"/>
      <c r="BS1525"/>
      <c r="BT1525"/>
      <c r="BU1525"/>
      <c r="BX1525"/>
    </row>
    <row r="1526" spans="2:76" ht="18.75">
      <c r="B1526" s="252" t="s">
        <v>441</v>
      </c>
      <c r="C1526" s="251">
        <v>21646712000152</v>
      </c>
      <c r="D1526" s="252" t="s">
        <v>11</v>
      </c>
      <c r="E1526" s="252" t="s">
        <v>620</v>
      </c>
      <c r="F1526" s="252" t="s">
        <v>663</v>
      </c>
      <c r="G1526" s="253" t="s">
        <v>738</v>
      </c>
      <c r="H1526" s="253" t="s">
        <v>34</v>
      </c>
      <c r="I1526" s="253" t="s">
        <v>34</v>
      </c>
      <c r="J1526" s="253" t="s">
        <v>608</v>
      </c>
      <c r="K1526" s="253" t="s">
        <v>48</v>
      </c>
      <c r="L1526" s="655"/>
      <c r="M1526" s="655" t="s">
        <v>1414</v>
      </c>
      <c r="N1526" s="253" t="s">
        <v>4189</v>
      </c>
      <c r="O1526" s="253" t="s">
        <v>1321</v>
      </c>
      <c r="P1526" s="656">
        <v>42025</v>
      </c>
      <c r="Q1526" s="657">
        <v>0</v>
      </c>
      <c r="R1526" s="657">
        <v>0</v>
      </c>
      <c r="S1526" s="253">
        <v>1</v>
      </c>
      <c r="T1526" s="658"/>
      <c r="U1526" s="659"/>
      <c r="V1526" s="658"/>
      <c r="W1526" s="659"/>
      <c r="X1526" s="658"/>
      <c r="Y1526" s="659"/>
      <c r="Z1526" s="658"/>
      <c r="AA1526" s="659"/>
      <c r="AB1526" s="658"/>
      <c r="AC1526" s="660"/>
      <c r="AD1526" s="682">
        <v>0</v>
      </c>
      <c r="AE1526" s="944" t="s">
        <v>1906</v>
      </c>
      <c r="AF1526" s="661" t="s">
        <v>1745</v>
      </c>
      <c r="AG1526" s="662" t="s">
        <v>1432</v>
      </c>
      <c r="AH1526" s="662" t="s">
        <v>1734</v>
      </c>
      <c r="AI1526" s="662">
        <v>1000</v>
      </c>
      <c r="AJ1526" s="662">
        <v>1000</v>
      </c>
      <c r="AK1526" s="662">
        <v>1000</v>
      </c>
      <c r="AL1526" s="658">
        <v>5.0000000000000001E-3</v>
      </c>
      <c r="AM1526" s="658">
        <v>0</v>
      </c>
      <c r="AN1526" s="659" t="s">
        <v>64</v>
      </c>
      <c r="AO1526" s="253" t="s">
        <v>34</v>
      </c>
      <c r="AP1526" s="944" t="s">
        <v>1735</v>
      </c>
      <c r="AQ1526" s="663" t="s">
        <v>675</v>
      </c>
      <c r="AR1526" s="658">
        <v>0</v>
      </c>
      <c r="AS1526" s="658">
        <v>0</v>
      </c>
      <c r="AT1526" s="658" t="s">
        <v>1417</v>
      </c>
      <c r="AU1526" s="658" t="s">
        <v>2751</v>
      </c>
      <c r="AX1526"/>
      <c r="AY1526"/>
      <c r="BA1526"/>
      <c r="BB1526"/>
      <c r="BC1526"/>
      <c r="BD1526"/>
      <c r="BE1526"/>
      <c r="BF1526"/>
      <c r="BG1526"/>
      <c r="BH1526"/>
      <c r="BI1526"/>
      <c r="BJ1526"/>
      <c r="BR1526"/>
      <c r="BS1526"/>
      <c r="BT1526"/>
      <c r="BU1526"/>
      <c r="BX1526"/>
    </row>
    <row r="1527" spans="2:76" ht="18.75">
      <c r="B1527" s="252" t="s">
        <v>442</v>
      </c>
      <c r="C1527" s="251">
        <v>17094929000120</v>
      </c>
      <c r="D1527" s="252" t="s">
        <v>14</v>
      </c>
      <c r="E1527" s="252" t="s">
        <v>607</v>
      </c>
      <c r="F1527" s="252" t="s">
        <v>1417</v>
      </c>
      <c r="G1527" s="253" t="s">
        <v>1417</v>
      </c>
      <c r="H1527" s="253" t="s">
        <v>34</v>
      </c>
      <c r="I1527" s="253" t="s">
        <v>34</v>
      </c>
      <c r="J1527" s="253" t="s">
        <v>608</v>
      </c>
      <c r="K1527" s="253" t="s">
        <v>48</v>
      </c>
      <c r="L1527" s="655"/>
      <c r="M1527" s="655" t="s">
        <v>1414</v>
      </c>
      <c r="N1527" s="253" t="s">
        <v>4190</v>
      </c>
      <c r="O1527" s="253" t="s">
        <v>1321</v>
      </c>
      <c r="P1527" s="656">
        <v>41244</v>
      </c>
      <c r="Q1527" s="657">
        <v>19.557238000000002</v>
      </c>
      <c r="R1527" s="657">
        <v>20.784581638554208</v>
      </c>
      <c r="S1527" s="253">
        <v>10</v>
      </c>
      <c r="T1527" s="658">
        <v>-4.1366764289640812E-2</v>
      </c>
      <c r="U1527" s="659">
        <v>-2.0685057661764179</v>
      </c>
      <c r="V1527" s="658">
        <v>2.1721417066889126E-2</v>
      </c>
      <c r="W1527" s="659">
        <v>0.16845632461495177</v>
      </c>
      <c r="X1527" s="658">
        <v>5.7170026491912829E-2</v>
      </c>
      <c r="Y1527" s="659">
        <v>0.29608314279209041</v>
      </c>
      <c r="Z1527" s="658">
        <v>9.1515959411800019E-2</v>
      </c>
      <c r="AA1527" s="659">
        <v>0.41321990805335035</v>
      </c>
      <c r="AB1527" s="658">
        <v>0.19555084261370217</v>
      </c>
      <c r="AC1527" s="660">
        <v>-0.54831005045429648</v>
      </c>
      <c r="AD1527" s="682">
        <v>0</v>
      </c>
      <c r="AE1527" s="944" t="s">
        <v>1906</v>
      </c>
      <c r="AF1527" s="661" t="s">
        <v>1745</v>
      </c>
      <c r="AG1527" s="662" t="s">
        <v>1432</v>
      </c>
      <c r="AH1527" s="662" t="s">
        <v>1734</v>
      </c>
      <c r="AI1527" s="662">
        <v>10000</v>
      </c>
      <c r="AJ1527" s="662">
        <v>5000</v>
      </c>
      <c r="AK1527" s="662">
        <v>10000</v>
      </c>
      <c r="AL1527" s="658">
        <v>0.02</v>
      </c>
      <c r="AM1527" s="658">
        <v>0</v>
      </c>
      <c r="AN1527" s="659" t="s">
        <v>34</v>
      </c>
      <c r="AO1527" s="253" t="s">
        <v>34</v>
      </c>
      <c r="AP1527" s="944" t="s">
        <v>1731</v>
      </c>
      <c r="AQ1527" s="663" t="s">
        <v>659</v>
      </c>
      <c r="AR1527" s="658">
        <v>0</v>
      </c>
      <c r="AS1527" s="658">
        <v>0</v>
      </c>
      <c r="AT1527" s="658" t="s">
        <v>1417</v>
      </c>
      <c r="AU1527" s="658" t="s">
        <v>2751</v>
      </c>
      <c r="AX1527"/>
      <c r="AY1527"/>
      <c r="BA1527"/>
      <c r="BB1527"/>
      <c r="BC1527"/>
      <c r="BD1527"/>
      <c r="BE1527"/>
      <c r="BF1527"/>
      <c r="BG1527"/>
      <c r="BH1527"/>
      <c r="BI1527"/>
      <c r="BJ1527"/>
      <c r="BR1527"/>
      <c r="BS1527"/>
      <c r="BT1527"/>
      <c r="BU1527"/>
      <c r="BX1527"/>
    </row>
    <row r="1528" spans="2:76" ht="18.75">
      <c r="B1528" s="252" t="s">
        <v>4241</v>
      </c>
      <c r="C1528" s="251"/>
      <c r="D1528" s="252" t="s">
        <v>14</v>
      </c>
      <c r="E1528" s="252" t="s">
        <v>607</v>
      </c>
      <c r="F1528" s="252" t="s">
        <v>1317</v>
      </c>
      <c r="G1528" s="253" t="s">
        <v>1417</v>
      </c>
      <c r="H1528" s="253" t="s">
        <v>1417</v>
      </c>
      <c r="I1528" s="253" t="s">
        <v>1417</v>
      </c>
      <c r="J1528" s="253" t="s">
        <v>611</v>
      </c>
      <c r="K1528" s="253" t="s">
        <v>4242</v>
      </c>
      <c r="L1528" s="655"/>
      <c r="M1528" s="655" t="s">
        <v>1414</v>
      </c>
      <c r="N1528" s="253" t="s">
        <v>4243</v>
      </c>
      <c r="O1528" s="253" t="s">
        <v>1417</v>
      </c>
      <c r="P1528" s="656">
        <v>40483</v>
      </c>
      <c r="Q1528" s="657">
        <v>23219.67</v>
      </c>
      <c r="R1528" s="657">
        <v>19814.820200803209</v>
      </c>
      <c r="S1528" s="253">
        <v>3</v>
      </c>
      <c r="T1528" s="658">
        <v>4.1923935038655324E-2</v>
      </c>
      <c r="U1528" s="659"/>
      <c r="V1528" s="658">
        <v>5.2536864910196712E-2</v>
      </c>
      <c r="W1528" s="659"/>
      <c r="X1528" s="658">
        <v>0.10999944723896093</v>
      </c>
      <c r="Y1528" s="659"/>
      <c r="Z1528" s="658">
        <v>0.3563660925363068</v>
      </c>
      <c r="AA1528" s="659"/>
      <c r="AB1528" s="658">
        <v>0.19951999431498182</v>
      </c>
      <c r="AC1528" s="660">
        <v>-0.77051800000000004</v>
      </c>
      <c r="AD1528" s="682"/>
      <c r="AE1528" s="944" t="s">
        <v>4244</v>
      </c>
      <c r="AF1528" s="661" t="s">
        <v>4244</v>
      </c>
      <c r="AG1528" s="662" t="s">
        <v>4244</v>
      </c>
      <c r="AH1528" s="662" t="s">
        <v>1417</v>
      </c>
      <c r="AI1528" s="662">
        <v>1000</v>
      </c>
      <c r="AJ1528" s="662">
        <v>250</v>
      </c>
      <c r="AK1528" s="662"/>
      <c r="AL1528" s="658"/>
      <c r="AM1528" s="658">
        <v>0</v>
      </c>
      <c r="AN1528" s="659" t="s">
        <v>4245</v>
      </c>
      <c r="AO1528" s="253" t="s">
        <v>1417</v>
      </c>
      <c r="AP1528" s="944" t="s">
        <v>1417</v>
      </c>
      <c r="AQ1528" s="663" t="s">
        <v>1417</v>
      </c>
      <c r="AR1528" s="658">
        <v>0</v>
      </c>
      <c r="AS1528" s="658">
        <v>0</v>
      </c>
      <c r="AT1528" s="658" t="s">
        <v>1417</v>
      </c>
      <c r="AU1528" s="658" t="s">
        <v>4196</v>
      </c>
      <c r="AX1528"/>
      <c r="AY1528"/>
      <c r="BA1528"/>
      <c r="BB1528"/>
      <c r="BC1528"/>
      <c r="BD1528"/>
      <c r="BE1528"/>
      <c r="BF1528"/>
      <c r="BG1528"/>
      <c r="BH1528"/>
      <c r="BI1528"/>
      <c r="BJ1528"/>
      <c r="BR1528"/>
      <c r="BS1528"/>
      <c r="BT1528"/>
      <c r="BU1528"/>
      <c r="BX1528"/>
    </row>
    <row r="1529" spans="2:76" ht="18.75">
      <c r="B1529" s="252" t="s">
        <v>4191</v>
      </c>
      <c r="C1529" s="251"/>
      <c r="D1529" s="252" t="s">
        <v>11</v>
      </c>
      <c r="E1529" s="252" t="s">
        <v>4235</v>
      </c>
      <c r="F1529" s="252" t="s">
        <v>619</v>
      </c>
      <c r="G1529" s="253" t="s">
        <v>738</v>
      </c>
      <c r="H1529" s="253" t="s">
        <v>34</v>
      </c>
      <c r="I1529" s="253" t="s">
        <v>1319</v>
      </c>
      <c r="J1529" s="253" t="s">
        <v>611</v>
      </c>
      <c r="K1529" s="253" t="s">
        <v>49</v>
      </c>
      <c r="L1529" s="655"/>
      <c r="M1529" s="655" t="s">
        <v>1414</v>
      </c>
      <c r="N1529" s="253" t="s">
        <v>4192</v>
      </c>
      <c r="O1529" s="253" t="s">
        <v>1417</v>
      </c>
      <c r="P1529" s="656">
        <v>37951</v>
      </c>
      <c r="Q1529" s="657">
        <v>10763.19</v>
      </c>
      <c r="R1529" s="657">
        <v>10978.729793388424</v>
      </c>
      <c r="S1529" s="253">
        <v>3</v>
      </c>
      <c r="T1529" s="658">
        <v>1.8363588529334507E-2</v>
      </c>
      <c r="U1529" s="659"/>
      <c r="V1529" s="658">
        <v>-6.7716991937964988E-3</v>
      </c>
      <c r="W1529" s="659"/>
      <c r="X1529" s="658">
        <v>-9.8254372439320337E-3</v>
      </c>
      <c r="Y1529" s="659"/>
      <c r="Z1529" s="658">
        <v>2.8927401074796855E-2</v>
      </c>
      <c r="AA1529" s="659"/>
      <c r="AB1529" s="658">
        <v>1.9814191347429004E-2</v>
      </c>
      <c r="AC1529" s="660">
        <v>-2.39222</v>
      </c>
      <c r="AD1529" s="682"/>
      <c r="AE1529" s="944" t="s">
        <v>4193</v>
      </c>
      <c r="AF1529" s="661" t="s">
        <v>4194</v>
      </c>
      <c r="AG1529" s="662" t="s">
        <v>4195</v>
      </c>
      <c r="AH1529" s="662" t="s">
        <v>1417</v>
      </c>
      <c r="AI1529" s="662">
        <v>1000000</v>
      </c>
      <c r="AJ1529" s="662"/>
      <c r="AK1529" s="662"/>
      <c r="AL1529" s="658">
        <v>5.1999999999999998E-3</v>
      </c>
      <c r="AM1529" s="658">
        <v>0</v>
      </c>
      <c r="AN1529" s="659" t="s">
        <v>1417</v>
      </c>
      <c r="AO1529" s="253" t="s">
        <v>1417</v>
      </c>
      <c r="AP1529" s="944" t="s">
        <v>1417</v>
      </c>
      <c r="AQ1529" s="663" t="s">
        <v>1417</v>
      </c>
      <c r="AR1529" s="658">
        <v>0</v>
      </c>
      <c r="AS1529" s="658">
        <v>0</v>
      </c>
      <c r="AT1529" s="658" t="s">
        <v>1417</v>
      </c>
      <c r="AU1529" s="658" t="s">
        <v>4196</v>
      </c>
      <c r="AX1529"/>
      <c r="AY1529"/>
      <c r="BA1529"/>
      <c r="BB1529"/>
      <c r="BC1529"/>
      <c r="BD1529"/>
      <c r="BE1529"/>
      <c r="BF1529"/>
      <c r="BG1529"/>
      <c r="BH1529"/>
      <c r="BI1529"/>
      <c r="BJ1529"/>
      <c r="BR1529"/>
      <c r="BS1529"/>
      <c r="BT1529"/>
      <c r="BU1529"/>
      <c r="BX1529"/>
    </row>
    <row r="1530" spans="2:76" ht="18.75">
      <c r="B1530" s="252" t="s">
        <v>4246</v>
      </c>
      <c r="C1530" s="251"/>
      <c r="D1530" s="252" t="s">
        <v>14</v>
      </c>
      <c r="E1530" s="252" t="s">
        <v>607</v>
      </c>
      <c r="F1530" s="252" t="s">
        <v>1317</v>
      </c>
      <c r="G1530" s="253" t="s">
        <v>1338</v>
      </c>
      <c r="H1530" s="253" t="s">
        <v>1417</v>
      </c>
      <c r="I1530" s="253" t="s">
        <v>1417</v>
      </c>
      <c r="J1530" s="253" t="s">
        <v>690</v>
      </c>
      <c r="K1530" s="253" t="s">
        <v>49</v>
      </c>
      <c r="L1530" s="655"/>
      <c r="M1530" s="655" t="s">
        <v>1414</v>
      </c>
      <c r="N1530" s="253" t="s">
        <v>4247</v>
      </c>
      <c r="O1530" s="253" t="s">
        <v>1417</v>
      </c>
      <c r="P1530" s="656">
        <v>41640</v>
      </c>
      <c r="Q1530" s="657">
        <v>2955.25</v>
      </c>
      <c r="R1530" s="657">
        <v>3339.2422406638984</v>
      </c>
      <c r="S1530" s="253">
        <v>3</v>
      </c>
      <c r="T1530" s="658">
        <v>5.983986514960038E-2</v>
      </c>
      <c r="U1530" s="659"/>
      <c r="V1530" s="658">
        <v>-0.23532988750380002</v>
      </c>
      <c r="W1530" s="659"/>
      <c r="X1530" s="658">
        <v>-0.20787401574803155</v>
      </c>
      <c r="Y1530" s="659"/>
      <c r="Z1530" s="658">
        <v>0.11332447985834238</v>
      </c>
      <c r="AA1530" s="659"/>
      <c r="AB1530" s="658">
        <v>0.33918937162320612</v>
      </c>
      <c r="AC1530" s="660">
        <v>-1.05128</v>
      </c>
      <c r="AD1530" s="682"/>
      <c r="AE1530" s="944" t="s">
        <v>4248</v>
      </c>
      <c r="AF1530" s="661" t="s">
        <v>4249</v>
      </c>
      <c r="AG1530" s="662" t="s">
        <v>4250</v>
      </c>
      <c r="AH1530" s="662" t="s">
        <v>1417</v>
      </c>
      <c r="AI1530" s="662">
        <v>1000</v>
      </c>
      <c r="AJ1530" s="662">
        <v>500</v>
      </c>
      <c r="AK1530" s="662">
        <v>1000</v>
      </c>
      <c r="AL1530" s="658"/>
      <c r="AM1530" s="658">
        <v>0</v>
      </c>
      <c r="AN1530" s="659" t="s">
        <v>1417</v>
      </c>
      <c r="AO1530" s="253" t="s">
        <v>1417</v>
      </c>
      <c r="AP1530" s="944" t="s">
        <v>1417</v>
      </c>
      <c r="AQ1530" s="663" t="s">
        <v>1417</v>
      </c>
      <c r="AR1530" s="658">
        <v>0</v>
      </c>
      <c r="AS1530" s="658">
        <v>0</v>
      </c>
      <c r="AT1530" s="658" t="s">
        <v>1417</v>
      </c>
      <c r="AU1530" s="658" t="s">
        <v>4196</v>
      </c>
      <c r="AX1530"/>
      <c r="AY1530"/>
      <c r="BA1530"/>
      <c r="BB1530"/>
      <c r="BC1530"/>
      <c r="BD1530"/>
      <c r="BE1530"/>
      <c r="BF1530"/>
      <c r="BG1530"/>
      <c r="BH1530"/>
      <c r="BI1530"/>
      <c r="BJ1530"/>
      <c r="BR1530"/>
      <c r="BS1530"/>
      <c r="BT1530"/>
      <c r="BU1530"/>
      <c r="BX1530"/>
    </row>
    <row r="1531" spans="2:76" ht="18.75">
      <c r="B1531" s="252" t="s">
        <v>4251</v>
      </c>
      <c r="C1531" s="251"/>
      <c r="D1531" s="252" t="s">
        <v>11</v>
      </c>
      <c r="E1531" s="252" t="s">
        <v>4235</v>
      </c>
      <c r="F1531" s="252" t="s">
        <v>619</v>
      </c>
      <c r="G1531" s="253" t="s">
        <v>865</v>
      </c>
      <c r="H1531" s="253" t="s">
        <v>34</v>
      </c>
      <c r="I1531" s="253" t="s">
        <v>1304</v>
      </c>
      <c r="J1531" s="253" t="s">
        <v>611</v>
      </c>
      <c r="K1531" s="253" t="s">
        <v>49</v>
      </c>
      <c r="L1531" s="655"/>
      <c r="M1531" s="655" t="s">
        <v>1414</v>
      </c>
      <c r="N1531" s="253" t="s">
        <v>4252</v>
      </c>
      <c r="O1531" s="253" t="s">
        <v>1417</v>
      </c>
      <c r="P1531" s="656">
        <v>44207</v>
      </c>
      <c r="Q1531" s="657">
        <v>762.91989999999998</v>
      </c>
      <c r="R1531" s="657">
        <v>517.84960000000046</v>
      </c>
      <c r="S1531" s="253">
        <v>3</v>
      </c>
      <c r="T1531" s="658">
        <v>-4.7111162917196081E-3</v>
      </c>
      <c r="U1531" s="659"/>
      <c r="V1531" s="658">
        <v>4.2455997558247249E-2</v>
      </c>
      <c r="W1531" s="659"/>
      <c r="X1531" s="658">
        <v>1.6387100614022598E-2</v>
      </c>
      <c r="Y1531" s="659"/>
      <c r="Z1531" s="658"/>
      <c r="AA1531" s="659"/>
      <c r="AB1531" s="658">
        <v>3.6813351638885272E-2</v>
      </c>
      <c r="AC1531" s="660">
        <v>0.58964300000000003</v>
      </c>
      <c r="AD1531" s="682"/>
      <c r="AE1531" s="944" t="s">
        <v>4253</v>
      </c>
      <c r="AF1531" s="661" t="s">
        <v>4254</v>
      </c>
      <c r="AG1531" s="662" t="s">
        <v>4255</v>
      </c>
      <c r="AH1531" s="662" t="s">
        <v>1417</v>
      </c>
      <c r="AI1531" s="662">
        <v>1000</v>
      </c>
      <c r="AJ1531" s="662">
        <v>500</v>
      </c>
      <c r="AK1531" s="662"/>
      <c r="AL1531" s="658"/>
      <c r="AM1531" s="658">
        <v>0</v>
      </c>
      <c r="AN1531" s="659" t="s">
        <v>1417</v>
      </c>
      <c r="AO1531" s="253" t="s">
        <v>1417</v>
      </c>
      <c r="AP1531" s="944" t="s">
        <v>1417</v>
      </c>
      <c r="AQ1531" s="663" t="s">
        <v>1417</v>
      </c>
      <c r="AR1531" s="658">
        <v>0</v>
      </c>
      <c r="AS1531" s="658">
        <v>0</v>
      </c>
      <c r="AT1531" s="658" t="s">
        <v>1417</v>
      </c>
      <c r="AU1531" s="658" t="s">
        <v>4196</v>
      </c>
      <c r="AX1531"/>
      <c r="AY1531"/>
      <c r="BA1531"/>
      <c r="BB1531"/>
      <c r="BC1531"/>
      <c r="BD1531"/>
      <c r="BE1531"/>
      <c r="BF1531"/>
      <c r="BG1531"/>
      <c r="BH1531"/>
      <c r="BI1531"/>
      <c r="BJ1531"/>
      <c r="BR1531"/>
      <c r="BS1531"/>
      <c r="BT1531"/>
      <c r="BU1531"/>
      <c r="BX1531"/>
    </row>
    <row r="1532" spans="2:76" ht="18.75">
      <c r="B1532" s="252" t="s">
        <v>4197</v>
      </c>
      <c r="C1532" s="251"/>
      <c r="D1532" s="252" t="s">
        <v>11</v>
      </c>
      <c r="E1532" s="252" t="s">
        <v>4235</v>
      </c>
      <c r="F1532" s="252" t="s">
        <v>663</v>
      </c>
      <c r="G1532" s="253" t="s">
        <v>865</v>
      </c>
      <c r="H1532" s="253" t="s">
        <v>34</v>
      </c>
      <c r="I1532" s="253" t="s">
        <v>1319</v>
      </c>
      <c r="J1532" s="253" t="s">
        <v>611</v>
      </c>
      <c r="K1532" s="253" t="s">
        <v>49</v>
      </c>
      <c r="L1532" s="655"/>
      <c r="M1532" s="655" t="s">
        <v>1414</v>
      </c>
      <c r="N1532" s="253" t="s">
        <v>4198</v>
      </c>
      <c r="O1532" s="253" t="s">
        <v>1417</v>
      </c>
      <c r="P1532" s="656">
        <v>37757</v>
      </c>
      <c r="Q1532" s="657">
        <v>1587.49</v>
      </c>
      <c r="R1532" s="657">
        <v>68.046935483870968</v>
      </c>
      <c r="S1532" s="253">
        <v>3</v>
      </c>
      <c r="T1532" s="658">
        <v>2.4171539961014288E-2</v>
      </c>
      <c r="U1532" s="659"/>
      <c r="V1532" s="658">
        <v>-5.8422939068100033E-2</v>
      </c>
      <c r="W1532" s="659"/>
      <c r="X1532" s="658">
        <v>-9.0688819660782349E-2</v>
      </c>
      <c r="Y1532" s="659"/>
      <c r="Z1532" s="658">
        <v>-1.794392523364563E-2</v>
      </c>
      <c r="AA1532" s="659"/>
      <c r="AB1532" s="658">
        <v>6.9857528847816763E-2</v>
      </c>
      <c r="AC1532" s="660">
        <v>-1.6136699999999999</v>
      </c>
      <c r="AD1532" s="682"/>
      <c r="AE1532" s="944" t="s">
        <v>4199</v>
      </c>
      <c r="AF1532" s="661" t="s">
        <v>1417</v>
      </c>
      <c r="AG1532" s="662" t="s">
        <v>4200</v>
      </c>
      <c r="AH1532" s="662" t="s">
        <v>1417</v>
      </c>
      <c r="AI1532" s="662">
        <v>5000</v>
      </c>
      <c r="AJ1532" s="662">
        <v>1000</v>
      </c>
      <c r="AK1532" s="662"/>
      <c r="AL1532" s="658">
        <v>1.4614E-2</v>
      </c>
      <c r="AM1532" s="658"/>
      <c r="AN1532" s="659" t="s">
        <v>4201</v>
      </c>
      <c r="AO1532" s="253" t="s">
        <v>1417</v>
      </c>
      <c r="AP1532" s="944" t="s">
        <v>1417</v>
      </c>
      <c r="AQ1532" s="663" t="s">
        <v>1417</v>
      </c>
      <c r="AR1532" s="658">
        <v>0</v>
      </c>
      <c r="AS1532" s="658">
        <v>0</v>
      </c>
      <c r="AT1532" s="658" t="s">
        <v>1417</v>
      </c>
      <c r="AU1532" s="658" t="s">
        <v>4196</v>
      </c>
      <c r="AX1532"/>
      <c r="AY1532"/>
      <c r="BA1532"/>
      <c r="BB1532"/>
      <c r="BC1532"/>
      <c r="BD1532"/>
      <c r="BE1532"/>
      <c r="BF1532"/>
      <c r="BG1532"/>
      <c r="BH1532"/>
      <c r="BI1532"/>
      <c r="BJ1532"/>
      <c r="BR1532"/>
      <c r="BS1532"/>
      <c r="BT1532"/>
      <c r="BU1532"/>
      <c r="BX1532"/>
    </row>
    <row r="1533" spans="2:76" ht="18.75">
      <c r="B1533" s="252" t="s">
        <v>4202</v>
      </c>
      <c r="C1533" s="251"/>
      <c r="D1533" s="252" t="s">
        <v>14</v>
      </c>
      <c r="E1533" s="252" t="s">
        <v>607</v>
      </c>
      <c r="F1533" s="252" t="s">
        <v>1317</v>
      </c>
      <c r="G1533" s="253" t="s">
        <v>34</v>
      </c>
      <c r="H1533" s="253" t="s">
        <v>1417</v>
      </c>
      <c r="I1533" s="253" t="s">
        <v>1417</v>
      </c>
      <c r="J1533" s="253" t="s">
        <v>611</v>
      </c>
      <c r="K1533" s="253" t="s">
        <v>49</v>
      </c>
      <c r="L1533" s="655"/>
      <c r="M1533" s="655" t="s">
        <v>1414</v>
      </c>
      <c r="N1533" s="253" t="s">
        <v>4203</v>
      </c>
      <c r="O1533" s="253" t="s">
        <v>1417</v>
      </c>
      <c r="P1533" s="656">
        <v>39998</v>
      </c>
      <c r="Q1533" s="657">
        <v>7403.59</v>
      </c>
      <c r="R1533" s="657">
        <v>7854.2268879668036</v>
      </c>
      <c r="S1533" s="253">
        <v>3</v>
      </c>
      <c r="T1533" s="658">
        <v>3.0516431924882736E-2</v>
      </c>
      <c r="U1533" s="659"/>
      <c r="V1533" s="658">
        <v>-8.7939079695516842E-2</v>
      </c>
      <c r="W1533" s="659"/>
      <c r="X1533" s="658">
        <v>-7.3719768826626675E-3</v>
      </c>
      <c r="Y1533" s="659"/>
      <c r="Z1533" s="658">
        <v>0.19555402477423223</v>
      </c>
      <c r="AA1533" s="659"/>
      <c r="AB1533" s="658">
        <v>0.24068906685312658</v>
      </c>
      <c r="AC1533" s="660">
        <v>-0.70334799999999997</v>
      </c>
      <c r="AD1533" s="682"/>
      <c r="AE1533" s="944" t="s">
        <v>4204</v>
      </c>
      <c r="AF1533" s="661" t="s">
        <v>4205</v>
      </c>
      <c r="AG1533" s="662" t="s">
        <v>4206</v>
      </c>
      <c r="AH1533" s="662" t="s">
        <v>1417</v>
      </c>
      <c r="AI1533" s="662">
        <v>3000</v>
      </c>
      <c r="AJ1533" s="662">
        <v>750</v>
      </c>
      <c r="AK1533" s="662"/>
      <c r="AL1533" s="658">
        <v>1.89E-2</v>
      </c>
      <c r="AM1533" s="658"/>
      <c r="AN1533" s="659" t="s">
        <v>4207</v>
      </c>
      <c r="AO1533" s="253" t="s">
        <v>1417</v>
      </c>
      <c r="AP1533" s="944" t="s">
        <v>1417</v>
      </c>
      <c r="AQ1533" s="663" t="s">
        <v>1417</v>
      </c>
      <c r="AR1533" s="658">
        <v>0</v>
      </c>
      <c r="AS1533" s="658">
        <v>0</v>
      </c>
      <c r="AT1533" s="658" t="s">
        <v>1417</v>
      </c>
      <c r="AU1533" s="658" t="s">
        <v>4196</v>
      </c>
      <c r="AX1533"/>
      <c r="AY1533"/>
      <c r="BA1533"/>
      <c r="BB1533"/>
      <c r="BC1533"/>
      <c r="BD1533"/>
      <c r="BE1533"/>
      <c r="BF1533"/>
      <c r="BG1533"/>
      <c r="BH1533"/>
      <c r="BI1533"/>
      <c r="BJ1533"/>
      <c r="BR1533"/>
      <c r="BS1533"/>
      <c r="BT1533"/>
      <c r="BU1533"/>
      <c r="BX1533"/>
    </row>
    <row r="1534" spans="2:76" ht="18.75">
      <c r="B1534" s="252" t="s">
        <v>4208</v>
      </c>
      <c r="C1534" s="251"/>
      <c r="D1534" s="252" t="s">
        <v>11</v>
      </c>
      <c r="E1534" s="252" t="s">
        <v>4235</v>
      </c>
      <c r="F1534" s="252" t="s">
        <v>663</v>
      </c>
      <c r="G1534" s="253" t="s">
        <v>865</v>
      </c>
      <c r="H1534" s="253" t="s">
        <v>34</v>
      </c>
      <c r="I1534" s="253" t="s">
        <v>1319</v>
      </c>
      <c r="J1534" s="253" t="s">
        <v>696</v>
      </c>
      <c r="K1534" s="253" t="s">
        <v>49</v>
      </c>
      <c r="L1534" s="655"/>
      <c r="M1534" s="655" t="s">
        <v>1414</v>
      </c>
      <c r="N1534" s="253" t="s">
        <v>4209</v>
      </c>
      <c r="O1534" s="253" t="s">
        <v>1417</v>
      </c>
      <c r="P1534" s="656">
        <v>40680</v>
      </c>
      <c r="Q1534" s="657">
        <v>3013.93</v>
      </c>
      <c r="R1534" s="657">
        <v>3136.3071610169477</v>
      </c>
      <c r="S1534" s="253">
        <v>3</v>
      </c>
      <c r="T1534" s="658">
        <v>1.2627986348122455E-2</v>
      </c>
      <c r="U1534" s="659"/>
      <c r="V1534" s="658">
        <v>-6.0568031348506413E-2</v>
      </c>
      <c r="W1534" s="659"/>
      <c r="X1534" s="658">
        <v>-0.12838902677751562</v>
      </c>
      <c r="Y1534" s="659"/>
      <c r="Z1534" s="658">
        <v>-8.6834852046697608E-2</v>
      </c>
      <c r="AA1534" s="659"/>
      <c r="AB1534" s="658">
        <v>5.7318153168675882E-2</v>
      </c>
      <c r="AC1534" s="660">
        <v>-2.24329</v>
      </c>
      <c r="AD1534" s="682"/>
      <c r="AE1534" s="944" t="s">
        <v>4210</v>
      </c>
      <c r="AF1534" s="661" t="s">
        <v>4211</v>
      </c>
      <c r="AG1534" s="662" t="s">
        <v>4205</v>
      </c>
      <c r="AH1534" s="662" t="s">
        <v>1417</v>
      </c>
      <c r="AI1534" s="662">
        <v>5000</v>
      </c>
      <c r="AJ1534" s="662">
        <v>0</v>
      </c>
      <c r="AK1534" s="662"/>
      <c r="AL1534" s="658">
        <v>1.4E-2</v>
      </c>
      <c r="AM1534" s="658">
        <v>1.4E-2</v>
      </c>
      <c r="AN1534" s="659" t="s">
        <v>1417</v>
      </c>
      <c r="AO1534" s="253" t="s">
        <v>1417</v>
      </c>
      <c r="AP1534" s="944" t="s">
        <v>1417</v>
      </c>
      <c r="AQ1534" s="663" t="s">
        <v>1417</v>
      </c>
      <c r="AR1534" s="658">
        <v>0</v>
      </c>
      <c r="AS1534" s="658">
        <v>0</v>
      </c>
      <c r="AT1534" s="658" t="s">
        <v>1417</v>
      </c>
      <c r="AU1534" s="658" t="s">
        <v>4196</v>
      </c>
      <c r="AX1534"/>
      <c r="AY1534"/>
      <c r="BA1534"/>
      <c r="BB1534"/>
      <c r="BC1534"/>
      <c r="BD1534"/>
      <c r="BE1534"/>
      <c r="BF1534"/>
      <c r="BG1534"/>
      <c r="BH1534"/>
      <c r="BI1534"/>
      <c r="BJ1534"/>
      <c r="BR1534"/>
      <c r="BS1534"/>
      <c r="BT1534"/>
      <c r="BU1534"/>
      <c r="BX1534"/>
    </row>
    <row r="1535" spans="2:76" ht="18.75">
      <c r="B1535" s="252" t="s">
        <v>4256</v>
      </c>
      <c r="C1535" s="251"/>
      <c r="D1535" s="252" t="s">
        <v>14</v>
      </c>
      <c r="E1535" s="252" t="s">
        <v>607</v>
      </c>
      <c r="F1535" s="252" t="s">
        <v>1317</v>
      </c>
      <c r="G1535" s="253" t="s">
        <v>1338</v>
      </c>
      <c r="H1535" s="253" t="s">
        <v>1417</v>
      </c>
      <c r="I1535" s="253" t="s">
        <v>1417</v>
      </c>
      <c r="J1535" s="253" t="s">
        <v>611</v>
      </c>
      <c r="K1535" s="253" t="s">
        <v>49</v>
      </c>
      <c r="L1535" s="655"/>
      <c r="M1535" s="655" t="s">
        <v>1414</v>
      </c>
      <c r="N1535" s="253" t="s">
        <v>4257</v>
      </c>
      <c r="O1535" s="253" t="s">
        <v>1417</v>
      </c>
      <c r="P1535" s="656">
        <v>40688</v>
      </c>
      <c r="Q1535" s="657">
        <v>6398.4539999999997</v>
      </c>
      <c r="R1535" s="657">
        <v>7517.7570211382099</v>
      </c>
      <c r="S1535" s="253">
        <v>3</v>
      </c>
      <c r="T1535" s="658">
        <v>3.3172353272777233E-2</v>
      </c>
      <c r="U1535" s="659"/>
      <c r="V1535" s="658">
        <v>-0.1230858397148944</v>
      </c>
      <c r="W1535" s="659"/>
      <c r="X1535" s="658">
        <v>-0.10003315792537615</v>
      </c>
      <c r="Y1535" s="659"/>
      <c r="Z1535" s="658">
        <v>0.19485573336380457</v>
      </c>
      <c r="AA1535" s="659"/>
      <c r="AB1535" s="658">
        <v>0.20599347547830282</v>
      </c>
      <c r="AC1535" s="660">
        <v>-0.94800200000000001</v>
      </c>
      <c r="AD1535" s="682"/>
      <c r="AE1535" s="944" t="s">
        <v>4258</v>
      </c>
      <c r="AF1535" s="661" t="s">
        <v>4205</v>
      </c>
      <c r="AG1535" s="662" t="s">
        <v>4205</v>
      </c>
      <c r="AH1535" s="662" t="s">
        <v>1417</v>
      </c>
      <c r="AI1535" s="662">
        <v>1000000</v>
      </c>
      <c r="AJ1535" s="662">
        <v>1000</v>
      </c>
      <c r="AK1535" s="662"/>
      <c r="AL1535" s="658">
        <v>8.5000000000000006E-3</v>
      </c>
      <c r="AM1535" s="658"/>
      <c r="AN1535" s="659" t="s">
        <v>4259</v>
      </c>
      <c r="AO1535" s="253" t="s">
        <v>1417</v>
      </c>
      <c r="AP1535" s="944" t="s">
        <v>1417</v>
      </c>
      <c r="AQ1535" s="663" t="s">
        <v>1417</v>
      </c>
      <c r="AR1535" s="658">
        <v>0</v>
      </c>
      <c r="AS1535" s="658">
        <v>0</v>
      </c>
      <c r="AT1535" s="658" t="s">
        <v>1417</v>
      </c>
      <c r="AU1535" s="658" t="s">
        <v>4196</v>
      </c>
      <c r="AX1535"/>
      <c r="AY1535"/>
      <c r="BA1535"/>
      <c r="BB1535"/>
      <c r="BC1535"/>
      <c r="BD1535"/>
      <c r="BE1535"/>
      <c r="BF1535"/>
      <c r="BG1535"/>
      <c r="BH1535"/>
      <c r="BI1535"/>
      <c r="BJ1535"/>
      <c r="BR1535"/>
      <c r="BS1535"/>
      <c r="BT1535"/>
      <c r="BU1535"/>
      <c r="BX1535"/>
    </row>
    <row r="1536" spans="2:76" ht="18.75">
      <c r="B1536" s="252" t="s">
        <v>4212</v>
      </c>
      <c r="C1536" s="251"/>
      <c r="D1536" s="252" t="s">
        <v>11</v>
      </c>
      <c r="E1536" s="252" t="s">
        <v>4235</v>
      </c>
      <c r="F1536" s="252" t="s">
        <v>663</v>
      </c>
      <c r="G1536" s="253" t="s">
        <v>865</v>
      </c>
      <c r="H1536" s="253" t="s">
        <v>34</v>
      </c>
      <c r="I1536" s="253" t="s">
        <v>1304</v>
      </c>
      <c r="J1536" s="253" t="s">
        <v>690</v>
      </c>
      <c r="K1536" s="253" t="s">
        <v>49</v>
      </c>
      <c r="L1536" s="655"/>
      <c r="M1536" s="655" t="s">
        <v>1414</v>
      </c>
      <c r="N1536" s="253" t="s">
        <v>4213</v>
      </c>
      <c r="O1536" s="253" t="s">
        <v>1417</v>
      </c>
      <c r="P1536" s="656">
        <v>41016</v>
      </c>
      <c r="Q1536" s="657">
        <v>3056.65</v>
      </c>
      <c r="R1536" s="657">
        <v>2336.5259842519681</v>
      </c>
      <c r="S1536" s="253">
        <v>3</v>
      </c>
      <c r="T1536" s="658">
        <v>5.1808242220352518E-3</v>
      </c>
      <c r="U1536" s="659"/>
      <c r="V1536" s="658">
        <v>-0.11900339083001599</v>
      </c>
      <c r="W1536" s="659"/>
      <c r="X1536" s="658">
        <v>-0.17067281003663781</v>
      </c>
      <c r="Y1536" s="659"/>
      <c r="Z1536" s="658">
        <v>-0.13784048938134874</v>
      </c>
      <c r="AA1536" s="659"/>
      <c r="AB1536" s="658">
        <v>9.2552820610231359E-2</v>
      </c>
      <c r="AC1536" s="660">
        <v>-2.3093400000000002</v>
      </c>
      <c r="AD1536" s="682"/>
      <c r="AE1536" s="944" t="s">
        <v>4214</v>
      </c>
      <c r="AF1536" s="661" t="s">
        <v>4215</v>
      </c>
      <c r="AG1536" s="662" t="s">
        <v>4215</v>
      </c>
      <c r="AH1536" s="662" t="s">
        <v>1417</v>
      </c>
      <c r="AI1536" s="662"/>
      <c r="AJ1536" s="662"/>
      <c r="AK1536" s="662"/>
      <c r="AL1536" s="658">
        <v>2.2499999999999999E-2</v>
      </c>
      <c r="AM1536" s="658">
        <v>0</v>
      </c>
      <c r="AN1536" s="659" t="s">
        <v>4216</v>
      </c>
      <c r="AO1536" s="253" t="s">
        <v>1417</v>
      </c>
      <c r="AP1536" s="944" t="s">
        <v>1417</v>
      </c>
      <c r="AQ1536" s="663" t="s">
        <v>1417</v>
      </c>
      <c r="AR1536" s="658">
        <v>0</v>
      </c>
      <c r="AS1536" s="658">
        <v>0</v>
      </c>
      <c r="AT1536" s="658" t="s">
        <v>1417</v>
      </c>
      <c r="AU1536" s="658" t="s">
        <v>4196</v>
      </c>
      <c r="AX1536"/>
      <c r="AY1536"/>
      <c r="BA1536"/>
      <c r="BB1536"/>
      <c r="BC1536"/>
      <c r="BD1536"/>
      <c r="BE1536"/>
      <c r="BF1536"/>
      <c r="BG1536"/>
      <c r="BH1536"/>
      <c r="BI1536"/>
      <c r="BJ1536"/>
      <c r="BR1536"/>
      <c r="BS1536"/>
      <c r="BT1536"/>
      <c r="BU1536"/>
      <c r="BX1536"/>
    </row>
    <row r="1537" spans="2:76" ht="18.75">
      <c r="B1537" s="252" t="s">
        <v>4217</v>
      </c>
      <c r="C1537" s="251"/>
      <c r="D1537" s="252" t="s">
        <v>11</v>
      </c>
      <c r="E1537" s="252" t="s">
        <v>4235</v>
      </c>
      <c r="F1537" s="252" t="s">
        <v>663</v>
      </c>
      <c r="G1537" s="253" t="s">
        <v>865</v>
      </c>
      <c r="H1537" s="253" t="s">
        <v>1417</v>
      </c>
      <c r="I1537" s="253" t="s">
        <v>1304</v>
      </c>
      <c r="J1537" s="253" t="s">
        <v>611</v>
      </c>
      <c r="K1537" s="253" t="s">
        <v>49</v>
      </c>
      <c r="L1537" s="655"/>
      <c r="M1537" s="655" t="s">
        <v>1414</v>
      </c>
      <c r="N1537" s="253" t="s">
        <v>4218</v>
      </c>
      <c r="O1537" s="253" t="s">
        <v>1417</v>
      </c>
      <c r="P1537" s="656">
        <v>41129</v>
      </c>
      <c r="Q1537" s="657">
        <v>4393.46</v>
      </c>
      <c r="R1537" s="657">
        <v>4549.1508799999974</v>
      </c>
      <c r="S1537" s="253">
        <v>3</v>
      </c>
      <c r="T1537" s="658">
        <v>1.149663386846167E-2</v>
      </c>
      <c r="U1537" s="659"/>
      <c r="V1537" s="658">
        <v>-0.10742978235760325</v>
      </c>
      <c r="W1537" s="659"/>
      <c r="X1537" s="658">
        <v>-0.15699128380427563</v>
      </c>
      <c r="Y1537" s="659"/>
      <c r="Z1537" s="658">
        <v>-0.14800115588680318</v>
      </c>
      <c r="AA1537" s="659"/>
      <c r="AB1537" s="658">
        <v>7.5555719668530613E-2</v>
      </c>
      <c r="AC1537" s="660">
        <v>-2.3593299999999999</v>
      </c>
      <c r="AD1537" s="682"/>
      <c r="AE1537" s="944" t="s">
        <v>4219</v>
      </c>
      <c r="AF1537" s="661" t="s">
        <v>4220</v>
      </c>
      <c r="AG1537" s="662" t="s">
        <v>4221</v>
      </c>
      <c r="AH1537" s="662" t="s">
        <v>1417</v>
      </c>
      <c r="AI1537" s="662">
        <v>35000</v>
      </c>
      <c r="AJ1537" s="662">
        <v>5000</v>
      </c>
      <c r="AK1537" s="662"/>
      <c r="AL1537" s="658">
        <v>0.01</v>
      </c>
      <c r="AM1537" s="658"/>
      <c r="AN1537" s="659" t="s">
        <v>4222</v>
      </c>
      <c r="AO1537" s="253" t="s">
        <v>1417</v>
      </c>
      <c r="AP1537" s="944" t="s">
        <v>1417</v>
      </c>
      <c r="AQ1537" s="663" t="s">
        <v>1417</v>
      </c>
      <c r="AR1537" s="658">
        <v>0</v>
      </c>
      <c r="AS1537" s="658">
        <v>0</v>
      </c>
      <c r="AT1537" s="658" t="s">
        <v>1417</v>
      </c>
      <c r="AU1537" s="658" t="s">
        <v>4196</v>
      </c>
      <c r="AX1537"/>
      <c r="AY1537"/>
      <c r="BA1537"/>
      <c r="BB1537"/>
      <c r="BC1537"/>
      <c r="BD1537"/>
      <c r="BE1537"/>
      <c r="BF1537"/>
      <c r="BG1537"/>
      <c r="BH1537"/>
      <c r="BI1537"/>
      <c r="BJ1537"/>
      <c r="BR1537"/>
      <c r="BS1537"/>
      <c r="BT1537"/>
      <c r="BU1537"/>
      <c r="BX1537"/>
    </row>
    <row r="1538" spans="2:76" ht="18.75">
      <c r="B1538" s="252" t="s">
        <v>4223</v>
      </c>
      <c r="C1538" s="251"/>
      <c r="D1538" s="252" t="s">
        <v>11</v>
      </c>
      <c r="E1538" s="252" t="s">
        <v>4235</v>
      </c>
      <c r="F1538" s="252" t="s">
        <v>663</v>
      </c>
      <c r="G1538" s="253" t="s">
        <v>738</v>
      </c>
      <c r="H1538" s="253" t="s">
        <v>34</v>
      </c>
      <c r="I1538" s="253" t="s">
        <v>1319</v>
      </c>
      <c r="J1538" s="253" t="s">
        <v>696</v>
      </c>
      <c r="K1538" s="253" t="s">
        <v>49</v>
      </c>
      <c r="L1538" s="655"/>
      <c r="M1538" s="655" t="s">
        <v>1414</v>
      </c>
      <c r="N1538" s="253" t="s">
        <v>4224</v>
      </c>
      <c r="O1538" s="253" t="s">
        <v>1417</v>
      </c>
      <c r="P1538" s="656">
        <v>41612</v>
      </c>
      <c r="Q1538" s="657">
        <v>1031.8523399999999</v>
      </c>
      <c r="R1538" s="657">
        <v>1060.8846822983871</v>
      </c>
      <c r="S1538" s="253">
        <v>3</v>
      </c>
      <c r="T1538" s="658">
        <v>6.8212824010909223E-3</v>
      </c>
      <c r="U1538" s="659"/>
      <c r="V1538" s="658">
        <v>-4.4737480786345207E-2</v>
      </c>
      <c r="W1538" s="659"/>
      <c r="X1538" s="658">
        <v>-7.9800498753117566E-2</v>
      </c>
      <c r="Y1538" s="659"/>
      <c r="Z1538" s="658">
        <v>-4.473748078634332E-2</v>
      </c>
      <c r="AA1538" s="659"/>
      <c r="AB1538" s="658">
        <v>2.6491090735182792E-2</v>
      </c>
      <c r="AC1538" s="660">
        <v>-3.3536600000000001</v>
      </c>
      <c r="AD1538" s="682"/>
      <c r="AE1538" s="944" t="s">
        <v>4225</v>
      </c>
      <c r="AF1538" s="661" t="s">
        <v>4215</v>
      </c>
      <c r="AG1538" s="662" t="s">
        <v>4215</v>
      </c>
      <c r="AH1538" s="662" t="s">
        <v>1417</v>
      </c>
      <c r="AI1538" s="662">
        <v>100000</v>
      </c>
      <c r="AJ1538" s="662">
        <v>0</v>
      </c>
      <c r="AK1538" s="662"/>
      <c r="AL1538" s="658">
        <v>7.4999999999999997E-3</v>
      </c>
      <c r="AM1538" s="658">
        <v>0</v>
      </c>
      <c r="AN1538" s="659" t="s">
        <v>1417</v>
      </c>
      <c r="AO1538" s="253" t="s">
        <v>1417</v>
      </c>
      <c r="AP1538" s="944" t="s">
        <v>1417</v>
      </c>
      <c r="AQ1538" s="663" t="s">
        <v>1417</v>
      </c>
      <c r="AR1538" s="658">
        <v>0</v>
      </c>
      <c r="AS1538" s="658">
        <v>0</v>
      </c>
      <c r="AT1538" s="658" t="s">
        <v>1417</v>
      </c>
      <c r="AU1538" s="658" t="s">
        <v>4196</v>
      </c>
      <c r="AX1538"/>
      <c r="AY1538"/>
      <c r="BA1538"/>
      <c r="BB1538"/>
      <c r="BC1538"/>
      <c r="BD1538"/>
      <c r="BE1538"/>
      <c r="BF1538"/>
      <c r="BG1538"/>
      <c r="BH1538"/>
      <c r="BI1538"/>
      <c r="BJ1538"/>
      <c r="BR1538"/>
      <c r="BS1538"/>
      <c r="BT1538"/>
      <c r="BU1538"/>
      <c r="BX1538"/>
    </row>
    <row r="1539" spans="2:76" ht="18.75">
      <c r="B1539" s="252" t="s">
        <v>4260</v>
      </c>
      <c r="C1539" s="251"/>
      <c r="D1539" s="252" t="s">
        <v>14</v>
      </c>
      <c r="E1539" s="252" t="s">
        <v>607</v>
      </c>
      <c r="F1539" s="252" t="s">
        <v>15</v>
      </c>
      <c r="G1539" s="253" t="s">
        <v>1338</v>
      </c>
      <c r="H1539" s="253" t="s">
        <v>1417</v>
      </c>
      <c r="I1539" s="253" t="s">
        <v>1417</v>
      </c>
      <c r="J1539" s="253" t="s">
        <v>611</v>
      </c>
      <c r="K1539" s="253" t="s">
        <v>49</v>
      </c>
      <c r="L1539" s="655"/>
      <c r="M1539" s="655" t="s">
        <v>1414</v>
      </c>
      <c r="N1539" s="253" t="s">
        <v>4261</v>
      </c>
      <c r="O1539" s="253" t="s">
        <v>1417</v>
      </c>
      <c r="P1539" s="656">
        <v>42221</v>
      </c>
      <c r="Q1539" s="657">
        <v>4089.76</v>
      </c>
      <c r="R1539" s="657">
        <v>4893.667911646583</v>
      </c>
      <c r="S1539" s="253">
        <v>3</v>
      </c>
      <c r="T1539" s="658">
        <v>3.0126182965299453E-2</v>
      </c>
      <c r="U1539" s="659"/>
      <c r="V1539" s="658">
        <v>7.2486119679189276E-3</v>
      </c>
      <c r="W1539" s="659"/>
      <c r="X1539" s="658">
        <v>8.0259299274567653E-3</v>
      </c>
      <c r="Y1539" s="659"/>
      <c r="Z1539" s="658">
        <v>8.8500000000001355E-2</v>
      </c>
      <c r="AA1539" s="659"/>
      <c r="AB1539" s="658">
        <v>7.5133134378295455E-2</v>
      </c>
      <c r="AC1539" s="660">
        <v>-0.45958700000000002</v>
      </c>
      <c r="AD1539" s="682"/>
      <c r="AE1539" s="944" t="s">
        <v>4199</v>
      </c>
      <c r="AF1539" s="661" t="s">
        <v>4262</v>
      </c>
      <c r="AG1539" s="662" t="s">
        <v>4211</v>
      </c>
      <c r="AH1539" s="662" t="s">
        <v>1417</v>
      </c>
      <c r="AI1539" s="662">
        <v>5000</v>
      </c>
      <c r="AJ1539" s="662">
        <v>1000</v>
      </c>
      <c r="AK1539" s="662"/>
      <c r="AL1539" s="658">
        <v>1.8599999999999998E-2</v>
      </c>
      <c r="AM1539" s="658">
        <v>0</v>
      </c>
      <c r="AN1539" s="659" t="s">
        <v>1417</v>
      </c>
      <c r="AO1539" s="253" t="s">
        <v>1417</v>
      </c>
      <c r="AP1539" s="944" t="s">
        <v>1417</v>
      </c>
      <c r="AQ1539" s="663" t="s">
        <v>1417</v>
      </c>
      <c r="AR1539" s="658">
        <v>0</v>
      </c>
      <c r="AS1539" s="658">
        <v>0</v>
      </c>
      <c r="AT1539" s="658" t="s">
        <v>1417</v>
      </c>
      <c r="AU1539" s="658" t="s">
        <v>4196</v>
      </c>
      <c r="AX1539"/>
      <c r="AY1539"/>
      <c r="BA1539"/>
      <c r="BB1539"/>
      <c r="BC1539"/>
      <c r="BD1539"/>
      <c r="BE1539"/>
      <c r="BF1539"/>
      <c r="BG1539"/>
      <c r="BH1539"/>
      <c r="BI1539"/>
      <c r="BJ1539"/>
      <c r="BR1539"/>
      <c r="BS1539"/>
      <c r="BT1539"/>
      <c r="BU1539"/>
      <c r="BX1539"/>
    </row>
    <row r="1540" spans="2:76" ht="18.75">
      <c r="B1540" s="252" t="s">
        <v>4263</v>
      </c>
      <c r="C1540" s="251"/>
      <c r="D1540" s="252" t="s">
        <v>11</v>
      </c>
      <c r="E1540" s="252" t="s">
        <v>4235</v>
      </c>
      <c r="F1540" s="252" t="s">
        <v>663</v>
      </c>
      <c r="G1540" s="253" t="s">
        <v>738</v>
      </c>
      <c r="H1540" s="253" t="s">
        <v>34</v>
      </c>
      <c r="I1540" s="253" t="s">
        <v>1304</v>
      </c>
      <c r="J1540" s="253" t="s">
        <v>611</v>
      </c>
      <c r="K1540" s="253" t="s">
        <v>49</v>
      </c>
      <c r="L1540" s="655"/>
      <c r="M1540" s="655" t="s">
        <v>1414</v>
      </c>
      <c r="N1540" s="253" t="s">
        <v>4264</v>
      </c>
      <c r="O1540" s="253" t="s">
        <v>1417</v>
      </c>
      <c r="P1540" s="656">
        <v>42416</v>
      </c>
      <c r="Q1540" s="657">
        <v>2214.6976</v>
      </c>
      <c r="R1540" s="657">
        <v>3244.1321411016934</v>
      </c>
      <c r="S1540" s="253">
        <v>3</v>
      </c>
      <c r="T1540" s="658">
        <v>0</v>
      </c>
      <c r="U1540" s="659"/>
      <c r="V1540" s="658">
        <v>-1.8144646051624025E-2</v>
      </c>
      <c r="W1540" s="659"/>
      <c r="X1540" s="658">
        <v>2.4897741419169783E-2</v>
      </c>
      <c r="Y1540" s="659"/>
      <c r="Z1540" s="658">
        <v>6.1325966850827918E-2</v>
      </c>
      <c r="AA1540" s="659"/>
      <c r="AB1540" s="658">
        <v>4.1633493967372981E-2</v>
      </c>
      <c r="AC1540" s="660">
        <v>-0.71474499999999996</v>
      </c>
      <c r="AD1540" s="682"/>
      <c r="AE1540" s="944" t="s">
        <v>4265</v>
      </c>
      <c r="AF1540" s="661" t="s">
        <v>4205</v>
      </c>
      <c r="AG1540" s="662" t="s">
        <v>4205</v>
      </c>
      <c r="AH1540" s="662" t="s">
        <v>1417</v>
      </c>
      <c r="AI1540" s="662">
        <v>0</v>
      </c>
      <c r="AJ1540" s="662">
        <v>0</v>
      </c>
      <c r="AK1540" s="662"/>
      <c r="AL1540" s="658">
        <v>7.1999999999999998E-3</v>
      </c>
      <c r="AM1540" s="658">
        <v>0</v>
      </c>
      <c r="AN1540" s="659" t="s">
        <v>1417</v>
      </c>
      <c r="AO1540" s="253" t="s">
        <v>1417</v>
      </c>
      <c r="AP1540" s="944" t="s">
        <v>1417</v>
      </c>
      <c r="AQ1540" s="663" t="s">
        <v>1417</v>
      </c>
      <c r="AR1540" s="658">
        <v>0</v>
      </c>
      <c r="AS1540" s="658">
        <v>0</v>
      </c>
      <c r="AT1540" s="658" t="s">
        <v>1417</v>
      </c>
      <c r="AU1540" s="658" t="s">
        <v>4196</v>
      </c>
      <c r="AX1540"/>
      <c r="AY1540"/>
      <c r="BA1540"/>
      <c r="BB1540"/>
      <c r="BC1540"/>
      <c r="BD1540"/>
      <c r="BE1540"/>
      <c r="BF1540"/>
      <c r="BG1540"/>
      <c r="BH1540"/>
      <c r="BI1540"/>
      <c r="BJ1540"/>
      <c r="BR1540"/>
      <c r="BS1540"/>
      <c r="BT1540"/>
      <c r="BU1540"/>
      <c r="BX1540"/>
    </row>
    <row r="1541" spans="2:76" ht="18.75">
      <c r="B1541" s="252" t="s">
        <v>4266</v>
      </c>
      <c r="C1541" s="251"/>
      <c r="D1541" s="252" t="s">
        <v>14</v>
      </c>
      <c r="E1541" s="252" t="s">
        <v>614</v>
      </c>
      <c r="F1541" s="252" t="s">
        <v>1417</v>
      </c>
      <c r="G1541" s="253" t="s">
        <v>1417</v>
      </c>
      <c r="H1541" s="253" t="s">
        <v>1417</v>
      </c>
      <c r="I1541" s="253" t="s">
        <v>1417</v>
      </c>
      <c r="J1541" s="253" t="s">
        <v>611</v>
      </c>
      <c r="K1541" s="253" t="s">
        <v>49</v>
      </c>
      <c r="L1541" s="655"/>
      <c r="M1541" s="655" t="s">
        <v>1414</v>
      </c>
      <c r="N1541" s="253" t="s">
        <v>4267</v>
      </c>
      <c r="O1541" s="253" t="s">
        <v>1417</v>
      </c>
      <c r="P1541" s="656">
        <v>42689</v>
      </c>
      <c r="Q1541" s="657">
        <v>2556.56</v>
      </c>
      <c r="R1541" s="657">
        <v>3102.0255421686743</v>
      </c>
      <c r="S1541" s="253">
        <v>3</v>
      </c>
      <c r="T1541" s="658">
        <v>7.0088175446527679E-3</v>
      </c>
      <c r="U1541" s="659"/>
      <c r="V1541" s="658">
        <v>-6.0993751859563794E-3</v>
      </c>
      <c r="W1541" s="659"/>
      <c r="X1541" s="658">
        <v>1.5118134163945252E-2</v>
      </c>
      <c r="Y1541" s="659"/>
      <c r="Z1541" s="658">
        <v>0.16576513697435047</v>
      </c>
      <c r="AA1541" s="659"/>
      <c r="AB1541" s="658">
        <v>2.0705540326722522E-2</v>
      </c>
      <c r="AC1541" s="660">
        <v>-2.03945</v>
      </c>
      <c r="AD1541" s="682"/>
      <c r="AE1541" s="944" t="s">
        <v>4268</v>
      </c>
      <c r="AF1541" s="661" t="s">
        <v>4269</v>
      </c>
      <c r="AG1541" s="662" t="s">
        <v>4270</v>
      </c>
      <c r="AH1541" s="662" t="s">
        <v>1417</v>
      </c>
      <c r="AI1541" s="662">
        <v>1000000</v>
      </c>
      <c r="AJ1541" s="662"/>
      <c r="AK1541" s="662"/>
      <c r="AL1541" s="658">
        <v>1.4999999999999999E-4</v>
      </c>
      <c r="AM1541" s="658">
        <v>0.2</v>
      </c>
      <c r="AN1541" s="659" t="s">
        <v>4271</v>
      </c>
      <c r="AO1541" s="253" t="s">
        <v>1417</v>
      </c>
      <c r="AP1541" s="944" t="s">
        <v>1417</v>
      </c>
      <c r="AQ1541" s="663" t="s">
        <v>1417</v>
      </c>
      <c r="AR1541" s="658">
        <v>0</v>
      </c>
      <c r="AS1541" s="658">
        <v>0</v>
      </c>
      <c r="AT1541" s="658" t="s">
        <v>1417</v>
      </c>
      <c r="AU1541" s="658" t="s">
        <v>4196</v>
      </c>
      <c r="AX1541"/>
      <c r="AY1541"/>
      <c r="BA1541"/>
      <c r="BB1541"/>
      <c r="BC1541"/>
      <c r="BD1541"/>
      <c r="BE1541"/>
      <c r="BF1541"/>
      <c r="BG1541"/>
      <c r="BH1541"/>
      <c r="BI1541"/>
      <c r="BJ1541"/>
      <c r="BR1541"/>
      <c r="BS1541"/>
      <c r="BT1541"/>
      <c r="BU1541"/>
      <c r="BX1541"/>
    </row>
    <row r="1542" spans="2:76" ht="18.75">
      <c r="B1542" s="252" t="s">
        <v>4272</v>
      </c>
      <c r="C1542" s="251"/>
      <c r="D1542" s="252" t="s">
        <v>14</v>
      </c>
      <c r="E1542" s="252" t="s">
        <v>607</v>
      </c>
      <c r="F1542" s="252" t="s">
        <v>1417</v>
      </c>
      <c r="G1542" s="253" t="s">
        <v>1417</v>
      </c>
      <c r="H1542" s="253" t="s">
        <v>1417</v>
      </c>
      <c r="I1542" s="253" t="s">
        <v>1417</v>
      </c>
      <c r="J1542" s="253" t="s">
        <v>696</v>
      </c>
      <c r="K1542" s="253" t="s">
        <v>49</v>
      </c>
      <c r="L1542" s="655"/>
      <c r="M1542" s="655" t="s">
        <v>1414</v>
      </c>
      <c r="N1542" s="253" t="s">
        <v>4273</v>
      </c>
      <c r="O1542" s="253" t="s">
        <v>1417</v>
      </c>
      <c r="P1542" s="656">
        <v>42732</v>
      </c>
      <c r="Q1542" s="657">
        <v>10912.11</v>
      </c>
      <c r="R1542" s="657">
        <v>9635.9012350597659</v>
      </c>
      <c r="S1542" s="253">
        <v>2</v>
      </c>
      <c r="T1542" s="658">
        <v>1.346001583531331E-2</v>
      </c>
      <c r="U1542" s="659"/>
      <c r="V1542" s="658">
        <v>-0.20595533498759178</v>
      </c>
      <c r="W1542" s="659"/>
      <c r="X1542" s="658">
        <v>-0.30016402405686016</v>
      </c>
      <c r="Y1542" s="659"/>
      <c r="Z1542" s="658">
        <v>3.0595813204510991E-2</v>
      </c>
      <c r="AA1542" s="659"/>
      <c r="AB1542" s="658">
        <v>0.1706722554568661</v>
      </c>
      <c r="AC1542" s="660">
        <v>-1.02658998966217</v>
      </c>
      <c r="AD1542" s="682"/>
      <c r="AE1542" s="944" t="s">
        <v>4274</v>
      </c>
      <c r="AF1542" s="661" t="s">
        <v>4275</v>
      </c>
      <c r="AG1542" s="662" t="s">
        <v>4276</v>
      </c>
      <c r="AH1542" s="662" t="s">
        <v>1417</v>
      </c>
      <c r="AI1542" s="662">
        <v>500000</v>
      </c>
      <c r="AJ1542" s="662">
        <v>0</v>
      </c>
      <c r="AK1542" s="662"/>
      <c r="AL1542" s="658">
        <v>9.7999999999999997E-3</v>
      </c>
      <c r="AM1542" s="658"/>
      <c r="AN1542" s="659" t="s">
        <v>4277</v>
      </c>
      <c r="AO1542" s="253" t="s">
        <v>1417</v>
      </c>
      <c r="AP1542" s="944" t="s">
        <v>1417</v>
      </c>
      <c r="AQ1542" s="663" t="s">
        <v>1417</v>
      </c>
      <c r="AR1542" s="658">
        <v>0</v>
      </c>
      <c r="AS1542" s="658">
        <v>0</v>
      </c>
      <c r="AT1542" s="658" t="s">
        <v>1417</v>
      </c>
      <c r="AU1542" s="658" t="s">
        <v>4196</v>
      </c>
      <c r="AX1542"/>
      <c r="AY1542"/>
      <c r="BA1542"/>
      <c r="BB1542"/>
      <c r="BC1542"/>
      <c r="BD1542"/>
      <c r="BE1542"/>
      <c r="BF1542"/>
      <c r="BG1542"/>
      <c r="BH1542"/>
      <c r="BI1542"/>
      <c r="BJ1542"/>
      <c r="BR1542"/>
      <c r="BS1542"/>
      <c r="BT1542"/>
      <c r="BU1542"/>
      <c r="BX1542"/>
    </row>
    <row r="1543" spans="2:76" ht="18.75">
      <c r="B1543" s="252" t="s">
        <v>4226</v>
      </c>
      <c r="C1543" s="251"/>
      <c r="D1543" s="252" t="s">
        <v>11</v>
      </c>
      <c r="E1543" s="252" t="s">
        <v>4235</v>
      </c>
      <c r="F1543" s="252" t="s">
        <v>619</v>
      </c>
      <c r="G1543" s="253" t="s">
        <v>738</v>
      </c>
      <c r="H1543" s="253" t="s">
        <v>34</v>
      </c>
      <c r="I1543" s="253" t="s">
        <v>1304</v>
      </c>
      <c r="J1543" s="253" t="s">
        <v>690</v>
      </c>
      <c r="K1543" s="253" t="s">
        <v>49</v>
      </c>
      <c r="L1543" s="655"/>
      <c r="M1543" s="655" t="s">
        <v>1414</v>
      </c>
      <c r="N1543" s="253" t="s">
        <v>4227</v>
      </c>
      <c r="O1543" s="253" t="s">
        <v>1417</v>
      </c>
      <c r="P1543" s="656">
        <v>34277</v>
      </c>
      <c r="Q1543" s="657">
        <v>48851.55</v>
      </c>
      <c r="R1543" s="657">
        <v>53919.49306772909</v>
      </c>
      <c r="S1543" s="253">
        <v>2</v>
      </c>
      <c r="T1543" s="658">
        <v>-3.3306690738754696E-16</v>
      </c>
      <c r="U1543" s="659"/>
      <c r="V1543" s="658">
        <v>-5.8823529411766051E-2</v>
      </c>
      <c r="W1543" s="659"/>
      <c r="X1543" s="658">
        <v>-8.7885985748219819E-2</v>
      </c>
      <c r="Y1543" s="659"/>
      <c r="Z1543" s="658">
        <v>-9.2198581560285153E-2</v>
      </c>
      <c r="AA1543" s="659"/>
      <c r="AB1543" s="658">
        <v>3.0626824695257453E-2</v>
      </c>
      <c r="AC1543" s="660">
        <v>-2.9803199768066402</v>
      </c>
      <c r="AD1543" s="682"/>
      <c r="AE1543" s="944" t="s">
        <v>4228</v>
      </c>
      <c r="AF1543" s="661" t="s">
        <v>4228</v>
      </c>
      <c r="AG1543" s="662" t="s">
        <v>4229</v>
      </c>
      <c r="AH1543" s="662" t="s">
        <v>1417</v>
      </c>
      <c r="AI1543" s="662">
        <v>1500</v>
      </c>
      <c r="AJ1543" s="662">
        <v>0</v>
      </c>
      <c r="AK1543" s="662"/>
      <c r="AL1543" s="658">
        <v>5.7999999999999996E-3</v>
      </c>
      <c r="AM1543" s="658">
        <v>0</v>
      </c>
      <c r="AN1543" s="659" t="s">
        <v>4230</v>
      </c>
      <c r="AO1543" s="253" t="s">
        <v>1417</v>
      </c>
      <c r="AP1543" s="944" t="s">
        <v>1417</v>
      </c>
      <c r="AQ1543" s="663" t="s">
        <v>1417</v>
      </c>
      <c r="AR1543" s="658">
        <v>0</v>
      </c>
      <c r="AS1543" s="658">
        <v>0</v>
      </c>
      <c r="AT1543" s="658" t="s">
        <v>1417</v>
      </c>
      <c r="AU1543" s="658" t="s">
        <v>4196</v>
      </c>
      <c r="AX1543"/>
      <c r="AY1543"/>
      <c r="BA1543"/>
      <c r="BB1543"/>
      <c r="BC1543"/>
      <c r="BD1543"/>
      <c r="BE1543"/>
      <c r="BF1543"/>
      <c r="BG1543"/>
      <c r="BH1543"/>
      <c r="BI1543"/>
      <c r="BJ1543"/>
      <c r="BR1543"/>
      <c r="BS1543"/>
      <c r="BT1543"/>
      <c r="BU1543"/>
      <c r="BX1543"/>
    </row>
    <row r="1544" spans="2:76" ht="18.75">
      <c r="B1544" s="252" t="s">
        <v>4231</v>
      </c>
      <c r="C1544" s="251"/>
      <c r="D1544" s="252" t="s">
        <v>11</v>
      </c>
      <c r="E1544" s="252" t="s">
        <v>661</v>
      </c>
      <c r="F1544" s="252" t="s">
        <v>1417</v>
      </c>
      <c r="G1544" s="253" t="s">
        <v>865</v>
      </c>
      <c r="H1544" s="253" t="s">
        <v>34</v>
      </c>
      <c r="I1544" s="253" t="s">
        <v>1304</v>
      </c>
      <c r="J1544" s="253" t="s">
        <v>611</v>
      </c>
      <c r="K1544" s="253" t="s">
        <v>49</v>
      </c>
      <c r="L1544" s="655"/>
      <c r="M1544" s="655" t="s">
        <v>1417</v>
      </c>
      <c r="N1544" s="253" t="s">
        <v>4232</v>
      </c>
      <c r="O1544" s="253" t="s">
        <v>1417</v>
      </c>
      <c r="P1544" s="656">
        <v>35443</v>
      </c>
      <c r="Q1544" s="657">
        <v>55933.17</v>
      </c>
      <c r="R1544" s="657">
        <v>2410.86</v>
      </c>
      <c r="S1544" s="253">
        <v>2</v>
      </c>
      <c r="T1544" s="658">
        <v>3.5460992907800915E-3</v>
      </c>
      <c r="U1544" s="659"/>
      <c r="V1544" s="658">
        <v>-0.13994645973866726</v>
      </c>
      <c r="W1544" s="659"/>
      <c r="X1544" s="658">
        <v>-0.18224417483348576</v>
      </c>
      <c r="Y1544" s="659"/>
      <c r="Z1544" s="658">
        <v>-0.20746468159095754</v>
      </c>
      <c r="AA1544" s="659"/>
      <c r="AB1544" s="658">
        <v>8.1250295928369395E-2</v>
      </c>
      <c r="AC1544" s="660">
        <v>-2.28307008743286</v>
      </c>
      <c r="AD1544" s="682"/>
      <c r="AE1544" s="944" t="s">
        <v>4233</v>
      </c>
      <c r="AF1544" s="661" t="s">
        <v>4234</v>
      </c>
      <c r="AG1544" s="662" t="s">
        <v>4229</v>
      </c>
      <c r="AH1544" s="662" t="s">
        <v>1417</v>
      </c>
      <c r="AI1544" s="662">
        <v>1000</v>
      </c>
      <c r="AJ1544" s="662">
        <v>0</v>
      </c>
      <c r="AK1544" s="662"/>
      <c r="AL1544" s="658">
        <v>8.0000000000000002E-3</v>
      </c>
      <c r="AM1544" s="658"/>
      <c r="AN1544" s="659" t="s">
        <v>4216</v>
      </c>
      <c r="AO1544" s="253" t="s">
        <v>1417</v>
      </c>
      <c r="AP1544" s="944" t="s">
        <v>1417</v>
      </c>
      <c r="AQ1544" s="663" t="s">
        <v>1417</v>
      </c>
      <c r="AR1544" s="658">
        <v>0</v>
      </c>
      <c r="AS1544" s="658">
        <v>0</v>
      </c>
      <c r="AT1544" s="658" t="s">
        <v>1417</v>
      </c>
      <c r="AU1544" s="658" t="s">
        <v>4196</v>
      </c>
      <c r="AX1544"/>
      <c r="AY1544"/>
      <c r="BA1544"/>
      <c r="BB1544"/>
      <c r="BC1544"/>
      <c r="BD1544"/>
      <c r="BE1544"/>
      <c r="BF1544"/>
      <c r="BG1544"/>
      <c r="BH1544"/>
      <c r="BI1544"/>
      <c r="BJ1544"/>
      <c r="BR1544"/>
      <c r="BS1544"/>
      <c r="BT1544"/>
      <c r="BU1544"/>
      <c r="BX1544"/>
    </row>
    <row r="1545" spans="2:76" ht="15.75" customHeight="1">
      <c r="B1545" s="524"/>
      <c r="D1545" s="524"/>
      <c r="E1545" s="524"/>
      <c r="I1545" s="10"/>
      <c r="L1545" s="666"/>
      <c r="N1545" s="10"/>
      <c r="O1545" s="10"/>
      <c r="P1545" s="666"/>
      <c r="S1545" s="10"/>
      <c r="AD1545" s="669"/>
      <c r="AE1545" s="87"/>
      <c r="AF1545" s="670"/>
      <c r="AG1545" s="88"/>
      <c r="AH1545" s="88"/>
      <c r="AI1545" s="88"/>
      <c r="AJ1545" s="88"/>
      <c r="AK1545" s="88"/>
      <c r="AO1545" s="10"/>
      <c r="AP1545" s="87"/>
    </row>
    <row r="1546" spans="2:76" ht="15.75" customHeight="1">
      <c r="B1546" s="524"/>
      <c r="D1546" s="524"/>
      <c r="E1546" s="524"/>
      <c r="I1546" s="10"/>
      <c r="L1546" s="666"/>
      <c r="N1546" s="10"/>
      <c r="O1546" s="10"/>
      <c r="P1546" s="666"/>
      <c r="S1546" s="10"/>
      <c r="AD1546" s="669"/>
      <c r="AE1546" s="87"/>
      <c r="AF1546" s="670"/>
      <c r="AG1546" s="88"/>
      <c r="AH1546" s="88"/>
      <c r="AI1546" s="88"/>
      <c r="AJ1546" s="88"/>
      <c r="AK1546" s="88"/>
      <c r="AO1546" s="10"/>
      <c r="AP1546" s="87"/>
    </row>
    <row r="1547" spans="2:76" ht="15.75" customHeight="1">
      <c r="B1547" s="524"/>
      <c r="D1547" s="524"/>
      <c r="E1547" s="524"/>
      <c r="I1547" s="10"/>
      <c r="L1547" s="666"/>
      <c r="N1547" s="10"/>
      <c r="O1547" s="10"/>
      <c r="P1547" s="666"/>
      <c r="S1547" s="10"/>
      <c r="AD1547" s="669"/>
      <c r="AE1547" s="87"/>
      <c r="AF1547" s="670"/>
      <c r="AG1547" s="88"/>
      <c r="AH1547" s="88"/>
      <c r="AI1547" s="88"/>
      <c r="AJ1547" s="88"/>
      <c r="AK1547" s="88"/>
      <c r="AO1547" s="10"/>
      <c r="AP1547" s="87"/>
    </row>
    <row r="1548" spans="2:76" ht="15.75" customHeight="1">
      <c r="B1548" s="524"/>
      <c r="D1548" s="524"/>
      <c r="E1548" s="524"/>
      <c r="I1548" s="10"/>
      <c r="L1548" s="666"/>
      <c r="N1548" s="10"/>
      <c r="O1548" s="10"/>
      <c r="P1548" s="666"/>
      <c r="S1548" s="10"/>
      <c r="AD1548" s="669"/>
      <c r="AE1548" s="87"/>
      <c r="AF1548" s="670"/>
      <c r="AG1548" s="88"/>
      <c r="AH1548" s="88"/>
      <c r="AI1548" s="88"/>
      <c r="AJ1548" s="88"/>
      <c r="AK1548" s="88"/>
      <c r="AO1548" s="10"/>
      <c r="AP1548" s="87"/>
    </row>
    <row r="1549" spans="2:76" ht="15.75" customHeight="1">
      <c r="B1549" s="524"/>
      <c r="D1549" s="524"/>
      <c r="E1549" s="524"/>
      <c r="I1549" s="10"/>
      <c r="L1549" s="666"/>
      <c r="N1549" s="10"/>
      <c r="O1549" s="10"/>
      <c r="P1549" s="666"/>
      <c r="S1549" s="10"/>
      <c r="AD1549" s="669"/>
      <c r="AE1549" s="87"/>
      <c r="AF1549" s="670"/>
      <c r="AG1549" s="88"/>
      <c r="AH1549" s="88"/>
      <c r="AI1549" s="88"/>
      <c r="AJ1549" s="88"/>
      <c r="AK1549" s="88"/>
      <c r="AO1549" s="10"/>
      <c r="AP1549" s="87"/>
    </row>
    <row r="1550" spans="2:76" ht="15.75" customHeight="1">
      <c r="B1550" s="524"/>
      <c r="D1550" s="524"/>
      <c r="E1550" s="524"/>
      <c r="I1550" s="10"/>
      <c r="L1550" s="666"/>
      <c r="N1550" s="10"/>
      <c r="O1550" s="10"/>
      <c r="P1550" s="666"/>
      <c r="S1550" s="10"/>
      <c r="AD1550" s="669"/>
      <c r="AE1550" s="87"/>
      <c r="AF1550" s="670"/>
      <c r="AG1550" s="88"/>
      <c r="AH1550" s="88"/>
      <c r="AI1550" s="88"/>
      <c r="AJ1550" s="88"/>
      <c r="AK1550" s="88"/>
      <c r="AO1550" s="10"/>
      <c r="AP1550" s="87"/>
    </row>
    <row r="1551" spans="2:76" ht="15.75" customHeight="1">
      <c r="B1551" s="524"/>
      <c r="D1551" s="524"/>
      <c r="E1551" s="524"/>
      <c r="I1551" s="10"/>
      <c r="L1551" s="666"/>
      <c r="N1551" s="10"/>
      <c r="O1551" s="10"/>
      <c r="P1551" s="666"/>
      <c r="S1551" s="10"/>
      <c r="AD1551" s="669"/>
      <c r="AE1551" s="87"/>
      <c r="AF1551" s="670"/>
      <c r="AG1551" s="88"/>
      <c r="AH1551" s="88"/>
      <c r="AI1551" s="88"/>
      <c r="AJ1551" s="88"/>
      <c r="AK1551" s="88"/>
      <c r="AO1551" s="10"/>
      <c r="AP1551" s="87"/>
    </row>
    <row r="1552" spans="2:76" ht="15.75" customHeight="1">
      <c r="B1552" s="524"/>
      <c r="D1552" s="524"/>
      <c r="E1552" s="524"/>
      <c r="I1552" s="10"/>
      <c r="L1552" s="666"/>
      <c r="N1552" s="10"/>
      <c r="O1552" s="10"/>
      <c r="P1552" s="666"/>
      <c r="S1552" s="10"/>
      <c r="AD1552" s="669"/>
      <c r="AE1552" s="87"/>
      <c r="AF1552" s="670"/>
      <c r="AG1552" s="88"/>
      <c r="AH1552" s="88"/>
      <c r="AI1552" s="88"/>
      <c r="AJ1552" s="88"/>
      <c r="AK1552" s="88"/>
      <c r="AO1552" s="10"/>
      <c r="AP1552" s="87"/>
    </row>
    <row r="1553" spans="2:42" ht="15.75" customHeight="1">
      <c r="B1553" s="524"/>
      <c r="D1553" s="524"/>
      <c r="E1553" s="524"/>
      <c r="I1553" s="10"/>
      <c r="L1553" s="666"/>
      <c r="N1553" s="10"/>
      <c r="O1553" s="10"/>
      <c r="P1553" s="666"/>
      <c r="S1553" s="10"/>
      <c r="AD1553" s="669"/>
      <c r="AE1553" s="87"/>
      <c r="AF1553" s="670"/>
      <c r="AG1553" s="88"/>
      <c r="AH1553" s="88"/>
      <c r="AI1553" s="88"/>
      <c r="AJ1553" s="88"/>
      <c r="AK1553" s="88"/>
      <c r="AO1553" s="10"/>
      <c r="AP1553" s="87"/>
    </row>
    <row r="1554" spans="2:42" ht="15.75" customHeight="1">
      <c r="B1554" s="524"/>
      <c r="D1554" s="524"/>
      <c r="E1554" s="524"/>
      <c r="I1554" s="10"/>
      <c r="L1554" s="666"/>
      <c r="N1554" s="10"/>
      <c r="O1554" s="10"/>
      <c r="P1554" s="666"/>
      <c r="S1554" s="10"/>
      <c r="AD1554" s="669"/>
      <c r="AE1554" s="87"/>
      <c r="AF1554" s="670"/>
      <c r="AG1554" s="88"/>
      <c r="AH1554" s="88"/>
      <c r="AI1554" s="88"/>
      <c r="AJ1554" s="88"/>
      <c r="AK1554" s="88"/>
      <c r="AO1554" s="10"/>
      <c r="AP1554" s="87"/>
    </row>
    <row r="1555" spans="2:42" ht="15.75" customHeight="1">
      <c r="B1555" s="524"/>
      <c r="D1555" s="524"/>
      <c r="E1555" s="524"/>
      <c r="I1555" s="10"/>
      <c r="L1555" s="666"/>
      <c r="N1555" s="10"/>
      <c r="O1555" s="10"/>
      <c r="P1555" s="666"/>
      <c r="S1555" s="10"/>
      <c r="AD1555" s="669"/>
      <c r="AE1555" s="87"/>
      <c r="AF1555" s="670"/>
      <c r="AG1555" s="88"/>
      <c r="AH1555" s="88"/>
      <c r="AI1555" s="88"/>
      <c r="AJ1555" s="88"/>
      <c r="AK1555" s="88"/>
      <c r="AO1555" s="10"/>
      <c r="AP1555" s="87"/>
    </row>
    <row r="1556" spans="2:42" ht="15.75" customHeight="1">
      <c r="B1556" s="524"/>
      <c r="D1556" s="524"/>
      <c r="E1556" s="524"/>
      <c r="I1556" s="10"/>
      <c r="L1556" s="666"/>
      <c r="N1556" s="10"/>
      <c r="O1556" s="10"/>
      <c r="P1556" s="666"/>
      <c r="S1556" s="10"/>
      <c r="AD1556" s="669"/>
      <c r="AE1556" s="87"/>
      <c r="AF1556" s="670"/>
      <c r="AG1556" s="88"/>
      <c r="AH1556" s="88"/>
      <c r="AI1556" s="88"/>
      <c r="AJ1556" s="88"/>
      <c r="AK1556" s="88"/>
      <c r="AO1556" s="10"/>
      <c r="AP1556" s="87"/>
    </row>
    <row r="1557" spans="2:42" ht="15.75" customHeight="1">
      <c r="B1557" s="524"/>
      <c r="D1557" s="524"/>
      <c r="E1557" s="524"/>
      <c r="I1557" s="10"/>
      <c r="L1557" s="666"/>
      <c r="N1557" s="10"/>
      <c r="O1557" s="10"/>
      <c r="P1557" s="666"/>
      <c r="S1557" s="10"/>
      <c r="AD1557" s="669"/>
      <c r="AE1557" s="87"/>
      <c r="AF1557" s="670"/>
      <c r="AG1557" s="88"/>
      <c r="AH1557" s="88"/>
      <c r="AI1557" s="88"/>
      <c r="AJ1557" s="88"/>
      <c r="AK1557" s="88"/>
      <c r="AO1557" s="10"/>
      <c r="AP1557" s="87"/>
    </row>
    <row r="1558" spans="2:42" ht="15.75" customHeight="1">
      <c r="B1558" s="524"/>
      <c r="D1558" s="524"/>
      <c r="E1558" s="524"/>
      <c r="I1558" s="10"/>
      <c r="L1558" s="666"/>
      <c r="N1558" s="10"/>
      <c r="O1558" s="10"/>
      <c r="P1558" s="666"/>
      <c r="S1558" s="10"/>
      <c r="AD1558" s="669"/>
      <c r="AE1558" s="87"/>
      <c r="AF1558" s="670"/>
      <c r="AG1558" s="88"/>
      <c r="AH1558" s="88"/>
      <c r="AI1558" s="88"/>
      <c r="AJ1558" s="88"/>
      <c r="AK1558" s="88"/>
      <c r="AO1558" s="10"/>
      <c r="AP1558" s="87"/>
    </row>
    <row r="1559" spans="2:42" ht="15.75" customHeight="1">
      <c r="B1559" s="524"/>
      <c r="D1559" s="524"/>
      <c r="E1559" s="524"/>
      <c r="I1559" s="10"/>
      <c r="L1559" s="666"/>
      <c r="N1559" s="10"/>
      <c r="O1559" s="10"/>
      <c r="P1559" s="666"/>
      <c r="S1559" s="10"/>
      <c r="AD1559" s="669"/>
      <c r="AE1559" s="87"/>
      <c r="AF1559" s="670"/>
      <c r="AG1559" s="88"/>
      <c r="AH1559" s="88"/>
      <c r="AI1559" s="88"/>
      <c r="AJ1559" s="88"/>
      <c r="AK1559" s="88"/>
      <c r="AO1559" s="10"/>
      <c r="AP1559" s="87"/>
    </row>
    <row r="1560" spans="2:42" ht="15.75" customHeight="1">
      <c r="B1560" s="524"/>
      <c r="D1560" s="524"/>
      <c r="E1560" s="524"/>
      <c r="I1560" s="10"/>
      <c r="L1560" s="666"/>
      <c r="N1560" s="10"/>
      <c r="O1560" s="10"/>
      <c r="P1560" s="666"/>
      <c r="S1560" s="10"/>
      <c r="AD1560" s="669"/>
      <c r="AE1560" s="87"/>
      <c r="AF1560" s="670"/>
      <c r="AG1560" s="88"/>
      <c r="AH1560" s="88"/>
      <c r="AI1560" s="88"/>
      <c r="AJ1560" s="88"/>
      <c r="AK1560" s="88"/>
      <c r="AO1560" s="10"/>
      <c r="AP1560" s="87"/>
    </row>
    <row r="1561" spans="2:42" ht="15.75" customHeight="1">
      <c r="B1561" s="524"/>
      <c r="D1561" s="524"/>
      <c r="E1561" s="524"/>
      <c r="I1561" s="10"/>
      <c r="L1561" s="666"/>
      <c r="N1561" s="10"/>
      <c r="O1561" s="10"/>
      <c r="P1561" s="666"/>
      <c r="S1561" s="10"/>
      <c r="AD1561" s="669"/>
      <c r="AE1561" s="87"/>
      <c r="AF1561" s="670"/>
      <c r="AG1561" s="88"/>
      <c r="AH1561" s="88"/>
      <c r="AI1561" s="88"/>
      <c r="AJ1561" s="88"/>
      <c r="AK1561" s="88"/>
      <c r="AO1561" s="10"/>
      <c r="AP1561" s="87"/>
    </row>
    <row r="1562" spans="2:42" ht="15.75" customHeight="1">
      <c r="B1562" s="524"/>
      <c r="D1562" s="524"/>
      <c r="E1562" s="524"/>
      <c r="I1562" s="10"/>
      <c r="L1562" s="666"/>
      <c r="N1562" s="10"/>
      <c r="O1562" s="10"/>
      <c r="P1562" s="666"/>
      <c r="S1562" s="10"/>
      <c r="AD1562" s="669"/>
      <c r="AE1562" s="87"/>
      <c r="AF1562" s="670"/>
      <c r="AG1562" s="88"/>
      <c r="AH1562" s="88"/>
      <c r="AI1562" s="88"/>
      <c r="AJ1562" s="88"/>
      <c r="AK1562" s="88"/>
      <c r="AO1562" s="10"/>
      <c r="AP1562" s="87"/>
    </row>
    <row r="1563" spans="2:42" ht="15.75" customHeight="1">
      <c r="B1563" s="524"/>
      <c r="D1563" s="524"/>
      <c r="E1563" s="524"/>
      <c r="I1563" s="10"/>
      <c r="L1563" s="666"/>
      <c r="N1563" s="10"/>
      <c r="O1563" s="10"/>
      <c r="P1563" s="666"/>
      <c r="S1563" s="10"/>
      <c r="AD1563" s="669"/>
      <c r="AE1563" s="87"/>
      <c r="AF1563" s="670"/>
      <c r="AG1563" s="88"/>
      <c r="AH1563" s="88"/>
      <c r="AI1563" s="88"/>
      <c r="AJ1563" s="88"/>
      <c r="AK1563" s="88"/>
      <c r="AO1563" s="10"/>
      <c r="AP1563" s="87"/>
    </row>
    <row r="1564" spans="2:42" ht="15.75" customHeight="1">
      <c r="B1564" s="524"/>
      <c r="D1564" s="524"/>
      <c r="E1564" s="524"/>
      <c r="I1564" s="10"/>
      <c r="L1564" s="666"/>
      <c r="N1564" s="10"/>
      <c r="O1564" s="10"/>
      <c r="P1564" s="666"/>
      <c r="S1564" s="10"/>
      <c r="AD1564" s="669"/>
      <c r="AE1564" s="87"/>
      <c r="AF1564" s="670"/>
      <c r="AG1564" s="88"/>
      <c r="AH1564" s="88"/>
      <c r="AI1564" s="88"/>
      <c r="AJ1564" s="88"/>
      <c r="AK1564" s="88"/>
      <c r="AO1564" s="10"/>
      <c r="AP1564" s="87"/>
    </row>
    <row r="1565" spans="2:42" ht="15.75" customHeight="1">
      <c r="B1565" s="524"/>
      <c r="D1565" s="524"/>
      <c r="E1565" s="524"/>
      <c r="I1565" s="10"/>
      <c r="L1565" s="666"/>
      <c r="N1565" s="10"/>
      <c r="O1565" s="10"/>
      <c r="P1565" s="666"/>
      <c r="S1565" s="10"/>
      <c r="AD1565" s="669"/>
      <c r="AE1565" s="87"/>
      <c r="AF1565" s="670"/>
      <c r="AG1565" s="88"/>
      <c r="AH1565" s="88"/>
      <c r="AI1565" s="88"/>
      <c r="AJ1565" s="88"/>
      <c r="AK1565" s="88"/>
      <c r="AO1565" s="10"/>
      <c r="AP1565" s="87"/>
    </row>
    <row r="1566" spans="2:42" ht="15.75" customHeight="1">
      <c r="B1566" s="524"/>
      <c r="D1566" s="524"/>
      <c r="E1566" s="524"/>
      <c r="I1566" s="10"/>
      <c r="L1566" s="666"/>
      <c r="N1566" s="10"/>
      <c r="O1566" s="10"/>
      <c r="P1566" s="666"/>
      <c r="S1566" s="10"/>
      <c r="AD1566" s="669"/>
      <c r="AE1566" s="87"/>
      <c r="AF1566" s="670"/>
      <c r="AG1566" s="88"/>
      <c r="AH1566" s="88"/>
      <c r="AI1566" s="88"/>
      <c r="AJ1566" s="88"/>
      <c r="AK1566" s="88"/>
      <c r="AO1566" s="10"/>
      <c r="AP1566" s="87"/>
    </row>
    <row r="1567" spans="2:42" ht="15.75" customHeight="1">
      <c r="B1567" s="524"/>
      <c r="D1567" s="524"/>
      <c r="E1567" s="524"/>
      <c r="I1567" s="10"/>
      <c r="L1567" s="666"/>
      <c r="N1567" s="10"/>
      <c r="O1567" s="10"/>
      <c r="P1567" s="666"/>
      <c r="S1567" s="10"/>
      <c r="AD1567" s="669"/>
      <c r="AE1567" s="87"/>
      <c r="AF1567" s="670"/>
      <c r="AG1567" s="88"/>
      <c r="AH1567" s="88"/>
      <c r="AI1567" s="88"/>
      <c r="AJ1567" s="88"/>
      <c r="AK1567" s="88"/>
      <c r="AO1567" s="10"/>
      <c r="AP1567" s="87"/>
    </row>
    <row r="1568" spans="2:42" ht="15.75" customHeight="1">
      <c r="B1568" s="524"/>
      <c r="D1568" s="524"/>
      <c r="E1568" s="524"/>
      <c r="I1568" s="10"/>
      <c r="L1568" s="666"/>
      <c r="N1568" s="10"/>
      <c r="O1568" s="10"/>
      <c r="P1568" s="666"/>
      <c r="S1568" s="10"/>
      <c r="AD1568" s="669"/>
      <c r="AE1568" s="87"/>
      <c r="AF1568" s="670"/>
      <c r="AG1568" s="88"/>
      <c r="AH1568" s="88"/>
      <c r="AI1568" s="88"/>
      <c r="AJ1568" s="88"/>
      <c r="AK1568" s="88"/>
      <c r="AO1568" s="10"/>
      <c r="AP1568" s="87"/>
    </row>
    <row r="1569" spans="2:42" ht="15.75" customHeight="1">
      <c r="B1569" s="524"/>
      <c r="D1569" s="524"/>
      <c r="E1569" s="524"/>
      <c r="I1569" s="10"/>
      <c r="L1569" s="666"/>
      <c r="N1569" s="10"/>
      <c r="O1569" s="10"/>
      <c r="P1569" s="666"/>
      <c r="S1569" s="10"/>
      <c r="AD1569" s="669"/>
      <c r="AE1569" s="87"/>
      <c r="AF1569" s="670"/>
      <c r="AG1569" s="88"/>
      <c r="AH1569" s="88"/>
      <c r="AI1569" s="88"/>
      <c r="AJ1569" s="88"/>
      <c r="AK1569" s="88"/>
      <c r="AO1569" s="10"/>
      <c r="AP1569" s="87"/>
    </row>
    <row r="1570" spans="2:42" ht="15.75" customHeight="1">
      <c r="B1570" s="524"/>
      <c r="D1570" s="524"/>
      <c r="E1570" s="524"/>
      <c r="I1570" s="10"/>
      <c r="L1570" s="666"/>
      <c r="N1570" s="10"/>
      <c r="O1570" s="10"/>
      <c r="P1570" s="666"/>
      <c r="S1570" s="10"/>
      <c r="AD1570" s="669"/>
      <c r="AE1570" s="87"/>
      <c r="AF1570" s="670"/>
      <c r="AG1570" s="88"/>
      <c r="AH1570" s="88"/>
      <c r="AI1570" s="88"/>
      <c r="AJ1570" s="88"/>
      <c r="AK1570" s="88"/>
      <c r="AO1570" s="10"/>
      <c r="AP1570" s="87"/>
    </row>
    <row r="1571" spans="2:42" ht="15.75" customHeight="1">
      <c r="B1571" s="524"/>
      <c r="D1571" s="524"/>
      <c r="E1571" s="524"/>
      <c r="I1571" s="10"/>
      <c r="L1571" s="666"/>
      <c r="N1571" s="10"/>
      <c r="O1571" s="10"/>
      <c r="P1571" s="666"/>
      <c r="S1571" s="10"/>
      <c r="AD1571" s="669"/>
      <c r="AE1571" s="87"/>
      <c r="AF1571" s="670"/>
      <c r="AG1571" s="88"/>
      <c r="AH1571" s="88"/>
      <c r="AI1571" s="88"/>
      <c r="AJ1571" s="88"/>
      <c r="AK1571" s="88"/>
      <c r="AO1571" s="10"/>
      <c r="AP1571" s="87"/>
    </row>
    <row r="1572" spans="2:42" ht="15.75" customHeight="1">
      <c r="B1572" s="524"/>
      <c r="D1572" s="524"/>
      <c r="E1572" s="524"/>
      <c r="I1572" s="10"/>
      <c r="L1572" s="666"/>
      <c r="N1572" s="10"/>
      <c r="O1572" s="10"/>
      <c r="P1572" s="666"/>
      <c r="S1572" s="10"/>
      <c r="AD1572" s="669"/>
      <c r="AE1572" s="87"/>
      <c r="AF1572" s="670"/>
      <c r="AG1572" s="88"/>
      <c r="AH1572" s="88"/>
      <c r="AI1572" s="88"/>
      <c r="AJ1572" s="88"/>
      <c r="AK1572" s="88"/>
      <c r="AO1572" s="10"/>
      <c r="AP1572" s="87"/>
    </row>
    <row r="1573" spans="2:42" ht="15.75" customHeight="1">
      <c r="B1573" s="524"/>
      <c r="D1573" s="524"/>
      <c r="E1573" s="524"/>
      <c r="I1573" s="10"/>
      <c r="L1573" s="666"/>
      <c r="N1573" s="10"/>
      <c r="O1573" s="10"/>
      <c r="P1573" s="666"/>
      <c r="S1573" s="10"/>
      <c r="AD1573" s="669"/>
      <c r="AE1573" s="87"/>
      <c r="AF1573" s="670"/>
      <c r="AG1573" s="88"/>
      <c r="AH1573" s="88"/>
      <c r="AI1573" s="88"/>
      <c r="AJ1573" s="88"/>
      <c r="AK1573" s="88"/>
      <c r="AO1573" s="10"/>
      <c r="AP1573" s="87"/>
    </row>
    <row r="1574" spans="2:42" ht="15.75" customHeight="1">
      <c r="B1574" s="524"/>
      <c r="D1574" s="524"/>
      <c r="E1574" s="524"/>
      <c r="I1574" s="10"/>
      <c r="L1574" s="666"/>
      <c r="N1574" s="10"/>
      <c r="O1574" s="10"/>
      <c r="P1574" s="666"/>
      <c r="S1574" s="10"/>
      <c r="AD1574" s="669"/>
      <c r="AE1574" s="87"/>
      <c r="AF1574" s="670"/>
      <c r="AG1574" s="88"/>
      <c r="AH1574" s="88"/>
      <c r="AI1574" s="88"/>
      <c r="AJ1574" s="88"/>
      <c r="AK1574" s="88"/>
      <c r="AO1574" s="10"/>
      <c r="AP1574" s="87"/>
    </row>
    <row r="1575" spans="2:42" ht="15.75" customHeight="1">
      <c r="B1575" s="524"/>
      <c r="D1575" s="524"/>
      <c r="E1575" s="524"/>
      <c r="I1575" s="10"/>
      <c r="L1575" s="666"/>
      <c r="N1575" s="10"/>
      <c r="O1575" s="10"/>
      <c r="P1575" s="666"/>
      <c r="S1575" s="10"/>
      <c r="AD1575" s="669"/>
      <c r="AE1575" s="87"/>
      <c r="AF1575" s="670"/>
      <c r="AG1575" s="88"/>
      <c r="AH1575" s="88"/>
      <c r="AI1575" s="88"/>
      <c r="AJ1575" s="88"/>
      <c r="AK1575" s="88"/>
      <c r="AO1575" s="10"/>
      <c r="AP1575" s="87"/>
    </row>
    <row r="1576" spans="2:42" ht="15.75" customHeight="1">
      <c r="B1576" s="524"/>
      <c r="D1576" s="524"/>
      <c r="E1576" s="524"/>
      <c r="I1576" s="10"/>
      <c r="L1576" s="666"/>
      <c r="N1576" s="10"/>
      <c r="O1576" s="10"/>
      <c r="P1576" s="666"/>
      <c r="S1576" s="10"/>
      <c r="AD1576" s="669"/>
      <c r="AE1576" s="87"/>
      <c r="AF1576" s="670"/>
      <c r="AG1576" s="88"/>
      <c r="AH1576" s="88"/>
      <c r="AI1576" s="88"/>
      <c r="AJ1576" s="88"/>
      <c r="AK1576" s="88"/>
      <c r="AO1576" s="10"/>
      <c r="AP1576" s="87"/>
    </row>
    <row r="1577" spans="2:42" ht="15.75" customHeight="1">
      <c r="B1577" s="524"/>
      <c r="D1577" s="524"/>
      <c r="E1577" s="524"/>
      <c r="I1577" s="10"/>
      <c r="L1577" s="666"/>
      <c r="N1577" s="10"/>
      <c r="O1577" s="10"/>
      <c r="P1577" s="666"/>
      <c r="S1577" s="10"/>
      <c r="AD1577" s="669"/>
      <c r="AE1577" s="87"/>
      <c r="AF1577" s="670"/>
      <c r="AG1577" s="88"/>
      <c r="AH1577" s="88"/>
      <c r="AI1577" s="88"/>
      <c r="AJ1577" s="88"/>
      <c r="AK1577" s="88"/>
      <c r="AO1577" s="10"/>
      <c r="AP1577" s="87"/>
    </row>
    <row r="1578" spans="2:42" ht="15.75" customHeight="1">
      <c r="B1578" s="524"/>
      <c r="D1578" s="524"/>
      <c r="E1578" s="524"/>
      <c r="I1578" s="10"/>
      <c r="L1578" s="666"/>
      <c r="N1578" s="10"/>
      <c r="O1578" s="10"/>
      <c r="P1578" s="666"/>
      <c r="S1578" s="10"/>
      <c r="AD1578" s="669"/>
      <c r="AE1578" s="87"/>
      <c r="AF1578" s="670"/>
      <c r="AG1578" s="88"/>
      <c r="AH1578" s="88"/>
      <c r="AI1578" s="88"/>
      <c r="AJ1578" s="88"/>
      <c r="AK1578" s="88"/>
      <c r="AO1578" s="10"/>
      <c r="AP1578" s="87"/>
    </row>
    <row r="1579" spans="2:42" ht="15.75" customHeight="1">
      <c r="B1579" s="524"/>
      <c r="D1579" s="524"/>
      <c r="E1579" s="524"/>
      <c r="I1579" s="10"/>
      <c r="L1579" s="666"/>
      <c r="N1579" s="10"/>
      <c r="O1579" s="10"/>
      <c r="P1579" s="666"/>
      <c r="S1579" s="10"/>
      <c r="AD1579" s="669"/>
      <c r="AE1579" s="87"/>
      <c r="AF1579" s="670"/>
      <c r="AG1579" s="88"/>
      <c r="AH1579" s="88"/>
      <c r="AI1579" s="88"/>
      <c r="AJ1579" s="88"/>
      <c r="AK1579" s="88"/>
      <c r="AO1579" s="10"/>
      <c r="AP1579" s="87"/>
    </row>
    <row r="1580" spans="2:42" ht="15.75" customHeight="1">
      <c r="B1580" s="524"/>
      <c r="D1580" s="524"/>
      <c r="E1580" s="524"/>
      <c r="I1580" s="10"/>
      <c r="L1580" s="666"/>
      <c r="N1580" s="10"/>
      <c r="O1580" s="10"/>
      <c r="P1580" s="666"/>
      <c r="S1580" s="10"/>
      <c r="AD1580" s="669"/>
      <c r="AE1580" s="87"/>
      <c r="AF1580" s="670"/>
      <c r="AG1580" s="88"/>
      <c r="AH1580" s="88"/>
      <c r="AI1580" s="88"/>
      <c r="AJ1580" s="88"/>
      <c r="AK1580" s="88"/>
      <c r="AO1580" s="10"/>
      <c r="AP1580" s="87"/>
    </row>
    <row r="1581" spans="2:42" ht="15.75" customHeight="1">
      <c r="B1581" s="524"/>
      <c r="D1581" s="524"/>
      <c r="E1581" s="524"/>
      <c r="I1581" s="10"/>
      <c r="L1581" s="666"/>
      <c r="N1581" s="10"/>
      <c r="O1581" s="10"/>
      <c r="P1581" s="666"/>
      <c r="S1581" s="10"/>
      <c r="AD1581" s="669"/>
      <c r="AE1581" s="87"/>
      <c r="AF1581" s="670"/>
      <c r="AG1581" s="88"/>
      <c r="AH1581" s="88"/>
      <c r="AI1581" s="88"/>
      <c r="AJ1581" s="88"/>
      <c r="AK1581" s="88"/>
      <c r="AO1581" s="10"/>
      <c r="AP1581" s="87"/>
    </row>
    <row r="1582" spans="2:42" ht="15.75" customHeight="1">
      <c r="B1582" s="524"/>
      <c r="D1582" s="524"/>
      <c r="E1582" s="524"/>
      <c r="I1582" s="10"/>
      <c r="L1582" s="666"/>
      <c r="N1582" s="10"/>
      <c r="O1582" s="10"/>
      <c r="P1582" s="666"/>
      <c r="S1582" s="10"/>
      <c r="AD1582" s="669"/>
      <c r="AE1582" s="87"/>
      <c r="AF1582" s="670"/>
      <c r="AG1582" s="88"/>
      <c r="AH1582" s="88"/>
      <c r="AI1582" s="88"/>
      <c r="AJ1582" s="88"/>
      <c r="AK1582" s="88"/>
      <c r="AO1582" s="10"/>
      <c r="AP1582" s="87"/>
    </row>
    <row r="1583" spans="2:42" ht="15.75" customHeight="1">
      <c r="B1583" s="524"/>
      <c r="D1583" s="524"/>
      <c r="E1583" s="524"/>
      <c r="I1583" s="10"/>
      <c r="L1583" s="666"/>
      <c r="N1583" s="10"/>
      <c r="O1583" s="10"/>
      <c r="P1583" s="666"/>
      <c r="S1583" s="10"/>
      <c r="AD1583" s="669"/>
      <c r="AE1583" s="87"/>
      <c r="AF1583" s="670"/>
      <c r="AG1583" s="88"/>
      <c r="AH1583" s="88"/>
      <c r="AI1583" s="88"/>
      <c r="AJ1583" s="88"/>
      <c r="AK1583" s="88"/>
      <c r="AO1583" s="10"/>
      <c r="AP1583" s="87"/>
    </row>
    <row r="1584" spans="2:42" ht="15.75" customHeight="1">
      <c r="B1584" s="524"/>
      <c r="D1584" s="524"/>
      <c r="E1584" s="524"/>
      <c r="I1584" s="10"/>
      <c r="L1584" s="666"/>
      <c r="N1584" s="10"/>
      <c r="O1584" s="10"/>
      <c r="P1584" s="666"/>
      <c r="S1584" s="10"/>
      <c r="AD1584" s="669"/>
      <c r="AE1584" s="87"/>
      <c r="AF1584" s="670"/>
      <c r="AG1584" s="88"/>
      <c r="AH1584" s="88"/>
      <c r="AI1584" s="88"/>
      <c r="AJ1584" s="88"/>
      <c r="AK1584" s="88"/>
      <c r="AO1584" s="10"/>
      <c r="AP1584" s="87"/>
    </row>
    <row r="1585" spans="2:42" ht="15.75" customHeight="1">
      <c r="B1585" s="524"/>
      <c r="D1585" s="524"/>
      <c r="E1585" s="524"/>
      <c r="I1585" s="10"/>
      <c r="L1585" s="666"/>
      <c r="N1585" s="10"/>
      <c r="O1585" s="10"/>
      <c r="P1585" s="666"/>
      <c r="S1585" s="10"/>
      <c r="AD1585" s="669"/>
      <c r="AE1585" s="87"/>
      <c r="AF1585" s="670"/>
      <c r="AG1585" s="88"/>
      <c r="AH1585" s="88"/>
      <c r="AI1585" s="88"/>
      <c r="AJ1585" s="88"/>
      <c r="AK1585" s="88"/>
      <c r="AO1585" s="10"/>
      <c r="AP1585" s="87"/>
    </row>
  </sheetData>
  <sortState xmlns:xlrd2="http://schemas.microsoft.com/office/spreadsheetml/2017/richdata2" ref="B6:AU1544">
    <sortCondition ref="L4"/>
    <sortCondition ref="S4"/>
    <sortCondition ref="F4"/>
    <sortCondition ref="B4"/>
  </sortState>
  <mergeCells count="1">
    <mergeCell ref="D3:E3"/>
  </mergeCells>
  <phoneticPr fontId="138" type="noConversion"/>
  <conditionalFormatting sqref="CI1404 CE1404">
    <cfRule type="expression" dxfId="515" priority="15420">
      <formula>AND(CE1404&lt;&gt;"",#REF!="",OR(COLUMN(CE1404)=COLUMN(#REF!),COLUMN(CE1404)=COLUMN(#REF!)))</formula>
    </cfRule>
  </conditionalFormatting>
  <conditionalFormatting sqref="CF1404:CJ1404">
    <cfRule type="expression" dxfId="514" priority="15419">
      <formula>AND(CF1404&lt;&gt;"",#REF!="",OR(COLUMN(CF1404)=COLUMN(#REF!),COLUMN(CF1404)=COLUMN(#REF!)))</formula>
    </cfRule>
  </conditionalFormatting>
  <conditionalFormatting sqref="CK1404">
    <cfRule type="expression" dxfId="513" priority="15418">
      <formula>AND(CK1404&lt;&gt;"",#REF!="",OR(COLUMN(CK1404)=COLUMN(#REF!),COLUMN(CK1404)=COLUMN(#REF!)))</formula>
    </cfRule>
  </conditionalFormatting>
  <conditionalFormatting sqref="CL1404">
    <cfRule type="expression" dxfId="512" priority="15417">
      <formula>AND(CL1404&lt;&gt;"",#REF!="",OR(COLUMN(CL1404)=COLUMN(#REF!),COLUMN(CL1404)=COLUMN(#REF!)))</formula>
    </cfRule>
  </conditionalFormatting>
  <conditionalFormatting sqref="DD3 CE3:CL3">
    <cfRule type="expression" dxfId="511" priority="15363">
      <formula>AND(CE3&lt;&gt;"",#REF!="",OR(COLUMN(CE3)=COLUMN(#REF!),COLUMN(CE3)=COLUMN(#REF!)))</formula>
    </cfRule>
  </conditionalFormatting>
  <conditionalFormatting sqref="CD3">
    <cfRule type="expression" dxfId="510" priority="10792">
      <formula>AND(CD3&lt;&gt;"",#REF!="",OR(COLUMN(CD3)=COLUMN(#REF!),COLUMN(CD3)=COLUMN(#REF!)))</formula>
    </cfRule>
  </conditionalFormatting>
  <conditionalFormatting sqref="BX3 AY3:BF3">
    <cfRule type="expression" dxfId="509" priority="1320">
      <formula>AND(AY3&lt;&gt;"",#REF!="",OR(COLUMN(AY3)=COLUMN(#REF!),COLUMN(AY3)=COLUMN(#REF!)))</formula>
    </cfRule>
  </conditionalFormatting>
  <conditionalFormatting sqref="AX3">
    <cfRule type="expression" dxfId="508" priority="1319">
      <formula>AND(AX3&lt;&gt;"",#REF!="",OR(COLUMN(AX3)=COLUMN(#REF!),COLUMN(AX3)=COLUMN(#REF!)))</formula>
    </cfRule>
  </conditionalFormatting>
  <conditionalFormatting sqref="BX6 AY6:BF6">
    <cfRule type="expression" dxfId="507" priority="360">
      <formula>AND(AY6&lt;&gt;"",#REF!="",OR(COLUMN(AY6)=COLUMN(#REF!),COLUMN(AY6)=COLUMN(#REF!)))</formula>
    </cfRule>
  </conditionalFormatting>
  <conditionalFormatting sqref="AX6">
    <cfRule type="expression" dxfId="506" priority="359">
      <formula>AND(AX6&lt;&gt;"",#REF!="",OR(COLUMN(AX6)=COLUMN(#REF!),COLUMN(AX6)=COLUMN(#REF!)))</formula>
    </cfRule>
  </conditionalFormatting>
  <conditionalFormatting sqref="BX7 AY7:BF7">
    <cfRule type="expression" dxfId="505" priority="358">
      <formula>AND(AY7&lt;&gt;"",#REF!="",OR(COLUMN(AY7)=COLUMN(#REF!),COLUMN(AY7)=COLUMN(#REF!)))</formula>
    </cfRule>
  </conditionalFormatting>
  <conditionalFormatting sqref="AX7">
    <cfRule type="expression" dxfId="504" priority="357">
      <formula>AND(AX7&lt;&gt;"",#REF!="",OR(COLUMN(AX7)=COLUMN(#REF!),COLUMN(AX7)=COLUMN(#REF!)))</formula>
    </cfRule>
  </conditionalFormatting>
  <conditionalFormatting sqref="BX8 AY8:BF8">
    <cfRule type="expression" dxfId="503" priority="356">
      <formula>AND(AY8&lt;&gt;"",#REF!="",OR(COLUMN(AY8)=COLUMN(#REF!),COLUMN(AY8)=COLUMN(#REF!)))</formula>
    </cfRule>
  </conditionalFormatting>
  <conditionalFormatting sqref="AX8">
    <cfRule type="expression" dxfId="502" priority="355">
      <formula>AND(AX8&lt;&gt;"",#REF!="",OR(COLUMN(AX8)=COLUMN(#REF!),COLUMN(AX8)=COLUMN(#REF!)))</formula>
    </cfRule>
  </conditionalFormatting>
  <conditionalFormatting sqref="BX9 AY9:BF9">
    <cfRule type="expression" dxfId="501" priority="354">
      <formula>AND(AY9&lt;&gt;"",#REF!="",OR(COLUMN(AY9)=COLUMN(#REF!),COLUMN(AY9)=COLUMN(#REF!)))</formula>
    </cfRule>
  </conditionalFormatting>
  <conditionalFormatting sqref="AX9">
    <cfRule type="expression" dxfId="500" priority="353">
      <formula>AND(AX9&lt;&gt;"",#REF!="",OR(COLUMN(AX9)=COLUMN(#REF!),COLUMN(AX9)=COLUMN(#REF!)))</formula>
    </cfRule>
  </conditionalFormatting>
  <conditionalFormatting sqref="BX10 AY10:BF10">
    <cfRule type="expression" dxfId="499" priority="352">
      <formula>AND(AY10&lt;&gt;"",#REF!="",OR(COLUMN(AY10)=COLUMN(#REF!),COLUMN(AY10)=COLUMN(#REF!)))</formula>
    </cfRule>
  </conditionalFormatting>
  <conditionalFormatting sqref="AX10">
    <cfRule type="expression" dxfId="498" priority="351">
      <formula>AND(AX10&lt;&gt;"",#REF!="",OR(COLUMN(AX10)=COLUMN(#REF!),COLUMN(AX10)=COLUMN(#REF!)))</formula>
    </cfRule>
  </conditionalFormatting>
  <conditionalFormatting sqref="BX11 AY11:BF11">
    <cfRule type="expression" dxfId="497" priority="350">
      <formula>AND(AY11&lt;&gt;"",#REF!="",OR(COLUMN(AY11)=COLUMN(#REF!),COLUMN(AY11)=COLUMN(#REF!)))</formula>
    </cfRule>
  </conditionalFormatting>
  <conditionalFormatting sqref="AX11">
    <cfRule type="expression" dxfId="496" priority="349">
      <formula>AND(AX11&lt;&gt;"",#REF!="",OR(COLUMN(AX11)=COLUMN(#REF!),COLUMN(AX11)=COLUMN(#REF!)))</formula>
    </cfRule>
  </conditionalFormatting>
  <conditionalFormatting sqref="BX12 AY12:BF12">
    <cfRule type="expression" dxfId="495" priority="348">
      <formula>AND(AY12&lt;&gt;"",#REF!="",OR(COLUMN(AY12)=COLUMN(#REF!),COLUMN(AY12)=COLUMN(#REF!)))</formula>
    </cfRule>
  </conditionalFormatting>
  <conditionalFormatting sqref="AX12">
    <cfRule type="expression" dxfId="494" priority="347">
      <formula>AND(AX12&lt;&gt;"",#REF!="",OR(COLUMN(AX12)=COLUMN(#REF!),COLUMN(AX12)=COLUMN(#REF!)))</formula>
    </cfRule>
  </conditionalFormatting>
  <conditionalFormatting sqref="BX13 AY13:BF13">
    <cfRule type="expression" dxfId="493" priority="346">
      <formula>AND(AY13&lt;&gt;"",#REF!="",OR(COLUMN(AY13)=COLUMN(#REF!),COLUMN(AY13)=COLUMN(#REF!)))</formula>
    </cfRule>
  </conditionalFormatting>
  <conditionalFormatting sqref="AX13">
    <cfRule type="expression" dxfId="492" priority="345">
      <formula>AND(AX13&lt;&gt;"",#REF!="",OR(COLUMN(AX13)=COLUMN(#REF!),COLUMN(AX13)=COLUMN(#REF!)))</formula>
    </cfRule>
  </conditionalFormatting>
  <conditionalFormatting sqref="BX14 AY14:BF14">
    <cfRule type="expression" dxfId="491" priority="344">
      <formula>AND(AY14&lt;&gt;"",#REF!="",OR(COLUMN(AY14)=COLUMN(#REF!),COLUMN(AY14)=COLUMN(#REF!)))</formula>
    </cfRule>
  </conditionalFormatting>
  <conditionalFormatting sqref="AX14">
    <cfRule type="expression" dxfId="490" priority="343">
      <formula>AND(AX14&lt;&gt;"",#REF!="",OR(COLUMN(AX14)=COLUMN(#REF!),COLUMN(AX14)=COLUMN(#REF!)))</formula>
    </cfRule>
  </conditionalFormatting>
  <conditionalFormatting sqref="BX15 AY15:BF15">
    <cfRule type="expression" dxfId="489" priority="342">
      <formula>AND(AY15&lt;&gt;"",#REF!="",OR(COLUMN(AY15)=COLUMN(#REF!),COLUMN(AY15)=COLUMN(#REF!)))</formula>
    </cfRule>
  </conditionalFormatting>
  <conditionalFormatting sqref="AX15">
    <cfRule type="expression" dxfId="488" priority="341">
      <formula>AND(AX15&lt;&gt;"",#REF!="",OR(COLUMN(AX15)=COLUMN(#REF!),COLUMN(AX15)=COLUMN(#REF!)))</formula>
    </cfRule>
  </conditionalFormatting>
  <conditionalFormatting sqref="BX16 AY16:BF16">
    <cfRule type="expression" dxfId="487" priority="340">
      <formula>AND(AY16&lt;&gt;"",#REF!="",OR(COLUMN(AY16)=COLUMN(#REF!),COLUMN(AY16)=COLUMN(#REF!)))</formula>
    </cfRule>
  </conditionalFormatting>
  <conditionalFormatting sqref="AX16">
    <cfRule type="expression" dxfId="486" priority="339">
      <formula>AND(AX16&lt;&gt;"",#REF!="",OR(COLUMN(AX16)=COLUMN(#REF!),COLUMN(AX16)=COLUMN(#REF!)))</formula>
    </cfRule>
  </conditionalFormatting>
  <conditionalFormatting sqref="BX17 AY17:BF17">
    <cfRule type="expression" dxfId="485" priority="338">
      <formula>AND(AY17&lt;&gt;"",#REF!="",OR(COLUMN(AY17)=COLUMN(#REF!),COLUMN(AY17)=COLUMN(#REF!)))</formula>
    </cfRule>
  </conditionalFormatting>
  <conditionalFormatting sqref="AX17">
    <cfRule type="expression" dxfId="484" priority="337">
      <formula>AND(AX17&lt;&gt;"",#REF!="",OR(COLUMN(AX17)=COLUMN(#REF!),COLUMN(AX17)=COLUMN(#REF!)))</formula>
    </cfRule>
  </conditionalFormatting>
  <conditionalFormatting sqref="BX18 AY18:BF18">
    <cfRule type="expression" dxfId="483" priority="336">
      <formula>AND(AY18&lt;&gt;"",#REF!="",OR(COLUMN(AY18)=COLUMN(#REF!),COLUMN(AY18)=COLUMN(#REF!)))</formula>
    </cfRule>
  </conditionalFormatting>
  <conditionalFormatting sqref="AX18">
    <cfRule type="expression" dxfId="482" priority="335">
      <formula>AND(AX18&lt;&gt;"",#REF!="",OR(COLUMN(AX18)=COLUMN(#REF!),COLUMN(AX18)=COLUMN(#REF!)))</formula>
    </cfRule>
  </conditionalFormatting>
  <conditionalFormatting sqref="BX19 AY19:BF19">
    <cfRule type="expression" dxfId="481" priority="334">
      <formula>AND(AY19&lt;&gt;"",#REF!="",OR(COLUMN(AY19)=COLUMN(#REF!),COLUMN(AY19)=COLUMN(#REF!)))</formula>
    </cfRule>
  </conditionalFormatting>
  <conditionalFormatting sqref="AX19">
    <cfRule type="expression" dxfId="480" priority="333">
      <formula>AND(AX19&lt;&gt;"",#REF!="",OR(COLUMN(AX19)=COLUMN(#REF!),COLUMN(AX19)=COLUMN(#REF!)))</formula>
    </cfRule>
  </conditionalFormatting>
  <conditionalFormatting sqref="BX20 AY20:BF20">
    <cfRule type="expression" dxfId="479" priority="332">
      <formula>AND(AY20&lt;&gt;"",#REF!="",OR(COLUMN(AY20)=COLUMN(#REF!),COLUMN(AY20)=COLUMN(#REF!)))</formula>
    </cfRule>
  </conditionalFormatting>
  <conditionalFormatting sqref="AX20">
    <cfRule type="expression" dxfId="478" priority="331">
      <formula>AND(AX20&lt;&gt;"",#REF!="",OR(COLUMN(AX20)=COLUMN(#REF!),COLUMN(AX20)=COLUMN(#REF!)))</formula>
    </cfRule>
  </conditionalFormatting>
  <conditionalFormatting sqref="BX21 AY21:BF21">
    <cfRule type="expression" dxfId="477" priority="330">
      <formula>AND(AY21&lt;&gt;"",#REF!="",OR(COLUMN(AY21)=COLUMN(#REF!),COLUMN(AY21)=COLUMN(#REF!)))</formula>
    </cfRule>
  </conditionalFormatting>
  <conditionalFormatting sqref="AX21">
    <cfRule type="expression" dxfId="476" priority="329">
      <formula>AND(AX21&lt;&gt;"",#REF!="",OR(COLUMN(AX21)=COLUMN(#REF!),COLUMN(AX21)=COLUMN(#REF!)))</formula>
    </cfRule>
  </conditionalFormatting>
  <conditionalFormatting sqref="BX22 AY22:BF22">
    <cfRule type="expression" dxfId="475" priority="328">
      <formula>AND(AY22&lt;&gt;"",#REF!="",OR(COLUMN(AY22)=COLUMN(#REF!),COLUMN(AY22)=COLUMN(#REF!)))</formula>
    </cfRule>
  </conditionalFormatting>
  <conditionalFormatting sqref="AX22">
    <cfRule type="expression" dxfId="474" priority="327">
      <formula>AND(AX22&lt;&gt;"",#REF!="",OR(COLUMN(AX22)=COLUMN(#REF!),COLUMN(AX22)=COLUMN(#REF!)))</formula>
    </cfRule>
  </conditionalFormatting>
  <conditionalFormatting sqref="BX23 AY23:BF23">
    <cfRule type="expression" dxfId="473" priority="326">
      <formula>AND(AY23&lt;&gt;"",#REF!="",OR(COLUMN(AY23)=COLUMN(#REF!),COLUMN(AY23)=COLUMN(#REF!)))</formula>
    </cfRule>
  </conditionalFormatting>
  <conditionalFormatting sqref="AX23">
    <cfRule type="expression" dxfId="472" priority="325">
      <formula>AND(AX23&lt;&gt;"",#REF!="",OR(COLUMN(AX23)=COLUMN(#REF!),COLUMN(AX23)=COLUMN(#REF!)))</formula>
    </cfRule>
  </conditionalFormatting>
  <conditionalFormatting sqref="BX24 AY24:BF24">
    <cfRule type="expression" dxfId="471" priority="324">
      <formula>AND(AY24&lt;&gt;"",#REF!="",OR(COLUMN(AY24)=COLUMN(#REF!),COLUMN(AY24)=COLUMN(#REF!)))</formula>
    </cfRule>
  </conditionalFormatting>
  <conditionalFormatting sqref="AX24">
    <cfRule type="expression" dxfId="470" priority="323">
      <formula>AND(AX24&lt;&gt;"",#REF!="",OR(COLUMN(AX24)=COLUMN(#REF!),COLUMN(AX24)=COLUMN(#REF!)))</formula>
    </cfRule>
  </conditionalFormatting>
  <conditionalFormatting sqref="BX25 AY25:BF25">
    <cfRule type="expression" dxfId="469" priority="322">
      <formula>AND(AY25&lt;&gt;"",#REF!="",OR(COLUMN(AY25)=COLUMN(#REF!),COLUMN(AY25)=COLUMN(#REF!)))</formula>
    </cfRule>
  </conditionalFormatting>
  <conditionalFormatting sqref="AX25">
    <cfRule type="expression" dxfId="468" priority="321">
      <formula>AND(AX25&lt;&gt;"",#REF!="",OR(COLUMN(AX25)=COLUMN(#REF!),COLUMN(AX25)=COLUMN(#REF!)))</formula>
    </cfRule>
  </conditionalFormatting>
  <conditionalFormatting sqref="BX26 AY26:BF26">
    <cfRule type="expression" dxfId="467" priority="320">
      <formula>AND(AY26&lt;&gt;"",#REF!="",OR(COLUMN(AY26)=COLUMN(#REF!),COLUMN(AY26)=COLUMN(#REF!)))</formula>
    </cfRule>
  </conditionalFormatting>
  <conditionalFormatting sqref="AX26">
    <cfRule type="expression" dxfId="466" priority="319">
      <formula>AND(AX26&lt;&gt;"",#REF!="",OR(COLUMN(AX26)=COLUMN(#REF!),COLUMN(AX26)=COLUMN(#REF!)))</formula>
    </cfRule>
  </conditionalFormatting>
  <conditionalFormatting sqref="BX27 AY27:BF27">
    <cfRule type="expression" dxfId="465" priority="318">
      <formula>AND(AY27&lt;&gt;"",#REF!="",OR(COLUMN(AY27)=COLUMN(#REF!),COLUMN(AY27)=COLUMN(#REF!)))</formula>
    </cfRule>
  </conditionalFormatting>
  <conditionalFormatting sqref="AX27">
    <cfRule type="expression" dxfId="464" priority="317">
      <formula>AND(AX27&lt;&gt;"",#REF!="",OR(COLUMN(AX27)=COLUMN(#REF!),COLUMN(AX27)=COLUMN(#REF!)))</formula>
    </cfRule>
  </conditionalFormatting>
  <conditionalFormatting sqref="BX28 AY28:BF28">
    <cfRule type="expression" dxfId="463" priority="316">
      <formula>AND(AY28&lt;&gt;"",#REF!="",OR(COLUMN(AY28)=COLUMN(#REF!),COLUMN(AY28)=COLUMN(#REF!)))</formula>
    </cfRule>
  </conditionalFormatting>
  <conditionalFormatting sqref="AX28">
    <cfRule type="expression" dxfId="462" priority="315">
      <formula>AND(AX28&lt;&gt;"",#REF!="",OR(COLUMN(AX28)=COLUMN(#REF!),COLUMN(AX28)=COLUMN(#REF!)))</formula>
    </cfRule>
  </conditionalFormatting>
  <conditionalFormatting sqref="BX29 AY29:BF29">
    <cfRule type="expression" dxfId="461" priority="314">
      <formula>AND(AY29&lt;&gt;"",#REF!="",OR(COLUMN(AY29)=COLUMN(#REF!),COLUMN(AY29)=COLUMN(#REF!)))</formula>
    </cfRule>
  </conditionalFormatting>
  <conditionalFormatting sqref="AX29">
    <cfRule type="expression" dxfId="460" priority="313">
      <formula>AND(AX29&lt;&gt;"",#REF!="",OR(COLUMN(AX29)=COLUMN(#REF!),COLUMN(AX29)=COLUMN(#REF!)))</formula>
    </cfRule>
  </conditionalFormatting>
  <conditionalFormatting sqref="BX30 AY30:BF30">
    <cfRule type="expression" dxfId="459" priority="312">
      <formula>AND(AY30&lt;&gt;"",#REF!="",OR(COLUMN(AY30)=COLUMN(#REF!),COLUMN(AY30)=COLUMN(#REF!)))</formula>
    </cfRule>
  </conditionalFormatting>
  <conditionalFormatting sqref="AX30">
    <cfRule type="expression" dxfId="458" priority="311">
      <formula>AND(AX30&lt;&gt;"",#REF!="",OR(COLUMN(AX30)=COLUMN(#REF!),COLUMN(AX30)=COLUMN(#REF!)))</formula>
    </cfRule>
  </conditionalFormatting>
  <conditionalFormatting sqref="BX31 AY31:BF31">
    <cfRule type="expression" dxfId="457" priority="310">
      <formula>AND(AY31&lt;&gt;"",#REF!="",OR(COLUMN(AY31)=COLUMN(#REF!),COLUMN(AY31)=COLUMN(#REF!)))</formula>
    </cfRule>
  </conditionalFormatting>
  <conditionalFormatting sqref="AX31">
    <cfRule type="expression" dxfId="456" priority="309">
      <formula>AND(AX31&lt;&gt;"",#REF!="",OR(COLUMN(AX31)=COLUMN(#REF!),COLUMN(AX31)=COLUMN(#REF!)))</formula>
    </cfRule>
  </conditionalFormatting>
  <conditionalFormatting sqref="BX32 AY32:BF32">
    <cfRule type="expression" dxfId="455" priority="308">
      <formula>AND(AY32&lt;&gt;"",#REF!="",OR(COLUMN(AY32)=COLUMN(#REF!),COLUMN(AY32)=COLUMN(#REF!)))</formula>
    </cfRule>
  </conditionalFormatting>
  <conditionalFormatting sqref="AX32">
    <cfRule type="expression" dxfId="454" priority="307">
      <formula>AND(AX32&lt;&gt;"",#REF!="",OR(COLUMN(AX32)=COLUMN(#REF!),COLUMN(AX32)=COLUMN(#REF!)))</formula>
    </cfRule>
  </conditionalFormatting>
  <conditionalFormatting sqref="BX33 AY33:BF33">
    <cfRule type="expression" dxfId="453" priority="306">
      <formula>AND(AY33&lt;&gt;"",#REF!="",OR(COLUMN(AY33)=COLUMN(#REF!),COLUMN(AY33)=COLUMN(#REF!)))</formula>
    </cfRule>
  </conditionalFormatting>
  <conditionalFormatting sqref="AX33">
    <cfRule type="expression" dxfId="452" priority="305">
      <formula>AND(AX33&lt;&gt;"",#REF!="",OR(COLUMN(AX33)=COLUMN(#REF!),COLUMN(AX33)=COLUMN(#REF!)))</formula>
    </cfRule>
  </conditionalFormatting>
  <conditionalFormatting sqref="BX34 AY34:BF34">
    <cfRule type="expression" dxfId="451" priority="304">
      <formula>AND(AY34&lt;&gt;"",#REF!="",OR(COLUMN(AY34)=COLUMN(#REF!),COLUMN(AY34)=COLUMN(#REF!)))</formula>
    </cfRule>
  </conditionalFormatting>
  <conditionalFormatting sqref="AX34">
    <cfRule type="expression" dxfId="450" priority="303">
      <formula>AND(AX34&lt;&gt;"",#REF!="",OR(COLUMN(AX34)=COLUMN(#REF!),COLUMN(AX34)=COLUMN(#REF!)))</formula>
    </cfRule>
  </conditionalFormatting>
  <conditionalFormatting sqref="BX35 AY35:BF35">
    <cfRule type="expression" dxfId="449" priority="302">
      <formula>AND(AY35&lt;&gt;"",#REF!="",OR(COLUMN(AY35)=COLUMN(#REF!),COLUMN(AY35)=COLUMN(#REF!)))</formula>
    </cfRule>
  </conditionalFormatting>
  <conditionalFormatting sqref="AX35">
    <cfRule type="expression" dxfId="448" priority="301">
      <formula>AND(AX35&lt;&gt;"",#REF!="",OR(COLUMN(AX35)=COLUMN(#REF!),COLUMN(AX35)=COLUMN(#REF!)))</formula>
    </cfRule>
  </conditionalFormatting>
  <conditionalFormatting sqref="BX36 AY36:BF36">
    <cfRule type="expression" dxfId="447" priority="300">
      <formula>AND(AY36&lt;&gt;"",#REF!="",OR(COLUMN(AY36)=COLUMN(#REF!),COLUMN(AY36)=COLUMN(#REF!)))</formula>
    </cfRule>
  </conditionalFormatting>
  <conditionalFormatting sqref="AX36">
    <cfRule type="expression" dxfId="446" priority="299">
      <formula>AND(AX36&lt;&gt;"",#REF!="",OR(COLUMN(AX36)=COLUMN(#REF!),COLUMN(AX36)=COLUMN(#REF!)))</formula>
    </cfRule>
  </conditionalFormatting>
  <conditionalFormatting sqref="BX37 AY37:BF37">
    <cfRule type="expression" dxfId="445" priority="298">
      <formula>AND(AY37&lt;&gt;"",#REF!="",OR(COLUMN(AY37)=COLUMN(#REF!),COLUMN(AY37)=COLUMN(#REF!)))</formula>
    </cfRule>
  </conditionalFormatting>
  <conditionalFormatting sqref="AX37">
    <cfRule type="expression" dxfId="444" priority="297">
      <formula>AND(AX37&lt;&gt;"",#REF!="",OR(COLUMN(AX37)=COLUMN(#REF!),COLUMN(AX37)=COLUMN(#REF!)))</formula>
    </cfRule>
  </conditionalFormatting>
  <conditionalFormatting sqref="BX38 AY38:BF38">
    <cfRule type="expression" dxfId="443" priority="296">
      <formula>AND(AY38&lt;&gt;"",#REF!="",OR(COLUMN(AY38)=COLUMN(#REF!),COLUMN(AY38)=COLUMN(#REF!)))</formula>
    </cfRule>
  </conditionalFormatting>
  <conditionalFormatting sqref="AX38">
    <cfRule type="expression" dxfId="442" priority="295">
      <formula>AND(AX38&lt;&gt;"",#REF!="",OR(COLUMN(AX38)=COLUMN(#REF!),COLUMN(AX38)=COLUMN(#REF!)))</formula>
    </cfRule>
  </conditionalFormatting>
  <conditionalFormatting sqref="BX39 AY39:BF39">
    <cfRule type="expression" dxfId="441" priority="294">
      <formula>AND(AY39&lt;&gt;"",#REF!="",OR(COLUMN(AY39)=COLUMN(#REF!),COLUMN(AY39)=COLUMN(#REF!)))</formula>
    </cfRule>
  </conditionalFormatting>
  <conditionalFormatting sqref="AX39">
    <cfRule type="expression" dxfId="440" priority="293">
      <formula>AND(AX39&lt;&gt;"",#REF!="",OR(COLUMN(AX39)=COLUMN(#REF!),COLUMN(AX39)=COLUMN(#REF!)))</formula>
    </cfRule>
  </conditionalFormatting>
  <conditionalFormatting sqref="BX40 AY40:BF40">
    <cfRule type="expression" dxfId="439" priority="292">
      <formula>AND(AY40&lt;&gt;"",#REF!="",OR(COLUMN(AY40)=COLUMN(#REF!),COLUMN(AY40)=COLUMN(#REF!)))</formula>
    </cfRule>
  </conditionalFormatting>
  <conditionalFormatting sqref="AX40">
    <cfRule type="expression" dxfId="438" priority="291">
      <formula>AND(AX40&lt;&gt;"",#REF!="",OR(COLUMN(AX40)=COLUMN(#REF!),COLUMN(AX40)=COLUMN(#REF!)))</formula>
    </cfRule>
  </conditionalFormatting>
  <conditionalFormatting sqref="BX41 AY41:BF41">
    <cfRule type="expression" dxfId="437" priority="290">
      <formula>AND(AY41&lt;&gt;"",#REF!="",OR(COLUMN(AY41)=COLUMN(#REF!),COLUMN(AY41)=COLUMN(#REF!)))</formula>
    </cfRule>
  </conditionalFormatting>
  <conditionalFormatting sqref="AX41">
    <cfRule type="expression" dxfId="436" priority="289">
      <formula>AND(AX41&lt;&gt;"",#REF!="",OR(COLUMN(AX41)=COLUMN(#REF!),COLUMN(AX41)=COLUMN(#REF!)))</formula>
    </cfRule>
  </conditionalFormatting>
  <conditionalFormatting sqref="BX42 AY42:BF42">
    <cfRule type="expression" dxfId="435" priority="288">
      <formula>AND(AY42&lt;&gt;"",#REF!="",OR(COLUMN(AY42)=COLUMN(#REF!),COLUMN(AY42)=COLUMN(#REF!)))</formula>
    </cfRule>
  </conditionalFormatting>
  <conditionalFormatting sqref="AX42">
    <cfRule type="expression" dxfId="434" priority="287">
      <formula>AND(AX42&lt;&gt;"",#REF!="",OR(COLUMN(AX42)=COLUMN(#REF!),COLUMN(AX42)=COLUMN(#REF!)))</formula>
    </cfRule>
  </conditionalFormatting>
  <conditionalFormatting sqref="BX43 AY43:BF43">
    <cfRule type="expression" dxfId="433" priority="286">
      <formula>AND(AY43&lt;&gt;"",#REF!="",OR(COLUMN(AY43)=COLUMN(#REF!),COLUMN(AY43)=COLUMN(#REF!)))</formula>
    </cfRule>
  </conditionalFormatting>
  <conditionalFormatting sqref="AX43">
    <cfRule type="expression" dxfId="432" priority="285">
      <formula>AND(AX43&lt;&gt;"",#REF!="",OR(COLUMN(AX43)=COLUMN(#REF!),COLUMN(AX43)=COLUMN(#REF!)))</formula>
    </cfRule>
  </conditionalFormatting>
  <conditionalFormatting sqref="BX44 AY44:BF44">
    <cfRule type="expression" dxfId="431" priority="284">
      <formula>AND(AY44&lt;&gt;"",#REF!="",OR(COLUMN(AY44)=COLUMN(#REF!),COLUMN(AY44)=COLUMN(#REF!)))</formula>
    </cfRule>
  </conditionalFormatting>
  <conditionalFormatting sqref="AX44">
    <cfRule type="expression" dxfId="430" priority="283">
      <formula>AND(AX44&lt;&gt;"",#REF!="",OR(COLUMN(AX44)=COLUMN(#REF!),COLUMN(AX44)=COLUMN(#REF!)))</formula>
    </cfRule>
  </conditionalFormatting>
  <conditionalFormatting sqref="BX45 AY45:BF45">
    <cfRule type="expression" dxfId="429" priority="282">
      <formula>AND(AY45&lt;&gt;"",#REF!="",OR(COLUMN(AY45)=COLUMN(#REF!),COLUMN(AY45)=COLUMN(#REF!)))</formula>
    </cfRule>
  </conditionalFormatting>
  <conditionalFormatting sqref="AX45">
    <cfRule type="expression" dxfId="428" priority="281">
      <formula>AND(AX45&lt;&gt;"",#REF!="",OR(COLUMN(AX45)=COLUMN(#REF!),COLUMN(AX45)=COLUMN(#REF!)))</formula>
    </cfRule>
  </conditionalFormatting>
  <conditionalFormatting sqref="BX46 AY46:BF46">
    <cfRule type="expression" dxfId="427" priority="280">
      <formula>AND(AY46&lt;&gt;"",#REF!="",OR(COLUMN(AY46)=COLUMN(#REF!),COLUMN(AY46)=COLUMN(#REF!)))</formula>
    </cfRule>
  </conditionalFormatting>
  <conditionalFormatting sqref="AX46">
    <cfRule type="expression" dxfId="426" priority="279">
      <formula>AND(AX46&lt;&gt;"",#REF!="",OR(COLUMN(AX46)=COLUMN(#REF!),COLUMN(AX46)=COLUMN(#REF!)))</formula>
    </cfRule>
  </conditionalFormatting>
  <conditionalFormatting sqref="BX47 AY47:BF47">
    <cfRule type="expression" dxfId="425" priority="278">
      <formula>AND(AY47&lt;&gt;"",#REF!="",OR(COLUMN(AY47)=COLUMN(#REF!),COLUMN(AY47)=COLUMN(#REF!)))</formula>
    </cfRule>
  </conditionalFormatting>
  <conditionalFormatting sqref="AX47">
    <cfRule type="expression" dxfId="424" priority="277">
      <formula>AND(AX47&lt;&gt;"",#REF!="",OR(COLUMN(AX47)=COLUMN(#REF!),COLUMN(AX47)=COLUMN(#REF!)))</formula>
    </cfRule>
  </conditionalFormatting>
  <conditionalFormatting sqref="BX48 AY48:BF48">
    <cfRule type="expression" dxfId="423" priority="276">
      <formula>AND(AY48&lt;&gt;"",#REF!="",OR(COLUMN(AY48)=COLUMN(#REF!),COLUMN(AY48)=COLUMN(#REF!)))</formula>
    </cfRule>
  </conditionalFormatting>
  <conditionalFormatting sqref="AX48">
    <cfRule type="expression" dxfId="422" priority="275">
      <formula>AND(AX48&lt;&gt;"",#REF!="",OR(COLUMN(AX48)=COLUMN(#REF!),COLUMN(AX48)=COLUMN(#REF!)))</formula>
    </cfRule>
  </conditionalFormatting>
  <conditionalFormatting sqref="BX49 AY49:BF49">
    <cfRule type="expression" dxfId="421" priority="274">
      <formula>AND(AY49&lt;&gt;"",#REF!="",OR(COLUMN(AY49)=COLUMN(#REF!),COLUMN(AY49)=COLUMN(#REF!)))</formula>
    </cfRule>
  </conditionalFormatting>
  <conditionalFormatting sqref="AX49">
    <cfRule type="expression" dxfId="420" priority="273">
      <formula>AND(AX49&lt;&gt;"",#REF!="",OR(COLUMN(AX49)=COLUMN(#REF!),COLUMN(AX49)=COLUMN(#REF!)))</formula>
    </cfRule>
  </conditionalFormatting>
  <conditionalFormatting sqref="BX50 AY50:BF50">
    <cfRule type="expression" dxfId="419" priority="272">
      <formula>AND(AY50&lt;&gt;"",#REF!="",OR(COLUMN(AY50)=COLUMN(#REF!),COLUMN(AY50)=COLUMN(#REF!)))</formula>
    </cfRule>
  </conditionalFormatting>
  <conditionalFormatting sqref="AX50">
    <cfRule type="expression" dxfId="418" priority="271">
      <formula>AND(AX50&lt;&gt;"",#REF!="",OR(COLUMN(AX50)=COLUMN(#REF!),COLUMN(AX50)=COLUMN(#REF!)))</formula>
    </cfRule>
  </conditionalFormatting>
  <conditionalFormatting sqref="BX51 AY51:BF51">
    <cfRule type="expression" dxfId="417" priority="270">
      <formula>AND(AY51&lt;&gt;"",#REF!="",OR(COLUMN(AY51)=COLUMN(#REF!),COLUMN(AY51)=COLUMN(#REF!)))</formula>
    </cfRule>
  </conditionalFormatting>
  <conditionalFormatting sqref="AX51">
    <cfRule type="expression" dxfId="416" priority="269">
      <formula>AND(AX51&lt;&gt;"",#REF!="",OR(COLUMN(AX51)=COLUMN(#REF!),COLUMN(AX51)=COLUMN(#REF!)))</formula>
    </cfRule>
  </conditionalFormatting>
  <conditionalFormatting sqref="BX52 AY52:BF52">
    <cfRule type="expression" dxfId="415" priority="268">
      <formula>AND(AY52&lt;&gt;"",#REF!="",OR(COLUMN(AY52)=COLUMN(#REF!),COLUMN(AY52)=COLUMN(#REF!)))</formula>
    </cfRule>
  </conditionalFormatting>
  <conditionalFormatting sqref="AX52">
    <cfRule type="expression" dxfId="414" priority="267">
      <formula>AND(AX52&lt;&gt;"",#REF!="",OR(COLUMN(AX52)=COLUMN(#REF!),COLUMN(AX52)=COLUMN(#REF!)))</formula>
    </cfRule>
  </conditionalFormatting>
  <conditionalFormatting sqref="BX53 AY53:BF53">
    <cfRule type="expression" dxfId="413" priority="266">
      <formula>AND(AY53&lt;&gt;"",#REF!="",OR(COLUMN(AY53)=COLUMN(#REF!),COLUMN(AY53)=COLUMN(#REF!)))</formula>
    </cfRule>
  </conditionalFormatting>
  <conditionalFormatting sqref="AX53">
    <cfRule type="expression" dxfId="412" priority="265">
      <formula>AND(AX53&lt;&gt;"",#REF!="",OR(COLUMN(AX53)=COLUMN(#REF!),COLUMN(AX53)=COLUMN(#REF!)))</formula>
    </cfRule>
  </conditionalFormatting>
  <conditionalFormatting sqref="BX54 AY54:BF54">
    <cfRule type="expression" dxfId="411" priority="264">
      <formula>AND(AY54&lt;&gt;"",#REF!="",OR(COLUMN(AY54)=COLUMN(#REF!),COLUMN(AY54)=COLUMN(#REF!)))</formula>
    </cfRule>
  </conditionalFormatting>
  <conditionalFormatting sqref="AX54">
    <cfRule type="expression" dxfId="410" priority="263">
      <formula>AND(AX54&lt;&gt;"",#REF!="",OR(COLUMN(AX54)=COLUMN(#REF!),COLUMN(AX54)=COLUMN(#REF!)))</formula>
    </cfRule>
  </conditionalFormatting>
  <conditionalFormatting sqref="BX55 AY55:BF55">
    <cfRule type="expression" dxfId="409" priority="262">
      <formula>AND(AY55&lt;&gt;"",#REF!="",OR(COLUMN(AY55)=COLUMN(#REF!),COLUMN(AY55)=COLUMN(#REF!)))</formula>
    </cfRule>
  </conditionalFormatting>
  <conditionalFormatting sqref="AX55">
    <cfRule type="expression" dxfId="408" priority="261">
      <formula>AND(AX55&lt;&gt;"",#REF!="",OR(COLUMN(AX55)=COLUMN(#REF!),COLUMN(AX55)=COLUMN(#REF!)))</formula>
    </cfRule>
  </conditionalFormatting>
  <conditionalFormatting sqref="BX56 AY56:BF56">
    <cfRule type="expression" dxfId="407" priority="260">
      <formula>AND(AY56&lt;&gt;"",#REF!="",OR(COLUMN(AY56)=COLUMN(#REF!),COLUMN(AY56)=COLUMN(#REF!)))</formula>
    </cfRule>
  </conditionalFormatting>
  <conditionalFormatting sqref="AX56">
    <cfRule type="expression" dxfId="406" priority="259">
      <formula>AND(AX56&lt;&gt;"",#REF!="",OR(COLUMN(AX56)=COLUMN(#REF!),COLUMN(AX56)=COLUMN(#REF!)))</formula>
    </cfRule>
  </conditionalFormatting>
  <conditionalFormatting sqref="BX57 AY57:BF57">
    <cfRule type="expression" dxfId="405" priority="258">
      <formula>AND(AY57&lt;&gt;"",#REF!="",OR(COLUMN(AY57)=COLUMN(#REF!),COLUMN(AY57)=COLUMN(#REF!)))</formula>
    </cfRule>
  </conditionalFormatting>
  <conditionalFormatting sqref="AX57">
    <cfRule type="expression" dxfId="404" priority="257">
      <formula>AND(AX57&lt;&gt;"",#REF!="",OR(COLUMN(AX57)=COLUMN(#REF!),COLUMN(AX57)=COLUMN(#REF!)))</formula>
    </cfRule>
  </conditionalFormatting>
  <conditionalFormatting sqref="BX58 AY58:BF58">
    <cfRule type="expression" dxfId="403" priority="256">
      <formula>AND(AY58&lt;&gt;"",#REF!="",OR(COLUMN(AY58)=COLUMN(#REF!),COLUMN(AY58)=COLUMN(#REF!)))</formula>
    </cfRule>
  </conditionalFormatting>
  <conditionalFormatting sqref="AX58">
    <cfRule type="expression" dxfId="402" priority="255">
      <formula>AND(AX58&lt;&gt;"",#REF!="",OR(COLUMN(AX58)=COLUMN(#REF!),COLUMN(AX58)=COLUMN(#REF!)))</formula>
    </cfRule>
  </conditionalFormatting>
  <conditionalFormatting sqref="BX59 AY59:BF59">
    <cfRule type="expression" dxfId="401" priority="254">
      <formula>AND(AY59&lt;&gt;"",#REF!="",OR(COLUMN(AY59)=COLUMN(#REF!),COLUMN(AY59)=COLUMN(#REF!)))</formula>
    </cfRule>
  </conditionalFormatting>
  <conditionalFormatting sqref="AX59">
    <cfRule type="expression" dxfId="400" priority="253">
      <formula>AND(AX59&lt;&gt;"",#REF!="",OR(COLUMN(AX59)=COLUMN(#REF!),COLUMN(AX59)=COLUMN(#REF!)))</formula>
    </cfRule>
  </conditionalFormatting>
  <conditionalFormatting sqref="BX60 AY60:BF60">
    <cfRule type="expression" dxfId="399" priority="252">
      <formula>AND(AY60&lt;&gt;"",#REF!="",OR(COLUMN(AY60)=COLUMN(#REF!),COLUMN(AY60)=COLUMN(#REF!)))</formula>
    </cfRule>
  </conditionalFormatting>
  <conditionalFormatting sqref="AX60">
    <cfRule type="expression" dxfId="398" priority="251">
      <formula>AND(AX60&lt;&gt;"",#REF!="",OR(COLUMN(AX60)=COLUMN(#REF!),COLUMN(AX60)=COLUMN(#REF!)))</formula>
    </cfRule>
  </conditionalFormatting>
  <conditionalFormatting sqref="BX61 AY61:BF61">
    <cfRule type="expression" dxfId="397" priority="250">
      <formula>AND(AY61&lt;&gt;"",#REF!="",OR(COLUMN(AY61)=COLUMN(#REF!),COLUMN(AY61)=COLUMN(#REF!)))</formula>
    </cfRule>
  </conditionalFormatting>
  <conditionalFormatting sqref="AX61">
    <cfRule type="expression" dxfId="396" priority="249">
      <formula>AND(AX61&lt;&gt;"",#REF!="",OR(COLUMN(AX61)=COLUMN(#REF!),COLUMN(AX61)=COLUMN(#REF!)))</formula>
    </cfRule>
  </conditionalFormatting>
  <conditionalFormatting sqref="BX62 AY62:BF62">
    <cfRule type="expression" dxfId="395" priority="248">
      <formula>AND(AY62&lt;&gt;"",#REF!="",OR(COLUMN(AY62)=COLUMN(#REF!),COLUMN(AY62)=COLUMN(#REF!)))</formula>
    </cfRule>
  </conditionalFormatting>
  <conditionalFormatting sqref="AX62">
    <cfRule type="expression" dxfId="394" priority="247">
      <formula>AND(AX62&lt;&gt;"",#REF!="",OR(COLUMN(AX62)=COLUMN(#REF!),COLUMN(AX62)=COLUMN(#REF!)))</formula>
    </cfRule>
  </conditionalFormatting>
  <conditionalFormatting sqref="BX63 AY63:BF63">
    <cfRule type="expression" dxfId="393" priority="246">
      <formula>AND(AY63&lt;&gt;"",#REF!="",OR(COLUMN(AY63)=COLUMN(#REF!),COLUMN(AY63)=COLUMN(#REF!)))</formula>
    </cfRule>
  </conditionalFormatting>
  <conditionalFormatting sqref="AX63">
    <cfRule type="expression" dxfId="392" priority="245">
      <formula>AND(AX63&lt;&gt;"",#REF!="",OR(COLUMN(AX63)=COLUMN(#REF!),COLUMN(AX63)=COLUMN(#REF!)))</formula>
    </cfRule>
  </conditionalFormatting>
  <conditionalFormatting sqref="BX64 AY64:BF64">
    <cfRule type="expression" dxfId="391" priority="244">
      <formula>AND(AY64&lt;&gt;"",#REF!="",OR(COLUMN(AY64)=COLUMN(#REF!),COLUMN(AY64)=COLUMN(#REF!)))</formula>
    </cfRule>
  </conditionalFormatting>
  <conditionalFormatting sqref="AX64">
    <cfRule type="expression" dxfId="390" priority="243">
      <formula>AND(AX64&lt;&gt;"",#REF!="",OR(COLUMN(AX64)=COLUMN(#REF!),COLUMN(AX64)=COLUMN(#REF!)))</formula>
    </cfRule>
  </conditionalFormatting>
  <conditionalFormatting sqref="BX65 AY65:BF65">
    <cfRule type="expression" dxfId="389" priority="242">
      <formula>AND(AY65&lt;&gt;"",#REF!="",OR(COLUMN(AY65)=COLUMN(#REF!),COLUMN(AY65)=COLUMN(#REF!)))</formula>
    </cfRule>
  </conditionalFormatting>
  <conditionalFormatting sqref="AX65">
    <cfRule type="expression" dxfId="388" priority="241">
      <formula>AND(AX65&lt;&gt;"",#REF!="",OR(COLUMN(AX65)=COLUMN(#REF!),COLUMN(AX65)=COLUMN(#REF!)))</formula>
    </cfRule>
  </conditionalFormatting>
  <conditionalFormatting sqref="BX66 AY66:BF66">
    <cfRule type="expression" dxfId="387" priority="240">
      <formula>AND(AY66&lt;&gt;"",#REF!="",OR(COLUMN(AY66)=COLUMN(#REF!),COLUMN(AY66)=COLUMN(#REF!)))</formula>
    </cfRule>
  </conditionalFormatting>
  <conditionalFormatting sqref="AX66">
    <cfRule type="expression" dxfId="386" priority="239">
      <formula>AND(AX66&lt;&gt;"",#REF!="",OR(COLUMN(AX66)=COLUMN(#REF!),COLUMN(AX66)=COLUMN(#REF!)))</formula>
    </cfRule>
  </conditionalFormatting>
  <conditionalFormatting sqref="BX67 AY67:BF67">
    <cfRule type="expression" dxfId="385" priority="238">
      <formula>AND(AY67&lt;&gt;"",#REF!="",OR(COLUMN(AY67)=COLUMN(#REF!),COLUMN(AY67)=COLUMN(#REF!)))</formula>
    </cfRule>
  </conditionalFormatting>
  <conditionalFormatting sqref="AX67">
    <cfRule type="expression" dxfId="384" priority="237">
      <formula>AND(AX67&lt;&gt;"",#REF!="",OR(COLUMN(AX67)=COLUMN(#REF!),COLUMN(AX67)=COLUMN(#REF!)))</formula>
    </cfRule>
  </conditionalFormatting>
  <conditionalFormatting sqref="BX68 AY68:BF68">
    <cfRule type="expression" dxfId="383" priority="236">
      <formula>AND(AY68&lt;&gt;"",#REF!="",OR(COLUMN(AY68)=COLUMN(#REF!),COLUMN(AY68)=COLUMN(#REF!)))</formula>
    </cfRule>
  </conditionalFormatting>
  <conditionalFormatting sqref="AX68">
    <cfRule type="expression" dxfId="382" priority="235">
      <formula>AND(AX68&lt;&gt;"",#REF!="",OR(COLUMN(AX68)=COLUMN(#REF!),COLUMN(AX68)=COLUMN(#REF!)))</formula>
    </cfRule>
  </conditionalFormatting>
  <conditionalFormatting sqref="BX69 AY69:BF69">
    <cfRule type="expression" dxfId="381" priority="234">
      <formula>AND(AY69&lt;&gt;"",#REF!="",OR(COLUMN(AY69)=COLUMN(#REF!),COLUMN(AY69)=COLUMN(#REF!)))</formula>
    </cfRule>
  </conditionalFormatting>
  <conditionalFormatting sqref="AX69">
    <cfRule type="expression" dxfId="380" priority="233">
      <formula>AND(AX69&lt;&gt;"",#REF!="",OR(COLUMN(AX69)=COLUMN(#REF!),COLUMN(AX69)=COLUMN(#REF!)))</formula>
    </cfRule>
  </conditionalFormatting>
  <conditionalFormatting sqref="BX70 AY70:BF70">
    <cfRule type="expression" dxfId="379" priority="232">
      <formula>AND(AY70&lt;&gt;"",#REF!="",OR(COLUMN(AY70)=COLUMN(#REF!),COLUMN(AY70)=COLUMN(#REF!)))</formula>
    </cfRule>
  </conditionalFormatting>
  <conditionalFormatting sqref="AX70">
    <cfRule type="expression" dxfId="378" priority="231">
      <formula>AND(AX70&lt;&gt;"",#REF!="",OR(COLUMN(AX70)=COLUMN(#REF!),COLUMN(AX70)=COLUMN(#REF!)))</formula>
    </cfRule>
  </conditionalFormatting>
  <conditionalFormatting sqref="BX71 AY71:BF71">
    <cfRule type="expression" dxfId="377" priority="230">
      <formula>AND(AY71&lt;&gt;"",#REF!="",OR(COLUMN(AY71)=COLUMN(#REF!),COLUMN(AY71)=COLUMN(#REF!)))</formula>
    </cfRule>
  </conditionalFormatting>
  <conditionalFormatting sqref="AX71">
    <cfRule type="expression" dxfId="376" priority="229">
      <formula>AND(AX71&lt;&gt;"",#REF!="",OR(COLUMN(AX71)=COLUMN(#REF!),COLUMN(AX71)=COLUMN(#REF!)))</formula>
    </cfRule>
  </conditionalFormatting>
  <conditionalFormatting sqref="BX72 AY72:BF72">
    <cfRule type="expression" dxfId="375" priority="228">
      <formula>AND(AY72&lt;&gt;"",#REF!="",OR(COLUMN(AY72)=COLUMN(#REF!),COLUMN(AY72)=COLUMN(#REF!)))</formula>
    </cfRule>
  </conditionalFormatting>
  <conditionalFormatting sqref="AX72">
    <cfRule type="expression" dxfId="374" priority="227">
      <formula>AND(AX72&lt;&gt;"",#REF!="",OR(COLUMN(AX72)=COLUMN(#REF!),COLUMN(AX72)=COLUMN(#REF!)))</formula>
    </cfRule>
  </conditionalFormatting>
  <conditionalFormatting sqref="BX73 AY73:BF73">
    <cfRule type="expression" dxfId="373" priority="226">
      <formula>AND(AY73&lt;&gt;"",#REF!="",OR(COLUMN(AY73)=COLUMN(#REF!),COLUMN(AY73)=COLUMN(#REF!)))</formula>
    </cfRule>
  </conditionalFormatting>
  <conditionalFormatting sqref="AX73">
    <cfRule type="expression" dxfId="372" priority="225">
      <formula>AND(AX73&lt;&gt;"",#REF!="",OR(COLUMN(AX73)=COLUMN(#REF!),COLUMN(AX73)=COLUMN(#REF!)))</formula>
    </cfRule>
  </conditionalFormatting>
  <conditionalFormatting sqref="BX74 AY74:BF74">
    <cfRule type="expression" dxfId="371" priority="224">
      <formula>AND(AY74&lt;&gt;"",#REF!="",OR(COLUMN(AY74)=COLUMN(#REF!),COLUMN(AY74)=COLUMN(#REF!)))</formula>
    </cfRule>
  </conditionalFormatting>
  <conditionalFormatting sqref="AX74">
    <cfRule type="expression" dxfId="370" priority="223">
      <formula>AND(AX74&lt;&gt;"",#REF!="",OR(COLUMN(AX74)=COLUMN(#REF!),COLUMN(AX74)=COLUMN(#REF!)))</formula>
    </cfRule>
  </conditionalFormatting>
  <conditionalFormatting sqref="BX75 AY75:BF75">
    <cfRule type="expression" dxfId="369" priority="222">
      <formula>AND(AY75&lt;&gt;"",#REF!="",OR(COLUMN(AY75)=COLUMN(#REF!),COLUMN(AY75)=COLUMN(#REF!)))</formula>
    </cfRule>
  </conditionalFormatting>
  <conditionalFormatting sqref="AX75">
    <cfRule type="expression" dxfId="368" priority="221">
      <formula>AND(AX75&lt;&gt;"",#REF!="",OR(COLUMN(AX75)=COLUMN(#REF!),COLUMN(AX75)=COLUMN(#REF!)))</formula>
    </cfRule>
  </conditionalFormatting>
  <conditionalFormatting sqref="BX76 AY76:BF76">
    <cfRule type="expression" dxfId="367" priority="220">
      <formula>AND(AY76&lt;&gt;"",#REF!="",OR(COLUMN(AY76)=COLUMN(#REF!),COLUMN(AY76)=COLUMN(#REF!)))</formula>
    </cfRule>
  </conditionalFormatting>
  <conditionalFormatting sqref="AX76">
    <cfRule type="expression" dxfId="366" priority="219">
      <formula>AND(AX76&lt;&gt;"",#REF!="",OR(COLUMN(AX76)=COLUMN(#REF!),COLUMN(AX76)=COLUMN(#REF!)))</formula>
    </cfRule>
  </conditionalFormatting>
  <conditionalFormatting sqref="BX77 AY77:BF77">
    <cfRule type="expression" dxfId="365" priority="218">
      <formula>AND(AY77&lt;&gt;"",#REF!="",OR(COLUMN(AY77)=COLUMN(#REF!),COLUMN(AY77)=COLUMN(#REF!)))</formula>
    </cfRule>
  </conditionalFormatting>
  <conditionalFormatting sqref="AX77">
    <cfRule type="expression" dxfId="364" priority="217">
      <formula>AND(AX77&lt;&gt;"",#REF!="",OR(COLUMN(AX77)=COLUMN(#REF!),COLUMN(AX77)=COLUMN(#REF!)))</formula>
    </cfRule>
  </conditionalFormatting>
  <conditionalFormatting sqref="BX78 AY78:BF78">
    <cfRule type="expression" dxfId="363" priority="216">
      <formula>AND(AY78&lt;&gt;"",#REF!="",OR(COLUMN(AY78)=COLUMN(#REF!),COLUMN(AY78)=COLUMN(#REF!)))</formula>
    </cfRule>
  </conditionalFormatting>
  <conditionalFormatting sqref="AX78">
    <cfRule type="expression" dxfId="362" priority="215">
      <formula>AND(AX78&lt;&gt;"",#REF!="",OR(COLUMN(AX78)=COLUMN(#REF!),COLUMN(AX78)=COLUMN(#REF!)))</formula>
    </cfRule>
  </conditionalFormatting>
  <conditionalFormatting sqref="BX79 AY79:BF79">
    <cfRule type="expression" dxfId="361" priority="214">
      <formula>AND(AY79&lt;&gt;"",#REF!="",OR(COLUMN(AY79)=COLUMN(#REF!),COLUMN(AY79)=COLUMN(#REF!)))</formula>
    </cfRule>
  </conditionalFormatting>
  <conditionalFormatting sqref="AX79">
    <cfRule type="expression" dxfId="360" priority="213">
      <formula>AND(AX79&lt;&gt;"",#REF!="",OR(COLUMN(AX79)=COLUMN(#REF!),COLUMN(AX79)=COLUMN(#REF!)))</formula>
    </cfRule>
  </conditionalFormatting>
  <conditionalFormatting sqref="BX80 AY80:BF80">
    <cfRule type="expression" dxfId="359" priority="212">
      <formula>AND(AY80&lt;&gt;"",#REF!="",OR(COLUMN(AY80)=COLUMN(#REF!),COLUMN(AY80)=COLUMN(#REF!)))</formula>
    </cfRule>
  </conditionalFormatting>
  <conditionalFormatting sqref="AX80">
    <cfRule type="expression" dxfId="358" priority="211">
      <formula>AND(AX80&lt;&gt;"",#REF!="",OR(COLUMN(AX80)=COLUMN(#REF!),COLUMN(AX80)=COLUMN(#REF!)))</formula>
    </cfRule>
  </conditionalFormatting>
  <conditionalFormatting sqref="BX81 AY81:BF81">
    <cfRule type="expression" dxfId="357" priority="210">
      <formula>AND(AY81&lt;&gt;"",#REF!="",OR(COLUMN(AY81)=COLUMN(#REF!),COLUMN(AY81)=COLUMN(#REF!)))</formula>
    </cfRule>
  </conditionalFormatting>
  <conditionalFormatting sqref="AX81">
    <cfRule type="expression" dxfId="356" priority="209">
      <formula>AND(AX81&lt;&gt;"",#REF!="",OR(COLUMN(AX81)=COLUMN(#REF!),COLUMN(AX81)=COLUMN(#REF!)))</formula>
    </cfRule>
  </conditionalFormatting>
  <conditionalFormatting sqref="BX82 AY82:BF82">
    <cfRule type="expression" dxfId="355" priority="208">
      <formula>AND(AY82&lt;&gt;"",#REF!="",OR(COLUMN(AY82)=COLUMN(#REF!),COLUMN(AY82)=COLUMN(#REF!)))</formula>
    </cfRule>
  </conditionalFormatting>
  <conditionalFormatting sqref="AX82">
    <cfRule type="expression" dxfId="354" priority="207">
      <formula>AND(AX82&lt;&gt;"",#REF!="",OR(COLUMN(AX82)=COLUMN(#REF!),COLUMN(AX82)=COLUMN(#REF!)))</formula>
    </cfRule>
  </conditionalFormatting>
  <conditionalFormatting sqref="BX83 AY83:BF83">
    <cfRule type="expression" dxfId="353" priority="206">
      <formula>AND(AY83&lt;&gt;"",#REF!="",OR(COLUMN(AY83)=COLUMN(#REF!),COLUMN(AY83)=COLUMN(#REF!)))</formula>
    </cfRule>
  </conditionalFormatting>
  <conditionalFormatting sqref="AX83">
    <cfRule type="expression" dxfId="352" priority="205">
      <formula>AND(AX83&lt;&gt;"",#REF!="",OR(COLUMN(AX83)=COLUMN(#REF!),COLUMN(AX83)=COLUMN(#REF!)))</formula>
    </cfRule>
  </conditionalFormatting>
  <conditionalFormatting sqref="BX84 AY84:BF84">
    <cfRule type="expression" dxfId="351" priority="204">
      <formula>AND(AY84&lt;&gt;"",#REF!="",OR(COLUMN(AY84)=COLUMN(#REF!),COLUMN(AY84)=COLUMN(#REF!)))</formula>
    </cfRule>
  </conditionalFormatting>
  <conditionalFormatting sqref="AX84">
    <cfRule type="expression" dxfId="350" priority="203">
      <formula>AND(AX84&lt;&gt;"",#REF!="",OR(COLUMN(AX84)=COLUMN(#REF!),COLUMN(AX84)=COLUMN(#REF!)))</formula>
    </cfRule>
  </conditionalFormatting>
  <conditionalFormatting sqref="BX85 AY85:BF85">
    <cfRule type="expression" dxfId="349" priority="202">
      <formula>AND(AY85&lt;&gt;"",#REF!="",OR(COLUMN(AY85)=COLUMN(#REF!),COLUMN(AY85)=COLUMN(#REF!)))</formula>
    </cfRule>
  </conditionalFormatting>
  <conditionalFormatting sqref="AX85">
    <cfRule type="expression" dxfId="348" priority="201">
      <formula>AND(AX85&lt;&gt;"",#REF!="",OR(COLUMN(AX85)=COLUMN(#REF!),COLUMN(AX85)=COLUMN(#REF!)))</formula>
    </cfRule>
  </conditionalFormatting>
  <conditionalFormatting sqref="BX86 AY86:BF86">
    <cfRule type="expression" dxfId="347" priority="200">
      <formula>AND(AY86&lt;&gt;"",#REF!="",OR(COLUMN(AY86)=COLUMN(#REF!),COLUMN(AY86)=COLUMN(#REF!)))</formula>
    </cfRule>
  </conditionalFormatting>
  <conditionalFormatting sqref="AX86">
    <cfRule type="expression" dxfId="346" priority="199">
      <formula>AND(AX86&lt;&gt;"",#REF!="",OR(COLUMN(AX86)=COLUMN(#REF!),COLUMN(AX86)=COLUMN(#REF!)))</formula>
    </cfRule>
  </conditionalFormatting>
  <conditionalFormatting sqref="BX87 AY87:BF87">
    <cfRule type="expression" dxfId="345" priority="198">
      <formula>AND(AY87&lt;&gt;"",#REF!="",OR(COLUMN(AY87)=COLUMN(#REF!),COLUMN(AY87)=COLUMN(#REF!)))</formula>
    </cfRule>
  </conditionalFormatting>
  <conditionalFormatting sqref="AX87">
    <cfRule type="expression" dxfId="344" priority="197">
      <formula>AND(AX87&lt;&gt;"",#REF!="",OR(COLUMN(AX87)=COLUMN(#REF!),COLUMN(AX87)=COLUMN(#REF!)))</formula>
    </cfRule>
  </conditionalFormatting>
  <conditionalFormatting sqref="BX88 AY88:BF88">
    <cfRule type="expression" dxfId="343" priority="196">
      <formula>AND(AY88&lt;&gt;"",#REF!="",OR(COLUMN(AY88)=COLUMN(#REF!),COLUMN(AY88)=COLUMN(#REF!)))</formula>
    </cfRule>
  </conditionalFormatting>
  <conditionalFormatting sqref="AX88">
    <cfRule type="expression" dxfId="342" priority="195">
      <formula>AND(AX88&lt;&gt;"",#REF!="",OR(COLUMN(AX88)=COLUMN(#REF!),COLUMN(AX88)=COLUMN(#REF!)))</formula>
    </cfRule>
  </conditionalFormatting>
  <conditionalFormatting sqref="BX89 AY89:BF89">
    <cfRule type="expression" dxfId="341" priority="194">
      <formula>AND(AY89&lt;&gt;"",#REF!="",OR(COLUMN(AY89)=COLUMN(#REF!),COLUMN(AY89)=COLUMN(#REF!)))</formula>
    </cfRule>
  </conditionalFormatting>
  <conditionalFormatting sqref="AX89">
    <cfRule type="expression" dxfId="340" priority="193">
      <formula>AND(AX89&lt;&gt;"",#REF!="",OR(COLUMN(AX89)=COLUMN(#REF!),COLUMN(AX89)=COLUMN(#REF!)))</formula>
    </cfRule>
  </conditionalFormatting>
  <conditionalFormatting sqref="BX90 AY90:BF90">
    <cfRule type="expression" dxfId="339" priority="192">
      <formula>AND(AY90&lt;&gt;"",#REF!="",OR(COLUMN(AY90)=COLUMN(#REF!),COLUMN(AY90)=COLUMN(#REF!)))</formula>
    </cfRule>
  </conditionalFormatting>
  <conditionalFormatting sqref="AX90">
    <cfRule type="expression" dxfId="338" priority="191">
      <formula>AND(AX90&lt;&gt;"",#REF!="",OR(COLUMN(AX90)=COLUMN(#REF!),COLUMN(AX90)=COLUMN(#REF!)))</formula>
    </cfRule>
  </conditionalFormatting>
  <conditionalFormatting sqref="BX91 AY91:BF91">
    <cfRule type="expression" dxfId="337" priority="190">
      <formula>AND(AY91&lt;&gt;"",#REF!="",OR(COLUMN(AY91)=COLUMN(#REF!),COLUMN(AY91)=COLUMN(#REF!)))</formula>
    </cfRule>
  </conditionalFormatting>
  <conditionalFormatting sqref="AX91">
    <cfRule type="expression" dxfId="336" priority="189">
      <formula>AND(AX91&lt;&gt;"",#REF!="",OR(COLUMN(AX91)=COLUMN(#REF!),COLUMN(AX91)=COLUMN(#REF!)))</formula>
    </cfRule>
  </conditionalFormatting>
  <conditionalFormatting sqref="BX92 AY92:BF92">
    <cfRule type="expression" dxfId="335" priority="188">
      <formula>AND(AY92&lt;&gt;"",#REF!="",OR(COLUMN(AY92)=COLUMN(#REF!),COLUMN(AY92)=COLUMN(#REF!)))</formula>
    </cfRule>
  </conditionalFormatting>
  <conditionalFormatting sqref="AX92">
    <cfRule type="expression" dxfId="334" priority="187">
      <formula>AND(AX92&lt;&gt;"",#REF!="",OR(COLUMN(AX92)=COLUMN(#REF!),COLUMN(AX92)=COLUMN(#REF!)))</formula>
    </cfRule>
  </conditionalFormatting>
  <conditionalFormatting sqref="BX93 AY93:BF93">
    <cfRule type="expression" dxfId="333" priority="186">
      <formula>AND(AY93&lt;&gt;"",#REF!="",OR(COLUMN(AY93)=COLUMN(#REF!),COLUMN(AY93)=COLUMN(#REF!)))</formula>
    </cfRule>
  </conditionalFormatting>
  <conditionalFormatting sqref="AX93">
    <cfRule type="expression" dxfId="332" priority="185">
      <formula>AND(AX93&lt;&gt;"",#REF!="",OR(COLUMN(AX93)=COLUMN(#REF!),COLUMN(AX93)=COLUMN(#REF!)))</formula>
    </cfRule>
  </conditionalFormatting>
  <conditionalFormatting sqref="BX94 AY94:BF94">
    <cfRule type="expression" dxfId="331" priority="184">
      <formula>AND(AY94&lt;&gt;"",#REF!="",OR(COLUMN(AY94)=COLUMN(#REF!),COLUMN(AY94)=COLUMN(#REF!)))</formula>
    </cfRule>
  </conditionalFormatting>
  <conditionalFormatting sqref="AX94">
    <cfRule type="expression" dxfId="330" priority="183">
      <formula>AND(AX94&lt;&gt;"",#REF!="",OR(COLUMN(AX94)=COLUMN(#REF!),COLUMN(AX94)=COLUMN(#REF!)))</formula>
    </cfRule>
  </conditionalFormatting>
  <conditionalFormatting sqref="BX95 AY95:BF95">
    <cfRule type="expression" dxfId="329" priority="182">
      <formula>AND(AY95&lt;&gt;"",#REF!="",OR(COLUMN(AY95)=COLUMN(#REF!),COLUMN(AY95)=COLUMN(#REF!)))</formula>
    </cfRule>
  </conditionalFormatting>
  <conditionalFormatting sqref="AX95">
    <cfRule type="expression" dxfId="328" priority="181">
      <formula>AND(AX95&lt;&gt;"",#REF!="",OR(COLUMN(AX95)=COLUMN(#REF!),COLUMN(AX95)=COLUMN(#REF!)))</formula>
    </cfRule>
  </conditionalFormatting>
  <conditionalFormatting sqref="BX96 AY96:BF96">
    <cfRule type="expression" dxfId="327" priority="180">
      <formula>AND(AY96&lt;&gt;"",#REF!="",OR(COLUMN(AY96)=COLUMN(#REF!),COLUMN(AY96)=COLUMN(#REF!)))</formula>
    </cfRule>
  </conditionalFormatting>
  <conditionalFormatting sqref="AX96">
    <cfRule type="expression" dxfId="326" priority="179">
      <formula>AND(AX96&lt;&gt;"",#REF!="",OR(COLUMN(AX96)=COLUMN(#REF!),COLUMN(AX96)=COLUMN(#REF!)))</formula>
    </cfRule>
  </conditionalFormatting>
  <conditionalFormatting sqref="BX97 AY97:BF97">
    <cfRule type="expression" dxfId="325" priority="178">
      <formula>AND(AY97&lt;&gt;"",#REF!="",OR(COLUMN(AY97)=COLUMN(#REF!),COLUMN(AY97)=COLUMN(#REF!)))</formula>
    </cfRule>
  </conditionalFormatting>
  <conditionalFormatting sqref="AX97">
    <cfRule type="expression" dxfId="324" priority="177">
      <formula>AND(AX97&lt;&gt;"",#REF!="",OR(COLUMN(AX97)=COLUMN(#REF!),COLUMN(AX97)=COLUMN(#REF!)))</formula>
    </cfRule>
  </conditionalFormatting>
  <conditionalFormatting sqref="BX98 AY98:BF98">
    <cfRule type="expression" dxfId="323" priority="176">
      <formula>AND(AY98&lt;&gt;"",#REF!="",OR(COLUMN(AY98)=COLUMN(#REF!),COLUMN(AY98)=COLUMN(#REF!)))</formula>
    </cfRule>
  </conditionalFormatting>
  <conditionalFormatting sqref="AX98">
    <cfRule type="expression" dxfId="322" priority="175">
      <formula>AND(AX98&lt;&gt;"",#REF!="",OR(COLUMN(AX98)=COLUMN(#REF!),COLUMN(AX98)=COLUMN(#REF!)))</formula>
    </cfRule>
  </conditionalFormatting>
  <conditionalFormatting sqref="BX99 AY99:BF99">
    <cfRule type="expression" dxfId="321" priority="174">
      <formula>AND(AY99&lt;&gt;"",#REF!="",OR(COLUMN(AY99)=COLUMN(#REF!),COLUMN(AY99)=COLUMN(#REF!)))</formula>
    </cfRule>
  </conditionalFormatting>
  <conditionalFormatting sqref="AX99">
    <cfRule type="expression" dxfId="320" priority="173">
      <formula>AND(AX99&lt;&gt;"",#REF!="",OR(COLUMN(AX99)=COLUMN(#REF!),COLUMN(AX99)=COLUMN(#REF!)))</formula>
    </cfRule>
  </conditionalFormatting>
  <conditionalFormatting sqref="BX100 AY100:BF100">
    <cfRule type="expression" dxfId="319" priority="172">
      <formula>AND(AY100&lt;&gt;"",#REF!="",OR(COLUMN(AY100)=COLUMN(#REF!),COLUMN(AY100)=COLUMN(#REF!)))</formula>
    </cfRule>
  </conditionalFormatting>
  <conditionalFormatting sqref="AX100">
    <cfRule type="expression" dxfId="318" priority="171">
      <formula>AND(AX100&lt;&gt;"",#REF!="",OR(COLUMN(AX100)=COLUMN(#REF!),COLUMN(AX100)=COLUMN(#REF!)))</formula>
    </cfRule>
  </conditionalFormatting>
  <conditionalFormatting sqref="BX101 AY101:BF101">
    <cfRule type="expression" dxfId="317" priority="170">
      <formula>AND(AY101&lt;&gt;"",#REF!="",OR(COLUMN(AY101)=COLUMN(#REF!),COLUMN(AY101)=COLUMN(#REF!)))</formula>
    </cfRule>
  </conditionalFormatting>
  <conditionalFormatting sqref="AX101">
    <cfRule type="expression" dxfId="316" priority="169">
      <formula>AND(AX101&lt;&gt;"",#REF!="",OR(COLUMN(AX101)=COLUMN(#REF!),COLUMN(AX101)=COLUMN(#REF!)))</formula>
    </cfRule>
  </conditionalFormatting>
  <conditionalFormatting sqref="BX102 AY102:BF102">
    <cfRule type="expression" dxfId="315" priority="168">
      <formula>AND(AY102&lt;&gt;"",#REF!="",OR(COLUMN(AY102)=COLUMN(#REF!),COLUMN(AY102)=COLUMN(#REF!)))</formula>
    </cfRule>
  </conditionalFormatting>
  <conditionalFormatting sqref="AX102">
    <cfRule type="expression" dxfId="314" priority="167">
      <formula>AND(AX102&lt;&gt;"",#REF!="",OR(COLUMN(AX102)=COLUMN(#REF!),COLUMN(AX102)=COLUMN(#REF!)))</formula>
    </cfRule>
  </conditionalFormatting>
  <conditionalFormatting sqref="BX103 AY103:BF103">
    <cfRule type="expression" dxfId="313" priority="166">
      <formula>AND(AY103&lt;&gt;"",#REF!="",OR(COLUMN(AY103)=COLUMN(#REF!),COLUMN(AY103)=COLUMN(#REF!)))</formula>
    </cfRule>
  </conditionalFormatting>
  <conditionalFormatting sqref="AX103">
    <cfRule type="expression" dxfId="312" priority="165">
      <formula>AND(AX103&lt;&gt;"",#REF!="",OR(COLUMN(AX103)=COLUMN(#REF!),COLUMN(AX103)=COLUMN(#REF!)))</formula>
    </cfRule>
  </conditionalFormatting>
  <conditionalFormatting sqref="BX104 AY104:BF104">
    <cfRule type="expression" dxfId="311" priority="164">
      <formula>AND(AY104&lt;&gt;"",#REF!="",OR(COLUMN(AY104)=COLUMN(#REF!),COLUMN(AY104)=COLUMN(#REF!)))</formula>
    </cfRule>
  </conditionalFormatting>
  <conditionalFormatting sqref="AX104">
    <cfRule type="expression" dxfId="310" priority="163">
      <formula>AND(AX104&lt;&gt;"",#REF!="",OR(COLUMN(AX104)=COLUMN(#REF!),COLUMN(AX104)=COLUMN(#REF!)))</formula>
    </cfRule>
  </conditionalFormatting>
  <conditionalFormatting sqref="BX105 AY105:BF105">
    <cfRule type="expression" dxfId="309" priority="162">
      <formula>AND(AY105&lt;&gt;"",#REF!="",OR(COLUMN(AY105)=COLUMN(#REF!),COLUMN(AY105)=COLUMN(#REF!)))</formula>
    </cfRule>
  </conditionalFormatting>
  <conditionalFormatting sqref="AX105">
    <cfRule type="expression" dxfId="308" priority="161">
      <formula>AND(AX105&lt;&gt;"",#REF!="",OR(COLUMN(AX105)=COLUMN(#REF!),COLUMN(AX105)=COLUMN(#REF!)))</formula>
    </cfRule>
  </conditionalFormatting>
  <conditionalFormatting sqref="BX106 AY106:BF106">
    <cfRule type="expression" dxfId="307" priority="160">
      <formula>AND(AY106&lt;&gt;"",#REF!="",OR(COLUMN(AY106)=COLUMN(#REF!),COLUMN(AY106)=COLUMN(#REF!)))</formula>
    </cfRule>
  </conditionalFormatting>
  <conditionalFormatting sqref="AX106">
    <cfRule type="expression" dxfId="306" priority="159">
      <formula>AND(AX106&lt;&gt;"",#REF!="",OR(COLUMN(AX106)=COLUMN(#REF!),COLUMN(AX106)=COLUMN(#REF!)))</formula>
    </cfRule>
  </conditionalFormatting>
  <conditionalFormatting sqref="BX107 AY107:BF107">
    <cfRule type="expression" dxfId="305" priority="158">
      <formula>AND(AY107&lt;&gt;"",#REF!="",OR(COLUMN(AY107)=COLUMN(#REF!),COLUMN(AY107)=COLUMN(#REF!)))</formula>
    </cfRule>
  </conditionalFormatting>
  <conditionalFormatting sqref="AX107">
    <cfRule type="expression" dxfId="304" priority="157">
      <formula>AND(AX107&lt;&gt;"",#REF!="",OR(COLUMN(AX107)=COLUMN(#REF!),COLUMN(AX107)=COLUMN(#REF!)))</formula>
    </cfRule>
  </conditionalFormatting>
  <conditionalFormatting sqref="BX108 AY108:BF108">
    <cfRule type="expression" dxfId="303" priority="156">
      <formula>AND(AY108&lt;&gt;"",#REF!="",OR(COLUMN(AY108)=COLUMN(#REF!),COLUMN(AY108)=COLUMN(#REF!)))</formula>
    </cfRule>
  </conditionalFormatting>
  <conditionalFormatting sqref="AX108">
    <cfRule type="expression" dxfId="302" priority="155">
      <formula>AND(AX108&lt;&gt;"",#REF!="",OR(COLUMN(AX108)=COLUMN(#REF!),COLUMN(AX108)=COLUMN(#REF!)))</formula>
    </cfRule>
  </conditionalFormatting>
  <conditionalFormatting sqref="BX109 AY109:BF109">
    <cfRule type="expression" dxfId="301" priority="154">
      <formula>AND(AY109&lt;&gt;"",#REF!="",OR(COLUMN(AY109)=COLUMN(#REF!),COLUMN(AY109)=COLUMN(#REF!)))</formula>
    </cfRule>
  </conditionalFormatting>
  <conditionalFormatting sqref="AX109">
    <cfRule type="expression" dxfId="300" priority="153">
      <formula>AND(AX109&lt;&gt;"",#REF!="",OR(COLUMN(AX109)=COLUMN(#REF!),COLUMN(AX109)=COLUMN(#REF!)))</formula>
    </cfRule>
  </conditionalFormatting>
  <conditionalFormatting sqref="BX110 AY110:BF110">
    <cfRule type="expression" dxfId="299" priority="152">
      <formula>AND(AY110&lt;&gt;"",#REF!="",OR(COLUMN(AY110)=COLUMN(#REF!),COLUMN(AY110)=COLUMN(#REF!)))</formula>
    </cfRule>
  </conditionalFormatting>
  <conditionalFormatting sqref="AX110">
    <cfRule type="expression" dxfId="298" priority="151">
      <formula>AND(AX110&lt;&gt;"",#REF!="",OR(COLUMN(AX110)=COLUMN(#REF!),COLUMN(AX110)=COLUMN(#REF!)))</formula>
    </cfRule>
  </conditionalFormatting>
  <conditionalFormatting sqref="BX111 AY111:BF111">
    <cfRule type="expression" dxfId="297" priority="150">
      <formula>AND(AY111&lt;&gt;"",#REF!="",OR(COLUMN(AY111)=COLUMN(#REF!),COLUMN(AY111)=COLUMN(#REF!)))</formula>
    </cfRule>
  </conditionalFormatting>
  <conditionalFormatting sqref="AX111">
    <cfRule type="expression" dxfId="296" priority="149">
      <formula>AND(AX111&lt;&gt;"",#REF!="",OR(COLUMN(AX111)=COLUMN(#REF!),COLUMN(AX111)=COLUMN(#REF!)))</formula>
    </cfRule>
  </conditionalFormatting>
  <conditionalFormatting sqref="BX112 AY112:BF112">
    <cfRule type="expression" dxfId="295" priority="148">
      <formula>AND(AY112&lt;&gt;"",#REF!="",OR(COLUMN(AY112)=COLUMN(#REF!),COLUMN(AY112)=COLUMN(#REF!)))</formula>
    </cfRule>
  </conditionalFormatting>
  <conditionalFormatting sqref="AX112">
    <cfRule type="expression" dxfId="294" priority="147">
      <formula>AND(AX112&lt;&gt;"",#REF!="",OR(COLUMN(AX112)=COLUMN(#REF!),COLUMN(AX112)=COLUMN(#REF!)))</formula>
    </cfRule>
  </conditionalFormatting>
  <conditionalFormatting sqref="BX113 AY113:BF113">
    <cfRule type="expression" dxfId="293" priority="146">
      <formula>AND(AY113&lt;&gt;"",#REF!="",OR(COLUMN(AY113)=COLUMN(#REF!),COLUMN(AY113)=COLUMN(#REF!)))</formula>
    </cfRule>
  </conditionalFormatting>
  <conditionalFormatting sqref="AX113">
    <cfRule type="expression" dxfId="292" priority="145">
      <formula>AND(AX113&lt;&gt;"",#REF!="",OR(COLUMN(AX113)=COLUMN(#REF!),COLUMN(AX113)=COLUMN(#REF!)))</formula>
    </cfRule>
  </conditionalFormatting>
  <conditionalFormatting sqref="BX114 AY114:BF114">
    <cfRule type="expression" dxfId="291" priority="144">
      <formula>AND(AY114&lt;&gt;"",#REF!="",OR(COLUMN(AY114)=COLUMN(#REF!),COLUMN(AY114)=COLUMN(#REF!)))</formula>
    </cfRule>
  </conditionalFormatting>
  <conditionalFormatting sqref="AX114">
    <cfRule type="expression" dxfId="290" priority="143">
      <formula>AND(AX114&lt;&gt;"",#REF!="",OR(COLUMN(AX114)=COLUMN(#REF!),COLUMN(AX114)=COLUMN(#REF!)))</formula>
    </cfRule>
  </conditionalFormatting>
  <conditionalFormatting sqref="BX115 AY115:BF115">
    <cfRule type="expression" dxfId="289" priority="142">
      <formula>AND(AY115&lt;&gt;"",#REF!="",OR(COLUMN(AY115)=COLUMN(#REF!),COLUMN(AY115)=COLUMN(#REF!)))</formula>
    </cfRule>
  </conditionalFormatting>
  <conditionalFormatting sqref="AX115">
    <cfRule type="expression" dxfId="288" priority="141">
      <formula>AND(AX115&lt;&gt;"",#REF!="",OR(COLUMN(AX115)=COLUMN(#REF!),COLUMN(AX115)=COLUMN(#REF!)))</formula>
    </cfRule>
  </conditionalFormatting>
  <conditionalFormatting sqref="BX116 AY116:BF116">
    <cfRule type="expression" dxfId="287" priority="140">
      <formula>AND(AY116&lt;&gt;"",#REF!="",OR(COLUMN(AY116)=COLUMN(#REF!),COLUMN(AY116)=COLUMN(#REF!)))</formula>
    </cfRule>
  </conditionalFormatting>
  <conditionalFormatting sqref="AX116">
    <cfRule type="expression" dxfId="286" priority="139">
      <formula>AND(AX116&lt;&gt;"",#REF!="",OR(COLUMN(AX116)=COLUMN(#REF!),COLUMN(AX116)=COLUMN(#REF!)))</formula>
    </cfRule>
  </conditionalFormatting>
  <conditionalFormatting sqref="BX117 AY117:BF117">
    <cfRule type="expression" dxfId="285" priority="138">
      <formula>AND(AY117&lt;&gt;"",#REF!="",OR(COLUMN(AY117)=COLUMN(#REF!),COLUMN(AY117)=COLUMN(#REF!)))</formula>
    </cfRule>
  </conditionalFormatting>
  <conditionalFormatting sqref="AX117">
    <cfRule type="expression" dxfId="284" priority="137">
      <formula>AND(AX117&lt;&gt;"",#REF!="",OR(COLUMN(AX117)=COLUMN(#REF!),COLUMN(AX117)=COLUMN(#REF!)))</formula>
    </cfRule>
  </conditionalFormatting>
  <conditionalFormatting sqref="BX118 AY118:BF118">
    <cfRule type="expression" dxfId="283" priority="136">
      <formula>AND(AY118&lt;&gt;"",#REF!="",OR(COLUMN(AY118)=COLUMN(#REF!),COLUMN(AY118)=COLUMN(#REF!)))</formula>
    </cfRule>
  </conditionalFormatting>
  <conditionalFormatting sqref="AX118">
    <cfRule type="expression" dxfId="282" priority="135">
      <formula>AND(AX118&lt;&gt;"",#REF!="",OR(COLUMN(AX118)=COLUMN(#REF!),COLUMN(AX118)=COLUMN(#REF!)))</formula>
    </cfRule>
  </conditionalFormatting>
  <conditionalFormatting sqref="BX119 AY119:BF119">
    <cfRule type="expression" dxfId="281" priority="134">
      <formula>AND(AY119&lt;&gt;"",#REF!="",OR(COLUMN(AY119)=COLUMN(#REF!),COLUMN(AY119)=COLUMN(#REF!)))</formula>
    </cfRule>
  </conditionalFormatting>
  <conditionalFormatting sqref="AX119">
    <cfRule type="expression" dxfId="280" priority="133">
      <formula>AND(AX119&lt;&gt;"",#REF!="",OR(COLUMN(AX119)=COLUMN(#REF!),COLUMN(AX119)=COLUMN(#REF!)))</formula>
    </cfRule>
  </conditionalFormatting>
  <conditionalFormatting sqref="BX120 AY120:BF120">
    <cfRule type="expression" dxfId="279" priority="132">
      <formula>AND(AY120&lt;&gt;"",#REF!="",OR(COLUMN(AY120)=COLUMN(#REF!),COLUMN(AY120)=COLUMN(#REF!)))</formula>
    </cfRule>
  </conditionalFormatting>
  <conditionalFormatting sqref="AX120">
    <cfRule type="expression" dxfId="278" priority="131">
      <formula>AND(AX120&lt;&gt;"",#REF!="",OR(COLUMN(AX120)=COLUMN(#REF!),COLUMN(AX120)=COLUMN(#REF!)))</formula>
    </cfRule>
  </conditionalFormatting>
  <conditionalFormatting sqref="BX121 AY121:BF121">
    <cfRule type="expression" dxfId="277" priority="130">
      <formula>AND(AY121&lt;&gt;"",#REF!="",OR(COLUMN(AY121)=COLUMN(#REF!),COLUMN(AY121)=COLUMN(#REF!)))</formula>
    </cfRule>
  </conditionalFormatting>
  <conditionalFormatting sqref="AX121">
    <cfRule type="expression" dxfId="276" priority="129">
      <formula>AND(AX121&lt;&gt;"",#REF!="",OR(COLUMN(AX121)=COLUMN(#REF!),COLUMN(AX121)=COLUMN(#REF!)))</formula>
    </cfRule>
  </conditionalFormatting>
  <conditionalFormatting sqref="BX122 AY122:BF122">
    <cfRule type="expression" dxfId="275" priority="128">
      <formula>AND(AY122&lt;&gt;"",#REF!="",OR(COLUMN(AY122)=COLUMN(#REF!),COLUMN(AY122)=COLUMN(#REF!)))</formula>
    </cfRule>
  </conditionalFormatting>
  <conditionalFormatting sqref="AX122">
    <cfRule type="expression" dxfId="274" priority="127">
      <formula>AND(AX122&lt;&gt;"",#REF!="",OR(COLUMN(AX122)=COLUMN(#REF!),COLUMN(AX122)=COLUMN(#REF!)))</formula>
    </cfRule>
  </conditionalFormatting>
  <conditionalFormatting sqref="BX123 AY123:BF123">
    <cfRule type="expression" dxfId="273" priority="126">
      <formula>AND(AY123&lt;&gt;"",#REF!="",OR(COLUMN(AY123)=COLUMN(#REF!),COLUMN(AY123)=COLUMN(#REF!)))</formula>
    </cfRule>
  </conditionalFormatting>
  <conditionalFormatting sqref="AX123">
    <cfRule type="expression" dxfId="272" priority="125">
      <formula>AND(AX123&lt;&gt;"",#REF!="",OR(COLUMN(AX123)=COLUMN(#REF!),COLUMN(AX123)=COLUMN(#REF!)))</formula>
    </cfRule>
  </conditionalFormatting>
  <conditionalFormatting sqref="BX124 AY124:BF124">
    <cfRule type="expression" dxfId="271" priority="124">
      <formula>AND(AY124&lt;&gt;"",#REF!="",OR(COLUMN(AY124)=COLUMN(#REF!),COLUMN(AY124)=COLUMN(#REF!)))</formula>
    </cfRule>
  </conditionalFormatting>
  <conditionalFormatting sqref="AX124">
    <cfRule type="expression" dxfId="270" priority="123">
      <formula>AND(AX124&lt;&gt;"",#REF!="",OR(COLUMN(AX124)=COLUMN(#REF!),COLUMN(AX124)=COLUMN(#REF!)))</formula>
    </cfRule>
  </conditionalFormatting>
  <conditionalFormatting sqref="BX125 AY125:BF125">
    <cfRule type="expression" dxfId="269" priority="122">
      <formula>AND(AY125&lt;&gt;"",#REF!="",OR(COLUMN(AY125)=COLUMN(#REF!),COLUMN(AY125)=COLUMN(#REF!)))</formula>
    </cfRule>
  </conditionalFormatting>
  <conditionalFormatting sqref="AX125">
    <cfRule type="expression" dxfId="268" priority="121">
      <formula>AND(AX125&lt;&gt;"",#REF!="",OR(COLUMN(AX125)=COLUMN(#REF!),COLUMN(AX125)=COLUMN(#REF!)))</formula>
    </cfRule>
  </conditionalFormatting>
  <conditionalFormatting sqref="BX126 AY126:BF126">
    <cfRule type="expression" dxfId="267" priority="120">
      <formula>AND(AY126&lt;&gt;"",#REF!="",OR(COLUMN(AY126)=COLUMN(#REF!),COLUMN(AY126)=COLUMN(#REF!)))</formula>
    </cfRule>
  </conditionalFormatting>
  <conditionalFormatting sqref="AX126">
    <cfRule type="expression" dxfId="266" priority="119">
      <formula>AND(AX126&lt;&gt;"",#REF!="",OR(COLUMN(AX126)=COLUMN(#REF!),COLUMN(AX126)=COLUMN(#REF!)))</formula>
    </cfRule>
  </conditionalFormatting>
  <conditionalFormatting sqref="BX127 AY127:BF127">
    <cfRule type="expression" dxfId="265" priority="118">
      <formula>AND(AY127&lt;&gt;"",#REF!="",OR(COLUMN(AY127)=COLUMN(#REF!),COLUMN(AY127)=COLUMN(#REF!)))</formula>
    </cfRule>
  </conditionalFormatting>
  <conditionalFormatting sqref="AX127">
    <cfRule type="expression" dxfId="264" priority="117">
      <formula>AND(AX127&lt;&gt;"",#REF!="",OR(COLUMN(AX127)=COLUMN(#REF!),COLUMN(AX127)=COLUMN(#REF!)))</formula>
    </cfRule>
  </conditionalFormatting>
  <conditionalFormatting sqref="BX128 AY128:BF128">
    <cfRule type="expression" dxfId="263" priority="116">
      <formula>AND(AY128&lt;&gt;"",#REF!="",OR(COLUMN(AY128)=COLUMN(#REF!),COLUMN(AY128)=COLUMN(#REF!)))</formula>
    </cfRule>
  </conditionalFormatting>
  <conditionalFormatting sqref="AX128">
    <cfRule type="expression" dxfId="262" priority="115">
      <formula>AND(AX128&lt;&gt;"",#REF!="",OR(COLUMN(AX128)=COLUMN(#REF!),COLUMN(AX128)=COLUMN(#REF!)))</formula>
    </cfRule>
  </conditionalFormatting>
  <conditionalFormatting sqref="BX129 AY129:BF129">
    <cfRule type="expression" dxfId="261" priority="114">
      <formula>AND(AY129&lt;&gt;"",#REF!="",OR(COLUMN(AY129)=COLUMN(#REF!),COLUMN(AY129)=COLUMN(#REF!)))</formula>
    </cfRule>
  </conditionalFormatting>
  <conditionalFormatting sqref="AX129">
    <cfRule type="expression" dxfId="260" priority="113">
      <formula>AND(AX129&lt;&gt;"",#REF!="",OR(COLUMN(AX129)=COLUMN(#REF!),COLUMN(AX129)=COLUMN(#REF!)))</formula>
    </cfRule>
  </conditionalFormatting>
  <conditionalFormatting sqref="BX130 AY130:BF130">
    <cfRule type="expression" dxfId="259" priority="112">
      <formula>AND(AY130&lt;&gt;"",#REF!="",OR(COLUMN(AY130)=COLUMN(#REF!),COLUMN(AY130)=COLUMN(#REF!)))</formula>
    </cfRule>
  </conditionalFormatting>
  <conditionalFormatting sqref="AX130">
    <cfRule type="expression" dxfId="258" priority="111">
      <formula>AND(AX130&lt;&gt;"",#REF!="",OR(COLUMN(AX130)=COLUMN(#REF!),COLUMN(AX130)=COLUMN(#REF!)))</formula>
    </cfRule>
  </conditionalFormatting>
  <conditionalFormatting sqref="BX131 AY131:BF131">
    <cfRule type="expression" dxfId="257" priority="110">
      <formula>AND(AY131&lt;&gt;"",#REF!="",OR(COLUMN(AY131)=COLUMN(#REF!),COLUMN(AY131)=COLUMN(#REF!)))</formula>
    </cfRule>
  </conditionalFormatting>
  <conditionalFormatting sqref="AX131">
    <cfRule type="expression" dxfId="256" priority="109">
      <formula>AND(AX131&lt;&gt;"",#REF!="",OR(COLUMN(AX131)=COLUMN(#REF!),COLUMN(AX131)=COLUMN(#REF!)))</formula>
    </cfRule>
  </conditionalFormatting>
  <conditionalFormatting sqref="BX132 AY132:BF132">
    <cfRule type="expression" dxfId="255" priority="108">
      <formula>AND(AY132&lt;&gt;"",#REF!="",OR(COLUMN(AY132)=COLUMN(#REF!),COLUMN(AY132)=COLUMN(#REF!)))</formula>
    </cfRule>
  </conditionalFormatting>
  <conditionalFormatting sqref="AX132">
    <cfRule type="expression" dxfId="254" priority="107">
      <formula>AND(AX132&lt;&gt;"",#REF!="",OR(COLUMN(AX132)=COLUMN(#REF!),COLUMN(AX132)=COLUMN(#REF!)))</formula>
    </cfRule>
  </conditionalFormatting>
  <conditionalFormatting sqref="BX133 AY133:BF133">
    <cfRule type="expression" dxfId="253" priority="106">
      <formula>AND(AY133&lt;&gt;"",#REF!="",OR(COLUMN(AY133)=COLUMN(#REF!),COLUMN(AY133)=COLUMN(#REF!)))</formula>
    </cfRule>
  </conditionalFormatting>
  <conditionalFormatting sqref="AX133">
    <cfRule type="expression" dxfId="252" priority="105">
      <formula>AND(AX133&lt;&gt;"",#REF!="",OR(COLUMN(AX133)=COLUMN(#REF!),COLUMN(AX133)=COLUMN(#REF!)))</formula>
    </cfRule>
  </conditionalFormatting>
  <conditionalFormatting sqref="BX134 AY134:BF134">
    <cfRule type="expression" dxfId="251" priority="104">
      <formula>AND(AY134&lt;&gt;"",#REF!="",OR(COLUMN(AY134)=COLUMN(#REF!),COLUMN(AY134)=COLUMN(#REF!)))</formula>
    </cfRule>
  </conditionalFormatting>
  <conditionalFormatting sqref="AX134">
    <cfRule type="expression" dxfId="250" priority="103">
      <formula>AND(AX134&lt;&gt;"",#REF!="",OR(COLUMN(AX134)=COLUMN(#REF!),COLUMN(AX134)=COLUMN(#REF!)))</formula>
    </cfRule>
  </conditionalFormatting>
  <conditionalFormatting sqref="BX135 AY135:BF135">
    <cfRule type="expression" dxfId="249" priority="102">
      <formula>AND(AY135&lt;&gt;"",#REF!="",OR(COLUMN(AY135)=COLUMN(#REF!),COLUMN(AY135)=COLUMN(#REF!)))</formula>
    </cfRule>
  </conditionalFormatting>
  <conditionalFormatting sqref="AX135">
    <cfRule type="expression" dxfId="248" priority="101">
      <formula>AND(AX135&lt;&gt;"",#REF!="",OR(COLUMN(AX135)=COLUMN(#REF!),COLUMN(AX135)=COLUMN(#REF!)))</formula>
    </cfRule>
  </conditionalFormatting>
  <conditionalFormatting sqref="BX136 AY136:BF136">
    <cfRule type="expression" dxfId="247" priority="100">
      <formula>AND(AY136&lt;&gt;"",#REF!="",OR(COLUMN(AY136)=COLUMN(#REF!),COLUMN(AY136)=COLUMN(#REF!)))</formula>
    </cfRule>
  </conditionalFormatting>
  <conditionalFormatting sqref="AX136">
    <cfRule type="expression" dxfId="246" priority="99">
      <formula>AND(AX136&lt;&gt;"",#REF!="",OR(COLUMN(AX136)=COLUMN(#REF!),COLUMN(AX136)=COLUMN(#REF!)))</formula>
    </cfRule>
  </conditionalFormatting>
  <conditionalFormatting sqref="BX137 AY137:BF137">
    <cfRule type="expression" dxfId="245" priority="98">
      <formula>AND(AY137&lt;&gt;"",#REF!="",OR(COLUMN(AY137)=COLUMN(#REF!),COLUMN(AY137)=COLUMN(#REF!)))</formula>
    </cfRule>
  </conditionalFormatting>
  <conditionalFormatting sqref="AX137">
    <cfRule type="expression" dxfId="244" priority="97">
      <formula>AND(AX137&lt;&gt;"",#REF!="",OR(COLUMN(AX137)=COLUMN(#REF!),COLUMN(AX137)=COLUMN(#REF!)))</formula>
    </cfRule>
  </conditionalFormatting>
  <conditionalFormatting sqref="BX138 AY138:BF138">
    <cfRule type="expression" dxfId="243" priority="96">
      <formula>AND(AY138&lt;&gt;"",#REF!="",OR(COLUMN(AY138)=COLUMN(#REF!),COLUMN(AY138)=COLUMN(#REF!)))</formula>
    </cfRule>
  </conditionalFormatting>
  <conditionalFormatting sqref="AX138">
    <cfRule type="expression" dxfId="242" priority="95">
      <formula>AND(AX138&lt;&gt;"",#REF!="",OR(COLUMN(AX138)=COLUMN(#REF!),COLUMN(AX138)=COLUMN(#REF!)))</formula>
    </cfRule>
  </conditionalFormatting>
  <conditionalFormatting sqref="BX139 AY139:BF139">
    <cfRule type="expression" dxfId="241" priority="94">
      <formula>AND(AY139&lt;&gt;"",#REF!="",OR(COLUMN(AY139)=COLUMN(#REF!),COLUMN(AY139)=COLUMN(#REF!)))</formula>
    </cfRule>
  </conditionalFormatting>
  <conditionalFormatting sqref="AX139">
    <cfRule type="expression" dxfId="240" priority="93">
      <formula>AND(AX139&lt;&gt;"",#REF!="",OR(COLUMN(AX139)=COLUMN(#REF!),COLUMN(AX139)=COLUMN(#REF!)))</formula>
    </cfRule>
  </conditionalFormatting>
  <conditionalFormatting sqref="BX140 AY140:BF140">
    <cfRule type="expression" dxfId="239" priority="92">
      <formula>AND(AY140&lt;&gt;"",#REF!="",OR(COLUMN(AY140)=COLUMN(#REF!),COLUMN(AY140)=COLUMN(#REF!)))</formula>
    </cfRule>
  </conditionalFormatting>
  <conditionalFormatting sqref="AX140">
    <cfRule type="expression" dxfId="238" priority="91">
      <formula>AND(AX140&lt;&gt;"",#REF!="",OR(COLUMN(AX140)=COLUMN(#REF!),COLUMN(AX140)=COLUMN(#REF!)))</formula>
    </cfRule>
  </conditionalFormatting>
  <conditionalFormatting sqref="BX141 AY141:BF141">
    <cfRule type="expression" dxfId="237" priority="90">
      <formula>AND(AY141&lt;&gt;"",#REF!="",OR(COLUMN(AY141)=COLUMN(#REF!),COLUMN(AY141)=COLUMN(#REF!)))</formula>
    </cfRule>
  </conditionalFormatting>
  <conditionalFormatting sqref="AX141">
    <cfRule type="expression" dxfId="236" priority="89">
      <formula>AND(AX141&lt;&gt;"",#REF!="",OR(COLUMN(AX141)=COLUMN(#REF!),COLUMN(AX141)=COLUMN(#REF!)))</formula>
    </cfRule>
  </conditionalFormatting>
  <conditionalFormatting sqref="BX142 AY142:BF142">
    <cfRule type="expression" dxfId="235" priority="88">
      <formula>AND(AY142&lt;&gt;"",#REF!="",OR(COLUMN(AY142)=COLUMN(#REF!),COLUMN(AY142)=COLUMN(#REF!)))</formula>
    </cfRule>
  </conditionalFormatting>
  <conditionalFormatting sqref="AX142">
    <cfRule type="expression" dxfId="234" priority="87">
      <formula>AND(AX142&lt;&gt;"",#REF!="",OR(COLUMN(AX142)=COLUMN(#REF!),COLUMN(AX142)=COLUMN(#REF!)))</formula>
    </cfRule>
  </conditionalFormatting>
  <conditionalFormatting sqref="BX143 AY143:BF143">
    <cfRule type="expression" dxfId="233" priority="86">
      <formula>AND(AY143&lt;&gt;"",#REF!="",OR(COLUMN(AY143)=COLUMN(#REF!),COLUMN(AY143)=COLUMN(#REF!)))</formula>
    </cfRule>
  </conditionalFormatting>
  <conditionalFormatting sqref="AX143">
    <cfRule type="expression" dxfId="232" priority="85">
      <formula>AND(AX143&lt;&gt;"",#REF!="",OR(COLUMN(AX143)=COLUMN(#REF!),COLUMN(AX143)=COLUMN(#REF!)))</formula>
    </cfRule>
  </conditionalFormatting>
  <conditionalFormatting sqref="BX144 AY144:BF144">
    <cfRule type="expression" dxfId="231" priority="84">
      <formula>AND(AY144&lt;&gt;"",#REF!="",OR(COLUMN(AY144)=COLUMN(#REF!),COLUMN(AY144)=COLUMN(#REF!)))</formula>
    </cfRule>
  </conditionalFormatting>
  <conditionalFormatting sqref="AX144">
    <cfRule type="expression" dxfId="230" priority="83">
      <formula>AND(AX144&lt;&gt;"",#REF!="",OR(COLUMN(AX144)=COLUMN(#REF!),COLUMN(AX144)=COLUMN(#REF!)))</formula>
    </cfRule>
  </conditionalFormatting>
  <conditionalFormatting sqref="BX145 AY145:BF145">
    <cfRule type="expression" dxfId="229" priority="82">
      <formula>AND(AY145&lt;&gt;"",#REF!="",OR(COLUMN(AY145)=COLUMN(#REF!),COLUMN(AY145)=COLUMN(#REF!)))</formula>
    </cfRule>
  </conditionalFormatting>
  <conditionalFormatting sqref="AX145">
    <cfRule type="expression" dxfId="228" priority="81">
      <formula>AND(AX145&lt;&gt;"",#REF!="",OR(COLUMN(AX145)=COLUMN(#REF!),COLUMN(AX145)=COLUMN(#REF!)))</formula>
    </cfRule>
  </conditionalFormatting>
  <conditionalFormatting sqref="BX146 AY146:BF146">
    <cfRule type="expression" dxfId="227" priority="80">
      <formula>AND(AY146&lt;&gt;"",#REF!="",OR(COLUMN(AY146)=COLUMN(#REF!),COLUMN(AY146)=COLUMN(#REF!)))</formula>
    </cfRule>
  </conditionalFormatting>
  <conditionalFormatting sqref="AX146">
    <cfRule type="expression" dxfId="226" priority="79">
      <formula>AND(AX146&lt;&gt;"",#REF!="",OR(COLUMN(AX146)=COLUMN(#REF!),COLUMN(AX146)=COLUMN(#REF!)))</formula>
    </cfRule>
  </conditionalFormatting>
  <conditionalFormatting sqref="BX147 AY147:BF147">
    <cfRule type="expression" dxfId="225" priority="78">
      <formula>AND(AY147&lt;&gt;"",#REF!="",OR(COLUMN(AY147)=COLUMN(#REF!),COLUMN(AY147)=COLUMN(#REF!)))</formula>
    </cfRule>
  </conditionalFormatting>
  <conditionalFormatting sqref="AX147">
    <cfRule type="expression" dxfId="224" priority="77">
      <formula>AND(AX147&lt;&gt;"",#REF!="",OR(COLUMN(AX147)=COLUMN(#REF!),COLUMN(AX147)=COLUMN(#REF!)))</formula>
    </cfRule>
  </conditionalFormatting>
  <conditionalFormatting sqref="BX148 AY148:BF148">
    <cfRule type="expression" dxfId="223" priority="76">
      <formula>AND(AY148&lt;&gt;"",#REF!="",OR(COLUMN(AY148)=COLUMN(#REF!),COLUMN(AY148)=COLUMN(#REF!)))</formula>
    </cfRule>
  </conditionalFormatting>
  <conditionalFormatting sqref="AX148">
    <cfRule type="expression" dxfId="222" priority="75">
      <formula>AND(AX148&lt;&gt;"",#REF!="",OR(COLUMN(AX148)=COLUMN(#REF!),COLUMN(AX148)=COLUMN(#REF!)))</formula>
    </cfRule>
  </conditionalFormatting>
  <conditionalFormatting sqref="BX149 AY149:BF149">
    <cfRule type="expression" dxfId="221" priority="74">
      <formula>AND(AY149&lt;&gt;"",#REF!="",OR(COLUMN(AY149)=COLUMN(#REF!),COLUMN(AY149)=COLUMN(#REF!)))</formula>
    </cfRule>
  </conditionalFormatting>
  <conditionalFormatting sqref="AX149">
    <cfRule type="expression" dxfId="220" priority="73">
      <formula>AND(AX149&lt;&gt;"",#REF!="",OR(COLUMN(AX149)=COLUMN(#REF!),COLUMN(AX149)=COLUMN(#REF!)))</formula>
    </cfRule>
  </conditionalFormatting>
  <conditionalFormatting sqref="BX150 AY150:BF150">
    <cfRule type="expression" dxfId="219" priority="72">
      <formula>AND(AY150&lt;&gt;"",#REF!="",OR(COLUMN(AY150)=COLUMN(#REF!),COLUMN(AY150)=COLUMN(#REF!)))</formula>
    </cfRule>
  </conditionalFormatting>
  <conditionalFormatting sqref="AX150">
    <cfRule type="expression" dxfId="218" priority="71">
      <formula>AND(AX150&lt;&gt;"",#REF!="",OR(COLUMN(AX150)=COLUMN(#REF!),COLUMN(AX150)=COLUMN(#REF!)))</formula>
    </cfRule>
  </conditionalFormatting>
  <conditionalFormatting sqref="BX151 AY151:BF151">
    <cfRule type="expression" dxfId="217" priority="70">
      <formula>AND(AY151&lt;&gt;"",#REF!="",OR(COLUMN(AY151)=COLUMN(#REF!),COLUMN(AY151)=COLUMN(#REF!)))</formula>
    </cfRule>
  </conditionalFormatting>
  <conditionalFormatting sqref="AX151">
    <cfRule type="expression" dxfId="216" priority="69">
      <formula>AND(AX151&lt;&gt;"",#REF!="",OR(COLUMN(AX151)=COLUMN(#REF!),COLUMN(AX151)=COLUMN(#REF!)))</formula>
    </cfRule>
  </conditionalFormatting>
  <conditionalFormatting sqref="BX152 AY152:BF152">
    <cfRule type="expression" dxfId="215" priority="68">
      <formula>AND(AY152&lt;&gt;"",#REF!="",OR(COLUMN(AY152)=COLUMN(#REF!),COLUMN(AY152)=COLUMN(#REF!)))</formula>
    </cfRule>
  </conditionalFormatting>
  <conditionalFormatting sqref="AX152">
    <cfRule type="expression" dxfId="214" priority="67">
      <formula>AND(AX152&lt;&gt;"",#REF!="",OR(COLUMN(AX152)=COLUMN(#REF!),COLUMN(AX152)=COLUMN(#REF!)))</formula>
    </cfRule>
  </conditionalFormatting>
  <conditionalFormatting sqref="BX153 AY153:BF153">
    <cfRule type="expression" dxfId="213" priority="66">
      <formula>AND(AY153&lt;&gt;"",#REF!="",OR(COLUMN(AY153)=COLUMN(#REF!),COLUMN(AY153)=COLUMN(#REF!)))</formula>
    </cfRule>
  </conditionalFormatting>
  <conditionalFormatting sqref="AX153">
    <cfRule type="expression" dxfId="212" priority="65">
      <formula>AND(AX153&lt;&gt;"",#REF!="",OR(COLUMN(AX153)=COLUMN(#REF!),COLUMN(AX153)=COLUMN(#REF!)))</formula>
    </cfRule>
  </conditionalFormatting>
  <conditionalFormatting sqref="BX154 AY154:BF154">
    <cfRule type="expression" dxfId="211" priority="64">
      <formula>AND(AY154&lt;&gt;"",#REF!="",OR(COLUMN(AY154)=COLUMN(#REF!),COLUMN(AY154)=COLUMN(#REF!)))</formula>
    </cfRule>
  </conditionalFormatting>
  <conditionalFormatting sqref="AX154">
    <cfRule type="expression" dxfId="210" priority="63">
      <formula>AND(AX154&lt;&gt;"",#REF!="",OR(COLUMN(AX154)=COLUMN(#REF!),COLUMN(AX154)=COLUMN(#REF!)))</formula>
    </cfRule>
  </conditionalFormatting>
  <conditionalFormatting sqref="BX155 AY155:BF155">
    <cfRule type="expression" dxfId="209" priority="62">
      <formula>AND(AY155&lt;&gt;"",#REF!="",OR(COLUMN(AY155)=COLUMN(#REF!),COLUMN(AY155)=COLUMN(#REF!)))</formula>
    </cfRule>
  </conditionalFormatting>
  <conditionalFormatting sqref="AX155">
    <cfRule type="expression" dxfId="208" priority="61">
      <formula>AND(AX155&lt;&gt;"",#REF!="",OR(COLUMN(AX155)=COLUMN(#REF!),COLUMN(AX155)=COLUMN(#REF!)))</formula>
    </cfRule>
  </conditionalFormatting>
  <conditionalFormatting sqref="BX156 AY156:BF156">
    <cfRule type="expression" dxfId="207" priority="60">
      <formula>AND(AY156&lt;&gt;"",#REF!="",OR(COLUMN(AY156)=COLUMN(#REF!),COLUMN(AY156)=COLUMN(#REF!)))</formula>
    </cfRule>
  </conditionalFormatting>
  <conditionalFormatting sqref="AX156">
    <cfRule type="expression" dxfId="206" priority="59">
      <formula>AND(AX156&lt;&gt;"",#REF!="",OR(COLUMN(AX156)=COLUMN(#REF!),COLUMN(AX156)=COLUMN(#REF!)))</formula>
    </cfRule>
  </conditionalFormatting>
  <conditionalFormatting sqref="BX157 AY157:BF157">
    <cfRule type="expression" dxfId="205" priority="58">
      <formula>AND(AY157&lt;&gt;"",#REF!="",OR(COLUMN(AY157)=COLUMN(#REF!),COLUMN(AY157)=COLUMN(#REF!)))</formula>
    </cfRule>
  </conditionalFormatting>
  <conditionalFormatting sqref="AX157">
    <cfRule type="expression" dxfId="204" priority="57">
      <formula>AND(AX157&lt;&gt;"",#REF!="",OR(COLUMN(AX157)=COLUMN(#REF!),COLUMN(AX157)=COLUMN(#REF!)))</formula>
    </cfRule>
  </conditionalFormatting>
  <conditionalFormatting sqref="BX158 AY158:BF158">
    <cfRule type="expression" dxfId="203" priority="56">
      <formula>AND(AY158&lt;&gt;"",#REF!="",OR(COLUMN(AY158)=COLUMN(#REF!),COLUMN(AY158)=COLUMN(#REF!)))</formula>
    </cfRule>
  </conditionalFormatting>
  <conditionalFormatting sqref="AX158">
    <cfRule type="expression" dxfId="202" priority="55">
      <formula>AND(AX158&lt;&gt;"",#REF!="",OR(COLUMN(AX158)=COLUMN(#REF!),COLUMN(AX158)=COLUMN(#REF!)))</formula>
    </cfRule>
  </conditionalFormatting>
  <conditionalFormatting sqref="BX159 AY159:BF159">
    <cfRule type="expression" dxfId="201" priority="54">
      <formula>AND(AY159&lt;&gt;"",#REF!="",OR(COLUMN(AY159)=COLUMN(#REF!),COLUMN(AY159)=COLUMN(#REF!)))</formula>
    </cfRule>
  </conditionalFormatting>
  <conditionalFormatting sqref="AX159">
    <cfRule type="expression" dxfId="200" priority="53">
      <formula>AND(AX159&lt;&gt;"",#REF!="",OR(COLUMN(AX159)=COLUMN(#REF!),COLUMN(AX159)=COLUMN(#REF!)))</formula>
    </cfRule>
  </conditionalFormatting>
  <conditionalFormatting sqref="BX160 AY160:BF160">
    <cfRule type="expression" dxfId="199" priority="52">
      <formula>AND(AY160&lt;&gt;"",#REF!="",OR(COLUMN(AY160)=COLUMN(#REF!),COLUMN(AY160)=COLUMN(#REF!)))</formula>
    </cfRule>
  </conditionalFormatting>
  <conditionalFormatting sqref="AX160">
    <cfRule type="expression" dxfId="198" priority="51">
      <formula>AND(AX160&lt;&gt;"",#REF!="",OR(COLUMN(AX160)=COLUMN(#REF!),COLUMN(AX160)=COLUMN(#REF!)))</formula>
    </cfRule>
  </conditionalFormatting>
  <conditionalFormatting sqref="BX161 AY161:BF161">
    <cfRule type="expression" dxfId="197" priority="50">
      <formula>AND(AY161&lt;&gt;"",#REF!="",OR(COLUMN(AY161)=COLUMN(#REF!),COLUMN(AY161)=COLUMN(#REF!)))</formula>
    </cfRule>
  </conditionalFormatting>
  <conditionalFormatting sqref="AX161">
    <cfRule type="expression" dxfId="196" priority="49">
      <formula>AND(AX161&lt;&gt;"",#REF!="",OR(COLUMN(AX161)=COLUMN(#REF!),COLUMN(AX161)=COLUMN(#REF!)))</formula>
    </cfRule>
  </conditionalFormatting>
  <conditionalFormatting sqref="BX162 AY162:BF162">
    <cfRule type="expression" dxfId="195" priority="48">
      <formula>AND(AY162&lt;&gt;"",#REF!="",OR(COLUMN(AY162)=COLUMN(#REF!),COLUMN(AY162)=COLUMN(#REF!)))</formula>
    </cfRule>
  </conditionalFormatting>
  <conditionalFormatting sqref="AX162">
    <cfRule type="expression" dxfId="194" priority="47">
      <formula>AND(AX162&lt;&gt;"",#REF!="",OR(COLUMN(AX162)=COLUMN(#REF!),COLUMN(AX162)=COLUMN(#REF!)))</formula>
    </cfRule>
  </conditionalFormatting>
  <conditionalFormatting sqref="BX163 AY163:BF163">
    <cfRule type="expression" dxfId="193" priority="46">
      <formula>AND(AY163&lt;&gt;"",#REF!="",OR(COLUMN(AY163)=COLUMN(#REF!),COLUMN(AY163)=COLUMN(#REF!)))</formula>
    </cfRule>
  </conditionalFormatting>
  <conditionalFormatting sqref="AX163">
    <cfRule type="expression" dxfId="192" priority="45">
      <formula>AND(AX163&lt;&gt;"",#REF!="",OR(COLUMN(AX163)=COLUMN(#REF!),COLUMN(AX163)=COLUMN(#REF!)))</formula>
    </cfRule>
  </conditionalFormatting>
  <conditionalFormatting sqref="BX164 AY164:BF164">
    <cfRule type="expression" dxfId="191" priority="44">
      <formula>AND(AY164&lt;&gt;"",#REF!="",OR(COLUMN(AY164)=COLUMN(#REF!),COLUMN(AY164)=COLUMN(#REF!)))</formula>
    </cfRule>
  </conditionalFormatting>
  <conditionalFormatting sqref="AX164">
    <cfRule type="expression" dxfId="190" priority="43">
      <formula>AND(AX164&lt;&gt;"",#REF!="",OR(COLUMN(AX164)=COLUMN(#REF!),COLUMN(AX164)=COLUMN(#REF!)))</formula>
    </cfRule>
  </conditionalFormatting>
  <conditionalFormatting sqref="BX165 AY165:BF165">
    <cfRule type="expression" dxfId="189" priority="42">
      <formula>AND(AY165&lt;&gt;"",#REF!="",OR(COLUMN(AY165)=COLUMN(#REF!),COLUMN(AY165)=COLUMN(#REF!)))</formula>
    </cfRule>
  </conditionalFormatting>
  <conditionalFormatting sqref="AX165">
    <cfRule type="expression" dxfId="188" priority="41">
      <formula>AND(AX165&lt;&gt;"",#REF!="",OR(COLUMN(AX165)=COLUMN(#REF!),COLUMN(AX165)=COLUMN(#REF!)))</formula>
    </cfRule>
  </conditionalFormatting>
  <conditionalFormatting sqref="BX166 AY166:BF166">
    <cfRule type="expression" dxfId="187" priority="40">
      <formula>AND(AY166&lt;&gt;"",#REF!="",OR(COLUMN(AY166)=COLUMN(#REF!),COLUMN(AY166)=COLUMN(#REF!)))</formula>
    </cfRule>
  </conditionalFormatting>
  <conditionalFormatting sqref="AX166">
    <cfRule type="expression" dxfId="186" priority="39">
      <formula>AND(AX166&lt;&gt;"",#REF!="",OR(COLUMN(AX166)=COLUMN(#REF!),COLUMN(AX166)=COLUMN(#REF!)))</formula>
    </cfRule>
  </conditionalFormatting>
  <conditionalFormatting sqref="BX167 AY167:BF167">
    <cfRule type="expression" dxfId="185" priority="38">
      <formula>AND(AY167&lt;&gt;"",#REF!="",OR(COLUMN(AY167)=COLUMN(#REF!),COLUMN(AY167)=COLUMN(#REF!)))</formula>
    </cfRule>
  </conditionalFormatting>
  <conditionalFormatting sqref="AX167">
    <cfRule type="expression" dxfId="184" priority="37">
      <formula>AND(AX167&lt;&gt;"",#REF!="",OR(COLUMN(AX167)=COLUMN(#REF!),COLUMN(AX167)=COLUMN(#REF!)))</formula>
    </cfRule>
  </conditionalFormatting>
  <conditionalFormatting sqref="BX168 AY168:BF168">
    <cfRule type="expression" dxfId="183" priority="36">
      <formula>AND(AY168&lt;&gt;"",#REF!="",OR(COLUMN(AY168)=COLUMN(#REF!),COLUMN(AY168)=COLUMN(#REF!)))</formula>
    </cfRule>
  </conditionalFormatting>
  <conditionalFormatting sqref="AX168">
    <cfRule type="expression" dxfId="182" priority="35">
      <formula>AND(AX168&lt;&gt;"",#REF!="",OR(COLUMN(AX168)=COLUMN(#REF!),COLUMN(AX168)=COLUMN(#REF!)))</formula>
    </cfRule>
  </conditionalFormatting>
  <conditionalFormatting sqref="BX169 AY169:BF169">
    <cfRule type="expression" dxfId="181" priority="34">
      <formula>AND(AY169&lt;&gt;"",#REF!="",OR(COLUMN(AY169)=COLUMN(#REF!),COLUMN(AY169)=COLUMN(#REF!)))</formula>
    </cfRule>
  </conditionalFormatting>
  <conditionalFormatting sqref="AX169">
    <cfRule type="expression" dxfId="180" priority="33">
      <formula>AND(AX169&lt;&gt;"",#REF!="",OR(COLUMN(AX169)=COLUMN(#REF!),COLUMN(AX169)=COLUMN(#REF!)))</formula>
    </cfRule>
  </conditionalFormatting>
  <conditionalFormatting sqref="BX170 AY170:BF170">
    <cfRule type="expression" dxfId="179" priority="32">
      <formula>AND(AY170&lt;&gt;"",#REF!="",OR(COLUMN(AY170)=COLUMN(#REF!),COLUMN(AY170)=COLUMN(#REF!)))</formula>
    </cfRule>
  </conditionalFormatting>
  <conditionalFormatting sqref="AX170">
    <cfRule type="expression" dxfId="178" priority="31">
      <formula>AND(AX170&lt;&gt;"",#REF!="",OR(COLUMN(AX170)=COLUMN(#REF!),COLUMN(AX170)=COLUMN(#REF!)))</formula>
    </cfRule>
  </conditionalFormatting>
  <conditionalFormatting sqref="BX171 AY171:BF171">
    <cfRule type="expression" dxfId="177" priority="30">
      <formula>AND(AY171&lt;&gt;"",#REF!="",OR(COLUMN(AY171)=COLUMN(#REF!),COLUMN(AY171)=COLUMN(#REF!)))</formula>
    </cfRule>
  </conditionalFormatting>
  <conditionalFormatting sqref="AX171">
    <cfRule type="expression" dxfId="176" priority="29">
      <formula>AND(AX171&lt;&gt;"",#REF!="",OR(COLUMN(AX171)=COLUMN(#REF!),COLUMN(AX171)=COLUMN(#REF!)))</formula>
    </cfRule>
  </conditionalFormatting>
  <conditionalFormatting sqref="BX172 AY172:BF172">
    <cfRule type="expression" dxfId="175" priority="28">
      <formula>AND(AY172&lt;&gt;"",#REF!="",OR(COLUMN(AY172)=COLUMN(#REF!),COLUMN(AY172)=COLUMN(#REF!)))</formula>
    </cfRule>
  </conditionalFormatting>
  <conditionalFormatting sqref="AX172">
    <cfRule type="expression" dxfId="174" priority="27">
      <formula>AND(AX172&lt;&gt;"",#REF!="",OR(COLUMN(AX172)=COLUMN(#REF!),COLUMN(AX172)=COLUMN(#REF!)))</formula>
    </cfRule>
  </conditionalFormatting>
  <conditionalFormatting sqref="BX173 AY173:BF173">
    <cfRule type="expression" dxfId="173" priority="26">
      <formula>AND(AY173&lt;&gt;"",#REF!="",OR(COLUMN(AY173)=COLUMN(#REF!),COLUMN(AY173)=COLUMN(#REF!)))</formula>
    </cfRule>
  </conditionalFormatting>
  <conditionalFormatting sqref="AX173">
    <cfRule type="expression" dxfId="172" priority="25">
      <formula>AND(AX173&lt;&gt;"",#REF!="",OR(COLUMN(AX173)=COLUMN(#REF!),COLUMN(AX173)=COLUMN(#REF!)))</formula>
    </cfRule>
  </conditionalFormatting>
  <conditionalFormatting sqref="BX174 AY174:BF174">
    <cfRule type="expression" dxfId="171" priority="24">
      <formula>AND(AY174&lt;&gt;"",#REF!="",OR(COLUMN(AY174)=COLUMN(#REF!),COLUMN(AY174)=COLUMN(#REF!)))</formula>
    </cfRule>
  </conditionalFormatting>
  <conditionalFormatting sqref="AX174">
    <cfRule type="expression" dxfId="170" priority="23">
      <formula>AND(AX174&lt;&gt;"",#REF!="",OR(COLUMN(AX174)=COLUMN(#REF!),COLUMN(AX174)=COLUMN(#REF!)))</formula>
    </cfRule>
  </conditionalFormatting>
  <conditionalFormatting sqref="BX175 AY175:BF175">
    <cfRule type="expression" dxfId="169" priority="22">
      <formula>AND(AY175&lt;&gt;"",#REF!="",OR(COLUMN(AY175)=COLUMN(#REF!),COLUMN(AY175)=COLUMN(#REF!)))</formula>
    </cfRule>
  </conditionalFormatting>
  <conditionalFormatting sqref="AX175">
    <cfRule type="expression" dxfId="168" priority="21">
      <formula>AND(AX175&lt;&gt;"",#REF!="",OR(COLUMN(AX175)=COLUMN(#REF!),COLUMN(AX175)=COLUMN(#REF!)))</formula>
    </cfRule>
  </conditionalFormatting>
  <conditionalFormatting sqref="BX176 AY176:BF176">
    <cfRule type="expression" dxfId="167" priority="20">
      <formula>AND(AY176&lt;&gt;"",#REF!="",OR(COLUMN(AY176)=COLUMN(#REF!),COLUMN(AY176)=COLUMN(#REF!)))</formula>
    </cfRule>
  </conditionalFormatting>
  <conditionalFormatting sqref="AX176">
    <cfRule type="expression" dxfId="166" priority="19">
      <formula>AND(AX176&lt;&gt;"",#REF!="",OR(COLUMN(AX176)=COLUMN(#REF!),COLUMN(AX176)=COLUMN(#REF!)))</formula>
    </cfRule>
  </conditionalFormatting>
  <conditionalFormatting sqref="BX177 AY177:BF177">
    <cfRule type="expression" dxfId="165" priority="18">
      <formula>AND(AY177&lt;&gt;"",#REF!="",OR(COLUMN(AY177)=COLUMN(#REF!),COLUMN(AY177)=COLUMN(#REF!)))</formula>
    </cfRule>
  </conditionalFormatting>
  <conditionalFormatting sqref="AX177">
    <cfRule type="expression" dxfId="164" priority="17">
      <formula>AND(AX177&lt;&gt;"",#REF!="",OR(COLUMN(AX177)=COLUMN(#REF!),COLUMN(AX177)=COLUMN(#REF!)))</formula>
    </cfRule>
  </conditionalFormatting>
  <conditionalFormatting sqref="BX178 AY178:BF178">
    <cfRule type="expression" dxfId="163" priority="16">
      <formula>AND(AY178&lt;&gt;"",#REF!="",OR(COLUMN(AY178)=COLUMN(#REF!),COLUMN(AY178)=COLUMN(#REF!)))</formula>
    </cfRule>
  </conditionalFormatting>
  <conditionalFormatting sqref="AX178">
    <cfRule type="expression" dxfId="162" priority="15">
      <formula>AND(AX178&lt;&gt;"",#REF!="",OR(COLUMN(AX178)=COLUMN(#REF!),COLUMN(AX178)=COLUMN(#REF!)))</formula>
    </cfRule>
  </conditionalFormatting>
  <conditionalFormatting sqref="BX179 AY179:BF179">
    <cfRule type="expression" dxfId="161" priority="14">
      <formula>AND(AY179&lt;&gt;"",#REF!="",OR(COLUMN(AY179)=COLUMN(#REF!),COLUMN(AY179)=COLUMN(#REF!)))</formula>
    </cfRule>
  </conditionalFormatting>
  <conditionalFormatting sqref="AX179">
    <cfRule type="expression" dxfId="160" priority="13">
      <formula>AND(AX179&lt;&gt;"",#REF!="",OR(COLUMN(AX179)=COLUMN(#REF!),COLUMN(AX179)=COLUMN(#REF!)))</formula>
    </cfRule>
  </conditionalFormatting>
  <conditionalFormatting sqref="BX180 AY180:BF180">
    <cfRule type="expression" dxfId="159" priority="12">
      <formula>AND(AY180&lt;&gt;"",#REF!="",OR(COLUMN(AY180)=COLUMN(#REF!),COLUMN(AY180)=COLUMN(#REF!)))</formula>
    </cfRule>
  </conditionalFormatting>
  <conditionalFormatting sqref="AX180">
    <cfRule type="expression" dxfId="158" priority="11">
      <formula>AND(AX180&lt;&gt;"",#REF!="",OR(COLUMN(AX180)=COLUMN(#REF!),COLUMN(AX180)=COLUMN(#REF!)))</formula>
    </cfRule>
  </conditionalFormatting>
  <conditionalFormatting sqref="BX181 AY181:BF181">
    <cfRule type="expression" dxfId="157" priority="10">
      <formula>AND(AY181&lt;&gt;"",#REF!="",OR(COLUMN(AY181)=COLUMN(#REF!),COLUMN(AY181)=COLUMN(#REF!)))</formula>
    </cfRule>
  </conditionalFormatting>
  <conditionalFormatting sqref="AX181">
    <cfRule type="expression" dxfId="156" priority="9">
      <formula>AND(AX181&lt;&gt;"",#REF!="",OR(COLUMN(AX181)=COLUMN(#REF!),COLUMN(AX181)=COLUMN(#REF!)))</formula>
    </cfRule>
  </conditionalFormatting>
  <conditionalFormatting sqref="BX182 AY182:BF182">
    <cfRule type="expression" dxfId="155" priority="8">
      <formula>AND(AY182&lt;&gt;"",#REF!="",OR(COLUMN(AY182)=COLUMN(#REF!),COLUMN(AY182)=COLUMN(#REF!)))</formula>
    </cfRule>
  </conditionalFormatting>
  <conditionalFormatting sqref="AX182">
    <cfRule type="expression" dxfId="154" priority="7">
      <formula>AND(AX182&lt;&gt;"",#REF!="",OR(COLUMN(AX182)=COLUMN(#REF!),COLUMN(AX182)=COLUMN(#REF!)))</formula>
    </cfRule>
  </conditionalFormatting>
  <conditionalFormatting sqref="BX183 AY183:BF183">
    <cfRule type="expression" dxfId="153" priority="6">
      <formula>AND(AY183&lt;&gt;"",#REF!="",OR(COLUMN(AY183)=COLUMN(#REF!),COLUMN(AY183)=COLUMN(#REF!)))</formula>
    </cfRule>
  </conditionalFormatting>
  <conditionalFormatting sqref="AX183">
    <cfRule type="expression" dxfId="152" priority="5">
      <formula>AND(AX183&lt;&gt;"",#REF!="",OR(COLUMN(AX183)=COLUMN(#REF!),COLUMN(AX183)=COLUMN(#REF!)))</formula>
    </cfRule>
  </conditionalFormatting>
  <conditionalFormatting sqref="BX184 AY184:BF184">
    <cfRule type="expression" dxfId="151" priority="4">
      <formula>AND(AY184&lt;&gt;"",#REF!="",OR(COLUMN(AY184)=COLUMN(#REF!),COLUMN(AY184)=COLUMN(#REF!)))</formula>
    </cfRule>
  </conditionalFormatting>
  <conditionalFormatting sqref="AX184">
    <cfRule type="expression" dxfId="150" priority="3">
      <formula>AND(AX184&lt;&gt;"",#REF!="",OR(COLUMN(AX184)=COLUMN(#REF!),COLUMN(AX184)=COLUMN(#REF!)))</formula>
    </cfRule>
  </conditionalFormatting>
  <conditionalFormatting sqref="BX185 AY185:BF185">
    <cfRule type="expression" dxfId="149" priority="2">
      <formula>AND(AY185&lt;&gt;"",#REF!="",OR(COLUMN(AY185)=COLUMN(#REF!),COLUMN(AY185)=COLUMN(#REF!)))</formula>
    </cfRule>
  </conditionalFormatting>
  <conditionalFormatting sqref="AX185">
    <cfRule type="expression" dxfId="148" priority="1">
      <formula>AND(AX185&lt;&gt;"",#REF!="",OR(COLUMN(AX185)=COLUMN(#REF!),COLUMN(AX185)=COLUMN(#REF!)))</formula>
    </cfRule>
  </conditionalFormatting>
  <pageMargins left="0.7" right="0.7" top="0.75" bottom="0.75" header="0.3" footer="0.3"/>
  <pageSetup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7CFDD-89B8-4BDD-B44A-4FEADD252D02}">
  <sheetPr codeName="Sheet26">
    <tabColor theme="0" tint="-0.499984740745262"/>
  </sheetPr>
  <dimension ref="A1:Z119"/>
  <sheetViews>
    <sheetView showGridLines="0" topLeftCell="A51" zoomScale="80" zoomScaleNormal="80" workbookViewId="0">
      <selection activeCell="Y92" sqref="Y92"/>
    </sheetView>
  </sheetViews>
  <sheetFormatPr defaultColWidth="10.69921875" defaultRowHeight="15"/>
  <cols>
    <col min="1" max="1" width="1.69921875" style="149" customWidth="1"/>
    <col min="2" max="2" width="7.8984375" style="169" hidden="1" customWidth="1"/>
    <col min="3" max="3" width="10.69921875" style="169" hidden="1" customWidth="1"/>
    <col min="4" max="4" width="11.59765625" style="169" hidden="1" customWidth="1"/>
    <col min="5" max="5" width="33.5" style="149" customWidth="1"/>
    <col min="6" max="6" width="9.69921875" style="149" customWidth="1"/>
    <col min="7" max="7" width="6.8984375" style="149" customWidth="1"/>
    <col min="8" max="8" width="8.3984375" style="149" customWidth="1"/>
    <col min="9" max="9" width="8.5" style="151" customWidth="1"/>
    <col min="10" max="10" width="11.09765625" style="151" customWidth="1"/>
    <col min="11" max="11" width="6.296875" style="149" customWidth="1"/>
    <col min="12" max="12" width="6.5" style="149" customWidth="1"/>
    <col min="13" max="13" width="6.8984375" style="149" customWidth="1"/>
    <col min="14" max="14" width="6.296875" style="149" customWidth="1"/>
    <col min="15" max="15" width="13.19921875" style="149" customWidth="1"/>
    <col min="16" max="16" width="7.3984375" style="149" customWidth="1"/>
    <col min="17" max="17" width="6.5" style="149" customWidth="1"/>
    <col min="18" max="18" width="7.09765625" style="149" customWidth="1"/>
    <col min="19" max="19" width="6.5" style="149" customWidth="1"/>
    <col min="20" max="20" width="7.69921875" style="149" customWidth="1"/>
    <col min="21" max="21" width="8.19921875" style="149" customWidth="1"/>
    <col min="22" max="22" width="8.59765625" style="149" customWidth="1"/>
    <col min="23" max="23" width="13.5" style="149" customWidth="1"/>
    <col min="24" max="24" width="8.59765625" style="149" customWidth="1"/>
    <col min="25" max="26" width="10.5" style="149" customWidth="1"/>
    <col min="27" max="16384" width="10.69921875" style="149"/>
  </cols>
  <sheetData>
    <row r="1" spans="1:26" ht="5.0999999999999996" customHeight="1">
      <c r="N1" s="209"/>
    </row>
    <row r="2" spans="1:26" s="156" customFormat="1" ht="31.5" customHeight="1">
      <c r="B2" s="170"/>
      <c r="C2" s="170"/>
      <c r="D2" s="170"/>
      <c r="E2" s="1074" t="s">
        <v>1395</v>
      </c>
      <c r="F2" s="1074"/>
      <c r="G2" s="1074"/>
      <c r="H2" s="1074"/>
      <c r="I2" s="157"/>
      <c r="J2" s="157"/>
    </row>
    <row r="3" spans="1:26" s="101" customFormat="1" ht="17.25" customHeight="1">
      <c r="B3" s="171"/>
      <c r="C3" s="171"/>
      <c r="D3" s="171"/>
      <c r="E3" s="1074"/>
      <c r="F3" s="1074"/>
      <c r="G3" s="1074"/>
      <c r="H3" s="1074"/>
      <c r="I3" s="157"/>
      <c r="J3" s="157"/>
      <c r="K3" s="156"/>
    </row>
    <row r="4" spans="1:26" s="156" customFormat="1" ht="5.25" customHeight="1">
      <c r="B4" s="170"/>
      <c r="C4" s="170"/>
      <c r="D4" s="170"/>
      <c r="I4" s="157"/>
      <c r="J4" s="157"/>
    </row>
    <row r="5" spans="1:26" s="137" customFormat="1" ht="5.25" customHeight="1">
      <c r="B5" s="23"/>
      <c r="C5" s="23"/>
      <c r="D5" s="23"/>
      <c r="I5" s="107"/>
      <c r="J5" s="107"/>
    </row>
    <row r="6" spans="1:26" s="158" customFormat="1" ht="21.75" customHeight="1">
      <c r="B6" s="172"/>
      <c r="C6" s="172"/>
      <c r="D6" s="172"/>
      <c r="E6" s="159" t="s">
        <v>1332</v>
      </c>
      <c r="F6" s="159"/>
      <c r="G6" s="159"/>
      <c r="H6" s="159"/>
      <c r="I6" s="160"/>
      <c r="J6" s="160"/>
      <c r="K6" s="159"/>
      <c r="L6" s="159"/>
      <c r="M6" s="159"/>
      <c r="N6" s="159"/>
      <c r="O6" s="159"/>
      <c r="P6" s="159"/>
      <c r="Q6" s="159"/>
      <c r="R6" s="159"/>
      <c r="S6" s="159"/>
      <c r="T6" s="159"/>
      <c r="U6" s="159"/>
      <c r="V6" s="159"/>
      <c r="W6" s="159"/>
      <c r="X6" s="159"/>
      <c r="Y6" s="159"/>
      <c r="Z6" s="159"/>
    </row>
    <row r="7" spans="1:26" s="137" customFormat="1" ht="5.25" customHeight="1">
      <c r="B7" s="23"/>
      <c r="C7" s="23"/>
      <c r="D7" s="23"/>
      <c r="E7" s="22"/>
      <c r="I7" s="107"/>
      <c r="J7" s="107"/>
    </row>
    <row r="8" spans="1:26" s="100" customFormat="1" ht="34.5" customHeight="1">
      <c r="B8" s="168" t="s">
        <v>655</v>
      </c>
      <c r="C8" s="168" t="s">
        <v>1344</v>
      </c>
      <c r="D8" s="168" t="s">
        <v>1346</v>
      </c>
      <c r="E8" s="106" t="s">
        <v>1334</v>
      </c>
      <c r="F8" s="82" t="s">
        <v>1363</v>
      </c>
      <c r="G8" s="82" t="s">
        <v>1357</v>
      </c>
      <c r="H8" s="82" t="s">
        <v>1354</v>
      </c>
      <c r="I8" s="82" t="s">
        <v>1359</v>
      </c>
      <c r="J8" s="82" t="s">
        <v>704</v>
      </c>
      <c r="K8" s="82" t="s">
        <v>32</v>
      </c>
      <c r="L8" s="82" t="s">
        <v>1413</v>
      </c>
      <c r="M8" s="339" t="s">
        <v>1415</v>
      </c>
      <c r="N8" s="82" t="s">
        <v>1333</v>
      </c>
      <c r="O8" s="82" t="s">
        <v>656</v>
      </c>
      <c r="P8" s="82" t="s">
        <v>657</v>
      </c>
      <c r="Q8" s="82" t="s">
        <v>8</v>
      </c>
      <c r="R8" s="82" t="s">
        <v>33</v>
      </c>
      <c r="S8" s="82" t="s">
        <v>1331</v>
      </c>
      <c r="T8" s="82" t="s">
        <v>1408</v>
      </c>
      <c r="U8" s="82" t="s">
        <v>1418</v>
      </c>
      <c r="V8" s="82" t="s">
        <v>1420</v>
      </c>
      <c r="W8" s="82" t="s">
        <v>707</v>
      </c>
      <c r="X8" s="82" t="s">
        <v>0</v>
      </c>
      <c r="Y8" s="82" t="s">
        <v>1359</v>
      </c>
      <c r="Z8" s="82" t="s">
        <v>4738</v>
      </c>
    </row>
    <row r="9" spans="1:26" s="139" customFormat="1" ht="7.5" customHeight="1">
      <c r="B9" s="167"/>
      <c r="C9" s="167"/>
      <c r="D9" s="167"/>
      <c r="E9" s="138"/>
      <c r="I9" s="140"/>
      <c r="J9" s="140"/>
    </row>
    <row r="10" spans="1:26" s="139" customFormat="1">
      <c r="A10" s="152"/>
      <c r="B10" s="167" t="s">
        <v>620</v>
      </c>
      <c r="C10" s="167" t="s">
        <v>34</v>
      </c>
      <c r="D10" s="167" t="str">
        <f>B10&amp;" "&amp;C10</f>
        <v>Pós-fixado -</v>
      </c>
      <c r="E10" s="141" t="s">
        <v>620</v>
      </c>
      <c r="F10" s="141"/>
      <c r="G10" s="141"/>
      <c r="H10" s="141"/>
      <c r="I10" s="142"/>
      <c r="J10" s="142"/>
      <c r="K10" s="141"/>
      <c r="L10" s="141"/>
      <c r="M10" s="141"/>
      <c r="N10" s="141"/>
      <c r="O10" s="141"/>
      <c r="P10" s="141"/>
      <c r="Q10" s="141"/>
      <c r="R10" s="141"/>
      <c r="S10" s="141"/>
      <c r="T10" s="141"/>
      <c r="U10" s="154"/>
      <c r="V10" s="154"/>
      <c r="W10" s="154"/>
      <c r="X10" s="178"/>
      <c r="Y10" s="178"/>
      <c r="Z10" s="178"/>
    </row>
    <row r="11" spans="1:26">
      <c r="E11" s="500" t="str">
        <f>"FIQ FIDC Via Multicrédito - Senior (CDI+"&amp;TEXT(H11,"0.00%")&amp;")"</f>
        <v>FIQ FIDC Via Multicrédito - Senior (CDI+2.50%)</v>
      </c>
      <c r="F11" s="241" t="s">
        <v>57</v>
      </c>
      <c r="G11" s="180" t="s">
        <v>1355</v>
      </c>
      <c r="H11" s="507">
        <v>2.5000000000000001E-2</v>
      </c>
      <c r="I11" s="243" t="s">
        <v>34</v>
      </c>
      <c r="J11" s="244" t="s">
        <v>34</v>
      </c>
      <c r="K11" s="206" t="s">
        <v>715</v>
      </c>
      <c r="L11" s="246" t="s">
        <v>34</v>
      </c>
      <c r="M11" s="488" t="s">
        <v>1321</v>
      </c>
      <c r="N11" s="205" t="s">
        <v>34</v>
      </c>
      <c r="O11" s="205" t="s">
        <v>685</v>
      </c>
      <c r="P11" s="205" t="s">
        <v>608</v>
      </c>
      <c r="Q11" s="146" t="s">
        <v>48</v>
      </c>
      <c r="R11" s="205">
        <v>91</v>
      </c>
      <c r="S11" s="206">
        <v>2.5000000000000001E-3</v>
      </c>
      <c r="T11" s="148">
        <v>7.0000000000000001E-3</v>
      </c>
      <c r="U11" s="207">
        <v>5000</v>
      </c>
      <c r="V11" s="264" t="s">
        <v>1422</v>
      </c>
      <c r="W11" s="207">
        <v>60000000</v>
      </c>
      <c r="X11" s="988">
        <v>42184</v>
      </c>
      <c r="Y11" s="208" t="s">
        <v>34</v>
      </c>
      <c r="Z11" s="208" t="s">
        <v>34</v>
      </c>
    </row>
    <row r="12" spans="1:26">
      <c r="E12" s="181" t="str">
        <f>IF(LEN(F12)&lt;=5,F12&amp;" "&amp;I12&amp;IF(F12="LFT"," - "&amp;"Liquidez Diária","")&amp;" ("&amp;IF(G12="PRE", "", G12)&amp;TEXT(H12,"0.00%")&amp;")",IF(LEFT(F12,3)="Cor","Títulos Corporativos - "&amp;J12&amp;IF(J12&lt;1," ano("," anos (")&amp;IF(G12="PRE", "", G12)&amp;TEXT(H12,"0.00%")&amp;")","Títulos Bancários - "&amp;IF(J12&lt;1,IF(J12=0, "Liquidez Diária (", J12*12&amp;" meses ("),IF(J12=1,"1 ano (",J12&amp;" anos ("))&amp;IF(IF(G12="PRE", "", G12)="%CDI",TEXT(H12,"0.0%")&amp;" CDI)",IF(G12="PRE", "", G12)&amp;TEXT(H12,"0.00%")&amp;")")))</f>
        <v>LFT 2025 - Liquidez Diária (Selic+0.04%)</v>
      </c>
      <c r="F12" s="196" t="s">
        <v>1365</v>
      </c>
      <c r="G12" s="196" t="s">
        <v>1366</v>
      </c>
      <c r="H12" s="503" cm="1">
        <f t="array" ref="H12">IFERROR(IF(LEN(F12)&lt;=6, _xlfn._xlws.FILTER(IF(IF(IF(Tbl_TaxasDiarias[Tipo]=$F12, Tbl_TaxasDiarias[Indexador])=$G12, Tbl_TaxasDiarias[Vencimento])=$I12, Tbl_TaxasDiarias[Taxa Considerada]),
IF(IF(IF(Tbl_TaxasDiarias[Tipo]=$F12, Tbl_TaxasDiarias[Indexador])=$G12, Tbl_TaxasDiarias[Vencimento])=$I12, Tbl_TaxasDiarias[Taxa Considerada])),
_xlfn._xlws.FILTER(IF(IF(IF(Tbl_TaxasDiarias[Tipo]=$F12, Tbl_TaxasDiarias[Indexador])=$G12, Tbl_TaxasDiarias[Duration])=$J12, Tbl_TaxasDiarias[Taxa Considerada]),
IF(IF(IF(Tbl_TaxasDiarias[Tipo]=$F12, Tbl_TaxasDiarias[Indexador])=$G12, Tbl_TaxasDiarias[Duration])=$J12, Tbl_TaxasDiarias[Taxa Considerada]))), "-")</f>
        <v>3.9500000000000001E-4</v>
      </c>
      <c r="I12" s="506">
        <v>2025</v>
      </c>
      <c r="J12" s="506">
        <v>0</v>
      </c>
      <c r="K12" s="194" t="s">
        <v>715</v>
      </c>
      <c r="L12" s="246" t="s">
        <v>1414</v>
      </c>
      <c r="M12" s="196" t="s">
        <v>1321</v>
      </c>
      <c r="N12" s="196" t="s">
        <v>34</v>
      </c>
      <c r="O12" s="196" t="s">
        <v>1364</v>
      </c>
      <c r="P12" s="205" t="s">
        <v>608</v>
      </c>
      <c r="Q12" s="146" t="s">
        <v>48</v>
      </c>
      <c r="R12" s="205">
        <v>0</v>
      </c>
      <c r="S12" s="206" t="s">
        <v>34</v>
      </c>
      <c r="T12" s="148" t="str">
        <f>IF(OR(LEFT($E12,3)="LFT",LEFT($E12,3)="NTN"), "-", IF(LEFT($J12,3)="Liq", 0.03%, 0.25%))</f>
        <v>-</v>
      </c>
      <c r="U12" s="207" t="s">
        <v>34</v>
      </c>
      <c r="V12" s="264" t="s">
        <v>1421</v>
      </c>
      <c r="W12" s="207" t="s">
        <v>34</v>
      </c>
      <c r="X12" s="988">
        <v>43532</v>
      </c>
      <c r="Y12" s="982">
        <v>45901</v>
      </c>
      <c r="Z12" s="982" t="s">
        <v>4739</v>
      </c>
    </row>
    <row r="13" spans="1:26">
      <c r="E13" s="181" t="str">
        <f>IF(LEN(F13)&lt;=5,F13&amp;" "&amp;I13&amp;IF(F13="LFT"," - "&amp;"Liquidez Diária","")&amp;" ("&amp;IF(G13="PRE", "", G13)&amp;TEXT(H13,"0.00%")&amp;")",IF(LEFT(F13,3)="Cor","Títulos Corporativos - "&amp;J13&amp;IF(J13&lt;1," ano("," anos (")&amp;IF(G13="PRE", "", G13)&amp;TEXT(H13,"0.00%")&amp;")","Títulos Bancários - "&amp;IF(J13&lt;1,IF(J13=0, "Liquidez Diária (", J13*12&amp;" meses ("),IF(J13=1,"1 ano (",J13&amp;" anos ("))&amp;IF(IF(G13="PRE", "", G13)="%CDI",TEXT(H13,"0.0%")&amp;" CDI)",IF(G13="PRE", "", G13)&amp;TEXT(H13,"0.00%")&amp;")")))</f>
        <v>LFT 2029 - Liquidez Diária (Selic+0.16%)</v>
      </c>
      <c r="F13" s="196" t="s">
        <v>1365</v>
      </c>
      <c r="G13" s="196" t="s">
        <v>1366</v>
      </c>
      <c r="H13" s="503" cm="1">
        <f t="array" ref="H13">IFERROR(IF(LEN(F13)&lt;=6, _xlfn._xlws.FILTER(IF(IF(IF(Tbl_TaxasDiarias[Tipo]=$F13, Tbl_TaxasDiarias[Indexador])=$G13, Tbl_TaxasDiarias[Vencimento])=$I13, Tbl_TaxasDiarias[Taxa Considerada]),
IF(IF(IF(Tbl_TaxasDiarias[Tipo]=$F13, Tbl_TaxasDiarias[Indexador])=$G13, Tbl_TaxasDiarias[Vencimento])=$I13, Tbl_TaxasDiarias[Taxa Considerada])),
_xlfn._xlws.FILTER(IF(IF(IF(Tbl_TaxasDiarias[Tipo]=$F13, Tbl_TaxasDiarias[Indexador])=$G13, Tbl_TaxasDiarias[Duration])=$J13, Tbl_TaxasDiarias[Taxa Considerada]),
IF(IF(IF(Tbl_TaxasDiarias[Tipo]=$F13, Tbl_TaxasDiarias[Indexador])=$G13, Tbl_TaxasDiarias[Duration])=$J13, Tbl_TaxasDiarias[Taxa Considerada]))), "-")</f>
        <v>1.575E-3</v>
      </c>
      <c r="I13" s="506">
        <v>2029</v>
      </c>
      <c r="J13" s="506">
        <v>0</v>
      </c>
      <c r="K13" s="194" t="s">
        <v>715</v>
      </c>
      <c r="L13" s="246" t="s">
        <v>1414</v>
      </c>
      <c r="M13" s="196" t="s">
        <v>1321</v>
      </c>
      <c r="N13" s="196" t="s">
        <v>34</v>
      </c>
      <c r="O13" s="196" t="s">
        <v>1364</v>
      </c>
      <c r="P13" s="205" t="s">
        <v>608</v>
      </c>
      <c r="Q13" s="146" t="s">
        <v>48</v>
      </c>
      <c r="R13" s="205">
        <v>0</v>
      </c>
      <c r="S13" s="206" t="s">
        <v>34</v>
      </c>
      <c r="T13" s="148" t="str">
        <f>IF(OR(LEFT($E13,3)="LFT",LEFT($E13,3)="NTN"), "-", IF(LEFT($J13,3)="Liq", 0.03%, 0.25%))</f>
        <v>-</v>
      </c>
      <c r="U13" s="207" t="s">
        <v>34</v>
      </c>
      <c r="V13" s="264" t="s">
        <v>1421</v>
      </c>
      <c r="W13" s="207" t="s">
        <v>34</v>
      </c>
      <c r="X13" s="988">
        <v>44839</v>
      </c>
      <c r="Y13" s="982">
        <v>47178</v>
      </c>
      <c r="Z13" s="982" t="s">
        <v>4740</v>
      </c>
    </row>
    <row r="14" spans="1:26">
      <c r="E14" s="181" t="str">
        <f t="shared" ref="E14:E21" si="0">IF(LEN(F14)&lt;=5,F14&amp;" "&amp;I14&amp;IF(F14="LFT"," - "&amp;"Liquidez Diária","")&amp;" ("&amp;IF(G14="PRE", "", G14)&amp;TEXT(H14,"0.00%")&amp;")",IF(LEFT(F14,3)="Cor","Títulos Corporativos - "&amp;J14&amp;IF(J14&lt;1," ano("," anos (")&amp;IF(G14="PRE", "", G14)&amp;TEXT(H14,"0.00%")&amp;")","Títulos Bancários - "&amp;IF(J14&lt;1,IF(J14=0, "Liquidez Diária (", J14*12&amp;" meses ("),IF(J14=1,"1 ano (",J14&amp;" anos ("))&amp;IF(IF(G14="PRE", "", G14)="%CDI",TEXT(H14,"0.0%")&amp;" CDI)",IF(G14="PRE", "", G14)&amp;TEXT(H14,"0.00%")&amp;")")))</f>
        <v>Títulos Bancários - Liquidez Diária (102.5% CDI)</v>
      </c>
      <c r="F14" s="191" t="s">
        <v>1441</v>
      </c>
      <c r="G14" s="180" t="s">
        <v>1356</v>
      </c>
      <c r="H14" s="503" cm="1">
        <f t="array" ref="H14">IFERROR(IF(LEN(F14)&lt;=6, _xlfn._xlws.FILTER(IF(IF(IF(Tbl_TaxasDiarias[Tipo]=$F14, Tbl_TaxasDiarias[Indexador])=$G14, Tbl_TaxasDiarias[Vencimento])=$I14, Tbl_TaxasDiarias[Taxa Considerada]),
IF(IF(IF(Tbl_TaxasDiarias[Tipo]=$F14, Tbl_TaxasDiarias[Indexador])=$G14, Tbl_TaxasDiarias[Vencimento])=$I14, Tbl_TaxasDiarias[Taxa Considerada])),
_xlfn._xlws.FILTER(IF(IF(IF(Tbl_TaxasDiarias[Tipo]=$F14, Tbl_TaxasDiarias[Indexador])=$G14, Tbl_TaxasDiarias[Duration])=$J14, Tbl_TaxasDiarias[Taxa Considerada]),
IF(IF(IF(Tbl_TaxasDiarias[Tipo]=$F14, Tbl_TaxasDiarias[Indexador])=$G14, Tbl_TaxasDiarias[Duration])=$J14, Tbl_TaxasDiarias[Taxa Considerada]))), "-")</f>
        <v>1.0249999999999999</v>
      </c>
      <c r="I14" s="191" t="s">
        <v>34</v>
      </c>
      <c r="J14" s="506">
        <v>0</v>
      </c>
      <c r="K14" s="194" t="s">
        <v>715</v>
      </c>
      <c r="L14" s="191" t="s">
        <v>34</v>
      </c>
      <c r="M14" s="191" t="s">
        <v>34</v>
      </c>
      <c r="N14" s="205" t="s">
        <v>34</v>
      </c>
      <c r="O14" s="191" t="s">
        <v>663</v>
      </c>
      <c r="P14" s="205" t="s">
        <v>608</v>
      </c>
      <c r="Q14" s="146" t="s">
        <v>48</v>
      </c>
      <c r="R14" s="205">
        <v>0</v>
      </c>
      <c r="S14" s="206" t="s">
        <v>34</v>
      </c>
      <c r="T14" s="148">
        <v>2.9999999999999997E-4</v>
      </c>
      <c r="U14" s="207" t="s">
        <v>34</v>
      </c>
      <c r="V14" s="207" t="s">
        <v>1421</v>
      </c>
      <c r="W14" s="207" t="s">
        <v>34</v>
      </c>
      <c r="X14" s="208" t="s">
        <v>34</v>
      </c>
      <c r="Y14" s="208" t="s">
        <v>34</v>
      </c>
      <c r="Z14" s="208" t="s">
        <v>34</v>
      </c>
    </row>
    <row r="15" spans="1:26">
      <c r="E15" s="181" t="str">
        <f t="shared" si="0"/>
        <v>Títulos Bancários - 6 meses (112.5% CDI)</v>
      </c>
      <c r="F15" s="191" t="s">
        <v>1441</v>
      </c>
      <c r="G15" s="180" t="s">
        <v>1356</v>
      </c>
      <c r="H15" s="503" cm="1">
        <f t="array" ref="H15">IFERROR(IF(LEN(F15)&lt;=6, _xlfn._xlws.FILTER(IF(IF(IF(Tbl_TaxasDiarias[Tipo]=$F15, Tbl_TaxasDiarias[Indexador])=$G15, Tbl_TaxasDiarias[Vencimento])=$I15, Tbl_TaxasDiarias[Taxa Considerada]),
IF(IF(IF(Tbl_TaxasDiarias[Tipo]=$F15, Tbl_TaxasDiarias[Indexador])=$G15, Tbl_TaxasDiarias[Vencimento])=$I15, Tbl_TaxasDiarias[Taxa Considerada])),
_xlfn._xlws.FILTER(IF(IF(IF(Tbl_TaxasDiarias[Tipo]=$F15, Tbl_TaxasDiarias[Indexador])=$G15, Tbl_TaxasDiarias[Duration])=$J15, Tbl_TaxasDiarias[Taxa Considerada]),
IF(IF(IF(Tbl_TaxasDiarias[Tipo]=$F15, Tbl_TaxasDiarias[Indexador])=$G15, Tbl_TaxasDiarias[Duration])=$J15, Tbl_TaxasDiarias[Taxa Considerada]))), "-")</f>
        <v>1.125</v>
      </c>
      <c r="I15" s="654">
        <f ca="1">YEAR(EDATE(TODAY(),J15*12))</f>
        <v>2023</v>
      </c>
      <c r="J15" s="506">
        <v>0.5</v>
      </c>
      <c r="K15" s="194" t="s">
        <v>715</v>
      </c>
      <c r="L15" s="191" t="s">
        <v>34</v>
      </c>
      <c r="M15" s="191" t="s">
        <v>34</v>
      </c>
      <c r="N15" s="191" t="s">
        <v>34</v>
      </c>
      <c r="O15" s="191" t="s">
        <v>663</v>
      </c>
      <c r="P15" s="205" t="s">
        <v>608</v>
      </c>
      <c r="Q15" s="146" t="s">
        <v>48</v>
      </c>
      <c r="R15" s="205">
        <f ca="1">IF(OR(LEFT($E15, 3) = "NTN", LEFT($E15, 3) = "LFT"), DATE(I15, 8, 15) - TODAY(), FLOOR(J15*365,1))</f>
        <v>182</v>
      </c>
      <c r="S15" s="206" t="s">
        <v>34</v>
      </c>
      <c r="T15" s="148">
        <v>2E-3</v>
      </c>
      <c r="U15" s="207" t="s">
        <v>34</v>
      </c>
      <c r="V15" s="207" t="s">
        <v>1421</v>
      </c>
      <c r="W15" s="207" t="s">
        <v>34</v>
      </c>
      <c r="X15" s="208" t="s">
        <v>34</v>
      </c>
      <c r="Y15" s="208" t="s">
        <v>34</v>
      </c>
      <c r="Z15" s="208" t="s">
        <v>34</v>
      </c>
    </row>
    <row r="16" spans="1:26">
      <c r="E16" s="181" t="str">
        <f t="shared" si="0"/>
        <v>Títulos Bancários - 1 ano (111.5% CDI)</v>
      </c>
      <c r="F16" s="191" t="s">
        <v>1441</v>
      </c>
      <c r="G16" s="180" t="s">
        <v>1356</v>
      </c>
      <c r="H16" s="503" cm="1">
        <f t="array" ref="H16">IFERROR(IF(LEN(F16)&lt;=6, _xlfn._xlws.FILTER(IF(IF(IF(Tbl_TaxasDiarias[Tipo]=$F16, Tbl_TaxasDiarias[Indexador])=$G16, Tbl_TaxasDiarias[Vencimento])=$I16, Tbl_TaxasDiarias[Taxa Considerada]),
IF(IF(IF(Tbl_TaxasDiarias[Tipo]=$F16, Tbl_TaxasDiarias[Indexador])=$G16, Tbl_TaxasDiarias[Vencimento])=$I16, Tbl_TaxasDiarias[Taxa Considerada])),
_xlfn._xlws.FILTER(IF(IF(IF(Tbl_TaxasDiarias[Tipo]=$F16, Tbl_TaxasDiarias[Indexador])=$G16, Tbl_TaxasDiarias[Duration])=$J16, Tbl_TaxasDiarias[Taxa Considerada]),
IF(IF(IF(Tbl_TaxasDiarias[Tipo]=$F16, Tbl_TaxasDiarias[Indexador])=$G16, Tbl_TaxasDiarias[Duration])=$J16, Tbl_TaxasDiarias[Taxa Considerada]))), "-")</f>
        <v>1.115</v>
      </c>
      <c r="I16" s="146">
        <f ca="1">YEAR(EDATE(TODAY(),J16*12))</f>
        <v>2024</v>
      </c>
      <c r="J16" s="506">
        <v>1</v>
      </c>
      <c r="K16" s="194" t="s">
        <v>715</v>
      </c>
      <c r="L16" s="191" t="s">
        <v>34</v>
      </c>
      <c r="M16" s="191" t="s">
        <v>34</v>
      </c>
      <c r="N16" s="191" t="s">
        <v>34</v>
      </c>
      <c r="O16" s="191" t="s">
        <v>663</v>
      </c>
      <c r="P16" s="205" t="s">
        <v>608</v>
      </c>
      <c r="Q16" s="146" t="s">
        <v>48</v>
      </c>
      <c r="R16" s="205">
        <f t="shared" ref="R16:R21" ca="1" si="1">IF(OR(LEFT($E16, 3) = "NTN", LEFT($E16, 3) = "LFT"), DATE(I16, 8, 15) - TODAY(), FLOOR(J16*365,1))</f>
        <v>365</v>
      </c>
      <c r="S16" s="206" t="s">
        <v>34</v>
      </c>
      <c r="T16" s="148">
        <v>2E-3</v>
      </c>
      <c r="U16" s="207" t="s">
        <v>34</v>
      </c>
      <c r="V16" s="207" t="s">
        <v>1421</v>
      </c>
      <c r="W16" s="207" t="s">
        <v>34</v>
      </c>
      <c r="X16" s="208" t="s">
        <v>34</v>
      </c>
      <c r="Y16" s="208" t="s">
        <v>34</v>
      </c>
      <c r="Z16" s="208" t="s">
        <v>34</v>
      </c>
    </row>
    <row r="17" spans="1:26">
      <c r="E17" s="181" t="str">
        <f t="shared" si="0"/>
        <v>Títulos Bancários - 2 anos (115.0% CDI)</v>
      </c>
      <c r="F17" s="191" t="s">
        <v>1441</v>
      </c>
      <c r="G17" s="180" t="s">
        <v>1356</v>
      </c>
      <c r="H17" s="503" cm="1">
        <f t="array" ref="H17">IFERROR(IF(LEN(F17)&lt;=6, _xlfn._xlws.FILTER(IF(IF(IF(Tbl_TaxasDiarias[Tipo]=$F17, Tbl_TaxasDiarias[Indexador])=$G17, Tbl_TaxasDiarias[Vencimento])=$I17, Tbl_TaxasDiarias[Taxa Considerada]),
IF(IF(IF(Tbl_TaxasDiarias[Tipo]=$F17, Tbl_TaxasDiarias[Indexador])=$G17, Tbl_TaxasDiarias[Vencimento])=$I17, Tbl_TaxasDiarias[Taxa Considerada])),
_xlfn._xlws.FILTER(IF(IF(IF(Tbl_TaxasDiarias[Tipo]=$F17, Tbl_TaxasDiarias[Indexador])=$G17, Tbl_TaxasDiarias[Duration])=$J17, Tbl_TaxasDiarias[Taxa Considerada]),
IF(IF(IF(Tbl_TaxasDiarias[Tipo]=$F17, Tbl_TaxasDiarias[Indexador])=$G17, Tbl_TaxasDiarias[Duration])=$J17, Tbl_TaxasDiarias[Taxa Considerada]))), "-")</f>
        <v>1.1499999999999999</v>
      </c>
      <c r="I17" s="192">
        <f ca="1">EDATE(TODAY(),J17*12)</f>
        <v>45760</v>
      </c>
      <c r="J17" s="506">
        <v>2</v>
      </c>
      <c r="K17" s="194" t="s">
        <v>715</v>
      </c>
      <c r="L17" s="191" t="s">
        <v>34</v>
      </c>
      <c r="M17" s="191" t="s">
        <v>34</v>
      </c>
      <c r="N17" s="191" t="s">
        <v>34</v>
      </c>
      <c r="O17" s="191" t="s">
        <v>663</v>
      </c>
      <c r="P17" s="205" t="s">
        <v>608</v>
      </c>
      <c r="Q17" s="146" t="s">
        <v>48</v>
      </c>
      <c r="R17" s="205">
        <f t="shared" ca="1" si="1"/>
        <v>730</v>
      </c>
      <c r="S17" s="206" t="s">
        <v>34</v>
      </c>
      <c r="T17" s="148">
        <v>2E-3</v>
      </c>
      <c r="U17" s="207" t="s">
        <v>34</v>
      </c>
      <c r="V17" s="207" t="s">
        <v>1421</v>
      </c>
      <c r="W17" s="207" t="s">
        <v>34</v>
      </c>
      <c r="X17" s="208" t="s">
        <v>34</v>
      </c>
      <c r="Y17" s="208" t="s">
        <v>34</v>
      </c>
      <c r="Z17" s="208" t="s">
        <v>34</v>
      </c>
    </row>
    <row r="18" spans="1:26">
      <c r="E18" s="181" t="str">
        <f t="shared" si="0"/>
        <v>Títulos Bancários - 3 anos (117.0% CDI)</v>
      </c>
      <c r="F18" s="191" t="s">
        <v>1441</v>
      </c>
      <c r="G18" s="180" t="s">
        <v>1356</v>
      </c>
      <c r="H18" s="503" cm="1">
        <f t="array" ref="H18">IFERROR(IF(LEN(F18)&lt;=6, _xlfn._xlws.FILTER(IF(IF(IF(Tbl_TaxasDiarias[Tipo]=$F18, Tbl_TaxasDiarias[Indexador])=$G18, Tbl_TaxasDiarias[Vencimento])=$I18, Tbl_TaxasDiarias[Taxa Considerada]),
IF(IF(IF(Tbl_TaxasDiarias[Tipo]=$F18, Tbl_TaxasDiarias[Indexador])=$G18, Tbl_TaxasDiarias[Vencimento])=$I18, Tbl_TaxasDiarias[Taxa Considerada])),
_xlfn._xlws.FILTER(IF(IF(IF(Tbl_TaxasDiarias[Tipo]=$F18, Tbl_TaxasDiarias[Indexador])=$G18, Tbl_TaxasDiarias[Duration])=$J18, Tbl_TaxasDiarias[Taxa Considerada]),
IF(IF(IF(Tbl_TaxasDiarias[Tipo]=$F18, Tbl_TaxasDiarias[Indexador])=$G18, Tbl_TaxasDiarias[Duration])=$J18, Tbl_TaxasDiarias[Taxa Considerada]))), "-")</f>
        <v>1.17</v>
      </c>
      <c r="I18" s="192">
        <f ca="1">EDATE(TODAY(),J18*12)</f>
        <v>46125</v>
      </c>
      <c r="J18" s="506">
        <v>3</v>
      </c>
      <c r="K18" s="182" t="s">
        <v>1339</v>
      </c>
      <c r="L18" s="191" t="s">
        <v>34</v>
      </c>
      <c r="M18" s="191" t="s">
        <v>34</v>
      </c>
      <c r="N18" s="191" t="s">
        <v>34</v>
      </c>
      <c r="O18" s="191" t="s">
        <v>663</v>
      </c>
      <c r="P18" s="205" t="s">
        <v>608</v>
      </c>
      <c r="Q18" s="146" t="s">
        <v>48</v>
      </c>
      <c r="R18" s="205">
        <f t="shared" ca="1" si="1"/>
        <v>1095</v>
      </c>
      <c r="S18" s="206" t="s">
        <v>34</v>
      </c>
      <c r="T18" s="148">
        <v>2E-3</v>
      </c>
      <c r="U18" s="207" t="s">
        <v>34</v>
      </c>
      <c r="V18" s="207" t="s">
        <v>1421</v>
      </c>
      <c r="W18" s="207" t="s">
        <v>34</v>
      </c>
      <c r="X18" s="208" t="s">
        <v>34</v>
      </c>
      <c r="Y18" s="208" t="s">
        <v>34</v>
      </c>
      <c r="Z18" s="208" t="s">
        <v>34</v>
      </c>
    </row>
    <row r="19" spans="1:26">
      <c r="E19" s="181" t="str">
        <f t="shared" si="0"/>
        <v>Títulos Corporativos - 2 anos (CDI+1.60%)</v>
      </c>
      <c r="F19" s="191" t="s">
        <v>1480</v>
      </c>
      <c r="G19" s="180" t="s">
        <v>1355</v>
      </c>
      <c r="H19" s="503" cm="1">
        <f t="array" ref="H19">IFERROR(IF(LEN(F19)&lt;=6, _xlfn._xlws.FILTER(IF(IF(IF(Tbl_TaxasDiarias[Tipo]=$F19, Tbl_TaxasDiarias[Indexador])=$G19, Tbl_TaxasDiarias[Vencimento])=$I19, Tbl_TaxasDiarias[Taxa Considerada]),
IF(IF(IF(Tbl_TaxasDiarias[Tipo]=$F19, Tbl_TaxasDiarias[Indexador])=$G19, Tbl_TaxasDiarias[Vencimento])=$I19, Tbl_TaxasDiarias[Taxa Considerada])),
_xlfn._xlws.FILTER(IF(IF(IF(Tbl_TaxasDiarias[Tipo]=$F19, Tbl_TaxasDiarias[Indexador])=$G19, Tbl_TaxasDiarias[Duration])=$J19, Tbl_TaxasDiarias[Taxa Considerada]),
IF(IF(IF(Tbl_TaxasDiarias[Tipo]=$F19, Tbl_TaxasDiarias[Indexador])=$G19, Tbl_TaxasDiarias[Duration])=$J19, Tbl_TaxasDiarias[Taxa Considerada]))), "-")</f>
        <v>1.6E-2</v>
      </c>
      <c r="I19" s="193" t="s">
        <v>34</v>
      </c>
      <c r="J19" s="506">
        <v>2</v>
      </c>
      <c r="K19" s="194" t="s">
        <v>715</v>
      </c>
      <c r="L19" s="191" t="s">
        <v>34</v>
      </c>
      <c r="M19" s="191" t="s">
        <v>34</v>
      </c>
      <c r="N19" s="191" t="s">
        <v>34</v>
      </c>
      <c r="O19" s="191" t="s">
        <v>663</v>
      </c>
      <c r="P19" s="205" t="s">
        <v>608</v>
      </c>
      <c r="Q19" s="146" t="s">
        <v>48</v>
      </c>
      <c r="R19" s="205">
        <f t="shared" ca="1" si="1"/>
        <v>730</v>
      </c>
      <c r="S19" s="206" t="s">
        <v>34</v>
      </c>
      <c r="T19" s="148">
        <v>2E-3</v>
      </c>
      <c r="U19" s="207" t="s">
        <v>34</v>
      </c>
      <c r="V19" s="207" t="s">
        <v>1421</v>
      </c>
      <c r="W19" s="207" t="s">
        <v>34</v>
      </c>
      <c r="X19" s="208" t="s">
        <v>34</v>
      </c>
      <c r="Y19" s="208" t="s">
        <v>34</v>
      </c>
      <c r="Z19" s="208" t="s">
        <v>34</v>
      </c>
    </row>
    <row r="20" spans="1:26">
      <c r="E20" s="181" t="str">
        <f t="shared" si="0"/>
        <v>Títulos Corporativos - 3 anos (CDI+1.95%)</v>
      </c>
      <c r="F20" s="191" t="s">
        <v>1480</v>
      </c>
      <c r="G20" s="180" t="s">
        <v>1355</v>
      </c>
      <c r="H20" s="503" cm="1">
        <f t="array" ref="H20">IFERROR(IF(LEN(F20)&lt;=6, _xlfn._xlws.FILTER(IF(IF(IF(Tbl_TaxasDiarias[Tipo]=$F20, Tbl_TaxasDiarias[Indexador])=$G20, Tbl_TaxasDiarias[Vencimento])=$I20, Tbl_TaxasDiarias[Taxa Considerada]),
IF(IF(IF(Tbl_TaxasDiarias[Tipo]=$F20, Tbl_TaxasDiarias[Indexador])=$G20, Tbl_TaxasDiarias[Vencimento])=$I20, Tbl_TaxasDiarias[Taxa Considerada])),
_xlfn._xlws.FILTER(IF(IF(IF(Tbl_TaxasDiarias[Tipo]=$F20, Tbl_TaxasDiarias[Indexador])=$G20, Tbl_TaxasDiarias[Duration])=$J20, Tbl_TaxasDiarias[Taxa Considerada]),
IF(IF(IF(Tbl_TaxasDiarias[Tipo]=$F20, Tbl_TaxasDiarias[Indexador])=$G20, Tbl_TaxasDiarias[Duration])=$J20, Tbl_TaxasDiarias[Taxa Considerada]))), "-")</f>
        <v>1.95E-2</v>
      </c>
      <c r="I20" s="193" t="s">
        <v>34</v>
      </c>
      <c r="J20" s="506">
        <v>3</v>
      </c>
      <c r="K20" s="194" t="s">
        <v>715</v>
      </c>
      <c r="L20" s="191" t="s">
        <v>34</v>
      </c>
      <c r="M20" s="191" t="s">
        <v>34</v>
      </c>
      <c r="N20" s="191" t="s">
        <v>34</v>
      </c>
      <c r="O20" s="191" t="s">
        <v>663</v>
      </c>
      <c r="P20" s="205" t="s">
        <v>608</v>
      </c>
      <c r="Q20" s="146" t="s">
        <v>48</v>
      </c>
      <c r="R20" s="205">
        <f t="shared" ca="1" si="1"/>
        <v>1095</v>
      </c>
      <c r="S20" s="206" t="s">
        <v>34</v>
      </c>
      <c r="T20" s="148">
        <v>2E-3</v>
      </c>
      <c r="U20" s="207" t="s">
        <v>34</v>
      </c>
      <c r="V20" s="207" t="s">
        <v>1421</v>
      </c>
      <c r="W20" s="207" t="s">
        <v>34</v>
      </c>
      <c r="X20" s="208" t="s">
        <v>34</v>
      </c>
      <c r="Y20" s="208" t="s">
        <v>34</v>
      </c>
      <c r="Z20" s="208" t="s">
        <v>34</v>
      </c>
    </row>
    <row r="21" spans="1:26">
      <c r="E21" s="181" t="str">
        <f t="shared" si="0"/>
        <v>Títulos Corporativos - 4 anos (CDI+2.25%)</v>
      </c>
      <c r="F21" s="191" t="s">
        <v>1480</v>
      </c>
      <c r="G21" s="180" t="s">
        <v>1355</v>
      </c>
      <c r="H21" s="503" cm="1">
        <f t="array" ref="H21">IFERROR(IF(LEN(F21)&lt;=6, _xlfn._xlws.FILTER(IF(IF(IF(Tbl_TaxasDiarias[Tipo]=$F21, Tbl_TaxasDiarias[Indexador])=$G21, Tbl_TaxasDiarias[Vencimento])=$I21, Tbl_TaxasDiarias[Taxa Considerada]),
IF(IF(IF(Tbl_TaxasDiarias[Tipo]=$F21, Tbl_TaxasDiarias[Indexador])=$G21, Tbl_TaxasDiarias[Vencimento])=$I21, Tbl_TaxasDiarias[Taxa Considerada])),
_xlfn._xlws.FILTER(IF(IF(IF(Tbl_TaxasDiarias[Tipo]=$F21, Tbl_TaxasDiarias[Indexador])=$G21, Tbl_TaxasDiarias[Duration])=$J21, Tbl_TaxasDiarias[Taxa Considerada]),
IF(IF(IF(Tbl_TaxasDiarias[Tipo]=$F21, Tbl_TaxasDiarias[Indexador])=$G21, Tbl_TaxasDiarias[Duration])=$J21, Tbl_TaxasDiarias[Taxa Considerada]))), "-")</f>
        <v>2.2499999999999999E-2</v>
      </c>
      <c r="I21" s="193" t="s">
        <v>34</v>
      </c>
      <c r="J21" s="506">
        <v>4</v>
      </c>
      <c r="K21" s="182" t="s">
        <v>1339</v>
      </c>
      <c r="L21" s="191" t="s">
        <v>34</v>
      </c>
      <c r="M21" s="191" t="s">
        <v>34</v>
      </c>
      <c r="N21" s="191" t="s">
        <v>34</v>
      </c>
      <c r="O21" s="191" t="s">
        <v>663</v>
      </c>
      <c r="P21" s="205" t="s">
        <v>608</v>
      </c>
      <c r="Q21" s="146" t="s">
        <v>48</v>
      </c>
      <c r="R21" s="205">
        <f t="shared" ca="1" si="1"/>
        <v>1460</v>
      </c>
      <c r="S21" s="206" t="s">
        <v>34</v>
      </c>
      <c r="T21" s="148">
        <v>2E-3</v>
      </c>
      <c r="U21" s="207" t="s">
        <v>34</v>
      </c>
      <c r="V21" s="207" t="s">
        <v>1421</v>
      </c>
      <c r="W21" s="207" t="s">
        <v>34</v>
      </c>
      <c r="X21" s="208" t="s">
        <v>34</v>
      </c>
      <c r="Y21" s="208" t="s">
        <v>34</v>
      </c>
      <c r="Z21" s="208" t="s">
        <v>34</v>
      </c>
    </row>
    <row r="22" spans="1:26" s="139" customFormat="1" ht="7.5" customHeight="1">
      <c r="B22" s="167"/>
      <c r="C22" s="167"/>
      <c r="D22" s="167"/>
      <c r="E22" s="153"/>
      <c r="I22" s="140"/>
      <c r="J22" s="140"/>
    </row>
    <row r="23" spans="1:26" s="139" customFormat="1">
      <c r="A23" s="152"/>
      <c r="B23" s="177"/>
      <c r="C23" s="167"/>
      <c r="D23" s="167"/>
      <c r="E23" s="141" t="s">
        <v>621</v>
      </c>
      <c r="F23" s="141"/>
      <c r="G23" s="141"/>
      <c r="H23" s="141"/>
      <c r="I23" s="142"/>
      <c r="J23" s="142"/>
      <c r="K23" s="141"/>
      <c r="L23" s="141"/>
      <c r="M23" s="141"/>
      <c r="N23" s="141"/>
      <c r="O23" s="141"/>
      <c r="P23" s="141"/>
      <c r="Q23" s="141"/>
      <c r="R23" s="141"/>
      <c r="S23" s="141"/>
      <c r="T23" s="141"/>
      <c r="U23" s="154"/>
      <c r="V23" s="154"/>
      <c r="W23" s="154"/>
      <c r="X23" s="178"/>
      <c r="Y23" s="178"/>
      <c r="Z23" s="178"/>
    </row>
    <row r="24" spans="1:26" s="139" customFormat="1" ht="3" customHeight="1">
      <c r="B24" s="167"/>
      <c r="C24" s="167"/>
      <c r="D24" s="167"/>
      <c r="I24" s="143"/>
      <c r="J24" s="143"/>
    </row>
    <row r="25" spans="1:26" s="139" customFormat="1">
      <c r="A25" s="152"/>
      <c r="B25" s="167" t="s">
        <v>621</v>
      </c>
      <c r="C25" s="167" t="s">
        <v>738</v>
      </c>
      <c r="D25" s="167" t="str">
        <f>B25&amp;" "&amp;C25</f>
        <v>Inflação Curta</v>
      </c>
      <c r="E25" s="144" t="s">
        <v>2747</v>
      </c>
      <c r="F25" s="144"/>
      <c r="G25" s="144"/>
      <c r="H25" s="144"/>
      <c r="I25" s="145"/>
      <c r="J25" s="145"/>
      <c r="K25" s="144"/>
      <c r="L25" s="144"/>
      <c r="M25" s="144"/>
      <c r="N25" s="144"/>
      <c r="O25" s="144"/>
      <c r="P25" s="144"/>
      <c r="Q25" s="144"/>
      <c r="R25" s="144"/>
      <c r="S25" s="144"/>
      <c r="T25" s="144"/>
      <c r="U25" s="155"/>
      <c r="V25" s="155"/>
      <c r="W25" s="155"/>
      <c r="X25" s="179"/>
      <c r="Y25" s="179"/>
      <c r="Z25" s="179"/>
    </row>
    <row r="26" spans="1:26">
      <c r="E26" s="181" t="str">
        <f t="shared" ref="E26:E33" si="2">IF(LEN(F26)&lt;=5,F26&amp;" "&amp;I26&amp;IF(F26="LFT"," - "&amp;"Liquidez Diária","")&amp;" ("&amp;IF(G26="PRE", "", G26)&amp;TEXT(H26,"0.00%")&amp;")",IF(LEFT(F26,3)="Cor","Títulos Corporativos - "&amp;J26&amp;IF(J26&lt;1," ano("," anos (")&amp;IF(G26="PRE", "", G26)&amp;TEXT(H26,"0.00%")&amp;")","Títulos Bancários - "&amp;IF(J26&lt;1,IF(J26=0, "Liquidez Diária (", J26*12&amp;" meses ("),IF(J26=1,"1 ano (",J26&amp;" anos ("))&amp;IF(IF(G26="PRE", "", G26)="%CDI",TEXT(H26,"0.0%")&amp;" CDI)",IF(G26="PRE", "", G26)&amp;TEXT(H26,"0.00%")&amp;")")))</f>
        <v>NTN-B 2023 (IPCA+4.50%)</v>
      </c>
      <c r="F26" s="191" t="s">
        <v>1360</v>
      </c>
      <c r="G26" s="180" t="s">
        <v>1358</v>
      </c>
      <c r="H26" s="503" cm="1">
        <f t="array" ref="H26">IFERROR(IF(LEN(F26)&lt;=6, _xlfn._xlws.FILTER(IF(IF(IF(Tbl_TaxasDiarias[Tipo]=$F26, Tbl_TaxasDiarias[Indexador])=$G26, Tbl_TaxasDiarias[Vencimento])=$I26, Tbl_TaxasDiarias[Taxa Considerada]),
IF(IF(IF(Tbl_TaxasDiarias[Tipo]=$F26, Tbl_TaxasDiarias[Indexador])=$G26, Tbl_TaxasDiarias[Vencimento])=$I26, Tbl_TaxasDiarias[Taxa Considerada])),
_xlfn._xlws.FILTER(IF(IF(IF(Tbl_TaxasDiarias[Tipo]=$F26, Tbl_TaxasDiarias[Indexador])=$G26, Tbl_TaxasDiarias[Duration])=$J26, Tbl_TaxasDiarias[Taxa Considerada]),
IF(IF(IF(Tbl_TaxasDiarias[Tipo]=$F26, Tbl_TaxasDiarias[Indexador])=$G26, Tbl_TaxasDiarias[Duration])=$J26, Tbl_TaxasDiarias[Taxa Considerada]))), "-")</f>
        <v>4.4999999999999998E-2</v>
      </c>
      <c r="I26" s="505">
        <v>2023</v>
      </c>
      <c r="J26" s="501" cm="1">
        <f t="array" ref="J26">IFERROR(_xlfn._xlws.FILTER(IF(IF(IF(Tbl_TaxasDiarias[Tipo]=$F26, Tbl_TaxasDiarias[Indexador])=$G26, Tbl_TaxasDiarias[Vencimento])=$I26, Tbl_TaxasDiarias[Duration]),
IF(IF(IF(Tbl_TaxasDiarias[Tipo]=$F26, Tbl_TaxasDiarias[Indexador])=$G26, Tbl_TaxasDiarias[Vencimento])=$I26, Tbl_TaxasDiarias[Duration])), "-")</f>
        <v>0.158498203750216</v>
      </c>
      <c r="K26" s="182" t="s">
        <v>1339</v>
      </c>
      <c r="L26" s="246" t="s">
        <v>1414</v>
      </c>
      <c r="M26" s="191" t="s">
        <v>1321</v>
      </c>
      <c r="N26" s="196" t="s">
        <v>34</v>
      </c>
      <c r="O26" s="196" t="s">
        <v>1364</v>
      </c>
      <c r="P26" s="205" t="s">
        <v>608</v>
      </c>
      <c r="Q26" s="146" t="s">
        <v>48</v>
      </c>
      <c r="R26" s="205">
        <f t="shared" ref="R26:R33" ca="1" si="3">IF(OR(LEFT($E26, 3) = "NTN", LEFT($E26, 3) = "LFT"), DATE(I26, 8, 15) - TODAY(), FLOOR(J26*365,1))</f>
        <v>124</v>
      </c>
      <c r="S26" s="206" t="s">
        <v>34</v>
      </c>
      <c r="T26" s="148" t="str">
        <f>IF(OR(LEFT($E26,3)="LFT",LEFT($E26,3)="NTN"), "-", IF(LEFT($J26,3)="Liq", 0.03%, 0.25%))</f>
        <v>-</v>
      </c>
      <c r="U26" s="207" t="s">
        <v>34</v>
      </c>
      <c r="V26" s="207" t="s">
        <v>1421</v>
      </c>
      <c r="W26" s="207" t="s">
        <v>34</v>
      </c>
      <c r="X26" s="988">
        <v>41654</v>
      </c>
      <c r="Y26" s="982">
        <v>45061</v>
      </c>
      <c r="Z26" s="982" t="s">
        <v>4741</v>
      </c>
    </row>
    <row r="27" spans="1:26">
      <c r="E27" s="181" t="str">
        <f t="shared" si="2"/>
        <v>NTN-B 2024 (IPCA+6.00%)</v>
      </c>
      <c r="F27" s="191" t="s">
        <v>1360</v>
      </c>
      <c r="G27" s="180" t="s">
        <v>1358</v>
      </c>
      <c r="H27" s="503" cm="1">
        <f t="array" ref="H27">IFERROR(IF(LEN(F27)&lt;=6, _xlfn._xlws.FILTER(IF(IF(IF(Tbl_TaxasDiarias[Tipo]=$F27, Tbl_TaxasDiarias[Indexador])=$G27, Tbl_TaxasDiarias[Vencimento])=$I27, Tbl_TaxasDiarias[Taxa Considerada]),
IF(IF(IF(Tbl_TaxasDiarias[Tipo]=$F27, Tbl_TaxasDiarias[Indexador])=$G27, Tbl_TaxasDiarias[Vencimento])=$I27, Tbl_TaxasDiarias[Taxa Considerada])),
_xlfn._xlws.FILTER(IF(IF(IF(Tbl_TaxasDiarias[Tipo]=$F27, Tbl_TaxasDiarias[Indexador])=$G27, Tbl_TaxasDiarias[Duration])=$J27, Tbl_TaxasDiarias[Taxa Considerada]),
IF(IF(IF(Tbl_TaxasDiarias[Tipo]=$F27, Tbl_TaxasDiarias[Indexador])=$G27, Tbl_TaxasDiarias[Duration])=$J27, Tbl_TaxasDiarias[Taxa Considerada]))), "-")</f>
        <v>0.06</v>
      </c>
      <c r="I27" s="505">
        <v>2024</v>
      </c>
      <c r="J27" s="501" cm="1">
        <f t="array" ref="J27">IFERROR(_xlfn._xlws.FILTER(IF(IF(IF(Tbl_TaxasDiarias[Tipo]=$F27, Tbl_TaxasDiarias[Indexador])=$G27, Tbl_TaxasDiarias[Vencimento])=$I27, Tbl_TaxasDiarias[Duration]),
IF(IF(IF(Tbl_TaxasDiarias[Tipo]=$F27, Tbl_TaxasDiarias[Indexador])=$G27, Tbl_TaxasDiarias[Vencimento])=$I27, Tbl_TaxasDiarias[Duration])), "-")</f>
        <v>1.3618479350563599</v>
      </c>
      <c r="K27" s="182" t="s">
        <v>1339</v>
      </c>
      <c r="L27" s="246" t="s">
        <v>1414</v>
      </c>
      <c r="M27" s="191" t="s">
        <v>1321</v>
      </c>
      <c r="N27" s="196" t="s">
        <v>34</v>
      </c>
      <c r="O27" s="196" t="s">
        <v>1364</v>
      </c>
      <c r="P27" s="205" t="s">
        <v>608</v>
      </c>
      <c r="Q27" s="146" t="s">
        <v>48</v>
      </c>
      <c r="R27" s="205">
        <f t="shared" ca="1" si="3"/>
        <v>490</v>
      </c>
      <c r="S27" s="206" t="s">
        <v>34</v>
      </c>
      <c r="T27" s="148" t="str">
        <f>IF(OR(LEFT($E27,3)="LFT",LEFT($E27,3)="NTN"), "-", IF(LEFT($J27,3)="Liq", 0.03%, 0.25%))</f>
        <v>-</v>
      </c>
      <c r="U27" s="207" t="s">
        <v>34</v>
      </c>
      <c r="V27" s="207" t="s">
        <v>1421</v>
      </c>
      <c r="W27" s="207" t="s">
        <v>34</v>
      </c>
      <c r="X27" s="988">
        <v>37909</v>
      </c>
      <c r="Y27" s="982">
        <v>45519</v>
      </c>
      <c r="Z27" s="982" t="s">
        <v>4742</v>
      </c>
    </row>
    <row r="28" spans="1:26">
      <c r="E28" s="181" t="str">
        <f t="shared" si="2"/>
        <v>NTN-B 2025 (IPCA+5.60%)</v>
      </c>
      <c r="F28" s="191" t="s">
        <v>1360</v>
      </c>
      <c r="G28" s="180" t="s">
        <v>1358</v>
      </c>
      <c r="H28" s="503" cm="1">
        <f t="array" ref="H28">IFERROR(IF(LEN(F28)&lt;=6, _xlfn._xlws.FILTER(IF(IF(IF(Tbl_TaxasDiarias[Tipo]=$F28, Tbl_TaxasDiarias[Indexador])=$G28, Tbl_TaxasDiarias[Vencimento])=$I28, Tbl_TaxasDiarias[Taxa Considerada]),
IF(IF(IF(Tbl_TaxasDiarias[Tipo]=$F28, Tbl_TaxasDiarias[Indexador])=$G28, Tbl_TaxasDiarias[Vencimento])=$I28, Tbl_TaxasDiarias[Taxa Considerada])),
_xlfn._xlws.FILTER(IF(IF(IF(Tbl_TaxasDiarias[Tipo]=$F28, Tbl_TaxasDiarias[Indexador])=$G28, Tbl_TaxasDiarias[Duration])=$J28, Tbl_TaxasDiarias[Taxa Considerada]),
IF(IF(IF(Tbl_TaxasDiarias[Tipo]=$F28, Tbl_TaxasDiarias[Indexador])=$G28, Tbl_TaxasDiarias[Duration])=$J28, Tbl_TaxasDiarias[Taxa Considerada]))), "-")</f>
        <v>5.6000000000000001E-2</v>
      </c>
      <c r="I28" s="505">
        <v>2025</v>
      </c>
      <c r="J28" s="501" cm="1">
        <f t="array" ref="J28">IFERROR(_xlfn._xlws.FILTER(IF(IF(IF(Tbl_TaxasDiarias[Tipo]=$F28, Tbl_TaxasDiarias[Indexador])=$G28, Tbl_TaxasDiarias[Vencimento])=$I28, Tbl_TaxasDiarias[Duration]),
IF(IF(IF(Tbl_TaxasDiarias[Tipo]=$F28, Tbl_TaxasDiarias[Indexador])=$G28, Tbl_TaxasDiarias[Vencimento])=$I28, Tbl_TaxasDiarias[Duration])), "-")</f>
        <v>2.0094253094389898</v>
      </c>
      <c r="K28" s="182" t="s">
        <v>1339</v>
      </c>
      <c r="L28" s="246" t="s">
        <v>1414</v>
      </c>
      <c r="M28" s="191" t="s">
        <v>1321</v>
      </c>
      <c r="N28" s="196" t="s">
        <v>34</v>
      </c>
      <c r="O28" s="196" t="s">
        <v>1364</v>
      </c>
      <c r="P28" s="205" t="s">
        <v>608</v>
      </c>
      <c r="Q28" s="146" t="s">
        <v>48</v>
      </c>
      <c r="R28" s="205">
        <f t="shared" ca="1" si="3"/>
        <v>855</v>
      </c>
      <c r="S28" s="206" t="s">
        <v>34</v>
      </c>
      <c r="T28" s="148" t="str">
        <f>IF(OR(LEFT($E28,3)="LFT",LEFT($E28,3)="NTN"), "-", IF(LEFT($J28,3)="Liq", 0.03%, 0.25%))</f>
        <v>-</v>
      </c>
      <c r="U28" s="207" t="s">
        <v>34</v>
      </c>
      <c r="V28" s="207" t="s">
        <v>1421</v>
      </c>
      <c r="W28" s="207" t="s">
        <v>34</v>
      </c>
      <c r="X28" s="988">
        <v>43838</v>
      </c>
      <c r="Y28" s="982">
        <v>45792</v>
      </c>
      <c r="Z28" s="982" t="s">
        <v>4743</v>
      </c>
    </row>
    <row r="29" spans="1:26">
      <c r="E29" s="181" t="str">
        <f t="shared" si="2"/>
        <v>NTN-B 2026 (IPCA+5.70%)</v>
      </c>
      <c r="F29" s="191" t="s">
        <v>1360</v>
      </c>
      <c r="G29" s="180" t="s">
        <v>1358</v>
      </c>
      <c r="H29" s="503" cm="1">
        <f t="array" ref="H29">IFERROR(IF(LEN(F29)&lt;=6, _xlfn._xlws.FILTER(IF(IF(IF(Tbl_TaxasDiarias[Tipo]=$F29, Tbl_TaxasDiarias[Indexador])=$G29, Tbl_TaxasDiarias[Vencimento])=$I29, Tbl_TaxasDiarias[Taxa Considerada]),
IF(IF(IF(Tbl_TaxasDiarias[Tipo]=$F29, Tbl_TaxasDiarias[Indexador])=$G29, Tbl_TaxasDiarias[Vencimento])=$I29, Tbl_TaxasDiarias[Taxa Considerada])),
_xlfn._xlws.FILTER(IF(IF(IF(Tbl_TaxasDiarias[Tipo]=$F29, Tbl_TaxasDiarias[Indexador])=$G29, Tbl_TaxasDiarias[Duration])=$J29, Tbl_TaxasDiarias[Taxa Considerada]),
IF(IF(IF(Tbl_TaxasDiarias[Tipo]=$F29, Tbl_TaxasDiarias[Indexador])=$G29, Tbl_TaxasDiarias[Duration])=$J29, Tbl_TaxasDiarias[Taxa Considerada]))), "-")</f>
        <v>5.7000000000000002E-2</v>
      </c>
      <c r="I29" s="505">
        <v>2026</v>
      </c>
      <c r="J29" s="501" cm="1">
        <f t="array" ref="J29">IFERROR(_xlfn._xlws.FILTER(IF(IF(IF(Tbl_TaxasDiarias[Tipo]=$F29, Tbl_TaxasDiarias[Indexador])=$G29, Tbl_TaxasDiarias[Vencimento])=$I29, Tbl_TaxasDiarias[Duration]),
IF(IF(IF(Tbl_TaxasDiarias[Tipo]=$F29, Tbl_TaxasDiarias[Indexador])=$G29, Tbl_TaxasDiarias[Vencimento])=$I29, Tbl_TaxasDiarias[Duration])), "-")</f>
        <v>3.1302578028505001</v>
      </c>
      <c r="K29" s="182" t="s">
        <v>715</v>
      </c>
      <c r="L29" s="246" t="s">
        <v>1414</v>
      </c>
      <c r="M29" s="191" t="s">
        <v>1321</v>
      </c>
      <c r="N29" s="196" t="s">
        <v>34</v>
      </c>
      <c r="O29" s="196" t="s">
        <v>1364</v>
      </c>
      <c r="P29" s="205" t="s">
        <v>608</v>
      </c>
      <c r="Q29" s="146" t="s">
        <v>48</v>
      </c>
      <c r="R29" s="205">
        <f t="shared" ca="1" si="3"/>
        <v>1220</v>
      </c>
      <c r="S29" s="206" t="s">
        <v>34</v>
      </c>
      <c r="T29" s="148" t="str">
        <f>IF(OR(LEFT($E29,3)="LFT",LEFT($E29,3)="NTN"), "-", IF(LEFT($J29,3)="Liq", 0.03%, 0.25%))</f>
        <v>-</v>
      </c>
      <c r="U29" s="207" t="s">
        <v>34</v>
      </c>
      <c r="V29" s="207" t="s">
        <v>1421</v>
      </c>
      <c r="W29" s="207" t="s">
        <v>34</v>
      </c>
      <c r="X29" s="988">
        <v>42375</v>
      </c>
      <c r="Y29" s="982">
        <v>46249</v>
      </c>
      <c r="Z29" s="982" t="s">
        <v>4744</v>
      </c>
    </row>
    <row r="30" spans="1:26">
      <c r="E30" s="181" t="str">
        <f>IF(LEN(F30)&lt;=5,F30&amp;" "&amp;I30&amp;IF(F30="LFT"," - "&amp;"Liquidez Diária","")&amp;" ("&amp;IF(G30="PRE", "", G30)&amp;TEXT(H30,"0.00%")&amp;")",IF(LEFT(F30,3)="Cor","Títulos Corporativos - "&amp;J30&amp;IF(J30&lt;1," ano("," anos (")&amp;IF(G30="PRE", "", G30)&amp;TEXT(H30,"0.00%")&amp;")","Títulos Bancários - "&amp;IF(J30&lt;1,IF(J30=0, "Liquidez Diária (", J30*12&amp;" meses ("),IF(J30=1,"1 ano (",J30&amp;" anos ("))&amp;IF(IF(G30="PRE", "", G30)="%CDI",TEXT(H30,"0.0%")&amp;" CDI)",IF(G30="PRE", "", G30)&amp;TEXT(H30,"0.00%")&amp;")")))</f>
        <v>NTN-B 2027 (IPCA+5.70%)</v>
      </c>
      <c r="F30" s="191" t="s">
        <v>1360</v>
      </c>
      <c r="G30" s="180" t="s">
        <v>1358</v>
      </c>
      <c r="H30" s="503" cm="1">
        <f t="array" ref="H30">IFERROR(IF(LEN(F30)&lt;=6, _xlfn._xlws.FILTER(IF(IF(IF(Tbl_TaxasDiarias[Tipo]=$F30, Tbl_TaxasDiarias[Indexador])=$G30, Tbl_TaxasDiarias[Vencimento])=$I30, Tbl_TaxasDiarias[Taxa Considerada]),
IF(IF(IF(Tbl_TaxasDiarias[Tipo]=$F30, Tbl_TaxasDiarias[Indexador])=$G30, Tbl_TaxasDiarias[Vencimento])=$I30, Tbl_TaxasDiarias[Taxa Considerada])),
_xlfn._xlws.FILTER(IF(IF(IF(Tbl_TaxasDiarias[Tipo]=$F30, Tbl_TaxasDiarias[Indexador])=$G30, Tbl_TaxasDiarias[Duration])=$J30, Tbl_TaxasDiarias[Taxa Considerada]),
IF(IF(IF(Tbl_TaxasDiarias[Tipo]=$F30, Tbl_TaxasDiarias[Indexador])=$G30, Tbl_TaxasDiarias[Duration])=$J30, Tbl_TaxasDiarias[Taxa Considerada]))), "-")</f>
        <v>5.7000000000000002E-2</v>
      </c>
      <c r="I30" s="505">
        <v>2027</v>
      </c>
      <c r="J30" s="501" cm="1">
        <f t="array" ref="J30">IFERROR(_xlfn._xlws.FILTER(IF(IF(IF(Tbl_TaxasDiarias[Tipo]=$F30, Tbl_TaxasDiarias[Indexador])=$G30, Tbl_TaxasDiarias[Vencimento])=$I30, Tbl_TaxasDiarias[Duration]),
IF(IF(IF(Tbl_TaxasDiarias[Tipo]=$F30, Tbl_TaxasDiarias[Indexador])=$G30, Tbl_TaxasDiarias[Vencimento])=$I30, Tbl_TaxasDiarias[Duration])), "-")</f>
        <v>3.66933868454971</v>
      </c>
      <c r="K30" s="182" t="s">
        <v>715</v>
      </c>
      <c r="L30" s="246" t="s">
        <v>1414</v>
      </c>
      <c r="M30" s="191" t="s">
        <v>1321</v>
      </c>
      <c r="N30" s="196" t="s">
        <v>34</v>
      </c>
      <c r="O30" s="196" t="s">
        <v>1364</v>
      </c>
      <c r="P30" s="205" t="s">
        <v>608</v>
      </c>
      <c r="Q30" s="146" t="s">
        <v>48</v>
      </c>
      <c r="R30" s="205">
        <f ca="1">IF(OR(LEFT($E30, 3) = "NTN", LEFT($E30, 3) = "LFT"), DATE(I30, 8, 15) - TODAY(), FLOOR(J30*365,1))</f>
        <v>1585</v>
      </c>
      <c r="S30" s="206" t="s">
        <v>34</v>
      </c>
      <c r="T30" s="148" t="str">
        <f>IF(OR(LEFT($E30,3)="LFT",LEFT($E30,3)="NTN"), "-", IF(LEFT($J30,3)="Liq", 0.03%, 0.25%))</f>
        <v>-</v>
      </c>
      <c r="U30" s="207" t="s">
        <v>34</v>
      </c>
      <c r="V30" s="207" t="s">
        <v>1421</v>
      </c>
      <c r="W30" s="207" t="s">
        <v>34</v>
      </c>
      <c r="X30" s="988">
        <v>44573</v>
      </c>
      <c r="Y30" s="982">
        <v>46522</v>
      </c>
      <c r="Z30" s="982" t="s">
        <v>4745</v>
      </c>
    </row>
    <row r="31" spans="1:26">
      <c r="E31" s="181" t="str">
        <f t="shared" si="2"/>
        <v>Títulos Bancários - 1 ano (IPCA+6.60%)</v>
      </c>
      <c r="F31" s="191" t="s">
        <v>1441</v>
      </c>
      <c r="G31" s="180" t="s">
        <v>1358</v>
      </c>
      <c r="H31" s="503" cm="1">
        <f t="array" ref="H31">IFERROR(IF(LEN(F31)&lt;=6, _xlfn._xlws.FILTER(IF(IF(IF(Tbl_TaxasDiarias[Tipo]=$F31, Tbl_TaxasDiarias[Indexador])=$G31, Tbl_TaxasDiarias[Vencimento])=$I31, Tbl_TaxasDiarias[Taxa Considerada]),
IF(IF(IF(Tbl_TaxasDiarias[Tipo]=$F31, Tbl_TaxasDiarias[Indexador])=$G31, Tbl_TaxasDiarias[Vencimento])=$I31, Tbl_TaxasDiarias[Taxa Considerada])),
_xlfn._xlws.FILTER(IF(IF(IF(Tbl_TaxasDiarias[Tipo]=$F31, Tbl_TaxasDiarias[Indexador])=$G31, Tbl_TaxasDiarias[Duration])=$J31, Tbl_TaxasDiarias[Taxa Considerada]),
IF(IF(IF(Tbl_TaxasDiarias[Tipo]=$F31, Tbl_TaxasDiarias[Indexador])=$G31, Tbl_TaxasDiarias[Duration])=$J31, Tbl_TaxasDiarias[Taxa Considerada]))), "-")</f>
        <v>6.6000000000000003E-2</v>
      </c>
      <c r="I31" s="192">
        <f ca="1">EDATE(TODAY(),J31*12)</f>
        <v>45395</v>
      </c>
      <c r="J31" s="506">
        <v>1</v>
      </c>
      <c r="K31" s="182" t="s">
        <v>1339</v>
      </c>
      <c r="L31" s="246" t="s">
        <v>34</v>
      </c>
      <c r="M31" s="191" t="s">
        <v>34</v>
      </c>
      <c r="N31" s="191" t="s">
        <v>34</v>
      </c>
      <c r="O31" s="191" t="s">
        <v>663</v>
      </c>
      <c r="P31" s="205" t="s">
        <v>608</v>
      </c>
      <c r="Q31" s="146" t="s">
        <v>48</v>
      </c>
      <c r="R31" s="205">
        <f t="shared" ca="1" si="3"/>
        <v>365</v>
      </c>
      <c r="S31" s="206" t="s">
        <v>34</v>
      </c>
      <c r="T31" s="148">
        <v>2E-3</v>
      </c>
      <c r="U31" s="207" t="s">
        <v>34</v>
      </c>
      <c r="V31" s="207" t="s">
        <v>1421</v>
      </c>
      <c r="W31" s="207" t="s">
        <v>34</v>
      </c>
      <c r="X31" s="208" t="s">
        <v>34</v>
      </c>
      <c r="Y31" s="208" t="s">
        <v>34</v>
      </c>
      <c r="Z31" s="208" t="s">
        <v>34</v>
      </c>
    </row>
    <row r="32" spans="1:26">
      <c r="E32" s="181" t="str">
        <f t="shared" si="2"/>
        <v>Títulos Bancários - 2 anos (IPCA+6.80%)</v>
      </c>
      <c r="F32" s="191" t="s">
        <v>1441</v>
      </c>
      <c r="G32" s="180" t="s">
        <v>1358</v>
      </c>
      <c r="H32" s="503" cm="1">
        <f t="array" ref="H32">IFERROR(IF(LEN(F32)&lt;=6, _xlfn._xlws.FILTER(IF(IF(IF(Tbl_TaxasDiarias[Tipo]=$F32, Tbl_TaxasDiarias[Indexador])=$G32, Tbl_TaxasDiarias[Vencimento])=$I32, Tbl_TaxasDiarias[Taxa Considerada]),
IF(IF(IF(Tbl_TaxasDiarias[Tipo]=$F32, Tbl_TaxasDiarias[Indexador])=$G32, Tbl_TaxasDiarias[Vencimento])=$I32, Tbl_TaxasDiarias[Taxa Considerada])),
_xlfn._xlws.FILTER(IF(IF(IF(Tbl_TaxasDiarias[Tipo]=$F32, Tbl_TaxasDiarias[Indexador])=$G32, Tbl_TaxasDiarias[Duration])=$J32, Tbl_TaxasDiarias[Taxa Considerada]),
IF(IF(IF(Tbl_TaxasDiarias[Tipo]=$F32, Tbl_TaxasDiarias[Indexador])=$G32, Tbl_TaxasDiarias[Duration])=$J32, Tbl_TaxasDiarias[Taxa Considerada]))), "-")</f>
        <v>6.8000000000000005E-2</v>
      </c>
      <c r="I32" s="192">
        <f ca="1">EDATE(TODAY(),J32*12)</f>
        <v>45760</v>
      </c>
      <c r="J32" s="506">
        <v>2</v>
      </c>
      <c r="K32" s="182" t="s">
        <v>1339</v>
      </c>
      <c r="L32" s="246" t="s">
        <v>34</v>
      </c>
      <c r="M32" s="191" t="s">
        <v>34</v>
      </c>
      <c r="N32" s="191" t="s">
        <v>34</v>
      </c>
      <c r="O32" s="191" t="s">
        <v>663</v>
      </c>
      <c r="P32" s="205" t="s">
        <v>608</v>
      </c>
      <c r="Q32" s="146" t="s">
        <v>48</v>
      </c>
      <c r="R32" s="205">
        <f t="shared" ca="1" si="3"/>
        <v>730</v>
      </c>
      <c r="S32" s="206" t="s">
        <v>34</v>
      </c>
      <c r="T32" s="148">
        <v>2E-3</v>
      </c>
      <c r="U32" s="207" t="s">
        <v>34</v>
      </c>
      <c r="V32" s="207" t="s">
        <v>1421</v>
      </c>
      <c r="W32" s="207" t="s">
        <v>34</v>
      </c>
      <c r="X32" s="208" t="s">
        <v>34</v>
      </c>
      <c r="Y32" s="208" t="s">
        <v>34</v>
      </c>
      <c r="Z32" s="208" t="s">
        <v>34</v>
      </c>
    </row>
    <row r="33" spans="1:26">
      <c r="E33" s="181" t="str">
        <f t="shared" si="2"/>
        <v>Títulos Bancários - 3 anos (IPCA+6.85%)</v>
      </c>
      <c r="F33" s="191" t="s">
        <v>1441</v>
      </c>
      <c r="G33" s="180" t="s">
        <v>1358</v>
      </c>
      <c r="H33" s="503" cm="1">
        <f t="array" ref="H33">IFERROR(IF(LEN(F33)&lt;=6, _xlfn._xlws.FILTER(IF(IF(IF(Tbl_TaxasDiarias[Tipo]=$F33, Tbl_TaxasDiarias[Indexador])=$G33, Tbl_TaxasDiarias[Vencimento])=$I33, Tbl_TaxasDiarias[Taxa Considerada]),
IF(IF(IF(Tbl_TaxasDiarias[Tipo]=$F33, Tbl_TaxasDiarias[Indexador])=$G33, Tbl_TaxasDiarias[Vencimento])=$I33, Tbl_TaxasDiarias[Taxa Considerada])),
_xlfn._xlws.FILTER(IF(IF(IF(Tbl_TaxasDiarias[Tipo]=$F33, Tbl_TaxasDiarias[Indexador])=$G33, Tbl_TaxasDiarias[Duration])=$J33, Tbl_TaxasDiarias[Taxa Considerada]),
IF(IF(IF(Tbl_TaxasDiarias[Tipo]=$F33, Tbl_TaxasDiarias[Indexador])=$G33, Tbl_TaxasDiarias[Duration])=$J33, Tbl_TaxasDiarias[Taxa Considerada]))), "-")</f>
        <v>6.8500000000000005E-2</v>
      </c>
      <c r="I33" s="192">
        <f ca="1">EDATE(TODAY(),J33*12)</f>
        <v>46125</v>
      </c>
      <c r="J33" s="506">
        <v>3</v>
      </c>
      <c r="K33" s="182" t="s">
        <v>1339</v>
      </c>
      <c r="L33" s="246" t="s">
        <v>34</v>
      </c>
      <c r="M33" s="191" t="s">
        <v>34</v>
      </c>
      <c r="N33" s="191" t="s">
        <v>34</v>
      </c>
      <c r="O33" s="191" t="s">
        <v>663</v>
      </c>
      <c r="P33" s="205" t="s">
        <v>608</v>
      </c>
      <c r="Q33" s="146" t="s">
        <v>48</v>
      </c>
      <c r="R33" s="205">
        <f t="shared" ca="1" si="3"/>
        <v>1095</v>
      </c>
      <c r="S33" s="206" t="s">
        <v>34</v>
      </c>
      <c r="T33" s="148">
        <v>2E-3</v>
      </c>
      <c r="U33" s="207" t="s">
        <v>34</v>
      </c>
      <c r="V33" s="207" t="s">
        <v>1421</v>
      </c>
      <c r="W33" s="207" t="s">
        <v>34</v>
      </c>
      <c r="X33" s="208" t="s">
        <v>34</v>
      </c>
      <c r="Y33" s="208" t="s">
        <v>34</v>
      </c>
      <c r="Z33" s="208" t="s">
        <v>34</v>
      </c>
    </row>
    <row r="34" spans="1:26" ht="5.25" customHeight="1">
      <c r="E34" s="150"/>
      <c r="H34" s="183"/>
      <c r="I34" s="188"/>
    </row>
    <row r="35" spans="1:26" s="139" customFormat="1">
      <c r="A35" s="152"/>
      <c r="B35" s="167" t="s">
        <v>621</v>
      </c>
      <c r="C35" s="169" t="s">
        <v>865</v>
      </c>
      <c r="D35" s="167" t="str">
        <f>B35&amp;" "&amp;C35</f>
        <v>Inflação Média</v>
      </c>
      <c r="E35" s="144" t="s">
        <v>2748</v>
      </c>
      <c r="F35" s="144"/>
      <c r="G35" s="144"/>
      <c r="H35" s="184"/>
      <c r="I35" s="189"/>
      <c r="J35" s="145"/>
      <c r="K35" s="144"/>
      <c r="L35" s="144"/>
      <c r="M35" s="144"/>
      <c r="N35" s="144"/>
      <c r="O35" s="144"/>
      <c r="P35" s="144"/>
      <c r="Q35" s="144"/>
      <c r="R35" s="144"/>
      <c r="S35" s="144"/>
      <c r="T35" s="144"/>
      <c r="U35" s="155"/>
      <c r="V35" s="155"/>
      <c r="W35" s="155"/>
      <c r="X35" s="179"/>
      <c r="Y35" s="179"/>
      <c r="Z35" s="179"/>
    </row>
    <row r="36" spans="1:26">
      <c r="E36" s="181" t="str">
        <f t="shared" ref="E36:E42" si="4">IF(LEN(F36)&lt;=5,F36&amp;" "&amp;I36&amp;IF(F36="LFT"," - "&amp;"Liquidez Diária","")&amp;" ("&amp;IF(G36="PRE", "", G36)&amp;TEXT(H36,"0.00%")&amp;")",IF(LEFT(F36,3)="Cor","Títulos Corporativos - "&amp;J36&amp;IF(J36&lt;1," ano("," anos (")&amp;IF(G36="PRE", "", G36)&amp;TEXT(H36,"0.00%")&amp;")","Títulos Bancários - "&amp;IF(J36&lt;1,IF(J36=0, "Liquidez Diária (", J36*12&amp;" meses ("),IF(J36=1,"1 ano (",J36&amp;" anos ("))&amp;IF(IF(G36="PRE", "", G36)="%CDI",TEXT(H36,"0.0%")&amp;" CDI)",IF(G36="PRE", "", G36)&amp;TEXT(H36,"0.00%")&amp;")")))</f>
        <v>NTN-B 2028 (IPCA+5.95%)</v>
      </c>
      <c r="F36" s="191" t="s">
        <v>1360</v>
      </c>
      <c r="G36" s="180" t="s">
        <v>1358</v>
      </c>
      <c r="H36" s="503" cm="1">
        <f t="array" ref="H36">IFERROR(IF(LEN(F36)&lt;=6, _xlfn._xlws.FILTER(IF(IF(IF(Tbl_TaxasDiarias[Tipo]=$F36, Tbl_TaxasDiarias[Indexador])=$G36, Tbl_TaxasDiarias[Vencimento])=$I36, Tbl_TaxasDiarias[Taxa Considerada]),
IF(IF(IF(Tbl_TaxasDiarias[Tipo]=$F36, Tbl_TaxasDiarias[Indexador])=$G36, Tbl_TaxasDiarias[Vencimento])=$I36, Tbl_TaxasDiarias[Taxa Considerada])),
_xlfn._xlws.FILTER(IF(IF(IF(Tbl_TaxasDiarias[Tipo]=$F36, Tbl_TaxasDiarias[Indexador])=$G36, Tbl_TaxasDiarias[Duration])=$J36, Tbl_TaxasDiarias[Taxa Considerada]),
IF(IF(IF(Tbl_TaxasDiarias[Tipo]=$F36, Tbl_TaxasDiarias[Indexador])=$G36, Tbl_TaxasDiarias[Duration])=$J36, Tbl_TaxasDiarias[Taxa Considerada]))), "-")</f>
        <v>5.9499999999999997E-2</v>
      </c>
      <c r="I36" s="505">
        <v>2028</v>
      </c>
      <c r="J36" s="501" cm="1">
        <f t="array" ref="J36">IFERROR(_xlfn._xlws.FILTER(IF(IF(IF(Tbl_TaxasDiarias[Tipo]=$F36, Tbl_TaxasDiarias[Indexador])=$G36, Tbl_TaxasDiarias[Vencimento])=$I36, Tbl_TaxasDiarias[Duration]),
IF(IF(IF(Tbl_TaxasDiarias[Tipo]=$F36, Tbl_TaxasDiarias[Indexador])=$G36, Tbl_TaxasDiarias[Vencimento])=$I36, Tbl_TaxasDiarias[Duration])), "-")</f>
        <v>4.6783784842020504</v>
      </c>
      <c r="K36" s="182" t="s">
        <v>715</v>
      </c>
      <c r="L36" s="246" t="s">
        <v>1414</v>
      </c>
      <c r="M36" s="191" t="s">
        <v>1321</v>
      </c>
      <c r="N36" s="196" t="s">
        <v>34</v>
      </c>
      <c r="O36" s="196" t="s">
        <v>1364</v>
      </c>
      <c r="P36" s="205" t="s">
        <v>608</v>
      </c>
      <c r="Q36" s="146" t="s">
        <v>48</v>
      </c>
      <c r="R36" s="205">
        <f t="shared" ref="R36:R42" ca="1" si="5">IF(OR(LEFT($E36, 3) = "NTN", LEFT($E36, 3) = "LFT"), DATE(I36, 8, 15) - TODAY(), FLOOR(J36*365,1))</f>
        <v>1951</v>
      </c>
      <c r="S36" s="206" t="s">
        <v>34</v>
      </c>
      <c r="T36" s="148" t="str">
        <f>IF(OR(LEFT($E36,3)="LFT",LEFT($E36,3)="NTN"), "-", IF(LEFT($J36,3)="Liq", 0.03%, 0.25%))</f>
        <v>-</v>
      </c>
      <c r="U36" s="207" t="s">
        <v>34</v>
      </c>
      <c r="V36" s="207" t="s">
        <v>1421</v>
      </c>
      <c r="W36" s="207" t="s">
        <v>34</v>
      </c>
      <c r="X36" s="988">
        <v>43110</v>
      </c>
      <c r="Y36" s="982">
        <v>46980</v>
      </c>
      <c r="Z36" s="982" t="s">
        <v>4746</v>
      </c>
    </row>
    <row r="37" spans="1:26">
      <c r="E37" s="181" t="str">
        <f t="shared" si="4"/>
        <v>NTN-B 2030 (IPCA+6.00%)</v>
      </c>
      <c r="F37" s="191" t="s">
        <v>1360</v>
      </c>
      <c r="G37" s="180" t="s">
        <v>1358</v>
      </c>
      <c r="H37" s="503" cm="1">
        <f t="array" ref="H37">IFERROR(IF(LEN(F37)&lt;=6, _xlfn._xlws.FILTER(IF(IF(IF(Tbl_TaxasDiarias[Tipo]=$F37, Tbl_TaxasDiarias[Indexador])=$G37, Tbl_TaxasDiarias[Vencimento])=$I37, Tbl_TaxasDiarias[Taxa Considerada]),
IF(IF(IF(Tbl_TaxasDiarias[Tipo]=$F37, Tbl_TaxasDiarias[Indexador])=$G37, Tbl_TaxasDiarias[Vencimento])=$I37, Tbl_TaxasDiarias[Taxa Considerada])),
_xlfn._xlws.FILTER(IF(IF(IF(Tbl_TaxasDiarias[Tipo]=$F37, Tbl_TaxasDiarias[Indexador])=$G37, Tbl_TaxasDiarias[Duration])=$J37, Tbl_TaxasDiarias[Taxa Considerada]),
IF(IF(IF(Tbl_TaxasDiarias[Tipo]=$F37, Tbl_TaxasDiarias[Indexador])=$G37, Tbl_TaxasDiarias[Duration])=$J37, Tbl_TaxasDiarias[Taxa Considerada]))), "-")</f>
        <v>0.06</v>
      </c>
      <c r="I37" s="505">
        <v>2030</v>
      </c>
      <c r="J37" s="501" cm="1">
        <f t="array" ref="J37">IFERROR(_xlfn._xlws.FILTER(IF(IF(IF(Tbl_TaxasDiarias[Tipo]=$F37, Tbl_TaxasDiarias[Indexador])=$G37, Tbl_TaxasDiarias[Vencimento])=$I37, Tbl_TaxasDiarias[Duration]),
IF(IF(IF(Tbl_TaxasDiarias[Tipo]=$F37, Tbl_TaxasDiarias[Indexador])=$G37, Tbl_TaxasDiarias[Vencimento])=$I37, Tbl_TaxasDiarias[Duration])), "-")</f>
        <v>6.05629739181646</v>
      </c>
      <c r="K37" s="182" t="s">
        <v>715</v>
      </c>
      <c r="L37" s="246" t="s">
        <v>1414</v>
      </c>
      <c r="M37" s="191" t="s">
        <v>1321</v>
      </c>
      <c r="N37" s="196" t="s">
        <v>34</v>
      </c>
      <c r="O37" s="196" t="s">
        <v>1364</v>
      </c>
      <c r="P37" s="205" t="s">
        <v>608</v>
      </c>
      <c r="Q37" s="146" t="s">
        <v>48</v>
      </c>
      <c r="R37" s="205">
        <f t="shared" ca="1" si="5"/>
        <v>2681</v>
      </c>
      <c r="S37" s="206" t="s">
        <v>34</v>
      </c>
      <c r="T37" s="148" t="str">
        <f>IF(OR(LEFT($E37,3)="LFT",LEFT($E37,3)="NTN"), "-", IF(LEFT($J37,3)="Liq", 0.03%, 0.25%))</f>
        <v>-</v>
      </c>
      <c r="U37" s="207" t="s">
        <v>34</v>
      </c>
      <c r="V37" s="207" t="s">
        <v>1421</v>
      </c>
      <c r="W37" s="207" t="s">
        <v>34</v>
      </c>
      <c r="X37" s="988">
        <v>40219</v>
      </c>
      <c r="Y37" s="982">
        <v>47710</v>
      </c>
      <c r="Z37" s="982" t="s">
        <v>4747</v>
      </c>
    </row>
    <row r="38" spans="1:26">
      <c r="E38" s="181" t="str">
        <f t="shared" si="4"/>
        <v>Títulos Bancários - 4 anos (IPCA+7.05%)</v>
      </c>
      <c r="F38" s="191" t="s">
        <v>1441</v>
      </c>
      <c r="G38" s="180" t="s">
        <v>1358</v>
      </c>
      <c r="H38" s="503" cm="1">
        <f t="array" ref="H38">IFERROR(IF(LEN(F38)&lt;=6, _xlfn._xlws.FILTER(IF(IF(IF(Tbl_TaxasDiarias[Tipo]=$F38, Tbl_TaxasDiarias[Indexador])=$G38, Tbl_TaxasDiarias[Vencimento])=$I38, Tbl_TaxasDiarias[Taxa Considerada]),
IF(IF(IF(Tbl_TaxasDiarias[Tipo]=$F38, Tbl_TaxasDiarias[Indexador])=$G38, Tbl_TaxasDiarias[Vencimento])=$I38, Tbl_TaxasDiarias[Taxa Considerada])),
_xlfn._xlws.FILTER(IF(IF(IF(Tbl_TaxasDiarias[Tipo]=$F38, Tbl_TaxasDiarias[Indexador])=$G38, Tbl_TaxasDiarias[Duration])=$J38, Tbl_TaxasDiarias[Taxa Considerada]),
IF(IF(IF(Tbl_TaxasDiarias[Tipo]=$F38, Tbl_TaxasDiarias[Indexador])=$G38, Tbl_TaxasDiarias[Duration])=$J38, Tbl_TaxasDiarias[Taxa Considerada]))), "-")</f>
        <v>7.0499999999999993E-2</v>
      </c>
      <c r="I38" s="192">
        <f ca="1">EDATE(TODAY(),J38*12)</f>
        <v>46490</v>
      </c>
      <c r="J38" s="506">
        <v>4</v>
      </c>
      <c r="K38" s="182" t="s">
        <v>715</v>
      </c>
      <c r="L38" s="246" t="s">
        <v>34</v>
      </c>
      <c r="M38" s="191" t="s">
        <v>34</v>
      </c>
      <c r="N38" s="191" t="s">
        <v>34</v>
      </c>
      <c r="O38" s="191" t="s">
        <v>663</v>
      </c>
      <c r="P38" s="205" t="s">
        <v>608</v>
      </c>
      <c r="Q38" s="146" t="s">
        <v>48</v>
      </c>
      <c r="R38" s="205">
        <f t="shared" ca="1" si="5"/>
        <v>1460</v>
      </c>
      <c r="S38" s="206" t="s">
        <v>34</v>
      </c>
      <c r="T38" s="148">
        <v>2E-3</v>
      </c>
      <c r="U38" s="207" t="s">
        <v>34</v>
      </c>
      <c r="V38" s="207" t="s">
        <v>1421</v>
      </c>
      <c r="W38" s="207" t="s">
        <v>34</v>
      </c>
      <c r="X38" s="988" t="s">
        <v>34</v>
      </c>
      <c r="Y38" s="208" t="s">
        <v>34</v>
      </c>
      <c r="Z38" s="208" t="s">
        <v>34</v>
      </c>
    </row>
    <row r="39" spans="1:26">
      <c r="E39" s="181" t="str">
        <f t="shared" si="4"/>
        <v>Títulos Bancários - 5 anos (IPCA+7.00%)</v>
      </c>
      <c r="F39" s="191" t="s">
        <v>1441</v>
      </c>
      <c r="G39" s="180" t="s">
        <v>1358</v>
      </c>
      <c r="H39" s="503" cm="1">
        <f t="array" ref="H39">IFERROR(IF(LEN(F39)&lt;=6, _xlfn._xlws.FILTER(IF(IF(IF(Tbl_TaxasDiarias[Tipo]=$F39, Tbl_TaxasDiarias[Indexador])=$G39, Tbl_TaxasDiarias[Vencimento])=$I39, Tbl_TaxasDiarias[Taxa Considerada]),
IF(IF(IF(Tbl_TaxasDiarias[Tipo]=$F39, Tbl_TaxasDiarias[Indexador])=$G39, Tbl_TaxasDiarias[Vencimento])=$I39, Tbl_TaxasDiarias[Taxa Considerada])),
_xlfn._xlws.FILTER(IF(IF(IF(Tbl_TaxasDiarias[Tipo]=$F39, Tbl_TaxasDiarias[Indexador])=$G39, Tbl_TaxasDiarias[Duration])=$J39, Tbl_TaxasDiarias[Taxa Considerada]),
IF(IF(IF(Tbl_TaxasDiarias[Tipo]=$F39, Tbl_TaxasDiarias[Indexador])=$G39, Tbl_TaxasDiarias[Duration])=$J39, Tbl_TaxasDiarias[Taxa Considerada]))), "-")</f>
        <v>7.0000000000000007E-2</v>
      </c>
      <c r="I39" s="192">
        <f ca="1">EDATE(TODAY(),J39*12)</f>
        <v>46856</v>
      </c>
      <c r="J39" s="506">
        <v>5</v>
      </c>
      <c r="K39" s="182" t="s">
        <v>715</v>
      </c>
      <c r="L39" s="246" t="s">
        <v>34</v>
      </c>
      <c r="M39" s="191" t="s">
        <v>34</v>
      </c>
      <c r="N39" s="191" t="s">
        <v>34</v>
      </c>
      <c r="O39" s="191" t="s">
        <v>663</v>
      </c>
      <c r="P39" s="205" t="s">
        <v>608</v>
      </c>
      <c r="Q39" s="146" t="s">
        <v>48</v>
      </c>
      <c r="R39" s="205">
        <f t="shared" ca="1" si="5"/>
        <v>1825</v>
      </c>
      <c r="S39" s="206" t="s">
        <v>34</v>
      </c>
      <c r="T39" s="148">
        <v>2E-3</v>
      </c>
      <c r="U39" s="207" t="s">
        <v>34</v>
      </c>
      <c r="V39" s="207" t="s">
        <v>1421</v>
      </c>
      <c r="W39" s="207" t="s">
        <v>34</v>
      </c>
      <c r="X39" s="988" t="s">
        <v>34</v>
      </c>
      <c r="Y39" s="208" t="s">
        <v>34</v>
      </c>
      <c r="Z39" s="208" t="s">
        <v>34</v>
      </c>
    </row>
    <row r="40" spans="1:26">
      <c r="E40" s="181" t="str">
        <f t="shared" si="4"/>
        <v>Títulos Corporativos - 4 anos (IPCA+8.20%)</v>
      </c>
      <c r="F40" s="191" t="s">
        <v>1480</v>
      </c>
      <c r="G40" s="180" t="s">
        <v>1358</v>
      </c>
      <c r="H40" s="503" cm="1">
        <f t="array" ref="H40">IFERROR(IF(LEN(F40)&lt;=6, _xlfn._xlws.FILTER(IF(IF(IF(Tbl_TaxasDiarias[Tipo]=$F40, Tbl_TaxasDiarias[Indexador])=$G40, Tbl_TaxasDiarias[Vencimento])=$I40, Tbl_TaxasDiarias[Taxa Considerada]),
IF(IF(IF(Tbl_TaxasDiarias[Tipo]=$F40, Tbl_TaxasDiarias[Indexador])=$G40, Tbl_TaxasDiarias[Vencimento])=$I40, Tbl_TaxasDiarias[Taxa Considerada])),
_xlfn._xlws.FILTER(IF(IF(IF(Tbl_TaxasDiarias[Tipo]=$F40, Tbl_TaxasDiarias[Indexador])=$G40, Tbl_TaxasDiarias[Duration])=$J40, Tbl_TaxasDiarias[Taxa Considerada]),
IF(IF(IF(Tbl_TaxasDiarias[Tipo]=$F40, Tbl_TaxasDiarias[Indexador])=$G40, Tbl_TaxasDiarias[Duration])=$J40, Tbl_TaxasDiarias[Taxa Considerada]))), "-")</f>
        <v>8.2000000000000003E-2</v>
      </c>
      <c r="I40" s="192">
        <f ca="1">EDATE(TODAY(),J40*12)</f>
        <v>46490</v>
      </c>
      <c r="J40" s="506">
        <v>4</v>
      </c>
      <c r="K40" s="194" t="s">
        <v>715</v>
      </c>
      <c r="L40" s="246" t="s">
        <v>34</v>
      </c>
      <c r="M40" s="191" t="s">
        <v>34</v>
      </c>
      <c r="N40" s="191" t="s">
        <v>34</v>
      </c>
      <c r="O40" s="191" t="s">
        <v>663</v>
      </c>
      <c r="P40" s="205" t="s">
        <v>608</v>
      </c>
      <c r="Q40" s="146" t="s">
        <v>48</v>
      </c>
      <c r="R40" s="205">
        <f t="shared" ca="1" si="5"/>
        <v>1460</v>
      </c>
      <c r="S40" s="206" t="s">
        <v>34</v>
      </c>
      <c r="T40" s="148">
        <v>2E-3</v>
      </c>
      <c r="U40" s="207" t="s">
        <v>34</v>
      </c>
      <c r="V40" s="207" t="s">
        <v>1421</v>
      </c>
      <c r="W40" s="207" t="s">
        <v>34</v>
      </c>
      <c r="X40" s="988" t="s">
        <v>34</v>
      </c>
      <c r="Y40" s="208" t="s">
        <v>34</v>
      </c>
      <c r="Z40" s="208" t="s">
        <v>34</v>
      </c>
    </row>
    <row r="41" spans="1:26">
      <c r="E41" s="181" t="str">
        <f t="shared" si="4"/>
        <v>Títulos Corporativos - 5 anos (IPCA+8.80%)</v>
      </c>
      <c r="F41" s="191" t="s">
        <v>1480</v>
      </c>
      <c r="G41" s="180" t="s">
        <v>1358</v>
      </c>
      <c r="H41" s="503" cm="1">
        <f t="array" ref="H41">IFERROR(IF(LEN(F41)&lt;=6, _xlfn._xlws.FILTER(IF(IF(IF(Tbl_TaxasDiarias[Tipo]=$F41, Tbl_TaxasDiarias[Indexador])=$G41, Tbl_TaxasDiarias[Vencimento])=$I41, Tbl_TaxasDiarias[Taxa Considerada]),
IF(IF(IF(Tbl_TaxasDiarias[Tipo]=$F41, Tbl_TaxasDiarias[Indexador])=$G41, Tbl_TaxasDiarias[Vencimento])=$I41, Tbl_TaxasDiarias[Taxa Considerada])),
_xlfn._xlws.FILTER(IF(IF(IF(Tbl_TaxasDiarias[Tipo]=$F41, Tbl_TaxasDiarias[Indexador])=$G41, Tbl_TaxasDiarias[Duration])=$J41, Tbl_TaxasDiarias[Taxa Considerada]),
IF(IF(IF(Tbl_TaxasDiarias[Tipo]=$F41, Tbl_TaxasDiarias[Indexador])=$G41, Tbl_TaxasDiarias[Duration])=$J41, Tbl_TaxasDiarias[Taxa Considerada]))), "-")</f>
        <v>8.7999999999999995E-2</v>
      </c>
      <c r="I41" s="193" t="s">
        <v>34</v>
      </c>
      <c r="J41" s="506">
        <v>5</v>
      </c>
      <c r="K41" s="182" t="s">
        <v>715</v>
      </c>
      <c r="L41" s="246" t="s">
        <v>34</v>
      </c>
      <c r="M41" s="191" t="s">
        <v>34</v>
      </c>
      <c r="N41" s="191" t="s">
        <v>34</v>
      </c>
      <c r="O41" s="191" t="s">
        <v>663</v>
      </c>
      <c r="P41" s="205" t="s">
        <v>608</v>
      </c>
      <c r="Q41" s="146" t="s">
        <v>48</v>
      </c>
      <c r="R41" s="205">
        <f t="shared" ca="1" si="5"/>
        <v>1825</v>
      </c>
      <c r="S41" s="206" t="s">
        <v>34</v>
      </c>
      <c r="T41" s="148">
        <v>2E-3</v>
      </c>
      <c r="U41" s="207" t="s">
        <v>34</v>
      </c>
      <c r="V41" s="207" t="s">
        <v>1421</v>
      </c>
      <c r="W41" s="207" t="s">
        <v>34</v>
      </c>
      <c r="X41" s="988" t="s">
        <v>34</v>
      </c>
      <c r="Y41" s="208" t="s">
        <v>34</v>
      </c>
      <c r="Z41" s="208" t="s">
        <v>34</v>
      </c>
    </row>
    <row r="42" spans="1:26">
      <c r="E42" s="181" t="str">
        <f t="shared" si="4"/>
        <v>Títulos Corporativos - 6 anos (IPCA+9.00%)</v>
      </c>
      <c r="F42" s="191" t="s">
        <v>1480</v>
      </c>
      <c r="G42" s="180" t="s">
        <v>1358</v>
      </c>
      <c r="H42" s="503" cm="1">
        <f t="array" ref="H42">IFERROR(IF(LEN(F42)&lt;=6, _xlfn._xlws.FILTER(IF(IF(IF(Tbl_TaxasDiarias[Tipo]=$F42, Tbl_TaxasDiarias[Indexador])=$G42, Tbl_TaxasDiarias[Vencimento])=$I42, Tbl_TaxasDiarias[Taxa Considerada]),
IF(IF(IF(Tbl_TaxasDiarias[Tipo]=$F42, Tbl_TaxasDiarias[Indexador])=$G42, Tbl_TaxasDiarias[Vencimento])=$I42, Tbl_TaxasDiarias[Taxa Considerada])),
_xlfn._xlws.FILTER(IF(IF(IF(Tbl_TaxasDiarias[Tipo]=$F42, Tbl_TaxasDiarias[Indexador])=$G42, Tbl_TaxasDiarias[Duration])=$J42, Tbl_TaxasDiarias[Taxa Considerada]),
IF(IF(IF(Tbl_TaxasDiarias[Tipo]=$F42, Tbl_TaxasDiarias[Indexador])=$G42, Tbl_TaxasDiarias[Duration])=$J42, Tbl_TaxasDiarias[Taxa Considerada]))), "-")</f>
        <v>0.09</v>
      </c>
      <c r="I42" s="193" t="s">
        <v>34</v>
      </c>
      <c r="J42" s="506">
        <v>6</v>
      </c>
      <c r="K42" s="182" t="s">
        <v>715</v>
      </c>
      <c r="L42" s="246" t="s">
        <v>34</v>
      </c>
      <c r="M42" s="191" t="s">
        <v>34</v>
      </c>
      <c r="N42" s="191" t="s">
        <v>34</v>
      </c>
      <c r="O42" s="191" t="s">
        <v>663</v>
      </c>
      <c r="P42" s="205" t="s">
        <v>608</v>
      </c>
      <c r="Q42" s="146" t="s">
        <v>48</v>
      </c>
      <c r="R42" s="205">
        <f t="shared" ca="1" si="5"/>
        <v>2190</v>
      </c>
      <c r="S42" s="206" t="s">
        <v>34</v>
      </c>
      <c r="T42" s="148">
        <v>2E-3</v>
      </c>
      <c r="U42" s="207" t="s">
        <v>34</v>
      </c>
      <c r="V42" s="207" t="s">
        <v>1421</v>
      </c>
      <c r="W42" s="207" t="s">
        <v>34</v>
      </c>
      <c r="X42" s="208" t="s">
        <v>34</v>
      </c>
      <c r="Y42" s="208" t="s">
        <v>34</v>
      </c>
      <c r="Z42" s="208" t="s">
        <v>34</v>
      </c>
    </row>
    <row r="43" spans="1:26">
      <c r="E43" s="500" t="s">
        <v>1431</v>
      </c>
      <c r="F43" s="191" t="s">
        <v>1480</v>
      </c>
      <c r="G43" s="180" t="s">
        <v>1358</v>
      </c>
      <c r="H43" s="306">
        <f>MROUND((((1+H36)*(1+5%)-1)/0.85+1)/(1+5%)*(1+2.2%)-1,0.05%)</f>
        <v>0.10200000000000001</v>
      </c>
      <c r="I43" s="193" t="s">
        <v>34</v>
      </c>
      <c r="J43" s="506">
        <v>6</v>
      </c>
      <c r="K43" s="194" t="s">
        <v>715</v>
      </c>
      <c r="L43" s="246" t="s">
        <v>34</v>
      </c>
      <c r="M43" s="488" t="s">
        <v>1321</v>
      </c>
      <c r="N43" s="191" t="s">
        <v>34</v>
      </c>
      <c r="O43" s="191" t="s">
        <v>663</v>
      </c>
      <c r="P43" s="205" t="s">
        <v>608</v>
      </c>
      <c r="Q43" s="146" t="s">
        <v>48</v>
      </c>
      <c r="R43" s="205">
        <v>2</v>
      </c>
      <c r="S43" s="206">
        <v>7.4999999999999997E-3</v>
      </c>
      <c r="T43" s="307" t="s">
        <v>34</v>
      </c>
      <c r="U43" s="207">
        <v>100</v>
      </c>
      <c r="V43" s="207" t="s">
        <v>1421</v>
      </c>
      <c r="W43" s="207">
        <v>470000000</v>
      </c>
      <c r="X43" s="208">
        <v>44309</v>
      </c>
      <c r="Y43" s="208" t="s">
        <v>34</v>
      </c>
      <c r="Z43" s="208" t="s">
        <v>34</v>
      </c>
    </row>
    <row r="44" spans="1:26" ht="5.25" customHeight="1">
      <c r="E44" s="150"/>
      <c r="H44" s="183"/>
      <c r="I44" s="188"/>
    </row>
    <row r="45" spans="1:26" s="139" customFormat="1">
      <c r="A45" s="152"/>
      <c r="B45" s="167" t="s">
        <v>621</v>
      </c>
      <c r="C45" s="169" t="s">
        <v>866</v>
      </c>
      <c r="D45" s="167" t="str">
        <f>B45&amp;" "&amp;C45</f>
        <v>Inflação Longa</v>
      </c>
      <c r="E45" s="144" t="s">
        <v>1369</v>
      </c>
      <c r="F45" s="144"/>
      <c r="G45" s="144"/>
      <c r="H45" s="184"/>
      <c r="I45" s="189"/>
      <c r="J45" s="145"/>
      <c r="K45" s="144"/>
      <c r="L45" s="144"/>
      <c r="M45" s="144"/>
      <c r="N45" s="144"/>
      <c r="O45" s="144"/>
      <c r="P45" s="144"/>
      <c r="Q45" s="144"/>
      <c r="R45" s="144"/>
      <c r="S45" s="144"/>
      <c r="T45" s="144"/>
      <c r="U45" s="155"/>
      <c r="V45" s="155"/>
      <c r="W45" s="155"/>
      <c r="X45" s="179"/>
      <c r="Y45" s="179"/>
      <c r="Z45" s="179"/>
    </row>
    <row r="46" spans="1:26">
      <c r="E46" s="181" t="str">
        <f>IF(LEN(F46)&lt;=5,F46&amp;" "&amp;I46&amp;IF(F46="LFT"," - "&amp;"Liquidez Diária","")&amp;" ("&amp;IF(G46="PRE", "", G46)&amp;TEXT(H46,"0.00%")&amp;")",IF(LEFT(F46,3)="Cor","Títulos Corporativos - "&amp;J46&amp;IF(J46&lt;1," ano("," anos (")&amp;IF(G46="PRE", "", G46)&amp;TEXT(H46,"0.00%")&amp;")","Títulos Bancários - "&amp;IF(J46&lt;1,IF(J46=0, "Liquidez Diária (", J46*12&amp;" meses ("),IF(J46=1,"1 ano (",J46&amp;" anos ("))&amp;IF(IF(G46="PRE", "", G46)="%CDI",TEXT(H46,"0.0%")&amp;" CDI)",IF(G46="PRE", "", G46)&amp;TEXT(H46,"0.00%")&amp;")")))</f>
        <v>NTN-B 2032 (IPCA+6.15%)</v>
      </c>
      <c r="F46" s="191" t="s">
        <v>1360</v>
      </c>
      <c r="G46" s="180" t="s">
        <v>1358</v>
      </c>
      <c r="H46" s="503" cm="1">
        <f t="array" ref="H46">IFERROR(IF(LEN(F46)&lt;=6, _xlfn._xlws.FILTER(IF(IF(IF(Tbl_TaxasDiarias[Tipo]=$F46, Tbl_TaxasDiarias[Indexador])=$G46, Tbl_TaxasDiarias[Vencimento])=$I46, Tbl_TaxasDiarias[Taxa Considerada]),
IF(IF(IF(Tbl_TaxasDiarias[Tipo]=$F46, Tbl_TaxasDiarias[Indexador])=$G46, Tbl_TaxasDiarias[Vencimento])=$I46, Tbl_TaxasDiarias[Taxa Considerada])),
_xlfn._xlws.FILTER(IF(IF(IF(Tbl_TaxasDiarias[Tipo]=$F46, Tbl_TaxasDiarias[Indexador])=$G46, Tbl_TaxasDiarias[Duration])=$J46, Tbl_TaxasDiarias[Taxa Considerada]),
IF(IF(IF(Tbl_TaxasDiarias[Tipo]=$F46, Tbl_TaxasDiarias[Indexador])=$G46, Tbl_TaxasDiarias[Duration])=$J46, Tbl_TaxasDiarias[Taxa Considerada]))), "-")</f>
        <v>6.1499999999999999E-2</v>
      </c>
      <c r="I46" s="505">
        <v>2032</v>
      </c>
      <c r="J46" s="501" cm="1">
        <f t="array" ref="J46">IFERROR(_xlfn._xlws.FILTER(IF(IF(IF(Tbl_TaxasDiarias[Tipo]=$F46, Tbl_TaxasDiarias[Indexador])=$G46, Tbl_TaxasDiarias[Vencimento])=$I46, Tbl_TaxasDiarias[Duration]),
IF(IF(IF(Tbl_TaxasDiarias[Tipo]=$F46, Tbl_TaxasDiarias[Indexador])=$G46, Tbl_TaxasDiarias[Vencimento])=$I46, Tbl_TaxasDiarias[Duration])), "-")</f>
        <v>7.2837145386720596</v>
      </c>
      <c r="K46" s="182" t="s">
        <v>1339</v>
      </c>
      <c r="L46" s="196" t="s">
        <v>1414</v>
      </c>
      <c r="M46" s="191" t="s">
        <v>1321</v>
      </c>
      <c r="N46" s="196" t="s">
        <v>34</v>
      </c>
      <c r="O46" s="196" t="s">
        <v>1364</v>
      </c>
      <c r="P46" s="205" t="s">
        <v>608</v>
      </c>
      <c r="Q46" s="146" t="s">
        <v>48</v>
      </c>
      <c r="R46" s="205">
        <f ca="1">IF(OR(LEFT($E46, 3) = "NTN", LEFT($E46, 3) = "LFT"), DATE(I46, 8, 15) - TODAY(), FLOOR(J46*365,1))</f>
        <v>3412</v>
      </c>
      <c r="S46" s="206" t="s">
        <v>34</v>
      </c>
      <c r="T46" s="148" t="str">
        <f>IF(OR(LEFT($E46,3)="LFT",LEFT($E46,3)="NTN"), "-", IF(LEFT($J46,3)="Liq", 0.03%, 0.25%))</f>
        <v>-</v>
      </c>
      <c r="U46" s="207" t="s">
        <v>34</v>
      </c>
      <c r="V46" s="207" t="s">
        <v>1421</v>
      </c>
      <c r="W46" s="207" t="s">
        <v>34</v>
      </c>
      <c r="X46" s="988">
        <v>44566</v>
      </c>
      <c r="Y46" s="982">
        <v>48441</v>
      </c>
      <c r="Z46" s="982" t="s">
        <v>4748</v>
      </c>
    </row>
    <row r="47" spans="1:26">
      <c r="E47" s="181" t="str">
        <f>IF(LEN(F47)&lt;=5,F47&amp;" "&amp;I47&amp;IF(F47="LFT"," - "&amp;"Liquidez Diária","")&amp;" ("&amp;IF(G47="PRE", "", G47)&amp;TEXT(H47,"0.00%")&amp;")",IF(LEFT(F47,3)="Cor","Títulos Corporativos - "&amp;J47&amp;IF(J47&lt;1," ano("," anos (")&amp;IF(G47="PRE", "", G47)&amp;TEXT(H47,"0.00%")&amp;")","Títulos Bancários - "&amp;IF(J47&lt;1,IF(J47=0, "Liquidez Diária (", J47*12&amp;" meses ("),IF(J47=1,"1 ano (",J47&amp;" anos ("))&amp;IF(IF(G47="PRE", "", G47)="%CDI",TEXT(H47,"0.0%")&amp;" CDI)",IF(G47="PRE", "", G47)&amp;TEXT(H47,"0.00%")&amp;")")))</f>
        <v>NTN-B 2035 (IPCA+6.30%)</v>
      </c>
      <c r="F47" s="191" t="s">
        <v>1360</v>
      </c>
      <c r="G47" s="180" t="s">
        <v>1358</v>
      </c>
      <c r="H47" s="503" cm="1">
        <f t="array" ref="H47">IFERROR(IF(LEN(F47)&lt;=6, _xlfn._xlws.FILTER(IF(IF(IF(Tbl_TaxasDiarias[Tipo]=$F47, Tbl_TaxasDiarias[Indexador])=$G47, Tbl_TaxasDiarias[Vencimento])=$I47, Tbl_TaxasDiarias[Taxa Considerada]),
IF(IF(IF(Tbl_TaxasDiarias[Tipo]=$F47, Tbl_TaxasDiarias[Indexador])=$G47, Tbl_TaxasDiarias[Vencimento])=$I47, Tbl_TaxasDiarias[Taxa Considerada])),
_xlfn._xlws.FILTER(IF(IF(IF(Tbl_TaxasDiarias[Tipo]=$F47, Tbl_TaxasDiarias[Indexador])=$G47, Tbl_TaxasDiarias[Duration])=$J47, Tbl_TaxasDiarias[Taxa Considerada]),
IF(IF(IF(Tbl_TaxasDiarias[Tipo]=$F47, Tbl_TaxasDiarias[Indexador])=$G47, Tbl_TaxasDiarias[Duration])=$J47, Tbl_TaxasDiarias[Taxa Considerada]))), "-")</f>
        <v>6.3E-2</v>
      </c>
      <c r="I47" s="505">
        <v>2035</v>
      </c>
      <c r="J47" s="501" cm="1">
        <f t="array" ref="J47">IFERROR(_xlfn._xlws.FILTER(IF(IF(IF(Tbl_TaxasDiarias[Tipo]=$F47, Tbl_TaxasDiarias[Indexador])=$G47, Tbl_TaxasDiarias[Vencimento])=$I47, Tbl_TaxasDiarias[Duration]),
IF(IF(IF(Tbl_TaxasDiarias[Tipo]=$F47, Tbl_TaxasDiarias[Indexador])=$G47, Tbl_TaxasDiarias[Vencimento])=$I47, Tbl_TaxasDiarias[Duration])), "-")</f>
        <v>8.5861915998306308</v>
      </c>
      <c r="K47" s="182" t="s">
        <v>1339</v>
      </c>
      <c r="L47" s="196" t="s">
        <v>1414</v>
      </c>
      <c r="M47" s="191" t="s">
        <v>1321</v>
      </c>
      <c r="N47" s="196" t="s">
        <v>34</v>
      </c>
      <c r="O47" s="196" t="s">
        <v>1364</v>
      </c>
      <c r="P47" s="205" t="s">
        <v>608</v>
      </c>
      <c r="Q47" s="146" t="s">
        <v>48</v>
      </c>
      <c r="R47" s="205">
        <f ca="1">IF(OR(LEFT($E47, 3) = "NTN", LEFT($E47, 3) = "LFT"), DATE(I47, 8, 15) - TODAY(), FLOOR(J47*365,1))</f>
        <v>4507</v>
      </c>
      <c r="S47" s="206" t="s">
        <v>34</v>
      </c>
      <c r="T47" s="148" t="str">
        <f>IF(OR(LEFT($E47,3)="LFT",LEFT($E47,3)="NTN"), "-", IF(LEFT($J47,3)="Liq", 0.03%, 0.25%))</f>
        <v>-</v>
      </c>
      <c r="U47" s="207" t="s">
        <v>34</v>
      </c>
      <c r="V47" s="207" t="s">
        <v>1421</v>
      </c>
      <c r="W47" s="207" t="s">
        <v>34</v>
      </c>
      <c r="X47" s="988">
        <v>38791</v>
      </c>
      <c r="Y47" s="982">
        <v>49444</v>
      </c>
      <c r="Z47" s="982" t="s">
        <v>4749</v>
      </c>
    </row>
    <row r="48" spans="1:26">
      <c r="E48" s="181" t="str">
        <f t="shared" ref="E48:E51" si="6">IF(LEN(F48)&lt;=5,F48&amp;" "&amp;I48&amp;IF(F48="LFT"," - "&amp;"Liquidez Diária","")&amp;" ("&amp;IF(G48="PRE", "", G48)&amp;TEXT(H48,"0.00%")&amp;")",IF(LEFT(F48,3)="Cor","Títulos Corporativos - "&amp;J48&amp;IF(J48&lt;1," ano("," anos (")&amp;IF(G48="PRE", "", G48)&amp;TEXT(H48,"0.00%")&amp;")","Títulos Bancários - "&amp;IF(J48&lt;1,IF(J48=0, "Liquidez Diária (", J48*12&amp;" meses ("),IF(J48=1,"1 ano (",J48&amp;" anos ("))&amp;IF(IF(G48="PRE", "", G48)="%CDI",TEXT(H48,"0.0%")&amp;" CDI)",IF(G48="PRE", "", G48)&amp;TEXT(H48,"0.00%")&amp;")")))</f>
        <v>NTN-B 2040 (IPCA+6.35%)</v>
      </c>
      <c r="F48" s="191" t="s">
        <v>1360</v>
      </c>
      <c r="G48" s="180" t="s">
        <v>1358</v>
      </c>
      <c r="H48" s="503" cm="1">
        <f t="array" ref="H48">IFERROR(IF(LEN(F48)&lt;=6, _xlfn._xlws.FILTER(IF(IF(IF(Tbl_TaxasDiarias[Tipo]=$F48, Tbl_TaxasDiarias[Indexador])=$G48, Tbl_TaxasDiarias[Vencimento])=$I48, Tbl_TaxasDiarias[Taxa Considerada]),
IF(IF(IF(Tbl_TaxasDiarias[Tipo]=$F48, Tbl_TaxasDiarias[Indexador])=$G48, Tbl_TaxasDiarias[Vencimento])=$I48, Tbl_TaxasDiarias[Taxa Considerada])),
_xlfn._xlws.FILTER(IF(IF(IF(Tbl_TaxasDiarias[Tipo]=$F48, Tbl_TaxasDiarias[Indexador])=$G48, Tbl_TaxasDiarias[Duration])=$J48, Tbl_TaxasDiarias[Taxa Considerada]),
IF(IF(IF(Tbl_TaxasDiarias[Tipo]=$F48, Tbl_TaxasDiarias[Indexador])=$G48, Tbl_TaxasDiarias[Duration])=$J48, Tbl_TaxasDiarias[Taxa Considerada]))), "-")</f>
        <v>6.3500000000000001E-2</v>
      </c>
      <c r="I48" s="505">
        <v>2040</v>
      </c>
      <c r="J48" s="501" cm="1">
        <f t="array" ref="J48">IFERROR(_xlfn._xlws.FILTER(IF(IF(IF(Tbl_TaxasDiarias[Tipo]=$F48, Tbl_TaxasDiarias[Indexador])=$G48, Tbl_TaxasDiarias[Vencimento])=$I48, Tbl_TaxasDiarias[Duration]),
IF(IF(IF(Tbl_TaxasDiarias[Tipo]=$F48, Tbl_TaxasDiarias[Indexador])=$G48, Tbl_TaxasDiarias[Vencimento])=$I48, Tbl_TaxasDiarias[Duration])), "-")</f>
        <v>10.878552305606499</v>
      </c>
      <c r="K48" s="182" t="s">
        <v>1339</v>
      </c>
      <c r="L48" s="196" t="s">
        <v>1414</v>
      </c>
      <c r="M48" s="191" t="s">
        <v>1321</v>
      </c>
      <c r="N48" s="196" t="s">
        <v>34</v>
      </c>
      <c r="O48" s="196" t="s">
        <v>1364</v>
      </c>
      <c r="P48" s="205" t="s">
        <v>608</v>
      </c>
      <c r="Q48" s="146" t="s">
        <v>48</v>
      </c>
      <c r="R48" s="205">
        <f t="shared" ref="R48:R51" ca="1" si="7">IF(OR(LEFT($E48, 3) = "NTN", LEFT($E48, 3) = "LFT"), DATE(I48, 8, 15) - TODAY(), FLOOR(J48*365,1))</f>
        <v>6334</v>
      </c>
      <c r="S48" s="206" t="s">
        <v>34</v>
      </c>
      <c r="T48" s="148" t="str">
        <f t="shared" ref="T48:T52" si="8">IF(OR(LEFT($E48,3)="LFT",LEFT($E48,3)="NTN"), "-", IF(LEFT($J48,3)="Liq", 0.03%, 0.25%))</f>
        <v>-</v>
      </c>
      <c r="U48" s="207" t="s">
        <v>34</v>
      </c>
      <c r="V48" s="207" t="s">
        <v>1421</v>
      </c>
      <c r="W48" s="207" t="s">
        <v>34</v>
      </c>
      <c r="X48" s="988">
        <v>40219</v>
      </c>
      <c r="Y48" s="982">
        <v>51363</v>
      </c>
      <c r="Z48" s="982" t="s">
        <v>4750</v>
      </c>
    </row>
    <row r="49" spans="1:26">
      <c r="E49" s="181" t="str">
        <f t="shared" si="6"/>
        <v>NTN-B 2045 (IPCA+6.40%)</v>
      </c>
      <c r="F49" s="191" t="s">
        <v>1360</v>
      </c>
      <c r="G49" s="180" t="s">
        <v>1358</v>
      </c>
      <c r="H49" s="503" cm="1">
        <f t="array" ref="H49">IFERROR(IF(LEN(F49)&lt;=6, _xlfn._xlws.FILTER(IF(IF(IF(Tbl_TaxasDiarias[Tipo]=$F49, Tbl_TaxasDiarias[Indexador])=$G49, Tbl_TaxasDiarias[Vencimento])=$I49, Tbl_TaxasDiarias[Taxa Considerada]),
IF(IF(IF(Tbl_TaxasDiarias[Tipo]=$F49, Tbl_TaxasDiarias[Indexador])=$G49, Tbl_TaxasDiarias[Vencimento])=$I49, Tbl_TaxasDiarias[Taxa Considerada])),
_xlfn._xlws.FILTER(IF(IF(IF(Tbl_TaxasDiarias[Tipo]=$F49, Tbl_TaxasDiarias[Indexador])=$G49, Tbl_TaxasDiarias[Duration])=$J49, Tbl_TaxasDiarias[Taxa Considerada]),
IF(IF(IF(Tbl_TaxasDiarias[Tipo]=$F49, Tbl_TaxasDiarias[Indexador])=$G49, Tbl_TaxasDiarias[Duration])=$J49, Tbl_TaxasDiarias[Taxa Considerada]))), "-")</f>
        <v>6.4000000000000001E-2</v>
      </c>
      <c r="I49" s="505">
        <v>2045</v>
      </c>
      <c r="J49" s="501" cm="1">
        <f t="array" ref="J49">IFERROR(_xlfn._xlws.FILTER(IF(IF(IF(Tbl_TaxasDiarias[Tipo]=$F49, Tbl_TaxasDiarias[Indexador])=$G49, Tbl_TaxasDiarias[Vencimento])=$I49, Tbl_TaxasDiarias[Duration]),
IF(IF(IF(Tbl_TaxasDiarias[Tipo]=$F49, Tbl_TaxasDiarias[Indexador])=$G49, Tbl_TaxasDiarias[Vencimento])=$I49, Tbl_TaxasDiarias[Duration])), "-")</f>
        <v>12.0966636724464</v>
      </c>
      <c r="K49" s="182" t="s">
        <v>1339</v>
      </c>
      <c r="L49" s="196" t="s">
        <v>1414</v>
      </c>
      <c r="M49" s="191" t="s">
        <v>1321</v>
      </c>
      <c r="N49" s="196" t="s">
        <v>34</v>
      </c>
      <c r="O49" s="196" t="s">
        <v>1364</v>
      </c>
      <c r="P49" s="205" t="s">
        <v>608</v>
      </c>
      <c r="Q49" s="146" t="s">
        <v>48</v>
      </c>
      <c r="R49" s="205">
        <f t="shared" ca="1" si="7"/>
        <v>8160</v>
      </c>
      <c r="S49" s="206" t="s">
        <v>34</v>
      </c>
      <c r="T49" s="148" t="str">
        <f t="shared" si="8"/>
        <v>-</v>
      </c>
      <c r="U49" s="207" t="s">
        <v>34</v>
      </c>
      <c r="V49" s="207" t="s">
        <v>1421</v>
      </c>
      <c r="W49" s="207" t="s">
        <v>34</v>
      </c>
      <c r="X49" s="988">
        <v>38245</v>
      </c>
      <c r="Y49" s="982">
        <v>53097</v>
      </c>
      <c r="Z49" s="982" t="s">
        <v>4751</v>
      </c>
    </row>
    <row r="50" spans="1:26">
      <c r="E50" s="181" t="str">
        <f t="shared" si="6"/>
        <v>NTN-B 2050 (IPCA+6.40%)</v>
      </c>
      <c r="F50" s="191" t="s">
        <v>1360</v>
      </c>
      <c r="G50" s="180" t="s">
        <v>1358</v>
      </c>
      <c r="H50" s="503" cm="1">
        <f t="array" ref="H50">IFERROR(IF(LEN(F50)&lt;=6, _xlfn._xlws.FILTER(IF(IF(IF(Tbl_TaxasDiarias[Tipo]=$F50, Tbl_TaxasDiarias[Indexador])=$G50, Tbl_TaxasDiarias[Vencimento])=$I50, Tbl_TaxasDiarias[Taxa Considerada]),
IF(IF(IF(Tbl_TaxasDiarias[Tipo]=$F50, Tbl_TaxasDiarias[Indexador])=$G50, Tbl_TaxasDiarias[Vencimento])=$I50, Tbl_TaxasDiarias[Taxa Considerada])),
_xlfn._xlws.FILTER(IF(IF(IF(Tbl_TaxasDiarias[Tipo]=$F50, Tbl_TaxasDiarias[Indexador])=$G50, Tbl_TaxasDiarias[Duration])=$J50, Tbl_TaxasDiarias[Taxa Considerada]),
IF(IF(IF(Tbl_TaxasDiarias[Tipo]=$F50, Tbl_TaxasDiarias[Indexador])=$G50, Tbl_TaxasDiarias[Duration])=$J50, Tbl_TaxasDiarias[Taxa Considerada]))), "-")</f>
        <v>6.4000000000000001E-2</v>
      </c>
      <c r="I50" s="505">
        <v>2050</v>
      </c>
      <c r="J50" s="501" cm="1">
        <f t="array" ref="J50">IFERROR(_xlfn._xlws.FILTER(IF(IF(IF(Tbl_TaxasDiarias[Tipo]=$F50, Tbl_TaxasDiarias[Indexador])=$G50, Tbl_TaxasDiarias[Vencimento])=$I50, Tbl_TaxasDiarias[Duration]),
IF(IF(IF(Tbl_TaxasDiarias[Tipo]=$F50, Tbl_TaxasDiarias[Indexador])=$G50, Tbl_TaxasDiarias[Vencimento])=$I50, Tbl_TaxasDiarias[Duration])), "-")</f>
        <v>13.4211078876772</v>
      </c>
      <c r="K50" s="182" t="s">
        <v>1339</v>
      </c>
      <c r="L50" s="196" t="s">
        <v>1414</v>
      </c>
      <c r="M50" s="191" t="s">
        <v>1321</v>
      </c>
      <c r="N50" s="196" t="s">
        <v>34</v>
      </c>
      <c r="O50" s="196" t="s">
        <v>1364</v>
      </c>
      <c r="P50" s="205" t="s">
        <v>608</v>
      </c>
      <c r="Q50" s="146" t="s">
        <v>48</v>
      </c>
      <c r="R50" s="205">
        <f t="shared" ca="1" si="7"/>
        <v>9986</v>
      </c>
      <c r="S50" s="206" t="s">
        <v>34</v>
      </c>
      <c r="T50" s="148" t="str">
        <f t="shared" si="8"/>
        <v>-</v>
      </c>
      <c r="U50" s="207" t="s">
        <v>34</v>
      </c>
      <c r="V50" s="207" t="s">
        <v>1421</v>
      </c>
      <c r="W50" s="207" t="s">
        <v>34</v>
      </c>
      <c r="X50" s="988">
        <v>40219</v>
      </c>
      <c r="Y50" s="982">
        <v>55015</v>
      </c>
      <c r="Z50" s="982" t="s">
        <v>4752</v>
      </c>
    </row>
    <row r="51" spans="1:26">
      <c r="E51" s="181" t="str">
        <f t="shared" si="6"/>
        <v>NTN-B 2055 (IPCA+6.40%)</v>
      </c>
      <c r="F51" s="191" t="s">
        <v>1360</v>
      </c>
      <c r="G51" s="180" t="s">
        <v>1358</v>
      </c>
      <c r="H51" s="503" cm="1">
        <f t="array" ref="H51">IFERROR(IF(LEN(F51)&lt;=6, _xlfn._xlws.FILTER(IF(IF(IF(Tbl_TaxasDiarias[Tipo]=$F51, Tbl_TaxasDiarias[Indexador])=$G51, Tbl_TaxasDiarias[Vencimento])=$I51, Tbl_TaxasDiarias[Taxa Considerada]),
IF(IF(IF(Tbl_TaxasDiarias[Tipo]=$F51, Tbl_TaxasDiarias[Indexador])=$G51, Tbl_TaxasDiarias[Vencimento])=$I51, Tbl_TaxasDiarias[Taxa Considerada])),
_xlfn._xlws.FILTER(IF(IF(IF(Tbl_TaxasDiarias[Tipo]=$F51, Tbl_TaxasDiarias[Indexador])=$G51, Tbl_TaxasDiarias[Duration])=$J51, Tbl_TaxasDiarias[Taxa Considerada]),
IF(IF(IF(Tbl_TaxasDiarias[Tipo]=$F51, Tbl_TaxasDiarias[Indexador])=$G51, Tbl_TaxasDiarias[Duration])=$J51, Tbl_TaxasDiarias[Taxa Considerada]))), "-")</f>
        <v>6.4000000000000001E-2</v>
      </c>
      <c r="I51" s="505">
        <v>2055</v>
      </c>
      <c r="J51" s="501" cm="1">
        <f t="array" ref="J51">IFERROR(_xlfn._xlws.FILTER(IF(IF(IF(Tbl_TaxasDiarias[Tipo]=$F51, Tbl_TaxasDiarias[Indexador])=$G51, Tbl_TaxasDiarias[Vencimento])=$I51, Tbl_TaxasDiarias[Duration]),
IF(IF(IF(Tbl_TaxasDiarias[Tipo]=$F51, Tbl_TaxasDiarias[Indexador])=$G51, Tbl_TaxasDiarias[Vencimento])=$I51, Tbl_TaxasDiarias[Duration])), "-")</f>
        <v>13.9572629546344</v>
      </c>
      <c r="K51" s="182" t="s">
        <v>1339</v>
      </c>
      <c r="L51" s="196" t="s">
        <v>1414</v>
      </c>
      <c r="M51" s="191" t="s">
        <v>1321</v>
      </c>
      <c r="N51" s="196" t="s">
        <v>34</v>
      </c>
      <c r="O51" s="196" t="s">
        <v>1364</v>
      </c>
      <c r="P51" s="205" t="s">
        <v>608</v>
      </c>
      <c r="Q51" s="146" t="s">
        <v>48</v>
      </c>
      <c r="R51" s="205">
        <f t="shared" ca="1" si="7"/>
        <v>11812</v>
      </c>
      <c r="S51" s="206" t="s">
        <v>34</v>
      </c>
      <c r="T51" s="148" t="str">
        <f t="shared" si="8"/>
        <v>-</v>
      </c>
      <c r="U51" s="207" t="s">
        <v>34</v>
      </c>
      <c r="V51" s="207" t="s">
        <v>1421</v>
      </c>
      <c r="W51" s="207" t="s">
        <v>34</v>
      </c>
      <c r="X51" s="988">
        <v>42018</v>
      </c>
      <c r="Y51" s="982">
        <v>56749</v>
      </c>
      <c r="Z51" s="982" t="s">
        <v>4753</v>
      </c>
    </row>
    <row r="52" spans="1:26">
      <c r="E52" s="181" t="str">
        <f t="shared" ref="E52" si="9">IF(LEN(F52)&lt;=5,F52&amp;" "&amp;I52&amp;IF(F52="LFT"," - "&amp;"Liquidez Diária","")&amp;" ("&amp;IF(G52="PRE", "", G52)&amp;TEXT(H52,"0.00%")&amp;")",IF(LEFT(F52,3)="Cor","Títulos Corporativos - "&amp;J52&amp;IF(J52&lt;1," ano("," anos (")&amp;IF(G52="PRE", "", G52)&amp;TEXT(H52,"0.00%")&amp;")","Títulos Bancários - "&amp;IF(J52&lt;1,IF(J52=0, "Liquidez Diária (", J52*12&amp;" meses ("),IF(J52=1,"1 ano (",J52&amp;" anos ("))&amp;IF(IF(G52="PRE", "", G52)="%CDI",TEXT(H52,"0.0%")&amp;" CDI)",IF(G52="PRE", "", G52)&amp;TEXT(H52,"0.00%")&amp;")")))</f>
        <v>NTN-B 2060 (IPCA+6.35%)</v>
      </c>
      <c r="F52" s="191" t="s">
        <v>1360</v>
      </c>
      <c r="G52" s="180" t="s">
        <v>1358</v>
      </c>
      <c r="H52" s="503" cm="1">
        <f t="array" ref="H52">IFERROR(IF(LEN(F52)&lt;=6, _xlfn._xlws.FILTER(IF(IF(IF(Tbl_TaxasDiarias[Tipo]=$F52, Tbl_TaxasDiarias[Indexador])=$G52, Tbl_TaxasDiarias[Vencimento])=$I52, Tbl_TaxasDiarias[Taxa Considerada]),
IF(IF(IF(Tbl_TaxasDiarias[Tipo]=$F52, Tbl_TaxasDiarias[Indexador])=$G52, Tbl_TaxasDiarias[Vencimento])=$I52, Tbl_TaxasDiarias[Taxa Considerada])),
_xlfn._xlws.FILTER(IF(IF(IF(Tbl_TaxasDiarias[Tipo]=$F52, Tbl_TaxasDiarias[Indexador])=$G52, Tbl_TaxasDiarias[Duration])=$J52, Tbl_TaxasDiarias[Taxa Considerada]),
IF(IF(IF(Tbl_TaxasDiarias[Tipo]=$F52, Tbl_TaxasDiarias[Indexador])=$G52, Tbl_TaxasDiarias[Duration])=$J52, Tbl_TaxasDiarias[Taxa Considerada]))), "-")</f>
        <v>6.3500000000000001E-2</v>
      </c>
      <c r="I52" s="505">
        <v>2060</v>
      </c>
      <c r="J52" s="501" cm="1">
        <f t="array" ref="J52">IFERROR(_xlfn._xlws.FILTER(IF(IF(IF(Tbl_TaxasDiarias[Tipo]=$F52, Tbl_TaxasDiarias[Indexador])=$G52, Tbl_TaxasDiarias[Vencimento])=$I52, Tbl_TaxasDiarias[Duration]),
IF(IF(IF(Tbl_TaxasDiarias[Tipo]=$F52, Tbl_TaxasDiarias[Indexador])=$G52, Tbl_TaxasDiarias[Vencimento])=$I52, Tbl_TaxasDiarias[Duration])), "-")</f>
        <v>14.781340567718299</v>
      </c>
      <c r="K52" s="182" t="s">
        <v>1339</v>
      </c>
      <c r="L52" s="196" t="s">
        <v>1414</v>
      </c>
      <c r="M52" s="191" t="s">
        <v>1321</v>
      </c>
      <c r="N52" s="196" t="s">
        <v>34</v>
      </c>
      <c r="O52" s="196" t="s">
        <v>1364</v>
      </c>
      <c r="P52" s="205" t="s">
        <v>608</v>
      </c>
      <c r="Q52" s="146" t="s">
        <v>48</v>
      </c>
      <c r="R52" s="205">
        <f t="shared" ref="R52" ca="1" si="10">IF(OR(LEFT($E52, 3) = "NTN", LEFT($E52, 3) = "LFT"), DATE(I52, 8, 15) - TODAY(), FLOOR(J52*365,1))</f>
        <v>13639</v>
      </c>
      <c r="S52" s="206" t="s">
        <v>34</v>
      </c>
      <c r="T52" s="148" t="str">
        <f t="shared" si="8"/>
        <v>-</v>
      </c>
      <c r="U52" s="207" t="s">
        <v>34</v>
      </c>
      <c r="V52" s="207" t="s">
        <v>1421</v>
      </c>
      <c r="W52" s="207" t="s">
        <v>34</v>
      </c>
      <c r="X52" s="988">
        <v>44573</v>
      </c>
      <c r="Y52" s="982">
        <v>58668</v>
      </c>
      <c r="Z52" s="982" t="s">
        <v>4754</v>
      </c>
    </row>
    <row r="53" spans="1:26">
      <c r="E53" s="181" t="str">
        <f>IF(LEN(F53)&lt;=5,F53&amp;" "&amp;I53&amp;IF(F53="LFT"," - "&amp;"Liquidez Diária","")&amp;" ("&amp;IF(G53="PRE", "", G53)&amp;TEXT(H53,"0.00%")&amp;")",IF(LEFT(F53,3)="Cor","Títulos Corporativos - "&amp;J53&amp;IF(J53&lt;1," ano("," anos (")&amp;IF(G53="PRE", "", G53)&amp;TEXT(H53,"0.00%")&amp;")","Títulos Bancários - "&amp;IF(J53&lt;1,IF(J53=0, "Liquidez Diária (", J53*12&amp;" meses ("),IF(J53=1,"1 ano (",J53&amp;" anos ("))&amp;IF(IF(G53="PRE", "", G53)="%CDI",TEXT(H53,"0.0%")&amp;" CDI)",IF(G53="PRE", "", G53)&amp;TEXT(H53,"0.00%")&amp;")")))</f>
        <v>Títulos Corporativos - 8 anos (IPCA+9.10%)</v>
      </c>
      <c r="F53" s="191" t="s">
        <v>1480</v>
      </c>
      <c r="G53" s="180" t="s">
        <v>1358</v>
      </c>
      <c r="H53" s="503" cm="1">
        <f t="array" ref="H53">IFERROR(IF(LEN(F53)&lt;=6, _xlfn._xlws.FILTER(IF(IF(IF(Tbl_TaxasDiarias[Tipo]=$F53, Tbl_TaxasDiarias[Indexador])=$G53, Tbl_TaxasDiarias[Vencimento])=$I53, Tbl_TaxasDiarias[Taxa Considerada]),
IF(IF(IF(Tbl_TaxasDiarias[Tipo]=$F53, Tbl_TaxasDiarias[Indexador])=$G53, Tbl_TaxasDiarias[Vencimento])=$I53, Tbl_TaxasDiarias[Taxa Considerada])),
_xlfn._xlws.FILTER(IF(IF(IF(Tbl_TaxasDiarias[Tipo]=$F53, Tbl_TaxasDiarias[Indexador])=$G53, Tbl_TaxasDiarias[Duration])=$J53, Tbl_TaxasDiarias[Taxa Considerada]),
IF(IF(IF(Tbl_TaxasDiarias[Tipo]=$F53, Tbl_TaxasDiarias[Indexador])=$G53, Tbl_TaxasDiarias[Duration])=$J53, Tbl_TaxasDiarias[Taxa Considerada]))), "-")</f>
        <v>9.0999999999999998E-2</v>
      </c>
      <c r="I53" s="193" t="s">
        <v>34</v>
      </c>
      <c r="J53" s="506">
        <v>8</v>
      </c>
      <c r="K53" s="182" t="s">
        <v>1339</v>
      </c>
      <c r="L53" s="246" t="s">
        <v>34</v>
      </c>
      <c r="M53" s="191" t="s">
        <v>34</v>
      </c>
      <c r="N53" s="191" t="s">
        <v>34</v>
      </c>
      <c r="O53" s="191" t="s">
        <v>663</v>
      </c>
      <c r="P53" s="205" t="s">
        <v>608</v>
      </c>
      <c r="Q53" s="146" t="s">
        <v>48</v>
      </c>
      <c r="R53" s="205">
        <f ca="1">IF(OR(LEFT($E53, 3) = "NTN", LEFT($E53, 3) = "LFT"), DATE(I53, 8, 15) - TODAY(), FLOOR(J53*365,1))</f>
        <v>2920</v>
      </c>
      <c r="S53" s="206" t="s">
        <v>34</v>
      </c>
      <c r="T53" s="148">
        <v>2E-3</v>
      </c>
      <c r="U53" s="207" t="s">
        <v>34</v>
      </c>
      <c r="V53" s="207" t="s">
        <v>1421</v>
      </c>
      <c r="W53" s="207" t="s">
        <v>34</v>
      </c>
      <c r="X53" s="208" t="s">
        <v>34</v>
      </c>
      <c r="Y53" s="208" t="s">
        <v>34</v>
      </c>
      <c r="Z53" s="208" t="s">
        <v>34</v>
      </c>
    </row>
    <row r="54" spans="1:26">
      <c r="E54" s="181" t="str">
        <f>IF(LEN(F54)&lt;=5,F54&amp;" "&amp;I54&amp;IF(F54="LFT"," - "&amp;"Liquidez Diária","")&amp;" ("&amp;IF(G54="PRE", "", G54)&amp;TEXT(H54,"0.00%")&amp;")",IF(LEFT(F54,3)="Cor","Títulos Corporativos - "&amp;J54&amp;IF(J54&lt;1," ano("," anos (")&amp;IF(G54="PRE", "", G54)&amp;TEXT(H54,"0.00%")&amp;")","Títulos Bancários - "&amp;IF(J54&lt;1,IF(J54=0, "Liquidez Diária (", J54*12&amp;" meses ("),IF(J54=1,"1 ano (",J54&amp;" anos ("))&amp;IF(IF(G54="PRE", "", G54)="%CDI",TEXT(H54,"0.0%")&amp;" CDI)",IF(G54="PRE", "", G54)&amp;TEXT(H54,"0.00%")&amp;")")))</f>
        <v>Títulos Corporativos - 9 anos (IPCA+9.10%)</v>
      </c>
      <c r="F54" s="191" t="s">
        <v>1480</v>
      </c>
      <c r="G54" s="180" t="s">
        <v>1358</v>
      </c>
      <c r="H54" s="503" cm="1">
        <f t="array" ref="H54">IFERROR(IF(LEN(F54)&lt;=6, _xlfn._xlws.FILTER(IF(IF(IF(Tbl_TaxasDiarias[Tipo]=$F54, Tbl_TaxasDiarias[Indexador])=$G54, Tbl_TaxasDiarias[Vencimento])=$I54, Tbl_TaxasDiarias[Taxa Considerada]),
IF(IF(IF(Tbl_TaxasDiarias[Tipo]=$F54, Tbl_TaxasDiarias[Indexador])=$G54, Tbl_TaxasDiarias[Vencimento])=$I54, Tbl_TaxasDiarias[Taxa Considerada])),
_xlfn._xlws.FILTER(IF(IF(IF(Tbl_TaxasDiarias[Tipo]=$F54, Tbl_TaxasDiarias[Indexador])=$G54, Tbl_TaxasDiarias[Duration])=$J54, Tbl_TaxasDiarias[Taxa Considerada]),
IF(IF(IF(Tbl_TaxasDiarias[Tipo]=$F54, Tbl_TaxasDiarias[Indexador])=$G54, Tbl_TaxasDiarias[Duration])=$J54, Tbl_TaxasDiarias[Taxa Considerada]))), "-")</f>
        <v>9.0999999999999998E-2</v>
      </c>
      <c r="I54" s="193" t="s">
        <v>34</v>
      </c>
      <c r="J54" s="506">
        <v>9</v>
      </c>
      <c r="K54" s="182" t="s">
        <v>1339</v>
      </c>
      <c r="L54" s="246" t="s">
        <v>34</v>
      </c>
      <c r="M54" s="191" t="s">
        <v>34</v>
      </c>
      <c r="N54" s="191" t="s">
        <v>34</v>
      </c>
      <c r="O54" s="191" t="s">
        <v>663</v>
      </c>
      <c r="P54" s="205" t="s">
        <v>608</v>
      </c>
      <c r="Q54" s="146" t="s">
        <v>48</v>
      </c>
      <c r="R54" s="205">
        <f ca="1">IF(OR(LEFT($E54, 3) = "NTN", LEFT($E54, 3) = "LFT"), DATE(I54, 8, 15) - TODAY(), FLOOR(J54*365,1))</f>
        <v>3285</v>
      </c>
      <c r="S54" s="206" t="s">
        <v>34</v>
      </c>
      <c r="T54" s="148">
        <v>2E-3</v>
      </c>
      <c r="U54" s="207" t="s">
        <v>34</v>
      </c>
      <c r="V54" s="207" t="s">
        <v>1421</v>
      </c>
      <c r="W54" s="207" t="s">
        <v>34</v>
      </c>
      <c r="X54" s="208" t="s">
        <v>34</v>
      </c>
      <c r="Y54" s="208" t="s">
        <v>34</v>
      </c>
      <c r="Z54" s="208" t="s">
        <v>34</v>
      </c>
    </row>
    <row r="55" spans="1:26">
      <c r="E55" s="181" t="str">
        <f>IF(LEN(F55)&lt;=5,F55&amp;" "&amp;I55&amp;IF(F55="LFT"," - "&amp;"Liquidez Diária","")&amp;" ("&amp;IF(G55="PRE", "", G55)&amp;TEXT(H55,"0.00%")&amp;")",IF(LEFT(F55,3)="Cor","Títulos Corporativos - "&amp;J55&amp;IF(J55&lt;1," ano("," anos (")&amp;IF(G55="PRE", "", G55)&amp;TEXT(H55,"0.00%")&amp;")","Títulos Bancários - "&amp;IF(J55&lt;1,IF(J55=0, "Liquidez Diária (", J55*12&amp;" meses ("),IF(J55=1,"1 ano (",J55&amp;" anos ("))&amp;IF(IF(G55="PRE", "", G55)="%CDI",TEXT(H55,"0.0%")&amp;" CDI)",IF(G55="PRE", "", G55)&amp;TEXT(H55,"0.00%")&amp;")")))</f>
        <v>Títulos Corporativos - 10 anos (IPCA+9.00%)</v>
      </c>
      <c r="F55" s="191" t="s">
        <v>1480</v>
      </c>
      <c r="G55" s="180" t="s">
        <v>1358</v>
      </c>
      <c r="H55" s="503" cm="1">
        <f t="array" ref="H55">IFERROR(IF(LEN(F55)&lt;=6, _xlfn._xlws.FILTER(IF(IF(IF(Tbl_TaxasDiarias[Tipo]=$F55, Tbl_TaxasDiarias[Indexador])=$G55, Tbl_TaxasDiarias[Vencimento])=$I55, Tbl_TaxasDiarias[Taxa Considerada]),
IF(IF(IF(Tbl_TaxasDiarias[Tipo]=$F55, Tbl_TaxasDiarias[Indexador])=$G55, Tbl_TaxasDiarias[Vencimento])=$I55, Tbl_TaxasDiarias[Taxa Considerada])),
_xlfn._xlws.FILTER(IF(IF(IF(Tbl_TaxasDiarias[Tipo]=$F55, Tbl_TaxasDiarias[Indexador])=$G55, Tbl_TaxasDiarias[Duration])=$J55, Tbl_TaxasDiarias[Taxa Considerada]),
IF(IF(IF(Tbl_TaxasDiarias[Tipo]=$F55, Tbl_TaxasDiarias[Indexador])=$G55, Tbl_TaxasDiarias[Duration])=$J55, Tbl_TaxasDiarias[Taxa Considerada]))), "-")</f>
        <v>0.09</v>
      </c>
      <c r="I55" s="193" t="s">
        <v>34</v>
      </c>
      <c r="J55" s="506">
        <v>10</v>
      </c>
      <c r="K55" s="182" t="s">
        <v>1339</v>
      </c>
      <c r="L55" s="246" t="s">
        <v>34</v>
      </c>
      <c r="M55" s="191" t="s">
        <v>34</v>
      </c>
      <c r="N55" s="191" t="s">
        <v>34</v>
      </c>
      <c r="O55" s="191" t="s">
        <v>663</v>
      </c>
      <c r="P55" s="205" t="s">
        <v>608</v>
      </c>
      <c r="Q55" s="146" t="s">
        <v>48</v>
      </c>
      <c r="R55" s="205">
        <f ca="1">IF(OR(LEFT($E55, 3) = "NTN", LEFT($E55, 3) = "LFT"), DATE(I55, 8, 15) - TODAY(), FLOOR(J55*365,1))</f>
        <v>3650</v>
      </c>
      <c r="S55" s="206" t="s">
        <v>34</v>
      </c>
      <c r="T55" s="148">
        <v>2E-3</v>
      </c>
      <c r="U55" s="207" t="s">
        <v>34</v>
      </c>
      <c r="V55" s="207" t="s">
        <v>1421</v>
      </c>
      <c r="W55" s="207" t="s">
        <v>34</v>
      </c>
      <c r="X55" s="208" t="s">
        <v>34</v>
      </c>
      <c r="Y55" s="208" t="s">
        <v>34</v>
      </c>
      <c r="Z55" s="208" t="s">
        <v>34</v>
      </c>
    </row>
    <row r="56" spans="1:26" s="139" customFormat="1" ht="7.5" customHeight="1">
      <c r="B56" s="167"/>
      <c r="C56" s="167"/>
      <c r="D56" s="167"/>
      <c r="E56" s="138"/>
      <c r="H56" s="185"/>
      <c r="I56" s="140"/>
      <c r="J56" s="140"/>
    </row>
    <row r="57" spans="1:26" s="139" customFormat="1">
      <c r="A57" s="152"/>
      <c r="B57" s="177"/>
      <c r="C57" s="167"/>
      <c r="D57" s="167"/>
      <c r="E57" s="141" t="s">
        <v>661</v>
      </c>
      <c r="F57" s="141"/>
      <c r="G57" s="141"/>
      <c r="H57" s="186"/>
      <c r="I57" s="190"/>
      <c r="J57" s="142"/>
      <c r="K57" s="141"/>
      <c r="L57" s="141"/>
      <c r="M57" s="141"/>
      <c r="N57" s="141"/>
      <c r="O57" s="141"/>
      <c r="P57" s="141"/>
      <c r="Q57" s="141"/>
      <c r="R57" s="141"/>
      <c r="S57" s="141"/>
      <c r="T57" s="141"/>
      <c r="U57" s="154"/>
      <c r="V57" s="154"/>
      <c r="W57" s="154"/>
      <c r="X57" s="178"/>
      <c r="Y57" s="178"/>
      <c r="Z57" s="178"/>
    </row>
    <row r="58" spans="1:26" s="139" customFormat="1" ht="3" customHeight="1">
      <c r="B58" s="167"/>
      <c r="C58" s="167"/>
      <c r="D58" s="167"/>
      <c r="H58" s="187"/>
      <c r="I58" s="143"/>
      <c r="J58" s="143"/>
    </row>
    <row r="59" spans="1:26" s="139" customFormat="1">
      <c r="A59" s="152"/>
      <c r="B59" s="167" t="s">
        <v>661</v>
      </c>
      <c r="C59" s="167" t="s">
        <v>738</v>
      </c>
      <c r="D59" s="167" t="str">
        <f>B59&amp;" "&amp;C59</f>
        <v>Pré-fixado Curta</v>
      </c>
      <c r="E59" s="144" t="s">
        <v>1372</v>
      </c>
      <c r="F59" s="144"/>
      <c r="G59" s="144"/>
      <c r="H59" s="184"/>
      <c r="I59" s="189"/>
      <c r="J59" s="145"/>
      <c r="K59" s="144"/>
      <c r="L59" s="144"/>
      <c r="M59" s="144"/>
      <c r="N59" s="144"/>
      <c r="O59" s="144"/>
      <c r="P59" s="144"/>
      <c r="Q59" s="144"/>
      <c r="R59" s="144"/>
      <c r="S59" s="144"/>
      <c r="T59" s="144"/>
      <c r="U59" s="155"/>
      <c r="V59" s="155"/>
      <c r="W59" s="155"/>
      <c r="X59" s="179"/>
      <c r="Y59" s="179"/>
      <c r="Z59" s="179"/>
    </row>
    <row r="60" spans="1:26">
      <c r="E60" s="181" t="str">
        <f>IF(LEN(F60)&lt;=5,F60&amp;" "&amp;I60&amp;IF(F60="LFT"," - "&amp;J60,"")&amp;" ("&amp;IF(G60="PRE", "", G60)&amp;TEXT(H60,"0.00%")&amp;")",IF(LEFT(F60,3)="Cor","Títulos Corporativos - "&amp;J60&amp;IF(J60&lt;1," ano("," anos (")&amp;IF(G60="PRE", "", G60)&amp;TEXT(H60,"0.00%")&amp;")","Títulos Bancários - "&amp;IF(J60&lt;1,J60*12&amp;" meses (",IF(J60=1,"1 ano (",IF(ISNUMBER(J60)*1,J60&amp;" anos (","Liquidez Diária (")))&amp;IF(IF(G60="PRE", "", G60)="%CDI",TEXT(H60,"0.0%")&amp;" CDI)",IF(G60="PRE", "", G60)&amp;TEXT(H60,"0.00%")&amp;")")))</f>
        <v>NTN-F 2025 (12.15%)</v>
      </c>
      <c r="F60" s="191" t="s">
        <v>1361</v>
      </c>
      <c r="G60" s="502" t="s">
        <v>1442</v>
      </c>
      <c r="H60" s="503" cm="1">
        <f t="array" ref="H60">IFERROR(IF(LEN(F60)&lt;=6, _xlfn._xlws.FILTER(IF(IF(IF(Tbl_TaxasDiarias[Tipo]=$F60, Tbl_TaxasDiarias[Indexador])=$G60, Tbl_TaxasDiarias[Vencimento])=$I60, Tbl_TaxasDiarias[Taxa Considerada]),
IF(IF(IF(Tbl_TaxasDiarias[Tipo]=$F60, Tbl_TaxasDiarias[Indexador])=$G60, Tbl_TaxasDiarias[Vencimento])=$I60, Tbl_TaxasDiarias[Taxa Considerada])),
_xlfn._xlws.FILTER(IF(IF(IF(Tbl_TaxasDiarias[Tipo]=$F60, Tbl_TaxasDiarias[Indexador])=$G60, Tbl_TaxasDiarias[Duration])=$J60, Tbl_TaxasDiarias[Taxa Considerada]),
IF(IF(IF(Tbl_TaxasDiarias[Tipo]=$F60, Tbl_TaxasDiarias[Indexador])=$G60, Tbl_TaxasDiarias[Duration])=$J60, Tbl_TaxasDiarias[Taxa Considerada]))), "-")</f>
        <v>0.1215</v>
      </c>
      <c r="I60" s="505">
        <v>2025</v>
      </c>
      <c r="J60" s="501" cm="1">
        <f t="array" ref="J60">IFERROR(_xlfn._xlws.FILTER(IF(IF(IF(Tbl_TaxasDiarias[Tipo]=$F60, Tbl_TaxasDiarias[Indexador])=$G60, Tbl_TaxasDiarias[Vencimento])=$I60, Tbl_TaxasDiarias[Duration]),
IF(IF(IF(Tbl_TaxasDiarias[Tipo]=$F60, Tbl_TaxasDiarias[Indexador])=$G60, Tbl_TaxasDiarias[Vencimento])=$I60, Tbl_TaxasDiarias[Duration])), "-")</f>
        <v>1.6541294325363101</v>
      </c>
      <c r="K60" s="194" t="s">
        <v>1339</v>
      </c>
      <c r="L60" s="196" t="s">
        <v>1414</v>
      </c>
      <c r="M60" s="191" t="s">
        <v>1321</v>
      </c>
      <c r="N60" s="196" t="s">
        <v>34</v>
      </c>
      <c r="O60" s="196" t="s">
        <v>1364</v>
      </c>
      <c r="P60" s="205" t="s">
        <v>608</v>
      </c>
      <c r="Q60" s="146" t="s">
        <v>48</v>
      </c>
      <c r="R60" s="205">
        <f ca="1">IF(OR(LEFT($E60, 3) = "NTN", LEFT($E60, 3) = "LFT"), DATE(I60, 8, 15) - TODAY(), FLOOR(J60*365,1))</f>
        <v>855</v>
      </c>
      <c r="S60" s="206" t="s">
        <v>34</v>
      </c>
      <c r="T60" s="148" t="str">
        <f>IF(OR(LEFT($E60,3)="LFT",LEFT($E60,3)="NTN"), "-", IF(LEFT($J60,3)="Liq", 0.03%, 0.25%))</f>
        <v>-</v>
      </c>
      <c r="U60" s="207" t="s">
        <v>34</v>
      </c>
      <c r="V60" s="207" t="s">
        <v>1421</v>
      </c>
      <c r="W60" s="207" t="s">
        <v>34</v>
      </c>
      <c r="X60" s="988">
        <v>41649</v>
      </c>
      <c r="Y60" s="982">
        <v>45658</v>
      </c>
      <c r="Z60" s="982" t="s">
        <v>4755</v>
      </c>
    </row>
    <row r="61" spans="1:26">
      <c r="E61" s="181" t="str">
        <f>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LTN 202401 (13.45%)</v>
      </c>
      <c r="F61" s="191" t="s">
        <v>4727</v>
      </c>
      <c r="G61" s="502" t="s">
        <v>1442</v>
      </c>
      <c r="H61" s="503" cm="1">
        <f t="array" ref="H61">IFERROR(IF(LEN(F61)&lt;=6, _xlfn._xlws.FILTER(IF(IF(IF(Tbl_TaxasDiarias[Tipo]=$F61, Tbl_TaxasDiarias[Indexador])=$G61, Tbl_TaxasDiarias[Vencimento])=$I61, Tbl_TaxasDiarias[Taxa Considerada]),
IF(IF(IF(Tbl_TaxasDiarias[Tipo]=$F61, Tbl_TaxasDiarias[Indexador])=$G61, Tbl_TaxasDiarias[Vencimento])=$I61, Tbl_TaxasDiarias[Taxa Considerada])),
_xlfn._xlws.FILTER(IF(IF(IF(Tbl_TaxasDiarias[Tipo]=$F61, Tbl_TaxasDiarias[Indexador])=$G61, Tbl_TaxasDiarias[Duration])=$J61, Tbl_TaxasDiarias[Taxa Considerada]),
IF(IF(IF(Tbl_TaxasDiarias[Tipo]=$F61, Tbl_TaxasDiarias[Indexador])=$G61, Tbl_TaxasDiarias[Duration])=$J61, Tbl_TaxasDiarias[Taxa Considerada]))), "-")</f>
        <v>0.13450000000000001</v>
      </c>
      <c r="I61" s="505">
        <v>202401</v>
      </c>
      <c r="J61" s="501" cm="1">
        <f t="array" ref="J61">IFERROR(_xlfn._xlws.FILTER(IF(IF(IF(Tbl_TaxasDiarias[Tipo]=$F61, Tbl_TaxasDiarias[Indexador])=$G61, Tbl_TaxasDiarias[Vencimento])=$I61, Tbl_TaxasDiarias[Duration]),
IF(IF(IF(Tbl_TaxasDiarias[Tipo]=$F61, Tbl_TaxasDiarias[Indexador])=$G61, Tbl_TaxasDiarias[Vencimento])=$I61, Tbl_TaxasDiarias[Duration])), "-")</f>
        <v>3.16599925769702</v>
      </c>
      <c r="K61" s="194" t="s">
        <v>1339</v>
      </c>
      <c r="L61" s="196" t="s">
        <v>1414</v>
      </c>
      <c r="M61" s="191" t="s">
        <v>1321</v>
      </c>
      <c r="N61" s="196" t="s">
        <v>34</v>
      </c>
      <c r="O61" s="196" t="s">
        <v>1364</v>
      </c>
      <c r="P61" s="205" t="s">
        <v>608</v>
      </c>
      <c r="Q61" s="146" t="s">
        <v>48</v>
      </c>
      <c r="R61" s="205">
        <f ca="1">IF(OR(LEFT($E61, 3) = "NTN", LEFT($E61, 3) = "LFT"), DATE(I61, 8, 15) - TODAY(), FLOOR(J61*365,1))</f>
        <v>1155</v>
      </c>
      <c r="S61" s="206" t="s">
        <v>34</v>
      </c>
      <c r="T61" s="148">
        <f>IF(OR(LEFT($E61,3)="LFT",LEFT($E61,3)="NTN"), "-", IF(LEFT($J61,3)="Liq", 0.03%, 0.25%))</f>
        <v>2.5000000000000001E-3</v>
      </c>
      <c r="U61" s="207" t="s">
        <v>34</v>
      </c>
      <c r="V61" s="207" t="s">
        <v>1421</v>
      </c>
      <c r="W61" s="207" t="s">
        <v>34</v>
      </c>
      <c r="X61" s="988">
        <v>43833</v>
      </c>
      <c r="Y61" s="982">
        <v>45292</v>
      </c>
      <c r="Z61" s="982" t="s">
        <v>4756</v>
      </c>
    </row>
    <row r="62" spans="1:26">
      <c r="E62" s="181" t="str">
        <f t="shared" ref="E62:E65" si="11">IF(LEN(F62)&lt;=5,F62&amp;" "&amp;I62&amp;IF(F62="LFT"," - "&amp;J62,"")&amp;" ("&amp;IF(G62="PRE", "", G62)&amp;TEXT(H62,"0.00%")&amp;")",IF(LEFT(F62,3)="Cor","Títulos Corporativos - "&amp;J62&amp;IF(J62&lt;1," ano("," anos (")&amp;IF(G62="PRE", "", G62)&amp;TEXT(H62,"0.00%")&amp;")","Títulos Bancários - "&amp;IF(J62&lt;1,J62*12&amp;" meses (",IF(J62=1,"1 ano (",IF(ISNUMBER(J62)*1,J62&amp;" anos (","Liquidez Diária (")))&amp;IF(IF(G62="PRE", "", G62)="%CDI",TEXT(H62,"0.0%")&amp;" CDI)",IF(G62="PRE", "", G62)&amp;TEXT(H62,"0.00%")&amp;")")))</f>
        <v>LTN 202407 (13.10%)</v>
      </c>
      <c r="F62" s="191" t="s">
        <v>4727</v>
      </c>
      <c r="G62" s="502" t="s">
        <v>1442</v>
      </c>
      <c r="H62" s="503" cm="1">
        <f t="array" ref="H62">IFERROR(IF(LEN(F62)&lt;=6, _xlfn._xlws.FILTER(IF(IF(IF(Tbl_TaxasDiarias[Tipo]=$F62, Tbl_TaxasDiarias[Indexador])=$G62, Tbl_TaxasDiarias[Vencimento])=$I62, Tbl_TaxasDiarias[Taxa Considerada]),
IF(IF(IF(Tbl_TaxasDiarias[Tipo]=$F62, Tbl_TaxasDiarias[Indexador])=$G62, Tbl_TaxasDiarias[Vencimento])=$I62, Tbl_TaxasDiarias[Taxa Considerada])),
_xlfn._xlws.FILTER(IF(IF(IF(Tbl_TaxasDiarias[Tipo]=$F62, Tbl_TaxasDiarias[Indexador])=$G62, Tbl_TaxasDiarias[Duration])=$J62, Tbl_TaxasDiarias[Taxa Considerada]),
IF(IF(IF(Tbl_TaxasDiarias[Tipo]=$F62, Tbl_TaxasDiarias[Indexador])=$G62, Tbl_TaxasDiarias[Duration])=$J62, Tbl_TaxasDiarias[Taxa Considerada]))), "-")</f>
        <v>0.13100000000000001</v>
      </c>
      <c r="I62" s="505">
        <v>202407</v>
      </c>
      <c r="J62" s="501" cm="1">
        <f t="array" ref="J62">IFERROR(_xlfn._xlws.FILTER(IF(IF(IF(Tbl_TaxasDiarias[Tipo]=$F62, Tbl_TaxasDiarias[Indexador])=$G62, Tbl_TaxasDiarias[Vencimento])=$I62, Tbl_TaxasDiarias[Duration]),
IF(IF(IF(Tbl_TaxasDiarias[Tipo]=$F62, Tbl_TaxasDiarias[Indexador])=$G62, Tbl_TaxasDiarias[Vencimento])=$I62, Tbl_TaxasDiarias[Duration])), "-")</f>
        <v>4.3605636723984604</v>
      </c>
      <c r="K62" s="194" t="s">
        <v>1339</v>
      </c>
      <c r="L62" s="196" t="s">
        <v>1414</v>
      </c>
      <c r="M62" s="191" t="s">
        <v>1321</v>
      </c>
      <c r="N62" s="196" t="s">
        <v>34</v>
      </c>
      <c r="O62" s="196" t="s">
        <v>1364</v>
      </c>
      <c r="P62" s="205" t="s">
        <v>608</v>
      </c>
      <c r="Q62" s="146" t="s">
        <v>48</v>
      </c>
      <c r="R62" s="205">
        <f t="shared" ref="R62:R65" ca="1" si="12">IF(OR(LEFT($E62, 3) = "NTN", LEFT($E62, 3) = "LFT"), DATE(I62, 8, 15) - TODAY(), FLOOR(J62*365,1))</f>
        <v>1591</v>
      </c>
      <c r="S62" s="206" t="s">
        <v>34</v>
      </c>
      <c r="T62" s="148">
        <f t="shared" ref="T62:T65" si="13">IF(OR(LEFT($E62,3)="LFT",LEFT($E62,3)="NTN"), "-", IF(LEFT($J62,3)="Liq", 0.03%, 0.25%))</f>
        <v>2.5000000000000001E-3</v>
      </c>
      <c r="U62" s="207" t="s">
        <v>34</v>
      </c>
      <c r="V62" s="207" t="s">
        <v>1421</v>
      </c>
      <c r="W62" s="207" t="s">
        <v>34</v>
      </c>
      <c r="X62" s="988">
        <v>44204</v>
      </c>
      <c r="Y62" s="982">
        <v>45474</v>
      </c>
      <c r="Z62" s="982" t="s">
        <v>4757</v>
      </c>
    </row>
    <row r="63" spans="1:26">
      <c r="E63" s="181" t="str">
        <f t="shared" si="11"/>
        <v>LTN 202501 (12.75%)</v>
      </c>
      <c r="F63" s="191" t="s">
        <v>4727</v>
      </c>
      <c r="G63" s="502" t="s">
        <v>1442</v>
      </c>
      <c r="H63" s="503" cm="1">
        <f t="array" ref="H63">IFERROR(IF(LEN(F63)&lt;=6, _xlfn._xlws.FILTER(IF(IF(IF(Tbl_TaxasDiarias[Tipo]=$F63, Tbl_TaxasDiarias[Indexador])=$G63, Tbl_TaxasDiarias[Vencimento])=$I63, Tbl_TaxasDiarias[Taxa Considerada]),
IF(IF(IF(Tbl_TaxasDiarias[Tipo]=$F63, Tbl_TaxasDiarias[Indexador])=$G63, Tbl_TaxasDiarias[Vencimento])=$I63, Tbl_TaxasDiarias[Taxa Considerada])),
_xlfn._xlws.FILTER(IF(IF(IF(Tbl_TaxasDiarias[Tipo]=$F63, Tbl_TaxasDiarias[Indexador])=$G63, Tbl_TaxasDiarias[Duration])=$J63, Tbl_TaxasDiarias[Taxa Considerada]),
IF(IF(IF(Tbl_TaxasDiarias[Tipo]=$F63, Tbl_TaxasDiarias[Indexador])=$G63, Tbl_TaxasDiarias[Duration])=$J63, Tbl_TaxasDiarias[Taxa Considerada]))), "-")</f>
        <v>0.1275</v>
      </c>
      <c r="I63" s="505">
        <v>202501</v>
      </c>
      <c r="J63" s="501" cm="1">
        <f t="array" ref="J63">IFERROR(_xlfn._xlws.FILTER(IF(IF(IF(Tbl_TaxasDiarias[Tipo]=$F63, Tbl_TaxasDiarias[Indexador])=$G63, Tbl_TaxasDiarias[Vencimento])=$I63, Tbl_TaxasDiarias[Duration]),
IF(IF(IF(Tbl_TaxasDiarias[Tipo]=$F63, Tbl_TaxasDiarias[Indexador])=$G63, Tbl_TaxasDiarias[Vencimento])=$I63, Tbl_TaxasDiarias[Duration])), "-")</f>
        <v>5.3035551849677498</v>
      </c>
      <c r="K63" s="194" t="s">
        <v>1339</v>
      </c>
      <c r="L63" s="196" t="s">
        <v>1414</v>
      </c>
      <c r="M63" s="191" t="s">
        <v>1321</v>
      </c>
      <c r="N63" s="196" t="s">
        <v>34</v>
      </c>
      <c r="O63" s="196" t="s">
        <v>1364</v>
      </c>
      <c r="P63" s="205" t="s">
        <v>608</v>
      </c>
      <c r="Q63" s="146" t="s">
        <v>48</v>
      </c>
      <c r="R63" s="205">
        <f t="shared" ca="1" si="12"/>
        <v>1935</v>
      </c>
      <c r="S63" s="206" t="s">
        <v>34</v>
      </c>
      <c r="T63" s="148">
        <f t="shared" si="13"/>
        <v>2.5000000000000001E-3</v>
      </c>
      <c r="U63" s="207" t="s">
        <v>34</v>
      </c>
      <c r="V63" s="207" t="s">
        <v>1421</v>
      </c>
      <c r="W63" s="207" t="s">
        <v>34</v>
      </c>
      <c r="X63" s="988">
        <v>44379</v>
      </c>
      <c r="Y63" s="982">
        <v>45658</v>
      </c>
      <c r="Z63" s="982" t="s">
        <v>4758</v>
      </c>
    </row>
    <row r="64" spans="1:26">
      <c r="E64" s="181" t="str">
        <f t="shared" si="11"/>
        <v>LTN 202507 (12.75%)</v>
      </c>
      <c r="F64" s="191" t="s">
        <v>4727</v>
      </c>
      <c r="G64" s="502" t="s">
        <v>1442</v>
      </c>
      <c r="H64" s="503" cm="1">
        <f t="array" ref="H64">IFERROR(IF(LEN(F64)&lt;=6, _xlfn._xlws.FILTER(IF(IF(IF(Tbl_TaxasDiarias[Tipo]=$F64, Tbl_TaxasDiarias[Indexador])=$G64, Tbl_TaxasDiarias[Vencimento])=$I64, Tbl_TaxasDiarias[Taxa Considerada]),
IF(IF(IF(Tbl_TaxasDiarias[Tipo]=$F64, Tbl_TaxasDiarias[Indexador])=$G64, Tbl_TaxasDiarias[Vencimento])=$I64, Tbl_TaxasDiarias[Taxa Considerada])),
_xlfn._xlws.FILTER(IF(IF(IF(Tbl_TaxasDiarias[Tipo]=$F64, Tbl_TaxasDiarias[Indexador])=$G64, Tbl_TaxasDiarias[Duration])=$J64, Tbl_TaxasDiarias[Taxa Considerada]),
IF(IF(IF(Tbl_TaxasDiarias[Tipo]=$F64, Tbl_TaxasDiarias[Indexador])=$G64, Tbl_TaxasDiarias[Duration])=$J64, Tbl_TaxasDiarias[Taxa Considerada]))), "-")</f>
        <v>0.1275</v>
      </c>
      <c r="I64" s="505">
        <v>202507</v>
      </c>
      <c r="J64" s="501" cm="1">
        <f t="array" ref="J64">IFERROR(_xlfn._xlws.FILTER(IF(IF(IF(Tbl_TaxasDiarias[Tipo]=$F64, Tbl_TaxasDiarias[Indexador])=$G64, Tbl_TaxasDiarias[Vencimento])=$I64, Tbl_TaxasDiarias[Duration]),
IF(IF(IF(Tbl_TaxasDiarias[Tipo]=$F64, Tbl_TaxasDiarias[Indexador])=$G64, Tbl_TaxasDiarias[Vencimento])=$I64, Tbl_TaxasDiarias[Duration])), "-")</f>
        <v>5.3035551849677498</v>
      </c>
      <c r="K64" s="194" t="s">
        <v>1339</v>
      </c>
      <c r="L64" s="196" t="s">
        <v>1414</v>
      </c>
      <c r="M64" s="191" t="s">
        <v>1321</v>
      </c>
      <c r="N64" s="196" t="s">
        <v>34</v>
      </c>
      <c r="O64" s="196" t="s">
        <v>1364</v>
      </c>
      <c r="P64" s="205" t="s">
        <v>608</v>
      </c>
      <c r="Q64" s="146" t="s">
        <v>48</v>
      </c>
      <c r="R64" s="205">
        <f t="shared" ca="1" si="12"/>
        <v>1935</v>
      </c>
      <c r="S64" s="206" t="s">
        <v>34</v>
      </c>
      <c r="T64" s="148">
        <f t="shared" si="13"/>
        <v>2.5000000000000001E-3</v>
      </c>
      <c r="U64" s="207" t="s">
        <v>34</v>
      </c>
      <c r="V64" s="207" t="s">
        <v>1421</v>
      </c>
      <c r="W64" s="207" t="s">
        <v>34</v>
      </c>
      <c r="X64" s="988">
        <v>44568</v>
      </c>
      <c r="Y64" s="982">
        <v>45839</v>
      </c>
      <c r="Z64" s="982" t="s">
        <v>4759</v>
      </c>
    </row>
    <row r="65" spans="1:26">
      <c r="E65" s="181" t="str">
        <f t="shared" si="11"/>
        <v>LTN 202601 (12.85%)</v>
      </c>
      <c r="F65" s="191" t="s">
        <v>4727</v>
      </c>
      <c r="G65" s="502" t="s">
        <v>1442</v>
      </c>
      <c r="H65" s="503" cm="1">
        <f t="array" ref="H65">IFERROR(IF(LEN(F65)&lt;=6, _xlfn._xlws.FILTER(IF(IF(IF(Tbl_TaxasDiarias[Tipo]=$F65, Tbl_TaxasDiarias[Indexador])=$G65, Tbl_TaxasDiarias[Vencimento])=$I65, Tbl_TaxasDiarias[Taxa Considerada]),
IF(IF(IF(Tbl_TaxasDiarias[Tipo]=$F65, Tbl_TaxasDiarias[Indexador])=$G65, Tbl_TaxasDiarias[Vencimento])=$I65, Tbl_TaxasDiarias[Taxa Considerada])),
_xlfn._xlws.FILTER(IF(IF(IF(Tbl_TaxasDiarias[Tipo]=$F65, Tbl_TaxasDiarias[Indexador])=$G65, Tbl_TaxasDiarias[Duration])=$J65, Tbl_TaxasDiarias[Taxa Considerada]),
IF(IF(IF(Tbl_TaxasDiarias[Tipo]=$F65, Tbl_TaxasDiarias[Indexador])=$G65, Tbl_TaxasDiarias[Duration])=$J65, Tbl_TaxasDiarias[Taxa Considerada]))), "-")</f>
        <v>0.1285</v>
      </c>
      <c r="I65" s="505">
        <v>202601</v>
      </c>
      <c r="J65" s="501" cm="1">
        <f t="array" ref="J65">IFERROR(_xlfn._xlws.FILTER(IF(IF(IF(Tbl_TaxasDiarias[Tipo]=$F65, Tbl_TaxasDiarias[Indexador])=$G65, Tbl_TaxasDiarias[Vencimento])=$I65, Tbl_TaxasDiarias[Duration]),
IF(IF(IF(Tbl_TaxasDiarias[Tipo]=$F65, Tbl_TaxasDiarias[Indexador])=$G65, Tbl_TaxasDiarias[Vencimento])=$I65, Tbl_TaxasDiarias[Duration])), "-")</f>
        <v>6.0286679963552201</v>
      </c>
      <c r="K65" s="194" t="s">
        <v>1339</v>
      </c>
      <c r="L65" s="196" t="s">
        <v>1414</v>
      </c>
      <c r="M65" s="191" t="s">
        <v>1321</v>
      </c>
      <c r="N65" s="196" t="s">
        <v>34</v>
      </c>
      <c r="O65" s="196" t="s">
        <v>1364</v>
      </c>
      <c r="P65" s="205" t="s">
        <v>608</v>
      </c>
      <c r="Q65" s="146" t="s">
        <v>48</v>
      </c>
      <c r="R65" s="205">
        <f t="shared" ca="1" si="12"/>
        <v>2200</v>
      </c>
      <c r="S65" s="206" t="s">
        <v>34</v>
      </c>
      <c r="T65" s="148">
        <f t="shared" si="13"/>
        <v>2.5000000000000001E-3</v>
      </c>
      <c r="U65" s="207" t="s">
        <v>34</v>
      </c>
      <c r="V65" s="207" t="s">
        <v>1421</v>
      </c>
      <c r="W65" s="207" t="s">
        <v>34</v>
      </c>
      <c r="X65" s="988">
        <v>44750</v>
      </c>
      <c r="Y65" s="982">
        <v>46023</v>
      </c>
      <c r="Z65" s="982" t="s">
        <v>4760</v>
      </c>
    </row>
    <row r="66" spans="1:26">
      <c r="E66" s="181" t="str">
        <f>IF(LEN(F66)&lt;=5,F66&amp;" "&amp;I66&amp;IF(F66="LFT"," - "&amp;J66,"")&amp;" ("&amp;IF(G66="PRE", "", G66)&amp;TEXT(H66,"0.00%")&amp;")",IF(LEFT(F66,3)="Cor","Títulos Corporativos - "&amp;J66&amp;IF(J66&lt;1," ano("," anos (")&amp;IF(G66="PRE", "", G66)&amp;TEXT(H66,"0.00%")&amp;")","Títulos Bancários - "&amp;IF(J66&lt;1,J66*12&amp;" meses (",IF(J66=1,"1 ano (",IF(ISNUMBER(J66)*1,J66&amp;" anos (","Liquidez Diária (")))&amp;IF(IF(G66="PRE", "", G66)="%CDI",TEXT(H66,"0.0%")&amp;" CDI)",IF(G66="PRE", "", G66)&amp;TEXT(H66,"0.00%")&amp;")")))</f>
        <v>Títulos Bancários - 1 ano (14.60%)</v>
      </c>
      <c r="F66" s="191" t="s">
        <v>1441</v>
      </c>
      <c r="G66" s="502" t="s">
        <v>1442</v>
      </c>
      <c r="H66" s="503" cm="1">
        <f t="array" ref="H66">IFERROR(IF(LEN(F66)&lt;=6, _xlfn._xlws.FILTER(IF(IF(IF(Tbl_TaxasDiarias[Tipo]=$F66, Tbl_TaxasDiarias[Indexador])=$G66, Tbl_TaxasDiarias[Vencimento])=$I66, Tbl_TaxasDiarias[Taxa Considerada]),
IF(IF(IF(Tbl_TaxasDiarias[Tipo]=$F66, Tbl_TaxasDiarias[Indexador])=$G66, Tbl_TaxasDiarias[Vencimento])=$I66, Tbl_TaxasDiarias[Taxa Considerada])),
_xlfn._xlws.FILTER(IF(IF(IF(Tbl_TaxasDiarias[Tipo]=$F66, Tbl_TaxasDiarias[Indexador])=$G66, Tbl_TaxasDiarias[Duration])=$J66, Tbl_TaxasDiarias[Taxa Considerada]),
IF(IF(IF(Tbl_TaxasDiarias[Tipo]=$F66, Tbl_TaxasDiarias[Indexador])=$G66, Tbl_TaxasDiarias[Duration])=$J66, Tbl_TaxasDiarias[Taxa Considerada]))), "-")</f>
        <v>0.14599999999999999</v>
      </c>
      <c r="I66" s="192">
        <f ca="1">EDATE(TODAY(),J66*12)</f>
        <v>45395</v>
      </c>
      <c r="J66" s="506">
        <v>1</v>
      </c>
      <c r="K66" s="194" t="s">
        <v>1339</v>
      </c>
      <c r="L66" s="246" t="s">
        <v>34</v>
      </c>
      <c r="M66" s="191" t="s">
        <v>34</v>
      </c>
      <c r="N66" s="191" t="s">
        <v>34</v>
      </c>
      <c r="O66" s="191" t="s">
        <v>663</v>
      </c>
      <c r="P66" s="205" t="s">
        <v>608</v>
      </c>
      <c r="Q66" s="146" t="s">
        <v>48</v>
      </c>
      <c r="R66" s="205">
        <f ca="1">IF(OR(LEFT($E66, 3) = "NTN", LEFT($E66, 3) = "LFT"), DATE(I66, 8, 15) - TODAY(), FLOOR(J66*365,1))</f>
        <v>365</v>
      </c>
      <c r="S66" s="206" t="s">
        <v>34</v>
      </c>
      <c r="T66" s="148">
        <v>2E-3</v>
      </c>
      <c r="U66" s="207" t="s">
        <v>34</v>
      </c>
      <c r="V66" s="207" t="s">
        <v>1421</v>
      </c>
      <c r="W66" s="207" t="s">
        <v>34</v>
      </c>
      <c r="X66" s="208" t="s">
        <v>34</v>
      </c>
      <c r="Y66" s="208" t="s">
        <v>34</v>
      </c>
      <c r="Z66" s="208" t="s">
        <v>34</v>
      </c>
    </row>
    <row r="67" spans="1:26">
      <c r="E67" s="181" t="str">
        <f>IF(LEN(F67)&lt;=5,F67&amp;" "&amp;I67&amp;IF(F67="LFT"," - "&amp;J67,"")&amp;" ("&amp;IF(G67="PRE", "", G67)&amp;TEXT(H67,"0.00%")&amp;")",IF(LEFT(F67,3)="Cor","Títulos Corporativos - "&amp;J67&amp;IF(J67&lt;1," ano("," anos (")&amp;IF(G67="PRE", "", G67)&amp;TEXT(H67,"0.00%")&amp;")","Títulos Bancários - "&amp;IF(J67&lt;1,J67*12&amp;" meses (",IF(J67=1,"1 ano (",IF(ISNUMBER(J67)*1,J67&amp;" anos (","Liquidez Diária (")))&amp;IF(IF(G67="PRE", "", G67)="%CDI",TEXT(H67,"0.0%")&amp;" CDI)",IF(G67="PRE", "", G67)&amp;TEXT(H67,"0.00%")&amp;")")))</f>
        <v>Títulos Bancários - 2 anos (13.70%)</v>
      </c>
      <c r="F67" s="191" t="s">
        <v>1441</v>
      </c>
      <c r="G67" s="502" t="s">
        <v>1442</v>
      </c>
      <c r="H67" s="503" cm="1">
        <f t="array" ref="H67">IFERROR(IF(LEN(F67)&lt;=6, _xlfn._xlws.FILTER(IF(IF(IF(Tbl_TaxasDiarias[Tipo]=$F67, Tbl_TaxasDiarias[Indexador])=$G67, Tbl_TaxasDiarias[Vencimento])=$I67, Tbl_TaxasDiarias[Taxa Considerada]),
IF(IF(IF(Tbl_TaxasDiarias[Tipo]=$F67, Tbl_TaxasDiarias[Indexador])=$G67, Tbl_TaxasDiarias[Vencimento])=$I67, Tbl_TaxasDiarias[Taxa Considerada])),
_xlfn._xlws.FILTER(IF(IF(IF(Tbl_TaxasDiarias[Tipo]=$F67, Tbl_TaxasDiarias[Indexador])=$G67, Tbl_TaxasDiarias[Duration])=$J67, Tbl_TaxasDiarias[Taxa Considerada]),
IF(IF(IF(Tbl_TaxasDiarias[Tipo]=$F67, Tbl_TaxasDiarias[Indexador])=$G67, Tbl_TaxasDiarias[Duration])=$J67, Tbl_TaxasDiarias[Taxa Considerada]))), "-")</f>
        <v>0.13700000000000001</v>
      </c>
      <c r="I67" s="192">
        <f ca="1">EDATE(TODAY(),J67*12)</f>
        <v>45760</v>
      </c>
      <c r="J67" s="506">
        <v>2</v>
      </c>
      <c r="K67" s="194" t="s">
        <v>715</v>
      </c>
      <c r="L67" s="246" t="s">
        <v>34</v>
      </c>
      <c r="M67" s="191" t="s">
        <v>34</v>
      </c>
      <c r="N67" s="191" t="s">
        <v>34</v>
      </c>
      <c r="O67" s="191" t="s">
        <v>663</v>
      </c>
      <c r="P67" s="205" t="s">
        <v>608</v>
      </c>
      <c r="Q67" s="146" t="s">
        <v>48</v>
      </c>
      <c r="R67" s="205">
        <f ca="1">IF(OR(LEFT($E67, 3) = "NTN", LEFT($E67, 3) = "LFT"), DATE(I67, 8, 15) - TODAY(), FLOOR(J67*365,1))</f>
        <v>730</v>
      </c>
      <c r="S67" s="206" t="s">
        <v>34</v>
      </c>
      <c r="T67" s="148">
        <v>2E-3</v>
      </c>
      <c r="U67" s="207" t="s">
        <v>34</v>
      </c>
      <c r="V67" s="207" t="s">
        <v>1421</v>
      </c>
      <c r="W67" s="207" t="s">
        <v>34</v>
      </c>
      <c r="X67" s="208" t="s">
        <v>34</v>
      </c>
      <c r="Y67" s="208" t="s">
        <v>34</v>
      </c>
      <c r="Z67" s="208" t="s">
        <v>34</v>
      </c>
    </row>
    <row r="68" spans="1:26">
      <c r="E68" s="181" t="str">
        <f>IF(LEN(F68)&lt;=5,F68&amp;" "&amp;I68&amp;IF(F68="LFT"," - "&amp;J68,"")&amp;" ("&amp;IF(G68="PRE", "", G68)&amp;TEXT(H68,"0.00%")&amp;")",IF(LEFT(F68,3)="Cor","Títulos Corporativos - "&amp;J68&amp;IF(J68&lt;1," ano("," anos (")&amp;IF(G68="PRE", "", G68)&amp;TEXT(H68,"0.00%")&amp;")","Títulos Bancários - "&amp;IF(J68&lt;1,J68*12&amp;" meses (",IF(J68=1,"1 ano (",IF(ISNUMBER(J68)*1,J68&amp;" anos (","Liquidez Diária (")))&amp;IF(IF(G68="PRE", "", G68)="%CDI",TEXT(H68,"0.0%")&amp;" CDI)",IF(G68="PRE", "", G68)&amp;TEXT(H68,"0.00%")&amp;")")))</f>
        <v>Títulos Bancários - 3 anos (14.30%)</v>
      </c>
      <c r="F68" s="191" t="s">
        <v>1441</v>
      </c>
      <c r="G68" s="502" t="s">
        <v>1442</v>
      </c>
      <c r="H68" s="503" cm="1">
        <f t="array" ref="H68">IFERROR(IF(LEN(F68)&lt;=6, _xlfn._xlws.FILTER(IF(IF(IF(Tbl_TaxasDiarias[Tipo]=$F68, Tbl_TaxasDiarias[Indexador])=$G68, Tbl_TaxasDiarias[Vencimento])=$I68, Tbl_TaxasDiarias[Taxa Considerada]),
IF(IF(IF(Tbl_TaxasDiarias[Tipo]=$F68, Tbl_TaxasDiarias[Indexador])=$G68, Tbl_TaxasDiarias[Vencimento])=$I68, Tbl_TaxasDiarias[Taxa Considerada])),
_xlfn._xlws.FILTER(IF(IF(IF(Tbl_TaxasDiarias[Tipo]=$F68, Tbl_TaxasDiarias[Indexador])=$G68, Tbl_TaxasDiarias[Duration])=$J68, Tbl_TaxasDiarias[Taxa Considerada]),
IF(IF(IF(Tbl_TaxasDiarias[Tipo]=$F68, Tbl_TaxasDiarias[Indexador])=$G68, Tbl_TaxasDiarias[Duration])=$J68, Tbl_TaxasDiarias[Taxa Considerada]))), "-")</f>
        <v>0.14299999999999999</v>
      </c>
      <c r="I68" s="192">
        <f ca="1">EDATE(TODAY(),J68*12)</f>
        <v>46125</v>
      </c>
      <c r="J68" s="506">
        <v>3</v>
      </c>
      <c r="K68" s="194" t="s">
        <v>715</v>
      </c>
      <c r="L68" s="246" t="s">
        <v>34</v>
      </c>
      <c r="M68" s="191" t="s">
        <v>34</v>
      </c>
      <c r="N68" s="191" t="s">
        <v>34</v>
      </c>
      <c r="O68" s="191" t="s">
        <v>663</v>
      </c>
      <c r="P68" s="205" t="s">
        <v>608</v>
      </c>
      <c r="Q68" s="146" t="s">
        <v>48</v>
      </c>
      <c r="R68" s="205">
        <f ca="1">IF(OR(LEFT($E68, 3) = "NTN", LEFT($E68, 3) = "LFT"), DATE(I68, 8, 15) - TODAY(), FLOOR(J68*365,1))</f>
        <v>1095</v>
      </c>
      <c r="S68" s="206" t="s">
        <v>34</v>
      </c>
      <c r="T68" s="148">
        <v>2E-3</v>
      </c>
      <c r="U68" s="207" t="s">
        <v>34</v>
      </c>
      <c r="V68" s="207" t="s">
        <v>1421</v>
      </c>
      <c r="W68" s="207" t="s">
        <v>34</v>
      </c>
      <c r="X68" s="208" t="s">
        <v>34</v>
      </c>
      <c r="Y68" s="208" t="s">
        <v>34</v>
      </c>
      <c r="Z68" s="208" t="s">
        <v>34</v>
      </c>
    </row>
    <row r="69" spans="1:26" ht="5.25" customHeight="1">
      <c r="E69" s="150"/>
      <c r="H69" s="183"/>
      <c r="I69" s="188"/>
    </row>
    <row r="70" spans="1:26" s="139" customFormat="1">
      <c r="A70" s="152"/>
      <c r="B70" s="167" t="s">
        <v>661</v>
      </c>
      <c r="C70" s="169" t="s">
        <v>865</v>
      </c>
      <c r="D70" s="167" t="str">
        <f>B70&amp;" "&amp;C70</f>
        <v>Pré-fixado Média</v>
      </c>
      <c r="E70" s="144" t="s">
        <v>2746</v>
      </c>
      <c r="F70" s="144"/>
      <c r="G70" s="144"/>
      <c r="H70" s="184"/>
      <c r="I70" s="189"/>
      <c r="J70" s="145"/>
      <c r="K70" s="144"/>
      <c r="L70" s="144"/>
      <c r="M70" s="144"/>
      <c r="N70" s="144"/>
      <c r="O70" s="144"/>
      <c r="P70" s="144"/>
      <c r="Q70" s="144"/>
      <c r="R70" s="144"/>
      <c r="S70" s="144"/>
      <c r="T70" s="144"/>
      <c r="U70" s="155"/>
      <c r="V70" s="155"/>
      <c r="W70" s="155"/>
      <c r="X70" s="179"/>
      <c r="Y70" s="179"/>
      <c r="Z70" s="179"/>
    </row>
    <row r="71" spans="1:26">
      <c r="E71" s="181" t="str">
        <f t="shared" ref="E71:E76" si="14">IF(LEN(F71)&lt;=5,F71&amp;" "&amp;I71&amp;IF(F71="LFT"," - "&amp;J71,"")&amp;" ("&amp;IF(G71="PRE", "", G71)&amp;TEXT(H71,"0.00%")&amp;")",IF(LEFT(F71,3)="Cor","Títulos Corporativos - "&amp;J71&amp;IF(J71&lt;1," ano("," anos (")&amp;IF(G71="PRE", "", G71)&amp;TEXT(H71,"0.00%")&amp;")","Títulos Bancários - "&amp;IF(J71&lt;1,J71*12&amp;" meses (",IF(J71=1,"1 ano (",IF(ISNUMBER(J71)*1,J71&amp;" anos (","Liquidez Diária (")))&amp;IF(IF(G71="PRE", "", G71)="%CDI",TEXT(H71,"0.0%")&amp;" CDI)",IF(G71="PRE", "", G71)&amp;TEXT(H71,"0.00%")&amp;")")))</f>
        <v>NTN-F 2027 (12.50%)</v>
      </c>
      <c r="F71" s="191" t="s">
        <v>1361</v>
      </c>
      <c r="G71" s="502" t="s">
        <v>1442</v>
      </c>
      <c r="H71" s="503" cm="1">
        <f t="array" ref="H71">IFERROR(IF(LEN(F71)&lt;=6, _xlfn._xlws.FILTER(IF(IF(IF(Tbl_TaxasDiarias[Tipo]=$F71, Tbl_TaxasDiarias[Indexador])=$G71, Tbl_TaxasDiarias[Vencimento])=$I71, Tbl_TaxasDiarias[Taxa Considerada]),
IF(IF(IF(Tbl_TaxasDiarias[Tipo]=$F71, Tbl_TaxasDiarias[Indexador])=$G71, Tbl_TaxasDiarias[Vencimento])=$I71, Tbl_TaxasDiarias[Taxa Considerada])),
_xlfn._xlws.FILTER(IF(IF(IF(Tbl_TaxasDiarias[Tipo]=$F71, Tbl_TaxasDiarias[Indexador])=$G71, Tbl_TaxasDiarias[Duration])=$J71, Tbl_TaxasDiarias[Taxa Considerada]),
IF(IF(IF(Tbl_TaxasDiarias[Tipo]=$F71, Tbl_TaxasDiarias[Indexador])=$G71, Tbl_TaxasDiarias[Duration])=$J71, Tbl_TaxasDiarias[Taxa Considerada]))), "-")</f>
        <v>0.125</v>
      </c>
      <c r="I71" s="505">
        <v>2027</v>
      </c>
      <c r="J71" s="501" cm="1">
        <f t="array" ref="J71">IFERROR(_xlfn._xlws.FILTER(IF(IF(IF(Tbl_TaxasDiarias[Tipo]=$F71, Tbl_TaxasDiarias[Indexador])=$G71, Tbl_TaxasDiarias[Vencimento])=$I71, Tbl_TaxasDiarias[Duration]),
IF(IF(IF(Tbl_TaxasDiarias[Tipo]=$F71, Tbl_TaxasDiarias[Indexador])=$G71, Tbl_TaxasDiarias[Vencimento])=$I71, Tbl_TaxasDiarias[Duration])), "-")</f>
        <v>3.16599925769702</v>
      </c>
      <c r="K71" s="194" t="s">
        <v>1339</v>
      </c>
      <c r="L71" s="196" t="s">
        <v>1414</v>
      </c>
      <c r="M71" s="191" t="s">
        <v>1321</v>
      </c>
      <c r="N71" s="196" t="s">
        <v>34</v>
      </c>
      <c r="O71" s="196" t="s">
        <v>1364</v>
      </c>
      <c r="P71" s="205" t="s">
        <v>608</v>
      </c>
      <c r="Q71" s="146" t="s">
        <v>48</v>
      </c>
      <c r="R71" s="205">
        <f t="shared" ref="R71:R76" ca="1" si="15">IF(OR(LEFT($E71, 3) = "NTN", LEFT($E71, 3) = "LFT"), DATE(I71, 8, 15) - TODAY(), FLOOR(J71*365,1))</f>
        <v>1585</v>
      </c>
      <c r="S71" s="206" t="s">
        <v>34</v>
      </c>
      <c r="T71" s="148" t="str">
        <f>IF(OR(LEFT($E71,3)="LFT",LEFT($E71,3)="NTN"), "-", IF(LEFT($J71,3)="Liq", 0.03%, 0.25%))</f>
        <v>-</v>
      </c>
      <c r="U71" s="207" t="s">
        <v>34</v>
      </c>
      <c r="V71" s="207" t="s">
        <v>1421</v>
      </c>
      <c r="W71" s="207" t="s">
        <v>34</v>
      </c>
      <c r="X71" s="988">
        <v>42384</v>
      </c>
      <c r="Y71" s="982">
        <v>46388</v>
      </c>
      <c r="Z71" s="982" t="s">
        <v>4761</v>
      </c>
    </row>
    <row r="72" spans="1:26">
      <c r="E72" s="181" t="str">
        <f t="shared" si="14"/>
        <v>NTN-F 2029 (12.95%)</v>
      </c>
      <c r="F72" s="191" t="s">
        <v>1361</v>
      </c>
      <c r="G72" s="502" t="s">
        <v>1442</v>
      </c>
      <c r="H72" s="503" cm="1">
        <f t="array" ref="H72">IFERROR(IF(LEN(F72)&lt;=6, _xlfn._xlws.FILTER(IF(IF(IF(Tbl_TaxasDiarias[Tipo]=$F72, Tbl_TaxasDiarias[Indexador])=$G72, Tbl_TaxasDiarias[Vencimento])=$I72, Tbl_TaxasDiarias[Taxa Considerada]),
IF(IF(IF(Tbl_TaxasDiarias[Tipo]=$F72, Tbl_TaxasDiarias[Indexador])=$G72, Tbl_TaxasDiarias[Vencimento])=$I72, Tbl_TaxasDiarias[Taxa Considerada])),
_xlfn._xlws.FILTER(IF(IF(IF(Tbl_TaxasDiarias[Tipo]=$F72, Tbl_TaxasDiarias[Indexador])=$G72, Tbl_TaxasDiarias[Duration])=$J72, Tbl_TaxasDiarias[Taxa Considerada]),
IF(IF(IF(Tbl_TaxasDiarias[Tipo]=$F72, Tbl_TaxasDiarias[Indexador])=$G72, Tbl_TaxasDiarias[Duration])=$J72, Tbl_TaxasDiarias[Taxa Considerada]))), "-")</f>
        <v>0.1295</v>
      </c>
      <c r="I72" s="505">
        <v>2029</v>
      </c>
      <c r="J72" s="501" cm="1">
        <f t="array" ref="J72">IFERROR(_xlfn._xlws.FILTER(IF(IF(IF(Tbl_TaxasDiarias[Tipo]=$F72, Tbl_TaxasDiarias[Indexador])=$G72, Tbl_TaxasDiarias[Vencimento])=$I72, Tbl_TaxasDiarias[Duration]),
IF(IF(IF(Tbl_TaxasDiarias[Tipo]=$F72, Tbl_TaxasDiarias[Indexador])=$G72, Tbl_TaxasDiarias[Vencimento])=$I72, Tbl_TaxasDiarias[Duration])), "-")</f>
        <v>4.3605636723984604</v>
      </c>
      <c r="K72" s="194" t="s">
        <v>1339</v>
      </c>
      <c r="L72" s="196" t="s">
        <v>1414</v>
      </c>
      <c r="M72" s="191" t="s">
        <v>1321</v>
      </c>
      <c r="N72" s="196" t="s">
        <v>34</v>
      </c>
      <c r="O72" s="196" t="s">
        <v>1364</v>
      </c>
      <c r="P72" s="205" t="s">
        <v>608</v>
      </c>
      <c r="Q72" s="146" t="s">
        <v>48</v>
      </c>
      <c r="R72" s="205">
        <f t="shared" ca="1" si="15"/>
        <v>2316</v>
      </c>
      <c r="S72" s="206" t="s">
        <v>34</v>
      </c>
      <c r="T72" s="148" t="str">
        <f>IF(OR(LEFT($E72,3)="LFT",LEFT($E72,3)="NTN"), "-", IF(LEFT($J72,3)="Liq", 0.03%, 0.25%))</f>
        <v>-</v>
      </c>
      <c r="U72" s="207" t="s">
        <v>34</v>
      </c>
      <c r="V72" s="207" t="s">
        <v>1421</v>
      </c>
      <c r="W72" s="207" t="s">
        <v>34</v>
      </c>
      <c r="X72" s="988">
        <v>43104</v>
      </c>
      <c r="Y72" s="982">
        <v>47119</v>
      </c>
      <c r="Z72" s="982" t="s">
        <v>4762</v>
      </c>
    </row>
    <row r="73" spans="1:26">
      <c r="E73" s="181" t="str">
        <f t="shared" si="14"/>
        <v>NTN-F 2031 (13.00%)</v>
      </c>
      <c r="F73" s="191" t="s">
        <v>1361</v>
      </c>
      <c r="G73" s="502" t="s">
        <v>1442</v>
      </c>
      <c r="H73" s="503" cm="1">
        <f t="array" ref="H73">IFERROR(IF(LEN(F73)&lt;=6, _xlfn._xlws.FILTER(IF(IF(IF(Tbl_TaxasDiarias[Tipo]=$F73, Tbl_TaxasDiarias[Indexador])=$G73, Tbl_TaxasDiarias[Vencimento])=$I73, Tbl_TaxasDiarias[Taxa Considerada]),
IF(IF(IF(Tbl_TaxasDiarias[Tipo]=$F73, Tbl_TaxasDiarias[Indexador])=$G73, Tbl_TaxasDiarias[Vencimento])=$I73, Tbl_TaxasDiarias[Taxa Considerada])),
_xlfn._xlws.FILTER(IF(IF(IF(Tbl_TaxasDiarias[Tipo]=$F73, Tbl_TaxasDiarias[Indexador])=$G73, Tbl_TaxasDiarias[Duration])=$J73, Tbl_TaxasDiarias[Taxa Considerada]),
IF(IF(IF(Tbl_TaxasDiarias[Tipo]=$F73, Tbl_TaxasDiarias[Indexador])=$G73, Tbl_TaxasDiarias[Duration])=$J73, Tbl_TaxasDiarias[Taxa Considerada]))), "-")</f>
        <v>0.13</v>
      </c>
      <c r="I73" s="505">
        <v>2031</v>
      </c>
      <c r="J73" s="501" cm="1">
        <f t="array" ref="J73">IFERROR(_xlfn._xlws.FILTER(IF(IF(IF(Tbl_TaxasDiarias[Tipo]=$F73, Tbl_TaxasDiarias[Indexador])=$G73, Tbl_TaxasDiarias[Vencimento])=$I73, Tbl_TaxasDiarias[Duration]),
IF(IF(IF(Tbl_TaxasDiarias[Tipo]=$F73, Tbl_TaxasDiarias[Indexador])=$G73, Tbl_TaxasDiarias[Vencimento])=$I73, Tbl_TaxasDiarias[Duration])), "-")</f>
        <v>5.3035551849677498</v>
      </c>
      <c r="K73" s="194" t="s">
        <v>1339</v>
      </c>
      <c r="L73" s="196" t="s">
        <v>1414</v>
      </c>
      <c r="M73" s="191" t="s">
        <v>1321</v>
      </c>
      <c r="N73" s="196" t="s">
        <v>34</v>
      </c>
      <c r="O73" s="196" t="s">
        <v>1364</v>
      </c>
      <c r="P73" s="205" t="s">
        <v>608</v>
      </c>
      <c r="Q73" s="146" t="s">
        <v>48</v>
      </c>
      <c r="R73" s="205">
        <f t="shared" ca="1" si="15"/>
        <v>3046</v>
      </c>
      <c r="S73" s="206" t="s">
        <v>34</v>
      </c>
      <c r="T73" s="148" t="str">
        <f>IF(OR(LEFT($E73,3)="LFT",LEFT($E73,3)="NTN"), "-", IF(LEFT($J73,3)="Liq", 0.03%, 0.25%))</f>
        <v>-</v>
      </c>
      <c r="U73" s="207" t="s">
        <v>34</v>
      </c>
      <c r="V73" s="207" t="s">
        <v>1421</v>
      </c>
      <c r="W73" s="207" t="s">
        <v>34</v>
      </c>
      <c r="X73" s="988">
        <v>43840</v>
      </c>
      <c r="Y73" s="982">
        <v>47849</v>
      </c>
      <c r="Z73" s="982" t="s">
        <v>4763</v>
      </c>
    </row>
    <row r="74" spans="1:26">
      <c r="E74" s="181" t="str">
        <f t="shared" si="14"/>
        <v>NTN-F 2033 (13.10%)</v>
      </c>
      <c r="F74" s="191" t="s">
        <v>1361</v>
      </c>
      <c r="G74" s="502" t="s">
        <v>1442</v>
      </c>
      <c r="H74" s="503" cm="1">
        <f t="array" ref="H74">IFERROR(IF(LEN(F74)&lt;=6, _xlfn._xlws.FILTER(IF(IF(IF(Tbl_TaxasDiarias[Tipo]=$F74, Tbl_TaxasDiarias[Indexador])=$G74, Tbl_TaxasDiarias[Vencimento])=$I74, Tbl_TaxasDiarias[Taxa Considerada]),
IF(IF(IF(Tbl_TaxasDiarias[Tipo]=$F74, Tbl_TaxasDiarias[Indexador])=$G74, Tbl_TaxasDiarias[Vencimento])=$I74, Tbl_TaxasDiarias[Taxa Considerada])),
_xlfn._xlws.FILTER(IF(IF(IF(Tbl_TaxasDiarias[Tipo]=$F74, Tbl_TaxasDiarias[Indexador])=$G74, Tbl_TaxasDiarias[Duration])=$J74, Tbl_TaxasDiarias[Taxa Considerada]),
IF(IF(IF(Tbl_TaxasDiarias[Tipo]=$F74, Tbl_TaxasDiarias[Indexador])=$G74, Tbl_TaxasDiarias[Duration])=$J74, Tbl_TaxasDiarias[Taxa Considerada]))), "-")</f>
        <v>0.13100000000000001</v>
      </c>
      <c r="I74" s="505">
        <v>2033</v>
      </c>
      <c r="J74" s="501" cm="1">
        <f t="array" ref="J74">IFERROR(_xlfn._xlws.FILTER(IF(IF(IF(Tbl_TaxasDiarias[Tipo]=$F74, Tbl_TaxasDiarias[Indexador])=$G74, Tbl_TaxasDiarias[Vencimento])=$I74, Tbl_TaxasDiarias[Duration]),
IF(IF(IF(Tbl_TaxasDiarias[Tipo]=$F74, Tbl_TaxasDiarias[Indexador])=$G74, Tbl_TaxasDiarias[Vencimento])=$I74, Tbl_TaxasDiarias[Duration])), "-")</f>
        <v>6.0286679963552201</v>
      </c>
      <c r="K74" s="194" t="s">
        <v>1339</v>
      </c>
      <c r="L74" s="196" t="s">
        <v>1414</v>
      </c>
      <c r="M74" s="191" t="s">
        <v>1321</v>
      </c>
      <c r="N74" s="196" t="s">
        <v>34</v>
      </c>
      <c r="O74" s="196" t="s">
        <v>1364</v>
      </c>
      <c r="P74" s="205" t="s">
        <v>608</v>
      </c>
      <c r="Q74" s="146" t="s">
        <v>48</v>
      </c>
      <c r="R74" s="205">
        <f t="shared" ca="1" si="15"/>
        <v>3777</v>
      </c>
      <c r="S74" s="206" t="s">
        <v>34</v>
      </c>
      <c r="T74" s="148" t="str">
        <f>IF(OR(LEFT($E74,3)="LFT",LEFT($E74,3)="NTN"), "-", IF(LEFT($J74,3)="Liq", 0.03%, 0.25%))</f>
        <v>-</v>
      </c>
      <c r="U74" s="207" t="s">
        <v>34</v>
      </c>
      <c r="V74" s="207" t="s">
        <v>1421</v>
      </c>
      <c r="W74" s="207" t="s">
        <v>34</v>
      </c>
      <c r="X74" s="988">
        <v>44568</v>
      </c>
      <c r="Y74" s="982">
        <v>48580</v>
      </c>
      <c r="Z74" s="982" t="s">
        <v>4764</v>
      </c>
    </row>
    <row r="75" spans="1:26">
      <c r="E75" s="181" t="str">
        <f t="shared" si="14"/>
        <v>Títulos Bancários - 4 anos (14.65%)</v>
      </c>
      <c r="F75" s="191" t="s">
        <v>1441</v>
      </c>
      <c r="G75" s="502" t="s">
        <v>1442</v>
      </c>
      <c r="H75" s="503" cm="1">
        <f t="array" ref="H75">IFERROR(IF(LEN(F75)&lt;=6, _xlfn._xlws.FILTER(IF(IF(IF(Tbl_TaxasDiarias[Tipo]=$F75, Tbl_TaxasDiarias[Indexador])=$G75, Tbl_TaxasDiarias[Vencimento])=$I75, Tbl_TaxasDiarias[Taxa Considerada]),
IF(IF(IF(Tbl_TaxasDiarias[Tipo]=$F75, Tbl_TaxasDiarias[Indexador])=$G75, Tbl_TaxasDiarias[Vencimento])=$I75, Tbl_TaxasDiarias[Taxa Considerada])),
_xlfn._xlws.FILTER(IF(IF(IF(Tbl_TaxasDiarias[Tipo]=$F75, Tbl_TaxasDiarias[Indexador])=$G75, Tbl_TaxasDiarias[Duration])=$J75, Tbl_TaxasDiarias[Taxa Considerada]),
IF(IF(IF(Tbl_TaxasDiarias[Tipo]=$F75, Tbl_TaxasDiarias[Indexador])=$G75, Tbl_TaxasDiarias[Duration])=$J75, Tbl_TaxasDiarias[Taxa Considerada]))), "-")</f>
        <v>0.14649999999999999</v>
      </c>
      <c r="I75" s="192">
        <f ca="1">EDATE(TODAY(),J75*12)</f>
        <v>46490</v>
      </c>
      <c r="J75" s="506">
        <v>4</v>
      </c>
      <c r="K75" s="194" t="s">
        <v>1339</v>
      </c>
      <c r="L75" s="246" t="s">
        <v>1416</v>
      </c>
      <c r="M75" s="191" t="s">
        <v>34</v>
      </c>
      <c r="N75" s="191" t="s">
        <v>34</v>
      </c>
      <c r="O75" s="191" t="s">
        <v>663</v>
      </c>
      <c r="P75" s="205" t="s">
        <v>608</v>
      </c>
      <c r="Q75" s="146" t="s">
        <v>48</v>
      </c>
      <c r="R75" s="205">
        <f t="shared" ca="1" si="15"/>
        <v>1460</v>
      </c>
      <c r="S75" s="206" t="s">
        <v>34</v>
      </c>
      <c r="T75" s="148">
        <v>2E-3</v>
      </c>
      <c r="U75" s="207" t="s">
        <v>34</v>
      </c>
      <c r="V75" s="207" t="s">
        <v>1421</v>
      </c>
      <c r="W75" s="207" t="s">
        <v>34</v>
      </c>
      <c r="X75" s="208" t="s">
        <v>34</v>
      </c>
      <c r="Y75" s="208" t="s">
        <v>34</v>
      </c>
      <c r="Z75" s="208" t="s">
        <v>34</v>
      </c>
    </row>
    <row r="76" spans="1:26">
      <c r="E76" s="181" t="str">
        <f t="shared" si="14"/>
        <v>Títulos Bancários - 5 anos (14.40%)</v>
      </c>
      <c r="F76" s="191" t="s">
        <v>1441</v>
      </c>
      <c r="G76" s="502" t="s">
        <v>1442</v>
      </c>
      <c r="H76" s="503" cm="1">
        <f t="array" ref="H76">IFERROR(IF(LEN(F76)&lt;=6, _xlfn._xlws.FILTER(IF(IF(IF(Tbl_TaxasDiarias[Tipo]=$F76, Tbl_TaxasDiarias[Indexador])=$G76, Tbl_TaxasDiarias[Vencimento])=$I76, Tbl_TaxasDiarias[Taxa Considerada]),
IF(IF(IF(Tbl_TaxasDiarias[Tipo]=$F76, Tbl_TaxasDiarias[Indexador])=$G76, Tbl_TaxasDiarias[Vencimento])=$I76, Tbl_TaxasDiarias[Taxa Considerada])),
_xlfn._xlws.FILTER(IF(IF(IF(Tbl_TaxasDiarias[Tipo]=$F76, Tbl_TaxasDiarias[Indexador])=$G76, Tbl_TaxasDiarias[Duration])=$J76, Tbl_TaxasDiarias[Taxa Considerada]),
IF(IF(IF(Tbl_TaxasDiarias[Tipo]=$F76, Tbl_TaxasDiarias[Indexador])=$G76, Tbl_TaxasDiarias[Duration])=$J76, Tbl_TaxasDiarias[Taxa Considerada]))), "-")</f>
        <v>0.14399999999999999</v>
      </c>
      <c r="I76" s="192">
        <f ca="1">EDATE(TODAY(),J76*12)</f>
        <v>46856</v>
      </c>
      <c r="J76" s="506">
        <v>5</v>
      </c>
      <c r="K76" s="194" t="s">
        <v>1339</v>
      </c>
      <c r="L76" s="191" t="s">
        <v>1416</v>
      </c>
      <c r="M76" s="191" t="s">
        <v>34</v>
      </c>
      <c r="N76" s="191" t="s">
        <v>34</v>
      </c>
      <c r="O76" s="191" t="s">
        <v>663</v>
      </c>
      <c r="P76" s="205" t="s">
        <v>608</v>
      </c>
      <c r="Q76" s="146" t="s">
        <v>48</v>
      </c>
      <c r="R76" s="205">
        <f t="shared" ca="1" si="15"/>
        <v>1825</v>
      </c>
      <c r="S76" s="206" t="s">
        <v>34</v>
      </c>
      <c r="T76" s="148">
        <v>2E-3</v>
      </c>
      <c r="U76" s="207" t="s">
        <v>34</v>
      </c>
      <c r="V76" s="207" t="s">
        <v>1421</v>
      </c>
      <c r="W76" s="207" t="s">
        <v>34</v>
      </c>
      <c r="X76" s="208" t="s">
        <v>34</v>
      </c>
      <c r="Y76" s="208" t="s">
        <v>34</v>
      </c>
      <c r="Z76" s="208" t="s">
        <v>34</v>
      </c>
    </row>
    <row r="77" spans="1:26" ht="5.25" customHeight="1">
      <c r="E77" s="150"/>
    </row>
    <row r="78" spans="1:26" s="139" customFormat="1">
      <c r="A78" s="152"/>
      <c r="B78" s="167" t="s">
        <v>661</v>
      </c>
      <c r="C78" s="169" t="s">
        <v>866</v>
      </c>
      <c r="D78" s="167" t="str">
        <f>B78&amp;" "&amp;C78</f>
        <v>Pré-fixado Longa</v>
      </c>
      <c r="E78" s="144" t="s">
        <v>1370</v>
      </c>
      <c r="F78" s="144"/>
      <c r="G78" s="144"/>
      <c r="H78" s="144"/>
      <c r="I78" s="145"/>
      <c r="J78" s="145"/>
      <c r="K78" s="144"/>
      <c r="L78" s="144"/>
      <c r="M78" s="144"/>
      <c r="N78" s="144"/>
      <c r="O78" s="144"/>
      <c r="P78" s="144"/>
      <c r="Q78" s="144"/>
      <c r="R78" s="144"/>
      <c r="S78" s="144"/>
      <c r="T78" s="144"/>
      <c r="U78" s="155"/>
      <c r="V78" s="155"/>
      <c r="W78" s="155"/>
      <c r="X78" s="179"/>
      <c r="Y78" s="179"/>
      <c r="Z78" s="179"/>
    </row>
    <row r="79" spans="1:26">
      <c r="E79" s="181" t="str">
        <f>IF(LEN(F79)&lt;=5,F79&amp;" "&amp;I79&amp;IF(F79="LFT"," - "&amp;J79,"")&amp;" ("&amp;IF(G79="PRE", "", G79)&amp;TEXT(H79,"0.00%")&amp;")",IF(LEFT(F79,3)="Cor","Títulos Corporativos - "&amp;J79&amp;IF(J79&lt;1," ano("," anos (")&amp;IF(G79="PRE", "", G79)&amp;TEXT(H79,"0.00%")&amp;")","Títulos Bancários - "&amp;IF(J79&lt;1,J79*12&amp;" meses (",IF(J79=1,"1 ano (",IF(ISNUMBER(J79)*1,J79&amp;" anos (","Liquidez Diária (")))&amp;IF(IF(G79="PRE", "", G79)="%CDI",TEXT(H79,"0.0%")&amp;" CDI)",IF(G79="PRE", "", G79)&amp;TEXT(H79,"0.00%")&amp;")")))</f>
        <v>Títulos Bancários - 6 anos (14.60%)</v>
      </c>
      <c r="F79" s="191" t="s">
        <v>1441</v>
      </c>
      <c r="G79" s="502" t="s">
        <v>1442</v>
      </c>
      <c r="H79" s="503" cm="1">
        <f t="array" ref="H79">IFERROR(IF(LEN(F79)&lt;=6, _xlfn._xlws.FILTER(IF(IF(IF(Tbl_TaxasDiarias[Tipo]=$F79, Tbl_TaxasDiarias[Indexador])=$G79, Tbl_TaxasDiarias[Vencimento])=$I79, Tbl_TaxasDiarias[Taxa Considerada]),
IF(IF(IF(Tbl_TaxasDiarias[Tipo]=$F79, Tbl_TaxasDiarias[Indexador])=$G79, Tbl_TaxasDiarias[Vencimento])=$I79, Tbl_TaxasDiarias[Taxa Considerada])),
_xlfn._xlws.FILTER(IF(IF(IF(Tbl_TaxasDiarias[Tipo]=$F79, Tbl_TaxasDiarias[Indexador])=$G79, Tbl_TaxasDiarias[Duration])=$J79, Tbl_TaxasDiarias[Taxa Considerada]),
IF(IF(IF(Tbl_TaxasDiarias[Tipo]=$F79, Tbl_TaxasDiarias[Indexador])=$G79, Tbl_TaxasDiarias[Duration])=$J79, Tbl_TaxasDiarias[Taxa Considerada]))), "-")</f>
        <v>0.14599999999999999</v>
      </c>
      <c r="I79" s="192">
        <f ca="1">EDATE(TODAY(),J79*12)</f>
        <v>47221</v>
      </c>
      <c r="J79" s="506">
        <v>6</v>
      </c>
      <c r="K79" s="194" t="s">
        <v>1339</v>
      </c>
      <c r="L79" s="191" t="s">
        <v>1416</v>
      </c>
      <c r="M79" s="191" t="s">
        <v>34</v>
      </c>
      <c r="N79" s="191" t="s">
        <v>34</v>
      </c>
      <c r="O79" s="191" t="s">
        <v>663</v>
      </c>
      <c r="P79" s="205" t="s">
        <v>608</v>
      </c>
      <c r="Q79" s="146" t="s">
        <v>48</v>
      </c>
      <c r="R79" s="205">
        <f ca="1">IF(OR(LEFT($E79, 3) = "NTN", LEFT($E79, 3) = "LFT"), DATE(I79, 8, 15) - TODAY(), FLOOR(J79*365,1))</f>
        <v>2190</v>
      </c>
      <c r="S79" s="206" t="s">
        <v>34</v>
      </c>
      <c r="T79" s="148">
        <v>2E-3</v>
      </c>
      <c r="U79" s="207" t="s">
        <v>34</v>
      </c>
      <c r="V79" s="207" t="s">
        <v>1421</v>
      </c>
      <c r="W79" s="207" t="s">
        <v>34</v>
      </c>
      <c r="X79" s="208" t="s">
        <v>34</v>
      </c>
      <c r="Y79" s="208" t="s">
        <v>34</v>
      </c>
      <c r="Z79" s="208" t="s">
        <v>34</v>
      </c>
    </row>
    <row r="80" spans="1:26" s="139" customFormat="1" ht="11.25" customHeight="1">
      <c r="B80" s="167"/>
      <c r="C80" s="167"/>
      <c r="D80" s="167"/>
      <c r="I80" s="140"/>
      <c r="J80" s="140"/>
    </row>
    <row r="81" spans="1:26" s="139" customFormat="1">
      <c r="A81" s="989"/>
      <c r="B81" s="990" t="s">
        <v>4235</v>
      </c>
      <c r="C81" s="436" t="s">
        <v>34</v>
      </c>
      <c r="D81" s="990" t="str">
        <f>B81&amp;" "&amp;C81</f>
        <v>RF Internacional -</v>
      </c>
      <c r="E81" s="441" t="s">
        <v>628</v>
      </c>
      <c r="F81" s="141"/>
      <c r="G81" s="141"/>
      <c r="H81" s="141"/>
      <c r="I81" s="142"/>
      <c r="J81" s="142"/>
      <c r="K81" s="141"/>
      <c r="L81" s="141"/>
      <c r="M81" s="141"/>
      <c r="N81" s="141"/>
      <c r="O81" s="141"/>
      <c r="P81" s="141"/>
      <c r="Q81" s="141"/>
      <c r="R81" s="141"/>
      <c r="S81" s="141"/>
      <c r="T81" s="141"/>
      <c r="U81" s="154"/>
      <c r="V81" s="154"/>
      <c r="W81" s="154"/>
      <c r="X81" s="178"/>
      <c r="Y81" s="178"/>
      <c r="Z81" s="178"/>
    </row>
    <row r="82" spans="1:26" s="991" customFormat="1">
      <c r="B82" s="169"/>
      <c r="C82" s="169"/>
      <c r="D82" s="169"/>
      <c r="E82" s="992" t="s">
        <v>4768</v>
      </c>
      <c r="F82" s="993" t="s">
        <v>4769</v>
      </c>
      <c r="G82" s="993" t="s">
        <v>34</v>
      </c>
      <c r="H82" s="994" t="s">
        <v>34</v>
      </c>
      <c r="I82" s="995" t="s">
        <v>34</v>
      </c>
      <c r="J82" s="996" t="s">
        <v>34</v>
      </c>
      <c r="K82" s="994" t="s">
        <v>1339</v>
      </c>
      <c r="L82" s="993" t="s">
        <v>34</v>
      </c>
      <c r="M82" s="993" t="s">
        <v>1321</v>
      </c>
      <c r="N82" s="993" t="s">
        <v>34</v>
      </c>
      <c r="O82" s="993" t="s">
        <v>663</v>
      </c>
      <c r="P82" s="993" t="s">
        <v>611</v>
      </c>
      <c r="Q82" s="993" t="s">
        <v>49</v>
      </c>
      <c r="R82" s="993">
        <f ca="1">NETWORKDAYS(TODAY(),Y82)-5</f>
        <v>20011</v>
      </c>
      <c r="S82" s="994" t="s">
        <v>34</v>
      </c>
      <c r="T82" s="994">
        <f>IF(OR(LEFT($E82,3)="LFT",LEFT($E82,3)="NTN"), "-", IF(LEFT($J82,3)="Liq", 0.03%, 0.2%))</f>
        <v>2E-3</v>
      </c>
      <c r="U82" s="997" t="s">
        <v>34</v>
      </c>
      <c r="V82" s="997" t="s">
        <v>1421</v>
      </c>
      <c r="W82" s="997" t="s">
        <v>34</v>
      </c>
      <c r="X82" s="988">
        <v>35649</v>
      </c>
      <c r="Y82" s="988">
        <v>73050</v>
      </c>
      <c r="Z82" s="988" t="s">
        <v>4770</v>
      </c>
    </row>
    <row r="83" spans="1:26" s="139" customFormat="1" ht="11.25" customHeight="1">
      <c r="B83" s="167"/>
      <c r="C83" s="167"/>
      <c r="D83" s="167"/>
      <c r="I83" s="140"/>
      <c r="J83" s="140"/>
    </row>
    <row r="84" spans="1:26" s="139" customFormat="1">
      <c r="A84" s="152"/>
      <c r="B84" s="177"/>
      <c r="C84" s="167"/>
      <c r="D84" s="167"/>
      <c r="E84" s="141" t="s">
        <v>4394</v>
      </c>
      <c r="F84" s="141"/>
      <c r="G84" s="141"/>
      <c r="H84" s="186"/>
      <c r="I84" s="190"/>
      <c r="J84" s="142"/>
      <c r="K84" s="141"/>
      <c r="L84" s="141"/>
      <c r="M84" s="141"/>
      <c r="N84" s="141"/>
      <c r="O84" s="141"/>
      <c r="P84" s="141"/>
      <c r="Q84" s="141"/>
      <c r="R84" s="141"/>
      <c r="S84" s="141"/>
      <c r="T84" s="141"/>
      <c r="U84" s="154"/>
      <c r="V84" s="154"/>
      <c r="W84" s="154"/>
      <c r="X84" s="178"/>
      <c r="Y84" s="178"/>
      <c r="Z84" s="178"/>
    </row>
    <row r="85" spans="1:26" s="139" customFormat="1" ht="3" customHeight="1">
      <c r="B85" s="167"/>
      <c r="C85" s="167"/>
      <c r="D85" s="167"/>
      <c r="H85" s="187"/>
      <c r="I85" s="143"/>
      <c r="J85" s="143"/>
    </row>
    <row r="86" spans="1:26" s="139" customFormat="1">
      <c r="A86" s="152"/>
      <c r="B86" s="167" t="s">
        <v>616</v>
      </c>
      <c r="C86" s="167" t="s">
        <v>619</v>
      </c>
      <c r="D86" s="167" t="s">
        <v>4395</v>
      </c>
      <c r="E86" s="144" t="s">
        <v>619</v>
      </c>
      <c r="F86" s="144"/>
      <c r="G86" s="144"/>
      <c r="H86" s="184"/>
      <c r="I86" s="189"/>
      <c r="J86" s="145"/>
      <c r="K86" s="144"/>
      <c r="L86" s="144"/>
      <c r="M86" s="144"/>
      <c r="N86" s="144"/>
      <c r="O86" s="144"/>
      <c r="P86" s="144"/>
      <c r="Q86" s="144"/>
      <c r="R86" s="144"/>
      <c r="S86" s="144"/>
      <c r="T86" s="144"/>
      <c r="U86" s="155"/>
      <c r="V86" s="155"/>
      <c r="W86" s="155"/>
      <c r="X86" s="179"/>
      <c r="Y86" s="179"/>
      <c r="Z86" s="179"/>
    </row>
    <row r="87" spans="1:26">
      <c r="E87" s="725" t="s">
        <v>4396</v>
      </c>
      <c r="F87" s="205" t="s">
        <v>1399</v>
      </c>
      <c r="G87" s="241" t="s">
        <v>34</v>
      </c>
      <c r="H87" s="242" t="s">
        <v>34</v>
      </c>
      <c r="I87" s="243" t="s">
        <v>34</v>
      </c>
      <c r="J87" s="244" t="s">
        <v>34</v>
      </c>
      <c r="K87" s="305" t="s">
        <v>1339</v>
      </c>
      <c r="L87" s="488" t="s">
        <v>34</v>
      </c>
      <c r="M87" s="488" t="s">
        <v>1321</v>
      </c>
      <c r="N87" s="205" t="s">
        <v>34</v>
      </c>
      <c r="O87" s="205" t="s">
        <v>672</v>
      </c>
      <c r="P87" s="205" t="s">
        <v>611</v>
      </c>
      <c r="Q87" s="146" t="s">
        <v>49</v>
      </c>
      <c r="R87" s="205">
        <v>2</v>
      </c>
      <c r="S87" s="206">
        <v>4.0000000000000001E-3</v>
      </c>
      <c r="T87" s="148">
        <v>2.5000000000000001E-3</v>
      </c>
      <c r="U87" s="207" t="s">
        <v>34</v>
      </c>
      <c r="V87" s="207" t="s">
        <v>1421</v>
      </c>
      <c r="W87" s="207">
        <v>529980000</v>
      </c>
      <c r="X87" s="208">
        <v>43332</v>
      </c>
      <c r="Y87" s="208" t="s">
        <v>34</v>
      </c>
      <c r="Z87" s="208" t="s">
        <v>34</v>
      </c>
    </row>
    <row r="88" spans="1:26">
      <c r="E88" s="981" t="s">
        <v>4765</v>
      </c>
      <c r="F88" s="205" t="s">
        <v>1399</v>
      </c>
      <c r="G88" s="241" t="s">
        <v>34</v>
      </c>
      <c r="H88" s="242" t="s">
        <v>34</v>
      </c>
      <c r="I88" s="243" t="s">
        <v>34</v>
      </c>
      <c r="J88" s="244" t="s">
        <v>34</v>
      </c>
      <c r="K88" s="305" t="s">
        <v>1339</v>
      </c>
      <c r="L88" s="488" t="s">
        <v>34</v>
      </c>
      <c r="M88" s="488" t="s">
        <v>1321</v>
      </c>
      <c r="N88" s="205" t="s">
        <v>34</v>
      </c>
      <c r="O88" s="205" t="s">
        <v>672</v>
      </c>
      <c r="P88" s="205" t="s">
        <v>611</v>
      </c>
      <c r="Q88" s="146" t="s">
        <v>49</v>
      </c>
      <c r="R88" s="205">
        <v>2</v>
      </c>
      <c r="S88" s="206">
        <v>4.0000000000000001E-3</v>
      </c>
      <c r="T88" s="148">
        <v>2.5000000000000001E-3</v>
      </c>
      <c r="U88" s="207" t="s">
        <v>34</v>
      </c>
      <c r="V88" s="207" t="s">
        <v>1421</v>
      </c>
      <c r="W88" s="207">
        <v>1280000000</v>
      </c>
      <c r="X88" s="208">
        <v>44249</v>
      </c>
      <c r="Y88" s="208" t="s">
        <v>34</v>
      </c>
      <c r="Z88" s="208" t="s">
        <v>34</v>
      </c>
    </row>
    <row r="89" spans="1:26">
      <c r="E89" s="981" t="s">
        <v>4766</v>
      </c>
      <c r="F89" s="205" t="s">
        <v>1399</v>
      </c>
      <c r="G89" s="241" t="s">
        <v>34</v>
      </c>
      <c r="H89" s="242" t="s">
        <v>34</v>
      </c>
      <c r="I89" s="243" t="s">
        <v>34</v>
      </c>
      <c r="J89" s="244" t="s">
        <v>34</v>
      </c>
      <c r="K89" s="305" t="s">
        <v>1339</v>
      </c>
      <c r="L89" s="488" t="s">
        <v>34</v>
      </c>
      <c r="M89" s="488" t="s">
        <v>1321</v>
      </c>
      <c r="N89" s="205" t="s">
        <v>34</v>
      </c>
      <c r="O89" s="205" t="s">
        <v>672</v>
      </c>
      <c r="P89" s="205" t="s">
        <v>611</v>
      </c>
      <c r="Q89" s="146" t="s">
        <v>49</v>
      </c>
      <c r="R89" s="205">
        <v>2</v>
      </c>
      <c r="S89" s="206">
        <v>4.0000000000000001E-3</v>
      </c>
      <c r="T89" s="148">
        <v>2.5000000000000001E-3</v>
      </c>
      <c r="U89" s="207" t="s">
        <v>34</v>
      </c>
      <c r="V89" s="207" t="s">
        <v>1421</v>
      </c>
      <c r="W89" s="207">
        <v>216140000</v>
      </c>
      <c r="X89" s="208">
        <v>44413</v>
      </c>
      <c r="Y89" s="208" t="s">
        <v>34</v>
      </c>
      <c r="Z89" s="208" t="s">
        <v>34</v>
      </c>
    </row>
    <row r="90" spans="1:26">
      <c r="E90" s="981" t="s">
        <v>4767</v>
      </c>
      <c r="F90" s="205" t="s">
        <v>1399</v>
      </c>
      <c r="G90" s="241" t="s">
        <v>34</v>
      </c>
      <c r="H90" s="242" t="s">
        <v>34</v>
      </c>
      <c r="I90" s="243" t="s">
        <v>34</v>
      </c>
      <c r="J90" s="244" t="s">
        <v>34</v>
      </c>
      <c r="K90" s="305" t="s">
        <v>1339</v>
      </c>
      <c r="L90" s="488" t="s">
        <v>34</v>
      </c>
      <c r="M90" s="488" t="s">
        <v>1321</v>
      </c>
      <c r="N90" s="205" t="s">
        <v>34</v>
      </c>
      <c r="O90" s="205" t="s">
        <v>672</v>
      </c>
      <c r="P90" s="205" t="s">
        <v>611</v>
      </c>
      <c r="Q90" s="146" t="s">
        <v>49</v>
      </c>
      <c r="R90" s="205">
        <v>2</v>
      </c>
      <c r="S90" s="206">
        <v>4.0000000000000001E-3</v>
      </c>
      <c r="T90" s="148">
        <v>2.5000000000000001E-3</v>
      </c>
      <c r="U90" s="207" t="s">
        <v>34</v>
      </c>
      <c r="V90" s="207" t="s">
        <v>1421</v>
      </c>
      <c r="W90" s="207">
        <v>104400000</v>
      </c>
      <c r="X90" s="208">
        <v>44420</v>
      </c>
      <c r="Y90" s="208" t="s">
        <v>34</v>
      </c>
      <c r="Z90" s="208" t="s">
        <v>34</v>
      </c>
    </row>
    <row r="91" spans="1:26">
      <c r="E91" s="725" t="s">
        <v>4287</v>
      </c>
      <c r="F91" s="726" t="s">
        <v>4288</v>
      </c>
      <c r="G91" s="241" t="s">
        <v>34</v>
      </c>
      <c r="H91" s="242" t="s">
        <v>34</v>
      </c>
      <c r="I91" s="243" t="s">
        <v>34</v>
      </c>
      <c r="J91" s="244" t="s">
        <v>34</v>
      </c>
      <c r="K91" s="727" t="s">
        <v>715</v>
      </c>
      <c r="L91" s="726" t="s">
        <v>1416</v>
      </c>
      <c r="M91" s="488" t="s">
        <v>1321</v>
      </c>
      <c r="N91" s="205" t="s">
        <v>34</v>
      </c>
      <c r="O91" s="205" t="s">
        <v>672</v>
      </c>
      <c r="P91" s="205" t="s">
        <v>608</v>
      </c>
      <c r="Q91" s="146" t="s">
        <v>48</v>
      </c>
      <c r="R91" s="205">
        <f>252*2</f>
        <v>504</v>
      </c>
      <c r="S91" s="727" t="s">
        <v>34</v>
      </c>
      <c r="T91" s="148">
        <v>0.01</v>
      </c>
      <c r="U91" s="207" t="s">
        <v>34</v>
      </c>
      <c r="V91" s="207" t="s">
        <v>1421</v>
      </c>
      <c r="W91" s="983" t="s">
        <v>34</v>
      </c>
      <c r="X91" s="982" t="s">
        <v>34</v>
      </c>
      <c r="Y91" s="208" t="s">
        <v>34</v>
      </c>
      <c r="Z91" s="208" t="s">
        <v>34</v>
      </c>
    </row>
    <row r="92" spans="1:26" ht="5.25" customHeight="1">
      <c r="E92" s="150"/>
      <c r="H92" s="183"/>
      <c r="I92" s="188"/>
    </row>
    <row r="93" spans="1:26" s="139" customFormat="1" ht="11.25" customHeight="1">
      <c r="B93" s="167"/>
      <c r="C93" s="167"/>
      <c r="D93" s="167"/>
      <c r="I93" s="140"/>
      <c r="J93" s="140"/>
    </row>
    <row r="94" spans="1:26" s="139" customFormat="1">
      <c r="A94" s="152"/>
      <c r="B94" s="177"/>
      <c r="C94" s="167"/>
      <c r="D94" s="167"/>
      <c r="E94" s="141" t="s">
        <v>14</v>
      </c>
      <c r="F94" s="141"/>
      <c r="G94" s="141"/>
      <c r="H94" s="186"/>
      <c r="I94" s="190"/>
      <c r="J94" s="142"/>
      <c r="K94" s="141"/>
      <c r="L94" s="141"/>
      <c r="M94" s="141"/>
      <c r="N94" s="141"/>
      <c r="O94" s="141"/>
      <c r="P94" s="141"/>
      <c r="Q94" s="141"/>
      <c r="R94" s="141"/>
      <c r="S94" s="141"/>
      <c r="T94" s="141"/>
      <c r="U94" s="154"/>
      <c r="V94" s="154"/>
      <c r="W94" s="154"/>
      <c r="X94" s="178"/>
      <c r="Y94" s="178"/>
      <c r="Z94" s="178"/>
    </row>
    <row r="95" spans="1:26" s="139" customFormat="1" ht="3" customHeight="1">
      <c r="B95" s="167"/>
      <c r="C95" s="167"/>
      <c r="D95" s="167"/>
      <c r="H95" s="187"/>
      <c r="I95" s="143"/>
      <c r="J95" s="143"/>
    </row>
    <row r="96" spans="1:26" s="139" customFormat="1">
      <c r="A96" s="152"/>
      <c r="B96" s="167" t="s">
        <v>607</v>
      </c>
      <c r="C96" s="167" t="s">
        <v>608</v>
      </c>
      <c r="D96" s="167" t="str">
        <f>B96&amp;" "&amp;C96</f>
        <v>Long Only Brasil</v>
      </c>
      <c r="E96" s="144" t="s">
        <v>608</v>
      </c>
      <c r="F96" s="144"/>
      <c r="G96" s="144"/>
      <c r="H96" s="184"/>
      <c r="I96" s="189"/>
      <c r="J96" s="145"/>
      <c r="K96" s="144"/>
      <c r="L96" s="144"/>
      <c r="M96" s="144"/>
      <c r="N96" s="144"/>
      <c r="O96" s="144"/>
      <c r="P96" s="144"/>
      <c r="Q96" s="144"/>
      <c r="R96" s="144"/>
      <c r="S96" s="144"/>
      <c r="T96" s="144"/>
      <c r="U96" s="155"/>
      <c r="V96" s="155"/>
      <c r="W96" s="155"/>
      <c r="X96" s="179"/>
      <c r="Y96" s="179"/>
      <c r="Z96" s="179"/>
    </row>
    <row r="97" spans="1:26">
      <c r="E97" s="725" t="s">
        <v>4290</v>
      </c>
      <c r="F97" s="205" t="s">
        <v>1399</v>
      </c>
      <c r="G97" s="241" t="s">
        <v>34</v>
      </c>
      <c r="H97" s="242" t="s">
        <v>34</v>
      </c>
      <c r="I97" s="243" t="s">
        <v>34</v>
      </c>
      <c r="J97" s="244" t="s">
        <v>34</v>
      </c>
      <c r="K97" s="305" t="s">
        <v>1339</v>
      </c>
      <c r="L97" s="488" t="s">
        <v>1414</v>
      </c>
      <c r="M97" s="488" t="s">
        <v>1321</v>
      </c>
      <c r="N97" s="205" t="s">
        <v>34</v>
      </c>
      <c r="O97" s="205" t="s">
        <v>672</v>
      </c>
      <c r="P97" s="205" t="s">
        <v>608</v>
      </c>
      <c r="Q97" s="146" t="s">
        <v>48</v>
      </c>
      <c r="R97" s="205">
        <v>2</v>
      </c>
      <c r="S97" s="206">
        <v>3.0000000000000001E-3</v>
      </c>
      <c r="T97" s="148">
        <v>2.5000000000000001E-3</v>
      </c>
      <c r="U97" s="207" t="s">
        <v>34</v>
      </c>
      <c r="V97" s="207" t="s">
        <v>1421</v>
      </c>
      <c r="W97" s="207">
        <v>15220000000</v>
      </c>
      <c r="X97" s="208">
        <v>39784</v>
      </c>
      <c r="Y97" s="208" t="s">
        <v>34</v>
      </c>
      <c r="Z97" s="208" t="s">
        <v>34</v>
      </c>
    </row>
    <row r="98" spans="1:26">
      <c r="E98" s="943" t="s">
        <v>4387</v>
      </c>
      <c r="F98" s="302" t="s">
        <v>716</v>
      </c>
      <c r="G98" s="241" t="s">
        <v>34</v>
      </c>
      <c r="H98" s="242" t="s">
        <v>34</v>
      </c>
      <c r="I98" s="243" t="s">
        <v>34</v>
      </c>
      <c r="J98" s="244" t="s">
        <v>34</v>
      </c>
      <c r="K98" s="206" t="s">
        <v>715</v>
      </c>
      <c r="L98" s="488" t="s">
        <v>34</v>
      </c>
      <c r="M98" s="488" t="s">
        <v>1321</v>
      </c>
      <c r="N98" s="205" t="s">
        <v>34</v>
      </c>
      <c r="O98" s="302" t="s">
        <v>34</v>
      </c>
      <c r="P98" s="205" t="s">
        <v>608</v>
      </c>
      <c r="Q98" s="146" t="s">
        <v>48</v>
      </c>
      <c r="R98" s="205">
        <v>2</v>
      </c>
      <c r="S98" s="307" t="s">
        <v>34</v>
      </c>
      <c r="T98" s="305">
        <v>5.0000000000000001E-3</v>
      </c>
      <c r="U98" s="207" t="s">
        <v>34</v>
      </c>
      <c r="V98" s="207" t="s">
        <v>1421</v>
      </c>
      <c r="W98" s="304" t="s">
        <v>34</v>
      </c>
      <c r="X98" s="303" t="s">
        <v>34</v>
      </c>
      <c r="Y98" s="303" t="s">
        <v>34</v>
      </c>
      <c r="Z98" s="303" t="s">
        <v>34</v>
      </c>
    </row>
    <row r="99" spans="1:26" ht="5.25" customHeight="1">
      <c r="E99" s="150"/>
      <c r="H99" s="183"/>
      <c r="I99" s="188"/>
    </row>
    <row r="100" spans="1:26" s="139" customFormat="1">
      <c r="A100" s="152"/>
      <c r="B100" s="167" t="s">
        <v>15</v>
      </c>
      <c r="C100" s="167" t="s">
        <v>15</v>
      </c>
      <c r="D100" s="167" t="str">
        <f>B100&amp;" "&amp;C100</f>
        <v>Alternativos Alternativos</v>
      </c>
      <c r="E100" s="144" t="s">
        <v>15</v>
      </c>
      <c r="F100" s="144"/>
      <c r="G100" s="144"/>
      <c r="H100" s="184"/>
      <c r="I100" s="189"/>
      <c r="J100" s="145"/>
      <c r="K100" s="144"/>
      <c r="L100" s="144"/>
      <c r="M100" s="144"/>
      <c r="N100" s="144"/>
      <c r="O100" s="144"/>
      <c r="P100" s="144"/>
      <c r="Q100" s="144"/>
      <c r="R100" s="144"/>
      <c r="S100" s="144"/>
      <c r="T100" s="144"/>
      <c r="U100" s="155"/>
      <c r="V100" s="155"/>
      <c r="W100" s="155"/>
      <c r="X100" s="179"/>
      <c r="Y100" s="179"/>
      <c r="Z100" s="179"/>
    </row>
    <row r="101" spans="1:26">
      <c r="E101" s="943" t="s">
        <v>4388</v>
      </c>
      <c r="F101" s="302" t="s">
        <v>716</v>
      </c>
      <c r="G101" s="241" t="s">
        <v>34</v>
      </c>
      <c r="H101" s="242" t="s">
        <v>34</v>
      </c>
      <c r="I101" s="243" t="s">
        <v>34</v>
      </c>
      <c r="J101" s="244" t="s">
        <v>34</v>
      </c>
      <c r="K101" s="305" t="s">
        <v>1339</v>
      </c>
      <c r="L101" s="488" t="s">
        <v>34</v>
      </c>
      <c r="M101" s="488" t="s">
        <v>1321</v>
      </c>
      <c r="N101" s="205" t="s">
        <v>34</v>
      </c>
      <c r="O101" s="302" t="s">
        <v>34</v>
      </c>
      <c r="P101" s="205" t="s">
        <v>608</v>
      </c>
      <c r="Q101" s="146" t="s">
        <v>48</v>
      </c>
      <c r="R101" s="205">
        <v>2</v>
      </c>
      <c r="S101" s="307">
        <v>0.01</v>
      </c>
      <c r="T101" s="305">
        <v>2.5000000000000001E-3</v>
      </c>
      <c r="U101" s="207" t="s">
        <v>34</v>
      </c>
      <c r="V101" s="207" t="s">
        <v>1421</v>
      </c>
      <c r="W101" s="304" t="s">
        <v>34</v>
      </c>
      <c r="X101" s="303" t="s">
        <v>34</v>
      </c>
      <c r="Y101" s="303" t="s">
        <v>34</v>
      </c>
      <c r="Z101" s="303" t="s">
        <v>34</v>
      </c>
    </row>
    <row r="102" spans="1:26" ht="5.25" customHeight="1">
      <c r="E102" s="150"/>
      <c r="H102" s="183"/>
      <c r="I102" s="188"/>
    </row>
    <row r="103" spans="1:26" s="139" customFormat="1">
      <c r="A103" s="152"/>
      <c r="B103" s="167" t="s">
        <v>14</v>
      </c>
      <c r="C103" s="167" t="s">
        <v>690</v>
      </c>
      <c r="D103" s="167" t="str">
        <f>B103&amp;" "&amp;C103</f>
        <v>Renda Variável USA</v>
      </c>
      <c r="E103" s="144" t="s">
        <v>609</v>
      </c>
      <c r="F103" s="144"/>
      <c r="G103" s="144"/>
      <c r="H103" s="184"/>
      <c r="I103" s="189"/>
      <c r="J103" s="145"/>
      <c r="K103" s="144"/>
      <c r="L103" s="144"/>
      <c r="M103" s="144"/>
      <c r="N103" s="144"/>
      <c r="O103" s="144"/>
      <c r="P103" s="144"/>
      <c r="Q103" s="144"/>
      <c r="R103" s="144"/>
      <c r="S103" s="144"/>
      <c r="T103" s="144"/>
      <c r="U103" s="155"/>
      <c r="V103" s="155"/>
      <c r="W103" s="155"/>
      <c r="X103" s="179"/>
      <c r="Y103" s="179"/>
      <c r="Z103" s="179"/>
    </row>
    <row r="104" spans="1:26">
      <c r="E104" s="204" t="s">
        <v>464</v>
      </c>
      <c r="F104" s="205" t="s">
        <v>1399</v>
      </c>
      <c r="G104" s="241" t="s">
        <v>34</v>
      </c>
      <c r="H104" s="242" t="s">
        <v>34</v>
      </c>
      <c r="I104" s="243" t="s">
        <v>34</v>
      </c>
      <c r="J104" s="244" t="s">
        <v>34</v>
      </c>
      <c r="K104" s="194" t="s">
        <v>1339</v>
      </c>
      <c r="L104" s="488" t="s">
        <v>1414</v>
      </c>
      <c r="M104" s="488" t="s">
        <v>1321</v>
      </c>
      <c r="N104" s="205" t="s">
        <v>34</v>
      </c>
      <c r="O104" s="205" t="s">
        <v>672</v>
      </c>
      <c r="P104" s="205" t="s">
        <v>608</v>
      </c>
      <c r="Q104" s="205" t="s">
        <v>49</v>
      </c>
      <c r="R104" s="205">
        <v>2</v>
      </c>
      <c r="S104" s="206">
        <v>2.3999999999999998E-3</v>
      </c>
      <c r="T104" s="148">
        <v>2.5000000000000001E-3</v>
      </c>
      <c r="U104" s="207" t="s">
        <v>34</v>
      </c>
      <c r="V104" s="207" t="s">
        <v>1421</v>
      </c>
      <c r="W104" s="207">
        <v>3010000000</v>
      </c>
      <c r="X104" s="208">
        <v>41758</v>
      </c>
      <c r="Y104" s="208" t="s">
        <v>34</v>
      </c>
      <c r="Z104" s="208" t="s">
        <v>34</v>
      </c>
    </row>
    <row r="105" spans="1:26" ht="5.25" customHeight="1">
      <c r="E105" s="150"/>
      <c r="H105" s="183"/>
      <c r="I105" s="188"/>
    </row>
    <row r="106" spans="1:26" s="139" customFormat="1">
      <c r="A106" s="152"/>
      <c r="B106" s="167" t="s">
        <v>14</v>
      </c>
      <c r="C106" s="167" t="s">
        <v>612</v>
      </c>
      <c r="D106" s="167" t="str">
        <f>B106&amp;" "&amp;C106</f>
        <v>Renda Variável China</v>
      </c>
      <c r="E106" s="144" t="s">
        <v>612</v>
      </c>
      <c r="F106" s="144"/>
      <c r="G106" s="144"/>
      <c r="H106" s="184"/>
      <c r="I106" s="189"/>
      <c r="J106" s="145"/>
      <c r="K106" s="144"/>
      <c r="L106" s="144"/>
      <c r="M106" s="144"/>
      <c r="N106" s="144"/>
      <c r="O106" s="144"/>
      <c r="P106" s="144"/>
      <c r="Q106" s="144"/>
      <c r="R106" s="144"/>
      <c r="S106" s="144"/>
      <c r="T106" s="144"/>
      <c r="U106" s="155"/>
      <c r="V106" s="155"/>
      <c r="W106" s="155"/>
      <c r="X106" s="179"/>
      <c r="Y106" s="179"/>
      <c r="Z106" s="179"/>
    </row>
    <row r="107" spans="1:26">
      <c r="E107" s="204" t="s">
        <v>1396</v>
      </c>
      <c r="F107" s="205" t="s">
        <v>1399</v>
      </c>
      <c r="G107" s="241" t="s">
        <v>34</v>
      </c>
      <c r="H107" s="242" t="s">
        <v>34</v>
      </c>
      <c r="I107" s="243" t="s">
        <v>34</v>
      </c>
      <c r="J107" s="244" t="s">
        <v>34</v>
      </c>
      <c r="K107" s="194" t="s">
        <v>1339</v>
      </c>
      <c r="L107" s="488" t="s">
        <v>34</v>
      </c>
      <c r="M107" s="488" t="s">
        <v>1321</v>
      </c>
      <c r="N107" s="205" t="s">
        <v>34</v>
      </c>
      <c r="O107" s="205" t="s">
        <v>672</v>
      </c>
      <c r="P107" s="205" t="s">
        <v>608</v>
      </c>
      <c r="Q107" s="146" t="s">
        <v>48</v>
      </c>
      <c r="R107" s="205">
        <v>2</v>
      </c>
      <c r="S107" s="206">
        <v>8.8999999999999999E-3</v>
      </c>
      <c r="T107" s="148">
        <v>2.5000000000000001E-3</v>
      </c>
      <c r="U107" s="207" t="s">
        <v>34</v>
      </c>
      <c r="V107" s="207" t="s">
        <v>1421</v>
      </c>
      <c r="W107" s="207">
        <v>484000000</v>
      </c>
      <c r="X107" s="208">
        <v>44186</v>
      </c>
      <c r="Y107" s="208" t="s">
        <v>34</v>
      </c>
      <c r="Z107" s="208" t="s">
        <v>34</v>
      </c>
    </row>
    <row r="108" spans="1:26" ht="5.25" customHeight="1">
      <c r="E108" s="150"/>
      <c r="H108" s="183"/>
      <c r="I108" s="188"/>
    </row>
    <row r="109" spans="1:26" s="139" customFormat="1">
      <c r="A109" s="152"/>
      <c r="B109" s="167" t="s">
        <v>14</v>
      </c>
      <c r="C109" s="167" t="s">
        <v>613</v>
      </c>
      <c r="D109" s="167" t="str">
        <f>B109&amp;" "&amp;C109</f>
        <v>Renda Variável Europa</v>
      </c>
      <c r="E109" s="144" t="s">
        <v>613</v>
      </c>
      <c r="F109" s="144"/>
      <c r="G109" s="144"/>
      <c r="H109" s="184"/>
      <c r="I109" s="189"/>
      <c r="J109" s="145"/>
      <c r="K109" s="144"/>
      <c r="L109" s="144"/>
      <c r="M109" s="144"/>
      <c r="N109" s="144"/>
      <c r="O109" s="144"/>
      <c r="P109" s="144"/>
      <c r="Q109" s="144"/>
      <c r="R109" s="144"/>
      <c r="S109" s="144"/>
      <c r="T109" s="144"/>
      <c r="U109" s="155"/>
      <c r="V109" s="155"/>
      <c r="W109" s="155"/>
      <c r="X109" s="179"/>
      <c r="Y109" s="179"/>
      <c r="Z109" s="179"/>
    </row>
    <row r="110" spans="1:26">
      <c r="E110" s="204" t="s">
        <v>1397</v>
      </c>
      <c r="F110" s="205" t="s">
        <v>1399</v>
      </c>
      <c r="G110" s="241" t="s">
        <v>34</v>
      </c>
      <c r="H110" s="242" t="s">
        <v>34</v>
      </c>
      <c r="I110" s="243" t="s">
        <v>34</v>
      </c>
      <c r="J110" s="244" t="s">
        <v>34</v>
      </c>
      <c r="K110" s="194" t="s">
        <v>1339</v>
      </c>
      <c r="L110" s="488" t="s">
        <v>34</v>
      </c>
      <c r="M110" s="488" t="s">
        <v>1321</v>
      </c>
      <c r="N110" s="205" t="s">
        <v>34</v>
      </c>
      <c r="O110" s="205" t="s">
        <v>672</v>
      </c>
      <c r="P110" s="205" t="s">
        <v>608</v>
      </c>
      <c r="Q110" s="146" t="s">
        <v>48</v>
      </c>
      <c r="R110" s="205">
        <v>2</v>
      </c>
      <c r="S110" s="206">
        <v>3.8999999999999998E-3</v>
      </c>
      <c r="T110" s="148">
        <v>2.5000000000000001E-3</v>
      </c>
      <c r="U110" s="207" t="s">
        <v>34</v>
      </c>
      <c r="V110" s="207" t="s">
        <v>1421</v>
      </c>
      <c r="W110" s="207">
        <v>45310000</v>
      </c>
      <c r="X110" s="208">
        <v>44215</v>
      </c>
      <c r="Y110" s="208" t="s">
        <v>34</v>
      </c>
      <c r="Z110" s="208" t="s">
        <v>34</v>
      </c>
    </row>
    <row r="111" spans="1:26" ht="5.25" customHeight="1">
      <c r="E111" s="150"/>
      <c r="H111" s="183"/>
      <c r="I111" s="188"/>
    </row>
    <row r="112" spans="1:26" s="139" customFormat="1">
      <c r="A112" s="152"/>
      <c r="B112" s="167" t="s">
        <v>14</v>
      </c>
      <c r="C112" s="167" t="s">
        <v>611</v>
      </c>
      <c r="D112" s="167" t="str">
        <f>B112&amp;" "&amp;C112</f>
        <v>Renda Variável Global</v>
      </c>
      <c r="E112" s="144" t="s">
        <v>611</v>
      </c>
      <c r="F112" s="144"/>
      <c r="G112" s="144"/>
      <c r="H112" s="184"/>
      <c r="I112" s="189"/>
      <c r="J112" s="145"/>
      <c r="K112" s="144"/>
      <c r="L112" s="144"/>
      <c r="M112" s="144"/>
      <c r="N112" s="144"/>
      <c r="O112" s="144"/>
      <c r="P112" s="144"/>
      <c r="Q112" s="144"/>
      <c r="R112" s="144"/>
      <c r="S112" s="144"/>
      <c r="T112" s="144"/>
      <c r="U112" s="155"/>
      <c r="V112" s="155"/>
      <c r="W112" s="155"/>
      <c r="X112" s="179"/>
      <c r="Y112" s="179"/>
      <c r="Z112" s="179"/>
    </row>
    <row r="113" spans="1:26">
      <c r="E113" s="204" t="s">
        <v>1398</v>
      </c>
      <c r="F113" s="205" t="s">
        <v>1399</v>
      </c>
      <c r="G113" s="241" t="s">
        <v>34</v>
      </c>
      <c r="H113" s="242" t="s">
        <v>34</v>
      </c>
      <c r="I113" s="243" t="s">
        <v>34</v>
      </c>
      <c r="J113" s="244" t="s">
        <v>34</v>
      </c>
      <c r="K113" s="194" t="s">
        <v>1339</v>
      </c>
      <c r="L113" s="488" t="s">
        <v>34</v>
      </c>
      <c r="M113" s="488" t="s">
        <v>1321</v>
      </c>
      <c r="N113" s="205" t="s">
        <v>34</v>
      </c>
      <c r="O113" s="205" t="s">
        <v>672</v>
      </c>
      <c r="P113" s="205" t="s">
        <v>608</v>
      </c>
      <c r="Q113" s="146" t="s">
        <v>48</v>
      </c>
      <c r="R113" s="205">
        <v>2</v>
      </c>
      <c r="S113" s="206">
        <v>3.8E-3</v>
      </c>
      <c r="T113" s="148">
        <v>2.5000000000000001E-3</v>
      </c>
      <c r="U113" s="207" t="s">
        <v>34</v>
      </c>
      <c r="V113" s="207" t="s">
        <v>1421</v>
      </c>
      <c r="W113" s="207">
        <v>50720000</v>
      </c>
      <c r="X113" s="208">
        <v>44489</v>
      </c>
      <c r="Y113" s="208" t="s">
        <v>34</v>
      </c>
      <c r="Z113" s="208" t="s">
        <v>34</v>
      </c>
    </row>
    <row r="114" spans="1:26" ht="5.25" customHeight="1">
      <c r="E114" s="150"/>
      <c r="H114" s="183"/>
      <c r="I114" s="188"/>
    </row>
    <row r="115" spans="1:26" s="139" customFormat="1">
      <c r="A115" s="152"/>
      <c r="B115" s="167" t="s">
        <v>14</v>
      </c>
      <c r="C115" s="167" t="s">
        <v>696</v>
      </c>
      <c r="D115" s="167" t="str">
        <f>B115&amp;" "&amp;C115</f>
        <v>Renda Variável EM</v>
      </c>
      <c r="E115" s="144" t="s">
        <v>696</v>
      </c>
      <c r="F115" s="144"/>
      <c r="G115" s="144"/>
      <c r="H115" s="184"/>
      <c r="I115" s="189"/>
      <c r="J115" s="145"/>
      <c r="K115" s="144"/>
      <c r="L115" s="144"/>
      <c r="M115" s="144"/>
      <c r="N115" s="144"/>
      <c r="O115" s="144"/>
      <c r="P115" s="144"/>
      <c r="Q115" s="144"/>
      <c r="R115" s="144"/>
      <c r="S115" s="144"/>
      <c r="T115" s="144"/>
      <c r="U115" s="155"/>
      <c r="V115" s="155"/>
      <c r="W115" s="155"/>
      <c r="X115" s="179"/>
      <c r="Y115" s="179"/>
      <c r="Z115" s="179"/>
    </row>
    <row r="116" spans="1:26">
      <c r="E116" s="204" t="s">
        <v>1400</v>
      </c>
      <c r="F116" s="205" t="s">
        <v>1399</v>
      </c>
      <c r="G116" s="241" t="s">
        <v>34</v>
      </c>
      <c r="H116" s="242" t="s">
        <v>34</v>
      </c>
      <c r="I116" s="243" t="s">
        <v>34</v>
      </c>
      <c r="J116" s="244" t="s">
        <v>34</v>
      </c>
      <c r="K116" s="194" t="s">
        <v>1339</v>
      </c>
      <c r="L116" s="488" t="s">
        <v>34</v>
      </c>
      <c r="M116" s="488" t="s">
        <v>1321</v>
      </c>
      <c r="N116" s="205" t="s">
        <v>34</v>
      </c>
      <c r="O116" s="205" t="s">
        <v>672</v>
      </c>
      <c r="P116" s="205" t="s">
        <v>608</v>
      </c>
      <c r="Q116" s="146" t="s">
        <v>48</v>
      </c>
      <c r="R116" s="205">
        <v>2</v>
      </c>
      <c r="S116" s="206">
        <v>0.01</v>
      </c>
      <c r="T116" s="148">
        <v>2.5000000000000001E-3</v>
      </c>
      <c r="U116" s="207" t="s">
        <v>34</v>
      </c>
      <c r="V116" s="207" t="s">
        <v>1421</v>
      </c>
      <c r="W116" s="207">
        <v>13540000</v>
      </c>
      <c r="X116" s="208">
        <v>44375</v>
      </c>
      <c r="Y116" s="208" t="s">
        <v>34</v>
      </c>
      <c r="Z116" s="208" t="s">
        <v>34</v>
      </c>
    </row>
    <row r="117" spans="1:26" ht="5.25" customHeight="1">
      <c r="E117" s="150"/>
      <c r="H117" s="183"/>
      <c r="I117" s="188"/>
    </row>
    <row r="118" spans="1:26" s="139" customFormat="1" ht="11.25" customHeight="1">
      <c r="B118" s="167"/>
      <c r="C118" s="167"/>
      <c r="D118" s="167"/>
      <c r="I118" s="140"/>
      <c r="J118" s="140"/>
    </row>
    <row r="119" spans="1:26">
      <c r="B119" s="177" t="s">
        <v>1343</v>
      </c>
      <c r="C119" s="177"/>
    </row>
  </sheetData>
  <mergeCells count="1">
    <mergeCell ref="E2:H3"/>
  </mergeCells>
  <conditionalFormatting sqref="E34:O34">
    <cfRule type="expression" dxfId="101" priority="76">
      <formula>AND(E34&lt;&gt;"",#REF!="",OR(COLUMN(E34)=COLUMN(#REF!),COLUMN(E34)=COLUMN(#REF!)))</formula>
    </cfRule>
  </conditionalFormatting>
  <conditionalFormatting sqref="E44:O44">
    <cfRule type="expression" dxfId="100" priority="75">
      <formula>AND(E44&lt;&gt;"",#REF!="",OR(COLUMN(E44)=COLUMN(#REF!),COLUMN(E44)=COLUMN(#REF!)))</formula>
    </cfRule>
  </conditionalFormatting>
  <conditionalFormatting sqref="E111:K112 E114:K114 E113:F113 K113 E69:O69 E99:O99 E105:O105 E108:O108 L111:O114 E102:O102 E117:O117">
    <cfRule type="expression" dxfId="99" priority="74">
      <formula>AND(E69&lt;&gt;"",#REF!="",OR(COLUMN(E69)=COLUMN(#REF!),COLUMN(E69)=COLUMN(#REF!)))</formula>
    </cfRule>
  </conditionalFormatting>
  <conditionalFormatting sqref="J53:J55 E77:G77 J15:K17 F40:G40 J38:L43 N11:O12 L26:O33 F15:I21 L97:O98 F101:O101 L104:O104 L107:O107 L110:O110 L113:O113 L116:O116 K27:K28 F26:G30 G31:G33 G38:G39 G43:H43 E11:E12 E26:E33 F12:M12 I31:K33 I27:J30 I26:K26 H26:H33 G41:G42 I40 M36:O43 F36:G37 E36:E43 I36:L37 H36:H42 E30:O30 I77:O77 E79 G79:O79 G53:H55 N46:O55 H46:J52 E46:E55 M60:O68 E60:E68 G60:K68 G75:O76 E71:E76 G71:K74 M71:O74 F14:K14 H14:H21 E14:E21 L14:O21 E13:O13 L87:O90">
    <cfRule type="expression" dxfId="98" priority="73">
      <formula>AND(E11&lt;&gt;"",#REF!="",OR(COLUMN(E11)=COLUMN(#REF!),COLUMN(E11)=COLUMN(#REF!)))</formula>
    </cfRule>
  </conditionalFormatting>
  <conditionalFormatting sqref="J19:K19 J18 J20:J21 G46:G52 K46:K55">
    <cfRule type="expression" dxfId="97" priority="72">
      <formula>AND(G18&lt;&gt;"",#REF!="",OR(COLUMN(G18)=COLUMN(#REF!),COLUMN(G18)=COLUMN(#REF!)))</formula>
    </cfRule>
  </conditionalFormatting>
  <conditionalFormatting sqref="F46:F52">
    <cfRule type="expression" dxfId="96" priority="70">
      <formula>AND(F46&lt;&gt;"",#REF!="",OR(COLUMN(F46)=COLUMN(#REF!),COLUMN(F46)=COLUMN(#REF!)))</formula>
    </cfRule>
  </conditionalFormatting>
  <conditionalFormatting sqref="F60:F65">
    <cfRule type="expression" dxfId="95" priority="69">
      <formula>AND(F60&lt;&gt;"",#REF!="",OR(COLUMN(F60)=COLUMN(#REF!),COLUMN(F60)=COLUMN(#REF!)))</formula>
    </cfRule>
  </conditionalFormatting>
  <conditionalFormatting sqref="F71:F74">
    <cfRule type="expression" dxfId="94" priority="68">
      <formula>AND(F71&lt;&gt;"",#REF!="",OR(COLUMN(F71)=COLUMN(#REF!),COLUMN(F71)=COLUMN(#REF!)))</formula>
    </cfRule>
  </conditionalFormatting>
  <conditionalFormatting sqref="F31:F33">
    <cfRule type="expression" dxfId="93" priority="67">
      <formula>AND(F31&lt;&gt;"",#REF!="",OR(COLUMN(F31)=COLUMN(#REF!),COLUMN(F31)=COLUMN(#REF!)))</formula>
    </cfRule>
  </conditionalFormatting>
  <conditionalFormatting sqref="F40">
    <cfRule type="expression" dxfId="92" priority="66">
      <formula>AND(F40&lt;&gt;"",#REF!="",OR(COLUMN(F40)=COLUMN(#REF!),COLUMN(F40)=COLUMN(#REF!)))</formula>
    </cfRule>
  </conditionalFormatting>
  <conditionalFormatting sqref="F38:F40">
    <cfRule type="expression" dxfId="91" priority="65">
      <formula>AND(F38&lt;&gt;"",#REF!="",OR(COLUMN(F38)=COLUMN(#REF!),COLUMN(F38)=COLUMN(#REF!)))</formula>
    </cfRule>
  </conditionalFormatting>
  <conditionalFormatting sqref="F41:F43">
    <cfRule type="expression" dxfId="90" priority="64">
      <formula>AND(F41&lt;&gt;"",#REF!="",OR(COLUMN(F41)=COLUMN(#REF!),COLUMN(F41)=COLUMN(#REF!)))</formula>
    </cfRule>
  </conditionalFormatting>
  <conditionalFormatting sqref="I38:I43">
    <cfRule type="expression" dxfId="89" priority="63">
      <formula>AND(I38&lt;&gt;"",#REF!="",OR(COLUMN(I38)=COLUMN(#REF!),COLUMN(I38)=COLUMN(#REF!)))</formula>
    </cfRule>
  </conditionalFormatting>
  <conditionalFormatting sqref="F53:F55">
    <cfRule type="expression" dxfId="88" priority="62">
      <formula>AND(F53&lt;&gt;"",#REF!="",OR(COLUMN(F53)=COLUMN(#REF!),COLUMN(F53)=COLUMN(#REF!)))</formula>
    </cfRule>
  </conditionalFormatting>
  <conditionalFormatting sqref="I53:I55">
    <cfRule type="expression" dxfId="87" priority="61">
      <formula>AND(I53&lt;&gt;"",#REF!="",OR(COLUMN(I53)=COLUMN(#REF!),COLUMN(I53)=COLUMN(#REF!)))</formula>
    </cfRule>
  </conditionalFormatting>
  <conditionalFormatting sqref="F66">
    <cfRule type="expression" dxfId="86" priority="60">
      <formula>AND(F66&lt;&gt;"",#REF!="",OR(COLUMN(F66)=COLUMN(#REF!),COLUMN(F66)=COLUMN(#REF!)))</formula>
    </cfRule>
  </conditionalFormatting>
  <conditionalFormatting sqref="F67">
    <cfRule type="expression" dxfId="85" priority="59">
      <formula>AND(F67&lt;&gt;"",#REF!="",OR(COLUMN(F67)=COLUMN(#REF!),COLUMN(F67)=COLUMN(#REF!)))</formula>
    </cfRule>
  </conditionalFormatting>
  <conditionalFormatting sqref="F68">
    <cfRule type="expression" dxfId="84" priority="58">
      <formula>AND(F68&lt;&gt;"",#REF!="",OR(COLUMN(F68)=COLUMN(#REF!),COLUMN(F68)=COLUMN(#REF!)))</formula>
    </cfRule>
  </conditionalFormatting>
  <conditionalFormatting sqref="I66:I68">
    <cfRule type="expression" dxfId="83" priority="57">
      <formula>AND(I66&lt;&gt;"",#REF!="",OR(COLUMN(I66)=COLUMN(#REF!),COLUMN(I66)=COLUMN(#REF!)))</formula>
    </cfRule>
  </conditionalFormatting>
  <conditionalFormatting sqref="F75">
    <cfRule type="expression" dxfId="82" priority="56">
      <formula>AND(F75&lt;&gt;"",#REF!="",OR(COLUMN(F75)=COLUMN(#REF!),COLUMN(F75)=COLUMN(#REF!)))</formula>
    </cfRule>
  </conditionalFormatting>
  <conditionalFormatting sqref="F76">
    <cfRule type="expression" dxfId="81" priority="55">
      <formula>AND(F76&lt;&gt;"",#REF!="",OR(COLUMN(F76)=COLUMN(#REF!),COLUMN(F76)=COLUMN(#REF!)))</formula>
    </cfRule>
  </conditionalFormatting>
  <conditionalFormatting sqref="F79">
    <cfRule type="expression" dxfId="80" priority="54">
      <formula>AND(F79&lt;&gt;"",#REF!="",OR(COLUMN(F79)=COLUMN(#REF!),COLUMN(F79)=COLUMN(#REF!)))</formula>
    </cfRule>
  </conditionalFormatting>
  <conditionalFormatting sqref="K21">
    <cfRule type="expression" dxfId="79" priority="52">
      <formula>AND(K21&lt;&gt;"",#REF!="",OR(COLUMN(K21)=COLUMN(#REF!),COLUMN(K21)=COLUMN(#REF!)))</formula>
    </cfRule>
  </conditionalFormatting>
  <conditionalFormatting sqref="K18">
    <cfRule type="expression" dxfId="78" priority="51">
      <formula>AND(K18&lt;&gt;"",#REF!="",OR(COLUMN(K18)=COLUMN(#REF!),COLUMN(K18)=COLUMN(#REF!)))</formula>
    </cfRule>
  </conditionalFormatting>
  <conditionalFormatting sqref="K20">
    <cfRule type="expression" dxfId="77" priority="50">
      <formula>AND(K20&lt;&gt;"",#REF!="",OR(COLUMN(K20)=COLUMN(#REF!),COLUMN(K20)=COLUMN(#REF!)))</formula>
    </cfRule>
  </conditionalFormatting>
  <conditionalFormatting sqref="K29:K30">
    <cfRule type="expression" dxfId="76" priority="49">
      <formula>AND(K29&lt;&gt;"",#REF!="",OR(COLUMN(K29)=COLUMN(#REF!),COLUMN(K29)=COLUMN(#REF!)))</formula>
    </cfRule>
  </conditionalFormatting>
  <conditionalFormatting sqref="E104 E107 E110 E113 H104:K104 H107:K107 H110:K110 H113:K113 H97:K98 E97:E98">
    <cfRule type="expression" dxfId="75" priority="48">
      <formula>AND(E97&lt;&gt;"",#REF!="",OR(COLUMN(E97)=COLUMN(#REF!),COLUMN(E97)=COLUMN(#REF!)))</formula>
    </cfRule>
  </conditionalFormatting>
  <conditionalFormatting sqref="F97:F98">
    <cfRule type="expression" dxfId="74" priority="47">
      <formula>AND(F97&lt;&gt;"",#REF!="",OR(COLUMN(F97)=COLUMN(#REF!),COLUMN(F97)=COLUMN(#REF!)))</formula>
    </cfRule>
  </conditionalFormatting>
  <conditionalFormatting sqref="G97:G98">
    <cfRule type="expression" dxfId="73" priority="46">
      <formula>AND(G97&lt;&gt;"",#REF!="",OR(COLUMN(G97)=COLUMN(#REF!),COLUMN(G97)=COLUMN(#REF!)))</formula>
    </cfRule>
  </conditionalFormatting>
  <conditionalFormatting sqref="F104">
    <cfRule type="expression" dxfId="72" priority="45">
      <formula>AND(F104&lt;&gt;"",#REF!="",OR(COLUMN(F104)=COLUMN(#REF!),COLUMN(F104)=COLUMN(#REF!)))</formula>
    </cfRule>
  </conditionalFormatting>
  <conditionalFormatting sqref="F107">
    <cfRule type="expression" dxfId="71" priority="44">
      <formula>AND(F107&lt;&gt;"",#REF!="",OR(COLUMN(F107)=COLUMN(#REF!),COLUMN(F107)=COLUMN(#REF!)))</formula>
    </cfRule>
  </conditionalFormatting>
  <conditionalFormatting sqref="F113">
    <cfRule type="expression" dxfId="70" priority="43">
      <formula>AND(F113&lt;&gt;"",#REF!="",OR(COLUMN(F113)=COLUMN(#REF!),COLUMN(F113)=COLUMN(#REF!)))</formula>
    </cfRule>
  </conditionalFormatting>
  <conditionalFormatting sqref="F110">
    <cfRule type="expression" dxfId="69" priority="42">
      <formula>AND(F110&lt;&gt;"",#REF!="",OR(COLUMN(F110)=COLUMN(#REF!),COLUMN(F110)=COLUMN(#REF!)))</formula>
    </cfRule>
  </conditionalFormatting>
  <conditionalFormatting sqref="K116 E116">
    <cfRule type="expression" dxfId="68" priority="41">
      <formula>AND(E116&lt;&gt;"",#REF!="",OR(COLUMN(E116)=COLUMN(#REF!),COLUMN(E116)=COLUMN(#REF!)))</formula>
    </cfRule>
  </conditionalFormatting>
  <conditionalFormatting sqref="F116">
    <cfRule type="expression" dxfId="67" priority="40">
      <formula>AND(F116&lt;&gt;"",#REF!="",OR(COLUMN(F116)=COLUMN(#REF!),COLUMN(F116)=COLUMN(#REF!)))</formula>
    </cfRule>
  </conditionalFormatting>
  <conditionalFormatting sqref="G104">
    <cfRule type="expression" dxfId="66" priority="39">
      <formula>AND(G104&lt;&gt;"",#REF!="",OR(COLUMN(G104)=COLUMN(#REF!),COLUMN(G104)=COLUMN(#REF!)))</formula>
    </cfRule>
  </conditionalFormatting>
  <conditionalFormatting sqref="G107">
    <cfRule type="expression" dxfId="65" priority="38">
      <formula>AND(G107&lt;&gt;"",#REF!="",OR(COLUMN(G107)=COLUMN(#REF!),COLUMN(G107)=COLUMN(#REF!)))</formula>
    </cfRule>
  </conditionalFormatting>
  <conditionalFormatting sqref="G110">
    <cfRule type="expression" dxfId="64" priority="37">
      <formula>AND(G110&lt;&gt;"",#REF!="",OR(COLUMN(G110)=COLUMN(#REF!),COLUMN(G110)=COLUMN(#REF!)))</formula>
    </cfRule>
  </conditionalFormatting>
  <conditionalFormatting sqref="G113">
    <cfRule type="expression" dxfId="63" priority="36">
      <formula>AND(G113&lt;&gt;"",#REF!="",OR(COLUMN(G113)=COLUMN(#REF!),COLUMN(G113)=COLUMN(#REF!)))</formula>
    </cfRule>
  </conditionalFormatting>
  <conditionalFormatting sqref="H116:J116">
    <cfRule type="expression" dxfId="62" priority="35">
      <formula>AND(H116&lt;&gt;"",#REF!="",OR(COLUMN(H116)=COLUMN(#REF!),COLUMN(H116)=COLUMN(#REF!)))</formula>
    </cfRule>
  </conditionalFormatting>
  <conditionalFormatting sqref="G116">
    <cfRule type="expression" dxfId="61" priority="34">
      <formula>AND(G116&lt;&gt;"",#REF!="",OR(COLUMN(G116)=COLUMN(#REF!),COLUMN(G116)=COLUMN(#REF!)))</formula>
    </cfRule>
  </conditionalFormatting>
  <conditionalFormatting sqref="H11:K13">
    <cfRule type="expression" dxfId="60" priority="33">
      <formula>AND(H11&lt;&gt;"",#REF!="",OR(COLUMN(H11)=COLUMN(#REF!),COLUMN(H11)=COLUMN(#REF!)))</formula>
    </cfRule>
  </conditionalFormatting>
  <conditionalFormatting sqref="F11:F13">
    <cfRule type="expression" dxfId="59" priority="32">
      <formula>AND(F11&lt;&gt;"",#REF!="",OR(COLUMN(F11)=COLUMN(#REF!),COLUMN(F11)=COLUMN(#REF!)))</formula>
    </cfRule>
  </conditionalFormatting>
  <conditionalFormatting sqref="G11:G13">
    <cfRule type="expression" dxfId="58" priority="31">
      <formula>AND(G11&lt;&gt;"",#REF!="",OR(COLUMN(G11)=COLUMN(#REF!),COLUMN(G11)=COLUMN(#REF!)))</formula>
    </cfRule>
  </conditionalFormatting>
  <conditionalFormatting sqref="M11:N13">
    <cfRule type="expression" dxfId="57" priority="30">
      <formula>AND(M11&lt;&gt;"",#REF!="",OR(COLUMN(M11)=COLUMN(#REF!),COLUMN(M11)=COLUMN(#REF!)))</formula>
    </cfRule>
  </conditionalFormatting>
  <conditionalFormatting sqref="L66:L68">
    <cfRule type="expression" dxfId="56" priority="29">
      <formula>AND(L66&lt;&gt;"",#REF!="",OR(COLUMN(L66)=COLUMN(#REF!),COLUMN(L66)=COLUMN(#REF!)))</formula>
    </cfRule>
  </conditionalFormatting>
  <conditionalFormatting sqref="L60:L65">
    <cfRule type="expression" dxfId="55" priority="28">
      <formula>AND(L60&lt;&gt;"",#REF!="",OR(COLUMN(L60)=COLUMN(#REF!),COLUMN(L60)=COLUMN(#REF!)))</formula>
    </cfRule>
  </conditionalFormatting>
  <conditionalFormatting sqref="L71:L74">
    <cfRule type="expression" dxfId="54" priority="27">
      <formula>AND(L71&lt;&gt;"",#REF!="",OR(COLUMN(L71)=COLUMN(#REF!),COLUMN(L71)=COLUMN(#REF!)))</formula>
    </cfRule>
  </conditionalFormatting>
  <conditionalFormatting sqref="L11:L13">
    <cfRule type="expression" dxfId="53" priority="25">
      <formula>AND(L11&lt;&gt;"",#REF!="",OR(COLUMN(L11)=COLUMN(#REF!),COLUMN(L11)=COLUMN(#REF!)))</formula>
    </cfRule>
  </conditionalFormatting>
  <conditionalFormatting sqref="L46:L52">
    <cfRule type="expression" dxfId="52" priority="24">
      <formula>AND(L46&lt;&gt;"",#REF!="",OR(COLUMN(L46)=COLUMN(#REF!),COLUMN(L46)=COLUMN(#REF!)))</formula>
    </cfRule>
  </conditionalFormatting>
  <conditionalFormatting sqref="L53:L55">
    <cfRule type="expression" dxfId="51" priority="23">
      <formula>AND(L53&lt;&gt;"",#REF!="",OR(COLUMN(L53)=COLUMN(#REF!),COLUMN(L53)=COLUMN(#REF!)))</formula>
    </cfRule>
  </conditionalFormatting>
  <conditionalFormatting sqref="M46:N55">
    <cfRule type="expression" dxfId="50" priority="22">
      <formula>AND(M46&lt;&gt;"",#REF!="",OR(COLUMN(M46)=COLUMN(#REF!),COLUMN(M46)=COLUMN(#REF!)))</formula>
    </cfRule>
  </conditionalFormatting>
  <conditionalFormatting sqref="E101">
    <cfRule type="expression" dxfId="49" priority="19">
      <formula>AND(E101&lt;&gt;"",#REF!="",OR(COLUMN(E101)=COLUMN(#REF!),COLUMN(E101)=COLUMN(#REF!)))</formula>
    </cfRule>
  </conditionalFormatting>
  <conditionalFormatting sqref="E92:O92">
    <cfRule type="expression" dxfId="48" priority="13">
      <formula>AND(E92&lt;&gt;"",#REF!="",OR(COLUMN(E92)=COLUMN(#REF!),COLUMN(E92)=COLUMN(#REF!)))</formula>
    </cfRule>
  </conditionalFormatting>
  <conditionalFormatting sqref="H87:K90 E87:E90">
    <cfRule type="expression" dxfId="47" priority="12">
      <formula>AND(E87&lt;&gt;"",#REF!="",OR(COLUMN(E87)=COLUMN(#REF!),COLUMN(E87)=COLUMN(#REF!)))</formula>
    </cfRule>
  </conditionalFormatting>
  <conditionalFormatting sqref="F87:F90">
    <cfRule type="expression" dxfId="46" priority="11">
      <formula>AND(F87&lt;&gt;"",#REF!="",OR(COLUMN(F87)=COLUMN(#REF!),COLUMN(F87)=COLUMN(#REF!)))</formula>
    </cfRule>
  </conditionalFormatting>
  <conditionalFormatting sqref="G87:G90">
    <cfRule type="expression" dxfId="45" priority="10">
      <formula>AND(G87&lt;&gt;"",#REF!="",OR(COLUMN(G87)=COLUMN(#REF!),COLUMN(G87)=COLUMN(#REF!)))</formula>
    </cfRule>
  </conditionalFormatting>
  <conditionalFormatting sqref="L91:O91">
    <cfRule type="expression" dxfId="44" priority="9">
      <formula>AND(L91&lt;&gt;"",#REF!="",OR(COLUMN(L91)=COLUMN(#REF!),COLUMN(L91)=COLUMN(#REF!)))</formula>
    </cfRule>
  </conditionalFormatting>
  <conditionalFormatting sqref="H91:K91 E91">
    <cfRule type="expression" dxfId="43" priority="8">
      <formula>AND(E91&lt;&gt;"",#REF!="",OR(COLUMN(E91)=COLUMN(#REF!),COLUMN(E91)=COLUMN(#REF!)))</formula>
    </cfRule>
  </conditionalFormatting>
  <conditionalFormatting sqref="F91">
    <cfRule type="expression" dxfId="42" priority="7">
      <formula>AND(F91&lt;&gt;"",#REF!="",OR(COLUMN(F91)=COLUMN(#REF!),COLUMN(F91)=COLUMN(#REF!)))</formula>
    </cfRule>
  </conditionalFormatting>
  <conditionalFormatting sqref="G91">
    <cfRule type="expression" dxfId="41" priority="6">
      <formula>AND(G91&lt;&gt;"",#REF!="",OR(COLUMN(G91)=COLUMN(#REF!),COLUMN(G91)=COLUMN(#REF!)))</formula>
    </cfRule>
  </conditionalFormatting>
  <conditionalFormatting sqref="E82 O82">
    <cfRule type="expression" dxfId="40" priority="5">
      <formula>AND(E82&lt;&gt;"",#REF!="",OR(COLUMN(E82)=COLUMN(#REF!),COLUMN(E82)=COLUMN(#REF!)))</formula>
    </cfRule>
  </conditionalFormatting>
  <conditionalFormatting sqref="F82">
    <cfRule type="expression" dxfId="39" priority="4">
      <formula>AND(F82&lt;&gt;"",#REF!="",OR(COLUMN(F82)=COLUMN(#REF!),COLUMN(F82)=COLUMN(#REF!)))</formula>
    </cfRule>
  </conditionalFormatting>
  <conditionalFormatting sqref="H82:K82">
    <cfRule type="expression" dxfId="38" priority="3">
      <formula>AND(H82&lt;&gt;"",#REF!="",OR(COLUMN(H82)=COLUMN(#REF!),COLUMN(H82)=COLUMN(#REF!)))</formula>
    </cfRule>
  </conditionalFormatting>
  <conditionalFormatting sqref="G82">
    <cfRule type="expression" dxfId="37" priority="2">
      <formula>AND(G82&lt;&gt;"",#REF!="",OR(COLUMN(G82)=COLUMN(#REF!),COLUMN(G82)=COLUMN(#REF!)))</formula>
    </cfRule>
  </conditionalFormatting>
  <conditionalFormatting sqref="L82:N82">
    <cfRule type="expression" dxfId="36" priority="1">
      <formula>AND(L82&lt;&gt;"",#REF!="",OR(COLUMN(L82)=COLUMN(#REF!),COLUMN(L82)=COLUMN(#REF!)))</formula>
    </cfRule>
  </conditionalFormatting>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74B09-2673-4D78-B0B1-7EA9FC989666}">
  <sheetPr codeName="Sheet34">
    <tabColor theme="0" tint="-0.499984740745262"/>
  </sheetPr>
  <dimension ref="B1:N67"/>
  <sheetViews>
    <sheetView showGridLines="0" zoomScale="80" zoomScaleNormal="80" workbookViewId="0">
      <selection activeCell="E11" sqref="E11"/>
    </sheetView>
  </sheetViews>
  <sheetFormatPr defaultColWidth="10.69921875" defaultRowHeight="15"/>
  <cols>
    <col min="1" max="1" width="1.69921875" style="491" customWidth="1"/>
    <col min="2" max="2" width="9.09765625" style="169" bestFit="1" customWidth="1"/>
    <col min="3" max="3" width="8.59765625" style="169" bestFit="1" customWidth="1"/>
    <col min="4" max="4" width="11.59765625" style="169" bestFit="1" customWidth="1"/>
    <col min="5" max="5" width="11.19921875" style="169" bestFit="1" customWidth="1"/>
    <col min="6" max="6" width="13.3984375" style="169" bestFit="1" customWidth="1"/>
    <col min="7" max="7" width="8.09765625" style="169" bestFit="1" customWidth="1"/>
    <col min="8" max="8" width="30.19921875" style="491" bestFit="1" customWidth="1"/>
    <col min="9" max="9" width="8.09765625" style="492" bestFit="1" customWidth="1"/>
    <col min="10" max="10" width="11.296875" style="492" bestFit="1" customWidth="1"/>
    <col min="11" max="11" width="16.296875" style="492" bestFit="1" customWidth="1"/>
    <col min="12" max="12" width="12.59765625" style="493" bestFit="1" customWidth="1"/>
    <col min="13" max="13" width="10.5" style="653" bestFit="1" customWidth="1"/>
    <col min="14" max="14" width="10.8984375" style="492" bestFit="1" customWidth="1"/>
    <col min="15" max="15" width="10.69921875" style="491"/>
    <col min="16" max="16" width="33.19921875" style="491" bestFit="1" customWidth="1"/>
    <col min="17" max="17" width="10.09765625" style="491" bestFit="1" customWidth="1"/>
    <col min="18" max="18" width="10.3984375" style="491" bestFit="1" customWidth="1"/>
    <col min="19" max="19" width="16.5" style="491" bestFit="1" customWidth="1"/>
    <col min="20" max="20" width="11.69921875" style="491" bestFit="1" customWidth="1"/>
    <col min="21" max="21" width="11.8984375" style="491" bestFit="1" customWidth="1"/>
    <col min="22" max="22" width="14.296875" style="491" bestFit="1" customWidth="1"/>
    <col min="23" max="16384" width="10.69921875" style="491"/>
  </cols>
  <sheetData>
    <row r="1" spans="2:14" ht="5.0999999999999996" customHeight="1">
      <c r="M1" s="493"/>
    </row>
    <row r="2" spans="2:14" s="156" customFormat="1" ht="31.5" customHeight="1">
      <c r="B2" s="1074" t="s">
        <v>638</v>
      </c>
      <c r="C2" s="1074"/>
      <c r="D2" s="1074"/>
      <c r="E2" s="695"/>
      <c r="F2" s="695"/>
      <c r="G2" s="494"/>
      <c r="H2" s="494"/>
    </row>
    <row r="3" spans="2:14" s="101" customFormat="1" ht="17.25" customHeight="1">
      <c r="B3" s="1074"/>
      <c r="C3" s="1074"/>
      <c r="D3" s="1074"/>
      <c r="E3" s="695"/>
      <c r="F3" s="695"/>
      <c r="G3" s="494"/>
      <c r="H3" s="494"/>
    </row>
    <row r="4" spans="2:14" s="156" customFormat="1" ht="5.25" customHeight="1">
      <c r="B4" s="170"/>
      <c r="C4" s="170"/>
      <c r="D4" s="170"/>
      <c r="E4" s="170"/>
      <c r="F4" s="170"/>
      <c r="G4" s="170"/>
      <c r="I4" s="495"/>
      <c r="J4" s="495"/>
      <c r="K4" s="495"/>
      <c r="L4" s="494"/>
      <c r="M4" s="494"/>
      <c r="N4" s="495"/>
    </row>
    <row r="5" spans="2:14" s="137" customFormat="1" ht="5.25" customHeight="1">
      <c r="B5" s="23"/>
      <c r="C5" s="23"/>
      <c r="D5" s="23"/>
      <c r="E5" s="23"/>
      <c r="F5" s="23"/>
      <c r="G5" s="23"/>
      <c r="I5" s="496"/>
      <c r="J5" s="496"/>
      <c r="K5" s="496"/>
      <c r="L5" s="497"/>
      <c r="M5" s="497"/>
      <c r="N5" s="496"/>
    </row>
    <row r="6" spans="2:14" s="100" customFormat="1" ht="15.75">
      <c r="B6" s="106" t="s">
        <v>2680</v>
      </c>
      <c r="C6" s="106" t="s">
        <v>2681</v>
      </c>
      <c r="D6" s="106" t="s">
        <v>2682</v>
      </c>
      <c r="E6" s="106" t="s">
        <v>715</v>
      </c>
      <c r="F6" s="106" t="s">
        <v>703</v>
      </c>
      <c r="G6" s="106" t="s">
        <v>2683</v>
      </c>
    </row>
    <row r="7" spans="2:14" ht="15.75">
      <c r="B7" s="693">
        <v>45020</v>
      </c>
      <c r="C7" s="99" t="s">
        <v>2684</v>
      </c>
      <c r="D7" s="99" t="s">
        <v>2685</v>
      </c>
      <c r="E7" s="99" t="s">
        <v>4279</v>
      </c>
      <c r="F7" s="99" t="s">
        <v>628</v>
      </c>
      <c r="G7" s="694">
        <v>0.01</v>
      </c>
      <c r="I7" s="491"/>
      <c r="J7" s="491"/>
      <c r="K7" s="491"/>
      <c r="L7" s="491"/>
      <c r="M7" s="491"/>
      <c r="N7" s="491"/>
    </row>
    <row r="8" spans="2:14" ht="15.75">
      <c r="B8" s="693">
        <v>45020</v>
      </c>
      <c r="C8" s="99" t="s">
        <v>2684</v>
      </c>
      <c r="D8" s="99" t="s">
        <v>2685</v>
      </c>
      <c r="E8" s="99" t="s">
        <v>4280</v>
      </c>
      <c r="F8" s="99" t="s">
        <v>4281</v>
      </c>
      <c r="G8" s="694">
        <v>3.5000000000000003E-2</v>
      </c>
      <c r="I8" s="491"/>
      <c r="J8" s="491"/>
      <c r="K8" s="491"/>
      <c r="L8" s="491"/>
      <c r="M8" s="491"/>
      <c r="N8" s="491"/>
    </row>
    <row r="9" spans="2:14" ht="15.75">
      <c r="B9" s="693">
        <v>45020</v>
      </c>
      <c r="C9" s="99" t="s">
        <v>2684</v>
      </c>
      <c r="D9" s="99" t="s">
        <v>2685</v>
      </c>
      <c r="E9" s="99" t="s">
        <v>2700</v>
      </c>
      <c r="F9" s="99" t="s">
        <v>4310</v>
      </c>
      <c r="G9" s="694">
        <v>0.01</v>
      </c>
      <c r="I9" s="491"/>
      <c r="J9" s="491"/>
      <c r="K9" s="491"/>
      <c r="L9" s="491"/>
      <c r="M9" s="491"/>
      <c r="N9" s="491"/>
    </row>
    <row r="10" spans="2:14" ht="15.75">
      <c r="B10" s="693">
        <v>45020</v>
      </c>
      <c r="C10" s="99" t="s">
        <v>2684</v>
      </c>
      <c r="D10" s="99" t="s">
        <v>2685</v>
      </c>
      <c r="E10" s="99" t="s">
        <v>2697</v>
      </c>
      <c r="F10" s="99" t="s">
        <v>4311</v>
      </c>
      <c r="G10" s="694">
        <v>0.01</v>
      </c>
      <c r="I10" s="491"/>
      <c r="J10" s="491"/>
      <c r="K10" s="491"/>
      <c r="L10" s="491"/>
      <c r="M10" s="491"/>
      <c r="N10" s="491"/>
    </row>
    <row r="11" spans="2:14" ht="15.75">
      <c r="B11" s="693">
        <v>45020</v>
      </c>
      <c r="C11" s="99" t="s">
        <v>2684</v>
      </c>
      <c r="D11" s="99" t="s">
        <v>2685</v>
      </c>
      <c r="E11" s="99" t="s">
        <v>634</v>
      </c>
      <c r="F11" s="99" t="s">
        <v>1372</v>
      </c>
      <c r="G11" s="694">
        <v>0.05</v>
      </c>
      <c r="I11" s="491"/>
      <c r="J11" s="491"/>
      <c r="K11" s="491"/>
      <c r="L11" s="491"/>
      <c r="M11" s="491"/>
      <c r="N11" s="491"/>
    </row>
    <row r="12" spans="2:14" ht="15.75">
      <c r="B12" s="693">
        <v>45020</v>
      </c>
      <c r="C12" s="99" t="s">
        <v>2684</v>
      </c>
      <c r="D12" s="99" t="s">
        <v>2685</v>
      </c>
      <c r="E12" s="99" t="s">
        <v>637</v>
      </c>
      <c r="F12" s="99" t="s">
        <v>620</v>
      </c>
      <c r="G12" s="694">
        <v>0.13500000000000001</v>
      </c>
      <c r="I12" s="491"/>
      <c r="J12" s="491"/>
      <c r="K12" s="491"/>
      <c r="L12" s="491"/>
      <c r="M12" s="491"/>
      <c r="N12" s="491"/>
    </row>
    <row r="13" spans="2:14" ht="15.75">
      <c r="B13" s="693">
        <v>45020</v>
      </c>
      <c r="C13" s="99" t="s">
        <v>2684</v>
      </c>
      <c r="D13" s="99" t="s">
        <v>2685</v>
      </c>
      <c r="E13" s="99" t="s">
        <v>150</v>
      </c>
      <c r="F13" s="99" t="s">
        <v>621</v>
      </c>
      <c r="G13" s="694">
        <v>0.16</v>
      </c>
      <c r="I13" s="491"/>
      <c r="J13" s="491"/>
      <c r="K13" s="491"/>
      <c r="L13" s="491"/>
      <c r="M13" s="491"/>
      <c r="N13" s="491"/>
    </row>
    <row r="14" spans="2:14" ht="15.75">
      <c r="B14" s="693">
        <v>45020</v>
      </c>
      <c r="C14" s="99" t="s">
        <v>2684</v>
      </c>
      <c r="D14" s="99" t="s">
        <v>2685</v>
      </c>
      <c r="E14" s="99" t="s">
        <v>630</v>
      </c>
      <c r="F14" s="99" t="s">
        <v>13</v>
      </c>
      <c r="G14" s="694">
        <v>0.35</v>
      </c>
      <c r="I14" s="491"/>
      <c r="J14" s="491"/>
      <c r="K14" s="491"/>
      <c r="L14" s="491"/>
      <c r="M14" s="491"/>
      <c r="N14" s="491"/>
    </row>
    <row r="15" spans="2:14" ht="15.75">
      <c r="B15" s="693">
        <v>45020</v>
      </c>
      <c r="C15" s="99" t="s">
        <v>2684</v>
      </c>
      <c r="D15" s="99" t="s">
        <v>2685</v>
      </c>
      <c r="E15" s="99" t="s">
        <v>60</v>
      </c>
      <c r="F15" s="99" t="s">
        <v>4282</v>
      </c>
      <c r="G15" s="694">
        <v>0.24</v>
      </c>
      <c r="I15" s="491"/>
      <c r="J15" s="491"/>
      <c r="K15" s="491"/>
      <c r="L15" s="491"/>
      <c r="M15" s="491"/>
      <c r="N15" s="491"/>
    </row>
    <row r="16" spans="2:14" ht="15.75">
      <c r="B16" s="693">
        <v>45020</v>
      </c>
      <c r="C16" s="99" t="s">
        <v>2684</v>
      </c>
      <c r="D16" s="99" t="s">
        <v>2686</v>
      </c>
      <c r="E16" s="99" t="s">
        <v>4280</v>
      </c>
      <c r="F16" s="99" t="s">
        <v>4281</v>
      </c>
      <c r="G16" s="694">
        <v>0.08</v>
      </c>
      <c r="I16" s="491"/>
      <c r="J16" s="491"/>
      <c r="K16" s="491"/>
      <c r="L16" s="491"/>
      <c r="M16" s="491"/>
      <c r="N16" s="491"/>
    </row>
    <row r="17" spans="2:14" ht="15.75">
      <c r="B17" s="693">
        <v>45020</v>
      </c>
      <c r="C17" s="99" t="s">
        <v>2684</v>
      </c>
      <c r="D17" s="99" t="s">
        <v>2686</v>
      </c>
      <c r="E17" s="99" t="s">
        <v>637</v>
      </c>
      <c r="F17" s="99" t="s">
        <v>620</v>
      </c>
      <c r="G17" s="694">
        <v>0.15</v>
      </c>
      <c r="I17" s="491"/>
      <c r="J17" s="491"/>
      <c r="K17" s="491"/>
      <c r="L17" s="491"/>
      <c r="M17" s="491"/>
      <c r="N17" s="491"/>
    </row>
    <row r="18" spans="2:14" ht="15.75">
      <c r="B18" s="693">
        <v>45020</v>
      </c>
      <c r="C18" s="99" t="s">
        <v>2684</v>
      </c>
      <c r="D18" s="99" t="s">
        <v>2686</v>
      </c>
      <c r="E18" s="99" t="s">
        <v>150</v>
      </c>
      <c r="F18" s="99" t="s">
        <v>621</v>
      </c>
      <c r="G18" s="694">
        <v>0.15</v>
      </c>
      <c r="I18" s="491"/>
      <c r="J18" s="491"/>
      <c r="K18" s="491"/>
      <c r="L18" s="491"/>
      <c r="M18" s="491"/>
      <c r="N18" s="491"/>
    </row>
    <row r="19" spans="2:14" ht="15.75">
      <c r="B19" s="693">
        <v>45020</v>
      </c>
      <c r="C19" s="99" t="s">
        <v>2684</v>
      </c>
      <c r="D19" s="99" t="s">
        <v>2686</v>
      </c>
      <c r="E19" s="99" t="s">
        <v>630</v>
      </c>
      <c r="F19" s="99" t="s">
        <v>13</v>
      </c>
      <c r="G19" s="694">
        <v>0.35</v>
      </c>
      <c r="I19" s="491"/>
      <c r="J19" s="491"/>
      <c r="K19" s="491"/>
      <c r="L19" s="491"/>
      <c r="M19" s="491"/>
      <c r="N19" s="491"/>
    </row>
    <row r="20" spans="2:14" ht="15.75">
      <c r="B20" s="693">
        <v>45020</v>
      </c>
      <c r="C20" s="99" t="s">
        <v>2684</v>
      </c>
      <c r="D20" s="99" t="s">
        <v>2686</v>
      </c>
      <c r="E20" s="99" t="s">
        <v>60</v>
      </c>
      <c r="F20" s="99" t="s">
        <v>4282</v>
      </c>
      <c r="G20" s="694">
        <v>0.27</v>
      </c>
      <c r="I20" s="491"/>
      <c r="J20" s="491"/>
      <c r="K20" s="491"/>
      <c r="L20" s="491"/>
      <c r="M20" s="491"/>
      <c r="N20" s="491"/>
    </row>
    <row r="21" spans="2:14" ht="15.75">
      <c r="B21" s="693">
        <v>45020</v>
      </c>
      <c r="C21" s="99" t="s">
        <v>2687</v>
      </c>
      <c r="D21" s="99" t="s">
        <v>2685</v>
      </c>
      <c r="E21" s="99" t="s">
        <v>4279</v>
      </c>
      <c r="F21" s="99" t="s">
        <v>628</v>
      </c>
      <c r="G21" s="694">
        <v>1.4999999999999999E-2</v>
      </c>
      <c r="I21" s="491"/>
      <c r="J21" s="491"/>
      <c r="K21" s="491"/>
      <c r="L21" s="491"/>
      <c r="M21" s="491"/>
      <c r="N21" s="491"/>
    </row>
    <row r="22" spans="2:14" ht="15.75">
      <c r="B22" s="693">
        <v>45020</v>
      </c>
      <c r="C22" s="99" t="s">
        <v>2687</v>
      </c>
      <c r="D22" s="99" t="s">
        <v>2685</v>
      </c>
      <c r="E22" s="99" t="s">
        <v>4280</v>
      </c>
      <c r="F22" s="99" t="s">
        <v>4281</v>
      </c>
      <c r="G22" s="694">
        <v>1.4999999999999999E-2</v>
      </c>
      <c r="I22" s="491"/>
      <c r="J22" s="491"/>
      <c r="K22" s="491"/>
      <c r="L22" s="491"/>
      <c r="M22" s="491"/>
      <c r="N22" s="491"/>
    </row>
    <row r="23" spans="2:14" ht="15.75">
      <c r="B23" s="693">
        <v>45020</v>
      </c>
      <c r="C23" s="99" t="s">
        <v>2687</v>
      </c>
      <c r="D23" s="99" t="s">
        <v>2685</v>
      </c>
      <c r="E23" s="99" t="s">
        <v>2700</v>
      </c>
      <c r="F23" s="99" t="s">
        <v>4310</v>
      </c>
      <c r="G23" s="694">
        <v>5.0000000000000001E-3</v>
      </c>
      <c r="I23" s="491"/>
      <c r="J23" s="491"/>
      <c r="K23" s="491"/>
      <c r="L23" s="491"/>
      <c r="M23" s="491"/>
      <c r="N23" s="491"/>
    </row>
    <row r="24" spans="2:14" ht="15.75">
      <c r="B24" s="693">
        <v>45020</v>
      </c>
      <c r="C24" s="99" t="s">
        <v>2687</v>
      </c>
      <c r="D24" s="99" t="s">
        <v>2685</v>
      </c>
      <c r="E24" s="99" t="s">
        <v>2697</v>
      </c>
      <c r="F24" s="99" t="s">
        <v>4311</v>
      </c>
      <c r="G24" s="694">
        <v>0.01</v>
      </c>
      <c r="I24" s="491"/>
      <c r="J24" s="491"/>
      <c r="K24" s="491"/>
      <c r="L24" s="491"/>
      <c r="M24" s="491"/>
      <c r="N24" s="491"/>
    </row>
    <row r="25" spans="2:14" ht="15.75">
      <c r="B25" s="693">
        <v>45020</v>
      </c>
      <c r="C25" s="99" t="s">
        <v>2687</v>
      </c>
      <c r="D25" s="99" t="s">
        <v>2685</v>
      </c>
      <c r="E25" s="99" t="s">
        <v>634</v>
      </c>
      <c r="F25" s="99" t="s">
        <v>1372</v>
      </c>
      <c r="G25" s="694">
        <v>0.04</v>
      </c>
      <c r="I25" s="491"/>
      <c r="J25" s="491"/>
      <c r="K25" s="491"/>
      <c r="L25" s="491"/>
      <c r="M25" s="491"/>
      <c r="N25" s="491"/>
    </row>
    <row r="26" spans="2:14" ht="15.75">
      <c r="B26" s="693">
        <v>45020</v>
      </c>
      <c r="C26" s="99" t="s">
        <v>2687</v>
      </c>
      <c r="D26" s="99" t="s">
        <v>2685</v>
      </c>
      <c r="E26" s="99" t="s">
        <v>637</v>
      </c>
      <c r="F26" s="99" t="s">
        <v>620</v>
      </c>
      <c r="G26" s="694">
        <v>0.26500000000000001</v>
      </c>
      <c r="I26" s="491"/>
      <c r="J26" s="491"/>
      <c r="K26" s="491"/>
      <c r="L26" s="491"/>
      <c r="M26" s="491"/>
      <c r="N26" s="491"/>
    </row>
    <row r="27" spans="2:14" ht="15.75">
      <c r="B27" s="693">
        <v>45020</v>
      </c>
      <c r="C27" s="99" t="s">
        <v>2687</v>
      </c>
      <c r="D27" s="99" t="s">
        <v>2685</v>
      </c>
      <c r="E27" s="99" t="s">
        <v>150</v>
      </c>
      <c r="F27" s="99" t="s">
        <v>621</v>
      </c>
      <c r="G27" s="694">
        <v>0.21</v>
      </c>
      <c r="I27" s="491"/>
      <c r="J27" s="491"/>
      <c r="K27" s="491"/>
      <c r="L27" s="491"/>
      <c r="M27" s="491"/>
      <c r="N27" s="491"/>
    </row>
    <row r="28" spans="2:14" ht="15.75">
      <c r="B28" s="693">
        <v>45020</v>
      </c>
      <c r="C28" s="99" t="s">
        <v>2687</v>
      </c>
      <c r="D28" s="99" t="s">
        <v>2685</v>
      </c>
      <c r="E28" s="99" t="s">
        <v>630</v>
      </c>
      <c r="F28" s="99" t="s">
        <v>13</v>
      </c>
      <c r="G28" s="694">
        <v>0.3</v>
      </c>
      <c r="I28" s="491"/>
      <c r="J28" s="491"/>
      <c r="K28" s="491"/>
      <c r="L28" s="491"/>
      <c r="M28" s="491"/>
      <c r="N28" s="491"/>
    </row>
    <row r="29" spans="2:14" ht="15.75">
      <c r="B29" s="693">
        <v>45020</v>
      </c>
      <c r="C29" s="99" t="s">
        <v>2687</v>
      </c>
      <c r="D29" s="99" t="s">
        <v>2685</v>
      </c>
      <c r="E29" s="99" t="s">
        <v>60</v>
      </c>
      <c r="F29" s="99" t="s">
        <v>4282</v>
      </c>
      <c r="G29" s="694">
        <v>0.14000000000000001</v>
      </c>
      <c r="I29" s="491"/>
      <c r="J29" s="491"/>
      <c r="K29" s="491"/>
      <c r="L29" s="491"/>
      <c r="M29" s="491"/>
      <c r="N29" s="491"/>
    </row>
    <row r="30" spans="2:14" ht="15.75">
      <c r="B30" s="693">
        <v>45020</v>
      </c>
      <c r="C30" s="99" t="s">
        <v>2687</v>
      </c>
      <c r="D30" s="99" t="s">
        <v>2686</v>
      </c>
      <c r="E30" s="99" t="s">
        <v>4280</v>
      </c>
      <c r="F30" s="99" t="s">
        <v>4281</v>
      </c>
      <c r="G30" s="694">
        <v>0.04</v>
      </c>
      <c r="I30" s="491"/>
      <c r="J30" s="491"/>
      <c r="K30" s="491"/>
      <c r="L30" s="491"/>
      <c r="M30" s="491"/>
      <c r="N30" s="491"/>
    </row>
    <row r="31" spans="2:14" ht="15.75">
      <c r="B31" s="693">
        <v>45020</v>
      </c>
      <c r="C31" s="99" t="s">
        <v>2687</v>
      </c>
      <c r="D31" s="99" t="s">
        <v>2686</v>
      </c>
      <c r="E31" s="99" t="s">
        <v>637</v>
      </c>
      <c r="F31" s="99" t="s">
        <v>620</v>
      </c>
      <c r="G31" s="694">
        <v>0.3</v>
      </c>
      <c r="I31" s="491"/>
      <c r="J31" s="491"/>
      <c r="K31" s="491"/>
      <c r="L31" s="491"/>
      <c r="M31" s="491"/>
      <c r="N31" s="491"/>
    </row>
    <row r="32" spans="2:14" ht="15.75">
      <c r="B32" s="693">
        <v>45020</v>
      </c>
      <c r="C32" s="99" t="s">
        <v>2687</v>
      </c>
      <c r="D32" s="99" t="s">
        <v>2686</v>
      </c>
      <c r="E32" s="99" t="s">
        <v>150</v>
      </c>
      <c r="F32" s="99" t="s">
        <v>621</v>
      </c>
      <c r="G32" s="694">
        <v>0.2</v>
      </c>
      <c r="I32" s="491"/>
      <c r="J32" s="491"/>
      <c r="K32" s="491"/>
      <c r="L32" s="491"/>
      <c r="M32" s="491"/>
      <c r="N32" s="491"/>
    </row>
    <row r="33" spans="2:14" ht="15.75">
      <c r="B33" s="693">
        <v>45020</v>
      </c>
      <c r="C33" s="99" t="s">
        <v>2687</v>
      </c>
      <c r="D33" s="99" t="s">
        <v>2686</v>
      </c>
      <c r="E33" s="99" t="s">
        <v>630</v>
      </c>
      <c r="F33" s="99" t="s">
        <v>13</v>
      </c>
      <c r="G33" s="694">
        <v>0.3</v>
      </c>
      <c r="I33" s="491"/>
      <c r="J33" s="491"/>
      <c r="K33" s="491"/>
      <c r="L33" s="491"/>
      <c r="M33" s="491"/>
      <c r="N33" s="491"/>
    </row>
    <row r="34" spans="2:14" ht="15.75">
      <c r="B34" s="693">
        <v>45020</v>
      </c>
      <c r="C34" s="99" t="s">
        <v>2687</v>
      </c>
      <c r="D34" s="99" t="s">
        <v>2686</v>
      </c>
      <c r="E34" s="99" t="s">
        <v>60</v>
      </c>
      <c r="F34" s="99" t="s">
        <v>4282</v>
      </c>
      <c r="G34" s="694">
        <v>0.16</v>
      </c>
      <c r="I34" s="491"/>
      <c r="J34" s="491"/>
      <c r="K34" s="491"/>
      <c r="L34" s="491"/>
      <c r="M34" s="491"/>
      <c r="N34" s="491"/>
    </row>
    <row r="35" spans="2:14" ht="15.75">
      <c r="B35" s="693">
        <v>45020</v>
      </c>
      <c r="C35" s="99" t="s">
        <v>2688</v>
      </c>
      <c r="D35" s="99" t="s">
        <v>2685</v>
      </c>
      <c r="E35" s="99" t="s">
        <v>4279</v>
      </c>
      <c r="F35" s="99" t="s">
        <v>628</v>
      </c>
      <c r="G35" s="694">
        <v>1.4999999999999999E-2</v>
      </c>
      <c r="I35" s="491"/>
      <c r="J35" s="491"/>
      <c r="K35" s="491"/>
      <c r="L35" s="491"/>
      <c r="M35" s="491"/>
      <c r="N35" s="491"/>
    </row>
    <row r="36" spans="2:14" ht="15.75">
      <c r="B36" s="693">
        <v>45020</v>
      </c>
      <c r="C36" s="99" t="s">
        <v>2688</v>
      </c>
      <c r="D36" s="99" t="s">
        <v>2685</v>
      </c>
      <c r="E36" s="99" t="s">
        <v>4280</v>
      </c>
      <c r="F36" s="99" t="s">
        <v>4281</v>
      </c>
      <c r="G36" s="694">
        <v>0.01</v>
      </c>
      <c r="I36" s="491"/>
      <c r="J36" s="491"/>
      <c r="K36" s="491"/>
      <c r="L36" s="491"/>
      <c r="M36" s="491"/>
      <c r="N36" s="491"/>
    </row>
    <row r="37" spans="2:14" ht="15.75">
      <c r="B37" s="693">
        <v>45020</v>
      </c>
      <c r="C37" s="99" t="s">
        <v>2688</v>
      </c>
      <c r="D37" s="99" t="s">
        <v>2685</v>
      </c>
      <c r="E37" s="99" t="s">
        <v>2700</v>
      </c>
      <c r="F37" s="99" t="s">
        <v>4310</v>
      </c>
      <c r="G37" s="694">
        <v>5.0000000000000001E-3</v>
      </c>
      <c r="I37" s="491"/>
      <c r="J37" s="491"/>
      <c r="K37" s="491"/>
      <c r="L37" s="491"/>
      <c r="M37" s="491"/>
      <c r="N37" s="491"/>
    </row>
    <row r="38" spans="2:14" ht="15.75">
      <c r="B38" s="693">
        <v>45020</v>
      </c>
      <c r="C38" s="99" t="s">
        <v>2688</v>
      </c>
      <c r="D38" s="99" t="s">
        <v>2685</v>
      </c>
      <c r="E38" s="99" t="s">
        <v>2697</v>
      </c>
      <c r="F38" s="99" t="s">
        <v>4311</v>
      </c>
      <c r="G38" s="694">
        <v>5.0000000000000001E-3</v>
      </c>
      <c r="I38" s="491"/>
      <c r="J38" s="491"/>
      <c r="K38" s="491"/>
      <c r="L38" s="491"/>
      <c r="M38" s="491"/>
      <c r="N38" s="491"/>
    </row>
    <row r="39" spans="2:14" ht="15.75">
      <c r="B39" s="693">
        <v>45020</v>
      </c>
      <c r="C39" s="99" t="s">
        <v>2688</v>
      </c>
      <c r="D39" s="99" t="s">
        <v>2685</v>
      </c>
      <c r="E39" s="99" t="s">
        <v>634</v>
      </c>
      <c r="F39" s="99" t="s">
        <v>1372</v>
      </c>
      <c r="G39" s="694">
        <v>3.5000000000000003E-2</v>
      </c>
      <c r="I39" s="491"/>
      <c r="J39" s="491"/>
      <c r="K39" s="491"/>
      <c r="L39" s="491"/>
      <c r="M39" s="491"/>
      <c r="N39" s="491"/>
    </row>
    <row r="40" spans="2:14" ht="15.75">
      <c r="B40" s="693">
        <v>45020</v>
      </c>
      <c r="C40" s="99" t="s">
        <v>2688</v>
      </c>
      <c r="D40" s="99" t="s">
        <v>2685</v>
      </c>
      <c r="E40" s="99" t="s">
        <v>637</v>
      </c>
      <c r="F40" s="99" t="s">
        <v>620</v>
      </c>
      <c r="G40" s="694">
        <v>0.56499999999999995</v>
      </c>
      <c r="I40" s="491"/>
      <c r="J40" s="491"/>
      <c r="K40" s="491"/>
      <c r="L40" s="491"/>
      <c r="M40" s="491"/>
      <c r="N40" s="491"/>
    </row>
    <row r="41" spans="2:14" ht="15.75">
      <c r="B41" s="693">
        <v>45020</v>
      </c>
      <c r="C41" s="99" t="s">
        <v>2688</v>
      </c>
      <c r="D41" s="99" t="s">
        <v>2685</v>
      </c>
      <c r="E41" s="99" t="s">
        <v>150</v>
      </c>
      <c r="F41" s="99" t="s">
        <v>621</v>
      </c>
      <c r="G41" s="694">
        <v>0.11</v>
      </c>
      <c r="I41" s="491"/>
      <c r="J41" s="491"/>
      <c r="K41" s="491"/>
      <c r="L41" s="491"/>
      <c r="M41" s="491"/>
      <c r="N41" s="491"/>
    </row>
    <row r="42" spans="2:14" ht="15.75">
      <c r="B42" s="693">
        <v>45020</v>
      </c>
      <c r="C42" s="99" t="s">
        <v>2688</v>
      </c>
      <c r="D42" s="99" t="s">
        <v>2685</v>
      </c>
      <c r="E42" s="99" t="s">
        <v>630</v>
      </c>
      <c r="F42" s="99" t="s">
        <v>13</v>
      </c>
      <c r="G42" s="694">
        <v>0.2</v>
      </c>
      <c r="I42" s="491"/>
      <c r="J42" s="491"/>
      <c r="K42" s="491"/>
      <c r="L42" s="491"/>
      <c r="M42" s="491"/>
      <c r="N42" s="491"/>
    </row>
    <row r="43" spans="2:14" ht="15.75">
      <c r="B43" s="693">
        <v>45020</v>
      </c>
      <c r="C43" s="99" t="s">
        <v>2688</v>
      </c>
      <c r="D43" s="99" t="s">
        <v>2685</v>
      </c>
      <c r="E43" s="99" t="s">
        <v>60</v>
      </c>
      <c r="F43" s="99" t="s">
        <v>4282</v>
      </c>
      <c r="G43" s="694">
        <v>5.5E-2</v>
      </c>
      <c r="I43" s="491"/>
      <c r="J43" s="491"/>
      <c r="K43" s="491"/>
      <c r="L43" s="491"/>
      <c r="M43" s="491"/>
      <c r="N43" s="491"/>
    </row>
    <row r="44" spans="2:14" ht="15.75">
      <c r="B44" s="693">
        <v>45020</v>
      </c>
      <c r="C44" s="99" t="s">
        <v>2688</v>
      </c>
      <c r="D44" s="99" t="s">
        <v>2686</v>
      </c>
      <c r="E44" s="99" t="s">
        <v>4280</v>
      </c>
      <c r="F44" s="99" t="s">
        <v>4281</v>
      </c>
      <c r="G44" s="694">
        <v>0.03</v>
      </c>
      <c r="I44" s="491"/>
      <c r="J44" s="491"/>
      <c r="K44" s="491"/>
      <c r="L44" s="491"/>
      <c r="M44" s="491"/>
      <c r="N44" s="491"/>
    </row>
    <row r="45" spans="2:14" ht="15.75">
      <c r="B45" s="693">
        <v>45020</v>
      </c>
      <c r="C45" s="99" t="s">
        <v>2688</v>
      </c>
      <c r="D45" s="99" t="s">
        <v>2686</v>
      </c>
      <c r="E45" s="99" t="s">
        <v>637</v>
      </c>
      <c r="F45" s="99" t="s">
        <v>620</v>
      </c>
      <c r="G45" s="694">
        <v>0.6</v>
      </c>
      <c r="I45" s="491"/>
      <c r="J45" s="491"/>
      <c r="K45" s="491"/>
      <c r="L45" s="491"/>
      <c r="M45" s="491"/>
      <c r="N45" s="491"/>
    </row>
    <row r="46" spans="2:14" ht="15.75">
      <c r="B46" s="693">
        <v>45020</v>
      </c>
      <c r="C46" s="99" t="s">
        <v>2688</v>
      </c>
      <c r="D46" s="99" t="s">
        <v>2686</v>
      </c>
      <c r="E46" s="99" t="s">
        <v>150</v>
      </c>
      <c r="F46" s="99" t="s">
        <v>621</v>
      </c>
      <c r="G46" s="694">
        <v>0.1</v>
      </c>
      <c r="I46" s="491"/>
      <c r="J46" s="491"/>
      <c r="K46" s="491"/>
      <c r="L46" s="491"/>
      <c r="M46" s="491"/>
      <c r="N46" s="491"/>
    </row>
    <row r="47" spans="2:14" ht="15.75">
      <c r="B47" s="693">
        <v>45020</v>
      </c>
      <c r="C47" s="99" t="s">
        <v>2688</v>
      </c>
      <c r="D47" s="99" t="s">
        <v>2686</v>
      </c>
      <c r="E47" s="99" t="s">
        <v>630</v>
      </c>
      <c r="F47" s="99" t="s">
        <v>13</v>
      </c>
      <c r="G47" s="694">
        <v>0.2</v>
      </c>
      <c r="I47" s="491"/>
      <c r="J47" s="491"/>
      <c r="K47" s="491"/>
      <c r="L47" s="491"/>
      <c r="M47" s="491"/>
      <c r="N47" s="491"/>
    </row>
    <row r="48" spans="2:14" ht="15.75">
      <c r="B48" s="693">
        <v>45020</v>
      </c>
      <c r="C48" s="99" t="s">
        <v>2688</v>
      </c>
      <c r="D48" s="99" t="s">
        <v>2686</v>
      </c>
      <c r="E48" s="99" t="s">
        <v>60</v>
      </c>
      <c r="F48" s="99" t="s">
        <v>4282</v>
      </c>
      <c r="G48" s="694">
        <v>7.0000000000000007E-2</v>
      </c>
      <c r="I48" s="491"/>
      <c r="J48" s="491"/>
      <c r="K48" s="491"/>
      <c r="L48" s="491"/>
      <c r="M48" s="491"/>
      <c r="N48" s="491"/>
    </row>
    <row r="49" spans="2:7" s="139" customFormat="1" ht="15.75">
      <c r="B49" s="693">
        <v>45020</v>
      </c>
      <c r="C49" s="99" t="s">
        <v>2689</v>
      </c>
      <c r="D49" s="99" t="s">
        <v>2685</v>
      </c>
      <c r="E49" s="99" t="s">
        <v>4279</v>
      </c>
      <c r="F49" s="99" t="s">
        <v>628</v>
      </c>
      <c r="G49" s="694">
        <v>0.01</v>
      </c>
    </row>
    <row r="50" spans="2:7" ht="15.75">
      <c r="B50" s="693">
        <v>45020</v>
      </c>
      <c r="C50" s="99" t="s">
        <v>2689</v>
      </c>
      <c r="D50" s="99" t="s">
        <v>2685</v>
      </c>
      <c r="E50" s="99" t="s">
        <v>4280</v>
      </c>
      <c r="F50" s="99" t="s">
        <v>4281</v>
      </c>
      <c r="G50" s="694">
        <v>5.0000000000000001E-3</v>
      </c>
    </row>
    <row r="51" spans="2:7" ht="15.75">
      <c r="B51" s="693">
        <v>45020</v>
      </c>
      <c r="C51" s="99" t="s">
        <v>2689</v>
      </c>
      <c r="D51" s="99" t="s">
        <v>2685</v>
      </c>
      <c r="E51" s="99" t="s">
        <v>2700</v>
      </c>
      <c r="F51" s="99" t="s">
        <v>4310</v>
      </c>
      <c r="G51" s="694">
        <v>5.0000000000000001E-3</v>
      </c>
    </row>
    <row r="52" spans="2:7" ht="15.75">
      <c r="B52" s="693">
        <v>45020</v>
      </c>
      <c r="C52" s="99" t="s">
        <v>2689</v>
      </c>
      <c r="D52" s="99" t="s">
        <v>2685</v>
      </c>
      <c r="E52" s="99" t="s">
        <v>634</v>
      </c>
      <c r="F52" s="99" t="s">
        <v>1372</v>
      </c>
      <c r="G52" s="694">
        <v>0.03</v>
      </c>
    </row>
    <row r="53" spans="2:7" ht="15.75">
      <c r="B53" s="693">
        <v>45020</v>
      </c>
      <c r="C53" s="99" t="s">
        <v>2689</v>
      </c>
      <c r="D53" s="99" t="s">
        <v>2685</v>
      </c>
      <c r="E53" s="99" t="s">
        <v>637</v>
      </c>
      <c r="F53" s="99" t="s">
        <v>620</v>
      </c>
      <c r="G53" s="694">
        <v>0.67</v>
      </c>
    </row>
    <row r="54" spans="2:7" ht="15.75">
      <c r="B54" s="693">
        <v>45020</v>
      </c>
      <c r="C54" s="99" t="s">
        <v>2689</v>
      </c>
      <c r="D54" s="99" t="s">
        <v>2685</v>
      </c>
      <c r="E54" s="99" t="s">
        <v>150</v>
      </c>
      <c r="F54" s="99" t="s">
        <v>621</v>
      </c>
      <c r="G54" s="694">
        <v>0.16</v>
      </c>
    </row>
    <row r="55" spans="2:7" ht="15.75">
      <c r="B55" s="693">
        <v>45020</v>
      </c>
      <c r="C55" s="99" t="s">
        <v>2689</v>
      </c>
      <c r="D55" s="99" t="s">
        <v>2685</v>
      </c>
      <c r="E55" s="99" t="s">
        <v>630</v>
      </c>
      <c r="F55" s="99" t="s">
        <v>13</v>
      </c>
      <c r="G55" s="694">
        <v>0.1</v>
      </c>
    </row>
    <row r="56" spans="2:7" ht="15.75">
      <c r="B56" s="693">
        <v>45020</v>
      </c>
      <c r="C56" s="99" t="s">
        <v>2689</v>
      </c>
      <c r="D56" s="99" t="s">
        <v>2685</v>
      </c>
      <c r="E56" s="99" t="s">
        <v>60</v>
      </c>
      <c r="F56" s="99" t="s">
        <v>4282</v>
      </c>
      <c r="G56" s="694">
        <v>0.02</v>
      </c>
    </row>
    <row r="57" spans="2:7" ht="15.75">
      <c r="B57" s="693">
        <v>45020</v>
      </c>
      <c r="C57" s="99" t="s">
        <v>2689</v>
      </c>
      <c r="D57" s="99" t="s">
        <v>2686</v>
      </c>
      <c r="E57" s="99" t="s">
        <v>4280</v>
      </c>
      <c r="F57" s="99" t="s">
        <v>4281</v>
      </c>
      <c r="G57" s="694">
        <v>1.4999999999999999E-2</v>
      </c>
    </row>
    <row r="58" spans="2:7" ht="15.75">
      <c r="B58" s="693">
        <v>45020</v>
      </c>
      <c r="C58" s="99" t="s">
        <v>2689</v>
      </c>
      <c r="D58" s="99" t="s">
        <v>2686</v>
      </c>
      <c r="E58" s="99" t="s">
        <v>637</v>
      </c>
      <c r="F58" s="99" t="s">
        <v>620</v>
      </c>
      <c r="G58" s="694">
        <v>0.7</v>
      </c>
    </row>
    <row r="59" spans="2:7" ht="15.75">
      <c r="B59" s="693">
        <v>45020</v>
      </c>
      <c r="C59" s="99" t="s">
        <v>2689</v>
      </c>
      <c r="D59" s="99" t="s">
        <v>2686</v>
      </c>
      <c r="E59" s="99" t="s">
        <v>150</v>
      </c>
      <c r="F59" s="99" t="s">
        <v>621</v>
      </c>
      <c r="G59" s="694">
        <v>0.15</v>
      </c>
    </row>
    <row r="60" spans="2:7" ht="15.75">
      <c r="B60" s="693">
        <v>45020</v>
      </c>
      <c r="C60" s="99" t="s">
        <v>2689</v>
      </c>
      <c r="D60" s="99" t="s">
        <v>2686</v>
      </c>
      <c r="E60" s="99" t="s">
        <v>630</v>
      </c>
      <c r="F60" s="99" t="s">
        <v>13</v>
      </c>
      <c r="G60" s="694">
        <v>0.1</v>
      </c>
    </row>
    <row r="61" spans="2:7" ht="15.75">
      <c r="B61" s="693">
        <v>45020</v>
      </c>
      <c r="C61" s="99" t="s">
        <v>2689</v>
      </c>
      <c r="D61" s="99" t="s">
        <v>2686</v>
      </c>
      <c r="E61" s="99" t="s">
        <v>60</v>
      </c>
      <c r="F61" s="99" t="s">
        <v>4282</v>
      </c>
      <c r="G61" s="694">
        <v>3.5000000000000003E-2</v>
      </c>
    </row>
    <row r="62" spans="2:7" ht="15.75">
      <c r="B62" s="693">
        <v>45020</v>
      </c>
      <c r="C62" s="99" t="s">
        <v>2690</v>
      </c>
      <c r="D62" s="99" t="s">
        <v>2685</v>
      </c>
      <c r="E62" s="99" t="s">
        <v>4279</v>
      </c>
      <c r="F62" s="99" t="s">
        <v>628</v>
      </c>
      <c r="G62" s="694">
        <v>5.0000000000000001E-3</v>
      </c>
    </row>
    <row r="63" spans="2:7" ht="15.75">
      <c r="B63" s="693">
        <v>45020</v>
      </c>
      <c r="C63" s="99" t="s">
        <v>2690</v>
      </c>
      <c r="D63" s="99" t="s">
        <v>2685</v>
      </c>
      <c r="E63" s="99" t="s">
        <v>634</v>
      </c>
      <c r="F63" s="99" t="s">
        <v>1372</v>
      </c>
      <c r="G63" s="694">
        <v>0.01</v>
      </c>
    </row>
    <row r="64" spans="2:7" ht="15.75">
      <c r="B64" s="693">
        <v>45020</v>
      </c>
      <c r="C64" s="99" t="s">
        <v>2690</v>
      </c>
      <c r="D64" s="99" t="s">
        <v>2685</v>
      </c>
      <c r="E64" s="99" t="s">
        <v>637</v>
      </c>
      <c r="F64" s="99" t="s">
        <v>620</v>
      </c>
      <c r="G64" s="694">
        <v>0.82499999999999996</v>
      </c>
    </row>
    <row r="65" spans="2:7" ht="15.75">
      <c r="B65" s="693">
        <v>45020</v>
      </c>
      <c r="C65" s="99" t="s">
        <v>2690</v>
      </c>
      <c r="D65" s="99" t="s">
        <v>2685</v>
      </c>
      <c r="E65" s="99" t="s">
        <v>150</v>
      </c>
      <c r="F65" s="99" t="s">
        <v>621</v>
      </c>
      <c r="G65" s="694">
        <v>0.16</v>
      </c>
    </row>
    <row r="66" spans="2:7" ht="15.75">
      <c r="B66" s="693">
        <v>45020</v>
      </c>
      <c r="C66" s="99" t="s">
        <v>2690</v>
      </c>
      <c r="D66" s="99" t="s">
        <v>2686</v>
      </c>
      <c r="E66" s="99" t="s">
        <v>637</v>
      </c>
      <c r="F66" s="99" t="s">
        <v>620</v>
      </c>
      <c r="G66" s="694">
        <v>0.85</v>
      </c>
    </row>
    <row r="67" spans="2:7" ht="15.75">
      <c r="B67" s="693">
        <v>45020</v>
      </c>
      <c r="C67" s="99" t="s">
        <v>2690</v>
      </c>
      <c r="D67" s="99" t="s">
        <v>2686</v>
      </c>
      <c r="E67" s="99" t="s">
        <v>150</v>
      </c>
      <c r="F67" s="99" t="s">
        <v>621</v>
      </c>
      <c r="G67" s="694">
        <v>0.15</v>
      </c>
    </row>
  </sheetData>
  <mergeCells count="1">
    <mergeCell ref="B2:D3"/>
  </mergeCells>
  <pageMargins left="0.7" right="0.7" top="0.75" bottom="0.75" header="0.3" footer="0.3"/>
  <pageSetup paperSize="9"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H61"/>
  <sheetViews>
    <sheetView showGridLines="0" zoomScale="85" zoomScaleNormal="85" workbookViewId="0">
      <selection activeCell="E21" sqref="E21"/>
    </sheetView>
  </sheetViews>
  <sheetFormatPr defaultColWidth="10.69921875" defaultRowHeight="15"/>
  <cols>
    <col min="1" max="1" width="1.69921875" style="491" customWidth="1"/>
    <col min="2" max="2" width="30.19921875" style="491" bestFit="1" customWidth="1"/>
    <col min="3" max="3" width="8.09765625" style="492" bestFit="1" customWidth="1"/>
    <col min="4" max="4" width="11.296875" style="492" bestFit="1" customWidth="1"/>
    <col min="5" max="5" width="16.296875" style="492" bestFit="1" customWidth="1"/>
    <col min="6" max="6" width="12.59765625" style="493" bestFit="1" customWidth="1"/>
    <col min="7" max="7" width="10.5" style="653" bestFit="1" customWidth="1"/>
    <col min="8" max="8" width="10.8984375" style="492" bestFit="1" customWidth="1"/>
    <col min="9" max="9" width="10.69921875" style="491"/>
    <col min="10" max="10" width="33.19921875" style="491" bestFit="1" customWidth="1"/>
    <col min="11" max="11" width="10.09765625" style="491" bestFit="1" customWidth="1"/>
    <col min="12" max="12" width="10.3984375" style="491" bestFit="1" customWidth="1"/>
    <col min="13" max="13" width="16.5" style="491" bestFit="1" customWidth="1"/>
    <col min="14" max="14" width="11.69921875" style="491" bestFit="1" customWidth="1"/>
    <col min="15" max="15" width="11.8984375" style="491" bestFit="1" customWidth="1"/>
    <col min="16" max="16" width="14.296875" style="491" bestFit="1" customWidth="1"/>
    <col min="17" max="16384" width="10.69921875" style="491"/>
  </cols>
  <sheetData>
    <row r="1" spans="2:8" ht="5.0999999999999996" customHeight="1">
      <c r="G1" s="493"/>
    </row>
    <row r="2" spans="2:8" s="156" customFormat="1" ht="31.5" customHeight="1">
      <c r="B2" s="1074" t="s">
        <v>1439</v>
      </c>
      <c r="C2" s="1074"/>
      <c r="D2" s="695"/>
      <c r="E2" s="695"/>
      <c r="F2" s="695"/>
      <c r="G2" s="494"/>
      <c r="H2" s="494"/>
    </row>
    <row r="3" spans="2:8" s="101" customFormat="1" ht="17.25" customHeight="1">
      <c r="B3" s="1074"/>
      <c r="C3" s="1074"/>
      <c r="D3" s="695"/>
      <c r="E3" s="695"/>
      <c r="F3" s="695"/>
      <c r="G3" s="494"/>
      <c r="H3" s="494"/>
    </row>
    <row r="4" spans="2:8" s="156" customFormat="1" ht="5.25" customHeight="1">
      <c r="C4" s="495"/>
      <c r="D4" s="495"/>
      <c r="E4" s="495"/>
      <c r="F4" s="494"/>
      <c r="G4" s="494"/>
      <c r="H4" s="495"/>
    </row>
    <row r="5" spans="2:8" s="137" customFormat="1" ht="5.25" customHeight="1">
      <c r="C5" s="496"/>
      <c r="D5" s="496"/>
      <c r="E5" s="496"/>
      <c r="F5" s="497"/>
      <c r="G5" s="497"/>
      <c r="H5" s="496"/>
    </row>
    <row r="6" spans="2:8" s="158" customFormat="1" ht="21.75" customHeight="1">
      <c r="B6" s="159" t="s">
        <v>1332</v>
      </c>
      <c r="C6" s="498"/>
      <c r="D6" s="498"/>
      <c r="E6" s="498"/>
      <c r="F6" s="499"/>
      <c r="G6" s="499"/>
      <c r="H6" s="498"/>
    </row>
    <row r="7" spans="2:8" s="137" customFormat="1" ht="5.25" customHeight="1">
      <c r="B7" s="22"/>
      <c r="C7" s="496"/>
      <c r="D7" s="496"/>
      <c r="E7" s="496"/>
      <c r="F7" s="497"/>
      <c r="G7" s="497"/>
      <c r="H7" s="496"/>
    </row>
    <row r="8" spans="2:8" s="100" customFormat="1" ht="15.75">
      <c r="B8" s="106" t="s">
        <v>1334</v>
      </c>
      <c r="C8" s="82" t="s">
        <v>1363</v>
      </c>
      <c r="D8" s="82" t="s">
        <v>1357</v>
      </c>
      <c r="E8" s="82" t="s">
        <v>1440</v>
      </c>
      <c r="F8" s="82" t="s">
        <v>1359</v>
      </c>
      <c r="G8" s="82" t="s">
        <v>704</v>
      </c>
      <c r="H8" s="82" t="s">
        <v>1481</v>
      </c>
    </row>
    <row r="9" spans="2:8">
      <c r="B9" s="968" t="s">
        <v>2603</v>
      </c>
      <c r="C9" s="971" t="s">
        <v>1365</v>
      </c>
      <c r="D9" s="971" t="s">
        <v>1366</v>
      </c>
      <c r="E9" s="974">
        <v>3.9500000000000001E-4</v>
      </c>
      <c r="F9" s="971">
        <v>2025</v>
      </c>
      <c r="G9" s="977">
        <v>0</v>
      </c>
      <c r="H9" s="979">
        <v>45000</v>
      </c>
    </row>
    <row r="10" spans="2:8">
      <c r="B10" s="967" t="s">
        <v>4725</v>
      </c>
      <c r="C10" s="970" t="s">
        <v>1365</v>
      </c>
      <c r="D10" s="970" t="s">
        <v>1366</v>
      </c>
      <c r="E10" s="973">
        <v>1.575E-3</v>
      </c>
      <c r="F10" s="970">
        <v>2029</v>
      </c>
      <c r="G10" s="976">
        <v>0</v>
      </c>
      <c r="H10" s="504">
        <v>45000</v>
      </c>
    </row>
    <row r="11" spans="2:8">
      <c r="B11" s="967" t="s">
        <v>4726</v>
      </c>
      <c r="C11" s="970" t="s">
        <v>4727</v>
      </c>
      <c r="D11" s="970" t="s">
        <v>1442</v>
      </c>
      <c r="E11" s="973">
        <v>0.13450000000000001</v>
      </c>
      <c r="F11" s="970">
        <v>202401</v>
      </c>
      <c r="G11" s="976">
        <v>3.16599925769702</v>
      </c>
      <c r="H11" s="504">
        <v>45000</v>
      </c>
    </row>
    <row r="12" spans="2:8">
      <c r="B12" s="967" t="s">
        <v>4728</v>
      </c>
      <c r="C12" s="970" t="s">
        <v>4727</v>
      </c>
      <c r="D12" s="970" t="s">
        <v>1442</v>
      </c>
      <c r="E12" s="973">
        <v>0.13100000000000001</v>
      </c>
      <c r="F12" s="970">
        <v>202407</v>
      </c>
      <c r="G12" s="976">
        <v>4.3605636723984604</v>
      </c>
      <c r="H12" s="504">
        <v>45000</v>
      </c>
    </row>
    <row r="13" spans="2:8">
      <c r="B13" s="967" t="s">
        <v>4729</v>
      </c>
      <c r="C13" s="970" t="s">
        <v>4727</v>
      </c>
      <c r="D13" s="970" t="s">
        <v>1442</v>
      </c>
      <c r="E13" s="973">
        <v>0.1275</v>
      </c>
      <c r="F13" s="970">
        <v>202501</v>
      </c>
      <c r="G13" s="976">
        <v>5.3035551849677498</v>
      </c>
      <c r="H13" s="504">
        <v>45000</v>
      </c>
    </row>
    <row r="14" spans="2:8">
      <c r="B14" s="967" t="s">
        <v>4730</v>
      </c>
      <c r="C14" s="970" t="s">
        <v>4727</v>
      </c>
      <c r="D14" s="970" t="s">
        <v>1442</v>
      </c>
      <c r="E14" s="973">
        <v>0.1275</v>
      </c>
      <c r="F14" s="970">
        <v>202507</v>
      </c>
      <c r="G14" s="976">
        <v>5.3035551849677498</v>
      </c>
      <c r="H14" s="504">
        <v>45000</v>
      </c>
    </row>
    <row r="15" spans="2:8">
      <c r="B15" s="967" t="s">
        <v>4731</v>
      </c>
      <c r="C15" s="970" t="s">
        <v>4727</v>
      </c>
      <c r="D15" s="970" t="s">
        <v>1442</v>
      </c>
      <c r="E15" s="973">
        <v>0.1285</v>
      </c>
      <c r="F15" s="970">
        <v>202601</v>
      </c>
      <c r="G15" s="976">
        <v>6.0286679963552201</v>
      </c>
      <c r="H15" s="504">
        <v>45000</v>
      </c>
    </row>
    <row r="16" spans="2:8">
      <c r="B16" s="967" t="s">
        <v>1450</v>
      </c>
      <c r="C16" s="970" t="s">
        <v>1360</v>
      </c>
      <c r="D16" s="970" t="s">
        <v>1358</v>
      </c>
      <c r="E16" s="973">
        <v>4.4999999999999998E-2</v>
      </c>
      <c r="F16" s="970">
        <v>2023</v>
      </c>
      <c r="G16" s="976">
        <v>0.158498203750216</v>
      </c>
      <c r="H16" s="504">
        <v>45000</v>
      </c>
    </row>
    <row r="17" spans="2:8">
      <c r="B17" s="967" t="s">
        <v>1451</v>
      </c>
      <c r="C17" s="970" t="s">
        <v>1360</v>
      </c>
      <c r="D17" s="970" t="s">
        <v>1358</v>
      </c>
      <c r="E17" s="973">
        <v>0.06</v>
      </c>
      <c r="F17" s="970">
        <v>2024</v>
      </c>
      <c r="G17" s="976">
        <v>1.3618479350563599</v>
      </c>
      <c r="H17" s="504">
        <v>45000</v>
      </c>
    </row>
    <row r="18" spans="2:8">
      <c r="B18" s="967" t="s">
        <v>1452</v>
      </c>
      <c r="C18" s="970" t="s">
        <v>1360</v>
      </c>
      <c r="D18" s="970" t="s">
        <v>1358</v>
      </c>
      <c r="E18" s="973">
        <v>5.6000000000000001E-2</v>
      </c>
      <c r="F18" s="970">
        <v>2025</v>
      </c>
      <c r="G18" s="976">
        <v>2.0094253094389898</v>
      </c>
      <c r="H18" s="504">
        <v>45000</v>
      </c>
    </row>
    <row r="19" spans="2:8">
      <c r="B19" s="967" t="s">
        <v>1453</v>
      </c>
      <c r="C19" s="970" t="s">
        <v>1360</v>
      </c>
      <c r="D19" s="970" t="s">
        <v>1358</v>
      </c>
      <c r="E19" s="973">
        <v>5.7000000000000002E-2</v>
      </c>
      <c r="F19" s="970">
        <v>2026</v>
      </c>
      <c r="G19" s="976">
        <v>3.1302578028505001</v>
      </c>
      <c r="H19" s="504">
        <v>45000</v>
      </c>
    </row>
    <row r="20" spans="2:8">
      <c r="B20" s="967" t="s">
        <v>1457</v>
      </c>
      <c r="C20" s="970" t="s">
        <v>1360</v>
      </c>
      <c r="D20" s="970" t="s">
        <v>1358</v>
      </c>
      <c r="E20" s="973">
        <v>5.7000000000000002E-2</v>
      </c>
      <c r="F20" s="970">
        <v>2027</v>
      </c>
      <c r="G20" s="976">
        <v>3.66933868454971</v>
      </c>
      <c r="H20" s="504">
        <v>45000</v>
      </c>
    </row>
    <row r="21" spans="2:8">
      <c r="B21" s="967" t="s">
        <v>1458</v>
      </c>
      <c r="C21" s="970" t="s">
        <v>1360</v>
      </c>
      <c r="D21" s="970" t="s">
        <v>1358</v>
      </c>
      <c r="E21" s="973">
        <v>5.9499999999999997E-2</v>
      </c>
      <c r="F21" s="970">
        <v>2028</v>
      </c>
      <c r="G21" s="976">
        <v>4.6783784842020504</v>
      </c>
      <c r="H21" s="504">
        <v>45000</v>
      </c>
    </row>
    <row r="22" spans="2:8">
      <c r="B22" s="967" t="s">
        <v>1459</v>
      </c>
      <c r="C22" s="970" t="s">
        <v>1360</v>
      </c>
      <c r="D22" s="970" t="s">
        <v>1358</v>
      </c>
      <c r="E22" s="973">
        <v>0.06</v>
      </c>
      <c r="F22" s="970">
        <v>2030</v>
      </c>
      <c r="G22" s="976">
        <v>6.05629739181646</v>
      </c>
      <c r="H22" s="504">
        <v>45000</v>
      </c>
    </row>
    <row r="23" spans="2:8">
      <c r="B23" s="967" t="s">
        <v>1465</v>
      </c>
      <c r="C23" s="970" t="s">
        <v>1360</v>
      </c>
      <c r="D23" s="970" t="s">
        <v>1358</v>
      </c>
      <c r="E23" s="973">
        <v>6.1499999999999999E-2</v>
      </c>
      <c r="F23" s="970">
        <v>2032</v>
      </c>
      <c r="G23" s="976">
        <v>7.2837145386720596</v>
      </c>
      <c r="H23" s="504">
        <v>45000</v>
      </c>
    </row>
    <row r="24" spans="2:8">
      <c r="B24" s="967" t="s">
        <v>1466</v>
      </c>
      <c r="C24" s="970" t="s">
        <v>1360</v>
      </c>
      <c r="D24" s="970" t="s">
        <v>1358</v>
      </c>
      <c r="E24" s="973">
        <v>6.3E-2</v>
      </c>
      <c r="F24" s="970">
        <v>2035</v>
      </c>
      <c r="G24" s="976">
        <v>8.5861915998306308</v>
      </c>
      <c r="H24" s="504">
        <v>45000</v>
      </c>
    </row>
    <row r="25" spans="2:8">
      <c r="B25" s="967" t="s">
        <v>4732</v>
      </c>
      <c r="C25" s="970" t="s">
        <v>1360</v>
      </c>
      <c r="D25" s="970" t="s">
        <v>1358</v>
      </c>
      <c r="E25" s="973">
        <v>6.3500000000000001E-2</v>
      </c>
      <c r="F25" s="970">
        <v>2040</v>
      </c>
      <c r="G25" s="976">
        <v>10.878552305606499</v>
      </c>
      <c r="H25" s="504">
        <v>45000</v>
      </c>
    </row>
    <row r="26" spans="2:8">
      <c r="B26" s="967" t="s">
        <v>4733</v>
      </c>
      <c r="C26" s="970" t="s">
        <v>1360</v>
      </c>
      <c r="D26" s="970" t="s">
        <v>1358</v>
      </c>
      <c r="E26" s="973">
        <v>6.4000000000000001E-2</v>
      </c>
      <c r="F26" s="970">
        <v>2045</v>
      </c>
      <c r="G26" s="976">
        <v>12.0966636724464</v>
      </c>
      <c r="H26" s="504">
        <v>45000</v>
      </c>
    </row>
    <row r="27" spans="2:8">
      <c r="B27" s="967" t="s">
        <v>4734</v>
      </c>
      <c r="C27" s="970" t="s">
        <v>1360</v>
      </c>
      <c r="D27" s="970" t="s">
        <v>1358</v>
      </c>
      <c r="E27" s="973">
        <v>6.4000000000000001E-2</v>
      </c>
      <c r="F27" s="970">
        <v>2050</v>
      </c>
      <c r="G27" s="976">
        <v>13.4211078876772</v>
      </c>
      <c r="H27" s="504">
        <v>45000</v>
      </c>
    </row>
    <row r="28" spans="2:8">
      <c r="B28" s="967" t="s">
        <v>4735</v>
      </c>
      <c r="C28" s="970" t="s">
        <v>1360</v>
      </c>
      <c r="D28" s="970" t="s">
        <v>1358</v>
      </c>
      <c r="E28" s="973">
        <v>6.4000000000000001E-2</v>
      </c>
      <c r="F28" s="970">
        <v>2055</v>
      </c>
      <c r="G28" s="976">
        <v>13.9572629546344</v>
      </c>
      <c r="H28" s="504">
        <v>45000</v>
      </c>
    </row>
    <row r="29" spans="2:8">
      <c r="B29" s="967" t="s">
        <v>4736</v>
      </c>
      <c r="C29" s="970" t="s">
        <v>1360</v>
      </c>
      <c r="D29" s="970" t="s">
        <v>1358</v>
      </c>
      <c r="E29" s="973">
        <v>6.3500000000000001E-2</v>
      </c>
      <c r="F29" s="970">
        <v>2060</v>
      </c>
      <c r="G29" s="976">
        <v>14.781340567718299</v>
      </c>
      <c r="H29" s="504">
        <v>45000</v>
      </c>
    </row>
    <row r="30" spans="2:8">
      <c r="B30" s="967" t="s">
        <v>1470</v>
      </c>
      <c r="C30" s="970" t="s">
        <v>1361</v>
      </c>
      <c r="D30" s="970" t="s">
        <v>1442</v>
      </c>
      <c r="E30" s="973">
        <v>0.1215</v>
      </c>
      <c r="F30" s="970">
        <v>2025</v>
      </c>
      <c r="G30" s="976">
        <v>1.6541294325363101</v>
      </c>
      <c r="H30" s="504">
        <v>45000</v>
      </c>
    </row>
    <row r="31" spans="2:8">
      <c r="B31" s="967" t="s">
        <v>1474</v>
      </c>
      <c r="C31" s="970" t="s">
        <v>1361</v>
      </c>
      <c r="D31" s="970" t="s">
        <v>1442</v>
      </c>
      <c r="E31" s="973">
        <v>0.125</v>
      </c>
      <c r="F31" s="970">
        <v>2027</v>
      </c>
      <c r="G31" s="976">
        <v>3.16599925769702</v>
      </c>
      <c r="H31" s="504">
        <v>45000</v>
      </c>
    </row>
    <row r="32" spans="2:8">
      <c r="B32" s="967" t="s">
        <v>1475</v>
      </c>
      <c r="C32" s="970" t="s">
        <v>1361</v>
      </c>
      <c r="D32" s="970" t="s">
        <v>1442</v>
      </c>
      <c r="E32" s="973">
        <v>0.1295</v>
      </c>
      <c r="F32" s="970">
        <v>2029</v>
      </c>
      <c r="G32" s="976">
        <v>4.3605636723984604</v>
      </c>
      <c r="H32" s="504">
        <v>45000</v>
      </c>
    </row>
    <row r="33" spans="2:8">
      <c r="B33" s="967" t="s">
        <v>1476</v>
      </c>
      <c r="C33" s="970" t="s">
        <v>1361</v>
      </c>
      <c r="D33" s="970" t="s">
        <v>1442</v>
      </c>
      <c r="E33" s="973">
        <v>0.13</v>
      </c>
      <c r="F33" s="970">
        <v>2031</v>
      </c>
      <c r="G33" s="976">
        <v>5.3035551849677498</v>
      </c>
      <c r="H33" s="504">
        <v>45000</v>
      </c>
    </row>
    <row r="34" spans="2:8">
      <c r="B34" s="967" t="s">
        <v>4737</v>
      </c>
      <c r="C34" s="970" t="s">
        <v>1361</v>
      </c>
      <c r="D34" s="970" t="s">
        <v>1442</v>
      </c>
      <c r="E34" s="973">
        <v>0.13100000000000001</v>
      </c>
      <c r="F34" s="970">
        <v>2033</v>
      </c>
      <c r="G34" s="976">
        <v>6.0286679963552201</v>
      </c>
      <c r="H34" s="504">
        <v>45000</v>
      </c>
    </row>
    <row r="35" spans="2:8">
      <c r="B35" s="967" t="s">
        <v>1444</v>
      </c>
      <c r="C35" s="970" t="s">
        <v>1441</v>
      </c>
      <c r="D35" s="970" t="s">
        <v>1356</v>
      </c>
      <c r="E35" s="973">
        <v>1.115</v>
      </c>
      <c r="F35" s="970">
        <v>2023</v>
      </c>
      <c r="G35" s="976">
        <v>1</v>
      </c>
      <c r="H35" s="504">
        <v>45000</v>
      </c>
    </row>
    <row r="36" spans="2:8">
      <c r="B36" s="967" t="s">
        <v>1454</v>
      </c>
      <c r="C36" s="970" t="s">
        <v>1441</v>
      </c>
      <c r="D36" s="970" t="s">
        <v>1358</v>
      </c>
      <c r="E36" s="973">
        <v>6.6000000000000003E-2</v>
      </c>
      <c r="F36" s="970">
        <v>2023</v>
      </c>
      <c r="G36" s="976">
        <v>1</v>
      </c>
      <c r="H36" s="504">
        <v>45000</v>
      </c>
    </row>
    <row r="37" spans="2:8">
      <c r="B37" s="967" t="s">
        <v>1471</v>
      </c>
      <c r="C37" s="970" t="s">
        <v>1441</v>
      </c>
      <c r="D37" s="970" t="s">
        <v>1442</v>
      </c>
      <c r="E37" s="973">
        <v>0.14599999999999999</v>
      </c>
      <c r="F37" s="970">
        <v>2023</v>
      </c>
      <c r="G37" s="976">
        <v>1</v>
      </c>
      <c r="H37" s="504">
        <v>45000</v>
      </c>
    </row>
    <row r="38" spans="2:8">
      <c r="B38" s="967" t="s">
        <v>1445</v>
      </c>
      <c r="C38" s="970" t="s">
        <v>1441</v>
      </c>
      <c r="D38" s="970" t="s">
        <v>1356</v>
      </c>
      <c r="E38" s="973">
        <v>1.1499999999999999</v>
      </c>
      <c r="F38" s="970">
        <v>2024</v>
      </c>
      <c r="G38" s="976">
        <v>2</v>
      </c>
      <c r="H38" s="504">
        <v>45000</v>
      </c>
    </row>
    <row r="39" spans="2:8">
      <c r="B39" s="967" t="s">
        <v>1455</v>
      </c>
      <c r="C39" s="970" t="s">
        <v>1441</v>
      </c>
      <c r="D39" s="970" t="s">
        <v>1358</v>
      </c>
      <c r="E39" s="973">
        <v>6.8000000000000005E-2</v>
      </c>
      <c r="F39" s="970">
        <v>2024</v>
      </c>
      <c r="G39" s="976">
        <v>2</v>
      </c>
      <c r="H39" s="504">
        <v>45000</v>
      </c>
    </row>
    <row r="40" spans="2:8">
      <c r="B40" s="967" t="s">
        <v>1472</v>
      </c>
      <c r="C40" s="970" t="s">
        <v>1441</v>
      </c>
      <c r="D40" s="970" t="s">
        <v>1442</v>
      </c>
      <c r="E40" s="973">
        <v>0.13700000000000001</v>
      </c>
      <c r="F40" s="970">
        <v>2024</v>
      </c>
      <c r="G40" s="976">
        <v>2</v>
      </c>
      <c r="H40" s="504">
        <v>45000</v>
      </c>
    </row>
    <row r="41" spans="2:8">
      <c r="B41" s="967" t="s">
        <v>1446</v>
      </c>
      <c r="C41" s="970" t="s">
        <v>1441</v>
      </c>
      <c r="D41" s="970" t="s">
        <v>1356</v>
      </c>
      <c r="E41" s="973">
        <v>1.17</v>
      </c>
      <c r="F41" s="970">
        <v>2025</v>
      </c>
      <c r="G41" s="976">
        <v>3</v>
      </c>
      <c r="H41" s="504">
        <v>45000</v>
      </c>
    </row>
    <row r="42" spans="2:8">
      <c r="B42" s="967" t="s">
        <v>1456</v>
      </c>
      <c r="C42" s="970" t="s">
        <v>1441</v>
      </c>
      <c r="D42" s="970" t="s">
        <v>1358</v>
      </c>
      <c r="E42" s="973">
        <v>6.8500000000000005E-2</v>
      </c>
      <c r="F42" s="970">
        <v>2025</v>
      </c>
      <c r="G42" s="976">
        <v>3</v>
      </c>
      <c r="H42" s="504">
        <v>45000</v>
      </c>
    </row>
    <row r="43" spans="2:8">
      <c r="B43" s="967" t="s">
        <v>1473</v>
      </c>
      <c r="C43" s="970" t="s">
        <v>1441</v>
      </c>
      <c r="D43" s="970" t="s">
        <v>1442</v>
      </c>
      <c r="E43" s="973">
        <v>0.14299999999999999</v>
      </c>
      <c r="F43" s="970">
        <v>2025</v>
      </c>
      <c r="G43" s="976">
        <v>3</v>
      </c>
      <c r="H43" s="504">
        <v>45000</v>
      </c>
    </row>
    <row r="44" spans="2:8">
      <c r="B44" s="967" t="s">
        <v>1460</v>
      </c>
      <c r="C44" s="970" t="s">
        <v>1441</v>
      </c>
      <c r="D44" s="970" t="s">
        <v>1358</v>
      </c>
      <c r="E44" s="973">
        <v>7.0499999999999993E-2</v>
      </c>
      <c r="F44" s="970">
        <v>2026</v>
      </c>
      <c r="G44" s="976">
        <v>4</v>
      </c>
      <c r="H44" s="504">
        <v>45000</v>
      </c>
    </row>
    <row r="45" spans="2:8">
      <c r="B45" s="967" t="s">
        <v>1477</v>
      </c>
      <c r="C45" s="970" t="s">
        <v>1441</v>
      </c>
      <c r="D45" s="970" t="s">
        <v>1442</v>
      </c>
      <c r="E45" s="973">
        <v>0.14649999999999999</v>
      </c>
      <c r="F45" s="970">
        <v>2026</v>
      </c>
      <c r="G45" s="976">
        <v>4</v>
      </c>
      <c r="H45" s="504">
        <v>45000</v>
      </c>
    </row>
    <row r="46" spans="2:8">
      <c r="B46" s="967" t="s">
        <v>1461</v>
      </c>
      <c r="C46" s="970" t="s">
        <v>1441</v>
      </c>
      <c r="D46" s="970" t="s">
        <v>1358</v>
      </c>
      <c r="E46" s="973">
        <v>7.0000000000000007E-2</v>
      </c>
      <c r="F46" s="970">
        <v>2027</v>
      </c>
      <c r="G46" s="976">
        <v>5</v>
      </c>
      <c r="H46" s="504">
        <v>45000</v>
      </c>
    </row>
    <row r="47" spans="2:8">
      <c r="B47" s="967" t="s">
        <v>1478</v>
      </c>
      <c r="C47" s="970" t="s">
        <v>1441</v>
      </c>
      <c r="D47" s="970" t="s">
        <v>1442</v>
      </c>
      <c r="E47" s="973">
        <v>0.14399999999999999</v>
      </c>
      <c r="F47" s="970">
        <v>2027</v>
      </c>
      <c r="G47" s="976">
        <v>5</v>
      </c>
      <c r="H47" s="504">
        <v>45000</v>
      </c>
    </row>
    <row r="48" spans="2:8">
      <c r="B48" s="967" t="s">
        <v>1479</v>
      </c>
      <c r="C48" s="970" t="s">
        <v>1441</v>
      </c>
      <c r="D48" s="970" t="s">
        <v>1442</v>
      </c>
      <c r="E48" s="973">
        <v>0.14599999999999999</v>
      </c>
      <c r="F48" s="970">
        <v>2028</v>
      </c>
      <c r="G48" s="976">
        <v>6</v>
      </c>
      <c r="H48" s="504">
        <v>45000</v>
      </c>
    </row>
    <row r="49" spans="2:8">
      <c r="B49" s="967" t="s">
        <v>1443</v>
      </c>
      <c r="C49" s="970" t="s">
        <v>1441</v>
      </c>
      <c r="D49" s="970" t="s">
        <v>1356</v>
      </c>
      <c r="E49" s="973">
        <v>1.125</v>
      </c>
      <c r="F49" s="970">
        <v>2023</v>
      </c>
      <c r="G49" s="976">
        <v>0.5</v>
      </c>
      <c r="H49" s="504">
        <v>45000</v>
      </c>
    </row>
    <row r="50" spans="2:8">
      <c r="B50" s="967" t="s">
        <v>2604</v>
      </c>
      <c r="C50" s="970" t="s">
        <v>1441</v>
      </c>
      <c r="D50" s="970" t="s">
        <v>1356</v>
      </c>
      <c r="E50" s="973">
        <v>1.0249999999999999</v>
      </c>
      <c r="F50" s="970"/>
      <c r="G50" s="976">
        <v>0</v>
      </c>
      <c r="H50" s="504">
        <v>45000</v>
      </c>
    </row>
    <row r="51" spans="2:8" s="139" customFormat="1">
      <c r="B51" s="967" t="s">
        <v>1469</v>
      </c>
      <c r="C51" s="970" t="s">
        <v>1480</v>
      </c>
      <c r="D51" s="970" t="s">
        <v>1358</v>
      </c>
      <c r="E51" s="973">
        <v>0.09</v>
      </c>
      <c r="F51" s="970"/>
      <c r="G51" s="976">
        <v>10</v>
      </c>
      <c r="H51" s="504">
        <v>45000</v>
      </c>
    </row>
    <row r="52" spans="2:8">
      <c r="B52" s="967" t="s">
        <v>1447</v>
      </c>
      <c r="C52" s="970" t="s">
        <v>1480</v>
      </c>
      <c r="D52" s="970" t="s">
        <v>1355</v>
      </c>
      <c r="E52" s="973">
        <v>1.6E-2</v>
      </c>
      <c r="F52" s="970"/>
      <c r="G52" s="976">
        <v>2</v>
      </c>
      <c r="H52" s="504">
        <v>45000</v>
      </c>
    </row>
    <row r="53" spans="2:8">
      <c r="B53" s="967" t="s">
        <v>1448</v>
      </c>
      <c r="C53" s="970" t="s">
        <v>1480</v>
      </c>
      <c r="D53" s="970" t="s">
        <v>1355</v>
      </c>
      <c r="E53" s="973">
        <v>1.95E-2</v>
      </c>
      <c r="F53" s="970"/>
      <c r="G53" s="976">
        <v>3</v>
      </c>
      <c r="H53" s="504">
        <v>45000</v>
      </c>
    </row>
    <row r="54" spans="2:8">
      <c r="B54" s="967" t="s">
        <v>1449</v>
      </c>
      <c r="C54" s="970" t="s">
        <v>1480</v>
      </c>
      <c r="D54" s="970" t="s">
        <v>1355</v>
      </c>
      <c r="E54" s="973">
        <v>2.2499999999999999E-2</v>
      </c>
      <c r="F54" s="970"/>
      <c r="G54" s="976">
        <v>4</v>
      </c>
      <c r="H54" s="504">
        <v>45000</v>
      </c>
    </row>
    <row r="55" spans="2:8">
      <c r="B55" s="967" t="s">
        <v>1462</v>
      </c>
      <c r="C55" s="970" t="s">
        <v>1480</v>
      </c>
      <c r="D55" s="970" t="s">
        <v>1358</v>
      </c>
      <c r="E55" s="973">
        <v>8.2000000000000003E-2</v>
      </c>
      <c r="F55" s="970">
        <v>2026</v>
      </c>
      <c r="G55" s="976">
        <v>4</v>
      </c>
      <c r="H55" s="504">
        <v>45000</v>
      </c>
    </row>
    <row r="56" spans="2:8">
      <c r="B56" s="967" t="s">
        <v>2597</v>
      </c>
      <c r="C56" s="970" t="s">
        <v>1480</v>
      </c>
      <c r="D56" s="970" t="s">
        <v>1355</v>
      </c>
      <c r="E56" s="973">
        <v>2.3E-2</v>
      </c>
      <c r="F56" s="970"/>
      <c r="G56" s="976">
        <v>5</v>
      </c>
      <c r="H56" s="504">
        <v>45000</v>
      </c>
    </row>
    <row r="57" spans="2:8">
      <c r="B57" s="967" t="s">
        <v>1463</v>
      </c>
      <c r="C57" s="970" t="s">
        <v>1480</v>
      </c>
      <c r="D57" s="970" t="s">
        <v>1358</v>
      </c>
      <c r="E57" s="973">
        <v>8.7999999999999995E-2</v>
      </c>
      <c r="F57" s="970"/>
      <c r="G57" s="976">
        <v>5</v>
      </c>
      <c r="H57" s="504">
        <v>45000</v>
      </c>
    </row>
    <row r="58" spans="2:8">
      <c r="B58" s="967" t="s">
        <v>1464</v>
      </c>
      <c r="C58" s="970" t="s">
        <v>1480</v>
      </c>
      <c r="D58" s="970" t="s">
        <v>1358</v>
      </c>
      <c r="E58" s="973">
        <v>0.09</v>
      </c>
      <c r="F58" s="970"/>
      <c r="G58" s="976">
        <v>6</v>
      </c>
      <c r="H58" s="504">
        <v>45000</v>
      </c>
    </row>
    <row r="59" spans="2:8">
      <c r="B59" s="967" t="s">
        <v>2600</v>
      </c>
      <c r="C59" s="970" t="s">
        <v>1480</v>
      </c>
      <c r="D59" s="970" t="s">
        <v>1358</v>
      </c>
      <c r="E59" s="973">
        <v>9.2499999999999999E-2</v>
      </c>
      <c r="F59" s="970"/>
      <c r="G59" s="976">
        <v>7</v>
      </c>
      <c r="H59" s="504">
        <v>45000</v>
      </c>
    </row>
    <row r="60" spans="2:8">
      <c r="B60" s="967" t="s">
        <v>1467</v>
      </c>
      <c r="C60" s="970" t="s">
        <v>1480</v>
      </c>
      <c r="D60" s="970" t="s">
        <v>1358</v>
      </c>
      <c r="E60" s="973">
        <v>9.0999999999999998E-2</v>
      </c>
      <c r="F60" s="970"/>
      <c r="G60" s="976">
        <v>8</v>
      </c>
      <c r="H60" s="504">
        <v>45000</v>
      </c>
    </row>
    <row r="61" spans="2:8">
      <c r="B61" s="969" t="s">
        <v>1468</v>
      </c>
      <c r="C61" s="972" t="s">
        <v>1480</v>
      </c>
      <c r="D61" s="972" t="s">
        <v>1358</v>
      </c>
      <c r="E61" s="975">
        <v>9.0999999999999998E-2</v>
      </c>
      <c r="F61" s="972"/>
      <c r="G61" s="978">
        <v>9</v>
      </c>
      <c r="H61" s="980">
        <v>45000</v>
      </c>
    </row>
  </sheetData>
  <mergeCells count="1">
    <mergeCell ref="B2:C3"/>
  </mergeCells>
  <conditionalFormatting sqref="D36:G38 C19:C22 G11:G13 C31 C26:G28 C9:G10 E34:G35 B9:B17 D29:G33 C11:F17 D19:G25 E39:G48 H9:H48 B18:F18 B19:B48 D44:H48 B49:H61">
    <cfRule type="expression" dxfId="33" priority="27">
      <formula>AND(B9&lt;&gt;"",#REF!="",OR(COLUMN(B9)=COLUMN(#REF!),COLUMN(B9)=COLUMN(#REF!)))</formula>
    </cfRule>
  </conditionalFormatting>
  <conditionalFormatting sqref="D34:H35 G14:G18">
    <cfRule type="expression" dxfId="32" priority="26">
      <formula>AND(D14&lt;&gt;"",#REF!="",OR(COLUMN(D14)=COLUMN(#REF!),COLUMN(D14)=COLUMN(#REF!)))</formula>
    </cfRule>
  </conditionalFormatting>
  <conditionalFormatting sqref="C34:C35">
    <cfRule type="expression" dxfId="31" priority="25">
      <formula>AND(C34&lt;&gt;"",#REF!="",OR(COLUMN(C34)=COLUMN(#REF!),COLUMN(C34)=COLUMN(#REF!)))</formula>
    </cfRule>
  </conditionalFormatting>
  <conditionalFormatting sqref="C39:C40">
    <cfRule type="expression" dxfId="30" priority="24">
      <formula>AND(C39&lt;&gt;"",#REF!="",OR(COLUMN(C39)=COLUMN(#REF!),COLUMN(C39)=COLUMN(#REF!)))</formula>
    </cfRule>
  </conditionalFormatting>
  <conditionalFormatting sqref="C44:C47">
    <cfRule type="expression" dxfId="29" priority="23">
      <formula>AND(C44&lt;&gt;"",#REF!="",OR(COLUMN(C44)=COLUMN(#REF!),COLUMN(C44)=COLUMN(#REF!)))</formula>
    </cfRule>
  </conditionalFormatting>
  <conditionalFormatting sqref="C23:C25">
    <cfRule type="expression" dxfId="28" priority="22">
      <formula>AND(C23&lt;&gt;"",#REF!="",OR(COLUMN(C23)=COLUMN(#REF!),COLUMN(C23)=COLUMN(#REF!)))</formula>
    </cfRule>
  </conditionalFormatting>
  <conditionalFormatting sqref="C31">
    <cfRule type="expression" dxfId="27" priority="21">
      <formula>AND(C31&lt;&gt;"",#REF!="",OR(COLUMN(C31)=COLUMN(#REF!),COLUMN(C31)=COLUMN(#REF!)))</formula>
    </cfRule>
  </conditionalFormatting>
  <conditionalFormatting sqref="C29:C31">
    <cfRule type="expression" dxfId="26" priority="20">
      <formula>AND(C29&lt;&gt;"",#REF!="",OR(COLUMN(C29)=COLUMN(#REF!),COLUMN(C29)=COLUMN(#REF!)))</formula>
    </cfRule>
  </conditionalFormatting>
  <conditionalFormatting sqref="C32:C33">
    <cfRule type="expression" dxfId="25" priority="19">
      <formula>AND(C32&lt;&gt;"",#REF!="",OR(COLUMN(C32)=COLUMN(#REF!),COLUMN(C32)=COLUMN(#REF!)))</formula>
    </cfRule>
  </conditionalFormatting>
  <conditionalFormatting sqref="F29:F33">
    <cfRule type="expression" dxfId="24" priority="18">
      <formula>AND(F29&lt;&gt;"",#REF!="",OR(COLUMN(F29)=COLUMN(#REF!),COLUMN(F29)=COLUMN(#REF!)))</formula>
    </cfRule>
  </conditionalFormatting>
  <conditionalFormatting sqref="C36:C38">
    <cfRule type="expression" dxfId="23" priority="17">
      <formula>AND(C36&lt;&gt;"",#REF!="",OR(COLUMN(C36)=COLUMN(#REF!),COLUMN(C36)=COLUMN(#REF!)))</formula>
    </cfRule>
  </conditionalFormatting>
  <conditionalFormatting sqref="F36:F38">
    <cfRule type="expression" dxfId="22" priority="16">
      <formula>AND(F36&lt;&gt;"",#REF!="",OR(COLUMN(F36)=COLUMN(#REF!),COLUMN(F36)=COLUMN(#REF!)))</formula>
    </cfRule>
  </conditionalFormatting>
  <conditionalFormatting sqref="C41">
    <cfRule type="expression" dxfId="21" priority="15">
      <formula>AND(C41&lt;&gt;"",#REF!="",OR(COLUMN(C41)=COLUMN(#REF!),COLUMN(C41)=COLUMN(#REF!)))</formula>
    </cfRule>
  </conditionalFormatting>
  <conditionalFormatting sqref="C42">
    <cfRule type="expression" dxfId="20" priority="14">
      <formula>AND(C42&lt;&gt;"",#REF!="",OR(COLUMN(C42)=COLUMN(#REF!),COLUMN(C42)=COLUMN(#REF!)))</formula>
    </cfRule>
  </conditionalFormatting>
  <conditionalFormatting sqref="C43">
    <cfRule type="expression" dxfId="19" priority="13">
      <formula>AND(C43&lt;&gt;"",#REF!="",OR(COLUMN(C43)=COLUMN(#REF!),COLUMN(C43)=COLUMN(#REF!)))</formula>
    </cfRule>
  </conditionalFormatting>
  <conditionalFormatting sqref="D39:H43">
    <cfRule type="expression" dxfId="18" priority="12">
      <formula>AND(D39&lt;&gt;"",#REF!="",OR(COLUMN(D39)=COLUMN(#REF!),COLUMN(D39)=COLUMN(#REF!)))</formula>
    </cfRule>
  </conditionalFormatting>
  <conditionalFormatting sqref="F41:F43">
    <cfRule type="expression" dxfId="17" priority="11">
      <formula>AND(F41&lt;&gt;"",#REF!="",OR(COLUMN(F41)=COLUMN(#REF!),COLUMN(F41)=COLUMN(#REF!)))</formula>
    </cfRule>
  </conditionalFormatting>
  <conditionalFormatting sqref="C48">
    <cfRule type="expression" dxfId="16" priority="10">
      <formula>AND(C48&lt;&gt;"",#REF!="",OR(COLUMN(C48)=COLUMN(#REF!),COLUMN(C48)=COLUMN(#REF!)))</formula>
    </cfRule>
  </conditionalFormatting>
  <conditionalFormatting sqref="F11:F14">
    <cfRule type="expression" dxfId="15" priority="5">
      <formula>AND(F11&lt;&gt;"",#REF!="",OR(COLUMN(F11)=COLUMN(#REF!),COLUMN(F11)=COLUMN(#REF!)))</formula>
    </cfRule>
  </conditionalFormatting>
  <conditionalFormatting sqref="F23:F25">
    <cfRule type="expression" dxfId="14" priority="4">
      <formula>AND(F23&lt;&gt;"",#REF!="",OR(COLUMN(F23)=COLUMN(#REF!),COLUMN(F23)=COLUMN(#REF!)))</formula>
    </cfRule>
  </conditionalFormatting>
  <conditionalFormatting sqref="F41:F43">
    <cfRule type="expression" dxfId="13" priority="3">
      <formula>AND(F41&lt;&gt;"",#REF!="",OR(COLUMN(F41)=COLUMN(#REF!),COLUMN(F41)=COLUMN(#REF!)))</formula>
    </cfRule>
  </conditionalFormatting>
  <pageMargins left="0.7" right="0.7" top="0.75" bottom="0.75" header="0.3" footer="0.3"/>
  <pageSetup paperSize="9"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C84"/>
  <sheetViews>
    <sheetView showGridLines="0" topLeftCell="M11" workbookViewId="0">
      <selection activeCell="R28" sqref="R28"/>
    </sheetView>
  </sheetViews>
  <sheetFormatPr defaultColWidth="8.8984375" defaultRowHeight="18.75"/>
  <cols>
    <col min="1" max="1" width="8.69921875" customWidth="1"/>
    <col min="2" max="2" width="11.3984375" style="99" customWidth="1"/>
    <col min="3" max="3" width="15.09765625" style="99" customWidth="1"/>
    <col min="4" max="4" width="13.3984375" style="99" customWidth="1"/>
    <col min="5" max="5" width="9.09765625" style="99" customWidth="1"/>
    <col min="6" max="6" width="11.3984375" style="99" customWidth="1"/>
    <col min="7" max="7" width="9.3984375" style="99" customWidth="1"/>
    <col min="8" max="8" width="9.296875" style="99" customWidth="1"/>
    <col min="9" max="9" width="8.8984375" style="99"/>
    <col min="10" max="10" width="10.3984375" style="99" customWidth="1"/>
    <col min="11" max="11" width="8.8984375" style="99"/>
    <col min="12" max="12" width="11.3984375" style="99" customWidth="1"/>
    <col min="13" max="13" width="13.59765625" style="99" customWidth="1"/>
    <col min="14" max="14" width="10" style="99" customWidth="1"/>
    <col min="15" max="15" width="9.19921875" style="99" customWidth="1"/>
    <col min="16" max="16" width="11.296875" style="99" customWidth="1"/>
    <col min="17" max="18" width="8.59765625" style="99" customWidth="1"/>
    <col min="19" max="20" width="8.8984375" style="99"/>
    <col min="21" max="21" width="8.3984375" style="99" customWidth="1"/>
    <col min="22" max="22" width="8.8984375" style="99"/>
    <col min="23" max="23" width="8.69921875" customWidth="1"/>
    <col min="24" max="24" width="11.296875" customWidth="1"/>
    <col min="25" max="27" width="8.69921875" customWidth="1"/>
    <col min="28" max="28" width="9.19921875" customWidth="1"/>
    <col min="29" max="34" width="8.69921875" customWidth="1"/>
    <col min="35" max="16384" width="8.8984375" style="99"/>
  </cols>
  <sheetData>
    <row r="1" spans="2:21" s="99" customFormat="1" ht="16.5" thickBot="1"/>
    <row r="2" spans="2:21" s="99" customFormat="1" ht="15.75">
      <c r="B2" s="92" t="s">
        <v>703</v>
      </c>
      <c r="C2" s="93" t="s">
        <v>655</v>
      </c>
      <c r="D2" s="94" t="s">
        <v>656</v>
      </c>
      <c r="E2" s="93" t="s">
        <v>704</v>
      </c>
      <c r="F2" s="93" t="s">
        <v>622</v>
      </c>
      <c r="G2" s="93" t="s">
        <v>705</v>
      </c>
      <c r="H2" s="93" t="s">
        <v>657</v>
      </c>
      <c r="I2" s="93" t="s">
        <v>8</v>
      </c>
      <c r="J2" s="95" t="s">
        <v>32</v>
      </c>
      <c r="L2" s="96" t="s">
        <v>703</v>
      </c>
      <c r="M2" s="96" t="s">
        <v>655</v>
      </c>
      <c r="N2" s="97" t="s">
        <v>656</v>
      </c>
      <c r="O2" s="96" t="s">
        <v>704</v>
      </c>
      <c r="P2" s="96" t="s">
        <v>622</v>
      </c>
      <c r="Q2" s="96" t="s">
        <v>705</v>
      </c>
      <c r="R2" s="96" t="s">
        <v>657</v>
      </c>
      <c r="S2" s="96" t="s">
        <v>8</v>
      </c>
      <c r="T2" s="96"/>
      <c r="U2" s="96" t="s">
        <v>658</v>
      </c>
    </row>
    <row r="3" spans="2:21" s="99" customFormat="1" ht="15.75">
      <c r="B3" s="98" t="s">
        <v>14</v>
      </c>
      <c r="C3" s="99" t="s">
        <v>607</v>
      </c>
      <c r="D3" s="99" t="s">
        <v>1317</v>
      </c>
      <c r="E3" s="99" t="s">
        <v>738</v>
      </c>
      <c r="F3" s="99" t="s">
        <v>1338</v>
      </c>
      <c r="G3" s="99" t="s">
        <v>1319</v>
      </c>
      <c r="H3" s="99" t="s">
        <v>608</v>
      </c>
      <c r="I3" s="99" t="s">
        <v>48</v>
      </c>
      <c r="J3" s="109" t="s">
        <v>715</v>
      </c>
      <c r="L3" s="110" t="s">
        <v>14</v>
      </c>
      <c r="M3" s="111" t="s">
        <v>607</v>
      </c>
      <c r="N3" s="112" t="s">
        <v>1317</v>
      </c>
      <c r="O3" s="112" t="s">
        <v>738</v>
      </c>
      <c r="P3" s="112" t="s">
        <v>1318</v>
      </c>
      <c r="Q3" s="112" t="s">
        <v>34</v>
      </c>
      <c r="R3" s="113" t="s">
        <v>608</v>
      </c>
      <c r="S3" s="112" t="s">
        <v>48</v>
      </c>
      <c r="T3" s="112"/>
      <c r="U3" s="114" t="s">
        <v>1320</v>
      </c>
    </row>
    <row r="4" spans="2:21" s="99" customFormat="1" ht="15.75">
      <c r="B4" s="98" t="s">
        <v>13</v>
      </c>
      <c r="C4" s="99" t="s">
        <v>614</v>
      </c>
      <c r="D4" s="99" t="s">
        <v>689</v>
      </c>
      <c r="E4" s="99" t="s">
        <v>865</v>
      </c>
      <c r="F4" s="99" t="s">
        <v>865</v>
      </c>
      <c r="G4" s="99" t="s">
        <v>1304</v>
      </c>
      <c r="H4" s="99" t="s">
        <v>690</v>
      </c>
      <c r="I4" s="99" t="s">
        <v>49</v>
      </c>
      <c r="J4" s="109" t="s">
        <v>1339</v>
      </c>
      <c r="L4" s="115"/>
      <c r="M4" s="116" t="s">
        <v>614</v>
      </c>
      <c r="N4" s="99" t="s">
        <v>689</v>
      </c>
      <c r="O4" s="99" t="s">
        <v>865</v>
      </c>
      <c r="P4" s="99" t="s">
        <v>1322</v>
      </c>
      <c r="R4" s="117" t="s">
        <v>609</v>
      </c>
      <c r="S4" s="99" t="s">
        <v>49</v>
      </c>
      <c r="U4" s="118" t="s">
        <v>1323</v>
      </c>
    </row>
    <row r="5" spans="2:21" s="99" customFormat="1" ht="15.75">
      <c r="B5" s="98" t="s">
        <v>11</v>
      </c>
      <c r="C5" s="99" t="s">
        <v>15</v>
      </c>
      <c r="D5" s="99" t="s">
        <v>1345</v>
      </c>
      <c r="E5" s="99" t="s">
        <v>866</v>
      </c>
      <c r="F5" s="99" t="s">
        <v>1337</v>
      </c>
      <c r="G5" s="99" t="s">
        <v>34</v>
      </c>
      <c r="H5" s="99" t="s">
        <v>611</v>
      </c>
      <c r="I5" s="99" t="s">
        <v>1325</v>
      </c>
      <c r="J5" s="109" t="s">
        <v>1340</v>
      </c>
      <c r="L5" s="115"/>
      <c r="M5" s="116" t="s">
        <v>15</v>
      </c>
      <c r="N5" s="99" t="s">
        <v>610</v>
      </c>
      <c r="O5" s="99" t="s">
        <v>866</v>
      </c>
      <c r="R5" s="117" t="s">
        <v>611</v>
      </c>
      <c r="S5" s="99" t="s">
        <v>1325</v>
      </c>
      <c r="U5" s="118" t="s">
        <v>1324</v>
      </c>
    </row>
    <row r="6" spans="2:21" s="99" customFormat="1" ht="15.75">
      <c r="B6" s="98"/>
      <c r="C6" s="99" t="s">
        <v>615</v>
      </c>
      <c r="D6" s="99" t="s">
        <v>860</v>
      </c>
      <c r="E6" s="99" t="s">
        <v>34</v>
      </c>
      <c r="F6" s="99" t="s">
        <v>34</v>
      </c>
      <c r="H6" s="99" t="s">
        <v>612</v>
      </c>
      <c r="I6" s="99" t="s">
        <v>723</v>
      </c>
      <c r="J6" s="109"/>
      <c r="L6" s="115"/>
      <c r="M6" s="116"/>
      <c r="N6" s="99" t="s">
        <v>1326</v>
      </c>
      <c r="R6" s="117" t="s">
        <v>612</v>
      </c>
      <c r="S6" s="99" t="s">
        <v>723</v>
      </c>
      <c r="U6" s="118"/>
    </row>
    <row r="7" spans="2:21" s="99" customFormat="1" ht="15.75">
      <c r="B7" s="98"/>
      <c r="C7" s="99" t="s">
        <v>616</v>
      </c>
      <c r="D7" s="99" t="s">
        <v>610</v>
      </c>
      <c r="H7" s="99" t="s">
        <v>613</v>
      </c>
      <c r="I7" s="99" t="s">
        <v>34</v>
      </c>
      <c r="J7" s="109"/>
      <c r="L7" s="115"/>
      <c r="N7" s="99" t="s">
        <v>16</v>
      </c>
      <c r="R7" s="117" t="s">
        <v>613</v>
      </c>
      <c r="S7" s="99" t="s">
        <v>34</v>
      </c>
      <c r="U7" s="118"/>
    </row>
    <row r="8" spans="2:21" s="99" customFormat="1" ht="15.75">
      <c r="B8" s="98"/>
      <c r="C8" s="99" t="s">
        <v>620</v>
      </c>
      <c r="D8" s="99" t="s">
        <v>1326</v>
      </c>
      <c r="H8" s="99" t="s">
        <v>700</v>
      </c>
      <c r="J8" s="109"/>
      <c r="L8" s="119"/>
      <c r="N8" s="120" t="s">
        <v>17</v>
      </c>
      <c r="R8" s="117" t="s">
        <v>700</v>
      </c>
      <c r="U8" s="118"/>
    </row>
    <row r="9" spans="2:21" s="99" customFormat="1" ht="15.75">
      <c r="B9" s="98"/>
      <c r="C9" s="99" t="s">
        <v>661</v>
      </c>
      <c r="D9" s="99" t="s">
        <v>16</v>
      </c>
      <c r="H9" s="99" t="s">
        <v>696</v>
      </c>
      <c r="J9" s="109"/>
      <c r="L9" s="119"/>
      <c r="N9" s="120" t="s">
        <v>699</v>
      </c>
      <c r="R9" s="117" t="s">
        <v>696</v>
      </c>
      <c r="U9" s="118"/>
    </row>
    <row r="10" spans="2:21" s="99" customFormat="1" ht="15.75">
      <c r="B10" s="98"/>
      <c r="C10" s="99" t="s">
        <v>621</v>
      </c>
      <c r="D10" s="99" t="s">
        <v>17</v>
      </c>
      <c r="H10" s="99" t="s">
        <v>1270</v>
      </c>
      <c r="J10" s="109"/>
      <c r="L10" s="119"/>
      <c r="N10" s="120" t="s">
        <v>1326</v>
      </c>
      <c r="R10" s="117" t="s">
        <v>1270</v>
      </c>
      <c r="U10" s="118"/>
    </row>
    <row r="11" spans="2:21" s="99" customFormat="1" ht="15.75">
      <c r="B11" s="98"/>
      <c r="D11" s="99" t="s">
        <v>699</v>
      </c>
      <c r="J11" s="109"/>
      <c r="L11" s="119"/>
      <c r="N11" s="120" t="s">
        <v>1327</v>
      </c>
      <c r="R11" s="121"/>
      <c r="U11" s="118"/>
    </row>
    <row r="12" spans="2:21" s="99" customFormat="1" ht="15.75">
      <c r="B12" s="98"/>
      <c r="D12" s="99" t="s">
        <v>1326</v>
      </c>
      <c r="J12" s="109"/>
      <c r="L12" s="119"/>
      <c r="N12" s="120" t="s">
        <v>701</v>
      </c>
      <c r="R12" s="121"/>
      <c r="U12" s="118"/>
    </row>
    <row r="13" spans="2:21" s="99" customFormat="1" ht="15.75">
      <c r="B13" s="98"/>
      <c r="D13" s="99" t="s">
        <v>1327</v>
      </c>
      <c r="J13" s="109"/>
      <c r="L13" s="122"/>
      <c r="M13" s="123"/>
      <c r="N13" s="124"/>
      <c r="O13" s="123"/>
      <c r="P13" s="123"/>
      <c r="Q13" s="123"/>
      <c r="R13" s="125"/>
      <c r="S13" s="123"/>
      <c r="T13" s="123"/>
      <c r="U13" s="126"/>
    </row>
    <row r="14" spans="2:21" s="99" customFormat="1" ht="15.75">
      <c r="B14" s="98"/>
      <c r="D14" s="99" t="s">
        <v>701</v>
      </c>
      <c r="J14" s="109"/>
      <c r="N14" s="120"/>
    </row>
    <row r="15" spans="2:21" s="99" customFormat="1" ht="15.75">
      <c r="B15" s="98"/>
      <c r="D15" s="99" t="s">
        <v>619</v>
      </c>
      <c r="J15" s="109"/>
      <c r="L15" s="110" t="s">
        <v>13</v>
      </c>
      <c r="M15" s="113" t="s">
        <v>615</v>
      </c>
      <c r="N15" s="127" t="s">
        <v>619</v>
      </c>
      <c r="O15" s="112" t="s">
        <v>34</v>
      </c>
      <c r="P15" s="112" t="s">
        <v>1318</v>
      </c>
      <c r="Q15" s="112" t="s">
        <v>34</v>
      </c>
      <c r="R15" s="112" t="s">
        <v>608</v>
      </c>
      <c r="S15" s="112" t="s">
        <v>1328</v>
      </c>
      <c r="T15" s="112"/>
      <c r="U15" s="114" t="s">
        <v>1320</v>
      </c>
    </row>
    <row r="16" spans="2:21" s="99" customFormat="1" ht="15.75">
      <c r="B16" s="98"/>
      <c r="D16" s="99" t="s">
        <v>617</v>
      </c>
      <c r="J16" s="109"/>
      <c r="L16" s="115"/>
      <c r="M16" s="117" t="s">
        <v>616</v>
      </c>
      <c r="N16" s="128" t="s">
        <v>617</v>
      </c>
      <c r="P16" s="99" t="s">
        <v>1322</v>
      </c>
      <c r="R16" s="99" t="s">
        <v>609</v>
      </c>
      <c r="S16" s="99" t="s">
        <v>49</v>
      </c>
      <c r="U16" s="118" t="s">
        <v>1323</v>
      </c>
    </row>
    <row r="17" spans="1:55" ht="15.75">
      <c r="A17" s="99"/>
      <c r="B17" s="98"/>
      <c r="D17" s="99" t="s">
        <v>618</v>
      </c>
      <c r="J17" s="109"/>
      <c r="L17" s="115"/>
      <c r="M17" s="117"/>
      <c r="N17" s="128" t="s">
        <v>618</v>
      </c>
      <c r="P17" s="99" t="s">
        <v>34</v>
      </c>
      <c r="R17" s="99" t="s">
        <v>611</v>
      </c>
      <c r="U17" s="118" t="s">
        <v>1324</v>
      </c>
      <c r="W17" s="99"/>
      <c r="X17" s="99"/>
      <c r="Y17" s="99"/>
      <c r="Z17" s="99"/>
      <c r="AA17" s="99"/>
      <c r="AB17" s="99"/>
      <c r="AC17" s="99"/>
      <c r="AD17" s="99"/>
      <c r="AE17" s="99"/>
      <c r="AF17" s="99"/>
      <c r="AG17" s="99"/>
      <c r="AH17" s="99"/>
    </row>
    <row r="18" spans="1:55" ht="15.75">
      <c r="A18" s="99"/>
      <c r="B18" s="98"/>
      <c r="D18" s="99" t="s">
        <v>610</v>
      </c>
      <c r="J18" s="109"/>
      <c r="L18" s="115"/>
      <c r="M18" s="117"/>
      <c r="N18" s="128" t="s">
        <v>610</v>
      </c>
      <c r="R18" s="99" t="s">
        <v>612</v>
      </c>
      <c r="U18" s="118"/>
      <c r="W18" s="99"/>
      <c r="X18" s="99"/>
      <c r="Y18" s="99"/>
      <c r="Z18" s="99"/>
      <c r="AA18" s="99"/>
      <c r="AB18" s="99"/>
      <c r="AC18" s="99"/>
      <c r="AD18" s="99"/>
      <c r="AE18" s="99"/>
      <c r="AF18" s="99"/>
      <c r="AG18" s="99"/>
      <c r="AH18" s="99"/>
    </row>
    <row r="19" spans="1:55" ht="15.75">
      <c r="A19" s="99"/>
      <c r="B19" s="98"/>
      <c r="D19" s="99" t="s">
        <v>672</v>
      </c>
      <c r="J19" s="109"/>
      <c r="L19" s="129"/>
      <c r="M19" s="130"/>
      <c r="N19" s="131"/>
      <c r="O19" s="123"/>
      <c r="P19" s="123"/>
      <c r="Q19" s="123"/>
      <c r="R19" s="123" t="s">
        <v>613</v>
      </c>
      <c r="S19" s="123"/>
      <c r="T19" s="123"/>
      <c r="U19" s="126"/>
      <c r="W19" s="99"/>
      <c r="X19" s="99"/>
      <c r="Y19" s="99"/>
      <c r="Z19" s="99"/>
      <c r="AA19" s="99"/>
      <c r="AB19" s="99"/>
      <c r="AC19" s="99"/>
      <c r="AD19" s="99"/>
      <c r="AE19" s="99"/>
      <c r="AF19" s="99"/>
      <c r="AG19" s="99"/>
      <c r="AH19" s="99"/>
    </row>
    <row r="20" spans="1:55" ht="15.75">
      <c r="A20" s="99"/>
      <c r="B20" s="98"/>
      <c r="D20" s="99" t="s">
        <v>685</v>
      </c>
      <c r="J20" s="109"/>
      <c r="N20" s="120"/>
      <c r="W20" s="99"/>
      <c r="X20" s="99"/>
      <c r="Y20" s="99"/>
      <c r="Z20" s="99"/>
      <c r="AA20" s="99"/>
      <c r="AB20" s="99"/>
      <c r="AC20" s="99"/>
      <c r="AD20" s="99"/>
      <c r="AE20" s="99"/>
      <c r="AF20" s="99"/>
      <c r="AG20" s="99"/>
      <c r="AH20" s="99"/>
    </row>
    <row r="21" spans="1:55" ht="15.75">
      <c r="A21" s="99"/>
      <c r="B21" s="98"/>
      <c r="D21" s="99" t="s">
        <v>692</v>
      </c>
      <c r="J21" s="109"/>
      <c r="L21" s="110" t="s">
        <v>11</v>
      </c>
      <c r="M21" s="113" t="s">
        <v>620</v>
      </c>
      <c r="N21" s="132" t="s">
        <v>672</v>
      </c>
      <c r="O21" s="113" t="s">
        <v>738</v>
      </c>
      <c r="P21" s="112" t="s">
        <v>34</v>
      </c>
      <c r="Q21" s="112" t="s">
        <v>1319</v>
      </c>
      <c r="R21" s="112" t="s">
        <v>608</v>
      </c>
      <c r="S21" s="112" t="s">
        <v>1328</v>
      </c>
      <c r="T21" s="114" t="s">
        <v>1320</v>
      </c>
      <c r="W21" s="99"/>
      <c r="X21" s="99"/>
      <c r="Y21" s="99"/>
      <c r="Z21" s="99"/>
      <c r="AA21" s="99"/>
      <c r="AB21" s="99"/>
      <c r="AC21" s="99"/>
      <c r="AD21" s="99"/>
      <c r="AE21" s="99"/>
      <c r="AF21" s="99"/>
      <c r="AG21" s="99"/>
      <c r="AH21" s="99"/>
    </row>
    <row r="22" spans="1:55" ht="16.5" thickBot="1">
      <c r="A22" s="99"/>
      <c r="B22" s="133"/>
      <c r="C22" s="134"/>
      <c r="D22" s="134" t="s">
        <v>663</v>
      </c>
      <c r="E22" s="134"/>
      <c r="F22" s="134"/>
      <c r="G22" s="134"/>
      <c r="H22" s="134"/>
      <c r="I22" s="134"/>
      <c r="J22" s="135"/>
      <c r="L22" s="115"/>
      <c r="M22" s="117" t="s">
        <v>661</v>
      </c>
      <c r="N22" s="120" t="s">
        <v>685</v>
      </c>
      <c r="O22" s="117" t="s">
        <v>865</v>
      </c>
      <c r="Q22" s="99" t="s">
        <v>1304</v>
      </c>
      <c r="R22" s="99" t="s">
        <v>609</v>
      </c>
      <c r="S22" s="99" t="s">
        <v>49</v>
      </c>
      <c r="T22" s="118" t="s">
        <v>1323</v>
      </c>
      <c r="W22" s="99"/>
      <c r="X22" s="99"/>
      <c r="Y22" s="99"/>
      <c r="Z22" s="99"/>
      <c r="AA22" s="99"/>
      <c r="AB22" s="99"/>
      <c r="AC22" s="99"/>
      <c r="AD22" s="99"/>
      <c r="AE22" s="99"/>
      <c r="AF22" s="99"/>
      <c r="AG22" s="99"/>
      <c r="AH22" s="99"/>
    </row>
    <row r="23" spans="1:55" ht="15.75">
      <c r="A23" s="99"/>
      <c r="L23" s="115"/>
      <c r="M23" s="117" t="s">
        <v>621</v>
      </c>
      <c r="N23" s="120" t="s">
        <v>692</v>
      </c>
      <c r="O23" s="117" t="s">
        <v>866</v>
      </c>
      <c r="R23" s="99" t="s">
        <v>611</v>
      </c>
      <c r="T23" s="118" t="s">
        <v>1324</v>
      </c>
      <c r="W23" s="99"/>
      <c r="X23" s="99"/>
      <c r="Y23" s="99"/>
      <c r="Z23" s="99"/>
      <c r="AA23" s="99"/>
      <c r="AB23" s="99"/>
      <c r="AC23" s="99"/>
      <c r="AD23" s="99"/>
      <c r="AE23" s="99"/>
      <c r="AF23" s="99"/>
      <c r="AG23" s="99"/>
      <c r="AH23" s="99"/>
    </row>
    <row r="24" spans="1:55" ht="15.75">
      <c r="A24" s="99"/>
      <c r="L24" s="115"/>
      <c r="M24" s="117"/>
      <c r="N24" s="120" t="s">
        <v>663</v>
      </c>
      <c r="O24" s="117"/>
      <c r="R24" s="99" t="s">
        <v>612</v>
      </c>
      <c r="T24" s="118"/>
      <c r="W24" s="99"/>
      <c r="X24" s="99"/>
      <c r="Y24" s="99"/>
      <c r="Z24" s="99"/>
      <c r="AA24" s="99"/>
      <c r="AB24" s="99"/>
      <c r="AC24" s="99"/>
      <c r="AD24" s="99"/>
      <c r="AE24" s="99"/>
      <c r="AF24" s="99"/>
      <c r="AG24" s="99"/>
      <c r="AH24" s="99"/>
    </row>
    <row r="25" spans="1:55" ht="15.75">
      <c r="A25" s="99"/>
      <c r="L25" s="136"/>
      <c r="M25" s="123"/>
      <c r="N25" s="124" t="s">
        <v>16</v>
      </c>
      <c r="O25" s="125"/>
      <c r="P25" s="123"/>
      <c r="Q25" s="123"/>
      <c r="R25" s="123" t="s">
        <v>613</v>
      </c>
      <c r="S25" s="123"/>
      <c r="T25" s="126"/>
      <c r="W25" s="99"/>
      <c r="X25" s="99"/>
      <c r="Y25" s="99"/>
      <c r="Z25" s="99"/>
      <c r="AA25" s="99"/>
      <c r="AB25" s="99"/>
      <c r="AC25" s="99"/>
      <c r="AD25" s="99"/>
      <c r="AE25" s="99"/>
      <c r="AF25" s="99"/>
      <c r="AG25" s="99"/>
      <c r="AH25" s="99"/>
    </row>
    <row r="26" spans="1:55">
      <c r="A26" s="99"/>
      <c r="W26" s="99"/>
      <c r="X26" s="99"/>
      <c r="Y26" s="99"/>
      <c r="Z26" s="99"/>
      <c r="AA26" s="99"/>
      <c r="AB26" s="99"/>
      <c r="AC26" s="99"/>
      <c r="AD26" s="99"/>
      <c r="AE26" s="99"/>
      <c r="AF26" s="99"/>
      <c r="AG26" s="99"/>
      <c r="AI26" s="99" t="s">
        <v>620</v>
      </c>
      <c r="AJ26" s="99" t="s">
        <v>1371</v>
      </c>
      <c r="AK26" s="99" t="s">
        <v>1375</v>
      </c>
      <c r="AL26" s="99" t="s">
        <v>1369</v>
      </c>
      <c r="AM26" s="99" t="s">
        <v>1372</v>
      </c>
      <c r="AN26" s="99" t="s">
        <v>1376</v>
      </c>
      <c r="AO26" s="99" t="s">
        <v>1370</v>
      </c>
      <c r="AP26" s="99" t="s">
        <v>628</v>
      </c>
      <c r="AQ26" s="99" t="s">
        <v>615</v>
      </c>
      <c r="AR26" s="99" t="s">
        <v>610</v>
      </c>
      <c r="AS26" s="99" t="s">
        <v>617</v>
      </c>
      <c r="AT26" s="99" t="s">
        <v>619</v>
      </c>
      <c r="AU26" s="99" t="s">
        <v>618</v>
      </c>
      <c r="AV26" s="99" t="s">
        <v>607</v>
      </c>
      <c r="AW26" s="99" t="s">
        <v>614</v>
      </c>
      <c r="AX26" s="99" t="s">
        <v>15</v>
      </c>
      <c r="AY26" s="99" t="s">
        <v>612</v>
      </c>
      <c r="AZ26" s="99" t="s">
        <v>609</v>
      </c>
      <c r="BA26" s="99" t="s">
        <v>613</v>
      </c>
      <c r="BB26" s="99" t="s">
        <v>611</v>
      </c>
      <c r="BC26" s="99" t="s">
        <v>696</v>
      </c>
    </row>
    <row r="27" spans="1:55" s="83" customFormat="1" ht="31.5">
      <c r="L27" s="200" t="s">
        <v>1377</v>
      </c>
      <c r="M27" s="201" t="s">
        <v>620</v>
      </c>
      <c r="N27" s="201" t="s">
        <v>2747</v>
      </c>
      <c r="O27" s="201" t="s">
        <v>2748</v>
      </c>
      <c r="P27" s="201" t="s">
        <v>1369</v>
      </c>
      <c r="Q27" s="201" t="s">
        <v>1372</v>
      </c>
      <c r="R27" s="201" t="s">
        <v>2746</v>
      </c>
      <c r="S27" s="201" t="s">
        <v>1370</v>
      </c>
      <c r="T27" s="201" t="s">
        <v>628</v>
      </c>
      <c r="U27" s="201" t="s">
        <v>615</v>
      </c>
      <c r="V27" s="201" t="s">
        <v>610</v>
      </c>
      <c r="W27" s="201" t="s">
        <v>617</v>
      </c>
      <c r="X27" s="201" t="s">
        <v>619</v>
      </c>
      <c r="Y27" s="201" t="s">
        <v>618</v>
      </c>
      <c r="Z27" s="201" t="s">
        <v>607</v>
      </c>
      <c r="AA27" s="201" t="s">
        <v>614</v>
      </c>
      <c r="AB27" s="201" t="s">
        <v>15</v>
      </c>
      <c r="AC27" s="201" t="s">
        <v>612</v>
      </c>
      <c r="AD27" s="201" t="s">
        <v>609</v>
      </c>
      <c r="AE27" s="201" t="s">
        <v>613</v>
      </c>
      <c r="AF27" s="201" t="s">
        <v>611</v>
      </c>
      <c r="AG27" s="201" t="s">
        <v>696</v>
      </c>
      <c r="AI27" s="99" t="str" cm="1">
        <f t="array" aca="1" ref="AI27:AI83" ca="1">OFFSET($M$27,1,,COUNTA($M:$M)-COUNTA($M$1:$M$27))</f>
        <v>BTG Pactual Cdb Plus FI RF CP</v>
      </c>
      <c r="AJ27" s="99" t="str" cm="1">
        <f t="array" aca="1" ref="AJ27:AJ37" ca="1">OFFSET($N$27,1,,COUNTA($N:$N)-COUNTA($N$1:$N$27))</f>
        <v>Vinci Valorem FIM</v>
      </c>
      <c r="AK27" s="99" t="str" cm="1">
        <f t="array" aca="1" ref="AK27:AK41" ca="1">OFFSET($O$27,1,,COUNTA($O:$O)-COUNTA($O$1:$O$27))</f>
        <v>BTG Pactual Debêntures Incentivadas Inflação Infra FIC Renda Fixa</v>
      </c>
      <c r="AL27" s="99" t="str" cm="1">
        <f t="array" aca="1" ref="AL27:AL35" ca="1">OFFSET($P$27,1,,COUNTA($P:$P)-COUNTA($P$1:$P$27))</f>
        <v>ARX Elbrus Pro FI Infraestrutura RF</v>
      </c>
      <c r="AM27" s="99" t="str" cm="1">
        <f t="array" aca="1" ref="AM27:AM31" ca="1">OFFSET($Q$27,1,,COUNTA($Q:$Q)-COUNTA($Q$1:$Q$27))</f>
        <v>NTN-F 2023 (-)</v>
      </c>
      <c r="AN27" s="99" t="str" cm="1">
        <f t="array" aca="1" ref="AN27:AN31" ca="1">OFFSET($R$27,1,,COUNTA($R:$R)-COUNTA($R$1:$R$27))</f>
        <v>NTN-F 2027 (12.95%)</v>
      </c>
      <c r="AO27" s="99" t="str" cm="1">
        <f t="array" aca="1" ref="AO27" ca="1">OFFSET($S$27,1,,COUNTA($S:$S)-COUNTA($S$1:$S$27))</f>
        <v>Títulos Bancários - 6 anos (14.25%)</v>
      </c>
      <c r="AP27" s="99" t="str" cm="1">
        <f t="array" aca="1" ref="AP27:AP69" ca="1">OFFSET($U$27,1,,COUNTA($U:$U)-COUNTA($U$1:$U$27))</f>
        <v>ARX Macro FIC FIM</v>
      </c>
      <c r="AQ27" s="99" t="str" cm="1">
        <f t="array" aca="1" ref="AQ27:AQ69" ca="1">OFFSET($U$27,1,,COUNTA($U:$U)-COUNTA($U$1:$U$27))</f>
        <v>ARX Macro FIC FIM</v>
      </c>
      <c r="AR27" s="99" t="str" cm="1">
        <f t="array" aca="1" ref="AR27:AR31" ca="1">OFFSET($V$27,1,,COUNTA($V:$V)-COUNTA($V$1:$V$27))</f>
        <v>Daemon Nous Global FIC FIM</v>
      </c>
      <c r="AS27" s="99" t="str" cm="1">
        <f t="array" aca="1" ref="AS27:AS33" ca="1">OFFSET($W$27,1,,COUNTA($W:$W)-COUNTA($W$1:$W$27))</f>
        <v>Solana LS FIC FIM</v>
      </c>
      <c r="AT27" s="99" t="str" cm="1">
        <f t="array" aca="1" ref="AT27:AT33" ca="1">OFFSET($X$27,1,,COUNTA($X:$X)-COUNTA($X$1:$X$27))</f>
        <v>Kapitalo Alpha Global FIC FIM</v>
      </c>
      <c r="AU27" s="99" t="str" cm="1">
        <f t="array" aca="1" ref="AU27:AU30" ca="1">OFFSET($Y$27,1,,COUNTA($Y:$Y)-COUNTA($Y$1:$Y$27))</f>
        <v>Blackrock Global Event Driven FIC FIM IE</v>
      </c>
      <c r="AV27" s="99" t="str" cm="1">
        <f t="array" aca="1" ref="AV27:AV48" ca="1">OFFSET($Z$27,1,,COUNTA($Z:$Z)-COUNTA($Z$1:$Z$27))</f>
        <v>ARX Income FIC FIA</v>
      </c>
      <c r="AW27" s="99" t="str" cm="1">
        <f t="array" aca="1" ref="AW27:AW43" ca="1">OFFSET($AA$27,1,,COUNTA($AA:$AA)-COUNTA($AA$1:$AA$27))</f>
        <v>Garin Cíclico LB FIM</v>
      </c>
      <c r="AX27" s="99" t="str" cm="1">
        <f t="array" aca="1" ref="AX27" ca="1">OFFSET($AB$27,1,,COUNTA($AB:$AB)-COUNTA($AB$1:$AB$27))</f>
        <v>Carteira de FII</v>
      </c>
      <c r="AY27" s="99" t="str" cm="1">
        <f t="array" aca="1" ref="AY27:AY29" ca="1">OFFSET($AC$27,1,,COUNTA($AC:$AC)-COUNTA($AC$1:$AC$27))</f>
        <v>Access China Advantage Ag21 FIA IE</v>
      </c>
      <c r="AZ27" s="99" t="str" cm="1">
        <f t="array" aca="1" ref="AZ27:AZ29" ca="1">OFFSET($AD$27,1,,COUNTA($AD:$AD)-COUNTA($AD$1:$AD$27))</f>
        <v>Western Asset US Index 500 FIM</v>
      </c>
      <c r="BA27" s="99" t="str" cm="1">
        <f t="array" aca="1" ref="BA27" ca="1">OFFSET($AE$27,1,,COUNTA($AE:$AE)-COUNTA($AE$1:$AE$27))</f>
        <v>EURP11</v>
      </c>
      <c r="BB27" s="99" t="str" cm="1">
        <f t="array" aca="1" ref="BB27:BB33" ca="1">OFFSET($AF$27,1,,COUNTA($AF:$AF)-COUNTA($AF$1:$AF$27))</f>
        <v>Western Asset FIA BDR Nivel I</v>
      </c>
      <c r="BC27" s="99" t="str" cm="1">
        <f t="array" aca="1" ref="BC27:BC28" ca="1">OFFSET($AG$27,1,,COUNTA($AG:$AG)-COUNTA($AG$1:$AG$27))</f>
        <v>BTGP Mobius Emerging Markets FIM IE</v>
      </c>
    </row>
    <row r="28" spans="1:55">
      <c r="A28" s="99"/>
      <c r="L28" s="99" t="str">
        <f>IF('Criação de Portfólio'!E12="","",'Criação de Portfólio'!E12)</f>
        <v>Pós-fixado</v>
      </c>
      <c r="M28" s="99" t="str" cm="1">
        <f t="array" aca="1" ref="M28:M84"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BTG Pactual Cdb Plus FI RF CP</v>
      </c>
      <c r="N28" s="99" t="str" cm="1">
        <f t="array" aca="1" ref="N28:N38"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99" t="str" cm="1">
        <f t="array" aca="1" ref="O28:O42"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Debêntures Incentivadas Inflação Infra FIC Renda Fixa</v>
      </c>
      <c r="P28" s="99" t="str" cm="1">
        <f t="array" aca="1" ref="P28:P36"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99" t="str" cm="1">
        <f t="array" aca="1" ref="Q28:Q32"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NTN-F 2023 (-)</v>
      </c>
      <c r="R28" s="99" t="str" cm="1">
        <f t="array" aca="1" ref="R28:R32"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(12.95%)</v>
      </c>
      <c r="S28" s="99"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Títulos Bancários - 6 anos (14.25%)</v>
      </c>
      <c r="T28" s="99" t="str" cm="1">
        <f t="array" aca="1" ref="T28:T35"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Pimco Global Financ Credit FIC FIM IE</v>
      </c>
      <c r="U28" s="99" t="str" cm="1">
        <f t="array" aca="1" ref="U28:U70"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ARX Macro FIC FIM</v>
      </c>
      <c r="V28" s="99" t="str" cm="1">
        <f t="array" aca="1" ref="V28:V32"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Daemon Nous Global FIC FIM</v>
      </c>
      <c r="W28" s="99" t="str" cm="1">
        <f t="array" aca="1" ref="W28:W34"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Solana LS FIC FIM</v>
      </c>
      <c r="X28" s="99" t="str" cm="1">
        <f t="array" aca="1" ref="X28:X34"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Kapitalo Alpha Global FIC FIM</v>
      </c>
      <c r="Y28" s="99" t="str" cm="1">
        <f t="array" aca="1" ref="Y28:Y31"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Blackrock Global Event Driven FIC FIM IE</v>
      </c>
      <c r="Z28" s="99" t="str" cm="1">
        <f t="array" aca="1" ref="Z28:Z49"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ARX Income FIC FIA</v>
      </c>
      <c r="AA28" s="99" t="str" cm="1">
        <f t="array" aca="1" ref="AA28:AA44"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Garin Cíclico LB FIM</v>
      </c>
      <c r="AB28" s="99" t="str" cm="1">
        <f t="array" aca="1" ref="AB28"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Carteira de FII</v>
      </c>
      <c r="AC28" s="99" t="str" cm="1">
        <f t="array" aca="1" ref="AC28:AC30"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Access China Advantage Ag21 FIA IE</v>
      </c>
      <c r="AD28" s="99" t="str" cm="1">
        <f t="array" aca="1" ref="AD28:AD30"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Western Asset US Index 500 FIM</v>
      </c>
      <c r="AE28" s="99" t="str" cm="1">
        <f t="array" aca="1" ref="AE28"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EURP11</v>
      </c>
      <c r="AF28" s="99" t="str" cm="1">
        <f t="array" aca="1" ref="AF28:AF34"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Western Asset FIA BDR Nivel I</v>
      </c>
      <c r="AG28" s="99" t="str" cm="1">
        <f t="array" aca="1" ref="AG28:AG29" ca="1">IF(MAX(LEN(OFFSET('Produtos Selecionados'!$E$10,MATCH(AG$27,'Produtos Selecionados'!$E:$E,0)-INDEX(ROW('Produtos Selecionados'!$E$10),1)+1,, MATCH(" ", OFFSET('Produtos Selecionados'!$E$10,MATCH(AG$27,'Produtos Selecionados'!$E:$E,0)-INDEX(ROW('Produtos Selecionados'!$E$10),1)+1,,100),0)-1))) &lt; 1, "", OFFSET('Produtos Selecionados'!$E$10,MATCH(AG$27,'Produtos Selecionados'!$E:$E,0)-INDEX(ROW('Produtos Selecionados'!$E$10),1)+1,, MATCH(" ", OFFSET('Produtos Selecionados'!$E$10,MATCH(AG$27,'Produtos Selecionados'!$E:$E,0)-INDEX(ROW('Produtos Selecionados'!$E$10),1)+1,,100),0)-1))</f>
        <v>BTGP Mobius Emerging Markets FIM IE</v>
      </c>
      <c r="AI28" s="99" t="str">
        <f ca="1"/>
        <v>Itau Privilege RF REF DI FIC</v>
      </c>
      <c r="AJ28" s="99" t="str">
        <f ca="1"/>
        <v>Tesouro Ipca Curto RF</v>
      </c>
      <c r="AK28" s="99" t="str">
        <f ca="1"/>
        <v>JGP Debentures Incentivadas Juros Reais FIC FIM CP</v>
      </c>
      <c r="AL28" s="99" t="str">
        <f ca="1"/>
        <v>BTG Pactual Tesouro Ipca Longo FI RF REF</v>
      </c>
      <c r="AM28" s="99" t="str">
        <f ca="1"/>
        <v>NTN-F 2025 (12.60%)</v>
      </c>
      <c r="AN28" s="99" t="str">
        <f ca="1"/>
        <v>NTN-F 2029 (13.30%)</v>
      </c>
      <c r="AP28" s="99" t="str">
        <f ca="1"/>
        <v>Quantitas Galapagos FIM</v>
      </c>
      <c r="AQ28" s="99" t="str">
        <f ca="1"/>
        <v>Quantitas Galapagos FIM</v>
      </c>
      <c r="AR28" s="99" t="str">
        <f ca="1"/>
        <v>Giant Zarathustra FIC FIM</v>
      </c>
      <c r="AS28" s="99" t="str">
        <f ca="1"/>
        <v>Neo Argo Equity Hedge I FIC FIM</v>
      </c>
      <c r="AT28" s="99" t="str">
        <f ca="1"/>
        <v>BTG Pactual Digital Dolar FI Cambial</v>
      </c>
      <c r="AU28" s="99" t="str">
        <f ca="1"/>
        <v>Absolute Alpha Marb FIC FIM</v>
      </c>
      <c r="AV28" s="99" t="str">
        <f ca="1"/>
        <v>Real Investor FIC FIA BDR Nível I</v>
      </c>
      <c r="AW28" s="99" t="str">
        <f ca="1"/>
        <v>Genoa Capital Arpa FIC FIM</v>
      </c>
      <c r="AY28" s="99" t="str">
        <f ca="1"/>
        <v>Invesco Greater China Equity Dolar FIC FIA IE</v>
      </c>
      <c r="AZ28" s="99" t="str">
        <f ca="1"/>
        <v>BTG Pactual REFerence S&amp;P500 USD Prev FI FIM</v>
      </c>
      <c r="BB28" s="99" t="str">
        <f ca="1"/>
        <v>Newton Global Tech Fund FIA IE</v>
      </c>
      <c r="BC28" s="99" t="str">
        <f ca="1"/>
        <v>ASIA11</v>
      </c>
    </row>
    <row r="29" spans="1:55">
      <c r="A29" s="99"/>
      <c r="L29" s="99" t="str">
        <f>IF('Criação de Portfólio'!E17="","",'Criação de Portfólio'!E17)</f>
        <v>Inflação Curta (0-3)</v>
      </c>
      <c r="M29" s="99" t="str">
        <f ca="1"/>
        <v>Itau Privilege RF REF DI FIC</v>
      </c>
      <c r="N29" s="99" t="str">
        <f ca="1"/>
        <v>Tesouro Ipca Curto RF</v>
      </c>
      <c r="O29" s="99" t="str">
        <f ca="1"/>
        <v>JGP Debentures Incentivadas Juros Reais FIC FIM CP</v>
      </c>
      <c r="P29" s="99" t="str">
        <f ca="1"/>
        <v>BTG Pactual Tesouro Ipca Longo FI RF REF</v>
      </c>
      <c r="Q29" s="99" t="str">
        <f ca="1"/>
        <v>NTN-F 2025 (12.60%)</v>
      </c>
      <c r="R29" s="99" t="str">
        <f ca="1"/>
        <v>NTN-F 2029 (13.30%)</v>
      </c>
      <c r="T29" s="99" t="str">
        <f ca="1"/>
        <v>Pimco Income Dolar FIC FIM IE</v>
      </c>
      <c r="U29" s="99" t="str">
        <f ca="1"/>
        <v>Quantitas Galapagos FIM</v>
      </c>
      <c r="V29" s="99" t="str">
        <f ca="1"/>
        <v>Giant Zarathustra FIC FIM</v>
      </c>
      <c r="W29" s="99" t="str">
        <f ca="1"/>
        <v>Neo Argo Equity Hedge I FIC FIM</v>
      </c>
      <c r="X29" s="99" t="str">
        <f ca="1"/>
        <v>BTG Pactual Digital Dolar FI Cambial</v>
      </c>
      <c r="Y29" s="99" t="str">
        <f ca="1"/>
        <v>Absolute Alpha Marb FIC FIM</v>
      </c>
      <c r="Z29" s="99" t="str">
        <f ca="1"/>
        <v>Real Investor FIC FIA BDR Nível I</v>
      </c>
      <c r="AA29" s="99" t="str">
        <f ca="1"/>
        <v>Genoa Capital Arpa FIC FIM</v>
      </c>
      <c r="AB29" s="99"/>
      <c r="AC29" s="99" t="str">
        <f ca="1"/>
        <v>Invesco Greater China Equity Dolar FIC FIA IE</v>
      </c>
      <c r="AD29" s="99" t="str">
        <f ca="1"/>
        <v>BTG Pactual REFerence S&amp;P500 USD Prev FI FIM</v>
      </c>
      <c r="AE29" s="99"/>
      <c r="AF29" s="99" t="str">
        <f ca="1"/>
        <v>Newton Global Tech Fund FIA IE</v>
      </c>
      <c r="AG29" s="99" t="str">
        <f ca="1"/>
        <v>ASIA11</v>
      </c>
      <c r="AI29" s="99" t="str">
        <f ca="1"/>
        <v>Tesouro Selic Simples FI RF</v>
      </c>
      <c r="AJ29" s="99" t="str">
        <f ca="1"/>
        <v>JGP Bp Crédito FIC RF Ipca Prev CP LP</v>
      </c>
      <c r="AK29" s="99" t="str">
        <f ca="1"/>
        <v>Sparta Deb Inc Infla FIC FIRF Infra</v>
      </c>
      <c r="AL29" s="99" t="str">
        <f ca="1"/>
        <v>BTG Pactual Tesouro Ipca Lon Prev FICrf</v>
      </c>
      <c r="AM29" s="99" t="str">
        <f ca="1"/>
        <v>Títulos Bancários - 1 ano (14.55%)</v>
      </c>
      <c r="AN29" s="99" t="str">
        <f ca="1"/>
        <v>NTN-F 2031 (13.40%)</v>
      </c>
      <c r="AP29" s="99" t="str">
        <f ca="1"/>
        <v>Absolute Vertex FIC FIM Access</v>
      </c>
      <c r="AQ29" s="99" t="str">
        <f ca="1"/>
        <v>Absolute Vertex FIC FIM Access</v>
      </c>
      <c r="AR29" s="99" t="str">
        <f ca="1"/>
        <v>Giant Prev BTG Fie FIC FIM</v>
      </c>
      <c r="AS29" s="99" t="str">
        <f ca="1"/>
        <v>Occam Equity Hedge FIC FIM Access</v>
      </c>
      <c r="AT29" s="99" t="str">
        <f ca="1"/>
        <v>BTG Pactual Ouro USD FI MM</v>
      </c>
      <c r="AU29" s="99" t="str">
        <f ca="1"/>
        <v>Nw3 Event Driven Plus FIC FIM</v>
      </c>
      <c r="AV29" s="99" t="str">
        <f ca="1"/>
        <v>Trigono Flagship Small Caps FIC FIA</v>
      </c>
      <c r="AW29" s="99" t="str">
        <f ca="1"/>
        <v>Absolute Pace LB FIC FIA</v>
      </c>
      <c r="AY29" s="99" t="str">
        <f ca="1"/>
        <v>XINA11</v>
      </c>
      <c r="AZ29" s="99" t="str">
        <f ca="1"/>
        <v>IVVB11</v>
      </c>
      <c r="BB29" s="99" t="str">
        <f ca="1"/>
        <v>Vitreo Carbono FIM</v>
      </c>
    </row>
    <row r="30" spans="1:55">
      <c r="A30" s="99"/>
      <c r="L30" s="99" t="str">
        <f>IF('Criação de Portfólio'!E20="","",'Criação de Portfólio'!E20)</f>
        <v>Inflação Média (4-6)</v>
      </c>
      <c r="M30" s="99" t="str">
        <f ca="1"/>
        <v>Tesouro Selic Simples FI RF</v>
      </c>
      <c r="N30" s="99" t="str">
        <f ca="1"/>
        <v>JGP Bp Crédito FIC RF Ipca Prev CP LP</v>
      </c>
      <c r="O30" s="99" t="str">
        <f ca="1"/>
        <v>Sparta Deb Inc Infla FIC FIRF Infra</v>
      </c>
      <c r="P30" s="99" t="str">
        <f ca="1"/>
        <v>BTG Pactual Tesouro Ipca Lon Prev FICrf</v>
      </c>
      <c r="Q30" s="99" t="str">
        <f ca="1"/>
        <v>Títulos Bancários - 1 ano (14.55%)</v>
      </c>
      <c r="R30" s="99" t="str">
        <f ca="1"/>
        <v>NTN-F 2031 (13.40%)</v>
      </c>
      <c r="T30" s="99" t="str">
        <f ca="1"/>
        <v>Pimco Income FIC FIM IE</v>
      </c>
      <c r="U30" s="99" t="str">
        <f ca="1"/>
        <v>Absolute Vertex FIC FIM Access</v>
      </c>
      <c r="V30" s="99" t="str">
        <f ca="1"/>
        <v>Giant Prev BTG Fie FIC FIM</v>
      </c>
      <c r="W30" s="99" t="str">
        <f ca="1"/>
        <v>Occam Equity Hedge FIC FIM Access</v>
      </c>
      <c r="X30" s="99" t="str">
        <f ca="1"/>
        <v>BTG Pactual Ouro USD FI MM</v>
      </c>
      <c r="Y30" s="99" t="str">
        <f ca="1"/>
        <v>Nw3 Event Driven Plus FIC FIM</v>
      </c>
      <c r="Z30" s="99" t="str">
        <f ca="1"/>
        <v>Trigono Flagship Small Caps FIC FIA</v>
      </c>
      <c r="AA30" s="99" t="str">
        <f ca="1"/>
        <v>Absolute Pace LB FIC FIA</v>
      </c>
      <c r="AB30" s="99"/>
      <c r="AC30" s="99" t="str">
        <f ca="1"/>
        <v>XINA11</v>
      </c>
      <c r="AD30" s="99" t="str">
        <f ca="1"/>
        <v>IVVB11</v>
      </c>
      <c r="AE30" s="99"/>
      <c r="AF30" s="99" t="str">
        <f ca="1"/>
        <v>Vitreo Carbono FIM</v>
      </c>
      <c r="AG30" s="99"/>
      <c r="AI30" s="99" t="str">
        <f ca="1"/>
        <v>Itau Optimus RF Longo Prazo Distribuidores FIC FI</v>
      </c>
      <c r="AJ30" s="99" t="str">
        <f ca="1"/>
        <v>NTN-B 2023 (IPCA+4.40%)</v>
      </c>
      <c r="AK30" s="99" t="str">
        <f ca="1"/>
        <v>BTG Pactual Prev Ima-B FIC FI RF</v>
      </c>
      <c r="AL30" s="99" t="str">
        <f ca="1"/>
        <v>BTG Pactual Ntn-B 2035 Yield Prev FI RF</v>
      </c>
      <c r="AM30" s="99" t="str">
        <f ca="1"/>
        <v>Títulos Bancários - 2 anos (14.25%)</v>
      </c>
      <c r="AN30" s="99" t="str">
        <f ca="1"/>
        <v>Títulos Bancários - 4 anos (14.35%)</v>
      </c>
      <c r="AP30" s="99" t="str">
        <f ca="1"/>
        <v>Gávea Macro FIC FIM</v>
      </c>
      <c r="AQ30" s="99" t="str">
        <f ca="1"/>
        <v>Gávea Macro FIC FIM</v>
      </c>
      <c r="AR30" s="99" t="str">
        <f ca="1"/>
        <v>Giant Sigma FIC FIM</v>
      </c>
      <c r="AS30" s="99" t="str">
        <f ca="1"/>
        <v>Sharp Long Short FIM</v>
      </c>
      <c r="AT30" s="99" t="str">
        <f ca="1"/>
        <v>BTG Pactual Ouro FIM</v>
      </c>
      <c r="AU30" s="99" t="str">
        <f ca="1"/>
        <v>Access Absolute Alpha Marb Prev Fie FIC FIM</v>
      </c>
      <c r="AV30" s="99" t="str">
        <f ca="1"/>
        <v>Trigono Delphos Income FIC FIA</v>
      </c>
      <c r="AW30" s="99" t="str">
        <f ca="1"/>
        <v>Clave Total Return FIC FIM Access</v>
      </c>
      <c r="BB30" s="99" t="str">
        <f ca="1"/>
        <v>Vitreo Uranio FIM</v>
      </c>
    </row>
    <row r="31" spans="1:55">
      <c r="A31" s="99"/>
      <c r="L31" s="99" t="str">
        <f>IF('Criação de Portfólio'!E23="","",'Criação de Portfólio'!E23)</f>
        <v>Inflação Longa (7-11)</v>
      </c>
      <c r="M31" s="99" t="str">
        <f ca="1"/>
        <v>Itau Optimus RF Longo Prazo Distribuidores FIC FI</v>
      </c>
      <c r="N31" s="99" t="str">
        <f ca="1"/>
        <v>NTN-B 2023 (IPCA+4.40%)</v>
      </c>
      <c r="O31" s="99" t="str">
        <f ca="1"/>
        <v>BTG Pactual Prev Ima-B FIC FI RF</v>
      </c>
      <c r="P31" s="99" t="str">
        <f ca="1"/>
        <v>BTG Pactual Ntn-B 2035 Yield Prev FI RF</v>
      </c>
      <c r="Q31" s="99" t="str">
        <f ca="1"/>
        <v>Títulos Bancários - 2 anos (14.25%)</v>
      </c>
      <c r="R31" s="99" t="str">
        <f ca="1"/>
        <v>Títulos Bancários - 4 anos (14.35%)</v>
      </c>
      <c r="T31" s="99" t="str">
        <f ca="1"/>
        <v>Octante CP FIM IE</v>
      </c>
      <c r="U31" s="99" t="str">
        <f ca="1"/>
        <v>Gávea Macro FIC FIM</v>
      </c>
      <c r="V31" s="99" t="str">
        <f ca="1"/>
        <v>Giant Sigma FIC FIM</v>
      </c>
      <c r="W31" s="99" t="str">
        <f ca="1"/>
        <v>Sharp Long Short FIM</v>
      </c>
      <c r="X31" s="99" t="str">
        <f ca="1"/>
        <v>BTG Pactual Ouro FIM</v>
      </c>
      <c r="Y31" s="99" t="str">
        <f ca="1"/>
        <v>Access Absolute Alpha Marb Prev Fie FIC FIM</v>
      </c>
      <c r="Z31" s="99" t="str">
        <f ca="1"/>
        <v>Trigono Delphos Income FIC FIA</v>
      </c>
      <c r="AA31" s="99" t="str">
        <f ca="1"/>
        <v>Clave Total Return FIC FIM Access</v>
      </c>
      <c r="AB31" s="99"/>
      <c r="AC31" s="99"/>
      <c r="AD31" s="99"/>
      <c r="AE31" s="99"/>
      <c r="AF31" s="99" t="str">
        <f ca="1"/>
        <v>Vitreo Uranio FIM</v>
      </c>
      <c r="AG31" s="99"/>
      <c r="AI31" s="99" t="str">
        <f ca="1"/>
        <v>Vinland RF Ativo LP FIC FI</v>
      </c>
      <c r="AJ31" s="99" t="str">
        <f ca="1"/>
        <v>NTN-B 2024 (IPCA+6.15%)</v>
      </c>
      <c r="AK31" s="99" t="str">
        <f ca="1"/>
        <v>BTG Pactual Tesouro Ipca Geral FI RF REF</v>
      </c>
      <c r="AL31" s="99" t="str">
        <f ca="1"/>
        <v>NTN-B 2032 (IPCA+6.25%)</v>
      </c>
      <c r="AM31" s="99" t="str">
        <f ca="1"/>
        <v>Títulos Bancários - 3 anos (14.55%)</v>
      </c>
      <c r="AN31" s="99" t="str">
        <f ca="1"/>
        <v>Títulos Bancários - 5 anos (14.10%)</v>
      </c>
      <c r="AP31" s="99" t="str">
        <f ca="1"/>
        <v>Genoa Capital Radar FIC FIM</v>
      </c>
      <c r="AQ31" s="99" t="str">
        <f ca="1"/>
        <v>Genoa Capital Radar FIC FIM</v>
      </c>
      <c r="AR31" s="99" t="str">
        <f ca="1"/>
        <v>Claritas Quant FIC FIM</v>
      </c>
      <c r="AS31" s="99" t="str">
        <f ca="1"/>
        <v>Truxt Long Short Access FIC MM</v>
      </c>
      <c r="AT31" s="99" t="str">
        <f ca="1"/>
        <v>Dahlia Global Allocation FIC FIM</v>
      </c>
      <c r="AV31" s="99" t="str">
        <f ca="1"/>
        <v>Real Investor 70 Prev FI FIM</v>
      </c>
      <c r="AW31" s="99" t="str">
        <f ca="1"/>
        <v>Norte Long Bias FIC FIM</v>
      </c>
      <c r="BB31" s="99" t="str">
        <f ca="1"/>
        <v>Ip Atlas USD FIC FIA IE</v>
      </c>
    </row>
    <row r="32" spans="1:55">
      <c r="A32" s="99"/>
      <c r="L32" s="99" t="str">
        <f>IF('Criação de Portfólio'!E28="","",'Criação de Portfólio'!E28)</f>
        <v>Pré Curta (0-3)</v>
      </c>
      <c r="M32" s="99" t="str">
        <f ca="1"/>
        <v>Vinland RF Ativo LP FIC FI</v>
      </c>
      <c r="N32" s="99" t="str">
        <f ca="1"/>
        <v>NTN-B 2024 (IPCA+6.15%)</v>
      </c>
      <c r="O32" s="99" t="str">
        <f ca="1"/>
        <v>BTG Pactual Tesouro Ipca Geral FI RF REF</v>
      </c>
      <c r="P32" s="99" t="str">
        <f ca="1"/>
        <v>NTN-B 2032 (IPCA+6.25%)</v>
      </c>
      <c r="Q32" s="99" t="str">
        <f ca="1"/>
        <v>Títulos Bancários - 3 anos (14.55%)</v>
      </c>
      <c r="R32" s="99" t="str">
        <f ca="1"/>
        <v>Títulos Bancários - 5 anos (14.10%)</v>
      </c>
      <c r="T32" s="99" t="str">
        <f ca="1"/>
        <v>Oaktree Credit Access IE FIC MM</v>
      </c>
      <c r="U32" s="99" t="str">
        <f ca="1"/>
        <v>Genoa Capital Radar FIC FIM</v>
      </c>
      <c r="V32" s="99" t="str">
        <f ca="1"/>
        <v>Claritas Quant FIC FIM</v>
      </c>
      <c r="W32" s="99" t="str">
        <f ca="1"/>
        <v>Truxt Long Short Access FIC MM</v>
      </c>
      <c r="X32" s="99" t="str">
        <f ca="1"/>
        <v>Dahlia Global Allocation FIC FIM</v>
      </c>
      <c r="Y32" s="99"/>
      <c r="Z32" s="99" t="str">
        <f ca="1"/>
        <v>Real Investor 70 Prev FI FIM</v>
      </c>
      <c r="AA32" s="99" t="str">
        <f ca="1"/>
        <v>Norte Long Bias FIC FIM</v>
      </c>
      <c r="AB32" s="99"/>
      <c r="AC32" s="99"/>
      <c r="AD32" s="99"/>
      <c r="AE32" s="99"/>
      <c r="AF32" s="99" t="str">
        <f ca="1"/>
        <v>Ip Atlas USD FIC FIA IE</v>
      </c>
      <c r="AG32" s="99"/>
      <c r="AI32" s="99" t="str">
        <f ca="1"/>
        <v>NCH Cash FIM</v>
      </c>
      <c r="AJ32" s="99" t="str">
        <f ca="1"/>
        <v>NTN-B 2025 (IPCA+5.75%)</v>
      </c>
      <c r="AK32" s="99" t="str">
        <f ca="1"/>
        <v>ARX Elbrus FIC FI Infraestrutura RF</v>
      </c>
      <c r="AL32" s="99" t="str">
        <f ca="1"/>
        <v>NTN-B 2035 (IPCA+6.35%)</v>
      </c>
      <c r="AP32" s="99" t="str">
        <f ca="1"/>
        <v>Ibiuna Hedge STH FIC FIM</v>
      </c>
      <c r="AQ32" s="99" t="str">
        <f ca="1"/>
        <v>Ibiuna Hedge STH FIC FIM</v>
      </c>
      <c r="AS32" s="99" t="str">
        <f ca="1"/>
        <v>Solana Equity Hedge FIC FIM</v>
      </c>
      <c r="AT32" s="99" t="str">
        <f ca="1"/>
        <v>GOLD11</v>
      </c>
      <c r="AV32" s="99" t="str">
        <f ca="1"/>
        <v>Trigono 70 Prev FIC FI FIM</v>
      </c>
      <c r="AW32" s="99" t="str">
        <f ca="1"/>
        <v>Vinland Long Bias FIC FIM</v>
      </c>
      <c r="BB32" s="99" t="str">
        <f ca="1"/>
        <v>Ip Participacoes FIC FIA BDR Nivel I</v>
      </c>
    </row>
    <row r="33" spans="1:54">
      <c r="A33" s="99"/>
      <c r="L33" s="99" t="str">
        <f>IF('Criação de Portfólio'!E31="","",'Criação de Portfólio'!E31)</f>
        <v>Pré Média (4-5)</v>
      </c>
      <c r="M33" s="99" t="str">
        <f ca="1"/>
        <v>NCH Cash FIM</v>
      </c>
      <c r="N33" s="99" t="str">
        <f ca="1"/>
        <v>NTN-B 2025 (IPCA+5.75%)</v>
      </c>
      <c r="O33" s="99" t="str">
        <f ca="1"/>
        <v>ARX Elbrus FIC FI Infraestrutura RF</v>
      </c>
      <c r="P33" s="99" t="str">
        <f ca="1"/>
        <v>NTN-B 2035 (IPCA+6.35%)</v>
      </c>
      <c r="T33" s="99" t="str">
        <f ca="1"/>
        <v>SPX Seahawk Global FIC FIM CP</v>
      </c>
      <c r="U33" s="99" t="str">
        <f ca="1"/>
        <v>Ibiuna Hedge STH FIC FIM</v>
      </c>
      <c r="W33" s="99" t="str">
        <f ca="1"/>
        <v>Solana Equity Hedge FIC FIM</v>
      </c>
      <c r="X33" s="99" t="str">
        <f ca="1"/>
        <v>GOLD11</v>
      </c>
      <c r="Y33" s="99"/>
      <c r="Z33" s="99" t="str">
        <f ca="1"/>
        <v>Trigono 70 Prev FIC FI FIM</v>
      </c>
      <c r="AA33" s="99" t="str">
        <f ca="1"/>
        <v>Vinland Long Bias FIC FIM</v>
      </c>
      <c r="AB33" s="99"/>
      <c r="AC33" s="99"/>
      <c r="AD33" s="99"/>
      <c r="AE33" s="99"/>
      <c r="AF33" s="99" t="str">
        <f ca="1"/>
        <v>Ip Participacoes FIC FIA BDR Nivel I</v>
      </c>
      <c r="AG33" s="99"/>
      <c r="AI33" s="99" t="str">
        <f ca="1"/>
        <v>Itau Mult Cred Priv Precision FIC</v>
      </c>
      <c r="AJ33" s="99" t="str">
        <f ca="1"/>
        <v>NTN-B 2026 (IPCA+5.90%)</v>
      </c>
      <c r="AK33" s="99" t="str">
        <f ca="1"/>
        <v>Sparta Previdencia Inflação B FIC FI RF CP</v>
      </c>
      <c r="AL33" s="99" t="str">
        <f ca="1"/>
        <v>Títulos Corporativos - 8 anos (IPCA+9.50%)</v>
      </c>
      <c r="AP33" s="99" t="str">
        <f ca="1"/>
        <v>Kapitalo K10 FIC FIM</v>
      </c>
      <c r="AQ33" s="99" t="str">
        <f ca="1"/>
        <v>Kapitalo K10 FIC FIM</v>
      </c>
      <c r="AS33" s="99" t="str">
        <f ca="1"/>
        <v>Sharp Long Short 2X FIM</v>
      </c>
      <c r="AT33" s="99" t="str">
        <f ca="1"/>
        <v>Operações Estruturadas</v>
      </c>
      <c r="AV33" s="99" t="str">
        <f ca="1"/>
        <v>Real Investor 100 Icatu Prev Qualificado FIC FIA</v>
      </c>
      <c r="AW33" s="99" t="str">
        <f ca="1"/>
        <v>Rps Long Bias Access FIC FIA</v>
      </c>
      <c r="BB33" s="99" t="str">
        <f ca="1"/>
        <v>WRLD11</v>
      </c>
    </row>
    <row r="34" spans="1:54">
      <c r="A34" s="99"/>
      <c r="L34" s="99" t="str">
        <f>IF('Criação de Portfólio'!E34="","",'Criação de Portfólio'!E34)</f>
        <v>Pré Longa (6-10)</v>
      </c>
      <c r="M34" s="99" t="str">
        <f ca="1"/>
        <v>Itau Mult Cred Priv Precision FIC</v>
      </c>
      <c r="N34" s="99" t="str">
        <f ca="1"/>
        <v>NTN-B 2026 (IPCA+5.90%)</v>
      </c>
      <c r="O34" s="99" t="str">
        <f ca="1"/>
        <v>Sparta Previdencia Inflação B FIC FI RF CP</v>
      </c>
      <c r="P34" s="99" t="str">
        <f ca="1"/>
        <v>Títulos Corporativos - 8 anos (IPCA+9.50%)</v>
      </c>
      <c r="T34" s="99" t="str">
        <f ca="1"/>
        <v>JGP Select Premium FIM CP IE</v>
      </c>
      <c r="U34" s="99" t="str">
        <f ca="1"/>
        <v>Kapitalo K10 FIC FIM</v>
      </c>
      <c r="W34" s="99" t="str">
        <f ca="1"/>
        <v>Sharp Long Short 2X FIM</v>
      </c>
      <c r="X34" s="99" t="str">
        <f ca="1"/>
        <v>Operações Estruturadas</v>
      </c>
      <c r="Y34" s="99"/>
      <c r="Z34" s="99" t="str">
        <f ca="1"/>
        <v>Real Investor 100 Icatu Prev Qualificado FIC FIA</v>
      </c>
      <c r="AA34" s="99" t="str">
        <f ca="1"/>
        <v>Rps Long Bias Access FIC FIA</v>
      </c>
      <c r="AB34" s="99"/>
      <c r="AC34" s="99"/>
      <c r="AD34" s="99"/>
      <c r="AE34" s="99"/>
      <c r="AF34" s="99" t="str">
        <f ca="1"/>
        <v>WRLD11</v>
      </c>
      <c r="AG34" s="99"/>
      <c r="AI34" s="99" t="str">
        <f ca="1"/>
        <v>ARX Vinson FIC FI RF CP</v>
      </c>
      <c r="AJ34" s="99" t="str">
        <f ca="1"/>
        <v>NTN-B 2027 (IPCA+5.90%)</v>
      </c>
      <c r="AK34" s="99" t="str">
        <f ca="1"/>
        <v>NTN-B 2028 (IPCA+6.15%)</v>
      </c>
      <c r="AL34" s="99" t="str">
        <f ca="1"/>
        <v>Títulos Corporativos - 9 anos (IPCA+8.50%)</v>
      </c>
      <c r="AP34" s="99" t="str">
        <f ca="1"/>
        <v>Legacy Capital FIC FIM Access</v>
      </c>
      <c r="AQ34" s="99" t="str">
        <f ca="1"/>
        <v>Legacy Capital FIC FIM Access</v>
      </c>
      <c r="AV34" s="99" t="str">
        <f ca="1"/>
        <v>Trígono Icatu 100 FIA Prev</v>
      </c>
      <c r="AW34" s="99" t="str">
        <f ca="1"/>
        <v>Ibiuna Long Biased FIC FIM</v>
      </c>
    </row>
    <row r="35" spans="1:54">
      <c r="A35" s="99"/>
      <c r="L35" s="99" t="str">
        <f>IF('Criação de Portfólio'!E37="","",'Criação de Portfólio'!E37)</f>
        <v>Internacional</v>
      </c>
      <c r="M35" s="99" t="str">
        <f ca="1"/>
        <v>ARX Vinson FIC FI RF CP</v>
      </c>
      <c r="N35" s="99" t="str">
        <f ca="1"/>
        <v>NTN-B 2027 (IPCA+5.90%)</v>
      </c>
      <c r="O35" s="99" t="str">
        <f ca="1"/>
        <v>NTN-B 2028 (IPCA+6.15%)</v>
      </c>
      <c r="P35" s="99" t="str">
        <f ca="1"/>
        <v>Títulos Corporativos - 9 anos (IPCA+8.50%)</v>
      </c>
      <c r="T35" s="99" t="str">
        <f ca="1"/>
        <v>Leste Credit Abs I FIC FIM CP IE</v>
      </c>
      <c r="U35" s="99" t="str">
        <f ca="1"/>
        <v>Legacy Capital FIC FIM Access</v>
      </c>
      <c r="W35" s="99"/>
      <c r="X35" s="99"/>
      <c r="Y35" s="99"/>
      <c r="Z35" s="99" t="str">
        <f ca="1"/>
        <v>Trígono Icatu 100 FIA Prev</v>
      </c>
      <c r="AA35" s="99" t="str">
        <f ca="1"/>
        <v>Ibiuna Long Biased FIC FIM</v>
      </c>
      <c r="AB35" s="99"/>
      <c r="AC35" s="99"/>
      <c r="AD35" s="99"/>
      <c r="AE35" s="99"/>
      <c r="AF35" s="99"/>
      <c r="AG35" s="99"/>
      <c r="AI35" s="99" t="str">
        <f ca="1"/>
        <v>Sparta Max FIC FI RF CP LP</v>
      </c>
      <c r="AJ35" s="99" t="str">
        <f ca="1"/>
        <v>Títulos Bancários - 1 ano (IPCA+6.45%)</v>
      </c>
      <c r="AK35" s="99" t="str">
        <f ca="1"/>
        <v>NTN-B 2030 (IPCA+6.15%)</v>
      </c>
      <c r="AL35" s="99" t="str">
        <f ca="1"/>
        <v>Títulos Corporativos - 10 anos (IPCA+9.60%)</v>
      </c>
      <c r="AP35" s="99" t="str">
        <f ca="1"/>
        <v>Vinland Macro Access FIC MM</v>
      </c>
      <c r="AQ35" s="99" t="str">
        <f ca="1"/>
        <v>Vinland Macro Access FIC MM</v>
      </c>
      <c r="AV35" s="99" t="str">
        <f ca="1"/>
        <v>Kinea Gama FIC FIA</v>
      </c>
      <c r="AW35" s="99" t="str">
        <f ca="1"/>
        <v>Itaú Distribuidores Hunter Total Return FIC FIM</v>
      </c>
    </row>
    <row r="36" spans="1:54">
      <c r="A36" s="99"/>
      <c r="L36" s="99" t="str">
        <f>IF('Criação de Portfólio'!E42="","",'Criação de Portfólio'!E42)</f>
        <v>Macro</v>
      </c>
      <c r="M36" s="99" t="str">
        <f ca="1"/>
        <v>Sparta Max FIC FI RF CP LP</v>
      </c>
      <c r="N36" s="99" t="str">
        <f ca="1"/>
        <v>Títulos Bancários - 1 ano (IPCA+6.45%)</v>
      </c>
      <c r="O36" s="99" t="str">
        <f ca="1"/>
        <v>NTN-B 2030 (IPCA+6.15%)</v>
      </c>
      <c r="P36" s="99" t="str">
        <f ca="1"/>
        <v>Títulos Corporativos - 10 anos (IPCA+9.60%)</v>
      </c>
      <c r="U36" s="99" t="str">
        <f ca="1"/>
        <v>Vinland Macro Access FIC MM</v>
      </c>
      <c r="W36" s="99"/>
      <c r="X36" s="99"/>
      <c r="Y36" s="99"/>
      <c r="Z36" s="99" t="str">
        <f ca="1"/>
        <v>Kinea Gama FIC FIA</v>
      </c>
      <c r="AA36" s="99" t="str">
        <f ca="1"/>
        <v>Itaú Distribuidores Hunter Total Return FIC FIM</v>
      </c>
      <c r="AB36" s="99"/>
      <c r="AC36" s="99"/>
      <c r="AD36" s="99"/>
      <c r="AE36" s="99"/>
      <c r="AF36" s="99"/>
      <c r="AG36" s="99"/>
      <c r="AI36" s="99" t="str">
        <f ca="1"/>
        <v>Absolute Hidra CDI FIC Incentivados Infra RF CP</v>
      </c>
      <c r="AJ36" s="99" t="str">
        <f ca="1"/>
        <v>Títulos Bancários - 2 anos (IPCA+6.70%)</v>
      </c>
      <c r="AK36" s="99" t="str">
        <f ca="1"/>
        <v>Títulos Bancários - 4 anos (IPCA+6.95%)</v>
      </c>
      <c r="AP36" s="99" t="str">
        <f ca="1"/>
        <v>Itaú Distribuidores  Hedge Plus II FICfim</v>
      </c>
      <c r="AQ36" s="99" t="str">
        <f ca="1"/>
        <v>Itaú Distribuidores  Hedge Plus II FICfim</v>
      </c>
      <c r="AV36" s="99" t="str">
        <f ca="1"/>
        <v>Vinland Long Only FIC FIA</v>
      </c>
      <c r="AW36" s="99" t="str">
        <f ca="1"/>
        <v>Tenax Total Return FIC FIM</v>
      </c>
    </row>
    <row r="37" spans="1:54">
      <c r="A37" s="99"/>
      <c r="L37" s="99" t="str">
        <f>IF('Criação de Portfólio'!E47="","",'Criação de Portfólio'!E47)</f>
        <v>Quant</v>
      </c>
      <c r="M37" s="99" t="str">
        <f ca="1"/>
        <v>Absolute Hidra CDI FIC Incentivados Infra RF CP</v>
      </c>
      <c r="N37" s="99" t="str">
        <f ca="1"/>
        <v>Títulos Bancários - 2 anos (IPCA+6.70%)</v>
      </c>
      <c r="O37" s="99" t="str">
        <f ca="1"/>
        <v>Títulos Bancários - 4 anos (IPCA+6.95%)</v>
      </c>
      <c r="U37" s="99" t="str">
        <f ca="1"/>
        <v>Itaú Distribuidores  Hedge Plus II FICfim</v>
      </c>
      <c r="W37" s="99"/>
      <c r="X37" s="99"/>
      <c r="Y37" s="99"/>
      <c r="Z37" s="99" t="str">
        <f ca="1"/>
        <v>Vinland Long Only FIC FIA</v>
      </c>
      <c r="AA37" s="99" t="str">
        <f ca="1"/>
        <v>Tenax Total Return FIC FIM</v>
      </c>
      <c r="AB37" s="99"/>
      <c r="AC37" s="99"/>
      <c r="AD37" s="99"/>
      <c r="AE37" s="99"/>
      <c r="AF37" s="99"/>
      <c r="AG37" s="99"/>
      <c r="AI37" s="99" t="str">
        <f ca="1"/>
        <v>BTG Pactual Cred Corp Plus FI RF CP</v>
      </c>
      <c r="AJ37" s="99" t="str">
        <f ca="1"/>
        <v>Títulos Bancários - 3 anos (IPCA+6.90%)</v>
      </c>
      <c r="AK37" s="99" t="str">
        <f ca="1"/>
        <v>Títulos Bancários - 5 anos (IPCA+6.95%)</v>
      </c>
      <c r="AP37" s="99" t="str">
        <f ca="1"/>
        <v>SPX Nimitz Feeder FIC de FIM</v>
      </c>
      <c r="AQ37" s="99" t="str">
        <f ca="1"/>
        <v>SPX Nimitz Feeder FIC de FIM</v>
      </c>
      <c r="AV37" s="99" t="str">
        <f ca="1"/>
        <v>Velt FIC FIA</v>
      </c>
      <c r="AW37" s="99" t="str">
        <f ca="1"/>
        <v>Helius Lux Long Biased FIC FIM</v>
      </c>
    </row>
    <row r="38" spans="1:54">
      <c r="A38" s="99"/>
      <c r="L38" s="99" t="str">
        <f>IF('Criação de Portfólio'!E50="","",'Criação de Portfólio'!E50)</f>
        <v>Long &amp; Short</v>
      </c>
      <c r="M38" s="99" t="str">
        <f ca="1"/>
        <v>BTG Pactual Cred Corp Plus FI RF CP</v>
      </c>
      <c r="N38" s="99" t="str">
        <f ca="1"/>
        <v>Títulos Bancários - 3 anos (IPCA+6.90%)</v>
      </c>
      <c r="O38" s="99" t="str">
        <f ca="1"/>
        <v>Títulos Bancários - 5 anos (IPCA+6.95%)</v>
      </c>
      <c r="U38" s="99" t="str">
        <f ca="1"/>
        <v>SPX Nimitz Feeder FIC de FIM</v>
      </c>
      <c r="W38" s="99"/>
      <c r="X38" s="99"/>
      <c r="Y38" s="99"/>
      <c r="Z38" s="99" t="str">
        <f ca="1"/>
        <v>Velt FIC FIA</v>
      </c>
      <c r="AA38" s="99" t="str">
        <f ca="1"/>
        <v>Helius Lux Long Biased FIC FIM</v>
      </c>
      <c r="AB38" s="99"/>
      <c r="AC38" s="99"/>
      <c r="AD38" s="99"/>
      <c r="AE38" s="99"/>
      <c r="AF38" s="99"/>
      <c r="AG38" s="99"/>
      <c r="AI38" s="99" t="str">
        <f ca="1"/>
        <v>ARX Everest FIC FIRF CP</v>
      </c>
      <c r="AK38" s="99" t="str">
        <f ca="1"/>
        <v>Títulos Corporativos - 4 anos (IPCA+8.45%)</v>
      </c>
      <c r="AP38" s="99" t="str">
        <f ca="1"/>
        <v>Vinland Macro Plus FIC FIM</v>
      </c>
      <c r="AQ38" s="99" t="str">
        <f ca="1"/>
        <v>Vinland Macro Plus FIC FIM</v>
      </c>
      <c r="AV38" s="99" t="str">
        <f ca="1"/>
        <v>JGP Long Only FIC FIA</v>
      </c>
      <c r="AW38" s="99" t="str">
        <f ca="1"/>
        <v>Truxt I Long Bias FIC FIM</v>
      </c>
    </row>
    <row r="39" spans="1:54">
      <c r="A39" s="99"/>
      <c r="L39" s="99" t="str">
        <f>IF('Criação de Portfólio'!E53="","",'Criação de Portfólio'!E53)</f>
        <v>Multiestratégia</v>
      </c>
      <c r="M39" s="99" t="str">
        <f ca="1"/>
        <v>ARX Everest FIC FIRF CP</v>
      </c>
      <c r="O39" s="99" t="str">
        <f ca="1"/>
        <v>Títulos Corporativos - 4 anos (IPCA+8.45%)</v>
      </c>
      <c r="U39" s="99" t="str">
        <f ca="1"/>
        <v>Vinland Macro Plus FIC FIM</v>
      </c>
      <c r="W39" s="99"/>
      <c r="X39" s="99"/>
      <c r="Y39" s="99"/>
      <c r="Z39" s="99" t="str">
        <f ca="1"/>
        <v>JGP Long Only FIC FIA</v>
      </c>
      <c r="AA39" s="99" t="str">
        <f ca="1"/>
        <v>Truxt I Long Bias FIC FIM</v>
      </c>
      <c r="AB39" s="99"/>
      <c r="AC39" s="99"/>
      <c r="AD39" s="99"/>
      <c r="AE39" s="99"/>
      <c r="AF39" s="99"/>
      <c r="AG39" s="99"/>
      <c r="AI39" s="99" t="str">
        <f ca="1"/>
        <v>Everest High Yield FIC FIM - CP E1</v>
      </c>
      <c r="AK39" s="99" t="str">
        <f ca="1"/>
        <v>Títulos Corporativos - 5 anos (IPCA+9.05%)</v>
      </c>
      <c r="AP39" s="99" t="str">
        <f ca="1"/>
        <v>Vinland Macro Plus P FIC FIM</v>
      </c>
      <c r="AQ39" s="99" t="str">
        <f ca="1"/>
        <v>Vinland Macro Plus P FIC FIM</v>
      </c>
      <c r="AV39" s="99" t="str">
        <f ca="1"/>
        <v>SPX Patriot FIC FIA</v>
      </c>
      <c r="AW39" s="99" t="str">
        <f ca="1"/>
        <v>Truxt Long Bias FIC FIA Access</v>
      </c>
    </row>
    <row r="40" spans="1:54">
      <c r="A40" s="99"/>
      <c r="L40" s="99" t="e">
        <f>IF('Criação de Portfólio'!#REF!="","",'Criação de Portfólio'!#REF!)</f>
        <v>#REF!</v>
      </c>
      <c r="M40" s="99" t="str">
        <f ca="1"/>
        <v>Everest High Yield FIC FIM - CP E1</v>
      </c>
      <c r="O40" s="99" t="str">
        <f ca="1"/>
        <v>Títulos Corporativos - 5 anos (IPCA+9.05%)</v>
      </c>
      <c r="U40" s="99" t="str">
        <f ca="1"/>
        <v>Vinland Macro Plus P FIC FIM</v>
      </c>
      <c r="W40" s="99"/>
      <c r="X40" s="99"/>
      <c r="Y40" s="99"/>
      <c r="Z40" s="99" t="str">
        <f ca="1"/>
        <v>SPX Patriot FIC FIA</v>
      </c>
      <c r="AA40" s="99" t="str">
        <f ca="1"/>
        <v>Truxt Long Bias FIC FIA Access</v>
      </c>
      <c r="AB40" s="99"/>
      <c r="AC40" s="99"/>
      <c r="AD40" s="99"/>
      <c r="AE40" s="99"/>
      <c r="AF40" s="99"/>
      <c r="AG40" s="99"/>
      <c r="AI40" s="99" t="str">
        <f ca="1"/>
        <v>Leste Credit Access IE FIC MM CP</v>
      </c>
      <c r="AK40" s="99" t="str">
        <f ca="1"/>
        <v>Títulos Corporativos - 6 anos (IPCA+9.20%)</v>
      </c>
      <c r="AP40" s="99" t="str">
        <f ca="1"/>
        <v>Gavea Macro Plus II FIC FIM</v>
      </c>
      <c r="AQ40" s="99" t="str">
        <f ca="1"/>
        <v>Gavea Macro Plus II FIC FIM</v>
      </c>
      <c r="AV40" s="99" t="str">
        <f ca="1"/>
        <v>Trigono Verbier FIC de FIA</v>
      </c>
      <c r="AW40" s="99" t="str">
        <f ca="1"/>
        <v>Dahlia Total Return FIC FIM</v>
      </c>
    </row>
    <row r="41" spans="1:54">
      <c r="A41" s="99"/>
      <c r="L41" s="99" t="str">
        <f>IF('Criação de Portfólio'!E60="","",'Criação de Portfólio'!E60)</f>
        <v>Long Only</v>
      </c>
      <c r="M41" s="99" t="str">
        <f ca="1"/>
        <v>Leste Credit Access IE FIC MM CP</v>
      </c>
      <c r="O41" s="99" t="str">
        <f ca="1"/>
        <v>Títulos Corporativos - 6 anos (IPCA+9.20%)</v>
      </c>
      <c r="U41" s="99" t="str">
        <f ca="1"/>
        <v>Gavea Macro Plus II FIC FIM</v>
      </c>
      <c r="W41" s="99"/>
      <c r="X41" s="99"/>
      <c r="Y41" s="99"/>
      <c r="Z41" s="99" t="str">
        <f ca="1"/>
        <v>Trigono Verbier FIC de FIA</v>
      </c>
      <c r="AA41" s="99" t="str">
        <f ca="1"/>
        <v>Dahlia Total Return FIC FIM</v>
      </c>
      <c r="AB41" s="99"/>
      <c r="AC41" s="99"/>
      <c r="AD41" s="99"/>
      <c r="AE41" s="99"/>
      <c r="AF41" s="99"/>
      <c r="AG41" s="99"/>
      <c r="AI41" s="99" t="str">
        <f ca="1"/>
        <v>Itaú Optimus Prev BTG Distribuidores FIC RF LP</v>
      </c>
      <c r="AK41" s="99" t="str">
        <f ca="1"/>
        <v>BDIF11 (IMA-B+2.20%)</v>
      </c>
      <c r="AP41" s="99" t="str">
        <f ca="1"/>
        <v>Capstone Macro FIC FIM</v>
      </c>
      <c r="AQ41" s="99" t="str">
        <f ca="1"/>
        <v>Capstone Macro FIC FIM</v>
      </c>
      <c r="AV41" s="99" t="str">
        <f ca="1"/>
        <v>Truxt I Valor FIC FIA</v>
      </c>
      <c r="AW41" s="99" t="str">
        <f ca="1"/>
        <v>Dao Multifactor FIM</v>
      </c>
    </row>
    <row r="42" spans="1:54">
      <c r="A42" s="99"/>
      <c r="L42" s="99" t="str">
        <f>IF('Criação de Portfólio'!E63="","",'Criação de Portfólio'!E63)</f>
        <v>Long Bias</v>
      </c>
      <c r="M42" s="99" t="str">
        <f ca="1"/>
        <v>Itaú Optimus Prev BTG Distribuidores FIC RF LP</v>
      </c>
      <c r="O42" s="99" t="str">
        <f ca="1"/>
        <v>BDIF11 (IMA-B+2.20%)</v>
      </c>
      <c r="U42" s="99" t="str">
        <f ca="1"/>
        <v>Capstone Macro FIC FIM</v>
      </c>
      <c r="W42" s="99"/>
      <c r="X42" s="99"/>
      <c r="Y42" s="99"/>
      <c r="Z42" s="99" t="str">
        <f ca="1"/>
        <v>Truxt I Valor FIC FIA</v>
      </c>
      <c r="AA42" s="99" t="str">
        <f ca="1"/>
        <v>Dao Multifactor FIM</v>
      </c>
      <c r="AB42" s="99"/>
      <c r="AC42" s="99"/>
      <c r="AD42" s="99"/>
      <c r="AE42" s="99"/>
      <c r="AF42" s="99"/>
      <c r="AG42" s="99"/>
      <c r="AI42" s="99" t="str">
        <f ca="1"/>
        <v>Vinland Ativo BTG Seguros Prev FIC RF LP</v>
      </c>
      <c r="AP42" s="99" t="str">
        <f ca="1"/>
        <v>SPX Lancer BTGP Prev FIC FIM</v>
      </c>
      <c r="AQ42" s="99" t="str">
        <f ca="1"/>
        <v>SPX Lancer BTGP Prev FIC FIM</v>
      </c>
      <c r="AV42" s="99" t="str">
        <f ca="1"/>
        <v>Tarpon Gt FIC FIA</v>
      </c>
      <c r="AW42" s="99" t="str">
        <f ca="1"/>
        <v>SPX Falcon Access FIC FIA</v>
      </c>
    </row>
    <row r="43" spans="1:54">
      <c r="A43" s="99"/>
      <c r="L43" s="99" t="str">
        <f>IF('Criação de Portfólio'!E66="","",'Criação de Portfólio'!E66)</f>
        <v>Alternativos</v>
      </c>
      <c r="M43" s="99" t="str">
        <f ca="1"/>
        <v>Vinland Ativo BTG Seguros Prev FIC RF LP</v>
      </c>
      <c r="U43" s="99" t="str">
        <f ca="1"/>
        <v>SPX Lancer BTGP Prev FIC FIM</v>
      </c>
      <c r="W43" s="99"/>
      <c r="X43" s="99"/>
      <c r="Y43" s="99"/>
      <c r="Z43" s="99" t="str">
        <f ca="1"/>
        <v>Tarpon Gt FIC FIA</v>
      </c>
      <c r="AA43" s="99" t="str">
        <f ca="1"/>
        <v>SPX Falcon Access FIC FIA</v>
      </c>
      <c r="AB43" s="99"/>
      <c r="AC43" s="99"/>
      <c r="AD43" s="99"/>
      <c r="AE43" s="99"/>
      <c r="AF43" s="99"/>
      <c r="AG43" s="99"/>
      <c r="AI43" s="99" t="str">
        <f ca="1"/>
        <v>BTG Pactual Tesouro Selic Prev FI RF REF DI</v>
      </c>
      <c r="AP43" s="99" t="str">
        <f ca="1"/>
        <v>Genoa Capital Cruise Prev BTG FIC FIM</v>
      </c>
      <c r="AQ43" s="99" t="str">
        <f ca="1"/>
        <v>Genoa Capital Cruise Prev BTG FIC FIM</v>
      </c>
      <c r="AV43" s="99" t="str">
        <f ca="1"/>
        <v>Quasar Tropos FIA</v>
      </c>
      <c r="AW43" s="99" t="str">
        <f ca="1"/>
        <v>Sharp Long Biased Feeder FIC FIA</v>
      </c>
    </row>
    <row r="44" spans="1:54">
      <c r="A44" s="99"/>
      <c r="L44" s="99" t="str">
        <f>IF('Criação de Portfólio'!E74="","",'Criação de Portfólio'!E74)</f>
        <v>China</v>
      </c>
      <c r="M44" s="99" t="str">
        <f ca="1"/>
        <v>BTG Pactual Tesouro Selic Prev FI RF REF DI</v>
      </c>
      <c r="U44" s="99" t="str">
        <f ca="1"/>
        <v>Genoa Capital Cruise Prev BTG FIC FIM</v>
      </c>
      <c r="W44" s="99"/>
      <c r="X44" s="99"/>
      <c r="Y44" s="99"/>
      <c r="Z44" s="99" t="str">
        <f ca="1"/>
        <v>Quasar Tropos FIA</v>
      </c>
      <c r="AA44" s="99" t="str">
        <f ca="1"/>
        <v>Sharp Long Biased Feeder FIC FIA</v>
      </c>
      <c r="AB44" s="99"/>
      <c r="AC44" s="99"/>
      <c r="AD44" s="99"/>
      <c r="AE44" s="99"/>
      <c r="AF44" s="99"/>
      <c r="AG44" s="99"/>
      <c r="AI44" s="99" t="str">
        <f ca="1"/>
        <v>Access SPX Seahawk Prev FIC FIM CP</v>
      </c>
      <c r="AP44" s="99" t="str">
        <f ca="1"/>
        <v>Kapitalo K10 Global Bp Prev FIC FIM</v>
      </c>
      <c r="AQ44" s="99" t="str">
        <f ca="1"/>
        <v>Kapitalo K10 Global Bp Prev FIC FIM</v>
      </c>
      <c r="AV44" s="99" t="str">
        <f ca="1"/>
        <v>Vrb FIC FIA</v>
      </c>
    </row>
    <row r="45" spans="1:54">
      <c r="A45" s="99"/>
      <c r="L45" s="99" t="str">
        <f>IF('Criação de Portfólio'!E71="","",'Criação de Portfólio'!E71)</f>
        <v>EUA</v>
      </c>
      <c r="M45" s="99" t="str">
        <f ca="1"/>
        <v>Access SPX Seahawk Prev FIC FIM CP</v>
      </c>
      <c r="U45" s="99" t="str">
        <f ca="1"/>
        <v>Kapitalo K10 Global Bp Prev FIC FIM</v>
      </c>
      <c r="W45" s="99"/>
      <c r="X45" s="99"/>
      <c r="Y45" s="99"/>
      <c r="Z45" s="99" t="str">
        <f ca="1"/>
        <v>Vrb FIC FIA</v>
      </c>
      <c r="AA45" s="99"/>
      <c r="AB45" s="99"/>
      <c r="AC45" s="99"/>
      <c r="AD45" s="99"/>
      <c r="AE45" s="99"/>
      <c r="AF45" s="99"/>
      <c r="AG45" s="99"/>
      <c r="AI45" s="99" t="str">
        <f ca="1"/>
        <v>Porto Seguro FI REF DI Crédito Privado</v>
      </c>
      <c r="AP45" s="99" t="str">
        <f ca="1"/>
        <v>Vinland Macro BTG Pactual V Prev FIC FIM</v>
      </c>
      <c r="AQ45" s="99" t="str">
        <f ca="1"/>
        <v>Vinland Macro BTG Pactual V Prev FIC FIM</v>
      </c>
      <c r="AV45" s="99" t="str">
        <f ca="1"/>
        <v>Absoluto Partners II Access FIC FIA</v>
      </c>
    </row>
    <row r="46" spans="1:54">
      <c r="A46" s="99"/>
      <c r="L46" s="99" t="str">
        <f>IF('Criação de Portfólio'!E77="","",'Criação de Portfólio'!E77)</f>
        <v>Europa</v>
      </c>
      <c r="M46" s="99" t="str">
        <f ca="1"/>
        <v>Porto Seguro FI REF DI Crédito Privado</v>
      </c>
      <c r="U46" s="99" t="str">
        <f ca="1"/>
        <v>Vinland Macro BTG Pactual V Prev FIC FIM</v>
      </c>
      <c r="W46" s="99"/>
      <c r="X46" s="99"/>
      <c r="Y46" s="99"/>
      <c r="Z46" s="99" t="str">
        <f ca="1"/>
        <v>Absoluto Partners II Access FIC FIA</v>
      </c>
      <c r="AA46" s="99"/>
      <c r="AB46" s="99"/>
      <c r="AC46" s="99"/>
      <c r="AD46" s="99"/>
      <c r="AE46" s="99"/>
      <c r="AF46" s="99"/>
      <c r="AG46" s="99"/>
      <c r="AI46" s="99" t="str">
        <f ca="1"/>
        <v>ARX Denali FIRF CP</v>
      </c>
      <c r="AP46" s="99" t="str">
        <f ca="1"/>
        <v>Ibiuna St Prev FIC FIM CP Access</v>
      </c>
      <c r="AQ46" s="99" t="str">
        <f ca="1"/>
        <v>Ibiuna St Prev FIC FIM CP Access</v>
      </c>
      <c r="AV46" s="99" t="str">
        <f ca="1"/>
        <v>Constellation FIC FIA Access</v>
      </c>
    </row>
    <row r="47" spans="1:54">
      <c r="A47" s="99"/>
      <c r="L47" s="99" t="str">
        <f>IF('Criação de Portfólio'!E80="","",'Criação de Portfólio'!E80)</f>
        <v>Global</v>
      </c>
      <c r="M47" s="99" t="str">
        <f ca="1"/>
        <v>ARX Denali FIRF CP</v>
      </c>
      <c r="U47" s="99" t="str">
        <f ca="1"/>
        <v>Ibiuna St Prev FIC FIM CP Access</v>
      </c>
      <c r="W47" s="99"/>
      <c r="X47" s="99"/>
      <c r="Y47" s="99"/>
      <c r="Z47" s="99" t="str">
        <f ca="1"/>
        <v>Constellation FIC FIA Access</v>
      </c>
      <c r="AA47" s="99"/>
      <c r="AB47" s="99"/>
      <c r="AC47" s="99"/>
      <c r="AD47" s="99"/>
      <c r="AE47" s="99"/>
      <c r="AF47" s="99"/>
      <c r="AG47" s="99"/>
      <c r="AI47" s="99" t="str">
        <f ca="1"/>
        <v>Capitania Top CP FIC RF</v>
      </c>
      <c r="AP47" s="99" t="str">
        <f ca="1"/>
        <v>Acs Absolute Vertex Prev FI FIM</v>
      </c>
      <c r="AQ47" s="99" t="str">
        <f ca="1"/>
        <v>Acs Absolute Vertex Prev FI FIM</v>
      </c>
      <c r="AV47" s="99" t="str">
        <f ca="1"/>
        <v>BOVA11</v>
      </c>
    </row>
    <row r="48" spans="1:54">
      <c r="A48" s="99"/>
      <c r="L48" s="99" t="str">
        <f>IF('Criação de Portfólio'!E83="","",'Criação de Portfólio'!E83)</f>
        <v>EM</v>
      </c>
      <c r="M48" s="99" t="str">
        <f ca="1"/>
        <v>Capitania Top CP FIC RF</v>
      </c>
      <c r="U48" s="99" t="str">
        <f ca="1"/>
        <v>Acs Absolute Vertex Prev FI FIM</v>
      </c>
      <c r="W48" s="99"/>
      <c r="X48" s="99"/>
      <c r="Y48" s="99"/>
      <c r="Z48" s="99" t="str">
        <f ca="1"/>
        <v>BOVA11</v>
      </c>
      <c r="AA48" s="99"/>
      <c r="AB48" s="99"/>
      <c r="AC48" s="99"/>
      <c r="AD48" s="99"/>
      <c r="AE48" s="99"/>
      <c r="AF48" s="99"/>
      <c r="AG48" s="99"/>
      <c r="AI48" s="99" t="str">
        <f ca="1"/>
        <v>Icatu Vanguarda CP FI RF LP</v>
      </c>
      <c r="AP48" s="99" t="str">
        <f ca="1"/>
        <v>Absolute Hedge FIC de FIM</v>
      </c>
      <c r="AQ48" s="99" t="str">
        <f ca="1"/>
        <v>Absolute Hedge FIC de FIM</v>
      </c>
      <c r="AV48" s="99" t="str">
        <f ca="1"/>
        <v>Carteira de Ações</v>
      </c>
    </row>
    <row r="49" spans="13:43" s="99" customFormat="1" ht="15.75">
      <c r="M49" s="99" t="str">
        <f ca="1"/>
        <v>Icatu Vanguarda CP FI RF LP</v>
      </c>
      <c r="U49" s="99" t="str">
        <f ca="1"/>
        <v>Absolute Hedge FIC de FIM</v>
      </c>
      <c r="Z49" s="99" t="str">
        <f ca="1"/>
        <v>Carteira de Ações</v>
      </c>
      <c r="AI49" s="99" t="str">
        <f ca="1"/>
        <v>Sul America Excellence FIRF CP</v>
      </c>
      <c r="AP49" s="99" t="str">
        <f ca="1"/>
        <v>Quantitas FIC FIM Mallorca</v>
      </c>
      <c r="AQ49" s="99" t="str">
        <f ca="1"/>
        <v>Quantitas FIC FIM Mallorca</v>
      </c>
    </row>
    <row r="50" spans="13:43" s="99" customFormat="1" ht="15.75">
      <c r="M50" s="99" t="str">
        <f ca="1"/>
        <v>Sul America Excellence FIRF CP</v>
      </c>
      <c r="U50" s="99" t="str">
        <f ca="1"/>
        <v>Quantitas FIC FIM Mallorca</v>
      </c>
      <c r="AI50" s="99" t="str">
        <f ca="1"/>
        <v>Anga Portfolio FIM CP</v>
      </c>
      <c r="AP50" s="99" t="str">
        <f ca="1"/>
        <v>Absolute Alpha Global FIC FIM</v>
      </c>
      <c r="AQ50" s="99" t="str">
        <f ca="1"/>
        <v>Absolute Alpha Global FIC FIM</v>
      </c>
    </row>
    <row r="51" spans="13:43" s="99" customFormat="1" ht="15.75">
      <c r="M51" s="99" t="str">
        <f ca="1"/>
        <v>Anga Portfolio FIM CP</v>
      </c>
      <c r="U51" s="99" t="str">
        <f ca="1"/>
        <v>Absolute Alpha Global FIC FIM</v>
      </c>
      <c r="AI51" s="99" t="str">
        <f ca="1"/>
        <v>Porto Seguro Ipe FIC RF CP LP</v>
      </c>
      <c r="AP51" s="99" t="str">
        <f ca="1"/>
        <v>Itaú Distribuidores Global Dinâmico Plus FIC FIM</v>
      </c>
      <c r="AQ51" s="99" t="str">
        <f ca="1"/>
        <v>Itaú Distribuidores Global Dinâmico Plus FIC FIM</v>
      </c>
    </row>
    <row r="52" spans="13:43" s="99" customFormat="1" ht="15.75">
      <c r="M52" s="99" t="str">
        <f ca="1"/>
        <v>Porto Seguro Ipe FIC RF CP LP</v>
      </c>
      <c r="U52" s="99" t="str">
        <f ca="1"/>
        <v>Itaú Distribuidores Global Dinâmico Plus FIC FIM</v>
      </c>
      <c r="AI52" s="99" t="str">
        <f ca="1"/>
        <v>Ibiuna Credit FIC FIM CP</v>
      </c>
      <c r="AP52" s="99" t="str">
        <f ca="1"/>
        <v>Gauss FIC FIM</v>
      </c>
      <c r="AQ52" s="99" t="str">
        <f ca="1"/>
        <v>Gauss FIC FIM</v>
      </c>
    </row>
    <row r="53" spans="13:43" s="99" customFormat="1" ht="15.75">
      <c r="M53" s="99" t="str">
        <f ca="1"/>
        <v>Ibiuna Credit FIC FIM CP</v>
      </c>
      <c r="U53" s="99" t="str">
        <f ca="1"/>
        <v>Gauss FIC FIM</v>
      </c>
      <c r="AI53" s="99" t="str">
        <f ca="1"/>
        <v>Sparta Top FIC RF CP LP</v>
      </c>
      <c r="AP53" s="99" t="str">
        <f ca="1"/>
        <v>Gavea Macro Dolar FIC FIM</v>
      </c>
      <c r="AQ53" s="99" t="str">
        <f ca="1"/>
        <v>Gavea Macro Dolar FIC FIM</v>
      </c>
    </row>
    <row r="54" spans="13:43" s="99" customFormat="1" ht="15.75">
      <c r="M54" s="99" t="str">
        <f ca="1"/>
        <v>Sparta Top FIC RF CP LP</v>
      </c>
      <c r="U54" s="99" t="str">
        <f ca="1"/>
        <v>Gavea Macro Dolar FIC FIM</v>
      </c>
      <c r="AI54" s="99" t="str">
        <f ca="1"/>
        <v>M Ca FIC FIM CP</v>
      </c>
      <c r="AP54" s="99" t="str">
        <f ca="1"/>
        <v>Tenax Macro FIC FIM</v>
      </c>
      <c r="AQ54" s="99" t="str">
        <f ca="1"/>
        <v>Tenax Macro FIC FIM</v>
      </c>
    </row>
    <row r="55" spans="13:43" s="99" customFormat="1" ht="15.75">
      <c r="M55" s="99" t="str">
        <f ca="1"/>
        <v>M Ca FIC FIM CP</v>
      </c>
      <c r="U55" s="99" t="str">
        <f ca="1"/>
        <v>Tenax Macro FIC FIM</v>
      </c>
      <c r="AI55" s="99" t="str">
        <f ca="1"/>
        <v>M8 Capital Plus FI RF CP LP</v>
      </c>
      <c r="AP55" s="99" t="str">
        <f ca="1"/>
        <v>Ace Capital FIC FIM</v>
      </c>
      <c r="AQ55" s="99" t="str">
        <f ca="1"/>
        <v>Ace Capital FIC FIM</v>
      </c>
    </row>
    <row r="56" spans="13:43" s="99" customFormat="1" ht="15.75">
      <c r="M56" s="99" t="str">
        <f ca="1"/>
        <v>M8 Capital Plus FI RF CP LP</v>
      </c>
      <c r="U56" s="99" t="str">
        <f ca="1"/>
        <v>Ace Capital FIC FIM</v>
      </c>
      <c r="AI56" s="99" t="str">
        <f ca="1"/>
        <v>Capitania Premium FIC de FIRF CP LP</v>
      </c>
      <c r="AP56" s="99" t="str">
        <f ca="1"/>
        <v>Clave Alpha Macro FIC FIM Access</v>
      </c>
      <c r="AQ56" s="99" t="str">
        <f ca="1"/>
        <v>Clave Alpha Macro FIC FIM Access</v>
      </c>
    </row>
    <row r="57" spans="13:43" s="99" customFormat="1" ht="15.75">
      <c r="M57" s="99" t="str">
        <f ca="1"/>
        <v>Capitania Premium FIC de FIRF CP LP</v>
      </c>
      <c r="U57" s="99" t="str">
        <f ca="1"/>
        <v>Clave Alpha Macro FIC FIM Access</v>
      </c>
      <c r="AI57" s="99" t="str">
        <f ca="1"/>
        <v>JGP Corporate FIC FI RF CP LP</v>
      </c>
      <c r="AP57" s="99" t="str">
        <f ca="1"/>
        <v>JGP Strategy Access FIC MM</v>
      </c>
      <c r="AQ57" s="99" t="str">
        <f ca="1"/>
        <v>JGP Strategy Access FIC MM</v>
      </c>
    </row>
    <row r="58" spans="13:43">
      <c r="M58" s="99" t="str">
        <f ca="1"/>
        <v>JGP Corporate FIC FI RF CP LP</v>
      </c>
      <c r="U58" s="99" t="str">
        <f ca="1"/>
        <v>JGP Strategy Access FIC MM</v>
      </c>
      <c r="AI58" s="99" t="str">
        <f ca="1"/>
        <v>SPX Seahawk Access FIC RF CP LP</v>
      </c>
      <c r="AP58" s="99" t="str">
        <f ca="1"/>
        <v>JGP Strategy FIC FIM</v>
      </c>
      <c r="AQ58" s="99" t="str">
        <f ca="1"/>
        <v>JGP Strategy FIC FIM</v>
      </c>
    </row>
    <row r="59" spans="13:43">
      <c r="M59" s="99" t="str">
        <f ca="1"/>
        <v>SPX Seahawk Access FIC RF CP LP</v>
      </c>
      <c r="U59" s="99" t="str">
        <f ca="1"/>
        <v>JGP Strategy FIC FIM</v>
      </c>
      <c r="AI59" s="99" t="str">
        <f ca="1"/>
        <v>JGP Debêntures Incentivadas FIC FI RF CP</v>
      </c>
      <c r="AP59" s="99" t="str">
        <f ca="1"/>
        <v>Kapitalo Kappa Access FIC MM</v>
      </c>
      <c r="AQ59" s="99" t="str">
        <f ca="1"/>
        <v>Kapitalo Kappa Access FIC MM</v>
      </c>
    </row>
    <row r="60" spans="13:43">
      <c r="M60" s="99" t="str">
        <f ca="1"/>
        <v>JGP Debêntures Incentivadas FIC FI RF CP</v>
      </c>
      <c r="U60" s="99" t="str">
        <f ca="1"/>
        <v>Kapitalo Kappa Access FIC MM</v>
      </c>
      <c r="AI60" s="99" t="str">
        <f ca="1"/>
        <v>M Ca II FIC FIM CP</v>
      </c>
      <c r="AP60" s="99" t="str">
        <f ca="1"/>
        <v>Mar Absoluto FIC FIM</v>
      </c>
      <c r="AQ60" s="99" t="str">
        <f ca="1"/>
        <v>Mar Absoluto FIC FIM</v>
      </c>
    </row>
    <row r="61" spans="13:43">
      <c r="M61" s="99" t="str">
        <f ca="1"/>
        <v>M Ca II FIC FIM CP</v>
      </c>
      <c r="U61" s="99" t="str">
        <f ca="1"/>
        <v>Mar Absoluto FIC FIM</v>
      </c>
      <c r="AI61" s="99" t="str">
        <f ca="1"/>
        <v>JGP Corporate Plus FIC FIM CP</v>
      </c>
      <c r="AP61" s="99" t="str">
        <f ca="1"/>
        <v>Occam Retorno Absoluto  FIC FIM</v>
      </c>
      <c r="AQ61" s="99" t="str">
        <f ca="1"/>
        <v>Occam Retorno Absoluto  FIC FIM</v>
      </c>
    </row>
    <row r="62" spans="13:43">
      <c r="M62" s="99" t="str">
        <f ca="1"/>
        <v>JGP Corporate Plus FIC FIM CP</v>
      </c>
      <c r="U62" s="99" t="str">
        <f ca="1"/>
        <v>Occam Retorno Absoluto  FIC FIM</v>
      </c>
      <c r="AI62" s="99" t="str">
        <f ca="1"/>
        <v>JGP Select FIC FIM CP</v>
      </c>
      <c r="AP62" s="99" t="str">
        <f ca="1"/>
        <v>Arcah FIC FIM CP</v>
      </c>
      <c r="AQ62" s="99" t="str">
        <f ca="1"/>
        <v>Arcah FIC FIM CP</v>
      </c>
    </row>
    <row r="63" spans="13:43">
      <c r="M63" s="99" t="str">
        <f ca="1"/>
        <v>JGP Select FIC FIM CP</v>
      </c>
      <c r="U63" s="99" t="str">
        <f ca="1"/>
        <v>Arcah FIC FIM CP</v>
      </c>
      <c r="AI63" s="99" t="str">
        <f ca="1"/>
        <v>M8 Credit Opportunities FIC FIM CP</v>
      </c>
      <c r="AP63" s="99" t="str">
        <f ca="1"/>
        <v>Vrb FIM</v>
      </c>
      <c r="AQ63" s="99" t="str">
        <f ca="1"/>
        <v>Vrb FIM</v>
      </c>
    </row>
    <row r="64" spans="13:43">
      <c r="M64" s="99" t="str">
        <f ca="1"/>
        <v>M8 Credit Opportunities FIC FIM CP</v>
      </c>
      <c r="U64" s="99" t="str">
        <f ca="1"/>
        <v>Vrb FIM</v>
      </c>
      <c r="AI64" s="99" t="str">
        <f ca="1"/>
        <v>Ibiuna Total Credit FIC FIM CP</v>
      </c>
      <c r="AP64" s="99" t="str">
        <f ca="1"/>
        <v>Kapitalo Zeta FIC FIM</v>
      </c>
      <c r="AQ64" s="99" t="str">
        <f ca="1"/>
        <v>Kapitalo Zeta FIC FIM</v>
      </c>
    </row>
    <row r="65" spans="13:43">
      <c r="M65" s="99" t="str">
        <f ca="1"/>
        <v>Ibiuna Total Credit FIC FIM CP</v>
      </c>
      <c r="U65" s="99" t="str">
        <f ca="1"/>
        <v>Kapitalo Zeta FIC FIM</v>
      </c>
      <c r="AI65" s="99" t="str">
        <f ca="1"/>
        <v>K2 FIC FIM CP</v>
      </c>
      <c r="AP65" s="99" t="str">
        <f ca="1"/>
        <v>Vinci Equilíbrio Icatu Prev II FIC FIM</v>
      </c>
      <c r="AQ65" s="99" t="str">
        <f ca="1"/>
        <v>Vinci Equilíbrio Icatu Prev II FIC FIM</v>
      </c>
    </row>
    <row r="66" spans="13:43">
      <c r="M66" s="99" t="str">
        <f ca="1"/>
        <v>K2 FIC FIM CP</v>
      </c>
      <c r="U66" s="99" t="str">
        <f ca="1"/>
        <v>Vinci Equilíbrio Icatu Prev II FIC FIM</v>
      </c>
      <c r="AI66" s="99" t="str">
        <f ca="1"/>
        <v>Augme 90 FIC FIM CP</v>
      </c>
      <c r="AP66" s="99" t="str">
        <f ca="1"/>
        <v>Vinci Equilibrio Prev FIM</v>
      </c>
      <c r="AQ66" s="99" t="str">
        <f ca="1"/>
        <v>Vinci Equilibrio Prev FIM</v>
      </c>
    </row>
    <row r="67" spans="13:43">
      <c r="M67" s="99" t="str">
        <f ca="1"/>
        <v>Augme 90 FIC FIM CP</v>
      </c>
      <c r="U67" s="99" t="str">
        <f ca="1"/>
        <v>Vinci Equilibrio Prev FIM</v>
      </c>
      <c r="AI67" s="99" t="str">
        <f ca="1"/>
        <v>More Crédito FIC FIM CP</v>
      </c>
      <c r="AP67" s="99" t="str">
        <f ca="1"/>
        <v>Legacy Capital Icatu FIC FIM Prev</v>
      </c>
      <c r="AQ67" s="99" t="str">
        <f ca="1"/>
        <v>Legacy Capital Icatu FIC FIM Prev</v>
      </c>
    </row>
    <row r="68" spans="13:43">
      <c r="M68" s="99" t="str">
        <f ca="1"/>
        <v>More Crédito FIC FIM CP</v>
      </c>
      <c r="U68" s="99" t="str">
        <f ca="1"/>
        <v>Legacy Capital Icatu FIC FIM Prev</v>
      </c>
      <c r="AI68" s="99" t="str">
        <f ca="1"/>
        <v>Leste CP Brasil FIC FIM CP IE</v>
      </c>
      <c r="AP68" s="99" t="str">
        <f ca="1"/>
        <v>Legacy Capital Prev Bs FIC FIM</v>
      </c>
      <c r="AQ68" s="99" t="str">
        <f ca="1"/>
        <v>Legacy Capital Prev Bs FIC FIM</v>
      </c>
    </row>
    <row r="69" spans="13:43">
      <c r="M69" s="99" t="str">
        <f ca="1"/>
        <v>Leste CP Brasil FIC FIM CP IE</v>
      </c>
      <c r="U69" s="99" t="str">
        <f ca="1"/>
        <v>Legacy Capital Prev Bs FIC FIM</v>
      </c>
      <c r="AI69" s="99" t="str">
        <f ca="1"/>
        <v>Acs ARX Denali Prev FIC RF CP</v>
      </c>
      <c r="AP69" s="99" t="str">
        <f ca="1"/>
        <v>Kapitalo Kappa Bp Qualificado I FIC FIM Prev</v>
      </c>
      <c r="AQ69" s="99" t="str">
        <f ca="1"/>
        <v>Kapitalo Kappa Bp Qualificado I FIC FIM Prev</v>
      </c>
    </row>
    <row r="70" spans="13:43">
      <c r="M70" s="99" t="str">
        <f ca="1"/>
        <v>Acs ARX Denali Prev FIC RF CP</v>
      </c>
      <c r="U70" s="99" t="str">
        <f ca="1"/>
        <v>Kapitalo Kappa Bp Qualificado I FIC FIM Prev</v>
      </c>
      <c r="AI70" s="99" t="str">
        <f ca="1"/>
        <v>BTG Pactual Crédito Corporativo II Prev FIC FIM CP</v>
      </c>
    </row>
    <row r="71" spans="13:43">
      <c r="M71" s="99" t="str">
        <f ca="1"/>
        <v>BTG Pactual Crédito Corporativo II Prev FIC FIM CP</v>
      </c>
      <c r="AI71" s="99" t="str">
        <f ca="1"/>
        <v>Acs Riza Lótus Prev FIC RF CP</v>
      </c>
    </row>
    <row r="72" spans="13:43">
      <c r="M72" s="99" t="str">
        <f ca="1"/>
        <v>Acs Riza Lótus Prev FIC RF CP</v>
      </c>
      <c r="AI72" s="99" t="str">
        <f ca="1"/>
        <v>Root Capital Crédito Hg Prev FIC RF CP</v>
      </c>
    </row>
    <row r="73" spans="13:43">
      <c r="M73" s="99" t="str">
        <f ca="1"/>
        <v>Root Capital Crédito Hg Prev FIC RF CP</v>
      </c>
      <c r="AI73" s="99" t="str">
        <f ca="1"/>
        <v>Ibiuna Credit Prev Access FIC FIM CP</v>
      </c>
    </row>
    <row r="74" spans="13:43">
      <c r="M74" s="99" t="str">
        <f ca="1"/>
        <v>Ibiuna Credit Prev Access FIC FIM CP</v>
      </c>
      <c r="AI74" s="99" t="str">
        <f ca="1"/>
        <v>FIQ FIDC Via Multicrédito - Senior (CDI+2.50%)</v>
      </c>
    </row>
    <row r="75" spans="13:43">
      <c r="M75" s="99" t="str">
        <f ca="1"/>
        <v>FIQ FIDC Via Multicrédito - Senior (CDI+2.50%)</v>
      </c>
      <c r="AI75" s="99" t="str">
        <f ca="1"/>
        <v>LFT 2025 - Liquidez Diária (Selic+0.04%)</v>
      </c>
    </row>
    <row r="76" spans="13:43">
      <c r="M76" s="99" t="str">
        <f ca="1"/>
        <v>LFT 2025 - Liquidez Diária (Selic+0.04%)</v>
      </c>
      <c r="AI76" s="99" t="str">
        <f ca="1"/>
        <v>Títulos Bancários - Liquidez Diária (102.5% CDI)</v>
      </c>
    </row>
    <row r="77" spans="13:43">
      <c r="M77" s="99" t="str">
        <f ca="1"/>
        <v>Títulos Bancários - Liquidez Diária (102.5% CDI)</v>
      </c>
      <c r="AI77" s="99" t="str">
        <f ca="1"/>
        <v>Títulos Bancários - 6 meses (117.0% CDI)</v>
      </c>
    </row>
    <row r="78" spans="13:43">
      <c r="M78" s="99" t="str">
        <f ca="1"/>
        <v>Títulos Bancários - 6 meses (117.0% CDI)</v>
      </c>
      <c r="AI78" s="99" t="str">
        <f ca="1"/>
        <v>Títulos Bancários - 1 ano (113.5% CDI)</v>
      </c>
    </row>
    <row r="79" spans="13:43">
      <c r="M79" s="99" t="str">
        <f ca="1"/>
        <v>Títulos Bancários - 1 ano (113.5% CDI)</v>
      </c>
      <c r="AI79" s="99" t="str">
        <f ca="1"/>
        <v>Títulos Bancários - 2 anos (113.5% CDI)</v>
      </c>
    </row>
    <row r="80" spans="13:43">
      <c r="M80" s="99" t="str">
        <f ca="1"/>
        <v>Títulos Bancários - 2 anos (113.5% CDI)</v>
      </c>
      <c r="AI80" s="99" t="str">
        <f ca="1"/>
        <v>Títulos Bancários - 3 anos (113.5% CDI)</v>
      </c>
    </row>
    <row r="81" spans="13:35">
      <c r="M81" s="99" t="str">
        <f ca="1"/>
        <v>Títulos Bancários - 3 anos (113.5% CDI)</v>
      </c>
      <c r="AI81" s="99" t="str">
        <f ca="1"/>
        <v>Títulos Corporativos - 2 anos (CDI+1.65%)</v>
      </c>
    </row>
    <row r="82" spans="13:35">
      <c r="M82" s="99" t="str">
        <f ca="1"/>
        <v>Títulos Corporativos - 2 anos (CDI+1.65%)</v>
      </c>
      <c r="AI82" s="99" t="str">
        <f ca="1"/>
        <v>Títulos Corporativos - 3 anos (CDI+2.00%)</v>
      </c>
    </row>
    <row r="83" spans="13:35">
      <c r="M83" s="99" t="str">
        <f ca="1"/>
        <v>Títulos Corporativos - 3 anos (CDI+2.00%)</v>
      </c>
      <c r="AI83" s="99" t="str">
        <f ca="1"/>
        <v>Títulos Corporativos - 4 anos (CDI+2.30%)</v>
      </c>
    </row>
    <row r="84" spans="13:35">
      <c r="M84" s="99" t="str">
        <f ca="1"/>
        <v>Títulos Corporativos - 4 anos (CDI+2.30%)</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E4654-E3B6-4DC8-B048-EC915D0EC78B}">
  <sheetPr codeName="Sheet36">
    <tabColor theme="0" tint="-0.499984740745262"/>
  </sheetPr>
  <dimension ref="A1:W45"/>
  <sheetViews>
    <sheetView showGridLines="0" showRowColHeaders="0" showRuler="0" view="pageLayout" zoomScaleNormal="80" workbookViewId="0">
      <selection activeCell="N28" sqref="N28"/>
    </sheetView>
  </sheetViews>
  <sheetFormatPr defaultColWidth="10.69921875" defaultRowHeight="11.25"/>
  <cols>
    <col min="1" max="1" width="4.8984375" style="269" customWidth="1"/>
    <col min="2" max="4" width="4.8984375" style="266" customWidth="1"/>
    <col min="5" max="22" width="4.8984375" style="269" customWidth="1"/>
    <col min="23" max="23" width="4.8984375" style="266" customWidth="1"/>
    <col min="24" max="16384" width="10.69921875" style="266"/>
  </cols>
  <sheetData>
    <row r="1" spans="1:23">
      <c r="A1" s="600"/>
      <c r="B1" s="601"/>
      <c r="C1" s="601"/>
      <c r="D1" s="601"/>
      <c r="E1" s="600"/>
      <c r="F1" s="600"/>
      <c r="G1" s="600"/>
      <c r="H1" s="600"/>
      <c r="I1" s="600"/>
      <c r="J1" s="600"/>
      <c r="K1" s="600"/>
      <c r="L1" s="600"/>
      <c r="M1" s="600"/>
      <c r="N1" s="600"/>
      <c r="O1" s="600"/>
      <c r="P1" s="600"/>
      <c r="Q1" s="600"/>
      <c r="R1" s="600"/>
      <c r="S1" s="600"/>
      <c r="T1" s="600"/>
      <c r="U1" s="600"/>
      <c r="V1" s="600"/>
      <c r="W1" s="601"/>
    </row>
    <row r="2" spans="1:23">
      <c r="A2" s="600"/>
      <c r="B2" s="601"/>
      <c r="C2" s="601"/>
      <c r="D2" s="601"/>
      <c r="E2" s="600"/>
      <c r="F2" s="600"/>
      <c r="G2" s="600"/>
      <c r="H2" s="600"/>
      <c r="I2" s="600"/>
      <c r="J2" s="600"/>
      <c r="K2" s="600"/>
      <c r="L2" s="600"/>
      <c r="M2" s="600"/>
      <c r="N2" s="600"/>
      <c r="O2" s="600"/>
      <c r="P2" s="600"/>
      <c r="Q2" s="600"/>
      <c r="R2" s="600"/>
      <c r="S2" s="600"/>
      <c r="T2" s="600"/>
      <c r="U2" s="600"/>
      <c r="V2" s="600"/>
      <c r="W2" s="601"/>
    </row>
    <row r="3" spans="1:23">
      <c r="A3" s="600"/>
      <c r="B3" s="601"/>
      <c r="C3" s="601"/>
      <c r="D3" s="601"/>
      <c r="E3" s="600"/>
      <c r="F3" s="600"/>
      <c r="G3" s="600"/>
      <c r="H3" s="600"/>
      <c r="I3" s="600"/>
      <c r="J3" s="600"/>
      <c r="K3" s="600"/>
      <c r="L3" s="600"/>
      <c r="M3" s="600"/>
      <c r="N3" s="600"/>
      <c r="O3" s="600"/>
      <c r="P3" s="600"/>
      <c r="Q3" s="600"/>
      <c r="R3" s="600"/>
      <c r="S3" s="600"/>
      <c r="T3" s="600"/>
      <c r="U3" s="600"/>
      <c r="V3" s="600"/>
      <c r="W3" s="601"/>
    </row>
    <row r="4" spans="1:23">
      <c r="A4" s="600"/>
      <c r="B4" s="601"/>
      <c r="C4" s="601"/>
      <c r="D4" s="601"/>
      <c r="E4" s="600"/>
      <c r="F4" s="600"/>
      <c r="G4" s="600"/>
      <c r="H4" s="600"/>
      <c r="I4" s="600"/>
      <c r="J4" s="600"/>
      <c r="K4" s="600"/>
      <c r="L4" s="600"/>
      <c r="M4" s="600"/>
      <c r="N4" s="600"/>
      <c r="O4" s="600"/>
      <c r="P4" s="600"/>
      <c r="Q4" s="600"/>
      <c r="R4" s="600"/>
      <c r="S4" s="600"/>
      <c r="T4" s="600"/>
      <c r="U4" s="600"/>
      <c r="V4" s="600"/>
      <c r="W4" s="601"/>
    </row>
    <row r="5" spans="1:23">
      <c r="A5" s="600"/>
      <c r="B5" s="601"/>
      <c r="C5" s="601"/>
      <c r="D5" s="601"/>
      <c r="E5" s="600"/>
      <c r="F5" s="600"/>
      <c r="G5" s="600"/>
      <c r="H5" s="600"/>
      <c r="I5" s="600"/>
      <c r="J5" s="600"/>
      <c r="K5" s="600"/>
      <c r="L5" s="600"/>
      <c r="M5" s="600"/>
      <c r="N5" s="600"/>
      <c r="O5" s="600"/>
      <c r="P5" s="600"/>
      <c r="Q5" s="600"/>
      <c r="R5" s="600"/>
      <c r="S5" s="600"/>
      <c r="T5" s="600"/>
      <c r="U5" s="600"/>
      <c r="V5" s="600"/>
      <c r="W5" s="601"/>
    </row>
    <row r="6" spans="1:23">
      <c r="A6" s="600"/>
      <c r="B6" s="601"/>
      <c r="C6" s="601"/>
      <c r="D6" s="601"/>
      <c r="E6" s="600"/>
      <c r="F6" s="600"/>
      <c r="G6" s="600"/>
      <c r="H6" s="600"/>
      <c r="I6" s="600"/>
      <c r="J6" s="600"/>
      <c r="K6" s="600"/>
      <c r="L6" s="600"/>
      <c r="M6" s="600"/>
      <c r="N6" s="600"/>
      <c r="O6" s="600"/>
      <c r="P6" s="600"/>
      <c r="Q6" s="600"/>
      <c r="R6" s="600"/>
      <c r="S6" s="600"/>
      <c r="T6" s="600"/>
      <c r="U6" s="600"/>
      <c r="V6" s="600"/>
      <c r="W6" s="601"/>
    </row>
    <row r="7" spans="1:23">
      <c r="A7" s="600"/>
      <c r="B7" s="601"/>
      <c r="C7" s="601"/>
      <c r="D7" s="601"/>
      <c r="E7" s="600"/>
      <c r="F7" s="600"/>
      <c r="G7" s="600"/>
      <c r="H7" s="600"/>
      <c r="I7" s="600"/>
      <c r="J7" s="600"/>
      <c r="K7" s="600"/>
      <c r="L7" s="600"/>
      <c r="M7" s="600"/>
      <c r="N7" s="600"/>
      <c r="O7" s="600"/>
      <c r="P7" s="600"/>
      <c r="Q7" s="600"/>
      <c r="R7" s="600"/>
      <c r="S7" s="600"/>
      <c r="T7" s="600"/>
      <c r="U7" s="600"/>
      <c r="V7" s="600"/>
      <c r="W7" s="601"/>
    </row>
    <row r="8" spans="1:23">
      <c r="A8" s="600"/>
      <c r="B8" s="601"/>
      <c r="C8" s="601"/>
      <c r="D8" s="601"/>
      <c r="E8" s="600"/>
      <c r="F8" s="600"/>
      <c r="G8" s="600"/>
      <c r="H8" s="600"/>
      <c r="I8" s="600"/>
      <c r="J8" s="600"/>
      <c r="K8" s="600"/>
      <c r="L8" s="600"/>
      <c r="M8" s="600"/>
      <c r="N8" s="600"/>
      <c r="O8" s="600"/>
      <c r="P8" s="600"/>
      <c r="Q8" s="600"/>
      <c r="R8" s="600"/>
      <c r="S8" s="600"/>
      <c r="T8" s="600"/>
      <c r="U8" s="600"/>
      <c r="V8" s="600"/>
      <c r="W8" s="601"/>
    </row>
    <row r="9" spans="1:23">
      <c r="A9" s="600"/>
      <c r="B9" s="601"/>
      <c r="C9" s="601"/>
      <c r="D9" s="601"/>
      <c r="E9" s="600"/>
      <c r="F9" s="600"/>
      <c r="G9" s="600"/>
      <c r="H9" s="600"/>
      <c r="I9" s="600"/>
      <c r="J9" s="600"/>
      <c r="K9" s="600"/>
      <c r="L9" s="600"/>
      <c r="M9" s="600"/>
      <c r="N9" s="600"/>
      <c r="O9" s="600"/>
      <c r="P9" s="600"/>
      <c r="Q9" s="600"/>
      <c r="R9" s="600"/>
      <c r="S9" s="600"/>
      <c r="T9" s="600"/>
      <c r="U9" s="600"/>
      <c r="V9" s="600"/>
      <c r="W9" s="601"/>
    </row>
    <row r="10" spans="1:23">
      <c r="A10" s="600"/>
      <c r="B10" s="601"/>
      <c r="C10" s="601"/>
      <c r="D10" s="601"/>
      <c r="E10" s="600"/>
      <c r="F10" s="600"/>
      <c r="G10" s="600"/>
      <c r="H10" s="600"/>
      <c r="I10" s="600"/>
      <c r="J10" s="600"/>
      <c r="K10" s="600"/>
      <c r="L10" s="600"/>
      <c r="M10" s="600"/>
      <c r="N10" s="600"/>
      <c r="O10" s="600"/>
      <c r="P10" s="600"/>
      <c r="Q10" s="600"/>
      <c r="R10" s="600"/>
      <c r="S10" s="600"/>
      <c r="T10" s="600"/>
      <c r="U10" s="600"/>
      <c r="V10" s="600"/>
      <c r="W10" s="601"/>
    </row>
    <row r="11" spans="1:23">
      <c r="A11" s="600"/>
      <c r="B11" s="601"/>
      <c r="C11" s="601"/>
      <c r="D11" s="601"/>
      <c r="E11" s="600"/>
      <c r="F11" s="600"/>
      <c r="G11" s="600"/>
      <c r="H11" s="600"/>
      <c r="I11" s="600"/>
      <c r="J11" s="600"/>
      <c r="K11" s="600"/>
      <c r="L11" s="600"/>
      <c r="M11" s="600"/>
      <c r="N11" s="600"/>
      <c r="O11" s="600"/>
      <c r="P11" s="600"/>
      <c r="Q11" s="600"/>
      <c r="R11" s="600"/>
      <c r="S11" s="600"/>
      <c r="T11" s="600"/>
      <c r="U11" s="600"/>
      <c r="V11" s="600"/>
      <c r="W11" s="601"/>
    </row>
    <row r="12" spans="1:23">
      <c r="A12" s="600"/>
      <c r="B12" s="601"/>
      <c r="C12" s="601"/>
      <c r="D12" s="601"/>
      <c r="E12" s="600"/>
      <c r="F12" s="600"/>
      <c r="G12" s="600"/>
      <c r="H12" s="600"/>
      <c r="I12" s="600"/>
      <c r="J12" s="600"/>
      <c r="K12" s="600"/>
      <c r="L12" s="600"/>
      <c r="M12" s="600"/>
      <c r="N12" s="600"/>
      <c r="O12" s="600"/>
      <c r="P12" s="600"/>
      <c r="Q12" s="600"/>
      <c r="R12" s="600"/>
      <c r="S12" s="600"/>
      <c r="T12" s="600"/>
      <c r="U12" s="600"/>
      <c r="V12" s="600"/>
      <c r="W12" s="601"/>
    </row>
    <row r="13" spans="1:23">
      <c r="A13" s="600"/>
      <c r="B13" s="601"/>
      <c r="C13" s="601"/>
      <c r="D13" s="601"/>
      <c r="E13" s="600"/>
      <c r="F13" s="600"/>
      <c r="G13" s="600"/>
      <c r="H13" s="600"/>
      <c r="I13" s="600"/>
      <c r="J13" s="600"/>
      <c r="K13" s="600"/>
      <c r="L13" s="600"/>
      <c r="M13" s="600"/>
      <c r="N13" s="600"/>
      <c r="O13" s="600"/>
      <c r="P13" s="600"/>
      <c r="Q13" s="600"/>
      <c r="R13" s="600"/>
      <c r="S13" s="600"/>
      <c r="T13" s="600"/>
      <c r="U13" s="600"/>
      <c r="V13" s="600"/>
      <c r="W13" s="601"/>
    </row>
    <row r="14" spans="1:23">
      <c r="A14" s="600"/>
      <c r="B14" s="601"/>
      <c r="C14" s="601"/>
      <c r="D14" s="601"/>
      <c r="E14" s="600"/>
      <c r="F14" s="600"/>
      <c r="G14" s="600"/>
      <c r="H14" s="600"/>
      <c r="I14" s="600"/>
      <c r="J14" s="600"/>
      <c r="K14" s="600"/>
      <c r="L14" s="600"/>
      <c r="M14" s="600"/>
      <c r="N14" s="600"/>
      <c r="O14" s="600"/>
      <c r="P14" s="600"/>
      <c r="Q14" s="600"/>
      <c r="R14" s="600"/>
      <c r="S14" s="600"/>
      <c r="T14" s="600"/>
      <c r="U14" s="600"/>
      <c r="V14" s="600"/>
      <c r="W14" s="601"/>
    </row>
    <row r="15" spans="1:23">
      <c r="A15" s="600"/>
      <c r="B15" s="601"/>
      <c r="C15" s="601"/>
      <c r="D15" s="601"/>
      <c r="E15" s="600"/>
      <c r="F15" s="600"/>
      <c r="G15" s="600"/>
      <c r="H15" s="600"/>
      <c r="I15" s="600"/>
      <c r="J15" s="600"/>
      <c r="K15" s="600"/>
      <c r="L15" s="600"/>
      <c r="M15" s="600"/>
      <c r="N15" s="600"/>
      <c r="O15" s="600"/>
      <c r="P15" s="600"/>
      <c r="Q15" s="600"/>
      <c r="R15" s="600"/>
      <c r="S15" s="600"/>
      <c r="T15" s="600"/>
      <c r="U15" s="600"/>
      <c r="V15" s="600"/>
      <c r="W15" s="601"/>
    </row>
    <row r="16" spans="1:23" ht="42" customHeight="1">
      <c r="A16" s="600"/>
      <c r="B16" s="601"/>
      <c r="C16" s="601"/>
      <c r="D16" s="601"/>
      <c r="E16" s="600"/>
      <c r="F16" s="600"/>
      <c r="G16" s="600"/>
      <c r="H16" s="600"/>
      <c r="I16" s="600"/>
      <c r="J16" s="600"/>
      <c r="K16" s="600"/>
      <c r="L16" s="600"/>
      <c r="M16" s="600"/>
      <c r="N16" s="600"/>
      <c r="O16" s="600"/>
      <c r="P16" s="600"/>
      <c r="Q16" s="600"/>
      <c r="R16" s="600"/>
      <c r="S16" s="600"/>
      <c r="T16" s="600"/>
      <c r="U16" s="600"/>
      <c r="V16" s="600"/>
      <c r="W16" s="601"/>
    </row>
    <row r="17" spans="1:23">
      <c r="A17" s="600"/>
      <c r="B17" s="601"/>
      <c r="C17" s="601"/>
      <c r="D17" s="601"/>
      <c r="E17" s="600"/>
      <c r="F17" s="600"/>
      <c r="G17" s="600"/>
      <c r="H17" s="600"/>
      <c r="I17" s="600"/>
      <c r="J17" s="600"/>
      <c r="K17" s="600"/>
      <c r="L17" s="600"/>
      <c r="M17" s="600"/>
      <c r="N17" s="600"/>
      <c r="O17" s="600"/>
      <c r="P17" s="600"/>
      <c r="Q17" s="600"/>
      <c r="R17" s="600"/>
      <c r="S17" s="600"/>
      <c r="T17" s="600"/>
      <c r="U17" s="600"/>
      <c r="V17" s="600"/>
      <c r="W17" s="601"/>
    </row>
    <row r="18" spans="1:23">
      <c r="A18" s="600"/>
      <c r="B18" s="601"/>
      <c r="C18" s="601"/>
      <c r="D18" s="601"/>
      <c r="E18" s="600"/>
      <c r="F18" s="600"/>
      <c r="G18" s="600"/>
      <c r="H18" s="600"/>
      <c r="I18" s="600"/>
      <c r="J18" s="600"/>
      <c r="K18" s="600"/>
      <c r="L18" s="600"/>
      <c r="M18" s="600"/>
      <c r="N18" s="600"/>
      <c r="O18" s="600"/>
      <c r="P18" s="600"/>
      <c r="Q18" s="600"/>
      <c r="R18" s="600"/>
      <c r="S18" s="600"/>
      <c r="T18" s="600"/>
      <c r="U18" s="600"/>
      <c r="V18" s="600"/>
      <c r="W18" s="601"/>
    </row>
    <row r="19" spans="1:23">
      <c r="A19" s="600"/>
      <c r="B19" s="601"/>
      <c r="C19" s="601"/>
      <c r="D19" s="601"/>
      <c r="E19" s="600"/>
      <c r="F19" s="600"/>
      <c r="G19" s="600"/>
      <c r="H19" s="600"/>
      <c r="I19" s="600"/>
      <c r="J19" s="600"/>
      <c r="K19" s="600"/>
      <c r="L19" s="600"/>
      <c r="M19" s="600"/>
      <c r="N19" s="600"/>
      <c r="O19" s="600"/>
      <c r="P19" s="600"/>
      <c r="Q19" s="600"/>
      <c r="R19" s="600"/>
      <c r="S19" s="600"/>
      <c r="T19" s="600"/>
      <c r="U19" s="600"/>
      <c r="V19" s="600"/>
      <c r="W19" s="601"/>
    </row>
    <row r="20" spans="1:23">
      <c r="A20" s="600"/>
      <c r="B20" s="601"/>
      <c r="C20" s="601"/>
      <c r="D20" s="601"/>
      <c r="E20" s="600"/>
      <c r="F20" s="600"/>
      <c r="G20" s="600"/>
      <c r="H20" s="600"/>
      <c r="I20" s="600"/>
      <c r="J20" s="600"/>
      <c r="K20" s="600"/>
      <c r="L20" s="600"/>
      <c r="M20" s="600"/>
      <c r="N20" s="600"/>
      <c r="O20" s="600"/>
      <c r="P20" s="600"/>
      <c r="Q20" s="600"/>
      <c r="R20" s="600"/>
      <c r="S20" s="600"/>
      <c r="T20" s="600"/>
      <c r="U20" s="600"/>
      <c r="V20" s="600"/>
      <c r="W20" s="601"/>
    </row>
    <row r="21" spans="1:23" ht="30.75" customHeight="1">
      <c r="A21" s="600"/>
      <c r="B21" s="601"/>
      <c r="C21" s="601"/>
      <c r="D21" s="601"/>
      <c r="E21" s="600"/>
      <c r="F21" s="600"/>
      <c r="G21" s="600"/>
      <c r="H21" s="600"/>
      <c r="I21" s="600"/>
      <c r="J21" s="600"/>
      <c r="K21" s="1001" t="s">
        <v>4306</v>
      </c>
      <c r="L21" s="1001"/>
      <c r="M21" s="1001"/>
      <c r="N21" s="1001"/>
      <c r="O21" s="1001"/>
      <c r="P21" s="1001"/>
      <c r="Q21" s="1001"/>
      <c r="R21" s="1001"/>
      <c r="S21" s="1001"/>
      <c r="T21" s="1001"/>
      <c r="U21" s="1001"/>
      <c r="V21" s="600"/>
      <c r="W21" s="601"/>
    </row>
    <row r="22" spans="1:23" ht="11.25" customHeight="1">
      <c r="A22" s="600"/>
      <c r="B22" s="601"/>
      <c r="C22" s="601"/>
      <c r="D22" s="601"/>
      <c r="E22" s="600"/>
      <c r="F22" s="600"/>
      <c r="G22" s="600"/>
      <c r="H22" s="600"/>
      <c r="I22" s="600"/>
      <c r="J22" s="600"/>
      <c r="K22" s="1001"/>
      <c r="L22" s="1001"/>
      <c r="M22" s="1001"/>
      <c r="N22" s="1001"/>
      <c r="O22" s="1001"/>
      <c r="P22" s="1001"/>
      <c r="Q22" s="1001"/>
      <c r="R22" s="1001"/>
      <c r="S22" s="1001"/>
      <c r="T22" s="1001"/>
      <c r="U22" s="1001"/>
      <c r="V22" s="600"/>
      <c r="W22" s="601"/>
    </row>
    <row r="23" spans="1:23" ht="11.25" customHeight="1">
      <c r="A23" s="600"/>
      <c r="B23" s="601"/>
      <c r="C23" s="601"/>
      <c r="D23" s="601"/>
      <c r="E23" s="600"/>
      <c r="F23" s="600"/>
      <c r="G23" s="600"/>
      <c r="H23" s="600"/>
      <c r="I23" s="600"/>
      <c r="J23" s="600"/>
      <c r="K23" s="1001"/>
      <c r="L23" s="1001"/>
      <c r="M23" s="1001"/>
      <c r="N23" s="1001"/>
      <c r="O23" s="1001"/>
      <c r="P23" s="1001"/>
      <c r="Q23" s="1001"/>
      <c r="R23" s="1001"/>
      <c r="S23" s="1001"/>
      <c r="T23" s="1001"/>
      <c r="U23" s="1001"/>
      <c r="V23" s="600"/>
      <c r="W23" s="601"/>
    </row>
    <row r="24" spans="1:23" ht="11.25" customHeight="1">
      <c r="A24" s="600"/>
      <c r="B24" s="601"/>
      <c r="C24" s="601"/>
      <c r="D24" s="601"/>
      <c r="E24" s="600"/>
      <c r="F24" s="600"/>
      <c r="G24" s="600"/>
      <c r="H24" s="600"/>
      <c r="I24" s="600"/>
      <c r="J24" s="600"/>
      <c r="K24" s="1001"/>
      <c r="L24" s="1001"/>
      <c r="M24" s="1001"/>
      <c r="N24" s="1001"/>
      <c r="O24" s="1001"/>
      <c r="P24" s="1001"/>
      <c r="Q24" s="1001"/>
      <c r="R24" s="1001"/>
      <c r="S24" s="1001"/>
      <c r="T24" s="1001"/>
      <c r="U24" s="1001"/>
      <c r="V24" s="600"/>
      <c r="W24" s="601"/>
    </row>
    <row r="25" spans="1:23" ht="11.25" customHeight="1">
      <c r="A25" s="600"/>
      <c r="B25" s="601"/>
      <c r="C25" s="601"/>
      <c r="D25" s="601"/>
      <c r="E25" s="600"/>
      <c r="F25" s="600"/>
      <c r="G25" s="600"/>
      <c r="H25" s="600"/>
      <c r="I25" s="600"/>
      <c r="J25" s="600"/>
      <c r="K25" s="1001"/>
      <c r="L25" s="1001"/>
      <c r="M25" s="1001"/>
      <c r="N25" s="1001"/>
      <c r="O25" s="1001"/>
      <c r="P25" s="1001"/>
      <c r="Q25" s="1001"/>
      <c r="R25" s="1001"/>
      <c r="S25" s="1001"/>
      <c r="T25" s="1001"/>
      <c r="U25" s="1001"/>
      <c r="V25" s="600"/>
      <c r="W25" s="601"/>
    </row>
    <row r="26" spans="1:23" ht="11.25" customHeight="1">
      <c r="A26" s="600"/>
      <c r="B26" s="601"/>
      <c r="C26" s="601"/>
      <c r="D26" s="601"/>
      <c r="E26" s="600"/>
      <c r="F26" s="600"/>
      <c r="G26" s="600"/>
      <c r="H26" s="600"/>
      <c r="I26" s="600"/>
      <c r="J26" s="600"/>
      <c r="K26" s="602"/>
      <c r="L26" s="602"/>
      <c r="M26" s="602"/>
      <c r="N26" s="1000" t="str">
        <f>'Rebalanceamento Final'!D2</f>
        <v>Nome Cliente</v>
      </c>
      <c r="O26" s="1000"/>
      <c r="P26" s="1000"/>
      <c r="Q26" s="1000"/>
      <c r="R26" s="1000"/>
      <c r="S26" s="1000"/>
      <c r="T26" s="1000"/>
      <c r="U26" s="1000"/>
      <c r="V26" s="600"/>
      <c r="W26" s="601"/>
    </row>
    <row r="27" spans="1:23" ht="11.25" customHeight="1">
      <c r="A27" s="600"/>
      <c r="B27" s="601"/>
      <c r="C27" s="601"/>
      <c r="D27" s="601"/>
      <c r="E27" s="600"/>
      <c r="F27" s="600"/>
      <c r="G27" s="600"/>
      <c r="H27" s="600"/>
      <c r="I27" s="600"/>
      <c r="J27" s="600"/>
      <c r="K27" s="602"/>
      <c r="L27" s="602"/>
      <c r="M27" s="602"/>
      <c r="N27" s="1000"/>
      <c r="O27" s="1000"/>
      <c r="P27" s="1000"/>
      <c r="Q27" s="1000"/>
      <c r="R27" s="1000"/>
      <c r="S27" s="1000"/>
      <c r="T27" s="1000"/>
      <c r="U27" s="1000"/>
      <c r="V27" s="600"/>
      <c r="W27" s="601"/>
    </row>
    <row r="28" spans="1:23" ht="11.25" customHeight="1">
      <c r="A28" s="600"/>
      <c r="B28" s="601"/>
      <c r="C28" s="601"/>
      <c r="D28" s="601"/>
      <c r="E28" s="600"/>
      <c r="F28" s="600"/>
      <c r="G28" s="600"/>
      <c r="H28" s="600"/>
      <c r="I28" s="600"/>
      <c r="J28" s="600"/>
      <c r="K28" s="602"/>
      <c r="L28" s="602"/>
      <c r="M28" s="602"/>
      <c r="N28" s="602"/>
      <c r="O28" s="602"/>
      <c r="P28" s="602"/>
      <c r="Q28" s="602"/>
      <c r="R28" s="602"/>
      <c r="S28" s="602"/>
      <c r="T28" s="602"/>
      <c r="U28" s="602"/>
      <c r="V28" s="602"/>
      <c r="W28" s="601"/>
    </row>
    <row r="29" spans="1:23" ht="11.25" customHeight="1">
      <c r="A29" s="600"/>
      <c r="B29" s="601"/>
      <c r="C29" s="601"/>
      <c r="D29" s="601"/>
      <c r="E29" s="600"/>
      <c r="F29" s="600"/>
      <c r="G29" s="600"/>
      <c r="H29" s="600"/>
      <c r="I29" s="600"/>
      <c r="J29" s="600"/>
      <c r="K29" s="602"/>
      <c r="L29" s="602"/>
      <c r="M29" s="602"/>
      <c r="N29" s="602"/>
      <c r="O29" s="602"/>
      <c r="P29" s="602"/>
      <c r="Q29" s="602"/>
      <c r="R29" s="602"/>
      <c r="S29" s="602"/>
      <c r="T29" s="602"/>
      <c r="U29" s="602"/>
      <c r="V29" s="602"/>
      <c r="W29" s="601"/>
    </row>
    <row r="30" spans="1:23">
      <c r="A30" s="600"/>
      <c r="B30" s="601"/>
      <c r="C30" s="601"/>
      <c r="D30" s="601"/>
      <c r="E30" s="600"/>
      <c r="F30" s="600"/>
      <c r="G30" s="600"/>
      <c r="H30" s="600"/>
      <c r="I30" s="600"/>
      <c r="J30" s="600"/>
      <c r="K30" s="600"/>
      <c r="L30" s="600"/>
      <c r="M30" s="600"/>
      <c r="N30" s="600"/>
      <c r="O30" s="600"/>
      <c r="P30" s="600"/>
      <c r="Q30" s="600"/>
      <c r="R30" s="600"/>
      <c r="S30" s="600"/>
      <c r="T30" s="600"/>
      <c r="U30" s="600"/>
      <c r="V30" s="600"/>
      <c r="W30" s="601"/>
    </row>
    <row r="31" spans="1:23" ht="40.5" customHeight="1">
      <c r="A31" s="600"/>
      <c r="B31" s="601"/>
      <c r="C31" s="601"/>
      <c r="D31" s="601"/>
      <c r="E31" s="600"/>
      <c r="F31" s="600"/>
      <c r="G31" s="600"/>
      <c r="H31" s="600"/>
      <c r="I31" s="600"/>
      <c r="J31" s="600"/>
      <c r="K31" s="600"/>
      <c r="L31" s="600"/>
      <c r="M31" s="600"/>
      <c r="N31" s="600"/>
      <c r="O31" s="600"/>
      <c r="P31" s="600"/>
      <c r="Q31" s="600"/>
      <c r="R31" s="600"/>
      <c r="S31" s="600"/>
      <c r="T31" s="600"/>
      <c r="U31" s="600"/>
      <c r="V31" s="600"/>
      <c r="W31" s="601"/>
    </row>
    <row r="32" spans="1:23">
      <c r="A32" s="600"/>
      <c r="B32" s="601"/>
      <c r="C32" s="601"/>
      <c r="D32" s="601"/>
      <c r="E32" s="600"/>
      <c r="F32" s="600"/>
      <c r="G32" s="600"/>
      <c r="H32" s="600"/>
      <c r="I32" s="600"/>
      <c r="J32" s="600"/>
      <c r="K32" s="600"/>
      <c r="L32" s="600"/>
      <c r="M32" s="600"/>
      <c r="N32" s="600"/>
      <c r="O32" s="600"/>
      <c r="P32" s="600"/>
      <c r="Q32" s="600"/>
      <c r="R32" s="600"/>
      <c r="S32" s="600"/>
      <c r="T32" s="600"/>
      <c r="U32" s="600"/>
      <c r="V32" s="600"/>
      <c r="W32" s="601"/>
    </row>
    <row r="33" spans="1:23">
      <c r="A33" s="600"/>
      <c r="B33" s="601"/>
      <c r="C33" s="601"/>
      <c r="D33" s="601"/>
      <c r="E33" s="600"/>
      <c r="F33" s="600"/>
      <c r="G33" s="600"/>
      <c r="H33" s="600"/>
      <c r="I33" s="600"/>
      <c r="J33" s="600"/>
      <c r="K33" s="600"/>
      <c r="L33" s="600"/>
      <c r="M33" s="600"/>
      <c r="N33" s="600"/>
      <c r="O33" s="600"/>
      <c r="P33" s="600"/>
      <c r="Q33" s="600"/>
      <c r="R33" s="600"/>
      <c r="S33" s="600"/>
      <c r="T33" s="600"/>
      <c r="U33" s="600"/>
      <c r="V33" s="600"/>
      <c r="W33" s="601"/>
    </row>
    <row r="34" spans="1:23" ht="12">
      <c r="A34" s="600"/>
      <c r="B34" s="601"/>
      <c r="C34" s="601"/>
      <c r="D34" s="601"/>
      <c r="E34" s="600"/>
      <c r="F34" s="600"/>
      <c r="G34" s="600"/>
      <c r="H34" s="600"/>
      <c r="I34" s="600"/>
      <c r="J34" s="600"/>
      <c r="K34" s="600"/>
      <c r="L34" s="600"/>
      <c r="M34" s="600"/>
      <c r="N34" s="600"/>
      <c r="O34" s="600"/>
      <c r="P34" s="600"/>
      <c r="Q34" s="636"/>
      <c r="R34" s="600"/>
      <c r="S34" s="600"/>
      <c r="T34" s="600"/>
      <c r="U34" s="600"/>
      <c r="V34" s="600"/>
      <c r="W34" s="601"/>
    </row>
    <row r="35" spans="1:23">
      <c r="A35" s="600"/>
      <c r="B35" s="601"/>
      <c r="C35" s="601"/>
      <c r="D35" s="601"/>
      <c r="E35" s="600"/>
      <c r="F35" s="600"/>
      <c r="G35" s="600"/>
      <c r="H35" s="600"/>
      <c r="I35" s="600"/>
      <c r="J35" s="600"/>
      <c r="K35" s="600"/>
      <c r="L35" s="600"/>
      <c r="M35" s="600"/>
      <c r="N35" s="600"/>
      <c r="O35" s="600"/>
      <c r="P35" s="600"/>
      <c r="Q35" s="600"/>
      <c r="R35" s="600"/>
      <c r="S35" s="600"/>
      <c r="T35" s="600"/>
      <c r="U35" s="600"/>
      <c r="V35" s="600"/>
      <c r="W35" s="601"/>
    </row>
    <row r="36" spans="1:23">
      <c r="A36" s="600"/>
      <c r="B36" s="601"/>
      <c r="C36" s="601"/>
      <c r="D36" s="601"/>
      <c r="E36" s="600"/>
      <c r="F36" s="600"/>
      <c r="G36" s="600"/>
      <c r="H36" s="600"/>
      <c r="I36" s="600"/>
      <c r="J36" s="600"/>
      <c r="K36" s="600"/>
      <c r="L36" s="600"/>
      <c r="M36" s="600"/>
      <c r="N36" s="600"/>
      <c r="O36" s="600"/>
      <c r="P36" s="600"/>
      <c r="Q36" s="600"/>
      <c r="R36" s="600"/>
      <c r="S36" s="600"/>
      <c r="T36" s="600"/>
      <c r="U36" s="600"/>
      <c r="V36" s="600"/>
      <c r="W36" s="601"/>
    </row>
    <row r="37" spans="1:23">
      <c r="A37" s="600"/>
      <c r="B37" s="601"/>
      <c r="C37" s="601"/>
      <c r="D37" s="601"/>
      <c r="E37" s="600"/>
      <c r="F37" s="600"/>
      <c r="G37" s="600"/>
      <c r="H37" s="600"/>
      <c r="I37" s="600"/>
      <c r="J37" s="600"/>
      <c r="K37" s="600"/>
      <c r="L37" s="600"/>
      <c r="M37" s="600"/>
      <c r="N37" s="600"/>
      <c r="O37" s="600"/>
      <c r="P37" s="600"/>
      <c r="Q37" s="600"/>
      <c r="R37" s="600"/>
      <c r="S37" s="600"/>
      <c r="T37" s="600"/>
      <c r="U37" s="600"/>
      <c r="V37" s="600"/>
      <c r="W37" s="601"/>
    </row>
    <row r="38" spans="1:23">
      <c r="A38" s="600"/>
      <c r="B38" s="601"/>
      <c r="C38" s="601"/>
      <c r="D38" s="601"/>
      <c r="E38" s="600"/>
      <c r="F38" s="600"/>
      <c r="G38" s="600"/>
      <c r="H38" s="600"/>
      <c r="I38" s="600"/>
      <c r="J38" s="600"/>
      <c r="K38" s="600"/>
      <c r="L38" s="600"/>
      <c r="M38" s="600"/>
      <c r="N38" s="600"/>
      <c r="O38" s="600"/>
      <c r="P38" s="600"/>
      <c r="Q38" s="600"/>
      <c r="R38" s="600"/>
      <c r="S38" s="600"/>
      <c r="T38" s="600"/>
      <c r="U38" s="600"/>
      <c r="V38" s="600"/>
      <c r="W38" s="601"/>
    </row>
    <row r="39" spans="1:23">
      <c r="A39" s="600"/>
      <c r="B39" s="601"/>
      <c r="C39" s="601"/>
      <c r="D39" s="601"/>
      <c r="E39" s="600"/>
      <c r="F39" s="600"/>
      <c r="G39" s="600"/>
      <c r="H39" s="600"/>
      <c r="I39" s="600"/>
      <c r="J39" s="600"/>
      <c r="K39" s="600"/>
      <c r="L39" s="600"/>
      <c r="M39" s="600"/>
      <c r="N39" s="600"/>
      <c r="O39" s="600"/>
      <c r="P39" s="600"/>
      <c r="Q39" s="600"/>
      <c r="R39" s="600"/>
      <c r="S39" s="600"/>
      <c r="T39" s="600"/>
      <c r="U39" s="600"/>
      <c r="V39" s="600"/>
      <c r="W39" s="601"/>
    </row>
    <row r="40" spans="1:23" ht="18.75">
      <c r="A40" s="600"/>
      <c r="B40" s="601"/>
      <c r="C40" s="604"/>
      <c r="D40" s="601"/>
      <c r="E40" s="600"/>
      <c r="F40" s="600"/>
      <c r="G40" s="600"/>
      <c r="H40" s="600"/>
      <c r="I40" s="600"/>
      <c r="J40" s="600"/>
      <c r="K40" s="600"/>
      <c r="L40" s="600"/>
      <c r="M40" s="600"/>
      <c r="N40" s="600"/>
      <c r="O40" s="600"/>
      <c r="P40" s="600"/>
      <c r="Q40" s="600"/>
      <c r="R40" s="600"/>
      <c r="S40" s="600"/>
      <c r="T40" s="600"/>
      <c r="U40" s="600"/>
      <c r="V40" s="600"/>
      <c r="W40" s="601"/>
    </row>
    <row r="41" spans="1:23">
      <c r="A41" s="600"/>
      <c r="B41" s="601"/>
      <c r="C41" s="601"/>
      <c r="D41" s="601"/>
      <c r="E41" s="600"/>
      <c r="F41" s="600"/>
      <c r="G41" s="600"/>
      <c r="H41" s="600"/>
      <c r="I41" s="600"/>
      <c r="J41" s="600"/>
      <c r="K41" s="600"/>
      <c r="L41" s="600"/>
      <c r="M41" s="600"/>
      <c r="N41" s="600"/>
      <c r="O41" s="600"/>
      <c r="P41" s="600"/>
      <c r="Q41" s="600"/>
      <c r="R41" s="600"/>
      <c r="S41" s="600"/>
      <c r="T41" s="600"/>
      <c r="U41" s="600"/>
      <c r="V41" s="600"/>
      <c r="W41" s="601"/>
    </row>
    <row r="42" spans="1:23">
      <c r="A42" s="600"/>
      <c r="B42" s="601"/>
      <c r="C42" s="601"/>
      <c r="D42" s="601"/>
      <c r="E42" s="600"/>
      <c r="F42" s="600"/>
      <c r="G42" s="600"/>
      <c r="H42" s="600"/>
      <c r="I42" s="600"/>
      <c r="J42" s="600"/>
      <c r="K42" s="600"/>
      <c r="L42" s="600"/>
      <c r="M42" s="600"/>
      <c r="N42" s="600"/>
      <c r="O42" s="600"/>
      <c r="P42" s="600"/>
      <c r="Q42" s="600"/>
      <c r="R42" s="600"/>
      <c r="S42" s="600"/>
      <c r="T42" s="600"/>
      <c r="U42" s="600"/>
      <c r="V42" s="600"/>
      <c r="W42" s="601"/>
    </row>
    <row r="43" spans="1:23">
      <c r="A43" s="600"/>
      <c r="B43" s="601"/>
      <c r="C43" s="601"/>
      <c r="D43" s="601"/>
      <c r="E43" s="600"/>
      <c r="F43" s="600"/>
      <c r="G43" s="600"/>
      <c r="H43" s="600"/>
      <c r="I43" s="600"/>
      <c r="J43" s="600"/>
      <c r="K43" s="600"/>
      <c r="L43" s="600"/>
      <c r="M43" s="600"/>
      <c r="N43" s="600"/>
      <c r="O43" s="600"/>
      <c r="P43" s="600"/>
      <c r="Q43" s="600"/>
      <c r="R43" s="600"/>
      <c r="S43" s="600"/>
      <c r="T43" s="600"/>
      <c r="U43" s="600"/>
      <c r="V43" s="600"/>
      <c r="W43" s="601"/>
    </row>
    <row r="44" spans="1:23">
      <c r="A44" s="600"/>
      <c r="B44" s="601"/>
      <c r="C44" s="601"/>
      <c r="D44" s="601"/>
      <c r="E44" s="600"/>
      <c r="F44" s="600"/>
      <c r="G44" s="600"/>
      <c r="H44" s="600"/>
      <c r="I44" s="600"/>
      <c r="J44" s="600"/>
      <c r="K44" s="600"/>
      <c r="L44" s="600"/>
      <c r="M44" s="600"/>
      <c r="N44" s="600"/>
      <c r="O44" s="600"/>
      <c r="P44" s="600"/>
      <c r="Q44" s="600"/>
      <c r="R44" s="600"/>
      <c r="S44" s="600"/>
      <c r="T44" s="600"/>
      <c r="U44" s="600"/>
      <c r="V44" s="600"/>
      <c r="W44" s="601"/>
    </row>
    <row r="45" spans="1:23">
      <c r="A45" s="600"/>
      <c r="B45" s="601"/>
      <c r="C45" s="601"/>
      <c r="D45" s="601"/>
      <c r="E45" s="600"/>
      <c r="F45" s="600"/>
      <c r="G45" s="600"/>
      <c r="H45" s="600"/>
      <c r="I45" s="600"/>
      <c r="J45" s="600"/>
      <c r="K45" s="600"/>
      <c r="L45" s="600"/>
      <c r="M45" s="600"/>
      <c r="N45" s="600"/>
      <c r="O45" s="600"/>
      <c r="P45" s="600"/>
      <c r="Q45" s="600"/>
      <c r="R45" s="600"/>
      <c r="S45" s="600"/>
      <c r="T45" s="600"/>
      <c r="U45" s="600"/>
      <c r="V45" s="600"/>
      <c r="W45" s="601"/>
    </row>
  </sheetData>
  <mergeCells count="2">
    <mergeCell ref="K21:U25"/>
    <mergeCell ref="N26:U27"/>
  </mergeCells>
  <printOptions horizontalCentered="1"/>
  <pageMargins left="0.25" right="0.25" top="0" bottom="0" header="0" footer="0"/>
  <pageSetup paperSize="9" pageOrder="overThenDown" orientation="landscape"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2"/>
  <sheetViews>
    <sheetView showGridLines="0" showRowColHeaders="0" showRuler="0" view="pageLayout" zoomScaleNormal="80" workbookViewId="0">
      <selection activeCell="J20" sqref="J20"/>
    </sheetView>
  </sheetViews>
  <sheetFormatPr defaultColWidth="10.69921875" defaultRowHeight="11.25"/>
  <cols>
    <col min="1" max="1" width="1.19921875" style="266" customWidth="1"/>
    <col min="2" max="2" width="26.796875" style="266" customWidth="1"/>
    <col min="3" max="3" width="0.59765625" style="266" customWidth="1"/>
    <col min="4" max="4" width="9.8984375" style="266" customWidth="1"/>
    <col min="5" max="5" width="5.09765625" style="269" customWidth="1"/>
    <col min="6" max="6" width="0.59765625" style="266" customWidth="1"/>
    <col min="7" max="7" width="5.19921875" style="269" customWidth="1"/>
    <col min="8" max="8" width="5.8984375" style="269" customWidth="1"/>
    <col min="9" max="9" width="5.19921875" style="269" customWidth="1"/>
    <col min="10" max="10" width="6.59765625" style="269" customWidth="1"/>
    <col min="11" max="11" width="5.19921875" style="269" customWidth="1"/>
    <col min="12" max="12" width="6.59765625" style="269" customWidth="1"/>
    <col min="13" max="13" width="5.19921875" style="269" customWidth="1"/>
    <col min="14" max="14" width="6.59765625" style="269" customWidth="1"/>
    <col min="15" max="15" width="7.09765625" style="269" customWidth="1"/>
    <col min="16" max="16" width="5.09765625" style="269" customWidth="1"/>
    <col min="17" max="17" width="0.59765625" style="269" customWidth="1"/>
    <col min="18" max="18" width="5.5" style="269" customWidth="1"/>
    <col min="19" max="16384" width="10.69921875" style="266"/>
  </cols>
  <sheetData>
    <row r="1" spans="1:18" ht="15" customHeight="1">
      <c r="A1" s="265"/>
      <c r="B1" s="299"/>
      <c r="C1" s="300"/>
      <c r="E1" s="270"/>
      <c r="F1" s="300"/>
      <c r="G1" s="270"/>
      <c r="I1" s="266"/>
      <c r="O1" s="267"/>
      <c r="P1" s="266"/>
      <c r="Q1" s="270"/>
    </row>
    <row r="2" spans="1:18" ht="15" customHeight="1">
      <c r="B2" s="301"/>
      <c r="C2" s="301"/>
      <c r="D2" s="301"/>
      <c r="E2" s="301"/>
      <c r="F2" s="301"/>
      <c r="G2" s="301"/>
      <c r="H2" s="301"/>
      <c r="I2" s="301"/>
      <c r="J2" s="301"/>
      <c r="K2" s="301"/>
      <c r="L2" s="301"/>
      <c r="M2" s="301"/>
      <c r="N2" s="301"/>
      <c r="O2" s="301"/>
      <c r="P2" s="301"/>
      <c r="Q2" s="301"/>
    </row>
    <row r="3" spans="1:18" ht="21" thickBot="1">
      <c r="A3" s="269"/>
      <c r="B3" s="537" t="s">
        <v>2579</v>
      </c>
      <c r="C3" s="534"/>
      <c r="D3" s="534"/>
      <c r="E3" s="534"/>
      <c r="F3" s="535"/>
      <c r="G3" s="535"/>
      <c r="H3" s="535"/>
      <c r="I3" s="535"/>
      <c r="J3" s="535"/>
      <c r="K3" s="535"/>
      <c r="L3" s="535"/>
      <c r="M3" s="535"/>
      <c r="N3" s="535"/>
      <c r="O3" s="535"/>
      <c r="P3" s="535"/>
      <c r="Q3" s="535"/>
      <c r="R3" s="535"/>
    </row>
    <row r="4" spans="1:18" ht="9.75" customHeight="1">
      <c r="B4" s="301"/>
      <c r="C4" s="301"/>
      <c r="D4" s="301"/>
      <c r="E4" s="301"/>
      <c r="F4" s="301"/>
      <c r="G4" s="301"/>
      <c r="H4" s="301"/>
      <c r="I4" s="301"/>
      <c r="J4" s="301"/>
      <c r="K4" s="301"/>
      <c r="L4" s="301"/>
      <c r="M4" s="301"/>
      <c r="N4" s="301"/>
      <c r="O4" s="301"/>
      <c r="P4" s="301"/>
      <c r="Q4" s="301"/>
    </row>
    <row r="5" spans="1:18" ht="15" customHeight="1">
      <c r="B5" s="301"/>
      <c r="C5" s="301"/>
      <c r="D5" s="301"/>
      <c r="E5" s="301"/>
      <c r="F5" s="301"/>
      <c r="G5" s="301"/>
      <c r="H5" s="301"/>
      <c r="I5" s="301"/>
      <c r="J5" s="301"/>
      <c r="K5" s="301"/>
      <c r="L5" s="301"/>
      <c r="M5" s="301"/>
      <c r="N5" s="301"/>
      <c r="O5" s="301"/>
      <c r="P5" s="301"/>
      <c r="Q5" s="301"/>
    </row>
    <row r="6" spans="1:18" ht="15" customHeight="1">
      <c r="B6" s="301"/>
      <c r="C6" s="301"/>
      <c r="D6" s="301"/>
      <c r="E6" s="301"/>
      <c r="F6" s="301"/>
      <c r="G6" s="301"/>
      <c r="H6" s="301"/>
      <c r="I6" s="301"/>
      <c r="J6" s="301"/>
      <c r="K6" s="301"/>
      <c r="L6" s="301"/>
      <c r="M6" s="301"/>
      <c r="N6" s="301"/>
      <c r="O6" s="301"/>
      <c r="P6" s="301"/>
      <c r="Q6" s="301"/>
    </row>
    <row r="7" spans="1:18" ht="11.25" customHeight="1">
      <c r="B7" s="301"/>
      <c r="C7" s="301"/>
      <c r="D7" s="301"/>
      <c r="E7" s="301"/>
      <c r="F7" s="301"/>
      <c r="G7" s="301"/>
      <c r="H7" s="301"/>
      <c r="I7" s="301"/>
      <c r="J7" s="301"/>
      <c r="K7" s="301"/>
      <c r="L7" s="301"/>
      <c r="M7" s="301"/>
      <c r="N7" s="301"/>
      <c r="O7" s="301"/>
      <c r="P7" s="301"/>
      <c r="Q7" s="301"/>
    </row>
    <row r="8" spans="1:18" ht="11.25" customHeight="1">
      <c r="B8" s="301"/>
      <c r="C8" s="301"/>
      <c r="D8" s="301"/>
      <c r="E8" s="301"/>
      <c r="F8" s="301"/>
      <c r="G8" s="301"/>
      <c r="H8" s="301"/>
      <c r="I8" s="301"/>
      <c r="J8" s="301"/>
      <c r="K8" s="301"/>
      <c r="L8" s="301"/>
      <c r="M8" s="301"/>
      <c r="N8" s="301"/>
      <c r="O8" s="301"/>
      <c r="P8" s="301"/>
      <c r="Q8" s="301"/>
    </row>
    <row r="9" spans="1:18" ht="11.25" customHeight="1">
      <c r="B9" s="301"/>
      <c r="C9" s="301"/>
      <c r="D9" s="301"/>
      <c r="E9" s="301"/>
      <c r="F9" s="301"/>
      <c r="G9" s="301"/>
      <c r="H9" s="301"/>
      <c r="I9" s="301"/>
      <c r="J9" s="301"/>
      <c r="K9" s="301"/>
      <c r="L9" s="301"/>
      <c r="M9" s="301"/>
      <c r="N9" s="301"/>
      <c r="O9" s="301"/>
      <c r="P9" s="301"/>
      <c r="Q9" s="301"/>
    </row>
    <row r="10" spans="1:18" ht="11.25" customHeight="1">
      <c r="B10" s="301"/>
      <c r="C10" s="301"/>
      <c r="D10" s="301"/>
      <c r="E10" s="301"/>
      <c r="F10" s="301"/>
      <c r="G10" s="301"/>
      <c r="H10" s="301"/>
      <c r="I10" s="301"/>
      <c r="J10" s="301"/>
      <c r="K10" s="301"/>
      <c r="L10" s="301"/>
      <c r="M10" s="301"/>
      <c r="N10" s="301"/>
      <c r="O10" s="301"/>
      <c r="P10" s="301"/>
      <c r="Q10" s="301"/>
    </row>
    <row r="11" spans="1:18" ht="11.25" customHeight="1">
      <c r="B11" s="301"/>
      <c r="C11" s="301"/>
      <c r="D11" s="301"/>
      <c r="E11" s="301"/>
      <c r="F11" s="301"/>
      <c r="G11" s="301"/>
      <c r="H11" s="301"/>
      <c r="I11" s="301"/>
      <c r="J11" s="301"/>
      <c r="K11" s="301"/>
      <c r="L11" s="301"/>
      <c r="M11" s="301"/>
      <c r="N11" s="301"/>
      <c r="O11" s="301"/>
      <c r="P11" s="301"/>
      <c r="Q11" s="301"/>
    </row>
    <row r="12" spans="1:18" ht="11.25" customHeight="1">
      <c r="B12" s="301"/>
      <c r="C12" s="301"/>
      <c r="D12" s="301"/>
      <c r="E12" s="301"/>
      <c r="F12" s="301"/>
      <c r="G12" s="301"/>
      <c r="H12" s="301"/>
      <c r="I12" s="301"/>
      <c r="J12" s="301"/>
      <c r="K12" s="301"/>
      <c r="L12" s="301"/>
      <c r="M12" s="301"/>
      <c r="N12" s="301"/>
      <c r="O12" s="301"/>
      <c r="P12" s="301"/>
      <c r="Q12" s="301"/>
    </row>
    <row r="13" spans="1:18" ht="11.25" customHeight="1">
      <c r="B13" s="301"/>
      <c r="C13" s="301"/>
      <c r="D13" s="301"/>
      <c r="E13" s="301"/>
      <c r="F13" s="301"/>
      <c r="G13" s="301"/>
      <c r="H13" s="301"/>
      <c r="I13" s="301"/>
      <c r="J13" s="301"/>
      <c r="K13" s="301"/>
      <c r="L13" s="301"/>
      <c r="M13" s="301"/>
      <c r="N13" s="301"/>
      <c r="O13" s="301"/>
      <c r="P13" s="301"/>
      <c r="Q13" s="301"/>
    </row>
    <row r="14" spans="1:18" ht="11.25" customHeight="1">
      <c r="B14" s="301"/>
      <c r="C14" s="301"/>
      <c r="D14" s="301"/>
      <c r="E14" s="301"/>
      <c r="F14" s="301"/>
      <c r="G14" s="301"/>
      <c r="H14" s="301"/>
      <c r="I14" s="301"/>
      <c r="J14" s="301"/>
      <c r="K14" s="301"/>
      <c r="L14" s="301"/>
      <c r="M14" s="301"/>
      <c r="N14" s="301"/>
      <c r="O14" s="301"/>
      <c r="P14" s="301"/>
      <c r="Q14" s="301"/>
    </row>
    <row r="15" spans="1:18" ht="11.25" customHeight="1">
      <c r="B15" s="301"/>
      <c r="C15" s="301"/>
      <c r="D15" s="301"/>
      <c r="E15" s="301"/>
      <c r="F15" s="301"/>
      <c r="G15" s="301"/>
      <c r="H15" s="301"/>
      <c r="I15" s="301"/>
      <c r="J15" s="301"/>
      <c r="K15" s="301"/>
      <c r="L15" s="301"/>
      <c r="M15" s="301"/>
      <c r="N15" s="301"/>
      <c r="O15" s="301"/>
      <c r="P15" s="301"/>
      <c r="Q15" s="301"/>
    </row>
    <row r="16" spans="1:18" ht="11.25" customHeight="1">
      <c r="B16" s="301"/>
      <c r="C16" s="301"/>
      <c r="D16" s="301"/>
      <c r="E16" s="301"/>
      <c r="F16" s="301"/>
      <c r="G16" s="301"/>
      <c r="H16" s="301"/>
      <c r="I16" s="301"/>
      <c r="J16" s="301"/>
      <c r="K16" s="301"/>
      <c r="L16" s="301"/>
      <c r="M16" s="301"/>
      <c r="N16" s="301"/>
      <c r="O16" s="301"/>
      <c r="P16" s="301"/>
      <c r="Q16" s="301"/>
    </row>
    <row r="17" spans="2:17" ht="11.25" customHeight="1">
      <c r="B17" s="301"/>
      <c r="C17" s="301"/>
      <c r="D17" s="301"/>
      <c r="E17" s="301"/>
      <c r="F17" s="301"/>
      <c r="G17" s="301"/>
      <c r="H17" s="301"/>
      <c r="I17" s="301"/>
      <c r="J17" s="301"/>
      <c r="K17" s="301"/>
      <c r="L17" s="301"/>
      <c r="M17" s="301"/>
      <c r="N17" s="301"/>
      <c r="O17" s="301"/>
      <c r="P17" s="301"/>
      <c r="Q17" s="301"/>
    </row>
    <row r="18" spans="2:17" ht="11.25" customHeight="1">
      <c r="B18" s="301"/>
      <c r="C18" s="301"/>
      <c r="D18" s="301"/>
      <c r="E18" s="301"/>
      <c r="F18" s="301"/>
      <c r="G18" s="301"/>
      <c r="H18" s="301"/>
      <c r="I18" s="301"/>
      <c r="J18" s="301"/>
      <c r="K18" s="301"/>
      <c r="L18" s="301"/>
      <c r="M18" s="301"/>
      <c r="N18" s="301"/>
      <c r="O18" s="301"/>
      <c r="P18" s="301"/>
      <c r="Q18" s="301"/>
    </row>
    <row r="19" spans="2:17" ht="11.25" customHeight="1">
      <c r="B19" s="301"/>
      <c r="C19" s="301"/>
      <c r="D19" s="301"/>
      <c r="E19" s="301"/>
      <c r="F19" s="301"/>
      <c r="G19" s="301"/>
      <c r="H19" s="301"/>
      <c r="I19" s="301"/>
      <c r="J19" s="301"/>
      <c r="K19" s="301"/>
      <c r="L19" s="301"/>
      <c r="M19" s="301"/>
      <c r="N19" s="301"/>
      <c r="O19" s="301"/>
      <c r="P19" s="301"/>
      <c r="Q19" s="301"/>
    </row>
    <row r="20" spans="2:17" ht="11.25" customHeight="1">
      <c r="B20" s="301"/>
      <c r="C20" s="301"/>
      <c r="D20" s="301"/>
      <c r="E20" s="301"/>
      <c r="F20" s="301"/>
      <c r="G20" s="301"/>
      <c r="H20" s="301"/>
      <c r="I20" s="301"/>
      <c r="J20" s="301"/>
      <c r="K20" s="301"/>
      <c r="L20" s="301"/>
      <c r="M20" s="301"/>
      <c r="N20" s="301"/>
      <c r="O20" s="301"/>
      <c r="P20" s="301"/>
      <c r="Q20" s="301"/>
    </row>
    <row r="21" spans="2:17" ht="11.25" customHeight="1">
      <c r="B21" s="301"/>
      <c r="C21" s="301"/>
      <c r="D21" s="301"/>
      <c r="E21" s="301"/>
      <c r="F21" s="301"/>
      <c r="G21" s="301"/>
      <c r="H21" s="301"/>
      <c r="I21" s="301"/>
      <c r="J21" s="301"/>
      <c r="K21" s="301"/>
      <c r="L21" s="301"/>
      <c r="M21" s="301"/>
      <c r="N21" s="301"/>
      <c r="O21" s="301"/>
      <c r="P21" s="301"/>
      <c r="Q21" s="301"/>
    </row>
    <row r="22" spans="2:17" ht="11.25" customHeight="1">
      <c r="B22" s="301"/>
      <c r="C22" s="301"/>
      <c r="D22" s="301"/>
      <c r="E22" s="301"/>
      <c r="F22" s="301"/>
      <c r="G22" s="301"/>
      <c r="H22" s="301"/>
      <c r="I22" s="301"/>
      <c r="J22" s="301"/>
      <c r="K22" s="301"/>
      <c r="L22" s="301"/>
      <c r="M22" s="301"/>
      <c r="N22" s="301"/>
      <c r="O22" s="301"/>
      <c r="P22" s="301"/>
      <c r="Q22" s="301"/>
    </row>
    <row r="23" spans="2:17" ht="11.25" customHeight="1">
      <c r="B23" s="301"/>
      <c r="C23" s="301"/>
      <c r="D23" s="301"/>
      <c r="E23" s="301"/>
      <c r="F23" s="301"/>
      <c r="G23" s="301"/>
      <c r="H23" s="301"/>
      <c r="I23" s="301"/>
      <c r="J23" s="301"/>
      <c r="K23" s="301"/>
      <c r="L23" s="301"/>
      <c r="M23" s="301"/>
      <c r="N23" s="301"/>
      <c r="O23" s="301"/>
      <c r="P23" s="301"/>
      <c r="Q23" s="301"/>
    </row>
    <row r="24" spans="2:17" ht="11.25" customHeight="1">
      <c r="B24" s="301"/>
      <c r="C24" s="301"/>
      <c r="D24" s="301"/>
      <c r="E24" s="301"/>
      <c r="F24" s="301"/>
      <c r="G24" s="301"/>
      <c r="H24" s="301"/>
      <c r="I24" s="301"/>
      <c r="J24" s="301"/>
      <c r="K24" s="301"/>
      <c r="L24" s="301"/>
      <c r="M24" s="301"/>
      <c r="N24" s="301"/>
      <c r="O24" s="301"/>
      <c r="P24" s="301"/>
      <c r="Q24" s="301"/>
    </row>
    <row r="25" spans="2:17" ht="11.25" customHeight="1">
      <c r="B25" s="301"/>
      <c r="C25" s="301"/>
      <c r="D25" s="301"/>
      <c r="E25" s="301"/>
      <c r="F25" s="301"/>
      <c r="G25" s="301"/>
      <c r="H25" s="301"/>
      <c r="I25" s="301"/>
      <c r="J25" s="301"/>
      <c r="K25" s="301"/>
      <c r="L25" s="301"/>
      <c r="M25" s="301"/>
      <c r="N25" s="301"/>
      <c r="O25" s="301"/>
      <c r="P25" s="301"/>
      <c r="Q25" s="301"/>
    </row>
    <row r="26" spans="2:17" ht="11.25" customHeight="1">
      <c r="B26" s="301"/>
      <c r="C26" s="301"/>
      <c r="D26" s="301"/>
      <c r="E26" s="301"/>
      <c r="F26" s="301"/>
      <c r="G26" s="301"/>
      <c r="H26" s="301"/>
      <c r="I26" s="301"/>
      <c r="J26" s="301"/>
      <c r="K26" s="301"/>
      <c r="L26" s="301"/>
      <c r="M26" s="301"/>
      <c r="N26" s="301"/>
      <c r="O26" s="301"/>
      <c r="P26" s="301"/>
      <c r="Q26" s="301"/>
    </row>
    <row r="35" spans="5:17" ht="19.5" customHeight="1">
      <c r="E35" s="266"/>
      <c r="G35" s="266"/>
      <c r="H35" s="266"/>
      <c r="I35" s="266"/>
      <c r="J35" s="266"/>
      <c r="K35" s="266"/>
      <c r="L35" s="266"/>
      <c r="M35" s="266"/>
      <c r="N35" s="266"/>
      <c r="O35" s="266"/>
      <c r="P35" s="266"/>
      <c r="Q35" s="266"/>
    </row>
    <row r="36" spans="5:17" ht="11.25" customHeight="1">
      <c r="E36" s="266"/>
      <c r="G36" s="266"/>
      <c r="H36" s="266"/>
      <c r="I36" s="266"/>
      <c r="J36" s="266"/>
      <c r="K36" s="266"/>
      <c r="L36" s="266"/>
      <c r="M36" s="266"/>
      <c r="N36" s="266"/>
      <c r="O36" s="266"/>
      <c r="P36" s="266"/>
      <c r="Q36" s="266"/>
    </row>
    <row r="37" spans="5:17" ht="11.25" customHeight="1">
      <c r="E37" s="266"/>
      <c r="G37" s="266"/>
      <c r="H37" s="266"/>
      <c r="I37" s="266"/>
      <c r="J37" s="266"/>
      <c r="K37" s="266"/>
      <c r="L37" s="266"/>
      <c r="M37" s="266"/>
      <c r="N37" s="266"/>
      <c r="O37" s="266"/>
      <c r="P37" s="266"/>
      <c r="Q37" s="266"/>
    </row>
    <row r="38" spans="5:17" ht="11.25" customHeight="1">
      <c r="E38" s="266"/>
      <c r="G38" s="266"/>
      <c r="H38" s="266"/>
      <c r="I38" s="266"/>
      <c r="J38" s="266"/>
      <c r="K38" s="266"/>
      <c r="L38" s="266"/>
      <c r="M38" s="266"/>
      <c r="N38" s="266"/>
      <c r="O38" s="266"/>
      <c r="P38" s="266"/>
      <c r="Q38" s="266"/>
    </row>
    <row r="39" spans="5:17" ht="11.25" customHeight="1">
      <c r="E39" s="266"/>
      <c r="G39" s="266"/>
      <c r="H39" s="266"/>
      <c r="I39" s="266"/>
      <c r="J39" s="266"/>
      <c r="K39" s="266"/>
      <c r="L39" s="266"/>
      <c r="M39" s="266"/>
      <c r="N39" s="266"/>
      <c r="O39" s="266"/>
      <c r="P39" s="266"/>
      <c r="Q39" s="266"/>
    </row>
    <row r="40" spans="5:17" ht="11.25" customHeight="1">
      <c r="E40" s="266"/>
      <c r="G40" s="266"/>
      <c r="H40" s="266"/>
      <c r="I40" s="266"/>
      <c r="J40" s="266"/>
      <c r="K40" s="266"/>
      <c r="L40" s="266"/>
      <c r="M40" s="266"/>
      <c r="N40" s="266"/>
      <c r="O40" s="266"/>
      <c r="P40" s="266"/>
      <c r="Q40" s="266"/>
    </row>
    <row r="41" spans="5:17" ht="11.25" customHeight="1">
      <c r="E41" s="266"/>
      <c r="G41" s="266"/>
      <c r="H41" s="266"/>
      <c r="I41" s="266"/>
      <c r="J41" s="266"/>
      <c r="K41" s="266"/>
      <c r="L41" s="266"/>
      <c r="M41" s="266"/>
      <c r="N41" s="266"/>
      <c r="O41" s="266"/>
      <c r="P41" s="266"/>
      <c r="Q41" s="266"/>
    </row>
    <row r="42" spans="5:17" ht="11.25" customHeight="1">
      <c r="E42" s="266"/>
      <c r="G42" s="266"/>
      <c r="H42" s="266"/>
      <c r="I42" s="266"/>
      <c r="J42" s="266"/>
      <c r="K42" s="266"/>
      <c r="L42" s="266"/>
      <c r="M42" s="266"/>
      <c r="N42" s="266"/>
      <c r="O42" s="266"/>
      <c r="P42" s="266"/>
      <c r="Q42" s="266"/>
    </row>
  </sheetData>
  <printOptions horizontalCentered="1"/>
  <pageMargins left="0.25" right="0.25" top="0.75" bottom="0.3" header="0" footer="0"/>
  <pageSetup paperSize="9" pageOrder="overThenDown" orientation="landscape" r:id="rId1"/>
  <headerFooter>
    <oddHeader>&amp;R&amp;G</oddHeader>
    <oddFooter>&amp;L&amp;10 14/12/2022</odd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showRowColHeaders="0" view="pageLayout" zoomScaleNormal="80" workbookViewId="0">
      <selection activeCell="I21" sqref="I21"/>
    </sheetView>
  </sheetViews>
  <sheetFormatPr defaultColWidth="10.69921875" defaultRowHeight="11.25"/>
  <cols>
    <col min="1" max="1" width="5.8984375" style="269" customWidth="1"/>
    <col min="2" max="4" width="4.8984375" style="266" customWidth="1"/>
    <col min="5" max="22" width="4.8984375" style="269" customWidth="1"/>
    <col min="23" max="23" width="4.8984375" style="266" customWidth="1"/>
    <col min="24" max="16384" width="10.69921875" style="266"/>
  </cols>
  <sheetData>
    <row r="1" spans="1:23">
      <c r="A1" s="600"/>
      <c r="B1" s="601"/>
      <c r="C1" s="601"/>
      <c r="D1" s="601"/>
      <c r="E1" s="600"/>
      <c r="F1" s="600"/>
      <c r="G1" s="600"/>
      <c r="H1" s="600"/>
      <c r="I1" s="600"/>
      <c r="J1" s="600"/>
      <c r="K1" s="600"/>
      <c r="L1" s="600"/>
      <c r="M1" s="600"/>
      <c r="N1" s="600"/>
      <c r="O1" s="600"/>
      <c r="P1" s="600"/>
      <c r="Q1" s="600"/>
      <c r="R1" s="600"/>
      <c r="S1" s="600"/>
      <c r="T1" s="600"/>
      <c r="U1" s="600"/>
      <c r="V1" s="600"/>
      <c r="W1" s="601"/>
    </row>
    <row r="2" spans="1:23">
      <c r="A2" s="600"/>
      <c r="B2" s="601"/>
      <c r="C2" s="601"/>
      <c r="D2" s="601"/>
      <c r="E2" s="600"/>
      <c r="F2" s="600"/>
      <c r="G2" s="600"/>
      <c r="H2" s="600"/>
      <c r="I2" s="600"/>
      <c r="J2" s="600"/>
      <c r="K2" s="600"/>
      <c r="L2" s="600"/>
      <c r="M2" s="600"/>
      <c r="N2" s="600"/>
      <c r="O2" s="600"/>
      <c r="P2" s="600"/>
      <c r="Q2" s="600"/>
      <c r="R2" s="600"/>
      <c r="S2" s="600"/>
      <c r="T2" s="600"/>
      <c r="U2" s="600"/>
      <c r="V2" s="600"/>
      <c r="W2" s="601"/>
    </row>
    <row r="3" spans="1:23">
      <c r="A3" s="600"/>
      <c r="B3" s="601"/>
      <c r="C3" s="601"/>
      <c r="D3" s="601"/>
      <c r="E3" s="600"/>
      <c r="F3" s="600"/>
      <c r="G3" s="600"/>
      <c r="H3" s="600"/>
      <c r="I3" s="600"/>
      <c r="J3" s="600"/>
      <c r="K3" s="600"/>
      <c r="L3" s="600"/>
      <c r="M3" s="600"/>
      <c r="N3" s="600"/>
      <c r="O3" s="600"/>
      <c r="P3" s="600"/>
      <c r="Q3" s="600"/>
      <c r="R3" s="600"/>
      <c r="S3" s="600"/>
      <c r="T3" s="600"/>
      <c r="U3" s="600"/>
      <c r="V3" s="600"/>
      <c r="W3" s="601"/>
    </row>
    <row r="4" spans="1:23">
      <c r="A4" s="600"/>
      <c r="B4" s="601"/>
      <c r="C4" s="601"/>
      <c r="D4" s="601"/>
      <c r="E4" s="600"/>
      <c r="F4" s="600"/>
      <c r="G4" s="600"/>
      <c r="H4" s="600"/>
      <c r="I4" s="600"/>
      <c r="J4" s="600"/>
      <c r="K4" s="600"/>
      <c r="L4" s="600"/>
      <c r="M4" s="600"/>
      <c r="N4" s="600"/>
      <c r="O4" s="600"/>
      <c r="P4" s="600"/>
      <c r="Q4" s="600"/>
      <c r="R4" s="600"/>
      <c r="S4" s="600"/>
      <c r="T4" s="600"/>
      <c r="U4" s="600"/>
      <c r="V4" s="600"/>
      <c r="W4" s="601"/>
    </row>
    <row r="5" spans="1:23">
      <c r="A5" s="600"/>
      <c r="B5" s="601"/>
      <c r="C5" s="601"/>
      <c r="D5" s="601"/>
      <c r="E5" s="600"/>
      <c r="F5" s="600"/>
      <c r="G5" s="600"/>
      <c r="H5" s="600"/>
      <c r="I5" s="600"/>
      <c r="J5" s="600"/>
      <c r="K5" s="600"/>
      <c r="L5" s="600"/>
      <c r="M5" s="600"/>
      <c r="N5" s="600"/>
      <c r="O5" s="600"/>
      <c r="P5" s="600"/>
      <c r="Q5" s="600"/>
      <c r="R5" s="600"/>
      <c r="S5" s="600"/>
      <c r="T5" s="600"/>
      <c r="U5" s="600"/>
      <c r="V5" s="600"/>
      <c r="W5" s="601"/>
    </row>
    <row r="6" spans="1:23">
      <c r="A6" s="600"/>
      <c r="B6" s="601"/>
      <c r="C6" s="601"/>
      <c r="D6" s="601"/>
      <c r="E6" s="600"/>
      <c r="F6" s="600"/>
      <c r="G6" s="600"/>
      <c r="H6" s="600"/>
      <c r="I6" s="600"/>
      <c r="J6" s="600"/>
      <c r="K6" s="600"/>
      <c r="L6" s="600"/>
      <c r="M6" s="600"/>
      <c r="N6" s="600"/>
      <c r="O6" s="600"/>
      <c r="P6" s="600"/>
      <c r="Q6" s="600"/>
      <c r="R6" s="600"/>
      <c r="S6" s="600"/>
      <c r="T6" s="600"/>
      <c r="U6" s="600"/>
      <c r="V6" s="600"/>
      <c r="W6" s="601"/>
    </row>
    <row r="7" spans="1:23">
      <c r="A7" s="600"/>
      <c r="B7" s="601"/>
      <c r="C7" s="601"/>
      <c r="D7" s="601"/>
      <c r="E7" s="600"/>
      <c r="F7" s="600"/>
      <c r="G7" s="600"/>
      <c r="H7" s="600"/>
      <c r="I7" s="600"/>
      <c r="J7" s="600"/>
      <c r="K7" s="600"/>
      <c r="L7" s="600"/>
      <c r="M7" s="600"/>
      <c r="N7" s="600"/>
      <c r="O7" s="600"/>
      <c r="P7" s="600"/>
      <c r="Q7" s="600"/>
      <c r="R7" s="600"/>
      <c r="S7" s="600"/>
      <c r="T7" s="600"/>
      <c r="U7" s="600"/>
      <c r="V7" s="600"/>
      <c r="W7" s="601"/>
    </row>
    <row r="8" spans="1:23">
      <c r="A8" s="600"/>
      <c r="B8" s="601"/>
      <c r="C8" s="601"/>
      <c r="D8" s="601"/>
      <c r="E8" s="600"/>
      <c r="F8" s="600"/>
      <c r="G8" s="600"/>
      <c r="H8" s="600"/>
      <c r="I8" s="600"/>
      <c r="J8" s="600"/>
      <c r="K8" s="600"/>
      <c r="L8" s="600"/>
      <c r="M8" s="600"/>
      <c r="N8" s="600"/>
      <c r="O8" s="600"/>
      <c r="P8" s="600"/>
      <c r="Q8" s="600"/>
      <c r="R8" s="600"/>
      <c r="S8" s="600"/>
      <c r="T8" s="600"/>
      <c r="U8" s="600"/>
      <c r="V8" s="600"/>
      <c r="W8" s="601"/>
    </row>
    <row r="9" spans="1:23">
      <c r="A9" s="600"/>
      <c r="B9" s="601"/>
      <c r="C9" s="601"/>
      <c r="D9" s="601"/>
      <c r="E9" s="600"/>
      <c r="F9" s="600"/>
      <c r="G9" s="600"/>
      <c r="H9" s="600"/>
      <c r="I9" s="600"/>
      <c r="J9" s="600"/>
      <c r="K9" s="600"/>
      <c r="L9" s="600"/>
      <c r="M9" s="600"/>
      <c r="N9" s="600"/>
      <c r="O9" s="600"/>
      <c r="P9" s="600"/>
      <c r="Q9" s="600"/>
      <c r="R9" s="600"/>
      <c r="S9" s="600"/>
      <c r="T9" s="600"/>
      <c r="U9" s="600"/>
      <c r="V9" s="600"/>
      <c r="W9" s="601"/>
    </row>
    <row r="10" spans="1:23">
      <c r="A10" s="600"/>
      <c r="B10" s="601"/>
      <c r="C10" s="601"/>
      <c r="D10" s="601"/>
      <c r="E10" s="600"/>
      <c r="F10" s="600"/>
      <c r="G10" s="600"/>
      <c r="H10" s="600"/>
      <c r="I10" s="600"/>
      <c r="J10" s="600"/>
      <c r="K10" s="600"/>
      <c r="L10" s="600"/>
      <c r="M10" s="600"/>
      <c r="N10" s="600"/>
      <c r="O10" s="600"/>
      <c r="P10" s="600"/>
      <c r="Q10" s="600"/>
      <c r="R10" s="600"/>
      <c r="S10" s="600"/>
      <c r="T10" s="600"/>
      <c r="U10" s="600"/>
      <c r="V10" s="600"/>
      <c r="W10" s="601"/>
    </row>
    <row r="11" spans="1:23">
      <c r="A11" s="600"/>
      <c r="B11" s="601"/>
      <c r="C11" s="601"/>
      <c r="D11" s="601"/>
      <c r="E11" s="600"/>
      <c r="F11" s="600"/>
      <c r="G11" s="600"/>
      <c r="H11" s="600"/>
      <c r="I11" s="600"/>
      <c r="J11" s="600"/>
      <c r="K11" s="600"/>
      <c r="L11" s="600"/>
      <c r="M11" s="600"/>
      <c r="N11" s="600"/>
      <c r="O11" s="600"/>
      <c r="P11" s="600"/>
      <c r="Q11" s="600"/>
      <c r="R11" s="600"/>
      <c r="S11" s="600"/>
      <c r="T11" s="600"/>
      <c r="U11" s="600"/>
      <c r="V11" s="600"/>
      <c r="W11" s="601"/>
    </row>
    <row r="12" spans="1:23">
      <c r="A12" s="600"/>
      <c r="B12" s="601"/>
      <c r="C12" s="601"/>
      <c r="D12" s="601"/>
      <c r="E12" s="600"/>
      <c r="F12" s="600"/>
      <c r="G12" s="600"/>
      <c r="H12" s="600"/>
      <c r="I12" s="600"/>
      <c r="J12" s="600"/>
      <c r="K12" s="600"/>
      <c r="L12" s="600"/>
      <c r="M12" s="600"/>
      <c r="N12" s="600"/>
      <c r="O12" s="600"/>
      <c r="P12" s="600"/>
      <c r="Q12" s="600"/>
      <c r="R12" s="600"/>
      <c r="S12" s="600"/>
      <c r="T12" s="600"/>
      <c r="U12" s="600"/>
      <c r="V12" s="600"/>
      <c r="W12" s="601"/>
    </row>
    <row r="13" spans="1:23">
      <c r="A13" s="600"/>
      <c r="B13" s="601"/>
      <c r="C13" s="601"/>
      <c r="D13" s="601"/>
      <c r="E13" s="600"/>
      <c r="F13" s="600"/>
      <c r="G13" s="600"/>
      <c r="H13" s="600"/>
      <c r="I13" s="600"/>
      <c r="J13" s="600"/>
      <c r="K13" s="600"/>
      <c r="L13" s="600"/>
      <c r="M13" s="600"/>
      <c r="N13" s="600"/>
      <c r="O13" s="600"/>
      <c r="P13" s="600"/>
      <c r="Q13" s="600"/>
      <c r="R13" s="600"/>
      <c r="S13" s="600"/>
      <c r="T13" s="600"/>
      <c r="U13" s="600"/>
      <c r="V13" s="600"/>
      <c r="W13" s="601"/>
    </row>
    <row r="14" spans="1:23">
      <c r="A14" s="600"/>
      <c r="B14" s="601"/>
      <c r="C14" s="601"/>
      <c r="D14" s="601"/>
      <c r="E14" s="600"/>
      <c r="F14" s="600"/>
      <c r="G14" s="600"/>
      <c r="H14" s="600"/>
      <c r="I14" s="600"/>
      <c r="J14" s="600"/>
      <c r="K14" s="600"/>
      <c r="L14" s="600"/>
      <c r="M14" s="600"/>
      <c r="N14" s="600"/>
      <c r="O14" s="600"/>
      <c r="P14" s="600"/>
      <c r="Q14" s="600"/>
      <c r="R14" s="600"/>
      <c r="S14" s="600"/>
      <c r="T14" s="600"/>
      <c r="U14" s="600"/>
      <c r="V14" s="600"/>
      <c r="W14" s="601"/>
    </row>
    <row r="15" spans="1:23">
      <c r="A15" s="600"/>
      <c r="B15" s="601"/>
      <c r="C15" s="601"/>
      <c r="D15" s="601"/>
      <c r="E15" s="600"/>
      <c r="F15" s="600"/>
      <c r="G15" s="600"/>
      <c r="H15" s="600"/>
      <c r="I15" s="600"/>
      <c r="J15" s="600"/>
      <c r="K15" s="600"/>
      <c r="L15" s="600"/>
      <c r="M15" s="600"/>
      <c r="N15" s="600"/>
      <c r="O15" s="600"/>
      <c r="P15" s="600"/>
      <c r="Q15" s="600"/>
      <c r="R15" s="600"/>
      <c r="S15" s="600"/>
      <c r="T15" s="600"/>
      <c r="U15" s="600"/>
      <c r="V15" s="600"/>
      <c r="W15" s="601"/>
    </row>
    <row r="16" spans="1:23">
      <c r="A16" s="600"/>
      <c r="B16" s="601"/>
      <c r="C16" s="601"/>
      <c r="D16" s="601"/>
      <c r="E16" s="600"/>
      <c r="F16" s="600"/>
      <c r="G16" s="600"/>
      <c r="H16" s="600"/>
      <c r="I16" s="600"/>
      <c r="J16" s="600"/>
      <c r="K16" s="600"/>
      <c r="L16" s="600"/>
      <c r="M16" s="600"/>
      <c r="N16" s="600"/>
      <c r="O16" s="600"/>
      <c r="P16" s="600"/>
      <c r="Q16" s="600"/>
      <c r="R16" s="600"/>
      <c r="S16" s="600"/>
      <c r="T16" s="600"/>
      <c r="U16" s="600"/>
      <c r="V16" s="600"/>
      <c r="W16" s="601"/>
    </row>
    <row r="17" spans="1:23">
      <c r="A17" s="600"/>
      <c r="B17" s="601"/>
      <c r="C17" s="601"/>
      <c r="D17" s="601"/>
      <c r="E17" s="600"/>
      <c r="F17" s="600"/>
      <c r="G17" s="600"/>
      <c r="H17" s="600"/>
      <c r="I17" s="600"/>
      <c r="J17" s="600"/>
      <c r="K17" s="600"/>
      <c r="L17" s="600"/>
      <c r="M17" s="600"/>
      <c r="N17" s="600"/>
      <c r="O17" s="600"/>
      <c r="P17" s="600"/>
      <c r="Q17" s="600"/>
      <c r="R17" s="600"/>
      <c r="S17" s="600"/>
      <c r="T17" s="600"/>
      <c r="U17" s="600"/>
      <c r="V17" s="600"/>
      <c r="W17" s="601"/>
    </row>
    <row r="18" spans="1:23">
      <c r="A18" s="600"/>
      <c r="B18" s="601"/>
      <c r="C18" s="601"/>
      <c r="D18" s="601"/>
      <c r="E18" s="600"/>
      <c r="F18" s="600"/>
      <c r="G18" s="600"/>
      <c r="H18" s="600"/>
      <c r="I18" s="600"/>
      <c r="J18" s="600"/>
      <c r="K18" s="600"/>
      <c r="L18" s="600"/>
      <c r="M18" s="600"/>
      <c r="N18" s="600"/>
      <c r="O18" s="600"/>
      <c r="P18" s="600"/>
      <c r="Q18" s="600"/>
      <c r="R18" s="600"/>
      <c r="S18" s="600"/>
      <c r="T18" s="600"/>
      <c r="U18" s="600"/>
      <c r="V18" s="600"/>
      <c r="W18" s="601"/>
    </row>
    <row r="19" spans="1:23">
      <c r="A19" s="600"/>
      <c r="B19" s="601"/>
      <c r="C19" s="601"/>
      <c r="D19" s="601"/>
      <c r="E19" s="600"/>
      <c r="F19" s="600"/>
      <c r="G19" s="600"/>
      <c r="H19" s="600"/>
      <c r="I19" s="600"/>
      <c r="J19" s="600"/>
      <c r="K19" s="600"/>
      <c r="L19" s="600"/>
      <c r="M19" s="600"/>
      <c r="N19" s="600"/>
      <c r="O19" s="600"/>
      <c r="P19" s="600"/>
      <c r="Q19" s="600"/>
      <c r="R19" s="600"/>
      <c r="S19" s="600"/>
      <c r="T19" s="600"/>
      <c r="U19" s="600"/>
      <c r="V19" s="600"/>
      <c r="W19" s="601"/>
    </row>
    <row r="20" spans="1:23">
      <c r="A20" s="600"/>
      <c r="B20" s="601"/>
      <c r="C20" s="601"/>
      <c r="D20" s="601"/>
      <c r="E20" s="600"/>
      <c r="F20" s="600"/>
      <c r="G20" s="600"/>
      <c r="H20" s="600"/>
      <c r="I20" s="600"/>
      <c r="J20" s="600"/>
      <c r="K20" s="600"/>
      <c r="L20" s="600"/>
      <c r="M20" s="600"/>
      <c r="N20" s="600"/>
      <c r="O20" s="600"/>
      <c r="P20" s="600"/>
      <c r="Q20" s="600"/>
      <c r="R20" s="600"/>
      <c r="S20" s="600"/>
      <c r="T20" s="600"/>
      <c r="U20" s="600"/>
      <c r="V20" s="600"/>
      <c r="W20" s="601"/>
    </row>
    <row r="21" spans="1:23" ht="30.75" customHeight="1">
      <c r="A21" s="600"/>
      <c r="B21" s="601"/>
      <c r="C21" s="601"/>
      <c r="D21" s="601"/>
      <c r="E21" s="600"/>
      <c r="F21" s="600"/>
      <c r="G21" s="600"/>
      <c r="H21" s="600"/>
      <c r="I21" s="600"/>
      <c r="J21" s="600"/>
      <c r="K21" s="602"/>
      <c r="L21" s="602"/>
      <c r="M21" s="602"/>
      <c r="N21" s="602"/>
      <c r="O21" s="602"/>
      <c r="P21" s="602"/>
      <c r="Q21" s="602"/>
      <c r="R21" s="602"/>
      <c r="S21" s="602"/>
      <c r="T21" s="602"/>
      <c r="U21" s="602"/>
      <c r="V21" s="600"/>
      <c r="W21" s="601"/>
    </row>
    <row r="22" spans="1:23" ht="11.25" customHeight="1">
      <c r="A22" s="600"/>
      <c r="B22" s="601"/>
      <c r="C22" s="601"/>
      <c r="D22" s="601"/>
      <c r="E22" s="600"/>
      <c r="F22" s="600"/>
      <c r="G22" s="600"/>
      <c r="H22" s="600"/>
      <c r="I22" s="600"/>
      <c r="J22" s="600"/>
      <c r="K22" s="602"/>
      <c r="L22" s="602"/>
      <c r="M22" s="602"/>
      <c r="N22" s="602"/>
      <c r="O22" s="602"/>
      <c r="P22" s="602"/>
      <c r="Q22" s="602"/>
      <c r="R22" s="602"/>
      <c r="S22" s="602"/>
      <c r="T22" s="602"/>
      <c r="U22" s="602"/>
      <c r="V22" s="600"/>
      <c r="W22" s="601"/>
    </row>
    <row r="23" spans="1:23" ht="11.25" customHeight="1">
      <c r="A23" s="600"/>
      <c r="B23" s="601"/>
      <c r="C23" s="601"/>
      <c r="D23" s="601"/>
      <c r="E23" s="600"/>
      <c r="F23" s="600"/>
      <c r="G23" s="600"/>
      <c r="H23" s="600"/>
      <c r="I23" s="600"/>
      <c r="J23" s="600"/>
      <c r="K23" s="602"/>
      <c r="L23" s="602"/>
      <c r="M23" s="602"/>
      <c r="N23" s="602"/>
      <c r="O23" s="602"/>
      <c r="P23" s="602"/>
      <c r="Q23" s="602"/>
      <c r="R23" s="602"/>
      <c r="S23" s="602"/>
      <c r="T23" s="602"/>
      <c r="U23" s="602"/>
      <c r="V23" s="600"/>
      <c r="W23" s="601"/>
    </row>
    <row r="24" spans="1:23" ht="11.25" customHeight="1">
      <c r="A24" s="600"/>
      <c r="B24" s="601"/>
      <c r="C24" s="601"/>
      <c r="D24" s="601"/>
      <c r="E24" s="600"/>
      <c r="F24" s="600"/>
      <c r="G24" s="600"/>
      <c r="H24" s="600"/>
      <c r="I24" s="600"/>
      <c r="J24" s="600"/>
      <c r="K24" s="602"/>
      <c r="L24" s="602"/>
      <c r="M24" s="602"/>
      <c r="N24" s="602"/>
      <c r="O24" s="602"/>
      <c r="P24" s="602"/>
      <c r="Q24" s="602"/>
      <c r="R24" s="602"/>
      <c r="S24" s="602"/>
      <c r="T24" s="602"/>
      <c r="U24" s="602"/>
      <c r="V24" s="600"/>
      <c r="W24" s="601"/>
    </row>
    <row r="25" spans="1:23">
      <c r="A25" s="600"/>
      <c r="B25" s="601"/>
      <c r="C25" s="601"/>
      <c r="D25" s="601"/>
      <c r="E25" s="600"/>
      <c r="F25" s="600"/>
      <c r="G25" s="600"/>
      <c r="H25" s="600"/>
      <c r="I25" s="600"/>
      <c r="J25" s="600"/>
      <c r="K25" s="600"/>
      <c r="L25" s="600"/>
      <c r="M25" s="600"/>
      <c r="N25" s="600"/>
      <c r="O25" s="600"/>
      <c r="P25" s="600"/>
      <c r="Q25" s="600"/>
      <c r="R25" s="600"/>
      <c r="S25" s="600"/>
      <c r="T25" s="600"/>
      <c r="U25" s="600"/>
      <c r="V25" s="600"/>
      <c r="W25" s="601"/>
    </row>
    <row r="26" spans="1:23">
      <c r="A26" s="601"/>
      <c r="B26" s="601"/>
      <c r="C26" s="601"/>
      <c r="D26" s="600"/>
      <c r="E26" s="600"/>
      <c r="F26" s="600"/>
      <c r="G26" s="600"/>
      <c r="H26" s="600"/>
      <c r="I26" s="600"/>
      <c r="J26" s="600"/>
      <c r="K26" s="600"/>
      <c r="L26" s="600"/>
      <c r="M26" s="600"/>
      <c r="N26" s="600"/>
      <c r="O26" s="600"/>
      <c r="P26" s="600"/>
      <c r="Q26" s="600"/>
      <c r="R26" s="600"/>
      <c r="S26" s="600"/>
      <c r="T26" s="600"/>
      <c r="U26" s="600"/>
      <c r="V26" s="601"/>
      <c r="W26" s="601"/>
    </row>
    <row r="27" spans="1:23" ht="15" customHeight="1">
      <c r="A27" s="601"/>
      <c r="B27" s="601"/>
      <c r="C27" s="601"/>
      <c r="D27" s="600"/>
      <c r="E27" s="600"/>
      <c r="F27" s="600"/>
      <c r="G27" s="600"/>
      <c r="H27" s="600"/>
      <c r="I27" s="600"/>
      <c r="J27" s="600"/>
      <c r="K27" s="600"/>
      <c r="L27" s="600"/>
      <c r="M27" s="600"/>
      <c r="N27" s="600"/>
      <c r="O27" s="600"/>
      <c r="P27" s="600"/>
      <c r="Q27" s="600"/>
      <c r="R27" s="600"/>
      <c r="S27" s="600"/>
      <c r="T27" s="600"/>
      <c r="U27" s="600"/>
      <c r="V27" s="601"/>
      <c r="W27" s="601"/>
    </row>
    <row r="28" spans="1:23" ht="61.5" customHeight="1">
      <c r="A28" s="601"/>
      <c r="B28" s="601"/>
      <c r="C28" s="601"/>
      <c r="D28" s="600"/>
      <c r="E28" s="600"/>
      <c r="F28" s="600"/>
      <c r="G28" s="600"/>
      <c r="H28" s="600"/>
      <c r="I28" s="600"/>
      <c r="J28" s="600"/>
      <c r="K28" s="600"/>
      <c r="L28" s="600"/>
      <c r="M28" s="600"/>
      <c r="N28" s="600"/>
      <c r="O28" s="600"/>
      <c r="P28" s="600"/>
      <c r="Q28" s="600"/>
      <c r="R28" s="600"/>
      <c r="S28" s="600"/>
      <c r="T28" s="600"/>
      <c r="U28" s="600"/>
      <c r="V28" s="601"/>
      <c r="W28" s="601"/>
    </row>
    <row r="29" spans="1:23" ht="11.25" customHeight="1">
      <c r="A29" s="600"/>
      <c r="B29" s="601"/>
      <c r="C29" s="601"/>
      <c r="D29" s="601"/>
      <c r="E29" s="600"/>
      <c r="F29" s="600"/>
      <c r="G29" s="600"/>
      <c r="H29" s="600"/>
      <c r="I29" s="600"/>
      <c r="J29" s="600"/>
      <c r="K29" s="602"/>
      <c r="L29" s="602"/>
      <c r="M29" s="602"/>
      <c r="N29" s="602"/>
      <c r="O29" s="602"/>
      <c r="P29" s="602"/>
      <c r="Q29" s="602"/>
      <c r="R29" s="602"/>
      <c r="S29" s="602"/>
      <c r="T29" s="602"/>
      <c r="U29" s="602"/>
      <c r="V29" s="600"/>
      <c r="W29" s="601"/>
    </row>
    <row r="30" spans="1:23" ht="21" customHeight="1">
      <c r="A30" s="600"/>
      <c r="B30" s="607" t="s">
        <v>2560</v>
      </c>
      <c r="C30" s="617"/>
      <c r="D30" s="617"/>
      <c r="E30" s="611"/>
      <c r="F30" s="611"/>
      <c r="G30" s="611"/>
      <c r="H30" s="611"/>
      <c r="I30" s="611"/>
      <c r="J30" s="607" t="s">
        <v>2567</v>
      </c>
      <c r="K30" s="610"/>
      <c r="L30" s="602"/>
      <c r="M30" s="602"/>
      <c r="N30" s="602"/>
      <c r="O30" s="602"/>
      <c r="P30" s="602"/>
      <c r="Q30" s="602"/>
      <c r="R30" s="602"/>
      <c r="S30" s="602"/>
      <c r="T30" s="602"/>
      <c r="U30" s="602"/>
      <c r="V30" s="600"/>
      <c r="W30" s="601"/>
    </row>
    <row r="31" spans="1:23" ht="6" customHeight="1">
      <c r="A31" s="600"/>
      <c r="B31" s="601"/>
      <c r="C31" s="601"/>
      <c r="D31" s="601"/>
      <c r="E31" s="600"/>
      <c r="F31" s="600"/>
      <c r="G31" s="600"/>
      <c r="H31" s="600"/>
      <c r="I31" s="600"/>
      <c r="J31" s="602"/>
      <c r="K31" s="602"/>
      <c r="L31" s="602"/>
      <c r="M31" s="602"/>
      <c r="N31" s="602"/>
      <c r="O31" s="602"/>
      <c r="P31" s="602"/>
      <c r="Q31" s="602"/>
      <c r="R31" s="602"/>
      <c r="S31" s="602"/>
      <c r="T31" s="602"/>
      <c r="U31" s="602"/>
      <c r="V31" s="600"/>
      <c r="W31" s="601"/>
    </row>
    <row r="32" spans="1:23" ht="13.5" customHeight="1">
      <c r="A32" s="600"/>
      <c r="B32" s="614" t="s">
        <v>2561</v>
      </c>
      <c r="C32" s="614"/>
      <c r="D32" s="614"/>
      <c r="E32" s="614"/>
      <c r="F32" s="614"/>
      <c r="G32" s="614"/>
      <c r="H32" s="614"/>
      <c r="I32" s="614"/>
      <c r="J32" s="614" t="s">
        <v>2564</v>
      </c>
      <c r="K32" s="615"/>
      <c r="L32" s="612"/>
      <c r="M32" s="612"/>
      <c r="N32" s="612"/>
      <c r="O32" s="602"/>
      <c r="P32" s="602"/>
      <c r="Q32" s="602"/>
      <c r="R32" s="602"/>
      <c r="S32" s="602"/>
      <c r="T32" s="602"/>
      <c r="U32" s="602"/>
      <c r="V32" s="600"/>
      <c r="W32" s="601"/>
    </row>
    <row r="33" spans="1:23" ht="21">
      <c r="A33" s="600"/>
      <c r="B33" s="614" t="s">
        <v>2562</v>
      </c>
      <c r="C33" s="614"/>
      <c r="D33" s="614"/>
      <c r="E33" s="614"/>
      <c r="F33" s="614"/>
      <c r="G33" s="614"/>
      <c r="H33" s="614"/>
      <c r="I33" s="614"/>
      <c r="J33" s="614" t="s">
        <v>2565</v>
      </c>
      <c r="K33" s="616"/>
      <c r="L33" s="613"/>
      <c r="M33" s="613"/>
      <c r="N33" s="613"/>
      <c r="O33" s="600"/>
      <c r="P33" s="600"/>
      <c r="Q33" s="600"/>
      <c r="R33" s="600"/>
      <c r="S33" s="600"/>
      <c r="T33" s="600"/>
      <c r="U33" s="600"/>
      <c r="V33" s="600"/>
      <c r="W33" s="601"/>
    </row>
    <row r="34" spans="1:23" ht="21">
      <c r="A34" s="600"/>
      <c r="B34" s="614" t="s">
        <v>2563</v>
      </c>
      <c r="C34" s="614"/>
      <c r="D34" s="614"/>
      <c r="E34" s="614"/>
      <c r="F34" s="614"/>
      <c r="G34" s="614"/>
      <c r="H34" s="614"/>
      <c r="I34" s="614"/>
      <c r="J34" s="614" t="s">
        <v>2566</v>
      </c>
      <c r="K34" s="616"/>
      <c r="L34" s="613"/>
      <c r="M34" s="613"/>
      <c r="N34" s="613"/>
      <c r="O34" s="600"/>
      <c r="P34" s="600"/>
      <c r="Q34" s="600"/>
      <c r="R34" s="600"/>
      <c r="S34" s="600"/>
      <c r="T34" s="600"/>
      <c r="U34" s="600"/>
      <c r="V34" s="600"/>
      <c r="W34" s="601"/>
    </row>
    <row r="35" spans="1:23" ht="15">
      <c r="A35" s="601"/>
      <c r="B35" s="608"/>
      <c r="C35" s="608"/>
      <c r="D35" s="609"/>
      <c r="E35" s="609"/>
      <c r="F35" s="609"/>
      <c r="G35" s="609"/>
      <c r="H35" s="609"/>
      <c r="I35" s="609"/>
      <c r="J35" s="609"/>
      <c r="K35" s="609"/>
      <c r="L35" s="600"/>
      <c r="M35" s="600"/>
      <c r="N35" s="600"/>
      <c r="O35" s="600"/>
      <c r="P35" s="600"/>
      <c r="Q35" s="600"/>
      <c r="R35" s="600"/>
      <c r="S35" s="600"/>
      <c r="T35" s="600"/>
      <c r="U35" s="600"/>
      <c r="V35" s="601"/>
      <c r="W35" s="601"/>
    </row>
    <row r="36" spans="1:23">
      <c r="A36" s="601"/>
      <c r="B36" s="601"/>
      <c r="C36" s="601"/>
      <c r="D36" s="600"/>
      <c r="E36" s="600"/>
      <c r="F36" s="600"/>
      <c r="G36" s="600"/>
      <c r="H36" s="600"/>
      <c r="I36" s="600"/>
      <c r="J36" s="600"/>
      <c r="K36" s="600"/>
      <c r="L36" s="600"/>
      <c r="M36" s="600"/>
      <c r="N36" s="600"/>
      <c r="O36" s="600"/>
      <c r="P36" s="600"/>
      <c r="Q36" s="600"/>
      <c r="R36" s="600"/>
      <c r="S36" s="600"/>
      <c r="T36" s="600"/>
      <c r="U36" s="600"/>
      <c r="V36" s="601"/>
      <c r="W36" s="601"/>
    </row>
    <row r="37" spans="1:23" ht="17.25">
      <c r="A37" s="601"/>
      <c r="B37" s="601"/>
      <c r="C37" s="605" t="s">
        <v>2599</v>
      </c>
      <c r="D37" s="600"/>
      <c r="E37" s="600"/>
      <c r="F37" s="600"/>
      <c r="G37" s="600"/>
      <c r="H37" s="600"/>
      <c r="I37" s="600"/>
      <c r="J37" s="600"/>
      <c r="K37" s="606" t="s">
        <v>2598</v>
      </c>
      <c r="L37" s="600"/>
      <c r="M37" s="600"/>
      <c r="N37" s="600"/>
      <c r="O37" s="600"/>
      <c r="P37" s="600"/>
      <c r="Q37" s="600"/>
      <c r="R37" s="600"/>
      <c r="S37" s="606" t="s">
        <v>2559</v>
      </c>
      <c r="T37" s="600"/>
      <c r="U37" s="600"/>
      <c r="V37" s="601"/>
      <c r="W37" s="601"/>
    </row>
    <row r="38" spans="1:23" ht="23.25">
      <c r="A38" s="601"/>
      <c r="B38" s="603"/>
      <c r="C38" s="601"/>
      <c r="D38" s="600"/>
      <c r="E38" s="600"/>
      <c r="F38" s="600"/>
      <c r="G38" s="600"/>
      <c r="H38" s="600"/>
      <c r="I38" s="600"/>
      <c r="J38" s="600"/>
      <c r="K38" s="600"/>
      <c r="L38" s="600"/>
      <c r="M38" s="600"/>
      <c r="N38" s="600"/>
      <c r="O38" s="600"/>
      <c r="P38" s="600"/>
      <c r="Q38" s="600"/>
      <c r="R38" s="600"/>
      <c r="S38" s="600"/>
      <c r="T38" s="600"/>
      <c r="U38" s="600"/>
      <c r="V38" s="601"/>
      <c r="W38" s="601"/>
    </row>
    <row r="39" spans="1:23">
      <c r="A39" s="600"/>
      <c r="B39" s="601"/>
      <c r="C39" s="601"/>
      <c r="D39" s="601"/>
      <c r="E39" s="600"/>
      <c r="F39" s="600"/>
      <c r="G39" s="600"/>
      <c r="H39" s="600"/>
      <c r="I39" s="600"/>
      <c r="J39" s="600"/>
      <c r="K39" s="600"/>
      <c r="L39" s="600"/>
      <c r="M39" s="600"/>
      <c r="N39" s="600"/>
      <c r="O39" s="600"/>
      <c r="P39" s="600"/>
      <c r="Q39" s="600"/>
      <c r="R39" s="600"/>
      <c r="S39" s="600"/>
      <c r="T39" s="600"/>
      <c r="U39" s="600"/>
      <c r="V39" s="600"/>
      <c r="W39" s="601"/>
    </row>
    <row r="40" spans="1:23">
      <c r="A40" s="600"/>
      <c r="B40" s="601"/>
      <c r="C40" s="601"/>
      <c r="D40" s="601"/>
      <c r="E40" s="600"/>
      <c r="F40" s="600"/>
      <c r="G40" s="600"/>
      <c r="H40" s="600"/>
      <c r="I40" s="600"/>
      <c r="J40" s="600"/>
      <c r="K40" s="600"/>
      <c r="L40" s="600"/>
      <c r="M40" s="600"/>
      <c r="N40" s="600"/>
      <c r="O40" s="600"/>
      <c r="P40" s="600"/>
      <c r="Q40" s="600"/>
      <c r="R40" s="600"/>
      <c r="S40" s="600"/>
      <c r="T40" s="600"/>
      <c r="U40" s="600"/>
      <c r="V40" s="600"/>
      <c r="W40" s="601"/>
    </row>
    <row r="41" spans="1:23">
      <c r="A41" s="601"/>
      <c r="B41" s="601"/>
      <c r="C41" s="601"/>
      <c r="D41" s="600"/>
      <c r="E41" s="600"/>
      <c r="F41" s="600"/>
      <c r="G41" s="600"/>
      <c r="H41" s="600"/>
      <c r="I41" s="600"/>
      <c r="J41" s="600"/>
      <c r="K41" s="600"/>
      <c r="L41" s="600"/>
      <c r="M41" s="600"/>
      <c r="N41" s="600"/>
      <c r="O41" s="600"/>
      <c r="P41" s="600"/>
      <c r="Q41" s="600"/>
      <c r="R41" s="600"/>
      <c r="S41" s="600"/>
      <c r="T41" s="600"/>
      <c r="U41" s="600"/>
      <c r="V41" s="601"/>
      <c r="W41" s="601"/>
    </row>
    <row r="42" spans="1:23">
      <c r="A42" s="600"/>
      <c r="B42" s="601"/>
      <c r="C42" s="601"/>
      <c r="D42" s="601"/>
      <c r="E42" s="600"/>
      <c r="F42" s="600"/>
      <c r="G42" s="600"/>
      <c r="H42" s="600"/>
      <c r="I42" s="600"/>
      <c r="J42" s="600"/>
      <c r="K42" s="600"/>
      <c r="L42" s="600"/>
      <c r="M42" s="600"/>
      <c r="N42" s="600"/>
      <c r="O42" s="600"/>
      <c r="P42" s="600"/>
      <c r="Q42" s="600"/>
      <c r="R42" s="600"/>
      <c r="S42" s="600"/>
      <c r="T42" s="600"/>
      <c r="U42" s="600"/>
      <c r="V42" s="600"/>
      <c r="W42" s="601"/>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B937-1DE0-40A7-9109-89E988DCE0C0}">
  <sheetPr codeName="Sheet15"/>
  <dimension ref="A2:AL776"/>
  <sheetViews>
    <sheetView workbookViewId="0">
      <selection activeCell="R25" sqref="R25"/>
    </sheetView>
  </sheetViews>
  <sheetFormatPr defaultRowHeight="18.75"/>
  <sheetData>
    <row r="2" spans="1:38">
      <c r="B2" t="s">
        <v>1362</v>
      </c>
      <c r="C2" t="s">
        <v>2742</v>
      </c>
      <c r="D2" t="s">
        <v>4293</v>
      </c>
      <c r="E2" t="s">
        <v>4294</v>
      </c>
      <c r="F2" t="s">
        <v>4295</v>
      </c>
      <c r="G2" t="s">
        <v>4296</v>
      </c>
      <c r="H2" t="s">
        <v>4297</v>
      </c>
      <c r="I2" t="s">
        <v>2743</v>
      </c>
      <c r="J2" t="s">
        <v>2744</v>
      </c>
      <c r="K2" t="s">
        <v>2745</v>
      </c>
      <c r="L2" t="s">
        <v>4316</v>
      </c>
      <c r="M2" t="s">
        <v>4317</v>
      </c>
      <c r="N2" t="s">
        <v>4318</v>
      </c>
      <c r="O2" t="s">
        <v>4319</v>
      </c>
      <c r="P2" t="s">
        <v>4320</v>
      </c>
      <c r="Q2" t="s">
        <v>4321</v>
      </c>
      <c r="R2" t="s">
        <v>4284</v>
      </c>
      <c r="S2" t="s">
        <v>4363</v>
      </c>
      <c r="T2" t="s">
        <v>4364</v>
      </c>
      <c r="U2" t="s">
        <v>4365</v>
      </c>
      <c r="V2" t="s">
        <v>4366</v>
      </c>
      <c r="W2" t="s">
        <v>4367</v>
      </c>
      <c r="X2" t="s">
        <v>4368</v>
      </c>
      <c r="Y2" t="s">
        <v>4369</v>
      </c>
      <c r="Z2" t="s">
        <v>4370</v>
      </c>
      <c r="AA2" t="s">
        <v>4371</v>
      </c>
      <c r="AB2" t="s">
        <v>4287</v>
      </c>
      <c r="AC2" t="s">
        <v>4372</v>
      </c>
      <c r="AD2" t="s">
        <v>4373</v>
      </c>
      <c r="AE2" t="s">
        <v>4374</v>
      </c>
      <c r="AF2" t="s">
        <v>4375</v>
      </c>
      <c r="AG2" t="s">
        <v>4376</v>
      </c>
      <c r="AH2" t="s">
        <v>4377</v>
      </c>
      <c r="AI2" t="s">
        <v>4378</v>
      </c>
      <c r="AJ2" t="s">
        <v>464</v>
      </c>
      <c r="AK2" t="s">
        <v>4379</v>
      </c>
      <c r="AL2" t="s">
        <v>4380</v>
      </c>
    </row>
    <row r="3" spans="1:38">
      <c r="A3" s="568">
        <v>43832</v>
      </c>
      <c r="B3">
        <v>1.7515772893156865E-4</v>
      </c>
      <c r="C3">
        <v>1.3163673059479741E-4</v>
      </c>
      <c r="D3">
        <v>1.4351922123978511E-4</v>
      </c>
      <c r="E3">
        <v>2.2997922670087156E-4</v>
      </c>
      <c r="F3">
        <v>6.2869040118096464E-5</v>
      </c>
      <c r="G3">
        <v>2.5590778696260585E-4</v>
      </c>
      <c r="H3">
        <v>2.1318436531969631E-4</v>
      </c>
      <c r="I3">
        <v>2.6889369325044932E-4</v>
      </c>
      <c r="J3">
        <v>-6.3126994705564599E-5</v>
      </c>
      <c r="K3">
        <v>-1.7820031986304219E-4</v>
      </c>
      <c r="L3">
        <v>4.2097989219835874E-4</v>
      </c>
      <c r="M3">
        <v>4.3922422909781211E-4</v>
      </c>
      <c r="N3">
        <v>4.4468128528207806E-4</v>
      </c>
      <c r="O3">
        <v>5.4612392438491142E-4</v>
      </c>
      <c r="P3">
        <v>5.3573019985209136E-4</v>
      </c>
      <c r="Q3">
        <v>5.4958248556946643E-4</v>
      </c>
      <c r="R3">
        <v>6.9857636528958267E-4</v>
      </c>
      <c r="S3">
        <v>6.079818333818432E-3</v>
      </c>
      <c r="T3">
        <v>2.2851854088619117E-3</v>
      </c>
      <c r="U3">
        <v>3.1964974824150172E-3</v>
      </c>
      <c r="V3">
        <v>5.4016745990714821E-3</v>
      </c>
      <c r="W3">
        <v>5.0145823151050983E-3</v>
      </c>
      <c r="X3">
        <v>8.5818376172985822E-4</v>
      </c>
      <c r="Y3">
        <v>5.4016745990714821E-3</v>
      </c>
      <c r="Z3">
        <v>7.0637312982635425E-3</v>
      </c>
      <c r="AA3">
        <v>1.2295305435972015E-3</v>
      </c>
      <c r="AC3">
        <v>2.5317068657351394E-2</v>
      </c>
      <c r="AD3">
        <v>2.670356216692249E-2</v>
      </c>
      <c r="AE3">
        <v>2.9194700568717424E-2</v>
      </c>
      <c r="AF3">
        <v>1.8734132713698504E-2</v>
      </c>
      <c r="AG3">
        <v>1.2393480278855007E-2</v>
      </c>
      <c r="AH3">
        <v>1.7721948060145973E-2</v>
      </c>
      <c r="AI3">
        <v>1.7721948060145973E-2</v>
      </c>
      <c r="AL3">
        <v>1.768816026516995E-2</v>
      </c>
    </row>
    <row r="4" spans="1:38">
      <c r="A4" s="568">
        <v>43833</v>
      </c>
      <c r="B4">
        <v>1.7515772893156865E-4</v>
      </c>
      <c r="C4">
        <v>1.773307652526146E-4</v>
      </c>
      <c r="D4">
        <v>1.5649027162001339E-4</v>
      </c>
      <c r="E4">
        <v>2.2997922670087156E-4</v>
      </c>
      <c r="F4">
        <v>1.734525781569296E-4</v>
      </c>
      <c r="G4">
        <v>1.5376482343798514E-4</v>
      </c>
      <c r="H4">
        <v>2.124139650945267E-4</v>
      </c>
      <c r="I4">
        <v>2.6889369325044932E-4</v>
      </c>
      <c r="J4">
        <v>-3.9090390080431803E-7</v>
      </c>
      <c r="K4">
        <v>1.7512005145103871E-4</v>
      </c>
      <c r="L4">
        <v>4.2097989219835874E-4</v>
      </c>
      <c r="M4">
        <v>4.3922422909781211E-4</v>
      </c>
      <c r="N4">
        <v>4.4468128528207806E-4</v>
      </c>
      <c r="O4">
        <v>5.4612392438491142E-4</v>
      </c>
      <c r="P4">
        <v>5.3573019985209136E-4</v>
      </c>
      <c r="Q4">
        <v>5.4958248556946643E-4</v>
      </c>
      <c r="R4">
        <v>4.3671281700019549E-5</v>
      </c>
      <c r="S4">
        <v>-3.9386943659420748E-3</v>
      </c>
      <c r="T4">
        <v>-1.7307821893917108E-3</v>
      </c>
      <c r="U4">
        <v>8.0881277309341471E-4</v>
      </c>
      <c r="V4">
        <v>-7.7130838817751624E-4</v>
      </c>
      <c r="W4">
        <v>-1.271026446922674E-3</v>
      </c>
      <c r="X4">
        <v>-2.8924098691667233E-3</v>
      </c>
      <c r="Y4">
        <v>-7.7130838817751624E-4</v>
      </c>
      <c r="Z4">
        <v>-1.5333828893150381E-3</v>
      </c>
      <c r="AA4">
        <v>8.0374309263353538E-4</v>
      </c>
      <c r="AC4">
        <v>-7.3068849511399581E-3</v>
      </c>
      <c r="AD4">
        <v>-2.4417896762002345E-3</v>
      </c>
      <c r="AE4">
        <v>-5.1939906934592717E-3</v>
      </c>
      <c r="AF4">
        <v>-3.4584354637847703E-3</v>
      </c>
      <c r="AG4">
        <v>8.3634057974268927E-4</v>
      </c>
      <c r="AH4">
        <v>-5.1148194657979701E-3</v>
      </c>
      <c r="AI4">
        <v>-5.1148194657979701E-3</v>
      </c>
      <c r="AJ4">
        <v>7.1123755334268068E-4</v>
      </c>
      <c r="AK4">
        <v>-6.7251795280975912E-3</v>
      </c>
      <c r="AL4">
        <v>-4.4600081348361575E-3</v>
      </c>
    </row>
    <row r="5" spans="1:38">
      <c r="A5" s="568">
        <v>43836</v>
      </c>
      <c r="B5">
        <v>1.7515772893156865E-4</v>
      </c>
      <c r="C5">
        <v>1.5251515413283734E-4</v>
      </c>
      <c r="D5">
        <v>2.4562176256059942E-4</v>
      </c>
      <c r="E5">
        <v>2.2997922670087156E-4</v>
      </c>
      <c r="F5">
        <v>1.3993085121999371E-4</v>
      </c>
      <c r="G5">
        <v>9.9018899789782289E-4</v>
      </c>
      <c r="H5">
        <v>2.1309366336286217E-4</v>
      </c>
      <c r="I5">
        <v>2.6889369325044932E-4</v>
      </c>
      <c r="J5">
        <v>-5.8567199827219696E-4</v>
      </c>
      <c r="K5">
        <v>8.3351883992888176E-5</v>
      </c>
      <c r="L5">
        <v>4.2097989219835874E-4</v>
      </c>
      <c r="M5">
        <v>4.3922422909781211E-4</v>
      </c>
      <c r="N5">
        <v>4.4468128528207806E-4</v>
      </c>
      <c r="O5">
        <v>5.4612392438491142E-4</v>
      </c>
      <c r="P5">
        <v>5.3573019985209136E-4</v>
      </c>
      <c r="Q5">
        <v>5.4958248556946643E-4</v>
      </c>
      <c r="R5">
        <v>-4.2235454839345543E-4</v>
      </c>
      <c r="S5">
        <v>1.5587919161481611E-3</v>
      </c>
      <c r="T5">
        <v>-1.4357059903743474E-3</v>
      </c>
      <c r="U5">
        <v>-6.9976906208690792E-4</v>
      </c>
      <c r="V5">
        <v>-1.8674235390858662E-3</v>
      </c>
      <c r="W5">
        <v>-2.3216434679815823E-3</v>
      </c>
      <c r="X5">
        <v>-1.1600898371988411E-4</v>
      </c>
      <c r="Y5">
        <v>-1.8674235390858662E-3</v>
      </c>
      <c r="Z5">
        <v>-3.6647078050937587E-3</v>
      </c>
      <c r="AA5">
        <v>1.3688083876717272E-4</v>
      </c>
      <c r="AC5">
        <v>-7.0412304482242449E-3</v>
      </c>
      <c r="AD5">
        <v>-6.6445729098419948E-3</v>
      </c>
      <c r="AE5">
        <v>-7.1032938817136015E-3</v>
      </c>
      <c r="AF5">
        <v>-5.5993726042591341E-3</v>
      </c>
      <c r="AG5">
        <v>-5.9574865120596288E-3</v>
      </c>
      <c r="AH5">
        <v>-4.9288613137569715E-3</v>
      </c>
      <c r="AI5">
        <v>-4.9288613137569715E-3</v>
      </c>
      <c r="AJ5">
        <v>3.553660270078085E-3</v>
      </c>
      <c r="AK5">
        <v>-7.0002295157217675E-3</v>
      </c>
      <c r="AL5">
        <v>-1.1055887010826604E-2</v>
      </c>
    </row>
    <row r="6" spans="1:38">
      <c r="A6" s="568">
        <v>43837</v>
      </c>
      <c r="B6">
        <v>1.7515772893156865E-4</v>
      </c>
      <c r="C6">
        <v>2.491409166793801E-4</v>
      </c>
      <c r="D6">
        <v>1.8889342101924278E-4</v>
      </c>
      <c r="E6">
        <v>2.2997922670087156E-4</v>
      </c>
      <c r="F6">
        <v>1.5596666533634895E-4</v>
      </c>
      <c r="G6">
        <v>3.7874015873606837E-4</v>
      </c>
      <c r="H6">
        <v>2.1377291808732934E-4</v>
      </c>
      <c r="I6">
        <v>2.6889369325044932E-4</v>
      </c>
      <c r="J6">
        <v>-1.5782221767213223E-4</v>
      </c>
      <c r="K6">
        <v>8.6907460853979934E-4</v>
      </c>
      <c r="L6">
        <v>4.2097989219835874E-4</v>
      </c>
      <c r="M6">
        <v>4.3922422909781211E-4</v>
      </c>
      <c r="N6">
        <v>4.4468128528207806E-4</v>
      </c>
      <c r="O6">
        <v>5.4612392438491142E-4</v>
      </c>
      <c r="P6">
        <v>5.3573019985209136E-4</v>
      </c>
      <c r="Q6">
        <v>5.4958248556946643E-4</v>
      </c>
      <c r="R6">
        <v>1.3954022149076373E-4</v>
      </c>
      <c r="S6">
        <v>5.0475786686599022E-5</v>
      </c>
      <c r="T6">
        <v>-9.7169832567745029E-4</v>
      </c>
      <c r="U6">
        <v>7.454826753003907E-4</v>
      </c>
      <c r="V6">
        <v>4.491264623185387E-4</v>
      </c>
      <c r="W6">
        <v>2.0696714263168658E-4</v>
      </c>
      <c r="X6">
        <v>-2.8814059673132331E-4</v>
      </c>
      <c r="Y6">
        <v>4.491264623185387E-4</v>
      </c>
      <c r="Z6">
        <v>1.5590971180319269E-3</v>
      </c>
      <c r="AA6">
        <v>1.1331468641275766E-3</v>
      </c>
      <c r="AC6">
        <v>-1.8480824860815925E-3</v>
      </c>
      <c r="AD6">
        <v>1.0582332560882257E-4</v>
      </c>
      <c r="AE6">
        <v>-1.712389616606691E-3</v>
      </c>
      <c r="AF6">
        <v>-3.540483527655347E-4</v>
      </c>
      <c r="AG6">
        <v>1.9977381114573145E-3</v>
      </c>
      <c r="AH6">
        <v>-1.2936577402571146E-3</v>
      </c>
      <c r="AI6">
        <v>-1.2936577402571146E-3</v>
      </c>
      <c r="AJ6">
        <v>7.0821529745068723E-4</v>
      </c>
      <c r="AK6">
        <v>7.7429793135328495E-3</v>
      </c>
      <c r="AL6">
        <v>7.5204607673176049E-3</v>
      </c>
    </row>
    <row r="7" spans="1:38">
      <c r="A7" s="568">
        <v>43838</v>
      </c>
      <c r="B7">
        <v>1.7515772893156865E-4</v>
      </c>
      <c r="C7">
        <v>1.9304847687506843E-4</v>
      </c>
      <c r="D7">
        <v>1.7115233324904722E-4</v>
      </c>
      <c r="E7">
        <v>2.2997922670087156E-4</v>
      </c>
      <c r="F7">
        <v>2.4492121013097723E-4</v>
      </c>
      <c r="G7">
        <v>1.6977076164903515E-4</v>
      </c>
      <c r="H7">
        <v>2.1227823083136421E-4</v>
      </c>
      <c r="I7">
        <v>2.6889369325044932E-4</v>
      </c>
      <c r="J7">
        <v>5.6107124020421395E-4</v>
      </c>
      <c r="K7">
        <v>8.335967394388355E-4</v>
      </c>
      <c r="L7">
        <v>4.2097989219835874E-4</v>
      </c>
      <c r="M7">
        <v>4.3922422909781211E-4</v>
      </c>
      <c r="N7">
        <v>4.4468128528207806E-4</v>
      </c>
      <c r="O7">
        <v>5.4612392438491142E-4</v>
      </c>
      <c r="P7">
        <v>5.3573019985209136E-4</v>
      </c>
      <c r="Q7">
        <v>5.4958248556946643E-4</v>
      </c>
      <c r="R7">
        <v>-2.5165892782863519E-4</v>
      </c>
      <c r="S7">
        <v>-1.273008439946488E-3</v>
      </c>
      <c r="T7">
        <v>-7.7294667973248909E-4</v>
      </c>
      <c r="U7">
        <v>5.7775999994347238E-4</v>
      </c>
      <c r="V7">
        <v>-3.6657767860703849E-4</v>
      </c>
      <c r="W7">
        <v>-6.4923245308479149E-4</v>
      </c>
      <c r="X7">
        <v>-3.4037234936897809E-3</v>
      </c>
      <c r="Y7">
        <v>-3.6657767860703849E-4</v>
      </c>
      <c r="Z7">
        <v>3.0117328466650051E-4</v>
      </c>
      <c r="AA7">
        <v>1.3949444932890298E-3</v>
      </c>
      <c r="AC7">
        <v>-3.5564310198958893E-3</v>
      </c>
      <c r="AD7">
        <v>-2.9678847887123494E-3</v>
      </c>
      <c r="AE7">
        <v>-3.9183236866623394E-3</v>
      </c>
      <c r="AF7">
        <v>-9.1234186753130775E-4</v>
      </c>
      <c r="AG7">
        <v>-2.4707629651754548E-4</v>
      </c>
      <c r="AH7">
        <v>-2.4895017139271221E-3</v>
      </c>
      <c r="AI7">
        <v>-2.4895017139271221E-3</v>
      </c>
      <c r="AJ7">
        <v>1.7692852087756172E-3</v>
      </c>
      <c r="AK7">
        <v>-6.0779816513761853E-3</v>
      </c>
      <c r="AL7">
        <v>-6.9009344916383109E-3</v>
      </c>
    </row>
    <row r="8" spans="1:38">
      <c r="A8" s="568">
        <v>43839</v>
      </c>
      <c r="B8">
        <v>1.7515772893156865E-4</v>
      </c>
      <c r="C8">
        <v>1.7604058204079287E-4</v>
      </c>
      <c r="D8">
        <v>1.5755121742255795E-4</v>
      </c>
      <c r="E8">
        <v>2.2997922670087156E-4</v>
      </c>
      <c r="F8">
        <v>2.4165144690524443E-4</v>
      </c>
      <c r="G8">
        <v>2.1785541811514264E-4</v>
      </c>
      <c r="H8">
        <v>2.1223317834739852E-4</v>
      </c>
      <c r="I8">
        <v>2.6889369325044932E-4</v>
      </c>
      <c r="J8">
        <v>5.7004228400048262E-4</v>
      </c>
      <c r="K8">
        <v>3.9222663417559644E-4</v>
      </c>
      <c r="L8">
        <v>4.2097989219835874E-4</v>
      </c>
      <c r="M8">
        <v>4.3922422909781211E-4</v>
      </c>
      <c r="N8">
        <v>4.4468128528207806E-4</v>
      </c>
      <c r="O8">
        <v>5.4612392438491142E-4</v>
      </c>
      <c r="P8">
        <v>5.3573019985209136E-4</v>
      </c>
      <c r="Q8">
        <v>5.4958248556946643E-4</v>
      </c>
      <c r="R8">
        <v>1.1536184098976943E-3</v>
      </c>
      <c r="S8">
        <v>1.2323123956514692E-3</v>
      </c>
      <c r="T8">
        <v>2.0298380528482873E-4</v>
      </c>
      <c r="U8">
        <v>9.7155120932290728E-4</v>
      </c>
      <c r="V8">
        <v>7.8922823045468604E-4</v>
      </c>
      <c r="W8">
        <v>1.5265391168974851E-3</v>
      </c>
      <c r="X8">
        <v>-2.8941722549802318E-4</v>
      </c>
      <c r="Y8">
        <v>7.8922823045468604E-4</v>
      </c>
      <c r="Z8">
        <v>-3.4289184091385039E-4</v>
      </c>
      <c r="AA8">
        <v>1.9944383598358151E-4</v>
      </c>
      <c r="AC8">
        <v>-2.5798515230499586E-3</v>
      </c>
      <c r="AD8">
        <v>7.5208888649558325E-4</v>
      </c>
      <c r="AE8">
        <v>-2.7452577972804093E-3</v>
      </c>
      <c r="AF8">
        <v>-1.0078926145051792E-4</v>
      </c>
      <c r="AG8">
        <v>2.6754569380635917E-3</v>
      </c>
      <c r="AH8">
        <v>-1.805896066134971E-3</v>
      </c>
      <c r="AI8">
        <v>-1.805896066134971E-3</v>
      </c>
      <c r="AJ8">
        <v>1.3069586718474024E-2</v>
      </c>
      <c r="AK8">
        <v>1.7422406830506665E-2</v>
      </c>
      <c r="AL8">
        <v>2.4109969614677373E-2</v>
      </c>
    </row>
    <row r="9" spans="1:38">
      <c r="A9" s="568">
        <v>43840</v>
      </c>
      <c r="B9">
        <v>1.7515772893156865E-4</v>
      </c>
      <c r="C9">
        <v>1.6619874611634167E-4</v>
      </c>
      <c r="D9">
        <v>1.6460623710146116E-4</v>
      </c>
      <c r="E9">
        <v>2.2997922670087156E-4</v>
      </c>
      <c r="F9">
        <v>2.2371426187595134E-4</v>
      </c>
      <c r="G9">
        <v>2.3961864185229054E-4</v>
      </c>
      <c r="H9">
        <v>2.3029293551068974E-4</v>
      </c>
      <c r="I9">
        <v>2.6889369325044932E-4</v>
      </c>
      <c r="J9">
        <v>6.5578081583717029E-4</v>
      </c>
      <c r="K9">
        <v>6.5099258905809698E-4</v>
      </c>
      <c r="L9">
        <v>4.2097989219835874E-4</v>
      </c>
      <c r="M9">
        <v>4.3922422909781211E-4</v>
      </c>
      <c r="N9">
        <v>4.4468128528207806E-4</v>
      </c>
      <c r="O9">
        <v>5.4612392438491142E-4</v>
      </c>
      <c r="P9">
        <v>5.3573019985209136E-4</v>
      </c>
      <c r="Q9">
        <v>5.4958248556946643E-4</v>
      </c>
      <c r="R9">
        <v>2.4400650076048525E-3</v>
      </c>
      <c r="S9">
        <v>4.6405904605562043E-4</v>
      </c>
      <c r="T9">
        <v>1.5187210810527763E-3</v>
      </c>
      <c r="U9">
        <v>4.4062475655470834E-5</v>
      </c>
      <c r="V9">
        <v>3.4518100761005144E-4</v>
      </c>
      <c r="W9">
        <v>-4.7331739811684592E-4</v>
      </c>
      <c r="X9">
        <v>-9.5918073595124831E-4</v>
      </c>
      <c r="Y9">
        <v>3.4518100761005144E-4</v>
      </c>
      <c r="Z9">
        <v>-2.8673008131177014E-3</v>
      </c>
      <c r="AA9">
        <v>1.3358525017785894E-3</v>
      </c>
      <c r="AC9">
        <v>-3.826745127735065E-3</v>
      </c>
      <c r="AD9">
        <v>-1.8931580854261165E-3</v>
      </c>
      <c r="AE9">
        <v>-5.8575677633270207E-3</v>
      </c>
      <c r="AF9">
        <v>1.1669137785002004E-3</v>
      </c>
      <c r="AG9">
        <v>2.6195551079435386E-3</v>
      </c>
      <c r="AH9">
        <v>-2.6787215894145452E-3</v>
      </c>
      <c r="AI9">
        <v>-2.6787215894145452E-3</v>
      </c>
      <c r="AJ9">
        <v>-3.4867503486757379E-4</v>
      </c>
      <c r="AK9">
        <v>3.6289408029031023E-3</v>
      </c>
      <c r="AL9">
        <v>7.3795153273428227E-3</v>
      </c>
    </row>
    <row r="10" spans="1:38">
      <c r="A10" s="568">
        <v>43843</v>
      </c>
      <c r="B10">
        <v>1.7515772893156865E-4</v>
      </c>
      <c r="C10">
        <v>2.057648772413323E-4</v>
      </c>
      <c r="D10">
        <v>1.4806224277141844E-4</v>
      </c>
      <c r="E10">
        <v>2.2997922670087156E-4</v>
      </c>
      <c r="F10">
        <v>2.3970571654574613E-4</v>
      </c>
      <c r="G10">
        <v>2.140717634266931E-4</v>
      </c>
      <c r="H10">
        <v>2.1286331568637351E-4</v>
      </c>
      <c r="I10">
        <v>2.6889369325044932E-4</v>
      </c>
      <c r="J10">
        <v>-7.4936312432494212E-4</v>
      </c>
      <c r="K10">
        <v>-4.2063706398809408E-4</v>
      </c>
      <c r="L10">
        <v>4.2097989219835874E-4</v>
      </c>
      <c r="M10">
        <v>4.3922422909781211E-4</v>
      </c>
      <c r="N10">
        <v>4.4468128528207806E-4</v>
      </c>
      <c r="O10">
        <v>5.4612392438491142E-4</v>
      </c>
      <c r="P10">
        <v>5.3573019985209136E-4</v>
      </c>
      <c r="Q10">
        <v>5.4958248556946643E-4</v>
      </c>
      <c r="R10">
        <v>-2.735629659423866E-4</v>
      </c>
      <c r="S10">
        <v>4.2526288482380714E-4</v>
      </c>
      <c r="T10">
        <v>2.0088497309274089E-3</v>
      </c>
      <c r="U10">
        <v>5.0784171764162167E-4</v>
      </c>
      <c r="V10">
        <v>3.4346930541693244E-3</v>
      </c>
      <c r="W10">
        <v>3.8760470957501791E-3</v>
      </c>
      <c r="X10">
        <v>8.0352744969691692E-4</v>
      </c>
      <c r="Y10">
        <v>3.4346930541693244E-3</v>
      </c>
      <c r="Z10">
        <v>2.8766718772739175E-3</v>
      </c>
      <c r="AA10">
        <v>6.0869566049046586E-3</v>
      </c>
      <c r="AC10">
        <v>1.5773561644072842E-2</v>
      </c>
      <c r="AD10">
        <v>1.5010912371277607E-2</v>
      </c>
      <c r="AE10">
        <v>1.7679718649779463E-2</v>
      </c>
      <c r="AF10">
        <v>7.2308170590200671E-3</v>
      </c>
      <c r="AG10">
        <v>1.4769943947053221E-2</v>
      </c>
      <c r="AH10">
        <v>1.1041493150850989E-2</v>
      </c>
      <c r="AI10">
        <v>1.1041493150850989E-2</v>
      </c>
      <c r="AJ10">
        <v>1.8835019183816026E-2</v>
      </c>
      <c r="AK10">
        <v>1.6384180790960379E-2</v>
      </c>
      <c r="AL10">
        <v>2.3777611962778389E-2</v>
      </c>
    </row>
    <row r="11" spans="1:38">
      <c r="A11" s="568">
        <v>43844</v>
      </c>
      <c r="B11">
        <v>1.7515772893156865E-4</v>
      </c>
      <c r="C11">
        <v>1.9386607766858077E-4</v>
      </c>
      <c r="D11">
        <v>2.0348171967410345E-4</v>
      </c>
      <c r="E11">
        <v>2.2997922670087156E-4</v>
      </c>
      <c r="F11">
        <v>2.3231677560819897E-4</v>
      </c>
      <c r="G11">
        <v>2.4617961196793381E-4</v>
      </c>
      <c r="H11">
        <v>2.1281801453820748E-4</v>
      </c>
      <c r="I11">
        <v>2.6889369325044932E-4</v>
      </c>
      <c r="J11">
        <v>1.5400038043362763E-3</v>
      </c>
      <c r="K11">
        <v>1.7153110925687276E-3</v>
      </c>
      <c r="L11">
        <v>4.2097989219835874E-4</v>
      </c>
      <c r="M11">
        <v>4.3922422909781211E-4</v>
      </c>
      <c r="N11">
        <v>4.4468128528207806E-4</v>
      </c>
      <c r="O11">
        <v>5.4612392438491142E-4</v>
      </c>
      <c r="P11">
        <v>5.3573019985209136E-4</v>
      </c>
      <c r="Q11">
        <v>5.4958248556946643E-4</v>
      </c>
      <c r="R11">
        <v>6.8246963010154538E-4</v>
      </c>
      <c r="S11">
        <v>1.1028402936310577E-3</v>
      </c>
      <c r="T11">
        <v>-6.3444207361917915E-4</v>
      </c>
      <c r="U11">
        <v>1.7813439691973798E-3</v>
      </c>
      <c r="V11">
        <v>1.4575254339510568E-3</v>
      </c>
      <c r="W11">
        <v>7.5863754600535849E-4</v>
      </c>
      <c r="X11">
        <v>-3.4843523658030229E-3</v>
      </c>
      <c r="Y11">
        <v>1.4575254339510568E-3</v>
      </c>
      <c r="Z11">
        <v>3.8702201882452325E-3</v>
      </c>
      <c r="AA11">
        <v>1.1583704792741401E-3</v>
      </c>
      <c r="AC11">
        <v>2.6175087555708743E-3</v>
      </c>
      <c r="AD11">
        <v>4.8994678503819777E-3</v>
      </c>
      <c r="AE11">
        <v>7.4499899300728423E-4</v>
      </c>
      <c r="AF11">
        <v>1.2596401006161884E-3</v>
      </c>
      <c r="AG11">
        <v>2.413688205715081E-3</v>
      </c>
      <c r="AH11">
        <v>1.8322561288996119E-3</v>
      </c>
      <c r="AI11">
        <v>1.8322561288996119E-3</v>
      </c>
      <c r="AJ11">
        <v>-4.1766518315645706E-3</v>
      </c>
      <c r="AK11">
        <v>-6.0033351862146533E-3</v>
      </c>
      <c r="AL11">
        <v>1.0512673370700831E-2</v>
      </c>
    </row>
    <row r="12" spans="1:38">
      <c r="A12" s="568">
        <v>43845</v>
      </c>
      <c r="B12">
        <v>1.7515772893156865E-4</v>
      </c>
      <c r="C12">
        <v>2.1511295758114279E-4</v>
      </c>
      <c r="D12">
        <v>3.3788784128585547E-4</v>
      </c>
      <c r="E12">
        <v>2.2997922670087156E-4</v>
      </c>
      <c r="F12">
        <v>3.577855229257576E-4</v>
      </c>
      <c r="G12">
        <v>2.4910469602645868E-4</v>
      </c>
      <c r="H12">
        <v>2.1349644944534951E-4</v>
      </c>
      <c r="I12">
        <v>2.6889369325044932E-4</v>
      </c>
      <c r="J12">
        <v>1.8238391985836433E-3</v>
      </c>
      <c r="K12">
        <v>1.9521220101030856E-3</v>
      </c>
      <c r="L12">
        <v>4.2097989219835874E-4</v>
      </c>
      <c r="M12">
        <v>4.3922422909781211E-4</v>
      </c>
      <c r="N12">
        <v>4.4468128528207806E-4</v>
      </c>
      <c r="O12">
        <v>5.4612392438491142E-4</v>
      </c>
      <c r="P12">
        <v>5.3573019985209136E-4</v>
      </c>
      <c r="Q12">
        <v>5.4958248556946643E-4</v>
      </c>
      <c r="R12">
        <v>5.1962223463553059E-4</v>
      </c>
      <c r="S12">
        <v>-2.6370157456605536E-3</v>
      </c>
      <c r="T12">
        <v>-4.7979639251050088E-4</v>
      </c>
      <c r="U12">
        <v>-1.9743253304110864E-3</v>
      </c>
      <c r="V12">
        <v>-1.1622102068475915E-4</v>
      </c>
      <c r="W12">
        <v>1.1090719132846871E-3</v>
      </c>
      <c r="X12">
        <v>-4.3333782244361352E-3</v>
      </c>
      <c r="Y12">
        <v>-1.1622102068475915E-4</v>
      </c>
      <c r="Z12">
        <v>4.4436043637468003E-3</v>
      </c>
      <c r="AA12">
        <v>3.571269563196422E-3</v>
      </c>
      <c r="AC12">
        <v>-1.0354290144552025E-2</v>
      </c>
      <c r="AD12">
        <v>-7.6801563074996304E-3</v>
      </c>
      <c r="AE12">
        <v>-1.0205762087275749E-2</v>
      </c>
      <c r="AF12">
        <v>-4.0573425141107178E-3</v>
      </c>
      <c r="AG12">
        <v>-1.9997948108942953E-3</v>
      </c>
      <c r="AH12">
        <v>-7.2480031011864171E-3</v>
      </c>
      <c r="AI12">
        <v>-7.2480031011864171E-3</v>
      </c>
      <c r="AJ12">
        <v>1.4163916391639164E-2</v>
      </c>
      <c r="AK12">
        <v>-3.8027066323678138E-3</v>
      </c>
      <c r="AL12">
        <v>1.3657150072441393E-2</v>
      </c>
    </row>
    <row r="13" spans="1:38">
      <c r="A13" s="568">
        <v>43846</v>
      </c>
      <c r="B13">
        <v>1.7515772893156865E-4</v>
      </c>
      <c r="C13">
        <v>1.5109902985410706E-4</v>
      </c>
      <c r="D13">
        <v>1.5974987060851653E-4</v>
      </c>
      <c r="E13">
        <v>2.2997922670087156E-4</v>
      </c>
      <c r="F13">
        <v>1.9279619976231288E-4</v>
      </c>
      <c r="G13">
        <v>1.0182591152050335E-3</v>
      </c>
      <c r="H13">
        <v>2.127273161409704E-4</v>
      </c>
      <c r="I13">
        <v>2.6889369325044932E-4</v>
      </c>
      <c r="J13">
        <v>-6.8333964774991429E-4</v>
      </c>
      <c r="K13">
        <v>-9.0403943108641194E-4</v>
      </c>
      <c r="L13">
        <v>4.2097989219835874E-4</v>
      </c>
      <c r="M13">
        <v>4.3922422909781211E-4</v>
      </c>
      <c r="N13">
        <v>4.4468128528207806E-4</v>
      </c>
      <c r="O13">
        <v>5.4612392438491142E-4</v>
      </c>
      <c r="P13">
        <v>5.3573019985209136E-4</v>
      </c>
      <c r="Q13">
        <v>5.4958248556946643E-4</v>
      </c>
      <c r="R13">
        <v>-4.0249808488823646E-5</v>
      </c>
      <c r="S13">
        <v>-1.826332711681089E-3</v>
      </c>
      <c r="T13">
        <v>-1.0430160700913849E-4</v>
      </c>
      <c r="U13">
        <v>-1.305019329508772E-3</v>
      </c>
      <c r="V13">
        <v>2.2718567145263435E-4</v>
      </c>
      <c r="W13">
        <v>6.8474140404983785E-4</v>
      </c>
      <c r="X13">
        <v>2.4091066063851585E-3</v>
      </c>
      <c r="Y13">
        <v>2.2718567145263435E-4</v>
      </c>
      <c r="Z13">
        <v>-9.0722629826056611E-4</v>
      </c>
      <c r="AA13">
        <v>7.5930986311512072E-4</v>
      </c>
      <c r="AC13">
        <v>2.4893827567724625E-3</v>
      </c>
      <c r="AD13">
        <v>1.984722761328106E-3</v>
      </c>
      <c r="AE13">
        <v>4.0499242412377345E-3</v>
      </c>
      <c r="AF13">
        <v>9.8747714728397717E-4</v>
      </c>
      <c r="AG13">
        <v>3.8524769841878914E-3</v>
      </c>
      <c r="AH13">
        <v>1.7425679297407236E-3</v>
      </c>
      <c r="AI13">
        <v>1.7425679297407236E-3</v>
      </c>
      <c r="AJ13">
        <v>9.2203389830509686E-3</v>
      </c>
      <c r="AK13">
        <v>2.1331536993376421E-3</v>
      </c>
      <c r="AL13">
        <v>1.53948478066539E-2</v>
      </c>
    </row>
    <row r="14" spans="1:38">
      <c r="A14" s="568">
        <v>43847</v>
      </c>
      <c r="B14">
        <v>1.7515772893156865E-4</v>
      </c>
      <c r="C14">
        <v>2.166434388035654E-4</v>
      </c>
      <c r="D14">
        <v>2.3398733875068523E-4</v>
      </c>
      <c r="E14">
        <v>2.2997922670087156E-4</v>
      </c>
      <c r="F14">
        <v>2.3534001137348604E-4</v>
      </c>
      <c r="G14">
        <v>-3.4798698820881491E-4</v>
      </c>
      <c r="H14">
        <v>2.1268207285451979E-4</v>
      </c>
      <c r="I14">
        <v>2.6889369325044932E-4</v>
      </c>
      <c r="J14">
        <v>8.8121256563900019E-4</v>
      </c>
      <c r="K14">
        <v>1.2358153405707117E-3</v>
      </c>
      <c r="L14">
        <v>4.2097989219835874E-4</v>
      </c>
      <c r="M14">
        <v>4.3922422909781211E-4</v>
      </c>
      <c r="N14">
        <v>4.4468128528207806E-4</v>
      </c>
      <c r="O14">
        <v>5.4612392438491142E-4</v>
      </c>
      <c r="P14">
        <v>5.3573019985209136E-4</v>
      </c>
      <c r="Q14">
        <v>5.4958248556946643E-4</v>
      </c>
      <c r="R14">
        <v>7.485467286625358E-4</v>
      </c>
      <c r="S14">
        <v>3.7018951048595206E-3</v>
      </c>
      <c r="T14">
        <v>1.0327866977843936E-3</v>
      </c>
      <c r="U14">
        <v>1.9735828865119487E-3</v>
      </c>
      <c r="V14">
        <v>3.359471358657995E-3</v>
      </c>
      <c r="W14">
        <v>8.6976850731357302E-4</v>
      </c>
      <c r="X14">
        <v>1.9302248033015168E-3</v>
      </c>
      <c r="Y14">
        <v>3.359471358657995E-3</v>
      </c>
      <c r="Z14">
        <v>4.2460188871078497E-3</v>
      </c>
      <c r="AA14">
        <v>1.6482587823758443E-3</v>
      </c>
      <c r="AC14">
        <v>1.5201680830681408E-2</v>
      </c>
      <c r="AD14">
        <v>1.0862347509181802E-2</v>
      </c>
      <c r="AE14">
        <v>1.7730345110622991E-2</v>
      </c>
      <c r="AF14">
        <v>7.6160754744167836E-3</v>
      </c>
      <c r="AG14">
        <v>1.098135451720017E-2</v>
      </c>
      <c r="AH14">
        <v>1.0641176581476985E-2</v>
      </c>
      <c r="AI14">
        <v>1.0641176581476985E-2</v>
      </c>
      <c r="AJ14">
        <v>-2.0824936181647047E-3</v>
      </c>
      <c r="AK14">
        <v>6.4978713869594529E-3</v>
      </c>
      <c r="AL14">
        <v>-1.7980006616954425E-3</v>
      </c>
    </row>
    <row r="15" spans="1:38">
      <c r="A15" s="568">
        <v>43850</v>
      </c>
      <c r="B15">
        <v>1.7515772893156865E-4</v>
      </c>
      <c r="C15">
        <v>1.9287456154826188E-4</v>
      </c>
      <c r="D15">
        <v>2.0093455190406395E-4</v>
      </c>
      <c r="E15">
        <v>2.2997922670087156E-4</v>
      </c>
      <c r="F15">
        <v>2.6732729466605321E-4</v>
      </c>
      <c r="G15">
        <v>2.2232784009901252E-4</v>
      </c>
      <c r="H15">
        <v>2.1191359422090272E-4</v>
      </c>
      <c r="I15">
        <v>2.6889369325044932E-4</v>
      </c>
      <c r="J15">
        <v>-3.9368488173130434E-4</v>
      </c>
      <c r="K15">
        <v>-5.9027161174485254E-4</v>
      </c>
      <c r="L15">
        <v>4.2097989219835874E-4</v>
      </c>
      <c r="M15">
        <v>4.3922422909781211E-4</v>
      </c>
      <c r="N15">
        <v>4.4468128528207806E-4</v>
      </c>
      <c r="O15">
        <v>5.4612392438491142E-4</v>
      </c>
      <c r="P15">
        <v>5.3573019985209136E-4</v>
      </c>
      <c r="Q15">
        <v>5.4958248556946643E-4</v>
      </c>
      <c r="R15">
        <v>-3.6977666138415799E-5</v>
      </c>
      <c r="S15">
        <v>-2.4735972278977503E-4</v>
      </c>
      <c r="T15">
        <v>1.0121287755626707E-3</v>
      </c>
      <c r="U15">
        <v>3.3250826912945008E-4</v>
      </c>
      <c r="V15">
        <v>1.113442115487473E-3</v>
      </c>
      <c r="W15">
        <v>9.1961191553457944E-4</v>
      </c>
      <c r="X15">
        <v>-1.7892815246942639E-3</v>
      </c>
      <c r="Y15">
        <v>1.113442115487473E-3</v>
      </c>
      <c r="Z15">
        <v>2.7425970687919854E-3</v>
      </c>
      <c r="AA15">
        <v>3.3395777685336636E-3</v>
      </c>
      <c r="AC15">
        <v>3.2351915920467711E-3</v>
      </c>
      <c r="AD15">
        <v>9.7136136079987168E-3</v>
      </c>
      <c r="AE15">
        <v>4.6579006833811221E-3</v>
      </c>
      <c r="AF15">
        <v>5.3514423723324267E-3</v>
      </c>
      <c r="AG15">
        <v>4.0036037177784145E-3</v>
      </c>
      <c r="AH15">
        <v>2.2646341144327395E-3</v>
      </c>
      <c r="AI15">
        <v>2.2646341144327395E-3</v>
      </c>
      <c r="AJ15">
        <v>1.4473241332884301E-2</v>
      </c>
      <c r="AK15">
        <v>-3.7845057880676602E-3</v>
      </c>
      <c r="AL15">
        <v>5.0604209682754142E-3</v>
      </c>
    </row>
    <row r="16" spans="1:38">
      <c r="A16" s="568">
        <v>43851</v>
      </c>
      <c r="B16">
        <v>1.7515772893156865E-4</v>
      </c>
      <c r="C16">
        <v>1.4837299559955497E-4</v>
      </c>
      <c r="D16">
        <v>1.7732888499022437E-4</v>
      </c>
      <c r="E16">
        <v>2.2997922670087156E-4</v>
      </c>
      <c r="F16">
        <v>8.8322566827558902E-5</v>
      </c>
      <c r="G16">
        <v>2.1671151998692295E-4</v>
      </c>
      <c r="H16">
        <v>2.1186869636391492E-4</v>
      </c>
      <c r="I16">
        <v>2.6889369325044932E-4</v>
      </c>
      <c r="J16">
        <v>-2.8739407395561578E-4</v>
      </c>
      <c r="K16">
        <v>-2.7253838893459559E-4</v>
      </c>
      <c r="L16">
        <v>4.2097989219835874E-4</v>
      </c>
      <c r="M16">
        <v>4.3922422909781211E-4</v>
      </c>
      <c r="N16">
        <v>4.4468128528207806E-4</v>
      </c>
      <c r="O16">
        <v>5.4612392438491142E-4</v>
      </c>
      <c r="P16">
        <v>5.3573019985209136E-4</v>
      </c>
      <c r="Q16">
        <v>5.4958248556946643E-4</v>
      </c>
      <c r="R16">
        <v>4.664548265422841E-4</v>
      </c>
      <c r="S16">
        <v>-4.9738061853137339E-3</v>
      </c>
      <c r="T16">
        <v>-4.8237746015523664E-3</v>
      </c>
      <c r="U16">
        <v>-2.3023186084740743E-3</v>
      </c>
      <c r="V16">
        <v>-2.5004864248040493E-3</v>
      </c>
      <c r="W16">
        <v>-1.4989480911331565E-4</v>
      </c>
      <c r="X16">
        <v>-4.5481037960508619E-3</v>
      </c>
      <c r="Y16">
        <v>-2.5004864248040493E-3</v>
      </c>
      <c r="Z16">
        <v>-9.866820064451387E-4</v>
      </c>
      <c r="AA16">
        <v>2.2396607190533491E-3</v>
      </c>
      <c r="AC16">
        <v>-1.5443170881092039E-2</v>
      </c>
      <c r="AD16">
        <v>-1.1007682766247195E-2</v>
      </c>
      <c r="AE16">
        <v>-1.3498607918575711E-2</v>
      </c>
      <c r="AF16">
        <v>-5.4213017130293473E-3</v>
      </c>
      <c r="AG16">
        <v>-7.3750047704620458E-3</v>
      </c>
      <c r="AH16">
        <v>-1.0810219616764427E-2</v>
      </c>
      <c r="AI16">
        <v>-1.0810219616764427E-2</v>
      </c>
      <c r="AJ16">
        <v>-4.4459190444591234E-3</v>
      </c>
      <c r="AK16">
        <v>-2.8379888268156517E-2</v>
      </c>
      <c r="AL16">
        <v>-1.0115905374905365E-2</v>
      </c>
    </row>
    <row r="17" spans="1:38">
      <c r="A17" s="568">
        <v>43852</v>
      </c>
      <c r="B17">
        <v>1.7515772893156865E-4</v>
      </c>
      <c r="C17">
        <v>1.9969903045025106E-4</v>
      </c>
      <c r="D17">
        <v>2.5092595210485236E-4</v>
      </c>
      <c r="E17">
        <v>2.2997922670087156E-4</v>
      </c>
      <c r="F17">
        <v>2.3611616366148169E-4</v>
      </c>
      <c r="G17">
        <v>1.7820163639381548E-4</v>
      </c>
      <c r="H17">
        <v>2.1182381752793411E-4</v>
      </c>
      <c r="I17">
        <v>2.6889369325044932E-4</v>
      </c>
      <c r="J17">
        <v>1.5766893517696889E-3</v>
      </c>
      <c r="K17">
        <v>1.940226372324716E-3</v>
      </c>
      <c r="L17">
        <v>4.2097989219835874E-4</v>
      </c>
      <c r="M17">
        <v>4.3922422909781211E-4</v>
      </c>
      <c r="N17">
        <v>4.4468128528207806E-4</v>
      </c>
      <c r="O17">
        <v>5.4612392438491142E-4</v>
      </c>
      <c r="P17">
        <v>5.3573019985209136E-4</v>
      </c>
      <c r="Q17">
        <v>5.4958248556946643E-4</v>
      </c>
      <c r="R17">
        <v>8.1056562566184098E-5</v>
      </c>
      <c r="S17">
        <v>4.5344081845910544E-3</v>
      </c>
      <c r="T17">
        <v>-1.0473742856675905E-4</v>
      </c>
      <c r="U17">
        <v>1.4453900824329402E-3</v>
      </c>
      <c r="V17">
        <v>2.7518945634266156E-3</v>
      </c>
      <c r="W17">
        <v>4.2682331748711277E-4</v>
      </c>
      <c r="X17">
        <v>8.5180186459776763E-4</v>
      </c>
      <c r="Y17">
        <v>2.7518945634266156E-3</v>
      </c>
      <c r="Z17">
        <v>3.346842753506607E-3</v>
      </c>
      <c r="AA17">
        <v>3.2642129521354146E-3</v>
      </c>
      <c r="AC17">
        <v>1.1667492693931303E-2</v>
      </c>
      <c r="AD17">
        <v>7.5868182406622076E-3</v>
      </c>
      <c r="AE17">
        <v>1.0850160056104841E-2</v>
      </c>
      <c r="AF17">
        <v>5.5390411905671399E-3</v>
      </c>
      <c r="AG17">
        <v>3.3015436767425133E-3</v>
      </c>
      <c r="AH17">
        <v>8.1672448857519116E-3</v>
      </c>
      <c r="AI17">
        <v>8.1672448857519116E-3</v>
      </c>
      <c r="AJ17">
        <v>-6.9319469439445003E-3</v>
      </c>
      <c r="AK17">
        <v>1.0694572217111453E-2</v>
      </c>
      <c r="AL17">
        <v>5.7356654497036086E-3</v>
      </c>
    </row>
    <row r="18" spans="1:38">
      <c r="A18" s="568">
        <v>43853</v>
      </c>
      <c r="B18">
        <v>1.7515772893156865E-4</v>
      </c>
      <c r="C18">
        <v>1.7338268680910929E-4</v>
      </c>
      <c r="D18">
        <v>2.6499613105657183E-4</v>
      </c>
      <c r="E18">
        <v>2.2997922670087156E-4</v>
      </c>
      <c r="F18">
        <v>1.5051139563393434E-4</v>
      </c>
      <c r="G18">
        <v>1.9536084569193868E-4</v>
      </c>
      <c r="H18">
        <v>2.1756131832040282E-4</v>
      </c>
      <c r="I18">
        <v>2.6889369325044932E-4</v>
      </c>
      <c r="J18">
        <v>4.8135631795975797E-4</v>
      </c>
      <c r="K18">
        <v>2.6698568293936908E-4</v>
      </c>
      <c r="L18">
        <v>4.2097989219835874E-4</v>
      </c>
      <c r="M18">
        <v>4.3922422909781211E-4</v>
      </c>
      <c r="N18">
        <v>4.4468128528207806E-4</v>
      </c>
      <c r="O18">
        <v>5.4612392438491142E-4</v>
      </c>
      <c r="P18">
        <v>5.3573019985209136E-4</v>
      </c>
      <c r="Q18">
        <v>5.4958248556946643E-4</v>
      </c>
      <c r="R18">
        <v>-9.2007951976891267E-4</v>
      </c>
      <c r="S18">
        <v>4.8337459357639112E-4</v>
      </c>
      <c r="T18">
        <v>4.3876310876056479E-4</v>
      </c>
      <c r="U18">
        <v>8.8671675921991877E-4</v>
      </c>
      <c r="V18">
        <v>2.0661428582695596E-3</v>
      </c>
      <c r="W18">
        <v>3.3085262425469608E-4</v>
      </c>
      <c r="X18">
        <v>4.117031281772876E-3</v>
      </c>
      <c r="Y18">
        <v>2.0661428582695596E-3</v>
      </c>
      <c r="Z18">
        <v>-2.737498036658681E-3</v>
      </c>
      <c r="AA18">
        <v>-1.3194432079666196E-4</v>
      </c>
      <c r="AC18">
        <v>9.5969808617857311E-3</v>
      </c>
      <c r="AD18">
        <v>1.4219025031537935E-2</v>
      </c>
      <c r="AE18">
        <v>1.1266591341796861E-2</v>
      </c>
      <c r="AF18">
        <v>5.9575922531480696E-3</v>
      </c>
      <c r="AG18">
        <v>8.2978117269862928E-3</v>
      </c>
      <c r="AH18">
        <v>6.7178866032500117E-3</v>
      </c>
      <c r="AI18">
        <v>6.7178866032500117E-3</v>
      </c>
      <c r="AJ18">
        <v>-1.6108463655279959E-3</v>
      </c>
      <c r="AK18">
        <v>-2.1504152918420782E-2</v>
      </c>
      <c r="AL18">
        <v>-7.4299898542281584E-3</v>
      </c>
    </row>
    <row r="19" spans="1:38">
      <c r="A19" s="568">
        <v>43854</v>
      </c>
      <c r="B19">
        <v>1.7515772893156865E-4</v>
      </c>
      <c r="C19">
        <v>2.0000821225774068E-4</v>
      </c>
      <c r="D19">
        <v>1.9604518576610275E-4</v>
      </c>
      <c r="E19">
        <v>2.2997922670087156E-4</v>
      </c>
      <c r="F19">
        <v>1.6100923516026988E-4</v>
      </c>
      <c r="G19">
        <v>2.0366811237915172E-4</v>
      </c>
      <c r="H19">
        <v>2.1679135782948222E-4</v>
      </c>
      <c r="I19">
        <v>2.6889369325044932E-4</v>
      </c>
      <c r="J19">
        <v>1.6954567010096788E-4</v>
      </c>
      <c r="K19">
        <v>1.6829315556532443E-4</v>
      </c>
      <c r="L19">
        <v>4.2097989219835874E-4</v>
      </c>
      <c r="M19">
        <v>4.3922422909781211E-4</v>
      </c>
      <c r="N19">
        <v>4.4468128528207806E-4</v>
      </c>
      <c r="O19">
        <v>5.4612392438491142E-4</v>
      </c>
      <c r="P19">
        <v>5.3573019985209136E-4</v>
      </c>
      <c r="Q19">
        <v>5.4958248556946643E-4</v>
      </c>
      <c r="R19">
        <v>1.7847419490291117E-4</v>
      </c>
      <c r="S19">
        <v>-5.3866127353991988E-3</v>
      </c>
      <c r="T19">
        <v>-1.6787383293579428E-3</v>
      </c>
      <c r="U19">
        <v>-4.5330600531456877E-4</v>
      </c>
      <c r="V19">
        <v>-2.4606183024882267E-3</v>
      </c>
      <c r="W19">
        <v>-4.7525976265205827E-4</v>
      </c>
      <c r="X19">
        <v>-5.4456927810445643E-3</v>
      </c>
      <c r="Y19">
        <v>-2.4606183024882267E-3</v>
      </c>
      <c r="Z19">
        <v>2.2636595996272657E-3</v>
      </c>
      <c r="AA19">
        <v>1.6152458803242453E-4</v>
      </c>
      <c r="AC19">
        <v>-9.631248347662047E-3</v>
      </c>
      <c r="AD19">
        <v>-8.4736446355484496E-3</v>
      </c>
      <c r="AE19">
        <v>-9.9158810528170438E-3</v>
      </c>
      <c r="AF19">
        <v>-8.2569856996118629E-3</v>
      </c>
      <c r="AG19">
        <v>-8.1678052225890863E-3</v>
      </c>
      <c r="AH19">
        <v>-6.7418738433634327E-3</v>
      </c>
      <c r="AI19">
        <v>-6.7418738433634327E-3</v>
      </c>
      <c r="AJ19">
        <v>-6.2521008403362277E-3</v>
      </c>
      <c r="AK19">
        <v>-5.9302325581396254E-3</v>
      </c>
      <c r="AL19">
        <v>1.3794071349053638E-3</v>
      </c>
    </row>
    <row r="20" spans="1:38">
      <c r="A20" s="568">
        <v>43857</v>
      </c>
      <c r="B20">
        <v>1.7515772893156865E-4</v>
      </c>
      <c r="C20">
        <v>2.3078314111302234E-4</v>
      </c>
      <c r="D20">
        <v>2.2308276841598307E-4</v>
      </c>
      <c r="E20">
        <v>2.2997922670087156E-4</v>
      </c>
      <c r="F20">
        <v>2.6662861606485677E-4</v>
      </c>
      <c r="G20">
        <v>2.3114106905963716E-4</v>
      </c>
      <c r="H20">
        <v>2.1674436952312526E-4</v>
      </c>
      <c r="I20">
        <v>2.6889369325044932E-4</v>
      </c>
      <c r="J20">
        <v>2.5748299630490301E-4</v>
      </c>
      <c r="K20">
        <v>1.6670439572386009E-4</v>
      </c>
      <c r="L20">
        <v>4.2097989219835874E-4</v>
      </c>
      <c r="M20">
        <v>4.3922422909781211E-4</v>
      </c>
      <c r="N20">
        <v>4.4468128528207806E-4</v>
      </c>
      <c r="O20">
        <v>5.4612392438491142E-4</v>
      </c>
      <c r="P20">
        <v>5.3573019985209136E-4</v>
      </c>
      <c r="Q20">
        <v>5.4958248556946643E-4</v>
      </c>
      <c r="R20">
        <v>-1.8272496388976878E-3</v>
      </c>
      <c r="S20">
        <v>-1.3625773819908371E-2</v>
      </c>
      <c r="T20">
        <v>-2.3140368087568586E-3</v>
      </c>
      <c r="U20">
        <v>-1.4872292159012757E-3</v>
      </c>
      <c r="V20">
        <v>-7.4316204140775222E-3</v>
      </c>
      <c r="W20">
        <v>-1.3870783076235238E-3</v>
      </c>
      <c r="X20">
        <v>-2.1729949830786577E-3</v>
      </c>
      <c r="Y20">
        <v>-7.4316204140775222E-3</v>
      </c>
      <c r="Z20">
        <v>-2.8752424803474286E-3</v>
      </c>
      <c r="AA20">
        <v>1.4047351337165281E-4</v>
      </c>
      <c r="AC20">
        <v>-3.2900138879033203E-2</v>
      </c>
      <c r="AD20">
        <v>-3.6199437971708881E-2</v>
      </c>
      <c r="AE20">
        <v>-3.7288877074276638E-2</v>
      </c>
      <c r="AF20">
        <v>-2.0440606177756449E-2</v>
      </c>
      <c r="AG20">
        <v>-2.2528250588389587E-2</v>
      </c>
      <c r="AH20">
        <v>-2.3030097215323241E-2</v>
      </c>
      <c r="AI20">
        <v>-2.3030097215323241E-2</v>
      </c>
      <c r="AJ20">
        <v>-1.1906372615342886E-2</v>
      </c>
      <c r="AK20">
        <v>-9.825710609427829E-3</v>
      </c>
      <c r="AL20">
        <v>-8.8684853606277869E-3</v>
      </c>
    </row>
    <row r="21" spans="1:38">
      <c r="A21" s="568">
        <v>43858</v>
      </c>
      <c r="B21">
        <v>1.7515772893156865E-4</v>
      </c>
      <c r="C21">
        <v>1.9458047449871785E-4</v>
      </c>
      <c r="D21">
        <v>7.2971223444850963E-5</v>
      </c>
      <c r="E21">
        <v>2.2997922670087156E-4</v>
      </c>
      <c r="F21">
        <v>1.8014352043427273E-4</v>
      </c>
      <c r="G21">
        <v>2.487643215756119E-4</v>
      </c>
      <c r="H21">
        <v>2.174197262532207E-4</v>
      </c>
      <c r="I21">
        <v>2.6889369325044932E-4</v>
      </c>
      <c r="J21">
        <v>-1.5101003264395008E-4</v>
      </c>
      <c r="K21">
        <v>-3.9954224262173099E-5</v>
      </c>
      <c r="L21">
        <v>4.2097989219835874E-4</v>
      </c>
      <c r="M21">
        <v>4.3922422909781211E-4</v>
      </c>
      <c r="N21">
        <v>4.4468128528207806E-4</v>
      </c>
      <c r="O21">
        <v>5.4612392438491142E-4</v>
      </c>
      <c r="P21">
        <v>5.3573019985209136E-4</v>
      </c>
      <c r="Q21">
        <v>5.4958248556946643E-4</v>
      </c>
      <c r="R21">
        <v>1.3826969806889355E-3</v>
      </c>
      <c r="S21">
        <v>7.2302433269844091E-3</v>
      </c>
      <c r="T21">
        <v>2.658389949206974E-3</v>
      </c>
      <c r="U21">
        <v>1.00889310794261E-3</v>
      </c>
      <c r="V21">
        <v>4.8033997366476733E-3</v>
      </c>
      <c r="W21">
        <v>2.1152897664471482E-3</v>
      </c>
      <c r="X21">
        <v>2.5753619718456022E-3</v>
      </c>
      <c r="Y21">
        <v>4.8033997366476733E-3</v>
      </c>
      <c r="Z21">
        <v>1.2773850498863926E-3</v>
      </c>
      <c r="AA21">
        <v>3.4856356676615796E-3</v>
      </c>
      <c r="AC21">
        <v>1.7445567767103487E-2</v>
      </c>
      <c r="AD21">
        <v>2.4533387736136891E-2</v>
      </c>
      <c r="AE21">
        <v>1.8577753694746679E-2</v>
      </c>
      <c r="AF21">
        <v>9.3875900354551955E-3</v>
      </c>
      <c r="AG21">
        <v>1.4948024392463566E-2</v>
      </c>
      <c r="AH21">
        <v>1.221189743697244E-2</v>
      </c>
      <c r="AI21">
        <v>1.221189743697244E-2</v>
      </c>
      <c r="AJ21">
        <v>6.4357113514994513E-3</v>
      </c>
      <c r="AK21">
        <v>7.0880094506791114E-3</v>
      </c>
      <c r="AL21">
        <v>4.1951754758717819E-4</v>
      </c>
    </row>
    <row r="22" spans="1:38">
      <c r="A22" s="568">
        <v>43859</v>
      </c>
      <c r="B22">
        <v>1.7515772893156865E-4</v>
      </c>
      <c r="C22">
        <v>2.3291252331292256E-4</v>
      </c>
      <c r="D22">
        <v>2.3125482516417328E-4</v>
      </c>
      <c r="E22">
        <v>2.2997922670087156E-4</v>
      </c>
      <c r="F22">
        <v>2.2125319822863254E-4</v>
      </c>
      <c r="G22">
        <v>1.9300501763419575E-4</v>
      </c>
      <c r="H22">
        <v>2.1737246519148989E-4</v>
      </c>
      <c r="I22">
        <v>2.6889369325044932E-4</v>
      </c>
      <c r="J22">
        <v>4.3161959006732253E-4</v>
      </c>
      <c r="K22">
        <v>6.1126809090494838E-4</v>
      </c>
      <c r="L22">
        <v>4.2097989219835874E-4</v>
      </c>
      <c r="M22">
        <v>4.3922422909781211E-4</v>
      </c>
      <c r="N22">
        <v>4.4468128528207806E-4</v>
      </c>
      <c r="O22">
        <v>5.4612392438491142E-4</v>
      </c>
      <c r="P22">
        <v>5.3573019985209136E-4</v>
      </c>
      <c r="Q22">
        <v>5.4958248556946643E-4</v>
      </c>
      <c r="R22">
        <v>7.1603615885229566E-4</v>
      </c>
      <c r="S22">
        <v>-3.9530455004144205E-3</v>
      </c>
      <c r="T22">
        <v>9.3324343034906221E-4</v>
      </c>
      <c r="U22">
        <v>-9.2454722202450768E-4</v>
      </c>
      <c r="V22">
        <v>-1.2366382424443545E-3</v>
      </c>
      <c r="W22">
        <v>6.6954374704941699E-5</v>
      </c>
      <c r="X22">
        <v>5.7368923919727255E-3</v>
      </c>
      <c r="Y22">
        <v>-1.2366382424443545E-3</v>
      </c>
      <c r="Z22">
        <v>1.9310599696331643E-3</v>
      </c>
      <c r="AA22">
        <v>-1.5183522276032146E-3</v>
      </c>
      <c r="AC22">
        <v>-9.3939680114011326E-3</v>
      </c>
      <c r="AD22">
        <v>-5.4121290551218948E-3</v>
      </c>
      <c r="AE22">
        <v>-8.6902336333964936E-3</v>
      </c>
      <c r="AF22">
        <v>-2.3645020622883317E-3</v>
      </c>
      <c r="AG22">
        <v>-5.444662681161172E-3</v>
      </c>
      <c r="AH22">
        <v>-6.5757776079807921E-3</v>
      </c>
      <c r="AI22">
        <v>-6.5757776079807921E-3</v>
      </c>
      <c r="AJ22">
        <v>1.3605442176870763E-2</v>
      </c>
      <c r="AK22">
        <v>-1.5953079178885665E-2</v>
      </c>
      <c r="AL22">
        <v>-5.3865516417404002E-3</v>
      </c>
    </row>
    <row r="23" spans="1:38">
      <c r="A23" s="568">
        <v>43860</v>
      </c>
      <c r="B23">
        <v>1.7515772893156865E-4</v>
      </c>
      <c r="C23">
        <v>1.4663509780143968E-4</v>
      </c>
      <c r="D23">
        <v>1.6884170472475368E-4</v>
      </c>
      <c r="E23">
        <v>2.2997922670087156E-4</v>
      </c>
      <c r="F23">
        <v>2.6690761477388136E-4</v>
      </c>
      <c r="G23">
        <v>2.0021399173186794E-4</v>
      </c>
      <c r="H23">
        <v>2.1660321395855497E-4</v>
      </c>
      <c r="I23">
        <v>2.6889369325044932E-4</v>
      </c>
      <c r="J23">
        <v>-3.7013311385503123E-5</v>
      </c>
      <c r="K23">
        <v>-5.0061719539284955E-4</v>
      </c>
      <c r="L23">
        <v>4.2097989219835874E-4</v>
      </c>
      <c r="M23">
        <v>4.3922422909781211E-4</v>
      </c>
      <c r="N23">
        <v>4.4468128528207806E-4</v>
      </c>
      <c r="O23">
        <v>5.4612392438491142E-4</v>
      </c>
      <c r="P23">
        <v>5.3573019985209136E-4</v>
      </c>
      <c r="Q23">
        <v>5.4958248556946643E-4</v>
      </c>
      <c r="R23">
        <v>-5.5594189661178905E-4</v>
      </c>
      <c r="S23">
        <v>-4.2708099275524658E-3</v>
      </c>
      <c r="T23">
        <v>1.5828810288269768E-3</v>
      </c>
      <c r="U23">
        <v>-3.5399125804691511E-4</v>
      </c>
      <c r="V23">
        <v>-8.8968676161937932E-4</v>
      </c>
      <c r="W23">
        <v>7.8225663420572467E-4</v>
      </c>
      <c r="X23">
        <v>-4.5744098511172337E-3</v>
      </c>
      <c r="Y23">
        <v>-8.8968676161937932E-4</v>
      </c>
      <c r="Z23">
        <v>1.6313767671407575E-3</v>
      </c>
      <c r="AA23">
        <v>1.0395112752183966E-3</v>
      </c>
      <c r="AC23">
        <v>1.2410646809630776E-3</v>
      </c>
      <c r="AD23">
        <v>-4.7159327439373344E-3</v>
      </c>
      <c r="AE23">
        <v>-5.3625325073880514E-4</v>
      </c>
      <c r="AF23">
        <v>-2.4591396771281859E-3</v>
      </c>
      <c r="AG23">
        <v>-3.6441880649437097E-3</v>
      </c>
      <c r="AH23">
        <v>8.6874527667415427E-4</v>
      </c>
      <c r="AI23">
        <v>8.6874527667415427E-4</v>
      </c>
      <c r="AJ23">
        <v>5.9731543624159666E-3</v>
      </c>
      <c r="AK23">
        <v>-2.336392895458328E-2</v>
      </c>
      <c r="AL23">
        <v>-1.1842500046795434E-2</v>
      </c>
    </row>
    <row r="24" spans="1:38">
      <c r="A24" s="568">
        <v>43861</v>
      </c>
      <c r="B24">
        <v>1.7515772893156865E-4</v>
      </c>
      <c r="C24">
        <v>2.1293923325349517E-4</v>
      </c>
      <c r="D24">
        <v>2.0881075510659208E-4</v>
      </c>
      <c r="E24">
        <v>2.2997922670087156E-4</v>
      </c>
      <c r="F24">
        <v>-6.8536745063685345E-6</v>
      </c>
      <c r="G24">
        <v>1.8786773396972656E-4</v>
      </c>
      <c r="H24">
        <v>2.1800001588090367E-4</v>
      </c>
      <c r="I24">
        <v>2.6889369325044932E-4</v>
      </c>
      <c r="J24">
        <v>2.2733426384924371E-5</v>
      </c>
      <c r="K24">
        <v>-2.6046421557013311E-5</v>
      </c>
      <c r="L24">
        <v>4.2097989219835874E-4</v>
      </c>
      <c r="M24">
        <v>4.3922422909781211E-4</v>
      </c>
      <c r="N24">
        <v>4.4468128528207806E-4</v>
      </c>
      <c r="O24">
        <v>5.4612392438491142E-4</v>
      </c>
      <c r="P24">
        <v>5.3573019985209136E-4</v>
      </c>
      <c r="Q24">
        <v>5.4958248556946643E-4</v>
      </c>
      <c r="R24">
        <v>-5.7831944652686484E-4</v>
      </c>
      <c r="S24">
        <v>-5.8422154948764016E-3</v>
      </c>
      <c r="T24">
        <v>2.8644606835628306E-3</v>
      </c>
      <c r="U24">
        <v>7.6203425396936808E-5</v>
      </c>
      <c r="V24">
        <v>-2.9039656703166994E-3</v>
      </c>
      <c r="W24">
        <v>-2.1624343200918883E-3</v>
      </c>
      <c r="X24">
        <v>4.1173749573455432E-3</v>
      </c>
      <c r="Y24">
        <v>-2.9039656703166994E-3</v>
      </c>
      <c r="Z24">
        <v>-2.237594621614214E-3</v>
      </c>
      <c r="AA24">
        <v>2.9208717117723548E-3</v>
      </c>
      <c r="AC24">
        <v>-1.5298455785610399E-2</v>
      </c>
      <c r="AD24">
        <v>-1.4685826549067693E-2</v>
      </c>
      <c r="AE24">
        <v>-1.4723717010248216E-2</v>
      </c>
      <c r="AF24">
        <v>-2.8872039043239539E-3</v>
      </c>
      <c r="AG24">
        <v>-9.4484252950471914E-3</v>
      </c>
      <c r="AH24">
        <v>-1.0708919049927278E-2</v>
      </c>
      <c r="AI24">
        <v>-1.0708919049927278E-2</v>
      </c>
      <c r="AJ24">
        <v>-1.1942090866635446E-2</v>
      </c>
      <c r="AK24">
        <v>-7.8115464420847047E-3</v>
      </c>
      <c r="AL24">
        <v>-3.3372778431618455E-3</v>
      </c>
    </row>
    <row r="25" spans="1:38">
      <c r="A25" s="568">
        <v>43864</v>
      </c>
      <c r="B25">
        <v>1.7515772893156865E-4</v>
      </c>
      <c r="C25">
        <v>1.7269459737812021E-4</v>
      </c>
      <c r="D25">
        <v>1.8583217825307585E-4</v>
      </c>
      <c r="E25">
        <v>2.2997922670087156E-4</v>
      </c>
      <c r="F25">
        <v>1.6403240073992187E-4</v>
      </c>
      <c r="G25">
        <v>1.4030379243945568E-4</v>
      </c>
      <c r="H25">
        <v>2.18674199259139E-4</v>
      </c>
      <c r="I25">
        <v>2.6889369325044932E-4</v>
      </c>
      <c r="J25">
        <v>6.8558180753242048E-4</v>
      </c>
      <c r="K25">
        <v>1.1129115245722687E-3</v>
      </c>
      <c r="L25">
        <v>4.6439681166998703E-4</v>
      </c>
      <c r="M25">
        <v>4.8264194034897123E-4</v>
      </c>
      <c r="N25">
        <v>4.8809923336223804E-4</v>
      </c>
      <c r="O25">
        <v>5.4612392438491142E-4</v>
      </c>
      <c r="P25">
        <v>5.3573019985209136E-4</v>
      </c>
      <c r="Q25">
        <v>5.4958248556946643E-4</v>
      </c>
      <c r="R25">
        <v>1.2047175570537583E-3</v>
      </c>
      <c r="S25">
        <v>1.3492868362290356E-3</v>
      </c>
      <c r="T25">
        <v>-3.1913590756887933E-3</v>
      </c>
      <c r="U25">
        <v>4.6468200678773108E-4</v>
      </c>
      <c r="V25">
        <v>2.5626144497534753E-3</v>
      </c>
      <c r="W25">
        <v>1.1391350219036589E-3</v>
      </c>
      <c r="X25">
        <v>1.6595921811630721E-3</v>
      </c>
      <c r="Y25">
        <v>2.5626144497534753E-3</v>
      </c>
      <c r="Z25">
        <v>7.6411267208764677E-4</v>
      </c>
      <c r="AA25">
        <v>7.9841293894111764E-4</v>
      </c>
      <c r="AC25">
        <v>7.6353324437459236E-3</v>
      </c>
      <c r="AD25">
        <v>6.5107228955212371E-3</v>
      </c>
      <c r="AE25">
        <v>1.1610128353858995E-2</v>
      </c>
      <c r="AF25">
        <v>4.4634911607908112E-3</v>
      </c>
      <c r="AG25">
        <v>3.9961773932148947E-3</v>
      </c>
      <c r="AH25">
        <v>5.3447327106221458E-3</v>
      </c>
      <c r="AI25">
        <v>5.3447327106221458E-3</v>
      </c>
      <c r="AJ25">
        <v>-8.7778528021609237E-4</v>
      </c>
      <c r="AK25">
        <v>3.5674744741049924E-3</v>
      </c>
      <c r="AL25">
        <v>-1.0369749688570851E-2</v>
      </c>
    </row>
    <row r="26" spans="1:38">
      <c r="A26" s="568">
        <v>43865</v>
      </c>
      <c r="B26">
        <v>1.7515772893156865E-4</v>
      </c>
      <c r="C26">
        <v>1.8901174043861602E-4</v>
      </c>
      <c r="D26">
        <v>1.8462171657041004E-4</v>
      </c>
      <c r="E26">
        <v>2.2997922670087156E-4</v>
      </c>
      <c r="F26">
        <v>1.4573190537392477E-4</v>
      </c>
      <c r="G26">
        <v>1.7074183408061216E-4</v>
      </c>
      <c r="H26">
        <v>2.1862639130798556E-4</v>
      </c>
      <c r="I26">
        <v>2.6889369325044932E-4</v>
      </c>
      <c r="J26">
        <v>3.988154366039165E-4</v>
      </c>
      <c r="K26">
        <v>3.9368534899852925E-4</v>
      </c>
      <c r="L26">
        <v>4.6439681166998703E-4</v>
      </c>
      <c r="M26">
        <v>4.8264194034897123E-4</v>
      </c>
      <c r="N26">
        <v>4.8809923336223804E-4</v>
      </c>
      <c r="O26">
        <v>5.4612392438491142E-4</v>
      </c>
      <c r="P26">
        <v>5.3573019985209136E-4</v>
      </c>
      <c r="Q26">
        <v>5.4958248556946643E-4</v>
      </c>
      <c r="R26">
        <v>8.0434084591995969E-4</v>
      </c>
      <c r="S26">
        <v>6.8588652380165982E-3</v>
      </c>
      <c r="T26">
        <v>-3.5581728599571871E-3</v>
      </c>
      <c r="U26">
        <v>6.0665329949061153E-4</v>
      </c>
      <c r="V26">
        <v>1.8053690565558167E-3</v>
      </c>
      <c r="W26">
        <v>1.1836578846886603E-3</v>
      </c>
      <c r="X26">
        <v>2.5853244746609771E-3</v>
      </c>
      <c r="Y26">
        <v>1.8053690565558167E-3</v>
      </c>
      <c r="Z26">
        <v>2.738878241376197E-3</v>
      </c>
      <c r="AA26">
        <v>1.5154887794621708E-4</v>
      </c>
      <c r="AC26">
        <v>8.09130657807966E-3</v>
      </c>
      <c r="AD26">
        <v>1.3113020471376968E-2</v>
      </c>
      <c r="AE26">
        <v>6.3422018031764615E-3</v>
      </c>
      <c r="AF26">
        <v>4.2975278400156913E-3</v>
      </c>
      <c r="AG26">
        <v>7.4184378656592109E-3</v>
      </c>
      <c r="AH26">
        <v>5.663914604655762E-3</v>
      </c>
      <c r="AI26">
        <v>5.663914604655762E-3</v>
      </c>
      <c r="AJ26">
        <v>1.7773873082381542E-2</v>
      </c>
      <c r="AK26">
        <v>2.8315763667565719E-2</v>
      </c>
      <c r="AL26">
        <v>2.2254928823365105E-2</v>
      </c>
    </row>
    <row r="27" spans="1:38">
      <c r="A27" s="568">
        <v>43866</v>
      </c>
      <c r="B27">
        <v>1.7515772893156865E-4</v>
      </c>
      <c r="C27">
        <v>2.2170936837673239E-4</v>
      </c>
      <c r="D27">
        <v>1.9105408358988107E-4</v>
      </c>
      <c r="E27">
        <v>2.2997922670087156E-4</v>
      </c>
      <c r="F27">
        <v>-4.1566366871026439E-5</v>
      </c>
      <c r="G27">
        <v>2.3637904207651772E-4</v>
      </c>
      <c r="H27">
        <v>2.1857860425678055E-4</v>
      </c>
      <c r="I27">
        <v>2.6889369325044932E-4</v>
      </c>
      <c r="J27">
        <v>5.4693956453677472E-4</v>
      </c>
      <c r="K27">
        <v>5.4124719571579938E-4</v>
      </c>
      <c r="L27">
        <v>4.6439681166998703E-4</v>
      </c>
      <c r="M27">
        <v>4.8264194034897123E-4</v>
      </c>
      <c r="N27">
        <v>4.8809923336223804E-4</v>
      </c>
      <c r="O27">
        <v>5.4612392438491142E-4</v>
      </c>
      <c r="P27">
        <v>5.3573019985209136E-4</v>
      </c>
      <c r="Q27">
        <v>5.4958248556946643E-4</v>
      </c>
      <c r="R27">
        <v>1.4570201733776766E-3</v>
      </c>
      <c r="S27">
        <v>5.7387746510957349E-3</v>
      </c>
      <c r="T27">
        <v>3.6044268657211553E-3</v>
      </c>
      <c r="U27">
        <v>1.9838626922810132E-3</v>
      </c>
      <c r="V27">
        <v>2.337737038883958E-3</v>
      </c>
      <c r="W27">
        <v>1.2767218289511106E-3</v>
      </c>
      <c r="X27">
        <v>1.3192333217934671E-2</v>
      </c>
      <c r="Y27">
        <v>2.337737038883958E-3</v>
      </c>
      <c r="Z27">
        <v>2.7038685802047713E-3</v>
      </c>
      <c r="AA27">
        <v>9.0427086570987747E-4</v>
      </c>
      <c r="AC27">
        <v>4.0811134274343353E-3</v>
      </c>
      <c r="AD27">
        <v>5.025308450879562E-3</v>
      </c>
      <c r="AE27">
        <v>5.4361482854861087E-3</v>
      </c>
      <c r="AF27">
        <v>5.1244212476886375E-3</v>
      </c>
      <c r="AG27">
        <v>9.5912118815060232E-3</v>
      </c>
      <c r="AH27">
        <v>2.8567793992040347E-3</v>
      </c>
      <c r="AI27">
        <v>2.8567793992040347E-3</v>
      </c>
      <c r="AJ27">
        <v>5.9760956175298752E-3</v>
      </c>
      <c r="AK27">
        <v>1.311240910716327E-3</v>
      </c>
      <c r="AL27">
        <v>7.9096716049902316E-3</v>
      </c>
    </row>
    <row r="28" spans="1:38">
      <c r="A28" s="568">
        <v>43867</v>
      </c>
      <c r="B28">
        <v>1.6540434129188041E-4</v>
      </c>
      <c r="C28">
        <v>1.5908947024212416E-4</v>
      </c>
      <c r="D28">
        <v>1.8572787105308741E-4</v>
      </c>
      <c r="E28">
        <v>2.2046316435520019E-4</v>
      </c>
      <c r="F28">
        <v>1.8454406880374918E-4</v>
      </c>
      <c r="G28">
        <v>1.6174700249904639E-4</v>
      </c>
      <c r="H28">
        <v>2.1853083809086904E-4</v>
      </c>
      <c r="I28">
        <v>2.5937726067737366E-4</v>
      </c>
      <c r="J28">
        <v>-1.2838682444883398E-3</v>
      </c>
      <c r="K28">
        <v>-1.8816423474247168E-3</v>
      </c>
      <c r="L28">
        <v>4.6439681166998703E-4</v>
      </c>
      <c r="M28">
        <v>4.8264194034897123E-4</v>
      </c>
      <c r="N28">
        <v>4.8809923336223804E-4</v>
      </c>
      <c r="O28">
        <v>5.4612392438491142E-4</v>
      </c>
      <c r="P28">
        <v>5.3573019985209136E-4</v>
      </c>
      <c r="Q28">
        <v>5.4958248556946643E-4</v>
      </c>
      <c r="R28">
        <v>1.0238667083461994E-3</v>
      </c>
      <c r="S28">
        <v>-1.0684786180159556E-5</v>
      </c>
      <c r="T28">
        <v>2.734213911669281E-3</v>
      </c>
      <c r="U28">
        <v>-1.1324463734319057E-4</v>
      </c>
      <c r="V28">
        <v>-2.4507416718216879E-3</v>
      </c>
      <c r="W28">
        <v>2.5372962032554902E-4</v>
      </c>
      <c r="X28">
        <v>2.6748453023672791E-3</v>
      </c>
      <c r="Y28">
        <v>-2.4507416718216879E-3</v>
      </c>
      <c r="Z28">
        <v>-2.7317191024034404E-4</v>
      </c>
      <c r="AA28">
        <v>1.1491300873911481E-3</v>
      </c>
      <c r="AC28">
        <v>-7.2249614964625675E-3</v>
      </c>
      <c r="AD28">
        <v>-1.2635488757765323E-2</v>
      </c>
      <c r="AE28">
        <v>-7.5873303657412183E-3</v>
      </c>
      <c r="AF28">
        <v>-7.2907236032891953E-3</v>
      </c>
      <c r="AG28">
        <v>-5.2324574644808663E-3</v>
      </c>
      <c r="AH28">
        <v>-5.0574730475237972E-3</v>
      </c>
      <c r="AI28">
        <v>-5.0574730475237972E-3</v>
      </c>
      <c r="AJ28">
        <v>1.3201320132013139E-2</v>
      </c>
      <c r="AK28">
        <v>1.8571428571428683E-2</v>
      </c>
      <c r="AL28">
        <v>7.7182088290339568E-3</v>
      </c>
    </row>
    <row r="29" spans="1:38">
      <c r="A29" s="568">
        <v>43868</v>
      </c>
      <c r="B29">
        <v>1.6540434129188041E-4</v>
      </c>
      <c r="C29">
        <v>1.5789718979286604E-4</v>
      </c>
      <c r="D29">
        <v>1.6630135215334185E-4</v>
      </c>
      <c r="E29">
        <v>2.2046316435520019E-4</v>
      </c>
      <c r="F29">
        <v>1.9273076197623418E-4</v>
      </c>
      <c r="G29">
        <v>1.4526121238067624E-4</v>
      </c>
      <c r="H29">
        <v>2.0838816441748342E-4</v>
      </c>
      <c r="I29">
        <v>2.5937726067737366E-4</v>
      </c>
      <c r="J29">
        <v>-6.5407330340816472E-4</v>
      </c>
      <c r="K29">
        <v>-8.8412557368844347E-4</v>
      </c>
      <c r="L29">
        <v>4.6439681166998703E-4</v>
      </c>
      <c r="M29">
        <v>4.8264194034897123E-4</v>
      </c>
      <c r="N29">
        <v>4.8809923336223804E-4</v>
      </c>
      <c r="O29">
        <v>5.4612392438491142E-4</v>
      </c>
      <c r="P29">
        <v>5.3573019985209136E-4</v>
      </c>
      <c r="Q29">
        <v>5.4958248556946643E-4</v>
      </c>
      <c r="R29">
        <v>-5.8252866577668261E-4</v>
      </c>
      <c r="S29">
        <v>-8.1046293699477134E-3</v>
      </c>
      <c r="T29">
        <v>3.4769306984607784E-3</v>
      </c>
      <c r="U29">
        <v>-1.092477268708314E-3</v>
      </c>
      <c r="V29">
        <v>-3.7656285459448657E-3</v>
      </c>
      <c r="W29">
        <v>9.0628211091670074E-4</v>
      </c>
      <c r="X29">
        <v>-1.0022890184363531E-3</v>
      </c>
      <c r="Y29">
        <v>-3.7656285459448657E-3</v>
      </c>
      <c r="Z29">
        <v>3.2075575328169847E-3</v>
      </c>
      <c r="AA29">
        <v>-1.0865686822089105E-3</v>
      </c>
      <c r="AC29">
        <v>-1.2324854588071865E-2</v>
      </c>
      <c r="AD29">
        <v>-1.5858442348551494E-2</v>
      </c>
      <c r="AE29">
        <v>-1.2979471852657021E-2</v>
      </c>
      <c r="AF29">
        <v>-1.0509338982150673E-2</v>
      </c>
      <c r="AG29">
        <v>-9.2489304730215549E-3</v>
      </c>
      <c r="AH29">
        <v>-8.6273982116503046E-3</v>
      </c>
      <c r="AI29">
        <v>-8.6273982116503046E-3</v>
      </c>
      <c r="AJ29">
        <v>2.6058631921823672E-3</v>
      </c>
      <c r="AK29">
        <v>-6.8957456755494029E-3</v>
      </c>
      <c r="AL29">
        <v>-3.0551974677041072E-3</v>
      </c>
    </row>
    <row r="30" spans="1:38">
      <c r="A30" s="568">
        <v>43871</v>
      </c>
      <c r="B30">
        <v>1.6540434129188041E-4</v>
      </c>
      <c r="C30">
        <v>2.2761535812065858E-4</v>
      </c>
      <c r="D30">
        <v>1.9623821909697803E-4</v>
      </c>
      <c r="E30">
        <v>2.2046316435520019E-4</v>
      </c>
      <c r="F30">
        <v>2.2328716144492944E-4</v>
      </c>
      <c r="G30">
        <v>1.8796945892862738E-4</v>
      </c>
      <c r="H30">
        <v>2.0834474783804069E-4</v>
      </c>
      <c r="I30">
        <v>2.5937726067737366E-4</v>
      </c>
      <c r="J30">
        <v>6.8968023792570499E-4</v>
      </c>
      <c r="K30">
        <v>-4.088915994093778E-5</v>
      </c>
      <c r="L30">
        <v>4.6439681166998703E-4</v>
      </c>
      <c r="M30">
        <v>4.8264194034897123E-4</v>
      </c>
      <c r="N30">
        <v>4.8809923336223804E-4</v>
      </c>
      <c r="O30">
        <v>5.4612392438491142E-4</v>
      </c>
      <c r="P30">
        <v>5.3573019985209136E-4</v>
      </c>
      <c r="Q30">
        <v>5.4958248556946643E-4</v>
      </c>
      <c r="R30">
        <v>-9.1861581416496918E-5</v>
      </c>
      <c r="S30">
        <v>-8.6774118076904383E-4</v>
      </c>
      <c r="T30">
        <v>2.4356594305530166E-4</v>
      </c>
      <c r="U30">
        <v>-2.3781029666206654E-3</v>
      </c>
      <c r="V30">
        <v>-4.0050115620868798E-3</v>
      </c>
      <c r="W30">
        <v>2.0485554464988454E-5</v>
      </c>
      <c r="X30">
        <v>-4.2909582466118534E-3</v>
      </c>
      <c r="Y30">
        <v>-4.0050115620868798E-3</v>
      </c>
      <c r="Z30">
        <v>3.252050324658029E-4</v>
      </c>
      <c r="AA30">
        <v>-1.3597212197812292E-3</v>
      </c>
      <c r="AC30">
        <v>-1.0547568214199998E-2</v>
      </c>
      <c r="AD30">
        <v>-2.2687371079088359E-2</v>
      </c>
      <c r="AE30">
        <v>-1.7256960928755949E-2</v>
      </c>
      <c r="AF30">
        <v>-1.5082837418706641E-2</v>
      </c>
      <c r="AG30">
        <v>-1.3309816753686587E-2</v>
      </c>
      <c r="AH30">
        <v>-7.3832977499399986E-3</v>
      </c>
      <c r="AI30">
        <v>-7.3832977499399986E-3</v>
      </c>
      <c r="AJ30">
        <v>1.1046133853151341E-2</v>
      </c>
      <c r="AK30">
        <v>-8.2382017182525136E-4</v>
      </c>
      <c r="AL30">
        <v>-3.4704844006531177E-3</v>
      </c>
    </row>
    <row r="31" spans="1:38">
      <c r="A31" s="568">
        <v>43872</v>
      </c>
      <c r="B31">
        <v>1.6540434129188041E-4</v>
      </c>
      <c r="C31">
        <v>2.091543343454294E-4</v>
      </c>
      <c r="D31">
        <v>3.9357428303388176E-4</v>
      </c>
      <c r="E31">
        <v>2.2046316435520019E-4</v>
      </c>
      <c r="F31">
        <v>9.3129677597669769E-5</v>
      </c>
      <c r="G31">
        <v>1.8069827244304726E-4</v>
      </c>
      <c r="H31">
        <v>2.1118441300460589E-4</v>
      </c>
      <c r="I31">
        <v>2.5937726067737366E-4</v>
      </c>
      <c r="J31">
        <v>1.0662913735375312E-3</v>
      </c>
      <c r="K31">
        <v>1.1734115948274226E-3</v>
      </c>
      <c r="L31">
        <v>4.6439681166998703E-4</v>
      </c>
      <c r="M31">
        <v>4.8264194034897123E-4</v>
      </c>
      <c r="N31">
        <v>4.8809923336223804E-4</v>
      </c>
      <c r="O31">
        <v>5.4612392438491142E-4</v>
      </c>
      <c r="P31">
        <v>5.3573019985209136E-4</v>
      </c>
      <c r="Q31">
        <v>5.4958248556946643E-4</v>
      </c>
      <c r="R31">
        <v>1.0998523609946353E-3</v>
      </c>
      <c r="S31">
        <v>1.0204524424021866E-2</v>
      </c>
      <c r="T31">
        <v>-5.8506430017435385E-4</v>
      </c>
      <c r="U31">
        <v>3.5329942609467757E-3</v>
      </c>
      <c r="V31">
        <v>6.8827041474408546E-3</v>
      </c>
      <c r="W31">
        <v>-2.5752740911033634E-4</v>
      </c>
      <c r="X31">
        <v>1.5362179863069869E-3</v>
      </c>
      <c r="Y31">
        <v>6.8827041474408546E-3</v>
      </c>
      <c r="Z31">
        <v>5.8761426365006031E-3</v>
      </c>
      <c r="AA31">
        <v>2.9406529997568764E-3</v>
      </c>
      <c r="AC31">
        <v>2.4876010812798777E-2</v>
      </c>
      <c r="AD31">
        <v>3.3922840427409451E-2</v>
      </c>
      <c r="AE31">
        <v>2.6300046678152889E-2</v>
      </c>
      <c r="AF31">
        <v>1.3151209586505841E-2</v>
      </c>
      <c r="AG31">
        <v>1.6951426438665207E-2</v>
      </c>
      <c r="AH31">
        <v>1.7413207568959144E-2</v>
      </c>
      <c r="AI31">
        <v>1.7413207568959144E-2</v>
      </c>
      <c r="AJ31">
        <v>3.5347043701801084E-3</v>
      </c>
      <c r="AK31">
        <v>1.2485276796230682E-2</v>
      </c>
      <c r="AL31">
        <v>1.2437765081348084E-2</v>
      </c>
    </row>
    <row r="32" spans="1:38">
      <c r="A32" s="568">
        <v>43873</v>
      </c>
      <c r="B32">
        <v>1.6540434129188041E-4</v>
      </c>
      <c r="C32">
        <v>9.9589491750373682E-5</v>
      </c>
      <c r="D32">
        <v>1.9729691482806011E-4</v>
      </c>
      <c r="E32">
        <v>2.2046316435520019E-4</v>
      </c>
      <c r="F32">
        <v>6.7558376371401607E-5</v>
      </c>
      <c r="G32">
        <v>4.0900002219923515E-4</v>
      </c>
      <c r="H32">
        <v>2.1041920983266849E-4</v>
      </c>
      <c r="I32">
        <v>2.5937726067737366E-4</v>
      </c>
      <c r="J32">
        <v>1.2407413677044676E-3</v>
      </c>
      <c r="K32">
        <v>1.8932072839368264E-3</v>
      </c>
      <c r="L32">
        <v>4.6439681166998703E-4</v>
      </c>
      <c r="M32">
        <v>4.8264194034897123E-4</v>
      </c>
      <c r="N32">
        <v>4.8809923336223804E-4</v>
      </c>
      <c r="O32">
        <v>5.4612392438491142E-4</v>
      </c>
      <c r="P32">
        <v>5.3573019985209136E-4</v>
      </c>
      <c r="Q32">
        <v>5.4958248556946643E-4</v>
      </c>
      <c r="R32">
        <v>7.3609148990350093E-4</v>
      </c>
      <c r="S32">
        <v>7.6016620758094788E-3</v>
      </c>
      <c r="T32">
        <v>1.3188699523725145E-3</v>
      </c>
      <c r="U32">
        <v>2.2768121359171278E-3</v>
      </c>
      <c r="V32">
        <v>4.0438137045928357E-3</v>
      </c>
      <c r="W32">
        <v>8.4654672165118683E-4</v>
      </c>
      <c r="X32">
        <v>4.1850323382552901E-5</v>
      </c>
      <c r="Y32">
        <v>4.0438137045928357E-3</v>
      </c>
      <c r="Z32">
        <v>2.146233915828244E-3</v>
      </c>
      <c r="AA32">
        <v>7.3839326861779853E-6</v>
      </c>
      <c r="AC32">
        <v>1.1298372375631249E-2</v>
      </c>
      <c r="AD32">
        <v>1.6769576795594432E-2</v>
      </c>
      <c r="AE32">
        <v>1.472857457445409E-2</v>
      </c>
      <c r="AF32">
        <v>6.7938466790327112E-3</v>
      </c>
      <c r="AG32">
        <v>6.5214681415632914E-3</v>
      </c>
      <c r="AH32">
        <v>7.9088606629418735E-3</v>
      </c>
      <c r="AI32">
        <v>7.9088606629418735E-3</v>
      </c>
      <c r="AJ32">
        <v>8.6455331412103043E-3</v>
      </c>
      <c r="AK32">
        <v>1.4076314564914094E-2</v>
      </c>
      <c r="AL32">
        <v>1.0125292064574021E-2</v>
      </c>
    </row>
    <row r="33" spans="1:38">
      <c r="A33" s="568">
        <v>43874</v>
      </c>
      <c r="B33">
        <v>1.6540434129188041E-4</v>
      </c>
      <c r="C33">
        <v>1.6265271240700763E-4</v>
      </c>
      <c r="D33">
        <v>1.6731705054673363E-4</v>
      </c>
      <c r="E33">
        <v>2.2046316435520019E-4</v>
      </c>
      <c r="F33">
        <v>1.5062674418930833E-4</v>
      </c>
      <c r="G33">
        <v>1.544391446863802E-4</v>
      </c>
      <c r="H33">
        <v>2.1613863996927662E-4</v>
      </c>
      <c r="I33">
        <v>2.5937726067737366E-4</v>
      </c>
      <c r="J33">
        <v>2.1228269000839184E-4</v>
      </c>
      <c r="K33">
        <v>-1.8923622011279839E-5</v>
      </c>
      <c r="L33">
        <v>4.6439681166998703E-4</v>
      </c>
      <c r="M33">
        <v>4.8264194034897123E-4</v>
      </c>
      <c r="N33">
        <v>4.8809923336223804E-4</v>
      </c>
      <c r="O33">
        <v>5.4612392438491142E-4</v>
      </c>
      <c r="P33">
        <v>5.3573019985209136E-4</v>
      </c>
      <c r="Q33">
        <v>5.4958248556946643E-4</v>
      </c>
      <c r="R33">
        <v>5.0306715978876149E-4</v>
      </c>
      <c r="S33">
        <v>-2.6121426818159765E-4</v>
      </c>
      <c r="T33">
        <v>1.7595598736781515E-3</v>
      </c>
      <c r="U33">
        <v>-6.2024001972837972E-4</v>
      </c>
      <c r="V33">
        <v>-8.6022297400389913E-4</v>
      </c>
      <c r="W33">
        <v>-5.2294096382576871E-4</v>
      </c>
      <c r="X33">
        <v>8.2919871806241829E-4</v>
      </c>
      <c r="Y33">
        <v>-8.6022297400389913E-4</v>
      </c>
      <c r="Z33">
        <v>-2.2556554268480244E-3</v>
      </c>
      <c r="AA33">
        <v>8.0867609390877782E-4</v>
      </c>
      <c r="AC33">
        <v>-8.6711618088334275E-3</v>
      </c>
      <c r="AD33">
        <v>-2.941010360012819E-3</v>
      </c>
      <c r="AE33">
        <v>-6.178385142757481E-3</v>
      </c>
      <c r="AF33">
        <v>-4.5953044517303976E-3</v>
      </c>
      <c r="AG33">
        <v>-6.5799396409226274E-3</v>
      </c>
      <c r="AH33">
        <v>-6.0698132661833985E-3</v>
      </c>
      <c r="AI33">
        <v>-6.0698132661833985E-3</v>
      </c>
      <c r="AJ33">
        <v>1.2698412698410877E-3</v>
      </c>
      <c r="AK33">
        <v>-4.4740162900079872E-3</v>
      </c>
      <c r="AL33">
        <v>1.8144024724866537E-3</v>
      </c>
    </row>
    <row r="34" spans="1:38">
      <c r="A34" s="568">
        <v>43875</v>
      </c>
      <c r="B34">
        <v>1.6540434129188041E-4</v>
      </c>
      <c r="C34">
        <v>2.2152624413274147E-4</v>
      </c>
      <c r="D34">
        <v>1.3383124818777681E-4</v>
      </c>
      <c r="E34">
        <v>2.2046316435520019E-4</v>
      </c>
      <c r="F34">
        <v>1.6885909666775056E-4</v>
      </c>
      <c r="G34">
        <v>6.3291452682356919E-5</v>
      </c>
      <c r="H34">
        <v>2.124904019165097E-4</v>
      </c>
      <c r="I34">
        <v>2.5937726067737366E-4</v>
      </c>
      <c r="J34">
        <v>1.9003550597123109E-3</v>
      </c>
      <c r="K34">
        <v>2.6783311249010122E-3</v>
      </c>
      <c r="L34">
        <v>4.6439681166998703E-4</v>
      </c>
      <c r="M34">
        <v>4.8264194034897123E-4</v>
      </c>
      <c r="N34">
        <v>4.8809923336223804E-4</v>
      </c>
      <c r="O34">
        <v>5.4612392438491142E-4</v>
      </c>
      <c r="P34">
        <v>5.3573019985209136E-4</v>
      </c>
      <c r="Q34">
        <v>5.4958248556946643E-4</v>
      </c>
      <c r="R34">
        <v>5.0926882164614717E-4</v>
      </c>
      <c r="S34">
        <v>-1.8865928794560283E-3</v>
      </c>
      <c r="T34">
        <v>-1.6228589349505107E-3</v>
      </c>
      <c r="U34">
        <v>-3.5051703676947099E-4</v>
      </c>
      <c r="V34">
        <v>-8.7412817562604328E-4</v>
      </c>
      <c r="W34">
        <v>2.1642589432235848E-3</v>
      </c>
      <c r="X34">
        <v>6.2740536354422005E-4</v>
      </c>
      <c r="Y34">
        <v>-8.7412817562604328E-4</v>
      </c>
      <c r="Z34">
        <v>3.2133247680965482E-4</v>
      </c>
      <c r="AA34">
        <v>2.253104138226325E-3</v>
      </c>
      <c r="AC34">
        <v>-1.1081388593008556E-2</v>
      </c>
      <c r="AD34">
        <v>-8.8386971925201729E-3</v>
      </c>
      <c r="AE34">
        <v>-1.263777743035488E-2</v>
      </c>
      <c r="AF34">
        <v>-4.4223824116131905E-3</v>
      </c>
      <c r="AG34">
        <v>-4.9741690589455434E-3</v>
      </c>
      <c r="AH34">
        <v>-7.7569720151059894E-3</v>
      </c>
      <c r="AI34">
        <v>-7.7569720151059894E-3</v>
      </c>
      <c r="AJ34">
        <v>-1.2872542802790155E-2</v>
      </c>
      <c r="AK34">
        <v>4.6093569946981106E-4</v>
      </c>
      <c r="AL34">
        <v>-1.2823102685561527E-2</v>
      </c>
    </row>
    <row r="35" spans="1:38">
      <c r="A35" s="568">
        <v>43878</v>
      </c>
      <c r="B35">
        <v>1.6540434129188041E-4</v>
      </c>
      <c r="C35">
        <v>1.7500331068287522E-4</v>
      </c>
      <c r="D35">
        <v>1.8839509679735578E-4</v>
      </c>
      <c r="E35">
        <v>2.2046316435520019E-4</v>
      </c>
      <c r="F35">
        <v>1.3506447046962577E-4</v>
      </c>
      <c r="G35">
        <v>8.2402435071404767E-5</v>
      </c>
      <c r="H35">
        <v>2.1244525933794556E-4</v>
      </c>
      <c r="I35">
        <v>2.5937726067737366E-4</v>
      </c>
      <c r="J35">
        <v>-1.2752645472990931E-4</v>
      </c>
      <c r="K35">
        <v>-3.3955301607457855E-4</v>
      </c>
      <c r="L35">
        <v>4.6439681166998703E-4</v>
      </c>
      <c r="M35">
        <v>4.8264194034897123E-4</v>
      </c>
      <c r="N35">
        <v>4.8809923336223804E-4</v>
      </c>
      <c r="O35">
        <v>5.4612392438491142E-4</v>
      </c>
      <c r="P35">
        <v>5.3573019985209136E-4</v>
      </c>
      <c r="Q35">
        <v>5.4958248556946643E-4</v>
      </c>
      <c r="R35">
        <v>-3.6772556576525339E-5</v>
      </c>
      <c r="S35">
        <v>1.0878984391846647E-3</v>
      </c>
      <c r="T35">
        <v>1.4940491213393248E-3</v>
      </c>
      <c r="U35">
        <v>1.0861671533006767E-3</v>
      </c>
      <c r="V35">
        <v>2.1450688451150057E-3</v>
      </c>
      <c r="W35">
        <v>-3.9711136521014545E-5</v>
      </c>
      <c r="X35">
        <v>-3.156966918999804E-3</v>
      </c>
      <c r="Y35">
        <v>2.1450688451150057E-3</v>
      </c>
      <c r="Z35">
        <v>2.600569780731643E-3</v>
      </c>
      <c r="AA35">
        <v>1.907565589657656E-3</v>
      </c>
      <c r="AC35">
        <v>8.1167539628625995E-3</v>
      </c>
      <c r="AD35">
        <v>9.5179177548014859E-3</v>
      </c>
      <c r="AE35">
        <v>1.2189501641147515E-2</v>
      </c>
      <c r="AF35">
        <v>4.5754146329834988E-3</v>
      </c>
      <c r="AG35">
        <v>4.8134080659607559E-3</v>
      </c>
      <c r="AH35">
        <v>5.6817277740038195E-3</v>
      </c>
      <c r="AI35">
        <v>5.6817277740038195E-3</v>
      </c>
      <c r="AJ35">
        <v>2.1262927988694003E-2</v>
      </c>
      <c r="AK35">
        <v>8.062658373646725E-3</v>
      </c>
      <c r="AL35">
        <v>8.4611041738265058E-3</v>
      </c>
    </row>
    <row r="36" spans="1:38">
      <c r="A36" s="568">
        <v>43879</v>
      </c>
      <c r="B36">
        <v>1.6540434129188041E-4</v>
      </c>
      <c r="C36">
        <v>9.4952914763579699E-5</v>
      </c>
      <c r="D36">
        <v>1.5491257708233341E-4</v>
      </c>
      <c r="E36">
        <v>2.2046316435520019E-4</v>
      </c>
      <c r="F36">
        <v>4.1061353877047679E-6</v>
      </c>
      <c r="G36">
        <v>1.0794621822296513E-4</v>
      </c>
      <c r="H36">
        <v>2.1384013685765701E-4</v>
      </c>
      <c r="I36">
        <v>2.5937726067737366E-4</v>
      </c>
      <c r="J36">
        <v>-3.3911472201708648E-4</v>
      </c>
      <c r="K36">
        <v>-4.2469093690977733E-4</v>
      </c>
      <c r="L36">
        <v>4.6439681166998703E-4</v>
      </c>
      <c r="M36">
        <v>4.8264194034897123E-4</v>
      </c>
      <c r="N36">
        <v>4.8809923336223804E-4</v>
      </c>
      <c r="O36">
        <v>5.4612392438491142E-4</v>
      </c>
      <c r="P36">
        <v>5.3573019985209136E-4</v>
      </c>
      <c r="Q36">
        <v>5.4958248556946643E-4</v>
      </c>
      <c r="R36">
        <v>-3.8838408992958318E-4</v>
      </c>
      <c r="S36">
        <v>-3.2243073903974739E-3</v>
      </c>
      <c r="T36">
        <v>2.7920599637625276E-3</v>
      </c>
      <c r="U36">
        <v>-2.8411984120513267E-4</v>
      </c>
      <c r="V36">
        <v>-2.6295790832575605E-6</v>
      </c>
      <c r="W36">
        <v>-1.6877903262180194E-4</v>
      </c>
      <c r="X36">
        <v>1.3739366248208817E-3</v>
      </c>
      <c r="Y36">
        <v>-2.6295790832575605E-6</v>
      </c>
      <c r="Z36">
        <v>1.0946638730808811E-3</v>
      </c>
      <c r="AA36">
        <v>-9.3219608742989291E-4</v>
      </c>
      <c r="AC36">
        <v>-2.8774832168493303E-3</v>
      </c>
      <c r="AD36">
        <v>-9.3065896822630556E-4</v>
      </c>
      <c r="AE36">
        <v>-3.2926137052089466E-3</v>
      </c>
      <c r="AF36">
        <v>6.3738060127871421E-4</v>
      </c>
      <c r="AG36">
        <v>2.0111434824123808E-3</v>
      </c>
      <c r="AH36">
        <v>-2.0142382517945312E-3</v>
      </c>
      <c r="AI36">
        <v>-2.0142382517945312E-3</v>
      </c>
      <c r="AJ36">
        <v>-7.6739212479557395E-3</v>
      </c>
      <c r="AK36">
        <v>-9.3692870201096401E-3</v>
      </c>
      <c r="AL36">
        <v>-3.2411719754614765E-3</v>
      </c>
    </row>
    <row r="37" spans="1:38">
      <c r="A37" s="568">
        <v>43880</v>
      </c>
      <c r="B37">
        <v>1.6540434129188041E-4</v>
      </c>
      <c r="C37">
        <v>1.600334601676856E-4</v>
      </c>
      <c r="D37">
        <v>1.2848711989965622E-4</v>
      </c>
      <c r="E37">
        <v>2.2046316435520019E-4</v>
      </c>
      <c r="F37">
        <v>1.6561344726429006E-4</v>
      </c>
      <c r="G37">
        <v>9.7141110385168261E-5</v>
      </c>
      <c r="H37">
        <v>2.1235472597247451E-4</v>
      </c>
      <c r="I37">
        <v>2.5937726067737366E-4</v>
      </c>
      <c r="J37">
        <v>1.3983191924724636E-3</v>
      </c>
      <c r="K37">
        <v>1.9675715740246069E-3</v>
      </c>
      <c r="L37">
        <v>4.6439681166998703E-4</v>
      </c>
      <c r="M37">
        <v>4.8264194034897123E-4</v>
      </c>
      <c r="N37">
        <v>4.8809923336223804E-4</v>
      </c>
      <c r="O37">
        <v>5.4612392438491142E-4</v>
      </c>
      <c r="P37">
        <v>5.3573019985209136E-4</v>
      </c>
      <c r="Q37">
        <v>5.4958248556946643E-4</v>
      </c>
      <c r="R37">
        <v>8.0224085296998204E-4</v>
      </c>
      <c r="S37">
        <v>3.4892505254449091E-3</v>
      </c>
      <c r="T37">
        <v>1.459363331477892E-3</v>
      </c>
      <c r="U37">
        <v>2.3331824148362657E-3</v>
      </c>
      <c r="V37">
        <v>3.4710535173341217E-3</v>
      </c>
      <c r="W37">
        <v>4.7955355374895703E-4</v>
      </c>
      <c r="X37">
        <v>2.2776041319239049E-3</v>
      </c>
      <c r="Y37">
        <v>3.4710535173341217E-3</v>
      </c>
      <c r="Z37">
        <v>5.6131300577926257E-3</v>
      </c>
      <c r="AA37">
        <v>1.4076136097458392E-3</v>
      </c>
      <c r="AC37">
        <v>1.339655740741863E-2</v>
      </c>
      <c r="AD37">
        <v>1.3352018236300722E-2</v>
      </c>
      <c r="AE37">
        <v>1.1756726919002647E-2</v>
      </c>
      <c r="AF37">
        <v>3.3594176730373793E-3</v>
      </c>
      <c r="AG37">
        <v>7.1146982631973277E-3</v>
      </c>
      <c r="AH37">
        <v>9.3775901851930396E-3</v>
      </c>
      <c r="AI37">
        <v>9.3775901851930396E-3</v>
      </c>
      <c r="AJ37">
        <v>5.6414807302231917E-3</v>
      </c>
      <c r="AK37">
        <v>7.7277970011533359E-3</v>
      </c>
      <c r="AL37">
        <v>1.515551017411032E-2</v>
      </c>
    </row>
    <row r="38" spans="1:38">
      <c r="A38" s="568">
        <v>43881</v>
      </c>
      <c r="B38">
        <v>1.6540434129188041E-4</v>
      </c>
      <c r="C38">
        <v>2.1290684866559495E-4</v>
      </c>
      <c r="D38">
        <v>1.7246739838205905E-4</v>
      </c>
      <c r="E38">
        <v>2.2046316435520019E-4</v>
      </c>
      <c r="F38">
        <v>1.4323419155237715E-4</v>
      </c>
      <c r="G38">
        <v>9.5745494021137745E-5</v>
      </c>
      <c r="H38">
        <v>2.137490284135346E-4</v>
      </c>
      <c r="I38">
        <v>2.5937726067737366E-4</v>
      </c>
      <c r="J38">
        <v>5.9888441357180966E-6</v>
      </c>
      <c r="K38">
        <v>1.778393871181283E-4</v>
      </c>
      <c r="L38">
        <v>4.6439681166998703E-4</v>
      </c>
      <c r="M38">
        <v>4.8264194034897123E-4</v>
      </c>
      <c r="N38">
        <v>4.8809923336223804E-4</v>
      </c>
      <c r="O38">
        <v>5.4612392438491142E-4</v>
      </c>
      <c r="P38">
        <v>5.3573019985209136E-4</v>
      </c>
      <c r="Q38">
        <v>5.4958248556946643E-4</v>
      </c>
      <c r="R38">
        <v>-4.0821511969479918E-4</v>
      </c>
      <c r="S38">
        <v>-9.6927215577460313E-3</v>
      </c>
      <c r="T38">
        <v>1.4653209510993026E-3</v>
      </c>
      <c r="U38">
        <v>-2.1708813372047775E-3</v>
      </c>
      <c r="V38">
        <v>-3.6084149179262948E-3</v>
      </c>
      <c r="W38">
        <v>-1.2704121249629274E-3</v>
      </c>
      <c r="X38">
        <v>3.3566300838001606E-3</v>
      </c>
      <c r="Y38">
        <v>-3.6084149179262948E-3</v>
      </c>
      <c r="Z38">
        <v>1.2530953476197482E-4</v>
      </c>
      <c r="AA38">
        <v>-1.0097085464767508E-3</v>
      </c>
      <c r="AC38">
        <v>-1.6576036581598008E-2</v>
      </c>
      <c r="AD38">
        <v>-1.4179979321724878E-2</v>
      </c>
      <c r="AE38">
        <v>-1.7977120437045691E-2</v>
      </c>
      <c r="AF38">
        <v>-8.891349318848385E-3</v>
      </c>
      <c r="AG38">
        <v>-9.8845754323579893E-3</v>
      </c>
      <c r="AH38">
        <v>-1.1603225607118605E-2</v>
      </c>
      <c r="AI38">
        <v>-1.1603225607118605E-2</v>
      </c>
      <c r="AJ38">
        <v>1.5757957768673947E-3</v>
      </c>
      <c r="AK38">
        <v>-2.2891152569531892E-3</v>
      </c>
      <c r="AL38">
        <v>1.1368882652289303E-2</v>
      </c>
    </row>
    <row r="39" spans="1:38">
      <c r="A39" s="568">
        <v>43882</v>
      </c>
      <c r="B39">
        <v>1.6540434129188041E-4</v>
      </c>
      <c r="C39">
        <v>1.4819669388232981E-4</v>
      </c>
      <c r="D39">
        <v>1.4721718464438815E-4</v>
      </c>
      <c r="E39">
        <v>2.2046316435520019E-4</v>
      </c>
      <c r="F39">
        <v>1.5233556880467347E-4</v>
      </c>
      <c r="G39">
        <v>1.9968994102259607E-4</v>
      </c>
      <c r="H39">
        <v>2.2377690809394224E-4</v>
      </c>
      <c r="I39">
        <v>2.5937726067737366E-4</v>
      </c>
      <c r="J39">
        <v>-4.303248522791181E-4</v>
      </c>
      <c r="K39">
        <v>-7.0461719434622427E-4</v>
      </c>
      <c r="L39">
        <v>4.6439681166998703E-4</v>
      </c>
      <c r="M39">
        <v>4.8264194034897123E-4</v>
      </c>
      <c r="N39">
        <v>4.8809923336223804E-4</v>
      </c>
      <c r="O39">
        <v>5.4612392438491142E-4</v>
      </c>
      <c r="P39">
        <v>5.3573019985209136E-4</v>
      </c>
      <c r="Q39">
        <v>5.4958248556946643E-4</v>
      </c>
      <c r="R39">
        <v>6.3870143611088892E-5</v>
      </c>
      <c r="S39">
        <v>-2.7166321263599746E-3</v>
      </c>
      <c r="T39">
        <v>-3.6740707682918483E-3</v>
      </c>
      <c r="U39">
        <v>-9.1256244587090141E-4</v>
      </c>
      <c r="V39">
        <v>-1.6305877216744591E-3</v>
      </c>
      <c r="W39">
        <v>-1.39537276386692E-3</v>
      </c>
      <c r="X39">
        <v>3.6038979196397758E-3</v>
      </c>
      <c r="Y39">
        <v>-1.6305877216744591E-3</v>
      </c>
      <c r="Z39">
        <v>-1.391165733833799E-3</v>
      </c>
      <c r="AA39">
        <v>2.2121245830253322E-4</v>
      </c>
      <c r="AC39">
        <v>-7.8962388140980666E-3</v>
      </c>
      <c r="AD39">
        <v>-2.7506342481882218E-3</v>
      </c>
      <c r="AE39">
        <v>-6.3360048193984442E-3</v>
      </c>
      <c r="AF39">
        <v>-3.7751011480572361E-3</v>
      </c>
      <c r="AG39">
        <v>-8.4747058039322809E-3</v>
      </c>
      <c r="AH39">
        <v>-5.5273671698686461E-3</v>
      </c>
      <c r="AI39">
        <v>-5.5273671698686461E-3</v>
      </c>
      <c r="AJ39">
        <v>-1.0383889238514854E-2</v>
      </c>
      <c r="AK39">
        <v>-1.2848457037971883E-2</v>
      </c>
      <c r="AL39">
        <v>-7.4165611971718226E-3</v>
      </c>
    </row>
    <row r="40" spans="1:38">
      <c r="A40" s="568">
        <v>43887</v>
      </c>
      <c r="B40">
        <v>1.6540434129188041E-4</v>
      </c>
      <c r="C40">
        <v>1.6901365539867541E-4</v>
      </c>
      <c r="D40">
        <v>1.718258401433026E-4</v>
      </c>
      <c r="E40">
        <v>2.2046316435520019E-4</v>
      </c>
      <c r="F40">
        <v>1.8651424485449652E-4</v>
      </c>
      <c r="G40">
        <v>2.6418742915246263E-4</v>
      </c>
      <c r="H40">
        <v>2.1293615943740463E-4</v>
      </c>
      <c r="I40">
        <v>2.5937726067737366E-4</v>
      </c>
      <c r="J40">
        <v>-1.2269779765330391E-3</v>
      </c>
      <c r="K40">
        <v>-1.9865547162788433E-3</v>
      </c>
      <c r="L40">
        <v>4.6439681166998703E-4</v>
      </c>
      <c r="M40">
        <v>4.8264194034897123E-4</v>
      </c>
      <c r="N40">
        <v>4.8809923336223804E-4</v>
      </c>
      <c r="O40">
        <v>5.4612392438491142E-4</v>
      </c>
      <c r="P40">
        <v>5.3573019985209136E-4</v>
      </c>
      <c r="Q40">
        <v>5.4958248556946643E-4</v>
      </c>
      <c r="R40">
        <v>-4.491268089740319E-3</v>
      </c>
      <c r="S40">
        <v>-1.7605438271323659E-2</v>
      </c>
      <c r="T40">
        <v>-8.6071019509303959E-4</v>
      </c>
      <c r="U40">
        <v>-4.8933683518217475E-3</v>
      </c>
      <c r="V40">
        <v>-1.7412561806691595E-2</v>
      </c>
      <c r="W40">
        <v>-1.2878548845116189E-2</v>
      </c>
      <c r="X40">
        <v>4.0883527087531846E-4</v>
      </c>
      <c r="Y40">
        <v>-1.7412561806691595E-2</v>
      </c>
      <c r="Z40">
        <v>-1.1158321400345894E-2</v>
      </c>
      <c r="AA40">
        <v>-4.0724838325106871E-3</v>
      </c>
      <c r="AC40">
        <v>-7.0047518767362038E-2</v>
      </c>
      <c r="AD40">
        <v>-7.0332535722094969E-2</v>
      </c>
      <c r="AE40">
        <v>-6.9584452437893574E-2</v>
      </c>
      <c r="AF40">
        <v>-4.1788901920471022E-2</v>
      </c>
      <c r="AG40">
        <v>-6.2318671845997931E-2</v>
      </c>
      <c r="AH40">
        <v>-4.9033263137153421E-2</v>
      </c>
      <c r="AI40">
        <v>-4.9033263137153421E-2</v>
      </c>
      <c r="AJ40">
        <v>-5.8696343402225737E-2</v>
      </c>
      <c r="AK40">
        <v>-2.208018593840777E-2</v>
      </c>
      <c r="AL40">
        <v>-2.2050599215004185E-2</v>
      </c>
    </row>
    <row r="41" spans="1:38">
      <c r="A41" s="568">
        <v>43888</v>
      </c>
      <c r="B41">
        <v>1.6540434129188041E-4</v>
      </c>
      <c r="C41">
        <v>1.512795546267931E-4</v>
      </c>
      <c r="D41">
        <v>1.6358762315982212E-4</v>
      </c>
      <c r="E41">
        <v>2.2046316435520019E-4</v>
      </c>
      <c r="F41">
        <v>1.5046020304820829E-4</v>
      </c>
      <c r="G41">
        <v>2.1622220715888929E-4</v>
      </c>
      <c r="H41">
        <v>2.1361005305009506E-4</v>
      </c>
      <c r="I41">
        <v>2.5937726067737366E-4</v>
      </c>
      <c r="J41">
        <v>6.5870110489174571E-4</v>
      </c>
      <c r="K41">
        <v>1.1959375430057317E-3</v>
      </c>
      <c r="L41">
        <v>4.6439681166998703E-4</v>
      </c>
      <c r="M41">
        <v>4.8264194034897123E-4</v>
      </c>
      <c r="N41">
        <v>4.8809923336223804E-4</v>
      </c>
      <c r="O41">
        <v>5.4612392438491142E-4</v>
      </c>
      <c r="P41">
        <v>5.3573019985209136E-4</v>
      </c>
      <c r="Q41">
        <v>5.4958248556946643E-4</v>
      </c>
      <c r="R41">
        <v>-4.9845867918817399E-3</v>
      </c>
      <c r="S41">
        <v>-7.9530251763324511E-3</v>
      </c>
      <c r="T41">
        <v>-1.054588503303977E-3</v>
      </c>
      <c r="U41">
        <v>-2.9737367861715214E-5</v>
      </c>
      <c r="V41">
        <v>-5.6514593794655399E-3</v>
      </c>
      <c r="W41">
        <v>-7.5320219158649948E-3</v>
      </c>
      <c r="X41">
        <v>3.7959263830382728E-3</v>
      </c>
      <c r="Y41">
        <v>-5.6514593794655399E-3</v>
      </c>
      <c r="Z41">
        <v>1.0543667400775281E-3</v>
      </c>
      <c r="AA41">
        <v>-1.6557972376096686E-5</v>
      </c>
      <c r="AC41">
        <v>-2.5868747416483262E-2</v>
      </c>
      <c r="AD41">
        <v>-3.0129061976649107E-2</v>
      </c>
      <c r="AE41">
        <v>-2.6690207471906646E-2</v>
      </c>
      <c r="AF41">
        <v>-1.3870038113008465E-2</v>
      </c>
      <c r="AG41">
        <v>-1.9220100003659479E-2</v>
      </c>
      <c r="AH41">
        <v>-1.8108123191538282E-2</v>
      </c>
      <c r="AI41">
        <v>-1.8108123191538282E-2</v>
      </c>
      <c r="AJ41">
        <v>-2.8847453046885629E-2</v>
      </c>
      <c r="AK41">
        <v>-7.1301247771837772E-4</v>
      </c>
      <c r="AL41">
        <v>-5.5520068691388147E-3</v>
      </c>
    </row>
    <row r="42" spans="1:38">
      <c r="A42" s="568">
        <v>43889</v>
      </c>
      <c r="B42">
        <v>1.6540434129188041E-4</v>
      </c>
      <c r="C42">
        <v>1.1670607160607638E-4</v>
      </c>
      <c r="D42">
        <v>1.6297462696113207E-4</v>
      </c>
      <c r="E42">
        <v>2.2046316435520019E-4</v>
      </c>
      <c r="F42">
        <v>4.1028427685718682E-5</v>
      </c>
      <c r="G42">
        <v>2.691062999549132E-5</v>
      </c>
      <c r="H42">
        <v>2.1500257787376853E-4</v>
      </c>
      <c r="I42">
        <v>2.5937726067737366E-4</v>
      </c>
      <c r="J42">
        <v>3.1772429730336782E-4</v>
      </c>
      <c r="K42">
        <v>5.9274019284449864E-4</v>
      </c>
      <c r="L42">
        <v>4.6439681166998703E-4</v>
      </c>
      <c r="M42">
        <v>4.8264194034897123E-4</v>
      </c>
      <c r="N42">
        <v>4.8809923336223804E-4</v>
      </c>
      <c r="O42">
        <v>5.4612392438491142E-4</v>
      </c>
      <c r="P42">
        <v>5.3573019985209136E-4</v>
      </c>
      <c r="Q42">
        <v>5.4958248556946643E-4</v>
      </c>
      <c r="R42">
        <v>-3.413949520177928E-3</v>
      </c>
      <c r="S42">
        <v>-1.9332902014213005E-4</v>
      </c>
      <c r="T42">
        <v>6.0864550240560256E-3</v>
      </c>
      <c r="U42">
        <v>5.877937623088858E-4</v>
      </c>
      <c r="V42">
        <v>1.4802112738714346E-3</v>
      </c>
      <c r="W42">
        <v>2.5215617430085491E-3</v>
      </c>
      <c r="X42">
        <v>7.6319940616527138E-3</v>
      </c>
      <c r="Y42">
        <v>1.4802112738714346E-3</v>
      </c>
      <c r="Z42">
        <v>-7.5150812716384685E-4</v>
      </c>
      <c r="AA42">
        <v>1.8578040665950812E-3</v>
      </c>
      <c r="AC42">
        <v>1.1536799584399571E-2</v>
      </c>
      <c r="AD42">
        <v>8.0655216865825885E-3</v>
      </c>
      <c r="AE42">
        <v>4.3181003144414642E-3</v>
      </c>
      <c r="AF42">
        <v>2.33861441706118E-4</v>
      </c>
      <c r="AG42">
        <v>5.2510188338346087E-3</v>
      </c>
      <c r="AH42">
        <v>8.0757597090796995E-3</v>
      </c>
      <c r="AI42">
        <v>8.0757597090796995E-3</v>
      </c>
      <c r="AJ42">
        <v>-1.5234782608695596E-2</v>
      </c>
      <c r="AK42">
        <v>-2.0454275181353343E-2</v>
      </c>
      <c r="AL42">
        <v>-1.1931672472989319E-2</v>
      </c>
    </row>
    <row r="43" spans="1:38">
      <c r="A43" s="568">
        <v>43892</v>
      </c>
      <c r="B43">
        <v>1.6540434129188041E-4</v>
      </c>
      <c r="C43">
        <v>2.4016141816218806E-4</v>
      </c>
      <c r="D43">
        <v>1.6236192642127278E-4</v>
      </c>
      <c r="E43">
        <v>2.2046316435520019E-4</v>
      </c>
      <c r="F43">
        <v>1.6046015596571372E-4</v>
      </c>
      <c r="G43">
        <v>-2.1765365012083038E-5</v>
      </c>
      <c r="H43">
        <v>2.1351852650641767E-4</v>
      </c>
      <c r="I43">
        <v>2.5937726067737366E-4</v>
      </c>
      <c r="J43">
        <v>3.5549460417225731E-3</v>
      </c>
      <c r="K43">
        <v>4.1081764304577995E-3</v>
      </c>
      <c r="L43">
        <v>3.5741802299349423E-4</v>
      </c>
      <c r="M43">
        <v>3.7566120073684317E-4</v>
      </c>
      <c r="N43">
        <v>3.8111791020645214E-4</v>
      </c>
      <c r="O43">
        <v>5.4612392438491142E-4</v>
      </c>
      <c r="P43">
        <v>5.3573019985209136E-4</v>
      </c>
      <c r="Q43">
        <v>5.4958248556946643E-4</v>
      </c>
      <c r="R43">
        <v>2.2382358649686296E-3</v>
      </c>
      <c r="S43">
        <v>9.7977773424098302E-3</v>
      </c>
      <c r="T43">
        <v>6.2021509453331625E-3</v>
      </c>
      <c r="U43">
        <v>7.155388629216608E-3</v>
      </c>
      <c r="V43">
        <v>8.3296988493493096E-3</v>
      </c>
      <c r="W43">
        <v>7.8460542643699061E-3</v>
      </c>
      <c r="X43">
        <v>3.40085351258268E-3</v>
      </c>
      <c r="Y43">
        <v>8.3296988493493096E-3</v>
      </c>
      <c r="Z43">
        <v>8.9179473554135136E-3</v>
      </c>
      <c r="AA43">
        <v>-2.6275580043972901E-3</v>
      </c>
      <c r="AC43">
        <v>2.3555364417941149E-2</v>
      </c>
      <c r="AD43">
        <v>2.0678637796226695E-2</v>
      </c>
      <c r="AE43">
        <v>2.4268852937560315E-2</v>
      </c>
      <c r="AF43">
        <v>8.1105154568523741E-3</v>
      </c>
      <c r="AG43">
        <v>2.0654802827609231E-2</v>
      </c>
      <c r="AH43">
        <v>1.6488755092558802E-2</v>
      </c>
      <c r="AI43">
        <v>1.6488755092558802E-2</v>
      </c>
      <c r="AJ43">
        <v>4.9943486860695163E-2</v>
      </c>
      <c r="AK43">
        <v>2.0517178584436024E-2</v>
      </c>
      <c r="AL43">
        <v>-1.3646276564600601E-3</v>
      </c>
    </row>
    <row r="44" spans="1:38">
      <c r="A44" s="568">
        <v>43893</v>
      </c>
      <c r="B44">
        <v>1.6540434129188041E-4</v>
      </c>
      <c r="C44">
        <v>1.2460332705455102E-4</v>
      </c>
      <c r="D44">
        <v>1.8636357775880796E-4</v>
      </c>
      <c r="E44">
        <v>2.2046316435520019E-4</v>
      </c>
      <c r="F44">
        <v>1.0118306705919622E-4</v>
      </c>
      <c r="G44">
        <v>-3.1263659300506674E-5</v>
      </c>
      <c r="H44">
        <v>2.1347294607765299E-4</v>
      </c>
      <c r="I44">
        <v>2.5937726067737366E-4</v>
      </c>
      <c r="J44">
        <v>1.427709527425769E-3</v>
      </c>
      <c r="K44">
        <v>2.3235466480855393E-3</v>
      </c>
      <c r="L44">
        <v>3.5741802299349423E-4</v>
      </c>
      <c r="M44">
        <v>3.7566120073684317E-4</v>
      </c>
      <c r="N44">
        <v>3.8111791020645214E-4</v>
      </c>
      <c r="O44">
        <v>5.4612392438491142E-4</v>
      </c>
      <c r="P44">
        <v>5.3573019985209136E-4</v>
      </c>
      <c r="Q44">
        <v>5.4958248556946643E-4</v>
      </c>
      <c r="R44">
        <v>2.9511335065151023E-3</v>
      </c>
      <c r="S44">
        <v>1.3571103367757686E-3</v>
      </c>
      <c r="T44">
        <v>7.1231896655106208E-3</v>
      </c>
      <c r="U44">
        <v>2.0824866827946487E-3</v>
      </c>
      <c r="V44">
        <v>-5.0462438857690195E-4</v>
      </c>
      <c r="W44">
        <v>2.2815577042492041E-3</v>
      </c>
      <c r="X44">
        <v>5.7672239045514218E-3</v>
      </c>
      <c r="Y44">
        <v>-5.0462438857690195E-4</v>
      </c>
      <c r="Z44">
        <v>8.4048972599592986E-3</v>
      </c>
      <c r="AA44">
        <v>1.884708257691603E-3</v>
      </c>
      <c r="AC44">
        <v>-1.0206761240754925E-2</v>
      </c>
      <c r="AD44">
        <v>-4.3927375505110611E-3</v>
      </c>
      <c r="AE44">
        <v>-1.5619609994951378E-2</v>
      </c>
      <c r="AF44">
        <v>-4.9678841520376382E-3</v>
      </c>
      <c r="AG44">
        <v>-1.4918845419077065E-2</v>
      </c>
      <c r="AH44">
        <v>-7.1447328685284471E-3</v>
      </c>
      <c r="AI44">
        <v>-7.1447328685284471E-3</v>
      </c>
      <c r="AJ44">
        <v>-2.1731817264347586E-2</v>
      </c>
      <c r="AK44">
        <v>-2.2602902688555471E-3</v>
      </c>
      <c r="AL44">
        <v>1.7248148640048422E-2</v>
      </c>
    </row>
    <row r="45" spans="1:38">
      <c r="A45" s="568">
        <v>43894</v>
      </c>
      <c r="B45">
        <v>1.6540434129188041E-4</v>
      </c>
      <c r="C45">
        <v>8.3698053321423771E-5</v>
      </c>
      <c r="D45">
        <v>2.4023531341921256E-4</v>
      </c>
      <c r="E45">
        <v>2.2046316435520019E-4</v>
      </c>
      <c r="F45">
        <v>3.8737344851158539E-5</v>
      </c>
      <c r="G45">
        <v>5.1052381524474555E-5</v>
      </c>
      <c r="H45">
        <v>2.1270877438062108E-4</v>
      </c>
      <c r="I45">
        <v>2.5937726067737366E-4</v>
      </c>
      <c r="J45">
        <v>7.6299483696895543E-4</v>
      </c>
      <c r="K45">
        <v>1.0982236635062037E-3</v>
      </c>
      <c r="L45">
        <v>3.5741802299349423E-4</v>
      </c>
      <c r="M45">
        <v>3.7566120073684317E-4</v>
      </c>
      <c r="N45">
        <v>3.8111791020645214E-4</v>
      </c>
      <c r="O45">
        <v>5.4612392438491142E-4</v>
      </c>
      <c r="P45">
        <v>5.3573019985209136E-4</v>
      </c>
      <c r="Q45">
        <v>5.4958248556946643E-4</v>
      </c>
      <c r="R45">
        <v>1.1253603298457815E-3</v>
      </c>
      <c r="S45">
        <v>4.3519390424222593E-3</v>
      </c>
      <c r="T45">
        <v>6.4498816046869578E-3</v>
      </c>
      <c r="U45">
        <v>4.1746684640908693E-3</v>
      </c>
      <c r="V45">
        <v>6.8599454516800051E-3</v>
      </c>
      <c r="W45">
        <v>6.8066707261236203E-3</v>
      </c>
      <c r="X45">
        <v>-4.5931384717775581E-3</v>
      </c>
      <c r="Y45">
        <v>6.8599454516800051E-3</v>
      </c>
      <c r="Z45">
        <v>9.2697855344907598E-3</v>
      </c>
      <c r="AA45">
        <v>-3.0645283878564245E-3</v>
      </c>
      <c r="AC45">
        <v>1.5985847630832994E-2</v>
      </c>
      <c r="AD45">
        <v>1.5733298510484772E-2</v>
      </c>
      <c r="AE45">
        <v>2.6194556788915913E-2</v>
      </c>
      <c r="AF45">
        <v>1.4603698372108731E-2</v>
      </c>
      <c r="AG45">
        <v>2.1507723036161774E-2</v>
      </c>
      <c r="AH45">
        <v>1.1190093341583095E-2</v>
      </c>
      <c r="AI45">
        <v>1.1190093341583095E-2</v>
      </c>
      <c r="AJ45">
        <v>5.9147180192572257E-2</v>
      </c>
      <c r="AK45">
        <v>9.6578037438894704E-3</v>
      </c>
      <c r="AL45">
        <v>1.2951999631104494E-2</v>
      </c>
    </row>
    <row r="46" spans="1:38">
      <c r="A46" s="568">
        <v>43895</v>
      </c>
      <c r="B46">
        <v>1.6540434129188041E-4</v>
      </c>
      <c r="C46">
        <v>1.6392717058577588E-4</v>
      </c>
      <c r="D46">
        <v>2.2729003497201639E-4</v>
      </c>
      <c r="E46">
        <v>2.2046316435520019E-4</v>
      </c>
      <c r="F46">
        <v>1.0754893248576813E-4</v>
      </c>
      <c r="G46">
        <v>4.2046811060902911E-5</v>
      </c>
      <c r="H46">
        <v>2.1338199688192283E-4</v>
      </c>
      <c r="I46">
        <v>2.5937726067737366E-4</v>
      </c>
      <c r="J46">
        <v>-1.4661051482347531E-3</v>
      </c>
      <c r="K46">
        <v>-2.3862749242886672E-3</v>
      </c>
      <c r="L46">
        <v>3.5741802299349423E-4</v>
      </c>
      <c r="M46">
        <v>3.7566120073684317E-4</v>
      </c>
      <c r="N46">
        <v>3.8111791020645214E-4</v>
      </c>
      <c r="O46">
        <v>5.4612392438491142E-4</v>
      </c>
      <c r="P46">
        <v>5.3573019985209136E-4</v>
      </c>
      <c r="Q46">
        <v>5.4958248556946643E-4</v>
      </c>
      <c r="R46">
        <v>-3.8794600965644799E-3</v>
      </c>
      <c r="S46">
        <v>-1.0680803991630961E-2</v>
      </c>
      <c r="T46">
        <v>-5.2704991521722588E-3</v>
      </c>
      <c r="U46">
        <v>-8.2565835073523663E-3</v>
      </c>
      <c r="V46">
        <v>-1.3814785827043319E-2</v>
      </c>
      <c r="W46">
        <v>-9.1751721809905096E-3</v>
      </c>
      <c r="X46">
        <v>6.0298180810856028E-3</v>
      </c>
      <c r="Y46">
        <v>-1.3814785827043319E-2</v>
      </c>
      <c r="Z46">
        <v>-2.1404185784188456E-3</v>
      </c>
      <c r="AA46">
        <v>-6.731782287259902E-3</v>
      </c>
      <c r="AC46">
        <v>-4.6547327935298144E-2</v>
      </c>
      <c r="AD46">
        <v>-5.7293789724776167E-2</v>
      </c>
      <c r="AE46">
        <v>-5.2073746690829759E-2</v>
      </c>
      <c r="AF46">
        <v>-1.5547084288135005E-2</v>
      </c>
      <c r="AG46">
        <v>-4.4925963549733772E-2</v>
      </c>
      <c r="AH46">
        <v>-3.2583129554708698E-2</v>
      </c>
      <c r="AI46">
        <v>-3.2583129554708698E-2</v>
      </c>
      <c r="AJ46">
        <v>-2.5649350649350589E-2</v>
      </c>
      <c r="AK46">
        <v>1.4643363249881913E-2</v>
      </c>
      <c r="AL46">
        <v>1.0061314859270309E-2</v>
      </c>
    </row>
    <row r="47" spans="1:38">
      <c r="A47" s="568">
        <v>43896</v>
      </c>
      <c r="B47">
        <v>1.6540434129188041E-4</v>
      </c>
      <c r="C47">
        <v>2.2217899625709414E-4</v>
      </c>
      <c r="D47">
        <v>2.0498308011096533E-4</v>
      </c>
      <c r="E47">
        <v>2.2046316435520019E-4</v>
      </c>
      <c r="F47">
        <v>3.964301239500756E-5</v>
      </c>
      <c r="G47">
        <v>1.8737249840650172E-4</v>
      </c>
      <c r="H47">
        <v>2.1405477934766104E-4</v>
      </c>
      <c r="I47">
        <v>2.5937726067737366E-4</v>
      </c>
      <c r="J47">
        <v>-2.53227544342427E-4</v>
      </c>
      <c r="K47">
        <v>-6.5065430470756525E-4</v>
      </c>
      <c r="L47">
        <v>3.5741802299349423E-4</v>
      </c>
      <c r="M47">
        <v>3.7566120073684317E-4</v>
      </c>
      <c r="N47">
        <v>3.8111791020645214E-4</v>
      </c>
      <c r="O47">
        <v>5.4612392438491142E-4</v>
      </c>
      <c r="P47">
        <v>5.3573019985209136E-4</v>
      </c>
      <c r="Q47">
        <v>5.4958248556946643E-4</v>
      </c>
      <c r="R47">
        <v>-5.8151246698840975E-3</v>
      </c>
      <c r="S47">
        <v>-6.8032524261991689E-3</v>
      </c>
      <c r="T47">
        <v>-7.077971976685582E-3</v>
      </c>
      <c r="U47">
        <v>3.6589616130178193E-4</v>
      </c>
      <c r="V47">
        <v>-1.1640857877688982E-2</v>
      </c>
      <c r="W47">
        <v>-3.777752015747371E-3</v>
      </c>
      <c r="X47">
        <v>-7.4207492313845824E-3</v>
      </c>
      <c r="Y47">
        <v>-1.1640857877688982E-2</v>
      </c>
      <c r="Z47">
        <v>-1.439235815300699E-3</v>
      </c>
      <c r="AA47">
        <v>-4.9599688526955621E-3</v>
      </c>
      <c r="AC47">
        <v>-4.1438886780419626E-2</v>
      </c>
      <c r="AD47">
        <v>-5.4637175980722152E-2</v>
      </c>
      <c r="AE47">
        <v>-4.7613826396907588E-2</v>
      </c>
      <c r="AF47">
        <v>-1.7049728972494904E-2</v>
      </c>
      <c r="AG47">
        <v>-4.0790050945481937E-2</v>
      </c>
      <c r="AH47">
        <v>-2.9007220746293735E-2</v>
      </c>
      <c r="AI47">
        <v>-2.9007220746293735E-2</v>
      </c>
      <c r="AJ47">
        <v>-1.5528157280906396E-2</v>
      </c>
      <c r="AK47">
        <v>-2.4441340782123011E-2</v>
      </c>
      <c r="AL47">
        <v>-2.2544041498295364E-2</v>
      </c>
    </row>
    <row r="48" spans="1:38">
      <c r="A48" s="568">
        <v>43899</v>
      </c>
      <c r="B48">
        <v>1.6540434129188041E-4</v>
      </c>
      <c r="C48">
        <v>8.4958385886624299E-5</v>
      </c>
      <c r="D48">
        <v>2.0728325432362027E-4</v>
      </c>
      <c r="E48">
        <v>2.2046316435520019E-4</v>
      </c>
      <c r="F48">
        <v>2.4149383530236435E-5</v>
      </c>
      <c r="G48">
        <v>1.8545808790637608E-4</v>
      </c>
      <c r="H48">
        <v>2.1257266789453944E-4</v>
      </c>
      <c r="I48">
        <v>2.5937726067737366E-4</v>
      </c>
      <c r="J48">
        <v>-4.8980315645147376E-3</v>
      </c>
      <c r="K48">
        <v>-7.1669699609804294E-3</v>
      </c>
      <c r="L48">
        <v>3.5741802299349423E-4</v>
      </c>
      <c r="M48">
        <v>3.7566120073684317E-4</v>
      </c>
      <c r="N48">
        <v>3.8111791020645214E-4</v>
      </c>
      <c r="O48">
        <v>5.4612392438491142E-4</v>
      </c>
      <c r="P48">
        <v>5.3573019985209136E-4</v>
      </c>
      <c r="Q48">
        <v>5.4958248556946643E-4</v>
      </c>
      <c r="R48">
        <v>-1.9638546869497953E-2</v>
      </c>
      <c r="S48">
        <v>-4.006811353959594E-2</v>
      </c>
      <c r="T48">
        <v>5.3221605633426705E-3</v>
      </c>
      <c r="U48">
        <v>-1.9198575263625894E-3</v>
      </c>
      <c r="V48">
        <v>-2.7774980197669441E-2</v>
      </c>
      <c r="W48">
        <v>-2.1689116137792563E-2</v>
      </c>
      <c r="X48">
        <v>1.3654345784389399E-2</v>
      </c>
      <c r="Y48">
        <v>-2.7774980197669441E-2</v>
      </c>
      <c r="Z48">
        <v>-8.6753223485198649E-3</v>
      </c>
      <c r="AA48">
        <v>-5.848530597831858E-3</v>
      </c>
      <c r="AC48">
        <v>-0.12173431838620807</v>
      </c>
      <c r="AD48">
        <v>-0.13170999887769652</v>
      </c>
      <c r="AE48">
        <v>-0.12191558657721546</v>
      </c>
      <c r="AF48">
        <v>-5.1782916068113138E-2</v>
      </c>
      <c r="AG48">
        <v>-0.10006420042970854</v>
      </c>
      <c r="AH48">
        <v>-8.5214022870345643E-2</v>
      </c>
      <c r="AI48">
        <v>-8.5214022870345643E-2</v>
      </c>
      <c r="AJ48">
        <v>-6.0384511237476235E-2</v>
      </c>
      <c r="AK48">
        <v>-4.2949176807444478E-2</v>
      </c>
      <c r="AL48">
        <v>-3.0086403983188292E-2</v>
      </c>
    </row>
    <row r="49" spans="1:38">
      <c r="A49" s="568">
        <v>43900</v>
      </c>
      <c r="B49">
        <v>1.6540434129188041E-4</v>
      </c>
      <c r="C49">
        <v>8.4015142645776919E-5</v>
      </c>
      <c r="D49">
        <v>2.7456412213822112E-4</v>
      </c>
      <c r="E49">
        <v>2.2046316435520019E-4</v>
      </c>
      <c r="F49">
        <v>-1.6585213826247891E-4</v>
      </c>
      <c r="G49">
        <v>-2.2755196412649337E-4</v>
      </c>
      <c r="H49">
        <v>2.1396348691560263E-4</v>
      </c>
      <c r="I49">
        <v>2.5937726067737366E-4</v>
      </c>
      <c r="J49">
        <v>1.2963948516870882E-3</v>
      </c>
      <c r="K49">
        <v>1.9885071065772753E-3</v>
      </c>
      <c r="L49">
        <v>3.5741802299349423E-4</v>
      </c>
      <c r="M49">
        <v>3.7566120073684317E-4</v>
      </c>
      <c r="N49">
        <v>3.8111791020645214E-4</v>
      </c>
      <c r="O49">
        <v>5.4612392438491142E-4</v>
      </c>
      <c r="P49">
        <v>5.3573019985209136E-4</v>
      </c>
      <c r="Q49">
        <v>5.4958248556946643E-4</v>
      </c>
      <c r="R49">
        <v>5.4980997443587754E-4</v>
      </c>
      <c r="S49">
        <v>1.6003449560864524E-2</v>
      </c>
      <c r="T49">
        <v>-1.8054809200575006E-3</v>
      </c>
      <c r="U49">
        <v>-5.6586903651445475E-4</v>
      </c>
      <c r="V49">
        <v>1.2492405726012512E-2</v>
      </c>
      <c r="W49">
        <v>8.5539850828695307E-3</v>
      </c>
      <c r="X49">
        <v>4.309519596363165E-3</v>
      </c>
      <c r="Y49">
        <v>1.2492405726012512E-2</v>
      </c>
      <c r="Z49">
        <v>-1.2091823630423493E-3</v>
      </c>
      <c r="AA49">
        <v>7.9039381209022874E-3</v>
      </c>
      <c r="AC49">
        <v>7.1424073282272404E-2</v>
      </c>
      <c r="AD49">
        <v>8.6584941672400273E-2</v>
      </c>
      <c r="AE49">
        <v>7.2387994605221717E-2</v>
      </c>
      <c r="AF49">
        <v>3.0435377394611773E-2</v>
      </c>
      <c r="AG49">
        <v>5.7310953306609402E-2</v>
      </c>
      <c r="AH49">
        <v>4.9996851297590683E-2</v>
      </c>
      <c r="AI49">
        <v>4.9996851297590683E-2</v>
      </c>
      <c r="AJ49">
        <v>3.7463976945244948E-2</v>
      </c>
      <c r="AK49">
        <v>2.1316379955123477E-2</v>
      </c>
      <c r="AL49">
        <v>-7.6600717298532794E-3</v>
      </c>
    </row>
    <row r="50" spans="1:38">
      <c r="A50" s="568">
        <v>43901</v>
      </c>
      <c r="B50">
        <v>1.6540434129188041E-4</v>
      </c>
      <c r="C50">
        <v>3.7819540129602203E-5</v>
      </c>
      <c r="D50">
        <v>-8.8960108999502907E-5</v>
      </c>
      <c r="E50">
        <v>2.2046316435520019E-4</v>
      </c>
      <c r="F50">
        <v>-3.8917917827596682E-4</v>
      </c>
      <c r="G50">
        <v>3.1553932248074013E-4</v>
      </c>
      <c r="H50">
        <v>2.1319987164947207E-4</v>
      </c>
      <c r="I50">
        <v>2.5937726067737366E-4</v>
      </c>
      <c r="J50">
        <v>-6.0149238286463236E-3</v>
      </c>
      <c r="K50">
        <v>-8.5771410611125143E-3</v>
      </c>
      <c r="L50">
        <v>3.5741802299349423E-4</v>
      </c>
      <c r="M50">
        <v>3.7566120073684317E-4</v>
      </c>
      <c r="N50">
        <v>3.8111791020645214E-4</v>
      </c>
      <c r="O50">
        <v>5.4612392438491142E-4</v>
      </c>
      <c r="P50">
        <v>5.3573019985209136E-4</v>
      </c>
      <c r="Q50">
        <v>5.4958248556946643E-4</v>
      </c>
      <c r="R50">
        <v>-9.6270833834708469E-3</v>
      </c>
      <c r="S50">
        <v>-2.9917572050790708E-2</v>
      </c>
      <c r="T50">
        <v>-1.0334410785536319E-2</v>
      </c>
      <c r="U50">
        <v>-1.8530635121384309E-3</v>
      </c>
      <c r="V50">
        <v>-1.9522230732857859E-2</v>
      </c>
      <c r="W50">
        <v>-1.3341035523342759E-2</v>
      </c>
      <c r="X50">
        <v>1.0024873455581229E-2</v>
      </c>
      <c r="Y50">
        <v>-1.9522230732857859E-2</v>
      </c>
      <c r="Z50">
        <v>-9.2018270633831278E-3</v>
      </c>
      <c r="AA50">
        <v>-1.9756512877608934E-3</v>
      </c>
      <c r="AC50">
        <v>-7.637998678515423E-2</v>
      </c>
      <c r="AD50">
        <v>-6.438567156139352E-2</v>
      </c>
      <c r="AE50">
        <v>-6.7035787492522925E-2</v>
      </c>
      <c r="AF50">
        <v>-3.7865286373911955E-2</v>
      </c>
      <c r="AG50">
        <v>-6.9725407330866962E-2</v>
      </c>
      <c r="AH50">
        <v>-5.3465990749607957E-2</v>
      </c>
      <c r="AI50">
        <v>-5.3465990749607957E-2</v>
      </c>
      <c r="AJ50">
        <v>-3.3680555555555491E-2</v>
      </c>
      <c r="AK50">
        <v>-1.5378982057854373E-2</v>
      </c>
      <c r="AL50">
        <v>-8.2906330144338902E-4</v>
      </c>
    </row>
    <row r="51" spans="1:38">
      <c r="A51" s="568">
        <v>43902</v>
      </c>
      <c r="B51">
        <v>1.6540434129188041E-4</v>
      </c>
      <c r="C51">
        <v>-1.1765230335092358E-4</v>
      </c>
      <c r="D51">
        <v>4.2025684834290367E-4</v>
      </c>
      <c r="E51">
        <v>2.2046316435520019E-4</v>
      </c>
      <c r="F51">
        <v>-1.1853159414054737E-4</v>
      </c>
      <c r="G51">
        <v>4.530862421281423E-4</v>
      </c>
      <c r="H51">
        <v>2.1387211882673007E-4</v>
      </c>
      <c r="I51">
        <v>2.5937726067737366E-4</v>
      </c>
      <c r="J51">
        <v>-1.7701572704127422E-2</v>
      </c>
      <c r="K51">
        <v>-2.7296000502554096E-2</v>
      </c>
      <c r="L51">
        <v>3.5741802299349423E-4</v>
      </c>
      <c r="M51">
        <v>3.7566120073684317E-4</v>
      </c>
      <c r="N51">
        <v>3.8111791020645214E-4</v>
      </c>
      <c r="O51">
        <v>5.4612392438491142E-4</v>
      </c>
      <c r="P51">
        <v>5.3573019985209136E-4</v>
      </c>
      <c r="Q51">
        <v>5.4958248556946643E-4</v>
      </c>
      <c r="R51">
        <v>-2.4808924570852486E-2</v>
      </c>
      <c r="S51">
        <v>-5.0069051783342422E-3</v>
      </c>
      <c r="T51">
        <v>-2.5630219191836723E-2</v>
      </c>
      <c r="U51">
        <v>-1.576962228156864E-2</v>
      </c>
      <c r="V51">
        <v>-3.2644347239966232E-2</v>
      </c>
      <c r="W51">
        <v>-1.024337467844616E-2</v>
      </c>
      <c r="X51">
        <v>9.595690612807628E-3</v>
      </c>
      <c r="Y51">
        <v>-3.2644347239966232E-2</v>
      </c>
      <c r="Z51">
        <v>-1.8874882933927251E-2</v>
      </c>
      <c r="AA51">
        <v>-1.3618725082121474E-2</v>
      </c>
      <c r="AC51">
        <v>-0.14780360434339668</v>
      </c>
      <c r="AD51">
        <v>-0.14596305419827071</v>
      </c>
      <c r="AE51">
        <v>-0.12476143044754429</v>
      </c>
      <c r="AF51">
        <v>-7.0248342822316179E-2</v>
      </c>
      <c r="AG51">
        <v>-8.5822833533891085E-2</v>
      </c>
      <c r="AH51">
        <v>-0.10346252304037767</v>
      </c>
      <c r="AI51">
        <v>-0.10346252304037767</v>
      </c>
      <c r="AJ51">
        <v>-8.7315846209126913E-2</v>
      </c>
      <c r="AK51">
        <v>-4.4750216933184594E-2</v>
      </c>
      <c r="AL51">
        <v>-7.5623971986558236E-2</v>
      </c>
    </row>
    <row r="52" spans="1:38">
      <c r="A52" s="568">
        <v>43903</v>
      </c>
      <c r="B52">
        <v>1.6540434129188041E-4</v>
      </c>
      <c r="C52">
        <v>-2.856230307068941E-5</v>
      </c>
      <c r="D52">
        <v>2.9253503253268143E-4</v>
      </c>
      <c r="E52">
        <v>2.2046316435520019E-4</v>
      </c>
      <c r="F52">
        <v>-7.0215497745884647E-5</v>
      </c>
      <c r="G52">
        <v>-8.9666889285400231E-4</v>
      </c>
      <c r="H52">
        <v>2.1239131089934027E-4</v>
      </c>
      <c r="I52">
        <v>2.5937726067737366E-4</v>
      </c>
      <c r="J52">
        <v>1.0909415847904835E-2</v>
      </c>
      <c r="K52">
        <v>1.94495200508773E-2</v>
      </c>
      <c r="L52">
        <v>3.5741802299349423E-4</v>
      </c>
      <c r="M52">
        <v>3.7566120073684317E-4</v>
      </c>
      <c r="N52">
        <v>3.8111791020645214E-4</v>
      </c>
      <c r="O52">
        <v>5.4612392438491142E-4</v>
      </c>
      <c r="P52">
        <v>5.3573019985209136E-4</v>
      </c>
      <c r="Q52">
        <v>5.4958248556946643E-4</v>
      </c>
      <c r="R52">
        <v>1.7352735357287763E-3</v>
      </c>
      <c r="S52">
        <v>5.6825791675849668E-3</v>
      </c>
      <c r="T52">
        <v>1.6626433888898173E-2</v>
      </c>
      <c r="U52">
        <v>2.1892448353031835E-2</v>
      </c>
      <c r="V52">
        <v>2.7477813669811502E-2</v>
      </c>
      <c r="W52">
        <v>1.2316239221442205E-2</v>
      </c>
      <c r="X52">
        <v>1.2536993192737711E-3</v>
      </c>
      <c r="Y52">
        <v>2.7477813669811502E-2</v>
      </c>
      <c r="Z52">
        <v>4.2356226082693738E-3</v>
      </c>
      <c r="AA52">
        <v>9.9762207309070927E-3</v>
      </c>
      <c r="AC52">
        <v>0.13908829025386704</v>
      </c>
      <c r="AD52">
        <v>0.11487422382874279</v>
      </c>
      <c r="AE52">
        <v>0.12280655241271177</v>
      </c>
      <c r="AF52">
        <v>4.3011056264814718E-2</v>
      </c>
      <c r="AG52">
        <v>9.3154013349575626E-2</v>
      </c>
      <c r="AH52">
        <v>9.7361803177706929E-2</v>
      </c>
      <c r="AI52">
        <v>9.7361803177706929E-2</v>
      </c>
      <c r="AJ52">
        <v>0.10275590551181102</v>
      </c>
      <c r="AK52">
        <v>3.7633013236437751E-3</v>
      </c>
      <c r="AL52">
        <v>1.7643581460573987E-2</v>
      </c>
    </row>
    <row r="53" spans="1:38">
      <c r="A53" s="568">
        <v>43906</v>
      </c>
      <c r="B53">
        <v>1.6540434129188041E-4</v>
      </c>
      <c r="C53">
        <v>4.9565144917651516E-4</v>
      </c>
      <c r="D53">
        <v>1.9477135422230063E-4</v>
      </c>
      <c r="E53">
        <v>2.2046316435520019E-4</v>
      </c>
      <c r="F53">
        <v>2.7586596835349475E-4</v>
      </c>
      <c r="G53">
        <v>-2.4247220745188258E-4</v>
      </c>
      <c r="H53">
        <v>2.1306359625516968E-4</v>
      </c>
      <c r="I53">
        <v>2.5937726067737366E-4</v>
      </c>
      <c r="J53">
        <v>3.5087365523636116E-3</v>
      </c>
      <c r="K53">
        <v>2.0472684865859847E-3</v>
      </c>
      <c r="L53">
        <v>3.5741802299349423E-4</v>
      </c>
      <c r="M53">
        <v>3.7566120073684317E-4</v>
      </c>
      <c r="N53">
        <v>3.8111791020645214E-4</v>
      </c>
      <c r="O53">
        <v>5.4612392438491142E-4</v>
      </c>
      <c r="P53">
        <v>5.3573019985209136E-4</v>
      </c>
      <c r="Q53">
        <v>5.4958248556946643E-4</v>
      </c>
      <c r="R53">
        <v>-1.6679380557144685E-2</v>
      </c>
      <c r="S53">
        <v>-7.725116336888993E-3</v>
      </c>
      <c r="T53">
        <v>-1.0412357144512052E-2</v>
      </c>
      <c r="U53">
        <v>-2.9211627648489946E-3</v>
      </c>
      <c r="V53">
        <v>-1.7288588623524115E-2</v>
      </c>
      <c r="W53">
        <v>6.7198819638125684E-4</v>
      </c>
      <c r="X53">
        <v>8.49801782947468E-4</v>
      </c>
      <c r="Y53">
        <v>-1.7288588623524115E-2</v>
      </c>
      <c r="Z53">
        <v>1.0112026691778464E-2</v>
      </c>
      <c r="AA53">
        <v>-4.3277392335406839E-3</v>
      </c>
      <c r="AC53">
        <v>-0.13921324329557916</v>
      </c>
      <c r="AD53">
        <v>-0.15456635456918899</v>
      </c>
      <c r="AE53">
        <v>-0.12475276633502896</v>
      </c>
      <c r="AF53">
        <v>-7.7986099501319406E-2</v>
      </c>
      <c r="AG53">
        <v>-9.0221546876874448E-2</v>
      </c>
      <c r="AH53">
        <v>-9.7449270306905408E-2</v>
      </c>
      <c r="AI53">
        <v>-9.7449270306905408E-2</v>
      </c>
      <c r="AJ53">
        <v>-7.7329525169582358E-2</v>
      </c>
      <c r="AK53">
        <v>-5.9469941822882899E-2</v>
      </c>
      <c r="AL53">
        <v>-3.9375924421236053E-2</v>
      </c>
    </row>
    <row r="54" spans="1:38">
      <c r="A54" s="568">
        <v>43907</v>
      </c>
      <c r="B54">
        <v>1.6540434129188041E-4</v>
      </c>
      <c r="C54">
        <v>2.0468420539820897E-4</v>
      </c>
      <c r="D54">
        <v>2.4853365145638406E-4</v>
      </c>
      <c r="E54">
        <v>2.2046316435520019E-4</v>
      </c>
      <c r="F54">
        <v>-4.4217552180203512E-5</v>
      </c>
      <c r="G54">
        <v>-6.0528854165131651E-4</v>
      </c>
      <c r="H54">
        <v>2.1373544285907542E-4</v>
      </c>
      <c r="I54">
        <v>2.5937726067737366E-4</v>
      </c>
      <c r="J54">
        <v>3.0552640802257169E-3</v>
      </c>
      <c r="K54">
        <v>4.060463509368839E-3</v>
      </c>
      <c r="L54">
        <v>3.5741802299349423E-4</v>
      </c>
      <c r="M54">
        <v>3.7566120073684317E-4</v>
      </c>
      <c r="N54">
        <v>3.8111791020645214E-4</v>
      </c>
      <c r="O54">
        <v>5.4612392438491142E-4</v>
      </c>
      <c r="P54">
        <v>5.3573019985209136E-4</v>
      </c>
      <c r="Q54">
        <v>5.4958248556946643E-4</v>
      </c>
      <c r="R54">
        <v>-9.5137576707701177E-3</v>
      </c>
      <c r="S54">
        <v>-9.9339372294415806E-4</v>
      </c>
      <c r="T54">
        <v>1.3825415140721331E-2</v>
      </c>
      <c r="U54">
        <v>1.2394061040728044E-3</v>
      </c>
      <c r="V54">
        <v>4.3541531922757226E-3</v>
      </c>
      <c r="W54">
        <v>2.9908941051952631E-3</v>
      </c>
      <c r="X54">
        <v>-8.6821274233255252E-3</v>
      </c>
      <c r="Y54">
        <v>4.3541531922757226E-3</v>
      </c>
      <c r="Z54">
        <v>1.6995963458679153E-3</v>
      </c>
      <c r="AA54">
        <v>-2.068584395985118E-3</v>
      </c>
      <c r="AC54">
        <v>4.8465427955381779E-2</v>
      </c>
      <c r="AD54">
        <v>1.5191300269659536E-2</v>
      </c>
      <c r="AE54">
        <v>3.7692896800513909E-2</v>
      </c>
      <c r="AF54">
        <v>1.4028012381608113E-2</v>
      </c>
      <c r="AG54">
        <v>2.1177157506262478E-2</v>
      </c>
      <c r="AH54">
        <v>3.3925799568767241E-2</v>
      </c>
      <c r="AI54">
        <v>3.3925799568767241E-2</v>
      </c>
      <c r="AJ54">
        <v>5.6338028169014009E-2</v>
      </c>
      <c r="AK54">
        <v>8.7972508591065424E-3</v>
      </c>
      <c r="AL54">
        <v>-8.6183778661432786E-3</v>
      </c>
    </row>
    <row r="55" spans="1:38">
      <c r="A55" s="568">
        <v>43908</v>
      </c>
      <c r="B55">
        <v>1.6540434129188041E-4</v>
      </c>
      <c r="C55">
        <v>-4.5274865265398923E-4</v>
      </c>
      <c r="D55">
        <v>1.6194521340806567E-4</v>
      </c>
      <c r="E55">
        <v>2.2046316435520019E-4</v>
      </c>
      <c r="F55">
        <v>-2.3550306755737438E-3</v>
      </c>
      <c r="G55">
        <v>-2.1208326060095928E-4</v>
      </c>
      <c r="H55">
        <v>2.1225561025284279E-4</v>
      </c>
      <c r="I55">
        <v>2.5937726067737366E-4</v>
      </c>
      <c r="J55">
        <v>-2.0226965241400996E-2</v>
      </c>
      <c r="K55">
        <v>-2.5549277885451804E-2</v>
      </c>
      <c r="L55">
        <v>3.5741802299349423E-4</v>
      </c>
      <c r="M55">
        <v>3.7566120073684317E-4</v>
      </c>
      <c r="N55">
        <v>3.8111791020645214E-4</v>
      </c>
      <c r="O55">
        <v>5.4612392438491142E-4</v>
      </c>
      <c r="P55">
        <v>5.3573019985209136E-4</v>
      </c>
      <c r="Q55">
        <v>5.4958248556946643E-4</v>
      </c>
      <c r="R55">
        <v>-3.1883044188320109E-2</v>
      </c>
      <c r="S55">
        <v>6.1311607618153019E-4</v>
      </c>
      <c r="T55">
        <v>-2.6120915691496549E-4</v>
      </c>
      <c r="U55">
        <v>-1.3364875128829667E-2</v>
      </c>
      <c r="V55">
        <v>-2.3234553420498849E-2</v>
      </c>
      <c r="W55">
        <v>-6.0997982299789699E-3</v>
      </c>
      <c r="X55">
        <v>-2.8660471438985979E-3</v>
      </c>
      <c r="Y55">
        <v>-2.3234553420498849E-2</v>
      </c>
      <c r="Z55">
        <v>2.3580597938521741E-4</v>
      </c>
      <c r="AA55">
        <v>-1.5216239370754892E-2</v>
      </c>
      <c r="AC55">
        <v>-0.10349203481661884</v>
      </c>
      <c r="AD55">
        <v>-0.1395211791237444</v>
      </c>
      <c r="AE55">
        <v>-9.8811905560175162E-2</v>
      </c>
      <c r="AF55">
        <v>-6.6318720496381767E-2</v>
      </c>
      <c r="AG55">
        <v>-8.6866057861852863E-2</v>
      </c>
      <c r="AH55">
        <v>-7.2444424371633176E-2</v>
      </c>
      <c r="AI55">
        <v>-7.2444424371633176E-2</v>
      </c>
      <c r="AJ55">
        <v>-2.1978021978022011E-2</v>
      </c>
      <c r="AK55">
        <v>-4.0332470363809714E-2</v>
      </c>
      <c r="AL55">
        <v>-1.4116033193354416E-2</v>
      </c>
    </row>
    <row r="56" spans="1:38">
      <c r="A56" s="568">
        <v>43909</v>
      </c>
      <c r="B56">
        <v>1.4582741303617586E-4</v>
      </c>
      <c r="C56">
        <v>-1.1245252692160257E-4</v>
      </c>
      <c r="D56">
        <v>2.7064437913137951E-4</v>
      </c>
      <c r="E56">
        <v>2.0136259369185616E-4</v>
      </c>
      <c r="F56">
        <v>-1.6244477791445E-3</v>
      </c>
      <c r="G56">
        <v>-2.2113033062595155E-3</v>
      </c>
      <c r="H56">
        <v>2.1292749496182317E-4</v>
      </c>
      <c r="I56">
        <v>2.402759468962401E-4</v>
      </c>
      <c r="J56">
        <v>-2.8616894121561431E-3</v>
      </c>
      <c r="K56">
        <v>-3.4155033348911568E-3</v>
      </c>
      <c r="L56">
        <v>3.5741802299349423E-4</v>
      </c>
      <c r="M56">
        <v>3.7566120073684317E-4</v>
      </c>
      <c r="N56">
        <v>3.8111791020645214E-4</v>
      </c>
      <c r="O56">
        <v>5.4612392438491142E-4</v>
      </c>
      <c r="P56">
        <v>5.3573019985209136E-4</v>
      </c>
      <c r="Q56">
        <v>5.4958248556946643E-4</v>
      </c>
      <c r="R56">
        <v>-2.3811809467418343E-2</v>
      </c>
      <c r="S56">
        <v>-4.2208846059345051E-3</v>
      </c>
      <c r="T56">
        <v>-3.3998730570627966E-3</v>
      </c>
      <c r="U56">
        <v>5.4058274376933557E-3</v>
      </c>
      <c r="V56">
        <v>3.720251234687888E-3</v>
      </c>
      <c r="W56">
        <v>2.1271026189721987E-3</v>
      </c>
      <c r="X56">
        <v>-1.24856855238209E-3</v>
      </c>
      <c r="Y56">
        <v>3.720251234687888E-3</v>
      </c>
      <c r="Z56">
        <v>2.0519822792022246E-3</v>
      </c>
      <c r="AA56">
        <v>-1.0439870096085047E-2</v>
      </c>
      <c r="AC56">
        <v>2.1479199849913977E-2</v>
      </c>
      <c r="AD56">
        <v>4.0533567813652915E-2</v>
      </c>
      <c r="AE56">
        <v>2.369550963288769E-2</v>
      </c>
      <c r="AF56">
        <v>-3.5337448036047991E-3</v>
      </c>
      <c r="AG56">
        <v>1.9086881827145907E-2</v>
      </c>
      <c r="AH56">
        <v>1.5035439894939783E-2</v>
      </c>
      <c r="AI56">
        <v>1.5035439894939783E-2</v>
      </c>
      <c r="AJ56">
        <v>-1.6853932584269704E-2</v>
      </c>
      <c r="AK56">
        <v>-1.1074826068436794E-2</v>
      </c>
      <c r="AL56">
        <v>-6.5399702841000384E-2</v>
      </c>
    </row>
    <row r="57" spans="1:38">
      <c r="A57" s="568">
        <v>43910</v>
      </c>
      <c r="B57">
        <v>1.4582741303617586E-4</v>
      </c>
      <c r="C57">
        <v>-5.0342635779143663E-4</v>
      </c>
      <c r="D57">
        <v>1.0168332656412815E-4</v>
      </c>
      <c r="E57">
        <v>2.0136259369185616E-4</v>
      </c>
      <c r="F57">
        <v>-1.3895493621848276E-3</v>
      </c>
      <c r="G57">
        <v>-2.8324613690302591E-3</v>
      </c>
      <c r="H57">
        <v>1.928124672971876E-4</v>
      </c>
      <c r="I57">
        <v>2.402759468962401E-4</v>
      </c>
      <c r="J57">
        <v>-4.0100589419437283E-3</v>
      </c>
      <c r="K57">
        <v>-4.6733925113177088E-3</v>
      </c>
      <c r="L57">
        <v>3.5741802299349423E-4</v>
      </c>
      <c r="M57">
        <v>3.7566120073684317E-4</v>
      </c>
      <c r="N57">
        <v>3.8111791020645214E-4</v>
      </c>
      <c r="O57">
        <v>5.4612392438491142E-4</v>
      </c>
      <c r="P57">
        <v>5.3573019985209136E-4</v>
      </c>
      <c r="Q57">
        <v>5.4958248556946643E-4</v>
      </c>
      <c r="R57">
        <v>-4.0746988078428359E-3</v>
      </c>
      <c r="S57">
        <v>5.5425269352915585E-3</v>
      </c>
      <c r="T57">
        <v>3.8846865441213296E-3</v>
      </c>
      <c r="U57">
        <v>8.5672099179141536E-3</v>
      </c>
      <c r="V57">
        <v>-2.8326285972331E-3</v>
      </c>
      <c r="W57">
        <v>1.1581072071165099E-3</v>
      </c>
      <c r="X57">
        <v>4.3558999561505996E-3</v>
      </c>
      <c r="Y57">
        <v>-2.8326285972331E-3</v>
      </c>
      <c r="Z57">
        <v>-9.1550383717420303E-4</v>
      </c>
      <c r="AA57">
        <v>4.4829775008243811E-3</v>
      </c>
      <c r="AC57">
        <v>-1.8475146271574872E-2</v>
      </c>
      <c r="AD57">
        <v>-4.6342419993959938E-3</v>
      </c>
      <c r="AE57">
        <v>-2.4998028944863249E-2</v>
      </c>
      <c r="AF57">
        <v>-1.2470388579807201E-2</v>
      </c>
      <c r="AG57">
        <v>-2.8428391881452852E-2</v>
      </c>
      <c r="AH57">
        <v>-1.293260239010241E-2</v>
      </c>
      <c r="AI57">
        <v>-1.293260239010241E-2</v>
      </c>
      <c r="AJ57">
        <v>-4.7619047619047672E-2</v>
      </c>
      <c r="AK57">
        <v>3.790380473797561E-2</v>
      </c>
      <c r="AL57">
        <v>2.4927220656433491E-2</v>
      </c>
    </row>
    <row r="58" spans="1:38">
      <c r="A58" s="568">
        <v>43913</v>
      </c>
      <c r="B58">
        <v>1.4582741303617586E-4</v>
      </c>
      <c r="C58">
        <v>-1.0722710369824862E-3</v>
      </c>
      <c r="D58">
        <v>1.5835275735387455E-4</v>
      </c>
      <c r="E58">
        <v>2.0136259369185616E-4</v>
      </c>
      <c r="F58">
        <v>-4.5479857643416777E-3</v>
      </c>
      <c r="G58">
        <v>-4.188797266551969E-3</v>
      </c>
      <c r="H58">
        <v>1.92775297816139E-4</v>
      </c>
      <c r="I58">
        <v>2.402759468962401E-4</v>
      </c>
      <c r="J58">
        <v>-9.6457000218476141E-3</v>
      </c>
      <c r="K58">
        <v>-1.1806314186753264E-2</v>
      </c>
      <c r="L58">
        <v>3.5741802299349423E-4</v>
      </c>
      <c r="M58">
        <v>3.7566120073684317E-4</v>
      </c>
      <c r="N58">
        <v>3.8111791020645214E-4</v>
      </c>
      <c r="O58">
        <v>5.4612392438491142E-4</v>
      </c>
      <c r="P58">
        <v>5.3573019985209136E-4</v>
      </c>
      <c r="Q58">
        <v>5.4958248556946643E-4</v>
      </c>
      <c r="R58">
        <v>-1.016134077538533E-2</v>
      </c>
      <c r="S58">
        <v>8.5264920099672459E-3</v>
      </c>
      <c r="T58">
        <v>-1.6450276618016346E-3</v>
      </c>
      <c r="U58">
        <v>3.8006294948809138E-3</v>
      </c>
      <c r="V58">
        <v>-5.990119390695714E-3</v>
      </c>
      <c r="W58">
        <v>4.4884040439425732E-3</v>
      </c>
      <c r="X58">
        <v>6.6633381202947373E-3</v>
      </c>
      <c r="Y58">
        <v>-5.990119390695714E-3</v>
      </c>
      <c r="Z58">
        <v>9.2053517030199483E-3</v>
      </c>
      <c r="AA58">
        <v>6.8714508617118142E-5</v>
      </c>
      <c r="AC58">
        <v>-5.2180906452663267E-2</v>
      </c>
      <c r="AD58">
        <v>-5.567054198615029E-2</v>
      </c>
      <c r="AE58">
        <v>-4.0881580717029853E-2</v>
      </c>
      <c r="AF58">
        <v>-2.8315804025090485E-2</v>
      </c>
      <c r="AG58">
        <v>-4.4317120151431633E-2</v>
      </c>
      <c r="AH58">
        <v>-3.6526634516864283E-2</v>
      </c>
      <c r="AI58">
        <v>-3.6526634516864283E-2</v>
      </c>
      <c r="AJ58">
        <v>-8.0000000000000071E-3</v>
      </c>
      <c r="AK58">
        <v>-3.2922949232259135E-2</v>
      </c>
      <c r="AL58">
        <v>-3.6722961559768064E-2</v>
      </c>
    </row>
    <row r="59" spans="1:38">
      <c r="A59" s="568">
        <v>43914</v>
      </c>
      <c r="B59">
        <v>1.4582741303617586E-4</v>
      </c>
      <c r="C59">
        <v>-2.0346929208542308E-3</v>
      </c>
      <c r="D59">
        <v>1.4897992568529972E-4</v>
      </c>
      <c r="E59">
        <v>2.0136259369185616E-4</v>
      </c>
      <c r="F59">
        <v>-4.6847907061118299E-3</v>
      </c>
      <c r="G59">
        <v>-7.4937674380296526E-3</v>
      </c>
      <c r="H59">
        <v>1.9273814266362876E-4</v>
      </c>
      <c r="I59">
        <v>2.402759468962401E-4</v>
      </c>
      <c r="J59">
        <v>3.9530980836979257E-3</v>
      </c>
      <c r="K59">
        <v>5.6185117060327805E-3</v>
      </c>
      <c r="L59">
        <v>3.5741802299349423E-4</v>
      </c>
      <c r="M59">
        <v>3.7566120073684317E-4</v>
      </c>
      <c r="N59">
        <v>3.8111791020645214E-4</v>
      </c>
      <c r="O59">
        <v>5.4612392438491142E-4</v>
      </c>
      <c r="P59">
        <v>5.3573019985209136E-4</v>
      </c>
      <c r="Q59">
        <v>5.4958248556946643E-4</v>
      </c>
      <c r="R59">
        <v>1.3565191964142853E-2</v>
      </c>
      <c r="S59">
        <v>2.5762568566135569E-2</v>
      </c>
      <c r="T59">
        <v>-1.0717632685528833E-2</v>
      </c>
      <c r="U59">
        <v>1.7017503243363929E-3</v>
      </c>
      <c r="V59">
        <v>1.2395606216144994E-2</v>
      </c>
      <c r="W59">
        <v>-2.6580012194099556E-4</v>
      </c>
      <c r="X59">
        <v>2.1803129278603617E-3</v>
      </c>
      <c r="Y59">
        <v>1.2395606216144994E-2</v>
      </c>
      <c r="Z59">
        <v>-7.9280043332918826E-4</v>
      </c>
      <c r="AA59">
        <v>3.0768562978604752E-3</v>
      </c>
      <c r="AC59">
        <v>9.6896599350444479E-2</v>
      </c>
      <c r="AD59">
        <v>9.8768866273074796E-2</v>
      </c>
      <c r="AE59">
        <v>8.3629450312009412E-2</v>
      </c>
      <c r="AF59">
        <v>4.1596315030041797E-2</v>
      </c>
      <c r="AG59">
        <v>6.8721115664958088E-2</v>
      </c>
      <c r="AH59">
        <v>6.7827619545311135E-2</v>
      </c>
      <c r="AI59">
        <v>6.7827619545311135E-2</v>
      </c>
      <c r="AJ59">
        <v>8.870967741935476E-2</v>
      </c>
      <c r="AK59">
        <v>5.077957373766262E-2</v>
      </c>
      <c r="AL59">
        <v>2.9188738059784836E-2</v>
      </c>
    </row>
    <row r="60" spans="1:38">
      <c r="A60" s="568">
        <v>43915</v>
      </c>
      <c r="B60">
        <v>1.4582741303617586E-4</v>
      </c>
      <c r="C60">
        <v>-1.0782187554763123E-3</v>
      </c>
      <c r="D60">
        <v>1.4545284611511278E-4</v>
      </c>
      <c r="E60">
        <v>2.0136259369185616E-4</v>
      </c>
      <c r="F60">
        <v>-5.4081259277796168E-3</v>
      </c>
      <c r="G60">
        <v>-5.7037741467778069E-3</v>
      </c>
      <c r="H60">
        <v>1.9413372303334064E-4</v>
      </c>
      <c r="I60">
        <v>2.402759468962401E-4</v>
      </c>
      <c r="J60">
        <v>4.5694959632551768E-3</v>
      </c>
      <c r="K60">
        <v>5.8711152230390695E-3</v>
      </c>
      <c r="L60">
        <v>3.5741802299349423E-4</v>
      </c>
      <c r="M60">
        <v>3.7566120073684317E-4</v>
      </c>
      <c r="N60">
        <v>3.8111791020645214E-4</v>
      </c>
      <c r="O60">
        <v>5.4612392438491142E-4</v>
      </c>
      <c r="P60">
        <v>5.3573019985209136E-4</v>
      </c>
      <c r="Q60">
        <v>5.4958248556946643E-4</v>
      </c>
      <c r="R60">
        <v>1.5674350952797234E-2</v>
      </c>
      <c r="S60">
        <v>-4.6185897769572826E-3</v>
      </c>
      <c r="T60">
        <v>2.9710847787214334E-3</v>
      </c>
      <c r="U60">
        <v>2.1589179559720062E-3</v>
      </c>
      <c r="V60">
        <v>1.1089584556986276E-2</v>
      </c>
      <c r="W60">
        <v>-6.6134602084089167E-4</v>
      </c>
      <c r="X60">
        <v>-2.6007847059120737E-3</v>
      </c>
      <c r="Y60">
        <v>1.1089584556986276E-2</v>
      </c>
      <c r="Z60">
        <v>8.5417176789537308E-4</v>
      </c>
      <c r="AA60">
        <v>-2.1681614170133701E-3</v>
      </c>
      <c r="AC60">
        <v>7.4950845627304474E-2</v>
      </c>
      <c r="AD60">
        <v>8.3061023899344111E-2</v>
      </c>
      <c r="AE60">
        <v>6.1086191065306217E-2</v>
      </c>
      <c r="AF60">
        <v>3.0559323414814266E-2</v>
      </c>
      <c r="AG60">
        <v>4.9459770315426477E-2</v>
      </c>
      <c r="AH60">
        <v>5.2465591939113126E-2</v>
      </c>
      <c r="AI60">
        <v>5.2465591939113126E-2</v>
      </c>
      <c r="AJ60">
        <v>-6.2962962962962443E-3</v>
      </c>
      <c r="AK60">
        <v>3.1173427715763813E-2</v>
      </c>
      <c r="AL60">
        <v>2.1219729542778731E-2</v>
      </c>
    </row>
    <row r="61" spans="1:38">
      <c r="A61" s="568">
        <v>43916</v>
      </c>
      <c r="B61">
        <v>1.4582741303617586E-4</v>
      </c>
      <c r="C61">
        <v>-1.4047255907737588E-3</v>
      </c>
      <c r="D61">
        <v>1.5010419684324816E-4</v>
      </c>
      <c r="E61">
        <v>2.0136259369185616E-4</v>
      </c>
      <c r="F61">
        <v>-4.81429320910709E-3</v>
      </c>
      <c r="G61">
        <v>-5.244247401830382E-3</v>
      </c>
      <c r="H61">
        <v>1.9409604244624568E-4</v>
      </c>
      <c r="I61">
        <v>2.402759468962401E-4</v>
      </c>
      <c r="J61">
        <v>9.9701605622115608E-4</v>
      </c>
      <c r="K61">
        <v>2.3968151327151688E-3</v>
      </c>
      <c r="L61">
        <v>3.5741802299349423E-4</v>
      </c>
      <c r="M61">
        <v>3.7566120073684317E-4</v>
      </c>
      <c r="N61">
        <v>3.8111791020645214E-4</v>
      </c>
      <c r="O61">
        <v>5.4612392438491142E-4</v>
      </c>
      <c r="P61">
        <v>5.3573019985209136E-4</v>
      </c>
      <c r="Q61">
        <v>5.4958248556946643E-4</v>
      </c>
      <c r="R61">
        <v>1.8955670242645439E-2</v>
      </c>
      <c r="S61">
        <v>2.2457889631330108E-2</v>
      </c>
      <c r="T61">
        <v>7.985236960711406E-3</v>
      </c>
      <c r="U61">
        <v>-4.1151600823031709E-3</v>
      </c>
      <c r="V61">
        <v>9.1558576680308423E-3</v>
      </c>
      <c r="W61">
        <v>1.0060081716953828E-3</v>
      </c>
      <c r="X61">
        <v>-4.3157911214931621E-3</v>
      </c>
      <c r="Y61">
        <v>9.1558576680308423E-3</v>
      </c>
      <c r="Z61">
        <v>-8.3213368517620623E-4</v>
      </c>
      <c r="AA61">
        <v>6.5249097929400701E-3</v>
      </c>
      <c r="AC61">
        <v>3.6742966533374277E-2</v>
      </c>
      <c r="AD61">
        <v>3.3400697727074657E-2</v>
      </c>
      <c r="AE61">
        <v>2.4279676911302284E-2</v>
      </c>
      <c r="AF61">
        <v>2.6262559150312059E-2</v>
      </c>
      <c r="AG61">
        <v>5.6765844735378046E-2</v>
      </c>
      <c r="AH61">
        <v>2.5720076573361991E-2</v>
      </c>
      <c r="AI61">
        <v>2.5720076573361991E-2</v>
      </c>
      <c r="AJ61">
        <v>5.2180395080134279E-2</v>
      </c>
      <c r="AK61">
        <v>7.128712871287135E-3</v>
      </c>
      <c r="AL61">
        <v>3.1299256460006752E-2</v>
      </c>
    </row>
    <row r="62" spans="1:38">
      <c r="A62" s="568">
        <v>43917</v>
      </c>
      <c r="B62">
        <v>1.4582741303617586E-4</v>
      </c>
      <c r="C62">
        <v>-1.6426253089985021E-3</v>
      </c>
      <c r="D62">
        <v>1.4716179212692637E-4</v>
      </c>
      <c r="E62">
        <v>2.0136259369185616E-4</v>
      </c>
      <c r="F62">
        <v>-3.7533211353902862E-3</v>
      </c>
      <c r="G62">
        <v>-3.4273372630805321E-3</v>
      </c>
      <c r="H62">
        <v>1.9477445905335955E-4</v>
      </c>
      <c r="I62">
        <v>2.402759468962401E-4</v>
      </c>
      <c r="J62">
        <v>-9.6693401547509605E-4</v>
      </c>
      <c r="K62">
        <v>8.0084250731915496E-4</v>
      </c>
      <c r="L62">
        <v>3.5741802299349423E-4</v>
      </c>
      <c r="M62">
        <v>3.7566120073684317E-4</v>
      </c>
      <c r="N62">
        <v>3.8111791020645214E-4</v>
      </c>
      <c r="O62">
        <v>5.4612392438491142E-4</v>
      </c>
      <c r="P62">
        <v>5.3573019985209136E-4</v>
      </c>
      <c r="Q62">
        <v>5.4958248556946643E-4</v>
      </c>
      <c r="R62">
        <v>6.48485644823249E-3</v>
      </c>
      <c r="S62">
        <v>2.5069052092536737E-3</v>
      </c>
      <c r="T62">
        <v>6.282835375014173E-3</v>
      </c>
      <c r="U62">
        <v>5.7087943379050543E-3</v>
      </c>
      <c r="V62">
        <v>-5.1378101587737923E-3</v>
      </c>
      <c r="W62">
        <v>-1.3161829966592542E-3</v>
      </c>
      <c r="X62">
        <v>2.9489944788652078E-3</v>
      </c>
      <c r="Y62">
        <v>-5.1378101587737923E-3</v>
      </c>
      <c r="Z62">
        <v>3.4317319663996759E-3</v>
      </c>
      <c r="AA62">
        <v>2.7263777115724697E-3</v>
      </c>
      <c r="AC62">
        <v>-5.5088131900204007E-2</v>
      </c>
      <c r="AD62">
        <v>-4.689535804274203E-2</v>
      </c>
      <c r="AE62">
        <v>-4.94270640978558E-2</v>
      </c>
      <c r="AF62">
        <v>-1.9411112453301071E-2</v>
      </c>
      <c r="AG62">
        <v>-3.0959791437108697E-2</v>
      </c>
      <c r="AH62">
        <v>-3.8561692330142804E-2</v>
      </c>
      <c r="AI62">
        <v>-3.8561692330142804E-2</v>
      </c>
      <c r="AJ62">
        <v>-1.2398157987956071E-2</v>
      </c>
      <c r="AK62">
        <v>-8.5201205924761991E-3</v>
      </c>
      <c r="AL62">
        <v>1.146540377527927E-5</v>
      </c>
    </row>
    <row r="63" spans="1:38">
      <c r="A63" s="568">
        <v>43920</v>
      </c>
      <c r="B63">
        <v>1.4582741303617586E-4</v>
      </c>
      <c r="C63">
        <v>-2.6882465810144085E-3</v>
      </c>
      <c r="D63">
        <v>1.4597235984181722E-4</v>
      </c>
      <c r="E63">
        <v>2.0136259369185616E-4</v>
      </c>
      <c r="F63">
        <v>-3.617813980936968E-3</v>
      </c>
      <c r="G63">
        <v>-4.3620205266506895E-3</v>
      </c>
      <c r="H63">
        <v>1.9473652935109165E-4</v>
      </c>
      <c r="I63">
        <v>2.402759468962401E-4</v>
      </c>
      <c r="J63">
        <v>2.3025557448224099E-3</v>
      </c>
      <c r="K63">
        <v>4.2071147759059624E-3</v>
      </c>
      <c r="L63">
        <v>3.5741802299349423E-4</v>
      </c>
      <c r="M63">
        <v>3.7566120073684317E-4</v>
      </c>
      <c r="N63">
        <v>3.8111791020645214E-4</v>
      </c>
      <c r="O63">
        <v>5.4612392438491142E-4</v>
      </c>
      <c r="P63">
        <v>5.3573019985209136E-4</v>
      </c>
      <c r="Q63">
        <v>5.4958248556946643E-4</v>
      </c>
      <c r="R63">
        <v>4.1775758231454851E-3</v>
      </c>
      <c r="S63">
        <v>1.694463107777211E-2</v>
      </c>
      <c r="T63">
        <v>3.7922191132293559E-3</v>
      </c>
      <c r="U63">
        <v>-2.0776410940394063E-3</v>
      </c>
      <c r="V63">
        <v>4.323770373824809E-3</v>
      </c>
      <c r="W63">
        <v>2.3539439321229594E-3</v>
      </c>
      <c r="X63">
        <v>-3.6694389121756377E-3</v>
      </c>
      <c r="Y63">
        <v>4.323770373824809E-3</v>
      </c>
      <c r="Z63">
        <v>5.3430703122225864E-3</v>
      </c>
      <c r="AA63">
        <v>-4.569958002759833E-3</v>
      </c>
      <c r="AC63">
        <v>1.6488085461858315E-2</v>
      </c>
      <c r="AD63">
        <v>1.4276542353865995E-3</v>
      </c>
      <c r="AE63">
        <v>1.5726774789734499E-2</v>
      </c>
      <c r="AF63">
        <v>1.9860809849912675E-2</v>
      </c>
      <c r="AG63">
        <v>1.4688270732561293E-2</v>
      </c>
      <c r="AH63">
        <v>1.1541659823300819E-2</v>
      </c>
      <c r="AI63">
        <v>1.1541659823300819E-2</v>
      </c>
      <c r="AJ63">
        <v>4.7345767575322828E-2</v>
      </c>
      <c r="AK63">
        <v>-6.7424643046007926E-3</v>
      </c>
      <c r="AL63">
        <v>9.6921521788750908E-3</v>
      </c>
    </row>
    <row r="64" spans="1:38">
      <c r="A64" s="568">
        <v>43921</v>
      </c>
      <c r="B64">
        <v>1.4582741303617586E-4</v>
      </c>
      <c r="C64">
        <v>-1.4231437678666747E-3</v>
      </c>
      <c r="D64">
        <v>1.19096060897661E-4</v>
      </c>
      <c r="E64">
        <v>2.0136259369185616E-4</v>
      </c>
      <c r="F64">
        <v>-5.4577247615542612E-3</v>
      </c>
      <c r="G64">
        <v>-3.4145813861752305E-3</v>
      </c>
      <c r="H64">
        <v>1.9469861441878678E-4</v>
      </c>
      <c r="I64">
        <v>2.402759468962401E-4</v>
      </c>
      <c r="J64">
        <v>2.6451704101897455E-3</v>
      </c>
      <c r="K64">
        <v>3.6162990187014188E-3</v>
      </c>
      <c r="L64">
        <v>3.5741802299349423E-4</v>
      </c>
      <c r="M64">
        <v>3.7566120073684317E-4</v>
      </c>
      <c r="N64">
        <v>3.8111791020645214E-4</v>
      </c>
      <c r="O64">
        <v>5.4612392438491142E-4</v>
      </c>
      <c r="P64">
        <v>5.3573019985209136E-4</v>
      </c>
      <c r="Q64">
        <v>5.4958248556946643E-4</v>
      </c>
      <c r="R64">
        <v>5.6534711637774571E-3</v>
      </c>
      <c r="S64">
        <v>-1.052992010494358E-3</v>
      </c>
      <c r="T64">
        <v>-1.108880748572405E-3</v>
      </c>
      <c r="U64">
        <v>5.9835535865015999E-4</v>
      </c>
      <c r="V64">
        <v>-1.7627635546485498E-3</v>
      </c>
      <c r="W64">
        <v>-2.3586973942435474E-4</v>
      </c>
      <c r="X64">
        <v>4.5431654372674046E-4</v>
      </c>
      <c r="Y64">
        <v>-1.7627635546485498E-3</v>
      </c>
      <c r="Z64">
        <v>1.3803165468859735E-3</v>
      </c>
      <c r="AA64">
        <v>-6.6850850812920637E-3</v>
      </c>
      <c r="AC64">
        <v>-2.1700579907577122E-2</v>
      </c>
      <c r="AD64">
        <v>-4.0352296516854125E-2</v>
      </c>
      <c r="AE64">
        <v>-1.755237633633111E-2</v>
      </c>
      <c r="AF64">
        <v>-1.5649494805043074E-2</v>
      </c>
      <c r="AG64">
        <v>-1.6337824792752809E-2</v>
      </c>
      <c r="AH64">
        <v>-1.5190405935303984E-2</v>
      </c>
      <c r="AI64">
        <v>-1.5190405935303984E-2</v>
      </c>
      <c r="AJ64">
        <v>-9.4520547945204925E-3</v>
      </c>
      <c r="AK64">
        <v>1.8501264474910073E-2</v>
      </c>
      <c r="AL64">
        <v>1.3325710406784319E-2</v>
      </c>
    </row>
    <row r="65" spans="1:38">
      <c r="A65" s="568">
        <v>43922</v>
      </c>
      <c r="B65">
        <v>1.4582741303617586E-4</v>
      </c>
      <c r="C65">
        <v>-1.4614187375057153E-3</v>
      </c>
      <c r="D65">
        <v>1.4009632790012994E-4</v>
      </c>
      <c r="E65">
        <v>2.0136259369185616E-4</v>
      </c>
      <c r="F65">
        <v>-1.520566946131563E-3</v>
      </c>
      <c r="G65">
        <v>-3.2651348162942018E-3</v>
      </c>
      <c r="H65">
        <v>1.9609204302861727E-4</v>
      </c>
      <c r="I65">
        <v>2.402759468962401E-4</v>
      </c>
      <c r="J65">
        <v>4.7293700150552453E-5</v>
      </c>
      <c r="K65">
        <v>2.3214606574395447E-5</v>
      </c>
      <c r="L65">
        <v>1.7033512347941482E-4</v>
      </c>
      <c r="M65">
        <v>1.8857488945567269E-4</v>
      </c>
      <c r="N65">
        <v>1.9403057843292437E-4</v>
      </c>
      <c r="O65">
        <v>5.4612392438491142E-4</v>
      </c>
      <c r="P65">
        <v>5.3573019985209136E-4</v>
      </c>
      <c r="Q65">
        <v>5.4958248556946643E-4</v>
      </c>
      <c r="R65">
        <v>-7.332265324298759E-3</v>
      </c>
      <c r="S65">
        <v>-6.8774068277104305E-3</v>
      </c>
      <c r="T65">
        <v>7.7280263255159465E-3</v>
      </c>
      <c r="U65">
        <v>1.5380684783763421E-3</v>
      </c>
      <c r="V65">
        <v>-5.1770326959907909E-3</v>
      </c>
      <c r="W65">
        <v>-3.3598194868320608E-3</v>
      </c>
      <c r="X65">
        <v>9.6873218588475751E-3</v>
      </c>
      <c r="Y65">
        <v>-5.1770326959907909E-3</v>
      </c>
      <c r="Z65">
        <v>1.6942892830589251E-3</v>
      </c>
      <c r="AA65">
        <v>1.0737937048836965E-3</v>
      </c>
      <c r="AC65">
        <v>-2.8116498876468499E-2</v>
      </c>
      <c r="AD65">
        <v>-5.0097753886254037E-2</v>
      </c>
      <c r="AE65">
        <v>-2.5304025171177691E-2</v>
      </c>
      <c r="AF65">
        <v>-1.8422494164415104E-2</v>
      </c>
      <c r="AG65">
        <v>-3.7408284507222889E-2</v>
      </c>
      <c r="AH65">
        <v>-1.9681549213527948E-2</v>
      </c>
      <c r="AI65">
        <v>-1.9681549213527948E-2</v>
      </c>
      <c r="AJ65">
        <v>-2.8488452496196914E-2</v>
      </c>
      <c r="AK65">
        <v>-1.9733403031886976E-2</v>
      </c>
      <c r="AL65">
        <v>-4.3654649703896986E-3</v>
      </c>
    </row>
    <row r="66" spans="1:38">
      <c r="A66" s="568">
        <v>43923</v>
      </c>
      <c r="B66">
        <v>1.4582741303617586E-4</v>
      </c>
      <c r="C66">
        <v>-7.7263126646032187E-3</v>
      </c>
      <c r="D66">
        <v>1.4883149764766124E-4</v>
      </c>
      <c r="E66">
        <v>2.0136259369185616E-4</v>
      </c>
      <c r="F66">
        <v>-7.4973046116033615E-3</v>
      </c>
      <c r="G66">
        <v>-2.3868833708143855E-3</v>
      </c>
      <c r="H66">
        <v>1.9390702623178768E-4</v>
      </c>
      <c r="I66">
        <v>2.402759468962401E-4</v>
      </c>
      <c r="J66">
        <v>2.2442039582257767E-3</v>
      </c>
      <c r="K66">
        <v>1.4140057177698395E-3</v>
      </c>
      <c r="L66">
        <v>1.7033512347941482E-4</v>
      </c>
      <c r="M66">
        <v>1.8857488945567269E-4</v>
      </c>
      <c r="N66">
        <v>1.9403057843292437E-4</v>
      </c>
      <c r="O66">
        <v>5.4612392438491142E-4</v>
      </c>
      <c r="P66">
        <v>5.3573019985209136E-4</v>
      </c>
      <c r="Q66">
        <v>5.4958248556946643E-4</v>
      </c>
      <c r="R66">
        <v>7.8425898678058381E-4</v>
      </c>
      <c r="S66">
        <v>6.4751059442684777E-3</v>
      </c>
      <c r="T66">
        <v>3.6352849529075471E-5</v>
      </c>
      <c r="U66">
        <v>6.2844496753555745E-4</v>
      </c>
      <c r="V66">
        <v>2.011741411855672E-3</v>
      </c>
      <c r="W66">
        <v>1.2958942307517152E-3</v>
      </c>
      <c r="X66">
        <v>-6.2588665847247427E-3</v>
      </c>
      <c r="Y66">
        <v>2.011741411855672E-3</v>
      </c>
      <c r="Z66">
        <v>1.0972910011466386E-3</v>
      </c>
      <c r="AA66">
        <v>-2.8895548218101919E-3</v>
      </c>
      <c r="AC66">
        <v>1.813188439084823E-2</v>
      </c>
      <c r="AD66">
        <v>9.955992013365389E-3</v>
      </c>
      <c r="AE66">
        <v>1.0873955760945853E-2</v>
      </c>
      <c r="AF66">
        <v>-5.3180021727239346E-4</v>
      </c>
      <c r="AG66">
        <v>6.2361283946701374E-3</v>
      </c>
      <c r="AH66">
        <v>1.269231907359376E-2</v>
      </c>
      <c r="AI66">
        <v>1.269231907359376E-2</v>
      </c>
      <c r="AJ66">
        <v>2.1352313167259718E-2</v>
      </c>
      <c r="AK66">
        <v>1.1998400213304672E-2</v>
      </c>
      <c r="AL66">
        <v>1.5599048589172604E-2</v>
      </c>
    </row>
    <row r="67" spans="1:38">
      <c r="A67" s="568">
        <v>43924</v>
      </c>
      <c r="B67">
        <v>1.4582741303617586E-4</v>
      </c>
      <c r="C67">
        <v>-1.5461603270695568E-3</v>
      </c>
      <c r="D67">
        <v>1.3655446247140546E-4</v>
      </c>
      <c r="E67">
        <v>2.0136259369185616E-4</v>
      </c>
      <c r="F67">
        <v>-1.1283376605384365E-3</v>
      </c>
      <c r="G67">
        <v>-3.0277888867235037E-3</v>
      </c>
      <c r="H67">
        <v>1.9172327749505946E-4</v>
      </c>
      <c r="I67">
        <v>2.402759468962401E-4</v>
      </c>
      <c r="J67">
        <v>-1.3093747196804006E-3</v>
      </c>
      <c r="K67">
        <v>-8.3907022273577159E-4</v>
      </c>
      <c r="L67">
        <v>1.7033512347941482E-4</v>
      </c>
      <c r="M67">
        <v>1.8857488945567269E-4</v>
      </c>
      <c r="N67">
        <v>1.9403057843292437E-4</v>
      </c>
      <c r="O67">
        <v>5.4612392438491142E-4</v>
      </c>
      <c r="P67">
        <v>5.3573019985209136E-4</v>
      </c>
      <c r="Q67">
        <v>5.4958248556946643E-4</v>
      </c>
      <c r="R67">
        <v>-4.8334324272055751E-3</v>
      </c>
      <c r="S67">
        <v>1.0396358920621296E-3</v>
      </c>
      <c r="T67">
        <v>3.1461451624692494E-3</v>
      </c>
      <c r="U67">
        <v>3.1008299849764054E-3</v>
      </c>
      <c r="V67">
        <v>-3.5084383992534107E-3</v>
      </c>
      <c r="W67">
        <v>-1.5276004670083942E-4</v>
      </c>
      <c r="X67">
        <v>5.1686359151934536E-3</v>
      </c>
      <c r="Y67">
        <v>-3.5084383992534107E-3</v>
      </c>
      <c r="Z67">
        <v>1.4017564594714926E-4</v>
      </c>
      <c r="AA67">
        <v>2.9898440363766987E-3</v>
      </c>
      <c r="AC67">
        <v>-3.7588511332190988E-2</v>
      </c>
      <c r="AD67">
        <v>-3.2362691963350843E-2</v>
      </c>
      <c r="AE67">
        <v>-2.9758237661094089E-2</v>
      </c>
      <c r="AF67">
        <v>-1.1793537244829899E-2</v>
      </c>
      <c r="AG67">
        <v>-2.8266130281307977E-2</v>
      </c>
      <c r="AH67">
        <v>-2.631195793253369E-2</v>
      </c>
      <c r="AI67">
        <v>-2.631195793253369E-2</v>
      </c>
      <c r="AJ67">
        <v>0</v>
      </c>
      <c r="AK67">
        <v>-7.3771571597944785E-3</v>
      </c>
      <c r="AL67">
        <v>-4.3361714825733699E-3</v>
      </c>
    </row>
    <row r="68" spans="1:38">
      <c r="A68" s="568">
        <v>43927</v>
      </c>
      <c r="B68">
        <v>1.4582741303617586E-4</v>
      </c>
      <c r="C68">
        <v>-1.490101255131604E-3</v>
      </c>
      <c r="D68">
        <v>2.1063859085712622E-4</v>
      </c>
      <c r="E68">
        <v>2.0136259369185616E-4</v>
      </c>
      <c r="F68">
        <v>-1.1238733169995907E-3</v>
      </c>
      <c r="G68">
        <v>-2.6837305870190953E-3</v>
      </c>
      <c r="H68">
        <v>1.9383227142810711E-4</v>
      </c>
      <c r="I68">
        <v>2.402759468962401E-4</v>
      </c>
      <c r="J68">
        <v>-1.015869567639327E-3</v>
      </c>
      <c r="K68">
        <v>-2.9578782065209364E-4</v>
      </c>
      <c r="L68">
        <v>1.7033512347941482E-4</v>
      </c>
      <c r="M68">
        <v>1.8857488945567269E-4</v>
      </c>
      <c r="N68">
        <v>1.9403057843292437E-4</v>
      </c>
      <c r="O68">
        <v>5.4612392438491142E-4</v>
      </c>
      <c r="P68">
        <v>5.3573019985209136E-4</v>
      </c>
      <c r="Q68">
        <v>5.4958248556946643E-4</v>
      </c>
      <c r="R68">
        <v>4.6604065556337115E-3</v>
      </c>
      <c r="S68">
        <v>9.2075546912777639E-3</v>
      </c>
      <c r="T68">
        <v>2.7584556883950562E-3</v>
      </c>
      <c r="U68">
        <v>-6.0327354584216453E-3</v>
      </c>
      <c r="V68">
        <v>9.2269002298053238E-3</v>
      </c>
      <c r="W68">
        <v>3.6189048826416048E-3</v>
      </c>
      <c r="X68">
        <v>-4.1288816020944585E-3</v>
      </c>
      <c r="Y68">
        <v>9.2269002298053238E-3</v>
      </c>
      <c r="Z68">
        <v>-8.0629668147369493E-4</v>
      </c>
      <c r="AA68">
        <v>2.471163894492312E-3</v>
      </c>
      <c r="AC68">
        <v>6.5222593372560089E-2</v>
      </c>
      <c r="AD68">
        <v>7.1869862291161102E-2</v>
      </c>
      <c r="AE68">
        <v>6.2451996105700625E-2</v>
      </c>
      <c r="AF68">
        <v>3.9236843013391809E-2</v>
      </c>
      <c r="AG68">
        <v>6.4245619314912128E-2</v>
      </c>
      <c r="AH68">
        <v>4.5655815360792058E-2</v>
      </c>
      <c r="AI68">
        <v>4.5655815360792058E-2</v>
      </c>
      <c r="AJ68">
        <v>5.0871080139372804E-2</v>
      </c>
      <c r="AK68">
        <v>2.3092236230922492E-2</v>
      </c>
      <c r="AL68">
        <v>2.714892066628094E-2</v>
      </c>
    </row>
    <row r="69" spans="1:38">
      <c r="A69" s="568">
        <v>43928</v>
      </c>
      <c r="B69">
        <v>1.4582741303617586E-4</v>
      </c>
      <c r="C69">
        <v>-1.1035683582574229E-3</v>
      </c>
      <c r="D69">
        <v>1.534246063901179E-4</v>
      </c>
      <c r="E69">
        <v>2.0136259369185616E-4</v>
      </c>
      <c r="F69">
        <v>-2.5399388020779234E-3</v>
      </c>
      <c r="G69">
        <v>-3.1411802260095101E-3</v>
      </c>
      <c r="H69">
        <v>1.9379470775970908E-4</v>
      </c>
      <c r="I69">
        <v>2.402759468962401E-4</v>
      </c>
      <c r="J69">
        <v>1.7125942287763429E-3</v>
      </c>
      <c r="K69">
        <v>1.4741554067503326E-3</v>
      </c>
      <c r="L69">
        <v>1.7033512347941482E-4</v>
      </c>
      <c r="M69">
        <v>1.8857488945567269E-4</v>
      </c>
      <c r="N69">
        <v>1.9403057843292437E-4</v>
      </c>
      <c r="O69">
        <v>5.4612392438491142E-4</v>
      </c>
      <c r="P69">
        <v>5.3573019985209136E-4</v>
      </c>
      <c r="Q69">
        <v>5.4958248556946643E-4</v>
      </c>
      <c r="R69">
        <v>9.8226388094904138E-3</v>
      </c>
      <c r="S69">
        <v>-4.117577953726137E-4</v>
      </c>
      <c r="T69">
        <v>-2.6471367773777121E-3</v>
      </c>
      <c r="U69">
        <v>3.7157918672343637E-3</v>
      </c>
      <c r="V69">
        <v>3.1706751218003593E-3</v>
      </c>
      <c r="W69">
        <v>1.0674395887790844E-3</v>
      </c>
      <c r="X69">
        <v>6.3197086572674976E-4</v>
      </c>
      <c r="Y69">
        <v>3.1706751218003593E-3</v>
      </c>
      <c r="Z69">
        <v>-6.0454381209273933E-4</v>
      </c>
      <c r="AA69">
        <v>3.7938463636588704E-3</v>
      </c>
      <c r="AC69">
        <v>3.0849440646238291E-2</v>
      </c>
      <c r="AD69">
        <v>3.9229964896556835E-2</v>
      </c>
      <c r="AE69">
        <v>3.1687741320224561E-2</v>
      </c>
      <c r="AF69">
        <v>8.9218355998694765E-3</v>
      </c>
      <c r="AG69">
        <v>2.3226571302352728E-2</v>
      </c>
      <c r="AH69">
        <v>2.1594608452366802E-2</v>
      </c>
      <c r="AI69">
        <v>2.1594608452366802E-2</v>
      </c>
      <c r="AJ69">
        <v>-7.6259946949602808E-3</v>
      </c>
      <c r="AK69">
        <v>1.8938902581398187E-2</v>
      </c>
      <c r="AL69">
        <v>-9.5328941514727372E-4</v>
      </c>
    </row>
    <row r="70" spans="1:38">
      <c r="A70" s="568">
        <v>43929</v>
      </c>
      <c r="B70">
        <v>1.4582741303617586E-4</v>
      </c>
      <c r="C70">
        <v>-2.4143907983148472E-3</v>
      </c>
      <c r="D70">
        <v>1.6156690736424117E-4</v>
      </c>
      <c r="E70">
        <v>2.0136259369185616E-4</v>
      </c>
      <c r="F70">
        <v>-1.272003256328369E-3</v>
      </c>
      <c r="G70">
        <v>-3.1645556395537566E-3</v>
      </c>
      <c r="H70">
        <v>1.9375715864788923E-4</v>
      </c>
      <c r="I70">
        <v>2.402759468962401E-4</v>
      </c>
      <c r="J70">
        <v>1.4597766718624783E-3</v>
      </c>
      <c r="K70">
        <v>1.81963967432619E-3</v>
      </c>
      <c r="L70">
        <v>1.7033512347941482E-4</v>
      </c>
      <c r="M70">
        <v>1.8857488945567269E-4</v>
      </c>
      <c r="N70">
        <v>1.9403057843292437E-4</v>
      </c>
      <c r="O70">
        <v>5.4612392438491142E-4</v>
      </c>
      <c r="P70">
        <v>5.3573019985209136E-4</v>
      </c>
      <c r="Q70">
        <v>5.4958248556946643E-4</v>
      </c>
      <c r="R70">
        <v>3.9364107311341545E-3</v>
      </c>
      <c r="S70">
        <v>1.1784978733071494E-3</v>
      </c>
      <c r="T70">
        <v>-1.3990955291663942E-3</v>
      </c>
      <c r="U70">
        <v>-3.0961503755223552E-3</v>
      </c>
      <c r="V70">
        <v>4.2770183072371459E-3</v>
      </c>
      <c r="W70">
        <v>1.893031928696054E-3</v>
      </c>
      <c r="X70">
        <v>-2.0988311415790495E-3</v>
      </c>
      <c r="Y70">
        <v>4.2770183072371459E-3</v>
      </c>
      <c r="Z70">
        <v>-2.5581241454685211E-3</v>
      </c>
      <c r="AA70">
        <v>-3.2140682068696469E-3</v>
      </c>
      <c r="AC70">
        <v>2.9682905897724821E-2</v>
      </c>
      <c r="AD70">
        <v>3.5136715357756643E-2</v>
      </c>
      <c r="AE70">
        <v>2.7572355951013261E-2</v>
      </c>
      <c r="AF70">
        <v>3.9191623039953605E-3</v>
      </c>
      <c r="AG70">
        <v>2.915719577305631E-2</v>
      </c>
      <c r="AH70">
        <v>2.0778034128407372E-2</v>
      </c>
      <c r="AI70">
        <v>2.0778034128407372E-2</v>
      </c>
      <c r="AJ70">
        <v>1.4366855997327121E-2</v>
      </c>
      <c r="AK70">
        <v>-1.196690006365364E-2</v>
      </c>
      <c r="AL70">
        <v>8.2115450023922953E-4</v>
      </c>
    </row>
    <row r="71" spans="1:38">
      <c r="A71" s="568">
        <v>43930</v>
      </c>
      <c r="B71">
        <v>1.4582741303617586E-4</v>
      </c>
      <c r="C71">
        <v>-2.1565213186935939E-4</v>
      </c>
      <c r="D71">
        <v>1.2538365941838769E-4</v>
      </c>
      <c r="E71">
        <v>2.0136259369185616E-4</v>
      </c>
      <c r="F71">
        <v>-9.6314758939153311E-4</v>
      </c>
      <c r="G71">
        <v>-3.8557420676351706E-3</v>
      </c>
      <c r="H71">
        <v>1.9300479152262184E-4</v>
      </c>
      <c r="I71">
        <v>2.402759468962401E-4</v>
      </c>
      <c r="J71">
        <v>1.750945322883668E-3</v>
      </c>
      <c r="K71">
        <v>2.249930279548229E-3</v>
      </c>
      <c r="L71">
        <v>1.7033512347941482E-4</v>
      </c>
      <c r="M71">
        <v>1.8857488945567269E-4</v>
      </c>
      <c r="N71">
        <v>1.9403057843292437E-4</v>
      </c>
      <c r="O71">
        <v>5.4612392438491142E-4</v>
      </c>
      <c r="P71">
        <v>5.3573019985209136E-4</v>
      </c>
      <c r="Q71">
        <v>5.4958248556946643E-4</v>
      </c>
      <c r="R71">
        <v>1.8070678290573516E-2</v>
      </c>
      <c r="S71">
        <v>6.5188792574226717E-3</v>
      </c>
      <c r="T71">
        <v>-3.0791902917292058E-3</v>
      </c>
      <c r="U71">
        <v>-1.4099712470239112E-5</v>
      </c>
      <c r="V71">
        <v>1.4669843237371527E-3</v>
      </c>
      <c r="W71">
        <v>1.3660453409001239E-3</v>
      </c>
      <c r="X71">
        <v>-3.6655490114133604E-3</v>
      </c>
      <c r="Y71">
        <v>1.4669843237371527E-3</v>
      </c>
      <c r="Z71">
        <v>5.8773472270923222E-4</v>
      </c>
      <c r="AA71">
        <v>6.1324636219957096E-3</v>
      </c>
      <c r="AC71">
        <v>-1.1989628693912846E-2</v>
      </c>
      <c r="AD71">
        <v>-8.9278062345298226E-3</v>
      </c>
      <c r="AE71">
        <v>-1.0092514596459545E-2</v>
      </c>
      <c r="AF71">
        <v>2.4608109291532898E-3</v>
      </c>
      <c r="AG71">
        <v>6.9710188028615505E-3</v>
      </c>
      <c r="AH71">
        <v>-8.3927400857389915E-3</v>
      </c>
      <c r="AI71">
        <v>-8.3927400857389915E-3</v>
      </c>
      <c r="AJ71">
        <v>6.0606060606058776E-3</v>
      </c>
      <c r="AK71">
        <v>1.1467594382167157E-2</v>
      </c>
      <c r="AL71">
        <v>-1.0578255987212848E-2</v>
      </c>
    </row>
    <row r="72" spans="1:38">
      <c r="A72" s="568">
        <v>43934</v>
      </c>
      <c r="B72">
        <v>1.4582741303617586E-4</v>
      </c>
      <c r="C72">
        <v>-5.0706840992953417E-4</v>
      </c>
      <c r="D72">
        <v>1.504415283926086E-4</v>
      </c>
      <c r="E72">
        <v>2.0136259369185616E-4</v>
      </c>
      <c r="F72">
        <v>-9.9775145116542951E-4</v>
      </c>
      <c r="G72">
        <v>-1.0186683977647659E-3</v>
      </c>
      <c r="H72">
        <v>1.9153815861794321E-4</v>
      </c>
      <c r="I72">
        <v>2.402759468962401E-4</v>
      </c>
      <c r="J72">
        <v>3.4717921839111376E-4</v>
      </c>
      <c r="K72">
        <v>1.5215152276861765E-3</v>
      </c>
      <c r="L72">
        <v>1.7033512347941482E-4</v>
      </c>
      <c r="M72">
        <v>1.8857488945567269E-4</v>
      </c>
      <c r="N72">
        <v>1.9403057843292437E-4</v>
      </c>
      <c r="O72">
        <v>5.4612392438491142E-4</v>
      </c>
      <c r="P72">
        <v>5.3573019985209136E-4</v>
      </c>
      <c r="Q72">
        <v>5.4958248556946643E-4</v>
      </c>
      <c r="R72">
        <v>4.3125971031043875E-4</v>
      </c>
      <c r="S72">
        <v>7.8593861465885428E-3</v>
      </c>
      <c r="T72">
        <v>4.5777085046383448E-4</v>
      </c>
      <c r="U72">
        <v>1.6955578490636114E-3</v>
      </c>
      <c r="V72">
        <v>2.1631872093748061E-3</v>
      </c>
      <c r="W72">
        <v>2.4360389405342353E-4</v>
      </c>
      <c r="X72">
        <v>-2.202813915869184E-4</v>
      </c>
      <c r="Y72">
        <v>2.1631872093748061E-3</v>
      </c>
      <c r="Z72">
        <v>3.4890454666738346E-3</v>
      </c>
      <c r="AA72">
        <v>3.6958208320616581E-3</v>
      </c>
      <c r="AC72">
        <v>1.4853902979251155E-2</v>
      </c>
      <c r="AD72">
        <v>2.1556410806520265E-3</v>
      </c>
      <c r="AE72">
        <v>1.4742423768102642E-2</v>
      </c>
      <c r="AF72">
        <v>5.4249547920433017E-3</v>
      </c>
      <c r="AG72">
        <v>6.1938510553625203E-3</v>
      </c>
      <c r="AH72">
        <v>1.0397732085475807E-2</v>
      </c>
      <c r="AI72">
        <v>1.0397732085475807E-2</v>
      </c>
      <c r="AJ72">
        <v>8.2503928758512757E-3</v>
      </c>
      <c r="AK72">
        <v>1.5286624203822985E-3</v>
      </c>
      <c r="AL72">
        <v>2.3431516852312262E-2</v>
      </c>
    </row>
    <row r="73" spans="1:38">
      <c r="A73" s="568">
        <v>43935</v>
      </c>
      <c r="B73">
        <v>1.4582741303617586E-4</v>
      </c>
      <c r="C73">
        <v>6.899857050284286E-4</v>
      </c>
      <c r="D73">
        <v>1.4575474723210746E-4</v>
      </c>
      <c r="E73">
        <v>2.0136259369185616E-4</v>
      </c>
      <c r="F73">
        <v>3.3660791678702395E-4</v>
      </c>
      <c r="G73">
        <v>1.5913834851888353E-4</v>
      </c>
      <c r="H73">
        <v>1.9221603653396535E-4</v>
      </c>
      <c r="I73">
        <v>2.402759468962401E-4</v>
      </c>
      <c r="J73">
        <v>1.4645997127256116E-3</v>
      </c>
      <c r="K73">
        <v>2.8604941137997386E-3</v>
      </c>
      <c r="L73">
        <v>1.7033512347941482E-4</v>
      </c>
      <c r="M73">
        <v>1.8857488945567269E-4</v>
      </c>
      <c r="N73">
        <v>1.9403057843292437E-4</v>
      </c>
      <c r="O73">
        <v>5.4612392438491142E-4</v>
      </c>
      <c r="P73">
        <v>5.3573019985209136E-4</v>
      </c>
      <c r="Q73">
        <v>5.4958248556946643E-4</v>
      </c>
      <c r="R73">
        <v>4.9758034582010335E-3</v>
      </c>
      <c r="S73">
        <v>1.4594887023086311E-2</v>
      </c>
      <c r="T73">
        <v>7.7692129781499197E-3</v>
      </c>
      <c r="U73">
        <v>3.6523859981587581E-3</v>
      </c>
      <c r="V73">
        <v>5.8466942382868758E-3</v>
      </c>
      <c r="W73">
        <v>2.4246214535701416E-3</v>
      </c>
      <c r="X73">
        <v>1.5391778903282027E-3</v>
      </c>
      <c r="Y73">
        <v>5.8466942382868758E-3</v>
      </c>
      <c r="Z73">
        <v>3.9173235059659639E-3</v>
      </c>
      <c r="AA73">
        <v>8.2870109630102107E-3</v>
      </c>
      <c r="AC73">
        <v>1.3731575316905387E-2</v>
      </c>
      <c r="AD73">
        <v>1.6354258901108976E-2</v>
      </c>
      <c r="AE73">
        <v>1.3984611694097593E-2</v>
      </c>
      <c r="AF73">
        <v>1.887286157695911E-2</v>
      </c>
      <c r="AG73">
        <v>2.1954876728287109E-2</v>
      </c>
      <c r="AH73">
        <v>9.6121027218337707E-3</v>
      </c>
      <c r="AI73">
        <v>9.6121027218337707E-3</v>
      </c>
      <c r="AJ73">
        <v>2.9679179114170839E-2</v>
      </c>
      <c r="AK73">
        <v>1.2210633426608997E-2</v>
      </c>
      <c r="AL73">
        <v>1.3649346636297244E-2</v>
      </c>
    </row>
    <row r="74" spans="1:38">
      <c r="A74" s="568">
        <v>43936</v>
      </c>
      <c r="B74">
        <v>1.4582741303617586E-4</v>
      </c>
      <c r="C74">
        <v>4.8888124915280606E-4</v>
      </c>
      <c r="D74">
        <v>1.3640656150548658E-4</v>
      </c>
      <c r="E74">
        <v>2.0136259369185616E-4</v>
      </c>
      <c r="F74">
        <v>-1.9255773964221845E-6</v>
      </c>
      <c r="G74">
        <v>2.5275909992783507E-3</v>
      </c>
      <c r="H74">
        <v>1.9217909662949673E-4</v>
      </c>
      <c r="I74">
        <v>2.402759468962401E-4</v>
      </c>
      <c r="J74">
        <v>9.9208183987831156E-4</v>
      </c>
      <c r="K74">
        <v>7.7986491476433883E-4</v>
      </c>
      <c r="L74">
        <v>1.7033512347941482E-4</v>
      </c>
      <c r="M74">
        <v>1.8857488945567269E-4</v>
      </c>
      <c r="N74">
        <v>1.9403057843292437E-4</v>
      </c>
      <c r="O74">
        <v>5.4612392438491142E-4</v>
      </c>
      <c r="P74">
        <v>5.3573019985209136E-4</v>
      </c>
      <c r="Q74">
        <v>5.4958248556946643E-4</v>
      </c>
      <c r="R74">
        <v>-5.1431161102465373E-3</v>
      </c>
      <c r="S74">
        <v>-4.3143163599422829E-3</v>
      </c>
      <c r="T74">
        <v>5.1486425518549872E-3</v>
      </c>
      <c r="U74">
        <v>2.5801341015241341E-3</v>
      </c>
      <c r="V74">
        <v>-1.9150398215639353E-4</v>
      </c>
      <c r="W74">
        <v>-8.3384723918578096E-4</v>
      </c>
      <c r="X74">
        <v>3.8277559159074492E-3</v>
      </c>
      <c r="Y74">
        <v>-1.9150398215639353E-4</v>
      </c>
      <c r="Z74">
        <v>2.6905298815216305E-3</v>
      </c>
      <c r="AA74">
        <v>2.7407087697404187E-3</v>
      </c>
      <c r="AC74">
        <v>-1.3600128931574584E-2</v>
      </c>
      <c r="AD74">
        <v>-3.8154526009449574E-3</v>
      </c>
      <c r="AE74">
        <v>-8.9435109784988809E-3</v>
      </c>
      <c r="AF74">
        <v>-3.4617231034784757E-3</v>
      </c>
      <c r="AG74">
        <v>-8.5970459145850997E-3</v>
      </c>
      <c r="AH74">
        <v>-9.520090252102209E-3</v>
      </c>
      <c r="AI74">
        <v>-9.520090252102209E-3</v>
      </c>
      <c r="AJ74">
        <v>-9.4607379375590828E-3</v>
      </c>
      <c r="AK74">
        <v>-3.518471977883908E-3</v>
      </c>
      <c r="AL74">
        <v>-1.8629690914906405E-3</v>
      </c>
    </row>
    <row r="75" spans="1:38">
      <c r="A75" s="568">
        <v>43937</v>
      </c>
      <c r="B75">
        <v>1.4582741303617586E-4</v>
      </c>
      <c r="C75">
        <v>6.957836225818248E-4</v>
      </c>
      <c r="D75">
        <v>1.7077637387541422E-4</v>
      </c>
      <c r="E75">
        <v>2.0136259369185616E-4</v>
      </c>
      <c r="F75">
        <v>3.1723948692907733E-4</v>
      </c>
      <c r="G75">
        <v>3.1201429940368453E-3</v>
      </c>
      <c r="H75">
        <v>1.9285645408406715E-4</v>
      </c>
      <c r="I75">
        <v>2.402759468962401E-4</v>
      </c>
      <c r="J75">
        <v>9.0899282409440119E-4</v>
      </c>
      <c r="K75">
        <v>7.2756529415851645E-4</v>
      </c>
      <c r="L75">
        <v>1.7033512347941482E-4</v>
      </c>
      <c r="M75">
        <v>1.8857488945567269E-4</v>
      </c>
      <c r="N75">
        <v>1.9403057843292437E-4</v>
      </c>
      <c r="O75">
        <v>5.4612392438491142E-4</v>
      </c>
      <c r="P75">
        <v>5.3573019985209136E-4</v>
      </c>
      <c r="Q75">
        <v>5.4958248556946643E-4</v>
      </c>
      <c r="R75">
        <v>3.9284739132616764E-4</v>
      </c>
      <c r="S75">
        <v>2.5499500652252927E-3</v>
      </c>
      <c r="T75">
        <v>3.3691643375426406E-3</v>
      </c>
      <c r="U75">
        <v>5.1279912454744725E-3</v>
      </c>
      <c r="V75">
        <v>1.0872749397210502E-3</v>
      </c>
      <c r="W75">
        <v>2.491621547302536E-4</v>
      </c>
      <c r="X75">
        <v>-7.7178005314171294E-4</v>
      </c>
      <c r="Y75">
        <v>1.0872749397210502E-3</v>
      </c>
      <c r="Z75">
        <v>5.9737931257175525E-4</v>
      </c>
      <c r="AA75">
        <v>3.7667638528677827E-3</v>
      </c>
      <c r="AC75">
        <v>-1.2934049426459926E-2</v>
      </c>
      <c r="AD75">
        <v>1.9957625107336341E-4</v>
      </c>
      <c r="AE75">
        <v>-8.9573688632733628E-3</v>
      </c>
      <c r="AF75">
        <v>2.0447752908467898E-3</v>
      </c>
      <c r="AG75">
        <v>-4.1337076889904623E-3</v>
      </c>
      <c r="AH75">
        <v>-9.0538345985219475E-3</v>
      </c>
      <c r="AI75">
        <v>-9.0538345985219475E-3</v>
      </c>
      <c r="AJ75">
        <v>2.4196115886660152E-2</v>
      </c>
      <c r="AK75">
        <v>7.692307692307665E-3</v>
      </c>
      <c r="AL75">
        <v>-1.6204270272128785E-3</v>
      </c>
    </row>
    <row r="76" spans="1:38">
      <c r="A76" s="568">
        <v>43938</v>
      </c>
      <c r="B76">
        <v>1.4582741303617586E-4</v>
      </c>
      <c r="C76">
        <v>8.1260294345297801E-4</v>
      </c>
      <c r="D76">
        <v>1.3869568941959898E-4</v>
      </c>
      <c r="E76">
        <v>2.0136259369185616E-4</v>
      </c>
      <c r="F76">
        <v>5.4380414580723624E-5</v>
      </c>
      <c r="G76">
        <v>4.3035142451881558E-3</v>
      </c>
      <c r="H76">
        <v>1.9353341307959404E-4</v>
      </c>
      <c r="I76">
        <v>2.402759468962401E-4</v>
      </c>
      <c r="J76">
        <v>1.1861454733979038E-3</v>
      </c>
      <c r="K76">
        <v>1.5240183410483166E-3</v>
      </c>
      <c r="L76">
        <v>1.7033512347941482E-4</v>
      </c>
      <c r="M76">
        <v>1.8857488945567269E-4</v>
      </c>
      <c r="N76">
        <v>1.9403057843292437E-4</v>
      </c>
      <c r="O76">
        <v>5.4612392438491142E-4</v>
      </c>
      <c r="P76">
        <v>5.3573019985209136E-4</v>
      </c>
      <c r="Q76">
        <v>5.4958248556946643E-4</v>
      </c>
      <c r="R76">
        <v>2.879749567619827E-3</v>
      </c>
      <c r="S76">
        <v>3.2499241335770535E-4</v>
      </c>
      <c r="T76">
        <v>-4.5093356189436218E-3</v>
      </c>
      <c r="U76">
        <v>-6.6253504361072357E-3</v>
      </c>
      <c r="V76">
        <v>2.7011665663108086E-3</v>
      </c>
      <c r="W76">
        <v>2.4189719429266177E-3</v>
      </c>
      <c r="X76">
        <v>-1.255987986439E-3</v>
      </c>
      <c r="Y76">
        <v>2.7011665663108086E-3</v>
      </c>
      <c r="Z76">
        <v>-3.0948893061244487E-4</v>
      </c>
      <c r="AA76">
        <v>-3.8358633564768985E-3</v>
      </c>
      <c r="AC76">
        <v>1.5144736952019455E-2</v>
      </c>
      <c r="AD76">
        <v>1.7297471424046584E-2</v>
      </c>
      <c r="AE76">
        <v>1.4144897259941835E-2</v>
      </c>
      <c r="AF76">
        <v>7.6571323214478237E-3</v>
      </c>
      <c r="AG76">
        <v>1.482718992073373E-2</v>
      </c>
      <c r="AH76">
        <v>1.0601315866413618E-2</v>
      </c>
      <c r="AI76">
        <v>1.0601315866413618E-2</v>
      </c>
      <c r="AJ76">
        <v>7.7712154180913373E-3</v>
      </c>
      <c r="AK76">
        <v>6.1318983856839537E-3</v>
      </c>
      <c r="AL76">
        <v>1.419535805871619E-2</v>
      </c>
    </row>
    <row r="77" spans="1:38">
      <c r="A77" s="568">
        <v>43941</v>
      </c>
      <c r="B77">
        <v>1.4582741303617586E-4</v>
      </c>
      <c r="C77">
        <v>-2.9054999543874915E-3</v>
      </c>
      <c r="D77">
        <v>1.5907005200377355E-4</v>
      </c>
      <c r="E77">
        <v>2.0136259369185616E-4</v>
      </c>
      <c r="F77">
        <v>2.0807798786084408E-3</v>
      </c>
      <c r="G77">
        <v>1.2161146450793137E-3</v>
      </c>
      <c r="H77">
        <v>1.9420997239638638E-4</v>
      </c>
      <c r="I77">
        <v>2.402759468962401E-4</v>
      </c>
      <c r="J77">
        <v>2.4592035658945743E-3</v>
      </c>
      <c r="K77">
        <v>2.2034658057106249E-3</v>
      </c>
      <c r="L77">
        <v>1.7033512347941482E-4</v>
      </c>
      <c r="M77">
        <v>1.8857488945567269E-4</v>
      </c>
      <c r="N77">
        <v>1.9403057843292437E-4</v>
      </c>
      <c r="O77">
        <v>5.4612392438491142E-4</v>
      </c>
      <c r="P77">
        <v>5.3573019985209136E-4</v>
      </c>
      <c r="Q77">
        <v>5.4958248556946643E-4</v>
      </c>
      <c r="R77">
        <v>-2.2355335982648938E-3</v>
      </c>
      <c r="S77">
        <v>3.6367460332049628E-3</v>
      </c>
      <c r="T77">
        <v>3.8491022365625405E-3</v>
      </c>
      <c r="U77">
        <v>1.1533147182409609E-2</v>
      </c>
      <c r="V77">
        <v>2.3683782221448624E-3</v>
      </c>
      <c r="W77">
        <v>2.2903821315463091E-3</v>
      </c>
      <c r="X77">
        <v>1.4060652022620523E-3</v>
      </c>
      <c r="Y77">
        <v>2.3683782221448624E-3</v>
      </c>
      <c r="Z77">
        <v>7.4837481239693471E-3</v>
      </c>
      <c r="AA77">
        <v>-1.0772002545729187E-3</v>
      </c>
      <c r="AC77">
        <v>-2.2192601141224344E-4</v>
      </c>
      <c r="AD77">
        <v>2.5133245145268157E-2</v>
      </c>
      <c r="AE77">
        <v>3.8593649083116244E-3</v>
      </c>
      <c r="AF77">
        <v>-5.8857959998537268E-4</v>
      </c>
      <c r="AG77">
        <v>-2.4108180884464536E-3</v>
      </c>
      <c r="AH77">
        <v>-1.5534820798857041E-4</v>
      </c>
      <c r="AI77">
        <v>-1.5534820798857041E-4</v>
      </c>
      <c r="AJ77">
        <v>-5.5521283158544987E-3</v>
      </c>
      <c r="AK77">
        <v>3.7313432835821558E-3</v>
      </c>
      <c r="AL77">
        <v>2.7675132099668209E-2</v>
      </c>
    </row>
    <row r="78" spans="1:38">
      <c r="A78" s="568">
        <v>43943</v>
      </c>
      <c r="B78">
        <v>1.4582741303617586E-4</v>
      </c>
      <c r="C78">
        <v>4.875233079169039E-4</v>
      </c>
      <c r="D78">
        <v>1.6778347542478755E-4</v>
      </c>
      <c r="E78">
        <v>2.0136259369185616E-4</v>
      </c>
      <c r="F78">
        <v>2.1288029001278463E-3</v>
      </c>
      <c r="G78">
        <v>2.0115871669548202E-3</v>
      </c>
      <c r="H78">
        <v>1.9488613081808381E-4</v>
      </c>
      <c r="I78">
        <v>2.402759468962401E-4</v>
      </c>
      <c r="J78">
        <v>1.0309572401581146E-3</v>
      </c>
      <c r="K78">
        <v>1.6039148794559921E-3</v>
      </c>
      <c r="L78">
        <v>1.7033512347941482E-4</v>
      </c>
      <c r="M78">
        <v>1.8857488945567269E-4</v>
      </c>
      <c r="N78">
        <v>1.9403057843292437E-4</v>
      </c>
      <c r="O78">
        <v>5.4612392438491142E-4</v>
      </c>
      <c r="P78">
        <v>5.3573019985209136E-4</v>
      </c>
      <c r="Q78">
        <v>5.4958248556946643E-4</v>
      </c>
      <c r="R78">
        <v>-1.7659927411992626E-3</v>
      </c>
      <c r="S78">
        <v>2.6251813758915166E-3</v>
      </c>
      <c r="T78">
        <v>1.1971612241731044E-2</v>
      </c>
      <c r="U78">
        <v>1.4742513857068706E-2</v>
      </c>
      <c r="V78">
        <v>7.6818418503608044E-3</v>
      </c>
      <c r="W78">
        <v>3.9860154900195344E-3</v>
      </c>
      <c r="X78">
        <v>6.6341755637340238E-3</v>
      </c>
      <c r="Y78">
        <v>7.6818418503608044E-3</v>
      </c>
      <c r="Z78">
        <v>5.1855017112103496E-3</v>
      </c>
      <c r="AA78">
        <v>4.277110903472936E-3</v>
      </c>
      <c r="AC78">
        <v>2.1708624594100501E-2</v>
      </c>
      <c r="AD78">
        <v>4.720970119024015E-2</v>
      </c>
      <c r="AE78">
        <v>3.0459480679539741E-2</v>
      </c>
      <c r="AF78">
        <v>1.6400785553879915E-2</v>
      </c>
      <c r="AG78">
        <v>1.7165320431605346E-2</v>
      </c>
      <c r="AH78">
        <v>1.519603721587035E-2</v>
      </c>
      <c r="AI78">
        <v>1.519603721587035E-2</v>
      </c>
      <c r="AJ78">
        <v>1.1786600496277888E-2</v>
      </c>
      <c r="AK78">
        <v>-8.7980173482032908E-3</v>
      </c>
      <c r="AL78">
        <v>1.3426683961695884E-2</v>
      </c>
    </row>
    <row r="79" spans="1:38">
      <c r="A79" s="568">
        <v>43944</v>
      </c>
      <c r="B79">
        <v>1.4582741303617586E-4</v>
      </c>
      <c r="C79">
        <v>4.5776318731483023E-4</v>
      </c>
      <c r="D79">
        <v>1.5727062079951004E-4</v>
      </c>
      <c r="E79">
        <v>2.0136259369185616E-4</v>
      </c>
      <c r="F79">
        <v>1.7941139262342976E-3</v>
      </c>
      <c r="G79">
        <v>3.4505686963726134E-3</v>
      </c>
      <c r="H79">
        <v>1.9413442809912418E-4</v>
      </c>
      <c r="I79">
        <v>2.402759468962401E-4</v>
      </c>
      <c r="J79">
        <v>-2.8906243552100364E-3</v>
      </c>
      <c r="K79">
        <v>-5.2114982483262295E-3</v>
      </c>
      <c r="L79">
        <v>1.7033512347941482E-4</v>
      </c>
      <c r="M79">
        <v>1.8857488945567269E-4</v>
      </c>
      <c r="N79">
        <v>1.9403057843292437E-4</v>
      </c>
      <c r="O79">
        <v>5.4612392438491142E-4</v>
      </c>
      <c r="P79">
        <v>5.3573019985209136E-4</v>
      </c>
      <c r="Q79">
        <v>5.4958248556946643E-4</v>
      </c>
      <c r="R79">
        <v>1.541181112131973E-3</v>
      </c>
      <c r="S79">
        <v>-7.4780347340297482E-4</v>
      </c>
      <c r="T79">
        <v>-3.9204078509627038E-3</v>
      </c>
      <c r="U79">
        <v>-2.0344076588630911E-3</v>
      </c>
      <c r="V79">
        <v>-2.4447839977774777E-3</v>
      </c>
      <c r="W79">
        <v>-5.2483630105837342E-4</v>
      </c>
      <c r="X79">
        <v>4.4001536776911987E-3</v>
      </c>
      <c r="Y79">
        <v>-2.4447839977774777E-3</v>
      </c>
      <c r="Z79">
        <v>9.944391360658944E-4</v>
      </c>
      <c r="AA79">
        <v>1.8117411143145912E-3</v>
      </c>
      <c r="AC79">
        <v>-1.256519780411125E-2</v>
      </c>
      <c r="AD79">
        <v>-2.0916738954739222E-2</v>
      </c>
      <c r="AE79">
        <v>-1.2543086503887912E-2</v>
      </c>
      <c r="AF79">
        <v>-8.7929641739523667E-3</v>
      </c>
      <c r="AG79">
        <v>-5.2605977966340145E-3</v>
      </c>
      <c r="AH79">
        <v>-8.7956384628778746E-3</v>
      </c>
      <c r="AI79">
        <v>-8.7956384628778746E-3</v>
      </c>
      <c r="AJ79">
        <v>2.0968730839975525E-2</v>
      </c>
      <c r="AK79">
        <v>-3.3754219277408737E-3</v>
      </c>
      <c r="AL79">
        <v>2.5588712952618886E-2</v>
      </c>
    </row>
    <row r="80" spans="1:38">
      <c r="A80" s="568">
        <v>43945</v>
      </c>
      <c r="B80">
        <v>1.4582741303617586E-4</v>
      </c>
      <c r="C80">
        <v>-1.6620068244090902E-3</v>
      </c>
      <c r="D80">
        <v>1.5782828282828731E-4</v>
      </c>
      <c r="E80">
        <v>2.0136259369185616E-4</v>
      </c>
      <c r="F80">
        <v>1.3221287229117085E-3</v>
      </c>
      <c r="G80">
        <v>3.2485502389132392E-3</v>
      </c>
      <c r="H80">
        <v>1.93383156255722E-4</v>
      </c>
      <c r="I80">
        <v>2.402759468962401E-4</v>
      </c>
      <c r="J80">
        <v>-1.1792503029075085E-2</v>
      </c>
      <c r="K80">
        <v>-1.7530609398188068E-2</v>
      </c>
      <c r="L80">
        <v>1.7033512347941482E-4</v>
      </c>
      <c r="M80">
        <v>1.8857488945567269E-4</v>
      </c>
      <c r="N80">
        <v>1.9403057843292437E-4</v>
      </c>
      <c r="O80">
        <v>5.4612392438491142E-4</v>
      </c>
      <c r="P80">
        <v>5.3573019985209136E-4</v>
      </c>
      <c r="Q80">
        <v>5.4958248556946643E-4</v>
      </c>
      <c r="R80">
        <v>-1.3724705513894486E-3</v>
      </c>
      <c r="S80">
        <v>8.0673663692709674E-3</v>
      </c>
      <c r="T80">
        <v>-1.0353358504015864E-2</v>
      </c>
      <c r="U80">
        <v>-1.7329405263888931E-2</v>
      </c>
      <c r="V80">
        <v>-1.0231988191717445E-2</v>
      </c>
      <c r="W80">
        <v>-2.8744220494605344E-3</v>
      </c>
      <c r="X80">
        <v>1.3560969714682791E-2</v>
      </c>
      <c r="Y80">
        <v>-1.0231988191717445E-2</v>
      </c>
      <c r="Z80">
        <v>-4.713281262847091E-3</v>
      </c>
      <c r="AA80">
        <v>-4.8483296845752699E-3</v>
      </c>
      <c r="AC80">
        <v>-5.4506214754503679E-2</v>
      </c>
      <c r="AD80">
        <v>-5.8754343362884209E-2</v>
      </c>
      <c r="AE80">
        <v>-6.2456236939202214E-2</v>
      </c>
      <c r="AF80">
        <v>-2.9651829277307362E-2</v>
      </c>
      <c r="AG80">
        <v>-3.0762503156873011E-2</v>
      </c>
      <c r="AH80">
        <v>-3.8154350328152571E-2</v>
      </c>
      <c r="AI80">
        <v>-3.8154350328152571E-2</v>
      </c>
      <c r="AJ80">
        <v>3.6812394907518531E-2</v>
      </c>
      <c r="AK80">
        <v>-7.5263421976918821E-3</v>
      </c>
      <c r="AL80">
        <v>4.632557169583551E-3</v>
      </c>
    </row>
    <row r="81" spans="1:38">
      <c r="A81" s="568">
        <v>43948</v>
      </c>
      <c r="B81">
        <v>1.4582741303617586E-4</v>
      </c>
      <c r="C81">
        <v>1.5906583665747931E-4</v>
      </c>
      <c r="D81">
        <v>1.4615737131018491E-4</v>
      </c>
      <c r="E81">
        <v>2.0136259369185616E-4</v>
      </c>
      <c r="F81">
        <v>7.7675208710314969E-4</v>
      </c>
      <c r="G81">
        <v>-9.9094123415999213E-4</v>
      </c>
      <c r="H81">
        <v>1.9334576644114421E-4</v>
      </c>
      <c r="I81">
        <v>2.402759468962401E-4</v>
      </c>
      <c r="J81">
        <v>-2.8454511968625251E-3</v>
      </c>
      <c r="K81">
        <v>-5.1946756301084474E-3</v>
      </c>
      <c r="L81">
        <v>1.7033512347941482E-4</v>
      </c>
      <c r="M81">
        <v>1.8857488945567269E-4</v>
      </c>
      <c r="N81">
        <v>1.9403057843292437E-4</v>
      </c>
      <c r="O81">
        <v>5.4612392438491142E-4</v>
      </c>
      <c r="P81">
        <v>5.3573019985209136E-4</v>
      </c>
      <c r="Q81">
        <v>5.4958248556946643E-4</v>
      </c>
      <c r="R81">
        <v>-1.1987290684123408E-4</v>
      </c>
      <c r="S81">
        <v>6.9093995889395465E-3</v>
      </c>
      <c r="T81">
        <v>1.9005878210864857E-3</v>
      </c>
      <c r="U81">
        <v>-4.7075434446642861E-3</v>
      </c>
      <c r="V81">
        <v>2.6730745422007818E-3</v>
      </c>
      <c r="W81">
        <v>-5.0513071899338513E-4</v>
      </c>
      <c r="X81">
        <v>-3.9627654420161251E-3</v>
      </c>
      <c r="Y81">
        <v>2.6730745422007818E-3</v>
      </c>
      <c r="Z81">
        <v>6.8213432250230355E-4</v>
      </c>
      <c r="AA81">
        <v>4.7179582950969134E-3</v>
      </c>
      <c r="AC81">
        <v>3.8603032684854099E-2</v>
      </c>
      <c r="AD81">
        <v>4.8017424119559671E-2</v>
      </c>
      <c r="AE81">
        <v>4.4431371713209655E-2</v>
      </c>
      <c r="AF81">
        <v>1.9824240981204388E-2</v>
      </c>
      <c r="AG81">
        <v>2.0553800900465546E-2</v>
      </c>
      <c r="AH81">
        <v>2.702212287939787E-2</v>
      </c>
      <c r="AI81">
        <v>2.702212287939787E-2</v>
      </c>
      <c r="AJ81">
        <v>1.3437590501013563E-2</v>
      </c>
      <c r="AK81">
        <v>1.5672396359959428E-2</v>
      </c>
      <c r="AL81">
        <v>2.0437137335937328E-2</v>
      </c>
    </row>
    <row r="82" spans="1:38">
      <c r="A82" s="568">
        <v>43949</v>
      </c>
      <c r="B82">
        <v>1.4582741303617586E-4</v>
      </c>
      <c r="C82">
        <v>2.0703429567017206E-3</v>
      </c>
      <c r="D82">
        <v>1.5778031623603361E-4</v>
      </c>
      <c r="E82">
        <v>2.0136259369185616E-4</v>
      </c>
      <c r="F82">
        <v>1.125082221218765E-3</v>
      </c>
      <c r="G82">
        <v>7.5611096695715752E-4</v>
      </c>
      <c r="H82">
        <v>1.9330839108233633E-4</v>
      </c>
      <c r="I82">
        <v>2.402759468962401E-4</v>
      </c>
      <c r="J82">
        <v>6.8798298257357615E-3</v>
      </c>
      <c r="K82">
        <v>8.7045503722538164E-3</v>
      </c>
      <c r="L82">
        <v>1.7033512347941482E-4</v>
      </c>
      <c r="M82">
        <v>1.8857488945567269E-4</v>
      </c>
      <c r="N82">
        <v>1.9403057843292437E-4</v>
      </c>
      <c r="O82">
        <v>5.4612392438491142E-4</v>
      </c>
      <c r="P82">
        <v>5.3573019985209136E-4</v>
      </c>
      <c r="Q82">
        <v>5.4958248556946643E-4</v>
      </c>
      <c r="R82">
        <v>3.0062431997077699E-3</v>
      </c>
      <c r="S82">
        <v>-2.6984940777735611E-3</v>
      </c>
      <c r="T82">
        <v>-6.5468184470407476E-4</v>
      </c>
      <c r="U82">
        <v>5.2738067769388941E-3</v>
      </c>
      <c r="V82">
        <v>5.4132781061102531E-3</v>
      </c>
      <c r="W82">
        <v>3.279035202584657E-3</v>
      </c>
      <c r="X82">
        <v>-1.1502435370413955E-2</v>
      </c>
      <c r="Y82">
        <v>5.4132781061102531E-3</v>
      </c>
      <c r="Z82">
        <v>-8.9893341419400308E-5</v>
      </c>
      <c r="AA82">
        <v>2.5915302263399553E-3</v>
      </c>
      <c r="AC82">
        <v>3.9285339972852107E-2</v>
      </c>
      <c r="AD82">
        <v>4.1124770132475286E-2</v>
      </c>
      <c r="AE82">
        <v>5.0038943532876301E-2</v>
      </c>
      <c r="AF82">
        <v>1.2835883069454157E-2</v>
      </c>
      <c r="AG82">
        <v>2.5161011868781724E-2</v>
      </c>
      <c r="AH82">
        <v>2.7499737980996471E-2</v>
      </c>
      <c r="AI82">
        <v>2.7499737980996471E-2</v>
      </c>
      <c r="AJ82">
        <v>-2.7547579585071702E-2</v>
      </c>
      <c r="AK82">
        <v>3.3598805375807395E-3</v>
      </c>
      <c r="AL82">
        <v>-2.1104186971890981E-2</v>
      </c>
    </row>
    <row r="83" spans="1:38">
      <c r="A83" s="568">
        <v>43950</v>
      </c>
      <c r="B83">
        <v>1.4582741303617586E-4</v>
      </c>
      <c r="C83">
        <v>-7.8274866822702904E-4</v>
      </c>
      <c r="D83">
        <v>1.5775542553519983E-4</v>
      </c>
      <c r="E83">
        <v>2.0136259369185616E-4</v>
      </c>
      <c r="F83">
        <v>6.4749453467882745E-4</v>
      </c>
      <c r="G83">
        <v>1.0935035357646505E-3</v>
      </c>
      <c r="H83">
        <v>1.9255785293714744E-4</v>
      </c>
      <c r="I83">
        <v>2.402759468962401E-4</v>
      </c>
      <c r="J83">
        <v>1.2611108203370858E-3</v>
      </c>
      <c r="K83">
        <v>1.5132363464793741E-3</v>
      </c>
      <c r="L83">
        <v>1.7033512347941482E-4</v>
      </c>
      <c r="M83">
        <v>1.8857488945567269E-4</v>
      </c>
      <c r="N83">
        <v>1.9403057843292437E-4</v>
      </c>
      <c r="O83">
        <v>5.4612392438491142E-4</v>
      </c>
      <c r="P83">
        <v>5.3573019985209136E-4</v>
      </c>
      <c r="Q83">
        <v>5.4958248556946643E-4</v>
      </c>
      <c r="R83">
        <v>4.308565567333833E-3</v>
      </c>
      <c r="S83">
        <v>-5.7638959622763331E-4</v>
      </c>
      <c r="T83">
        <v>-6.7429424252780645E-3</v>
      </c>
      <c r="U83">
        <v>8.8573419249993179E-4</v>
      </c>
      <c r="V83">
        <v>3.031191124136523E-3</v>
      </c>
      <c r="W83">
        <v>9.0803158401797646E-4</v>
      </c>
      <c r="X83">
        <v>-7.6874217363389619E-3</v>
      </c>
      <c r="Y83">
        <v>3.031191124136523E-3</v>
      </c>
      <c r="Z83">
        <v>-4.0345556956351558E-3</v>
      </c>
      <c r="AA83">
        <v>1.7510839665237921E-3</v>
      </c>
      <c r="AC83">
        <v>2.28572011860948E-2</v>
      </c>
      <c r="AD83">
        <v>1.2999258448044726E-2</v>
      </c>
      <c r="AE83">
        <v>2.4404089350787084E-2</v>
      </c>
      <c r="AF83">
        <v>1.5045643069538039E-2</v>
      </c>
      <c r="AG83">
        <v>2.2490587551773134E-2</v>
      </c>
      <c r="AH83">
        <v>1.6000040830266359E-2</v>
      </c>
      <c r="AI83">
        <v>1.6000040830266359E-2</v>
      </c>
      <c r="AJ83">
        <v>-7.9341757272993751E-3</v>
      </c>
      <c r="AK83">
        <v>1.1906238372814126E-2</v>
      </c>
      <c r="AL83">
        <v>-5.832343333007306E-3</v>
      </c>
    </row>
    <row r="84" spans="1:38">
      <c r="A84" s="568">
        <v>43951</v>
      </c>
      <c r="B84">
        <v>1.4582741303617586E-4</v>
      </c>
      <c r="C84">
        <v>2.7113352903529453E-4</v>
      </c>
      <c r="D84">
        <v>1.513281959351076E-4</v>
      </c>
      <c r="E84">
        <v>2.0136259369185616E-4</v>
      </c>
      <c r="F84">
        <v>2.9070750898305686E-3</v>
      </c>
      <c r="G84">
        <v>1.4094809953690834E-3</v>
      </c>
      <c r="H84">
        <v>1.932338214805096E-4</v>
      </c>
      <c r="I84">
        <v>2.402759468962401E-4</v>
      </c>
      <c r="J84">
        <v>-3.4458819478944136E-4</v>
      </c>
      <c r="K84">
        <v>6.5445212109627171E-4</v>
      </c>
      <c r="L84">
        <v>1.7033512347941482E-4</v>
      </c>
      <c r="M84">
        <v>1.8857488945567269E-4</v>
      </c>
      <c r="N84">
        <v>1.9403057843292437E-4</v>
      </c>
      <c r="O84">
        <v>5.4612392438491142E-4</v>
      </c>
      <c r="P84">
        <v>5.3573019985209136E-4</v>
      </c>
      <c r="Q84">
        <v>5.4958248556946643E-4</v>
      </c>
      <c r="R84">
        <v>2.4494981296618867E-4</v>
      </c>
      <c r="S84">
        <v>3.4785741006426729E-3</v>
      </c>
      <c r="T84">
        <v>-2.0130363551636998E-3</v>
      </c>
      <c r="U84">
        <v>2.2240865900979845E-3</v>
      </c>
      <c r="V84">
        <v>-2.7715862322288398E-3</v>
      </c>
      <c r="W84">
        <v>3.4027729029828535E-4</v>
      </c>
      <c r="X84">
        <v>1.3722925047907619E-3</v>
      </c>
      <c r="Y84">
        <v>-2.7715862322288398E-3</v>
      </c>
      <c r="Z84">
        <v>2.7698119185861625E-3</v>
      </c>
      <c r="AA84">
        <v>-1.8943968002849143E-4</v>
      </c>
      <c r="AC84">
        <v>-3.2041413573032917E-2</v>
      </c>
      <c r="AD84">
        <v>-3.0294656621774996E-2</v>
      </c>
      <c r="AE84">
        <v>-3.2690418497161922E-2</v>
      </c>
      <c r="AF84">
        <v>-2.1063504376102715E-2</v>
      </c>
      <c r="AG84">
        <v>-2.121732043902147E-2</v>
      </c>
      <c r="AH84">
        <v>-2.2428989501123042E-2</v>
      </c>
      <c r="AI84">
        <v>-2.2428989501123042E-2</v>
      </c>
      <c r="AJ84">
        <v>1.0071090047393261E-2</v>
      </c>
      <c r="AK84">
        <v>-2.8189729133473174E-3</v>
      </c>
      <c r="AL84">
        <v>2.1656692694691948E-2</v>
      </c>
    </row>
    <row r="85" spans="1:38">
      <c r="A85" s="568">
        <v>43955</v>
      </c>
      <c r="B85">
        <v>1.4582741303617586E-4</v>
      </c>
      <c r="C85">
        <v>7.5487497069781639E-4</v>
      </c>
      <c r="D85">
        <v>1.4606780805181963E-4</v>
      </c>
      <c r="E85">
        <v>2.0136259369185616E-4</v>
      </c>
      <c r="F85">
        <v>8.3761962091899456E-4</v>
      </c>
      <c r="G85">
        <v>6.0059391950928465E-4</v>
      </c>
      <c r="H85">
        <v>1.9390939155949916E-4</v>
      </c>
      <c r="I85">
        <v>2.402759468962401E-4</v>
      </c>
      <c r="J85">
        <v>-4.4760310077518461E-4</v>
      </c>
      <c r="K85">
        <v>4.0720787910242251E-4</v>
      </c>
      <c r="L85">
        <v>1.3521744015254633E-4</v>
      </c>
      <c r="M85">
        <v>1.5345656569931698E-4</v>
      </c>
      <c r="N85">
        <v>1.5891206311802186E-4</v>
      </c>
      <c r="O85">
        <v>5.4612392438491142E-4</v>
      </c>
      <c r="P85">
        <v>5.3573019985209136E-4</v>
      </c>
      <c r="Q85">
        <v>5.4958248556946643E-4</v>
      </c>
      <c r="R85">
        <v>-4.0434492662990706E-3</v>
      </c>
      <c r="S85">
        <v>4.5114117979316859E-4</v>
      </c>
      <c r="T85">
        <v>5.3883975888595614E-3</v>
      </c>
      <c r="U85">
        <v>-2.5019806205217598E-3</v>
      </c>
      <c r="V85">
        <v>-2.3104934912728803E-3</v>
      </c>
      <c r="W85">
        <v>-8.4386228452970613E-4</v>
      </c>
      <c r="X85">
        <v>6.5763801801672628E-3</v>
      </c>
      <c r="Y85">
        <v>-2.3104934912728803E-3</v>
      </c>
      <c r="Z85">
        <v>1.1127376442818804E-3</v>
      </c>
      <c r="AA85">
        <v>-2.199733786645508E-3</v>
      </c>
      <c r="AC85">
        <v>-2.0242866702051221E-2</v>
      </c>
      <c r="AD85">
        <v>-1.1972503437070459E-2</v>
      </c>
      <c r="AE85">
        <v>-2.1189921100102982E-2</v>
      </c>
      <c r="AF85">
        <v>-1.4211785091527207E-2</v>
      </c>
      <c r="AG85">
        <v>-2.4069605296325292E-2</v>
      </c>
      <c r="AH85">
        <v>-1.4170006691435854E-2</v>
      </c>
      <c r="AI85">
        <v>-1.4170006691435854E-2</v>
      </c>
      <c r="AJ85">
        <v>-7.6246334310851038E-3</v>
      </c>
      <c r="AK85">
        <v>-4.166666666666663E-2</v>
      </c>
      <c r="AL85">
        <v>-1.9209253021619577E-2</v>
      </c>
    </row>
    <row r="86" spans="1:38">
      <c r="A86" s="568">
        <v>43956</v>
      </c>
      <c r="B86">
        <v>1.4582741303617586E-4</v>
      </c>
      <c r="C86">
        <v>5.7481789491875546E-4</v>
      </c>
      <c r="D86">
        <v>1.2335399512752865E-4</v>
      </c>
      <c r="E86">
        <v>2.0136259369185616E-4</v>
      </c>
      <c r="F86">
        <v>6.8738408107726912E-4</v>
      </c>
      <c r="G86">
        <v>7.3796491326305613E-4</v>
      </c>
      <c r="H86">
        <v>1.924462700706453E-4</v>
      </c>
      <c r="I86">
        <v>2.402759468962401E-4</v>
      </c>
      <c r="J86">
        <v>6.4306613296882809E-4</v>
      </c>
      <c r="K86">
        <v>6.8581442158821559E-4</v>
      </c>
      <c r="L86">
        <v>1.3521744015254633E-4</v>
      </c>
      <c r="M86">
        <v>1.5345656569931698E-4</v>
      </c>
      <c r="N86">
        <v>1.5891206311802186E-4</v>
      </c>
      <c r="O86">
        <v>5.4612392438491142E-4</v>
      </c>
      <c r="P86">
        <v>5.3573019985209136E-4</v>
      </c>
      <c r="Q86">
        <v>5.4958248556946643E-4</v>
      </c>
      <c r="R86">
        <v>2.4775943371655451E-3</v>
      </c>
      <c r="S86">
        <v>3.6033218568567449E-3</v>
      </c>
      <c r="T86">
        <v>-1.1916936645944842E-3</v>
      </c>
      <c r="U86">
        <v>2.685296484931321E-3</v>
      </c>
      <c r="V86">
        <v>1.6977263891568839E-3</v>
      </c>
      <c r="W86">
        <v>1.2868013582241211E-3</v>
      </c>
      <c r="X86">
        <v>-2.5090058273291582E-3</v>
      </c>
      <c r="Y86">
        <v>1.6977263891568839E-3</v>
      </c>
      <c r="Z86">
        <v>3.5914060013686466E-4</v>
      </c>
      <c r="AA86">
        <v>2.3202909276174299E-3</v>
      </c>
      <c r="AC86">
        <v>7.537886577221764E-3</v>
      </c>
      <c r="AD86">
        <v>4.4662539767033049E-3</v>
      </c>
      <c r="AE86">
        <v>5.3772744335172096E-3</v>
      </c>
      <c r="AF86">
        <v>5.9738804579805294E-3</v>
      </c>
      <c r="AG86">
        <v>3.2084797397977649E-3</v>
      </c>
      <c r="AH86">
        <v>5.2765206040552345E-3</v>
      </c>
      <c r="AI86">
        <v>5.2765206040552345E-3</v>
      </c>
      <c r="AJ86">
        <v>1.7966903073286078E-2</v>
      </c>
      <c r="AK86">
        <v>1.2312427856868036E-2</v>
      </c>
      <c r="AL86">
        <v>9.6271759320512018E-3</v>
      </c>
    </row>
    <row r="87" spans="1:38">
      <c r="A87" s="568">
        <v>43957</v>
      </c>
      <c r="B87">
        <v>1.4582741303617586E-4</v>
      </c>
      <c r="C87">
        <v>1.7036402210357515E-4</v>
      </c>
      <c r="D87">
        <v>1.5300990259148328E-4</v>
      </c>
      <c r="E87">
        <v>2.0136259369185616E-4</v>
      </c>
      <c r="F87">
        <v>6.5417922803034934E-4</v>
      </c>
      <c r="G87">
        <v>5.0649457920171059E-4</v>
      </c>
      <c r="H87">
        <v>1.9169661480877842E-4</v>
      </c>
      <c r="I87">
        <v>2.402759468962401E-4</v>
      </c>
      <c r="J87">
        <v>-1.3144721298186113E-4</v>
      </c>
      <c r="K87">
        <v>4.4398993920657936E-4</v>
      </c>
      <c r="L87">
        <v>1.3521744015254633E-4</v>
      </c>
      <c r="M87">
        <v>1.5345656569931698E-4</v>
      </c>
      <c r="N87">
        <v>1.5891206311802186E-4</v>
      </c>
      <c r="O87">
        <v>5.4612392438491142E-4</v>
      </c>
      <c r="P87">
        <v>5.3573019985209136E-4</v>
      </c>
      <c r="Q87">
        <v>5.4958248556946643E-4</v>
      </c>
      <c r="R87">
        <v>-1.570738669826155E-3</v>
      </c>
      <c r="S87">
        <v>-2.3131498057118449E-3</v>
      </c>
      <c r="T87">
        <v>5.7359303387194416E-3</v>
      </c>
      <c r="U87">
        <v>1.2371610837651481E-3</v>
      </c>
      <c r="V87">
        <v>1.7283550750535337E-3</v>
      </c>
      <c r="W87">
        <v>9.1422620381531594E-4</v>
      </c>
      <c r="X87">
        <v>5.0508786727008204E-3</v>
      </c>
      <c r="Y87">
        <v>1.7283550750535337E-3</v>
      </c>
      <c r="Z87">
        <v>3.0091466738224604E-3</v>
      </c>
      <c r="AA87">
        <v>3.5449006579511E-3</v>
      </c>
      <c r="AC87">
        <v>-5.1226375279065373E-3</v>
      </c>
      <c r="AD87">
        <v>1.1823582887826367E-2</v>
      </c>
      <c r="AE87">
        <v>-1.2430204658672173E-3</v>
      </c>
      <c r="AF87">
        <v>3.5827102924734788E-4</v>
      </c>
      <c r="AG87">
        <v>-1.0550757704679836E-2</v>
      </c>
      <c r="AH87">
        <v>-3.5858462695345758E-3</v>
      </c>
      <c r="AI87">
        <v>-3.5858462695345758E-3</v>
      </c>
      <c r="AJ87">
        <v>1.3992104040873254E-2</v>
      </c>
      <c r="AK87">
        <v>9.7554795388319349E-3</v>
      </c>
      <c r="AL87">
        <v>3.6327604461299456E-2</v>
      </c>
    </row>
    <row r="88" spans="1:38">
      <c r="A88" s="568">
        <v>43958</v>
      </c>
      <c r="B88">
        <v>1.1628494201258998E-4</v>
      </c>
      <c r="C88">
        <v>3.936554496983824E-4</v>
      </c>
      <c r="D88">
        <v>3.1818863990928925E-4</v>
      </c>
      <c r="E88">
        <v>1.7253896784086287E-4</v>
      </c>
      <c r="F88">
        <v>5.0489152180466235E-4</v>
      </c>
      <c r="G88">
        <v>5.3995996770517252E-4</v>
      </c>
      <c r="H88">
        <v>1.9237236449853867E-4</v>
      </c>
      <c r="I88">
        <v>2.114511996471613E-4</v>
      </c>
      <c r="J88">
        <v>3.509357841093852E-4</v>
      </c>
      <c r="K88">
        <v>3.771528761737919E-4</v>
      </c>
      <c r="L88">
        <v>1.3521744015254633E-4</v>
      </c>
      <c r="M88">
        <v>1.5345656569931698E-4</v>
      </c>
      <c r="N88">
        <v>1.5891206311802186E-4</v>
      </c>
      <c r="O88">
        <v>5.4612392438491142E-4</v>
      </c>
      <c r="P88">
        <v>5.3573019985209136E-4</v>
      </c>
      <c r="Q88">
        <v>5.4958248556946643E-4</v>
      </c>
      <c r="R88">
        <v>2.8847962148585982E-3</v>
      </c>
      <c r="S88">
        <v>4.0296440439917536E-3</v>
      </c>
      <c r="T88">
        <v>-1.8075563576903653E-3</v>
      </c>
      <c r="U88">
        <v>6.8049965196284035E-3</v>
      </c>
      <c r="V88">
        <v>1.9260626095778388E-3</v>
      </c>
      <c r="W88">
        <v>9.3589930129733823E-3</v>
      </c>
      <c r="X88">
        <v>2.7958141472612663E-3</v>
      </c>
      <c r="Y88">
        <v>1.9260626095778388E-3</v>
      </c>
      <c r="Z88">
        <v>6.4417774979326214E-3</v>
      </c>
      <c r="AA88">
        <v>5.2342614862359582E-3</v>
      </c>
      <c r="AC88">
        <v>-1.1953782065291962E-2</v>
      </c>
      <c r="AD88">
        <v>-1.5480434133227194E-2</v>
      </c>
      <c r="AE88">
        <v>2.8363133508086946E-3</v>
      </c>
      <c r="AF88">
        <v>-4.7068625343614778E-3</v>
      </c>
      <c r="AG88">
        <v>-3.4513929865587212E-3</v>
      </c>
      <c r="AH88">
        <v>-8.3676474457043733E-3</v>
      </c>
      <c r="AI88">
        <v>-8.3676474457043733E-3</v>
      </c>
      <c r="AJ88">
        <v>4.780990552533626E-2</v>
      </c>
      <c r="AK88">
        <v>7.5282308657476094E-4</v>
      </c>
      <c r="AL88">
        <v>1.9867750218114377E-2</v>
      </c>
    </row>
    <row r="89" spans="1:38">
      <c r="A89" s="568">
        <v>43959</v>
      </c>
      <c r="B89">
        <v>1.1628494201258998E-4</v>
      </c>
      <c r="C89">
        <v>4.9777954262197888E-4</v>
      </c>
      <c r="D89">
        <v>1.1804707112417212E-4</v>
      </c>
      <c r="E89">
        <v>1.7253896784086287E-4</v>
      </c>
      <c r="F89">
        <v>2.8382854860331541E-4</v>
      </c>
      <c r="G89">
        <v>5.5713689589254045E-4</v>
      </c>
      <c r="H89">
        <v>1.6312888321534658E-4</v>
      </c>
      <c r="I89">
        <v>2.114511996471613E-4</v>
      </c>
      <c r="J89">
        <v>1.9666139802965166E-3</v>
      </c>
      <c r="K89">
        <v>4.0766138656105344E-3</v>
      </c>
      <c r="L89">
        <v>1.3521744015254633E-4</v>
      </c>
      <c r="M89">
        <v>1.5345656569931698E-4</v>
      </c>
      <c r="N89">
        <v>1.5891206311802186E-4</v>
      </c>
      <c r="O89">
        <v>5.4612392438491142E-4</v>
      </c>
      <c r="P89">
        <v>5.3573019985209136E-4</v>
      </c>
      <c r="Q89">
        <v>5.4958248556946643E-4</v>
      </c>
      <c r="R89">
        <v>1.9236624318414997E-3</v>
      </c>
      <c r="S89">
        <v>5.7083156760517895E-4</v>
      </c>
      <c r="T89">
        <v>-3.1354552187367046E-3</v>
      </c>
      <c r="U89">
        <v>3.0503297186781353E-3</v>
      </c>
      <c r="V89">
        <v>2.1059718350608936E-3</v>
      </c>
      <c r="W89">
        <v>-7.5135591205899299E-4</v>
      </c>
      <c r="X89">
        <v>-5.4451288862601421E-3</v>
      </c>
      <c r="Y89">
        <v>2.1059718350608936E-3</v>
      </c>
      <c r="Z89">
        <v>-7.9877035572917254E-4</v>
      </c>
      <c r="AA89">
        <v>-7.5740839968752027E-5</v>
      </c>
      <c r="AC89">
        <v>2.7455443692837589E-2</v>
      </c>
      <c r="AD89">
        <v>8.2528194604725158E-4</v>
      </c>
      <c r="AE89">
        <v>1.7450221389013088E-2</v>
      </c>
      <c r="AF89">
        <v>1.1484038253497308E-2</v>
      </c>
      <c r="AG89">
        <v>1.5078206359828039E-2</v>
      </c>
      <c r="AH89">
        <v>1.9218810584986312E-2</v>
      </c>
      <c r="AI89">
        <v>1.9218810584986312E-2</v>
      </c>
      <c r="AJ89">
        <v>-1.2295081967213073E-2</v>
      </c>
      <c r="AK89">
        <v>1.9433299899699108E-2</v>
      </c>
      <c r="AL89">
        <v>-8.8530569029795503E-3</v>
      </c>
    </row>
    <row r="90" spans="1:38">
      <c r="A90" s="568">
        <v>43962</v>
      </c>
      <c r="B90">
        <v>1.1628494201258998E-4</v>
      </c>
      <c r="C90">
        <v>1.0743266895807402E-4</v>
      </c>
      <c r="D90">
        <v>1.3082490627125409E-4</v>
      </c>
      <c r="E90">
        <v>1.7253896784086287E-4</v>
      </c>
      <c r="F90">
        <v>1.9895520097312769E-4</v>
      </c>
      <c r="G90">
        <v>6.062242376523308E-4</v>
      </c>
      <c r="H90">
        <v>1.6167780249243258E-4</v>
      </c>
      <c r="I90">
        <v>2.114511996471613E-4</v>
      </c>
      <c r="J90">
        <v>1.0890770383915616E-3</v>
      </c>
      <c r="K90">
        <v>1.6000906591544517E-3</v>
      </c>
      <c r="L90">
        <v>1.3521744015254633E-4</v>
      </c>
      <c r="M90">
        <v>1.5345656569931698E-4</v>
      </c>
      <c r="N90">
        <v>1.5891206311802186E-4</v>
      </c>
      <c r="O90">
        <v>5.4612392438491142E-4</v>
      </c>
      <c r="P90">
        <v>5.3573019985209136E-4</v>
      </c>
      <c r="Q90">
        <v>5.4958248556946643E-4</v>
      </c>
      <c r="R90">
        <v>-1.3985386134783839E-3</v>
      </c>
      <c r="S90">
        <v>7.1722438488275309E-4</v>
      </c>
      <c r="T90">
        <v>1.7367429548689195E-3</v>
      </c>
      <c r="U90">
        <v>-1.3497547570263668E-3</v>
      </c>
      <c r="V90">
        <v>-7.3290377029022746E-4</v>
      </c>
      <c r="W90">
        <v>1.6557568463366756E-3</v>
      </c>
      <c r="X90">
        <v>2.1427054241534016E-3</v>
      </c>
      <c r="Y90">
        <v>-7.3290377029022746E-4</v>
      </c>
      <c r="Z90">
        <v>1.741708568302025E-3</v>
      </c>
      <c r="AA90">
        <v>1.0459181679260965E-3</v>
      </c>
      <c r="AC90">
        <v>-1.4935210155070822E-2</v>
      </c>
      <c r="AD90">
        <v>-2.0857228416276907E-2</v>
      </c>
      <c r="AE90">
        <v>-8.1909661819892232E-3</v>
      </c>
      <c r="AF90">
        <v>-8.0240882132188718E-3</v>
      </c>
      <c r="AG90">
        <v>-1.8773479772452584E-3</v>
      </c>
      <c r="AH90">
        <v>-1.0454647108549575E-2</v>
      </c>
      <c r="AI90">
        <v>-1.0454647108549575E-2</v>
      </c>
      <c r="AJ90">
        <v>1.46611341632088E-2</v>
      </c>
      <c r="AK90">
        <v>1.2052638051900155E-2</v>
      </c>
      <c r="AL90">
        <v>7.3381523923083947E-3</v>
      </c>
    </row>
    <row r="91" spans="1:38">
      <c r="A91" s="568">
        <v>43963</v>
      </c>
      <c r="B91">
        <v>1.1628494201258998E-4</v>
      </c>
      <c r="C91">
        <v>-4.6677736754507926E-4</v>
      </c>
      <c r="D91">
        <v>9.9413922948876632E-5</v>
      </c>
      <c r="E91">
        <v>1.7253896784086287E-4</v>
      </c>
      <c r="F91">
        <v>2.0791418969334785E-4</v>
      </c>
      <c r="G91">
        <v>4.9634494701122911E-4</v>
      </c>
      <c r="H91">
        <v>1.6450015453051137E-4</v>
      </c>
      <c r="I91">
        <v>2.114511996471613E-4</v>
      </c>
      <c r="J91">
        <v>-2.0111470885284533E-3</v>
      </c>
      <c r="K91">
        <v>-3.5375841350795412E-3</v>
      </c>
      <c r="L91">
        <v>1.3521744015254633E-4</v>
      </c>
      <c r="M91">
        <v>1.5345656569931698E-4</v>
      </c>
      <c r="N91">
        <v>1.5891206311802186E-4</v>
      </c>
      <c r="O91">
        <v>5.4612392438491142E-4</v>
      </c>
      <c r="P91">
        <v>5.3573019985209136E-4</v>
      </c>
      <c r="Q91">
        <v>5.4958248556946643E-4</v>
      </c>
      <c r="R91">
        <v>1.65293257210819E-3</v>
      </c>
      <c r="S91">
        <v>-2.1513174944612912E-3</v>
      </c>
      <c r="T91">
        <v>-1.0627000069270975E-3</v>
      </c>
      <c r="U91">
        <v>-3.404460329552883E-3</v>
      </c>
      <c r="V91">
        <v>-3.6588720005999997E-3</v>
      </c>
      <c r="W91">
        <v>-1.6059922557313255E-3</v>
      </c>
      <c r="X91">
        <v>6.342865297771727E-3</v>
      </c>
      <c r="Y91">
        <v>-3.6588720005999997E-3</v>
      </c>
      <c r="Z91">
        <v>-2.3299975776739368E-3</v>
      </c>
      <c r="AA91">
        <v>3.287858543805644E-3</v>
      </c>
      <c r="AC91">
        <v>-1.5084500522357769E-2</v>
      </c>
      <c r="AD91">
        <v>-1.4584482941308541E-2</v>
      </c>
      <c r="AE91">
        <v>-1.4631034748552318E-2</v>
      </c>
      <c r="AF91">
        <v>-1.1715092468547295E-2</v>
      </c>
      <c r="AG91">
        <v>-1.1228004386192536E-2</v>
      </c>
      <c r="AH91">
        <v>-1.0559150365650437E-2</v>
      </c>
      <c r="AI91">
        <v>-1.0559150365650437E-2</v>
      </c>
      <c r="AJ91">
        <v>-1.1995637949836491E-2</v>
      </c>
      <c r="AK91">
        <v>-1.0207801676995976E-2</v>
      </c>
      <c r="AL91">
        <v>4.6407017760838887E-3</v>
      </c>
    </row>
    <row r="92" spans="1:38">
      <c r="A92" s="568">
        <v>43964</v>
      </c>
      <c r="B92">
        <v>1.1628494201258998E-4</v>
      </c>
      <c r="C92">
        <v>-2.6313641038866464E-4</v>
      </c>
      <c r="D92">
        <v>1.8776318818414239E-4</v>
      </c>
      <c r="E92">
        <v>1.7253896784086287E-4</v>
      </c>
      <c r="F92">
        <v>1.6241399279404156E-4</v>
      </c>
      <c r="G92">
        <v>5.0789593006217437E-4</v>
      </c>
      <c r="H92">
        <v>1.6732111770512148E-4</v>
      </c>
      <c r="I92">
        <v>2.114511996471613E-4</v>
      </c>
      <c r="J92">
        <v>-9.3026758197323201E-4</v>
      </c>
      <c r="K92">
        <v>-1.8714234599958024E-3</v>
      </c>
      <c r="L92">
        <v>1.3521744015254633E-4</v>
      </c>
      <c r="M92">
        <v>1.5345656569931698E-4</v>
      </c>
      <c r="N92">
        <v>1.5891206311802186E-4</v>
      </c>
      <c r="O92">
        <v>5.4612392438491142E-4</v>
      </c>
      <c r="P92">
        <v>5.3573019985209136E-4</v>
      </c>
      <c r="Q92">
        <v>5.4958248556946643E-4</v>
      </c>
      <c r="R92">
        <v>-2.2191458290898858E-3</v>
      </c>
      <c r="S92">
        <v>1.4280180470092052E-3</v>
      </c>
      <c r="T92">
        <v>1.503623890783512E-3</v>
      </c>
      <c r="U92">
        <v>-1.7294775608472923E-3</v>
      </c>
      <c r="V92">
        <v>-6.4132950394557575E-4</v>
      </c>
      <c r="W92">
        <v>1.0315609365771916E-3</v>
      </c>
      <c r="X92">
        <v>4.9094750839073775E-3</v>
      </c>
      <c r="Y92">
        <v>-6.4132950394557575E-4</v>
      </c>
      <c r="Z92">
        <v>1.1289862208050394E-3</v>
      </c>
      <c r="AA92">
        <v>-1.8586972651002398E-5</v>
      </c>
      <c r="AC92">
        <v>-1.2809490451953787E-3</v>
      </c>
      <c r="AD92">
        <v>4.0242368891989511E-3</v>
      </c>
      <c r="AE92">
        <v>4.6513613057788117E-3</v>
      </c>
      <c r="AF92">
        <v>1.6061221440784035E-3</v>
      </c>
      <c r="AG92">
        <v>4.1021760596557932E-3</v>
      </c>
      <c r="AH92">
        <v>-8.9666433163676496E-4</v>
      </c>
      <c r="AI92">
        <v>-8.9666433163676496E-4</v>
      </c>
      <c r="AJ92">
        <v>-1.1589403973509937E-2</v>
      </c>
      <c r="AK92">
        <v>3.6832412523013502E-4</v>
      </c>
      <c r="AL92">
        <v>1.0628678941994263E-2</v>
      </c>
    </row>
    <row r="93" spans="1:38">
      <c r="A93" s="568">
        <v>43965</v>
      </c>
      <c r="B93">
        <v>1.1628494201258998E-4</v>
      </c>
      <c r="C93">
        <v>2.7306142935734634E-4</v>
      </c>
      <c r="D93">
        <v>1.4820626825340355E-4</v>
      </c>
      <c r="E93">
        <v>1.7253896784086287E-4</v>
      </c>
      <c r="F93">
        <v>-5.6811994905148211E-6</v>
      </c>
      <c r="G93">
        <v>4.6037064861392807E-5</v>
      </c>
      <c r="H93">
        <v>1.6017426960535097E-4</v>
      </c>
      <c r="I93">
        <v>2.114511996471613E-4</v>
      </c>
      <c r="J93">
        <v>1.0216785875725165E-3</v>
      </c>
      <c r="K93">
        <v>2.5194881576515726E-3</v>
      </c>
      <c r="L93">
        <v>1.3521744015254633E-4</v>
      </c>
      <c r="M93">
        <v>1.5345656569931698E-4</v>
      </c>
      <c r="N93">
        <v>1.5891206311802186E-4</v>
      </c>
      <c r="O93">
        <v>5.4612392438491142E-4</v>
      </c>
      <c r="P93">
        <v>5.3573019985209136E-4</v>
      </c>
      <c r="Q93">
        <v>5.4958248556946643E-4</v>
      </c>
      <c r="R93">
        <v>-1.253900273408326E-3</v>
      </c>
      <c r="S93">
        <v>3.1842458448796407E-3</v>
      </c>
      <c r="T93">
        <v>-2.461456363607728E-3</v>
      </c>
      <c r="U93">
        <v>-4.5793198257455536E-3</v>
      </c>
      <c r="V93">
        <v>1.481584821428461E-3</v>
      </c>
      <c r="W93">
        <v>1.194012995331617E-3</v>
      </c>
      <c r="X93">
        <v>1.6734861336979989E-3</v>
      </c>
      <c r="Y93">
        <v>1.481584821428461E-3</v>
      </c>
      <c r="Z93">
        <v>-1.8160776099235276E-3</v>
      </c>
      <c r="AA93">
        <v>-4.7318070888299202E-3</v>
      </c>
      <c r="AC93">
        <v>1.5926127845168336E-2</v>
      </c>
      <c r="AD93">
        <v>8.8103950004190246E-3</v>
      </c>
      <c r="AE93">
        <v>1.3886693152930007E-2</v>
      </c>
      <c r="AF93">
        <v>1.9247421403507659E-3</v>
      </c>
      <c r="AG93">
        <v>4.826286940991853E-3</v>
      </c>
      <c r="AH93">
        <v>1.1148289491617835E-2</v>
      </c>
      <c r="AI93">
        <v>1.1148289491617835E-2</v>
      </c>
      <c r="AJ93">
        <v>-5.471803461753133E-3</v>
      </c>
      <c r="AK93">
        <v>-5.5228276877761218E-3</v>
      </c>
      <c r="AL93">
        <v>-2.8385161616935051E-3</v>
      </c>
    </row>
    <row r="94" spans="1:38">
      <c r="A94" s="568">
        <v>43966</v>
      </c>
      <c r="B94">
        <v>1.1628494201258998E-4</v>
      </c>
      <c r="C94">
        <v>5.2489734094374185E-4</v>
      </c>
      <c r="D94">
        <v>9.2978388335884787E-5</v>
      </c>
      <c r="E94">
        <v>1.7253896784086287E-4</v>
      </c>
      <c r="F94">
        <v>3.0015841167929658E-4</v>
      </c>
      <c r="G94">
        <v>-2.4053002729296225E-4</v>
      </c>
      <c r="H94">
        <v>1.6441924772836458E-4</v>
      </c>
      <c r="I94">
        <v>2.114511996471613E-4</v>
      </c>
      <c r="J94">
        <v>1.3159683240293596E-3</v>
      </c>
      <c r="K94">
        <v>2.9659817867251359E-3</v>
      </c>
      <c r="L94">
        <v>1.3521744015254633E-4</v>
      </c>
      <c r="M94">
        <v>1.5345656569931698E-4</v>
      </c>
      <c r="N94">
        <v>1.5891206311802186E-4</v>
      </c>
      <c r="O94">
        <v>5.4612392438491142E-4</v>
      </c>
      <c r="P94">
        <v>5.3573019985209136E-4</v>
      </c>
      <c r="Q94">
        <v>5.4958248556946643E-4</v>
      </c>
      <c r="R94">
        <v>7.3028153253806849E-4</v>
      </c>
      <c r="S94">
        <v>2.0268463513510859E-3</v>
      </c>
      <c r="T94">
        <v>-1.7539157478779765E-3</v>
      </c>
      <c r="U94">
        <v>2.8461628197877786E-3</v>
      </c>
      <c r="V94">
        <v>-1.3568067400140382E-3</v>
      </c>
      <c r="W94">
        <v>-2.2130457490076028E-3</v>
      </c>
      <c r="X94">
        <v>-9.0574584199509811E-4</v>
      </c>
      <c r="Y94">
        <v>-1.3568067400140382E-3</v>
      </c>
      <c r="Z94">
        <v>8.3008967101561026E-4</v>
      </c>
      <c r="AA94">
        <v>-6.1640830570288685E-3</v>
      </c>
      <c r="AC94">
        <v>-1.8404949904956114E-2</v>
      </c>
      <c r="AD94">
        <v>-6.4023928921892459E-3</v>
      </c>
      <c r="AE94">
        <v>-1.5303029969985005E-2</v>
      </c>
      <c r="AF94">
        <v>-1.2337804338627412E-2</v>
      </c>
      <c r="AG94">
        <v>-1.474347894762662E-2</v>
      </c>
      <c r="AH94">
        <v>-1.2883464933469278E-2</v>
      </c>
      <c r="AI94">
        <v>-1.2883464933469278E-2</v>
      </c>
      <c r="AJ94">
        <v>1.0554682236694424E-2</v>
      </c>
      <c r="AK94">
        <v>4.9364432926068957E-4</v>
      </c>
      <c r="AL94">
        <v>-6.4527730722377941E-3</v>
      </c>
    </row>
    <row r="95" spans="1:38">
      <c r="A95" s="568">
        <v>43969</v>
      </c>
      <c r="B95">
        <v>1.1628494201258998E-4</v>
      </c>
      <c r="C95">
        <v>3.1148060954944157E-4</v>
      </c>
      <c r="D95">
        <v>1.0226671857482827E-4</v>
      </c>
      <c r="E95">
        <v>1.7253896784086287E-4</v>
      </c>
      <c r="F95">
        <v>7.9986672043119711E-5</v>
      </c>
      <c r="G95">
        <v>-3.4467856698217059E-4</v>
      </c>
      <c r="H95">
        <v>1.6368056385807073E-4</v>
      </c>
      <c r="I95">
        <v>2.114511996471613E-4</v>
      </c>
      <c r="J95">
        <v>1.9079862641611101E-3</v>
      </c>
      <c r="K95">
        <v>3.446868634771505E-3</v>
      </c>
      <c r="L95">
        <v>1.3521744015254633E-4</v>
      </c>
      <c r="M95">
        <v>1.5345656569931698E-4</v>
      </c>
      <c r="N95">
        <v>1.5891206311802186E-4</v>
      </c>
      <c r="O95">
        <v>5.4612392438491142E-4</v>
      </c>
      <c r="P95">
        <v>5.3573019985209136E-4</v>
      </c>
      <c r="Q95">
        <v>5.4958248556946643E-4</v>
      </c>
      <c r="R95">
        <v>6.3233340233863622E-3</v>
      </c>
      <c r="S95">
        <v>2.9216981520474583E-4</v>
      </c>
      <c r="T95">
        <v>-8.0302748725424866E-3</v>
      </c>
      <c r="U95">
        <v>-5.7599797901441985E-4</v>
      </c>
      <c r="V95">
        <v>4.3381950876566489E-3</v>
      </c>
      <c r="W95">
        <v>-3.7723473456381384E-3</v>
      </c>
      <c r="X95">
        <v>-5.0816043507818653E-3</v>
      </c>
      <c r="Y95">
        <v>4.3381950876566489E-3</v>
      </c>
      <c r="Z95">
        <v>-2.7907491746276269E-3</v>
      </c>
      <c r="AA95">
        <v>-1.4377236629812273E-3</v>
      </c>
      <c r="AC95">
        <v>4.6903410695308789E-2</v>
      </c>
      <c r="AD95">
        <v>4.5720238499953547E-2</v>
      </c>
      <c r="AE95">
        <v>4.5947297745069005E-2</v>
      </c>
      <c r="AF95">
        <v>2.0502553342390817E-2</v>
      </c>
      <c r="AG95">
        <v>2.7986693666127938E-2</v>
      </c>
      <c r="AH95">
        <v>3.2832387486716151E-2</v>
      </c>
      <c r="AI95">
        <v>3.2832387486716151E-2</v>
      </c>
      <c r="AJ95">
        <v>1.1500000000000066E-2</v>
      </c>
      <c r="AK95">
        <v>1.8255828296533938E-2</v>
      </c>
      <c r="AL95">
        <v>-1.7884915049605765E-2</v>
      </c>
    </row>
    <row r="96" spans="1:38">
      <c r="A96" s="568">
        <v>43970</v>
      </c>
      <c r="B96">
        <v>1.1628494201258998E-4</v>
      </c>
      <c r="C96">
        <v>1.7110637938144713E-4</v>
      </c>
      <c r="D96">
        <v>1.1910530419489973E-4</v>
      </c>
      <c r="E96">
        <v>1.7253896784086287E-4</v>
      </c>
      <c r="F96">
        <v>-4.6379094197357418E-5</v>
      </c>
      <c r="G96">
        <v>-1.416736759743964E-4</v>
      </c>
      <c r="H96">
        <v>1.6294223875523706E-4</v>
      </c>
      <c r="I96">
        <v>2.114511996471613E-4</v>
      </c>
      <c r="J96">
        <v>1.1245003715580904E-3</v>
      </c>
      <c r="K96">
        <v>2.0821548855061156E-3</v>
      </c>
      <c r="L96">
        <v>1.3521744015254633E-4</v>
      </c>
      <c r="M96">
        <v>1.5345656569931698E-4</v>
      </c>
      <c r="N96">
        <v>1.5891206311802186E-4</v>
      </c>
      <c r="O96">
        <v>5.4612392438491142E-4</v>
      </c>
      <c r="P96">
        <v>5.3573019985209136E-4</v>
      </c>
      <c r="Q96">
        <v>5.4958248556946643E-4</v>
      </c>
      <c r="R96">
        <v>2.1892496969313502E-3</v>
      </c>
      <c r="S96">
        <v>9.6861049181296011E-4</v>
      </c>
      <c r="T96">
        <v>-9.7455488507947052E-4</v>
      </c>
      <c r="U96">
        <v>-6.5754046050248149E-6</v>
      </c>
      <c r="V96">
        <v>6.9444637346216531E-4</v>
      </c>
      <c r="W96">
        <v>-8.1205433790088044E-4</v>
      </c>
      <c r="X96">
        <v>1.3158276895166576E-3</v>
      </c>
      <c r="Y96">
        <v>6.9444637346216531E-4</v>
      </c>
      <c r="Z96">
        <v>4.7176979093821458E-4</v>
      </c>
      <c r="AA96">
        <v>9.0618151666843616E-4</v>
      </c>
      <c r="AC96">
        <v>-5.566154959911418E-3</v>
      </c>
      <c r="AD96">
        <v>1.2049171980184958E-2</v>
      </c>
      <c r="AE96">
        <v>4.8287585444657388E-3</v>
      </c>
      <c r="AF96">
        <v>1.2400808032888566E-3</v>
      </c>
      <c r="AG96">
        <v>9.3020474984761847E-4</v>
      </c>
      <c r="AH96">
        <v>-3.8963084719379924E-3</v>
      </c>
      <c r="AI96">
        <v>-3.8963084719379924E-3</v>
      </c>
      <c r="AJ96">
        <v>1.0600318558796173E-2</v>
      </c>
      <c r="AK96">
        <v>1.2961841308298139E-2</v>
      </c>
      <c r="AL96">
        <v>2.0655503170881717E-2</v>
      </c>
    </row>
    <row r="97" spans="1:38">
      <c r="A97" s="568">
        <v>43971</v>
      </c>
      <c r="B97">
        <v>1.1628494201258998E-4</v>
      </c>
      <c r="C97">
        <v>1.2106049703142219E-4</v>
      </c>
      <c r="D97">
        <v>1.2199578126970145E-4</v>
      </c>
      <c r="E97">
        <v>1.7253896784086287E-4</v>
      </c>
      <c r="F97">
        <v>1.940439855108167E-5</v>
      </c>
      <c r="G97">
        <v>1.4097553428094045E-4</v>
      </c>
      <c r="H97">
        <v>1.6433853738706539E-4</v>
      </c>
      <c r="I97">
        <v>2.114511996471613E-4</v>
      </c>
      <c r="J97">
        <v>1.2974391925868467E-3</v>
      </c>
      <c r="K97">
        <v>2.0544292441277978E-3</v>
      </c>
      <c r="L97">
        <v>1.3521744015254633E-4</v>
      </c>
      <c r="M97">
        <v>1.5345656569931698E-4</v>
      </c>
      <c r="N97">
        <v>1.5891206311802186E-4</v>
      </c>
      <c r="O97">
        <v>5.4612392438491142E-4</v>
      </c>
      <c r="P97">
        <v>5.3573019985209136E-4</v>
      </c>
      <c r="Q97">
        <v>5.4958248556946643E-4</v>
      </c>
      <c r="R97">
        <v>4.3421609064098199E-3</v>
      </c>
      <c r="S97">
        <v>4.3580684049904228E-4</v>
      </c>
      <c r="T97">
        <v>-2.3414215493000601E-4</v>
      </c>
      <c r="U97">
        <v>-2.1169526232167613E-4</v>
      </c>
      <c r="V97">
        <v>1.8764798791948145E-3</v>
      </c>
      <c r="W97">
        <v>-7.5711376403164721E-5</v>
      </c>
      <c r="X97">
        <v>2.2136534413896847E-4</v>
      </c>
      <c r="Y97">
        <v>1.8764798791948145E-3</v>
      </c>
      <c r="Z97">
        <v>-5.5778057000954728E-4</v>
      </c>
      <c r="AA97">
        <v>-2.8018529882056775E-4</v>
      </c>
      <c r="AC97">
        <v>7.1474263506077218E-3</v>
      </c>
      <c r="AD97">
        <v>4.926244008544467E-3</v>
      </c>
      <c r="AE97">
        <v>8.5563042011989054E-3</v>
      </c>
      <c r="AF97">
        <v>6.1579744687527693E-3</v>
      </c>
      <c r="AG97">
        <v>1.0705584970421622E-2</v>
      </c>
      <c r="AH97">
        <v>5.0031984454254053E-3</v>
      </c>
      <c r="AI97">
        <v>5.0031984454254053E-3</v>
      </c>
      <c r="AJ97">
        <v>-9.782608695652284E-3</v>
      </c>
      <c r="AK97">
        <v>8.3712030614679911E-4</v>
      </c>
      <c r="AL97">
        <v>2.0169975913004734E-3</v>
      </c>
    </row>
    <row r="98" spans="1:38">
      <c r="A98" s="568">
        <v>43972</v>
      </c>
      <c r="B98">
        <v>1.1628494201258998E-4</v>
      </c>
      <c r="C98">
        <v>2.8237201843950288E-4</v>
      </c>
      <c r="D98">
        <v>1.2023831582719247E-4</v>
      </c>
      <c r="E98">
        <v>1.7253896784086287E-4</v>
      </c>
      <c r="F98">
        <v>1.457667996236367E-4</v>
      </c>
      <c r="G98">
        <v>-6.2578569445248533E-6</v>
      </c>
      <c r="H98">
        <v>1.6288892397997579E-4</v>
      </c>
      <c r="I98">
        <v>2.114511996471613E-4</v>
      </c>
      <c r="J98">
        <v>1.438308155552015E-3</v>
      </c>
      <c r="K98">
        <v>2.4513279692095491E-3</v>
      </c>
      <c r="L98">
        <v>1.3521744015254633E-4</v>
      </c>
      <c r="M98">
        <v>1.5345656569931698E-4</v>
      </c>
      <c r="N98">
        <v>1.5891206311802186E-4</v>
      </c>
      <c r="O98">
        <v>5.4612392438491142E-4</v>
      </c>
      <c r="P98">
        <v>5.3573019985209136E-4</v>
      </c>
      <c r="Q98">
        <v>5.4958248556946643E-4</v>
      </c>
      <c r="R98">
        <v>2.8633474438695128E-3</v>
      </c>
      <c r="S98">
        <v>-2.5217271556915444E-3</v>
      </c>
      <c r="T98">
        <v>-1.5244603757108566E-3</v>
      </c>
      <c r="U98">
        <v>1.4689415131003969E-3</v>
      </c>
      <c r="V98">
        <v>5.4304910992586386E-4</v>
      </c>
      <c r="W98">
        <v>-4.6855876623703718E-3</v>
      </c>
      <c r="X98">
        <v>-2.0503372718383428E-4</v>
      </c>
      <c r="Y98">
        <v>5.4304910992586386E-4</v>
      </c>
      <c r="Z98">
        <v>-3.6446709134824173E-3</v>
      </c>
      <c r="AA98">
        <v>2.8195426885095909E-3</v>
      </c>
      <c r="AC98">
        <v>2.0999158257956729E-2</v>
      </c>
      <c r="AD98">
        <v>2.4762609301488103E-2</v>
      </c>
      <c r="AE98">
        <v>3.2087437965730103E-2</v>
      </c>
      <c r="AF98">
        <v>1.7998540958248377E-3</v>
      </c>
      <c r="AG98">
        <v>1.4443794188231163E-2</v>
      </c>
      <c r="AH98">
        <v>1.4699410780569709E-2</v>
      </c>
      <c r="AI98">
        <v>1.4699410780569709E-2</v>
      </c>
      <c r="AJ98">
        <v>-2.936333699231608E-2</v>
      </c>
      <c r="AK98">
        <v>-1.1470904528617432E-2</v>
      </c>
      <c r="AL98">
        <v>-2.0264710453866575E-2</v>
      </c>
    </row>
    <row r="99" spans="1:38">
      <c r="A99" s="568">
        <v>43973</v>
      </c>
      <c r="B99">
        <v>1.1628494201258998E-4</v>
      </c>
      <c r="C99">
        <v>1.7117566554314401E-4</v>
      </c>
      <c r="D99">
        <v>1.1964306871692365E-4</v>
      </c>
      <c r="E99">
        <v>1.7253896784086287E-4</v>
      </c>
      <c r="F99">
        <v>-4.7793185164901608E-5</v>
      </c>
      <c r="G99">
        <v>3.7649965094277427E-4</v>
      </c>
      <c r="H99">
        <v>1.6286239549945236E-4</v>
      </c>
      <c r="I99">
        <v>2.114511996471613E-4</v>
      </c>
      <c r="J99">
        <v>-1.1332542744191265E-4</v>
      </c>
      <c r="K99">
        <v>-4.4937903562569659E-4</v>
      </c>
      <c r="L99">
        <v>1.3521744015254633E-4</v>
      </c>
      <c r="M99">
        <v>1.5345656569931698E-4</v>
      </c>
      <c r="N99">
        <v>1.5891206311802186E-4</v>
      </c>
      <c r="O99">
        <v>5.4612392438491142E-4</v>
      </c>
      <c r="P99">
        <v>5.3573019985209136E-4</v>
      </c>
      <c r="Q99">
        <v>5.4958248556946643E-4</v>
      </c>
      <c r="R99">
        <v>-4.4098743015430486E-4</v>
      </c>
      <c r="S99">
        <v>-2.1278616889719437E-5</v>
      </c>
      <c r="T99">
        <v>2.1460536504940286E-3</v>
      </c>
      <c r="U99">
        <v>-2.0676424321881548E-3</v>
      </c>
      <c r="V99">
        <v>-1.0522788760554125E-3</v>
      </c>
      <c r="W99">
        <v>1.3402021417083798E-3</v>
      </c>
      <c r="X99">
        <v>2.0097152965046217E-3</v>
      </c>
      <c r="Y99">
        <v>-1.0522788760554125E-3</v>
      </c>
      <c r="Z99">
        <v>1.4164231835038787E-3</v>
      </c>
      <c r="AA99">
        <v>-6.0036167662924633E-5</v>
      </c>
      <c r="AC99">
        <v>-1.0284354178858868E-2</v>
      </c>
      <c r="AD99">
        <v>-1.2507042253521061E-2</v>
      </c>
      <c r="AE99">
        <v>-1.3923656264063999E-2</v>
      </c>
      <c r="AF99">
        <v>-2.6062488176205045E-3</v>
      </c>
      <c r="AG99">
        <v>-1.5125614648925367E-4</v>
      </c>
      <c r="AH99">
        <v>-7.1990479252012065E-3</v>
      </c>
      <c r="AI99">
        <v>-7.1990479252012065E-3</v>
      </c>
      <c r="AJ99">
        <v>-5.654509471303415E-4</v>
      </c>
      <c r="AK99">
        <v>-4.5207300858213562E-2</v>
      </c>
      <c r="AL99">
        <v>-1.8636013869983703E-2</v>
      </c>
    </row>
    <row r="100" spans="1:38">
      <c r="A100" s="568">
        <v>43976</v>
      </c>
      <c r="B100">
        <v>1.1628494201258998E-4</v>
      </c>
      <c r="C100">
        <v>6.170539069274561E-4</v>
      </c>
      <c r="D100">
        <v>1.817660224134876E-4</v>
      </c>
      <c r="E100">
        <v>1.7253896784086287E-4</v>
      </c>
      <c r="F100">
        <v>4.4861490149172845E-4</v>
      </c>
      <c r="G100">
        <v>2.2663517018850499E-5</v>
      </c>
      <c r="H100">
        <v>1.6354694935172276E-4</v>
      </c>
      <c r="I100">
        <v>2.114511996471613E-4</v>
      </c>
      <c r="J100">
        <v>3.9392920076939397E-3</v>
      </c>
      <c r="K100">
        <v>7.1164620620711716E-3</v>
      </c>
      <c r="L100">
        <v>1.3521744015254633E-4</v>
      </c>
      <c r="M100">
        <v>1.5345656569931698E-4</v>
      </c>
      <c r="N100">
        <v>1.5891206311802186E-4</v>
      </c>
      <c r="O100">
        <v>5.4612392438491142E-4</v>
      </c>
      <c r="P100">
        <v>5.3573019985209136E-4</v>
      </c>
      <c r="Q100">
        <v>5.4958248556946643E-4</v>
      </c>
      <c r="R100">
        <v>-3.9549544327943664E-5</v>
      </c>
      <c r="S100">
        <v>3.6735949459845152E-3</v>
      </c>
      <c r="T100">
        <v>2.3382465667509678E-4</v>
      </c>
      <c r="U100">
        <v>6.1235626400280019E-4</v>
      </c>
      <c r="V100">
        <v>0</v>
      </c>
      <c r="W100">
        <v>-1.0624173139597293E-3</v>
      </c>
      <c r="X100">
        <v>-4.3353634340459468E-4</v>
      </c>
      <c r="Y100">
        <v>0</v>
      </c>
      <c r="Z100">
        <v>-6.7403084553219195E-5</v>
      </c>
      <c r="AA100">
        <v>4.317914348851426E-3</v>
      </c>
      <c r="AC100">
        <v>4.2474548578545157E-2</v>
      </c>
      <c r="AD100">
        <v>4.8961532411740949E-2</v>
      </c>
      <c r="AE100">
        <v>5.076212245328704E-2</v>
      </c>
      <c r="AF100">
        <v>2.1550781010103881E-2</v>
      </c>
      <c r="AG100">
        <v>2.8264495292429137E-2</v>
      </c>
      <c r="AH100">
        <v>2.9732184004981607E-2</v>
      </c>
      <c r="AI100">
        <v>2.9732184004981607E-2</v>
      </c>
      <c r="AJ100">
        <v>-4.2432814710042788E-3</v>
      </c>
      <c r="AK100">
        <v>5.0639321433092466E-3</v>
      </c>
      <c r="AL100">
        <v>-6.3258649562257796E-3</v>
      </c>
    </row>
    <row r="101" spans="1:38">
      <c r="A101" s="568">
        <v>43977</v>
      </c>
      <c r="B101">
        <v>1.1628494201258998E-4</v>
      </c>
      <c r="C101">
        <v>2.767589231755796E-4</v>
      </c>
      <c r="D101">
        <v>1.1902639889393996E-4</v>
      </c>
      <c r="E101">
        <v>1.7253896784086287E-4</v>
      </c>
      <c r="F101">
        <v>1.4568716330543019E-4</v>
      </c>
      <c r="G101">
        <v>4.0547292047987682E-4</v>
      </c>
      <c r="H101">
        <v>1.6565307837446142E-4</v>
      </c>
      <c r="I101">
        <v>2.114511996471613E-4</v>
      </c>
      <c r="J101">
        <v>-6.761853308352439E-4</v>
      </c>
      <c r="K101">
        <v>-1.0306424283803572E-3</v>
      </c>
      <c r="L101">
        <v>1.3521744015254633E-4</v>
      </c>
      <c r="M101">
        <v>1.5345656569931698E-4</v>
      </c>
      <c r="N101">
        <v>1.5891206311802186E-4</v>
      </c>
      <c r="O101">
        <v>5.4612392438491142E-4</v>
      </c>
      <c r="P101">
        <v>5.3573019985209136E-4</v>
      </c>
      <c r="Q101">
        <v>5.4958248556946643E-4</v>
      </c>
      <c r="R101">
        <v>5.650353198218605E-3</v>
      </c>
      <c r="S101">
        <v>1.5143703651854246E-4</v>
      </c>
      <c r="T101">
        <v>-2.8902176635646759E-3</v>
      </c>
      <c r="U101">
        <v>2.8396283867175853E-3</v>
      </c>
      <c r="V101">
        <v>6.2122131945081538E-3</v>
      </c>
      <c r="W101">
        <v>-1.9827134952261627E-3</v>
      </c>
      <c r="X101">
        <v>-8.5368923162273402E-3</v>
      </c>
      <c r="Y101">
        <v>6.2122131945081538E-3</v>
      </c>
      <c r="Z101">
        <v>-4.3639907405954581E-3</v>
      </c>
      <c r="AA101">
        <v>2.3399941414383729E-3</v>
      </c>
      <c r="AC101">
        <v>-2.2713296261136495E-3</v>
      </c>
      <c r="AD101">
        <v>1.3196462465549841E-2</v>
      </c>
      <c r="AE101">
        <v>-3.8073899353652241E-3</v>
      </c>
      <c r="AF101">
        <v>-2.7590357356310768E-4</v>
      </c>
      <c r="AG101">
        <v>-6.6008338146399392E-3</v>
      </c>
      <c r="AH101">
        <v>-1.5899307382795545E-3</v>
      </c>
      <c r="AI101">
        <v>-1.5899307382795545E-3</v>
      </c>
      <c r="AJ101">
        <v>-2.1874999999999978E-2</v>
      </c>
      <c r="AK101">
        <v>1.7886383675525863E-2</v>
      </c>
      <c r="AL101">
        <v>-6.9200093318795286E-3</v>
      </c>
    </row>
    <row r="102" spans="1:38">
      <c r="A102" s="568">
        <v>43978</v>
      </c>
      <c r="B102">
        <v>1.1628494201258998E-4</v>
      </c>
      <c r="C102">
        <v>-3.7979545814503801E-4</v>
      </c>
      <c r="D102">
        <v>1.0043471395260184E-4</v>
      </c>
      <c r="E102">
        <v>1.7253896784086287E-4</v>
      </c>
      <c r="F102">
        <v>9.1845213856989183E-4</v>
      </c>
      <c r="G102">
        <v>5.0863458981731391E-4</v>
      </c>
      <c r="H102">
        <v>1.6562564197708518E-4</v>
      </c>
      <c r="I102">
        <v>2.114511996471613E-4</v>
      </c>
      <c r="J102">
        <v>2.490830263353061E-4</v>
      </c>
      <c r="K102">
        <v>2.5946272950161386E-4</v>
      </c>
      <c r="L102">
        <v>1.3521744015254633E-4</v>
      </c>
      <c r="M102">
        <v>1.5345656569931698E-4</v>
      </c>
      <c r="N102">
        <v>1.5891206311802186E-4</v>
      </c>
      <c r="O102">
        <v>5.4612392438491142E-4</v>
      </c>
      <c r="P102">
        <v>5.3573019985209136E-4</v>
      </c>
      <c r="Q102">
        <v>5.4958248556946643E-4</v>
      </c>
      <c r="R102">
        <v>2.6004530958954053E-3</v>
      </c>
      <c r="S102">
        <v>-2.7170420278443963E-5</v>
      </c>
      <c r="T102">
        <v>-2.5134569368728821E-3</v>
      </c>
      <c r="U102">
        <v>4.9271295846153862E-4</v>
      </c>
      <c r="V102">
        <v>4.474051054873085E-3</v>
      </c>
      <c r="W102">
        <v>8.084728911537109E-4</v>
      </c>
      <c r="X102">
        <v>2.313742263509333E-3</v>
      </c>
      <c r="Y102">
        <v>4.474051054873085E-3</v>
      </c>
      <c r="Z102">
        <v>4.7838264155908305E-4</v>
      </c>
      <c r="AA102">
        <v>1.9349206403223018E-3</v>
      </c>
      <c r="AC102">
        <v>2.898527663450956E-2</v>
      </c>
      <c r="AD102">
        <v>3.1517879915797797E-2</v>
      </c>
      <c r="AE102">
        <v>2.8175544911458017E-2</v>
      </c>
      <c r="AF102">
        <v>2.1236069835959714E-2</v>
      </c>
      <c r="AG102">
        <v>2.125134094709602E-2</v>
      </c>
      <c r="AH102">
        <v>2.0289693644156691E-2</v>
      </c>
      <c r="AI102">
        <v>2.0289693644156691E-2</v>
      </c>
      <c r="AJ102">
        <v>4.3566656985187802E-3</v>
      </c>
      <c r="AK102">
        <v>-8.2910530874892308E-3</v>
      </c>
      <c r="AL102">
        <v>-7.5566347720859017E-3</v>
      </c>
    </row>
    <row r="103" spans="1:38">
      <c r="A103" s="568">
        <v>43979</v>
      </c>
      <c r="B103">
        <v>1.1628494201258998E-4</v>
      </c>
      <c r="C103">
        <v>2.721084562615772E-4</v>
      </c>
      <c r="D103">
        <v>1.2132223825012112E-4</v>
      </c>
      <c r="E103">
        <v>1.7253896784086287E-4</v>
      </c>
      <c r="F103">
        <v>2.7452679565809213E-4</v>
      </c>
      <c r="G103">
        <v>-9.9677352330185265E-4</v>
      </c>
      <c r="H103">
        <v>1.6275532686105265E-4</v>
      </c>
      <c r="I103">
        <v>2.114511996471613E-4</v>
      </c>
      <c r="J103">
        <v>1.0453979987927742E-3</v>
      </c>
      <c r="K103">
        <v>1.0592122109716051E-3</v>
      </c>
      <c r="L103">
        <v>1.3521744015254633E-4</v>
      </c>
      <c r="M103">
        <v>1.5345656569931698E-4</v>
      </c>
      <c r="N103">
        <v>1.5891206311802186E-4</v>
      </c>
      <c r="O103">
        <v>5.4612392438491142E-4</v>
      </c>
      <c r="P103">
        <v>5.3573019985209136E-4</v>
      </c>
      <c r="Q103">
        <v>5.4958248556946643E-4</v>
      </c>
      <c r="R103">
        <v>2.0479136034758927E-3</v>
      </c>
      <c r="S103">
        <v>-5.5503190087502485E-4</v>
      </c>
      <c r="T103">
        <v>-1.7783948138461181E-4</v>
      </c>
      <c r="U103">
        <v>1.8543614183859081E-3</v>
      </c>
      <c r="V103">
        <v>-5.8693493798778196E-4</v>
      </c>
      <c r="W103">
        <v>9.553450544534936E-4</v>
      </c>
      <c r="X103">
        <v>3.4479624182470747E-3</v>
      </c>
      <c r="Y103">
        <v>-5.8693493798778196E-4</v>
      </c>
      <c r="Z103">
        <v>2.58224089724024E-3</v>
      </c>
      <c r="AA103">
        <v>3.4773093730875448E-3</v>
      </c>
      <c r="AC103">
        <v>-1.1338289011754377E-2</v>
      </c>
      <c r="AD103">
        <v>-1.1206543991330253E-2</v>
      </c>
      <c r="AE103">
        <v>-1.0430266675430677E-2</v>
      </c>
      <c r="AF103">
        <v>-8.2586566704991871E-3</v>
      </c>
      <c r="AG103">
        <v>-8.3580622452936737E-3</v>
      </c>
      <c r="AH103">
        <v>-7.9368023082280626E-3</v>
      </c>
      <c r="AI103">
        <v>-7.9368023082280626E-3</v>
      </c>
      <c r="AJ103">
        <v>1.7351069982648903E-2</v>
      </c>
      <c r="AK103">
        <v>-8.1108060893436695E-3</v>
      </c>
      <c r="AL103">
        <v>3.2943885672911399E-3</v>
      </c>
    </row>
    <row r="104" spans="1:38">
      <c r="A104" s="568">
        <v>43980</v>
      </c>
      <c r="B104">
        <v>1.1628494201258998E-4</v>
      </c>
      <c r="C104">
        <v>-1.3022351192348847E-4</v>
      </c>
      <c r="D104">
        <v>7.6615276389579989E-5</v>
      </c>
      <c r="E104">
        <v>1.7253896784086287E-4</v>
      </c>
      <c r="F104">
        <v>1.1195351803294784E-4</v>
      </c>
      <c r="G104">
        <v>3.1638549721701992E-4</v>
      </c>
      <c r="H104">
        <v>1.6272884187529257E-4</v>
      </c>
      <c r="I104">
        <v>2.114511996471613E-4</v>
      </c>
      <c r="J104">
        <v>7.0377801278409535E-4</v>
      </c>
      <c r="K104">
        <v>1.1999431468152633E-3</v>
      </c>
      <c r="L104">
        <v>1.3521744015254633E-4</v>
      </c>
      <c r="M104">
        <v>1.5345656569931698E-4</v>
      </c>
      <c r="N104">
        <v>1.5891206311802186E-4</v>
      </c>
      <c r="O104">
        <v>5.4612392438491142E-4</v>
      </c>
      <c r="P104">
        <v>5.3573019985209136E-4</v>
      </c>
      <c r="Q104">
        <v>5.4958248556946643E-4</v>
      </c>
      <c r="R104">
        <v>1.5773424243692435E-3</v>
      </c>
      <c r="S104">
        <v>4.4492861589930932E-3</v>
      </c>
      <c r="T104">
        <v>6.9654472039726301E-4</v>
      </c>
      <c r="U104">
        <v>3.995518955220323E-3</v>
      </c>
      <c r="V104">
        <v>1.8908208742234311E-3</v>
      </c>
      <c r="W104">
        <v>6.2162962047329628E-4</v>
      </c>
      <c r="X104">
        <v>-1.2627889366093603E-3</v>
      </c>
      <c r="Y104">
        <v>1.8908208742234311E-3</v>
      </c>
      <c r="Z104">
        <v>1.9351589632237154E-3</v>
      </c>
      <c r="AA104">
        <v>3.0634662964417192E-3</v>
      </c>
      <c r="AC104">
        <v>5.2156957594380327E-3</v>
      </c>
      <c r="AD104">
        <v>-5.130666219461677E-3</v>
      </c>
      <c r="AE104">
        <v>5.242476053546774E-3</v>
      </c>
      <c r="AF104">
        <v>4.3752031468171637E-3</v>
      </c>
      <c r="AG104">
        <v>4.943286503220623E-3</v>
      </c>
      <c r="AH104">
        <v>3.6509870316066228E-3</v>
      </c>
      <c r="AI104">
        <v>3.6509870316066228E-3</v>
      </c>
      <c r="AJ104">
        <v>-1.421262080727681E-3</v>
      </c>
      <c r="AK104">
        <v>1.4970436532897313E-2</v>
      </c>
      <c r="AL104">
        <v>1.2448990165703888E-2</v>
      </c>
    </row>
    <row r="105" spans="1:38">
      <c r="A105" s="568">
        <v>43983</v>
      </c>
      <c r="B105">
        <v>1.1628494201258998E-4</v>
      </c>
      <c r="C105">
        <v>1.9598851904611969E-4</v>
      </c>
      <c r="D105">
        <v>1.3000384207773052E-4</v>
      </c>
      <c r="E105">
        <v>1.7253896784086287E-4</v>
      </c>
      <c r="F105">
        <v>2.0309967896081638E-4</v>
      </c>
      <c r="G105">
        <v>1.5225785761678878E-3</v>
      </c>
      <c r="H105">
        <v>1.6341285618670653E-4</v>
      </c>
      <c r="I105">
        <v>2.114511996471613E-4</v>
      </c>
      <c r="J105">
        <v>3.0368596268148806E-4</v>
      </c>
      <c r="K105">
        <v>-1.5532029651965651E-4</v>
      </c>
      <c r="L105">
        <v>4.4930553861499689E-4</v>
      </c>
      <c r="M105">
        <v>4.675503920796853E-4</v>
      </c>
      <c r="N105">
        <v>4.7300760277368958E-4</v>
      </c>
      <c r="O105">
        <v>5.4612392438491142E-4</v>
      </c>
      <c r="P105">
        <v>5.3573019985209136E-4</v>
      </c>
      <c r="Q105">
        <v>5.4958248556946643E-4</v>
      </c>
      <c r="R105">
        <v>2.3808192093630609E-3</v>
      </c>
      <c r="S105">
        <v>-1.835029360553464E-3</v>
      </c>
      <c r="T105">
        <v>-3.188409660461744E-4</v>
      </c>
      <c r="U105">
        <v>7.1574225018822268E-4</v>
      </c>
      <c r="V105">
        <v>1.9310783086494698E-3</v>
      </c>
      <c r="W105">
        <v>1.6142826598246618E-3</v>
      </c>
      <c r="X105">
        <v>1.1709300896314279E-3</v>
      </c>
      <c r="Y105">
        <v>1.9310783086494698E-3</v>
      </c>
      <c r="Z105">
        <v>7.7053189417153334E-4</v>
      </c>
      <c r="AA105">
        <v>-2.4194599813931461E-4</v>
      </c>
      <c r="AC105">
        <v>1.3929907569100841E-2</v>
      </c>
      <c r="AD105">
        <v>2.3784645842498842E-2</v>
      </c>
      <c r="AE105">
        <v>1.9668377664162184E-2</v>
      </c>
      <c r="AF105">
        <v>8.644279094975893E-3</v>
      </c>
      <c r="AG105">
        <v>1.4946594337544639E-2</v>
      </c>
      <c r="AH105">
        <v>9.7509352983705874E-3</v>
      </c>
      <c r="AI105">
        <v>9.7509352983705874E-3</v>
      </c>
      <c r="AJ105">
        <v>8.5397096498718295E-3</v>
      </c>
      <c r="AK105">
        <v>2.3549826474962732E-2</v>
      </c>
      <c r="AL105">
        <v>3.4464141103858204E-3</v>
      </c>
    </row>
    <row r="106" spans="1:38">
      <c r="A106" s="568">
        <v>43984</v>
      </c>
      <c r="B106">
        <v>1.1628494201258998E-4</v>
      </c>
      <c r="C106">
        <v>4.0115281008668013E-4</v>
      </c>
      <c r="D106">
        <v>1.926592194980703E-4</v>
      </c>
      <c r="E106">
        <v>1.7253896784086287E-4</v>
      </c>
      <c r="F106">
        <v>2.3280886014798163E-4</v>
      </c>
      <c r="G106">
        <v>2.0494028938755626E-4</v>
      </c>
      <c r="H106">
        <v>1.6267578219353318E-4</v>
      </c>
      <c r="I106">
        <v>2.114511996471613E-4</v>
      </c>
      <c r="J106">
        <v>1.7509229866856657E-3</v>
      </c>
      <c r="K106">
        <v>2.7796297990112517E-3</v>
      </c>
      <c r="L106">
        <v>4.4930553861499689E-4</v>
      </c>
      <c r="M106">
        <v>4.675503920796853E-4</v>
      </c>
      <c r="N106">
        <v>4.7300760277368958E-4</v>
      </c>
      <c r="O106">
        <v>5.4612392438491142E-4</v>
      </c>
      <c r="P106">
        <v>5.3573019985209136E-4</v>
      </c>
      <c r="Q106">
        <v>5.4958248556946643E-4</v>
      </c>
      <c r="R106">
        <v>4.2225891375726743E-3</v>
      </c>
      <c r="S106">
        <v>1.5959576795441244E-3</v>
      </c>
      <c r="T106">
        <v>7.123924123941805E-6</v>
      </c>
      <c r="U106">
        <v>2.0312642848376861E-3</v>
      </c>
      <c r="V106">
        <v>2.7338389112760986E-3</v>
      </c>
      <c r="W106">
        <v>-5.443425729260154E-4</v>
      </c>
      <c r="X106">
        <v>-9.5769408399479783E-3</v>
      </c>
      <c r="Y106">
        <v>2.7338389112760986E-3</v>
      </c>
      <c r="Z106">
        <v>-3.5512147471296052E-3</v>
      </c>
      <c r="AA106">
        <v>8.6915258448638788E-4</v>
      </c>
      <c r="AC106">
        <v>2.7378438977162078E-2</v>
      </c>
      <c r="AD106">
        <v>1.5586045104915236E-2</v>
      </c>
      <c r="AE106">
        <v>2.0775779641136305E-2</v>
      </c>
      <c r="AF106">
        <v>1.7113213867041344E-2</v>
      </c>
      <c r="AG106">
        <v>1.6603933687054928E-2</v>
      </c>
      <c r="AH106">
        <v>1.9164907284013454E-2</v>
      </c>
      <c r="AI106">
        <v>1.9164907284013454E-2</v>
      </c>
      <c r="AJ106">
        <v>-2.0604007902907173E-2</v>
      </c>
      <c r="AK106">
        <v>1.2836037781545295E-2</v>
      </c>
      <c r="AL106">
        <v>1.5761939286733417E-2</v>
      </c>
    </row>
    <row r="107" spans="1:38">
      <c r="A107" s="568">
        <v>43985</v>
      </c>
      <c r="B107">
        <v>1.1628494201258998E-4</v>
      </c>
      <c r="C107">
        <v>3.6488882537888401E-4</v>
      </c>
      <c r="D107">
        <v>1.9494285737509109E-4</v>
      </c>
      <c r="E107">
        <v>1.7253896784086287E-4</v>
      </c>
      <c r="F107">
        <v>1.3502603736359475E-4</v>
      </c>
      <c r="G107">
        <v>1.0480312518001966E-4</v>
      </c>
      <c r="H107">
        <v>1.6264932308773794E-4</v>
      </c>
      <c r="I107">
        <v>2.114511996471613E-4</v>
      </c>
      <c r="J107">
        <v>1.1020832440080675E-3</v>
      </c>
      <c r="K107">
        <v>2.0669667894113175E-3</v>
      </c>
      <c r="L107">
        <v>4.4930553861499689E-4</v>
      </c>
      <c r="M107">
        <v>4.675503920796853E-4</v>
      </c>
      <c r="N107">
        <v>4.7300760277368958E-4</v>
      </c>
      <c r="O107">
        <v>5.4612392438491142E-4</v>
      </c>
      <c r="P107">
        <v>5.3573019985209136E-4</v>
      </c>
      <c r="Q107">
        <v>5.4958248556946643E-4</v>
      </c>
      <c r="R107">
        <v>4.5957943628045506E-3</v>
      </c>
      <c r="S107">
        <v>2.3133051674451011E-4</v>
      </c>
      <c r="T107">
        <v>2.1245155030844565E-3</v>
      </c>
      <c r="U107">
        <v>7.0144944612173799E-3</v>
      </c>
      <c r="V107">
        <v>4.1740960669163218E-3</v>
      </c>
      <c r="W107">
        <v>1.7567278940624487E-3</v>
      </c>
      <c r="X107">
        <v>-1.0468461947409358E-3</v>
      </c>
      <c r="Y107">
        <v>4.1740960669163218E-3</v>
      </c>
      <c r="Z107">
        <v>-7.9650981026724299E-4</v>
      </c>
      <c r="AA107">
        <v>9.4665429870710582E-4</v>
      </c>
      <c r="AC107">
        <v>2.1480919944318444E-2</v>
      </c>
      <c r="AD107">
        <v>3.5101794427716326E-2</v>
      </c>
      <c r="AE107">
        <v>3.0035049440601647E-2</v>
      </c>
      <c r="AF107">
        <v>1.5782967421023697E-2</v>
      </c>
      <c r="AG107">
        <v>2.3461283333372496E-2</v>
      </c>
      <c r="AH107">
        <v>1.5036643961022909E-2</v>
      </c>
      <c r="AI107">
        <v>1.5036643961022909E-2</v>
      </c>
      <c r="AJ107">
        <v>-1.2680115273775105E-2</v>
      </c>
      <c r="AK107">
        <v>1.3390722142515576E-2</v>
      </c>
      <c r="AL107">
        <v>-1.1497828536726762E-2</v>
      </c>
    </row>
    <row r="108" spans="1:38">
      <c r="A108" s="568">
        <v>43986</v>
      </c>
      <c r="B108">
        <v>1.1628494201258998E-4</v>
      </c>
      <c r="C108">
        <v>1.6377072329176734E-4</v>
      </c>
      <c r="D108">
        <v>3.6486654237610772E-4</v>
      </c>
      <c r="E108">
        <v>1.7253896784086287E-4</v>
      </c>
      <c r="F108">
        <v>2.2941886219562946E-4</v>
      </c>
      <c r="G108">
        <v>3.235866748194649E-4</v>
      </c>
      <c r="H108">
        <v>1.6191272903887111E-4</v>
      </c>
      <c r="I108">
        <v>2.114511996471613E-4</v>
      </c>
      <c r="J108">
        <v>5.0819140347746483E-4</v>
      </c>
      <c r="K108">
        <v>5.6999226384601975E-4</v>
      </c>
      <c r="L108">
        <v>4.4930553861499689E-4</v>
      </c>
      <c r="M108">
        <v>4.675503920796853E-4</v>
      </c>
      <c r="N108">
        <v>4.7300760277368958E-4</v>
      </c>
      <c r="O108">
        <v>5.4612392438491142E-4</v>
      </c>
      <c r="P108">
        <v>5.3573019985209136E-4</v>
      </c>
      <c r="Q108">
        <v>5.4958248556946643E-4</v>
      </c>
      <c r="R108">
        <v>1.3894238522427216E-3</v>
      </c>
      <c r="S108">
        <v>2.80498797485218E-3</v>
      </c>
      <c r="T108">
        <v>2.9758683648715145E-3</v>
      </c>
      <c r="U108">
        <v>1.5138346314604867E-3</v>
      </c>
      <c r="V108">
        <v>9.5298343546446063E-4</v>
      </c>
      <c r="W108">
        <v>6.834545369478473E-4</v>
      </c>
      <c r="X108">
        <v>3.0826501743488333E-3</v>
      </c>
      <c r="Y108">
        <v>9.5298343546446063E-4</v>
      </c>
      <c r="Z108">
        <v>-6.1292621825315141E-4</v>
      </c>
      <c r="AA108">
        <v>3.006455629479543E-3</v>
      </c>
      <c r="AC108">
        <v>8.8865697068907235E-3</v>
      </c>
      <c r="AD108">
        <v>-1.0402845036487918E-3</v>
      </c>
      <c r="AE108">
        <v>1.2385532079636885E-2</v>
      </c>
      <c r="AF108">
        <v>3.9041631119889342E-3</v>
      </c>
      <c r="AG108">
        <v>7.199375782477091E-3</v>
      </c>
      <c r="AH108">
        <v>6.2205987948235064E-3</v>
      </c>
      <c r="AI108">
        <v>6.2205987948235064E-3</v>
      </c>
      <c r="AJ108">
        <v>3.969643899591313E-3</v>
      </c>
      <c r="AK108">
        <v>9.4384143463899228E-4</v>
      </c>
      <c r="AL108">
        <v>-1.3016354851288492E-3</v>
      </c>
    </row>
    <row r="109" spans="1:38">
      <c r="A109" s="568">
        <v>43987</v>
      </c>
      <c r="B109">
        <v>1.1628494201258998E-4</v>
      </c>
      <c r="C109">
        <v>5.7387013475906912E-5</v>
      </c>
      <c r="D109">
        <v>1.3800725639834255E-4</v>
      </c>
      <c r="E109">
        <v>1.7253896784086287E-4</v>
      </c>
      <c r="F109">
        <v>1.3922436454683051E-4</v>
      </c>
      <c r="G109">
        <v>4.908496640421145E-4</v>
      </c>
      <c r="H109">
        <v>1.6259654613692831E-4</v>
      </c>
      <c r="I109">
        <v>2.114511996471613E-4</v>
      </c>
      <c r="J109">
        <v>9.5901780974561035E-4</v>
      </c>
      <c r="K109">
        <v>1.3058671354631013E-3</v>
      </c>
      <c r="L109">
        <v>4.4930553861499689E-4</v>
      </c>
      <c r="M109">
        <v>4.675503920796853E-4</v>
      </c>
      <c r="N109">
        <v>4.7300760277368958E-4</v>
      </c>
      <c r="O109">
        <v>5.4612392438491142E-4</v>
      </c>
      <c r="P109">
        <v>5.3573019985209136E-4</v>
      </c>
      <c r="Q109">
        <v>5.4958248556946643E-4</v>
      </c>
      <c r="R109">
        <v>6.7531461555712102E-3</v>
      </c>
      <c r="S109">
        <v>-2.1561407562243895E-3</v>
      </c>
      <c r="T109">
        <v>-7.4518163021930484E-4</v>
      </c>
      <c r="U109">
        <v>4.6557336330872445E-3</v>
      </c>
      <c r="V109">
        <v>1.6084932785054296E-3</v>
      </c>
      <c r="W109">
        <v>1.6873466754654398E-3</v>
      </c>
      <c r="X109">
        <v>-3.6972195742949188E-3</v>
      </c>
      <c r="Y109">
        <v>1.6084932785054296E-3</v>
      </c>
      <c r="Z109">
        <v>-2.0638311428999856E-3</v>
      </c>
      <c r="AA109">
        <v>1.1897703029950524E-3</v>
      </c>
      <c r="AC109">
        <v>8.6162418903998894E-3</v>
      </c>
      <c r="AD109">
        <v>1.4761513980904972E-2</v>
      </c>
      <c r="AE109">
        <v>9.8862363298957145E-3</v>
      </c>
      <c r="AF109">
        <v>1.1662839194356733E-2</v>
      </c>
      <c r="AG109">
        <v>5.6903569582336111E-3</v>
      </c>
      <c r="AH109">
        <v>6.0313693232799219E-3</v>
      </c>
      <c r="AI109">
        <v>6.0313693232799219E-3</v>
      </c>
      <c r="AJ109">
        <v>-6.2797999767414403E-3</v>
      </c>
      <c r="AK109">
        <v>8.7223008015087089E-3</v>
      </c>
      <c r="AL109">
        <v>-1.3516339864750759E-2</v>
      </c>
    </row>
    <row r="110" spans="1:38">
      <c r="A110" s="568">
        <v>43990</v>
      </c>
      <c r="B110">
        <v>1.1628494201258998E-4</v>
      </c>
      <c r="C110">
        <v>1.7550481555983488E-4</v>
      </c>
      <c r="D110">
        <v>1.9190797693635631E-4</v>
      </c>
      <c r="E110">
        <v>1.7253896784086287E-4</v>
      </c>
      <c r="F110">
        <v>3.8411137908722637E-4</v>
      </c>
      <c r="G110">
        <v>4.1917505522928167E-3</v>
      </c>
      <c r="H110">
        <v>1.6328002595433766E-4</v>
      </c>
      <c r="I110">
        <v>2.114511996471613E-4</v>
      </c>
      <c r="J110">
        <v>-2.5123917219083136E-4</v>
      </c>
      <c r="K110">
        <v>-4.4907711928576788E-4</v>
      </c>
      <c r="L110">
        <v>4.4930553861499689E-4</v>
      </c>
      <c r="M110">
        <v>4.675503920796853E-4</v>
      </c>
      <c r="N110">
        <v>4.7300760277368958E-4</v>
      </c>
      <c r="O110">
        <v>5.4612392438491142E-4</v>
      </c>
      <c r="P110">
        <v>5.3573019985209136E-4</v>
      </c>
      <c r="Q110">
        <v>5.4958248556946643E-4</v>
      </c>
      <c r="R110">
        <v>2.0768679086891062E-3</v>
      </c>
      <c r="S110">
        <v>-1.3210330570623263E-3</v>
      </c>
      <c r="T110">
        <v>1.5369607533273211E-3</v>
      </c>
      <c r="U110">
        <v>4.2334080384107686E-3</v>
      </c>
      <c r="V110">
        <v>4.8854333384786841E-3</v>
      </c>
      <c r="W110">
        <v>2.9713687439660852E-3</v>
      </c>
      <c r="X110">
        <v>-4.7895125037753505E-3</v>
      </c>
      <c r="Y110">
        <v>4.8854333384786841E-3</v>
      </c>
      <c r="Z110">
        <v>5.9276230914551142E-4</v>
      </c>
      <c r="AA110">
        <v>2.0351209771618528E-4</v>
      </c>
      <c r="AC110">
        <v>3.1780467398289769E-2</v>
      </c>
      <c r="AD110">
        <v>3.3064204178734347E-2</v>
      </c>
      <c r="AE110">
        <v>3.4683032642796041E-2</v>
      </c>
      <c r="AF110">
        <v>2.2508793540133798E-2</v>
      </c>
      <c r="AG110">
        <v>2.8080123110726607E-2</v>
      </c>
      <c r="AH110">
        <v>2.2246327178802837E-2</v>
      </c>
      <c r="AI110">
        <v>2.2246327178802837E-2</v>
      </c>
      <c r="AJ110">
        <v>-1.1117612638970154E-2</v>
      </c>
      <c r="AK110">
        <v>-3.9728908623510861E-3</v>
      </c>
      <c r="AL110">
        <v>4.9497841682262234E-3</v>
      </c>
    </row>
    <row r="111" spans="1:38">
      <c r="A111" s="568">
        <v>43991</v>
      </c>
      <c r="B111">
        <v>1.1628494201258998E-4</v>
      </c>
      <c r="C111">
        <v>2.9104797724577303E-4</v>
      </c>
      <c r="D111">
        <v>1.2694798494705672E-4</v>
      </c>
      <c r="E111">
        <v>1.7253896784086287E-4</v>
      </c>
      <c r="F111">
        <v>4.3915280772410803E-4</v>
      </c>
      <c r="G111">
        <v>3.4732832627959453E-4</v>
      </c>
      <c r="H111">
        <v>1.6325336994005291E-4</v>
      </c>
      <c r="I111">
        <v>2.114511996471613E-4</v>
      </c>
      <c r="J111">
        <v>-8.5748752258207883E-4</v>
      </c>
      <c r="K111">
        <v>-1.6295244120403396E-3</v>
      </c>
      <c r="L111">
        <v>4.4930553861499689E-4</v>
      </c>
      <c r="M111">
        <v>4.675503920796853E-4</v>
      </c>
      <c r="N111">
        <v>4.7300760277368958E-4</v>
      </c>
      <c r="O111">
        <v>5.4612392438491142E-4</v>
      </c>
      <c r="P111">
        <v>5.3573019985209136E-4</v>
      </c>
      <c r="Q111">
        <v>5.4958248556946643E-4</v>
      </c>
      <c r="R111">
        <v>-1.4267838260894061E-3</v>
      </c>
      <c r="S111">
        <v>-1.6830966765128963E-3</v>
      </c>
      <c r="T111">
        <v>3.2002552147480934E-4</v>
      </c>
      <c r="U111">
        <v>-7.3524733765228945E-4</v>
      </c>
      <c r="V111">
        <v>-9.6748548098046783E-4</v>
      </c>
      <c r="W111">
        <v>-1.8733265979975489E-4</v>
      </c>
      <c r="X111">
        <v>-2.9585044727031828E-4</v>
      </c>
      <c r="Y111">
        <v>-9.6748548098046783E-4</v>
      </c>
      <c r="Z111">
        <v>3.3008014881708014E-4</v>
      </c>
      <c r="AA111">
        <v>5.2438661727349789E-4</v>
      </c>
      <c r="AC111">
        <v>-9.1978394724463453E-3</v>
      </c>
      <c r="AD111">
        <v>-7.3394597593309241E-3</v>
      </c>
      <c r="AE111">
        <v>-1.1428043131612275E-2</v>
      </c>
      <c r="AF111">
        <v>-1.0539042343831406E-2</v>
      </c>
      <c r="AG111">
        <v>1.0426266863508005E-3</v>
      </c>
      <c r="AH111">
        <v>-6.4384876307124412E-3</v>
      </c>
      <c r="AI111">
        <v>-6.4384876307124412E-3</v>
      </c>
      <c r="AJ111">
        <v>8.8757396449712367E-4</v>
      </c>
      <c r="AK111">
        <v>6.1004223369311994E-3</v>
      </c>
      <c r="AL111">
        <v>8.2314679668238355E-3</v>
      </c>
    </row>
    <row r="112" spans="1:38">
      <c r="A112" s="568">
        <v>43992</v>
      </c>
      <c r="B112">
        <v>1.1628494201258998E-4</v>
      </c>
      <c r="C112">
        <v>4.9935930969291498E-4</v>
      </c>
      <c r="D112">
        <v>7.650688127225358E-5</v>
      </c>
      <c r="E112">
        <v>1.7253896784086287E-4</v>
      </c>
      <c r="F112">
        <v>4.3188764131807389E-4</v>
      </c>
      <c r="G112">
        <v>2.9397124822749809E-4</v>
      </c>
      <c r="H112">
        <v>1.6251704122449695E-4</v>
      </c>
      <c r="I112">
        <v>2.114511996471613E-4</v>
      </c>
      <c r="J112">
        <v>1.226479313889417E-3</v>
      </c>
      <c r="K112">
        <v>1.7552305949704028E-3</v>
      </c>
      <c r="L112">
        <v>4.4930553861499689E-4</v>
      </c>
      <c r="M112">
        <v>4.675503920796853E-4</v>
      </c>
      <c r="N112">
        <v>4.7300760277368958E-4</v>
      </c>
      <c r="O112">
        <v>5.4612392438491142E-4</v>
      </c>
      <c r="P112">
        <v>5.3573019985209136E-4</v>
      </c>
      <c r="Q112">
        <v>5.4958248556946643E-4</v>
      </c>
      <c r="R112">
        <v>-2.1468668295199222E-4</v>
      </c>
      <c r="S112">
        <v>1.8262048042239076E-3</v>
      </c>
      <c r="T112">
        <v>4.7032046321726639E-4</v>
      </c>
      <c r="U112">
        <v>-2.3989488453646235E-4</v>
      </c>
      <c r="V112">
        <v>-2.2362734889642688E-3</v>
      </c>
      <c r="W112">
        <v>-1.8548229816575112E-3</v>
      </c>
      <c r="X112">
        <v>-2.7790759247716679E-3</v>
      </c>
      <c r="Y112">
        <v>-2.2362734889642688E-3</v>
      </c>
      <c r="Z112">
        <v>-5.0138826798695746E-4</v>
      </c>
      <c r="AA112">
        <v>-1.2240706209876162E-3</v>
      </c>
      <c r="AC112">
        <v>-2.1298640623360843E-2</v>
      </c>
      <c r="AD112">
        <v>-1.5184159255888341E-2</v>
      </c>
      <c r="AE112">
        <v>-2.1510736836661493E-2</v>
      </c>
      <c r="AF112">
        <v>-1.1650509343360316E-2</v>
      </c>
      <c r="AG112">
        <v>-2.0821020383573141E-2</v>
      </c>
      <c r="AH112">
        <v>-1.4909048436352589E-2</v>
      </c>
      <c r="AI112">
        <v>-1.4909048436352589E-2</v>
      </c>
      <c r="AJ112">
        <v>8.040201005025116E-3</v>
      </c>
      <c r="AK112">
        <v>1.0027985074626766E-2</v>
      </c>
      <c r="AL112">
        <v>1.5971140630569147E-2</v>
      </c>
    </row>
    <row r="113" spans="1:38">
      <c r="A113" s="568">
        <v>43994</v>
      </c>
      <c r="B113">
        <v>1.1628494201258998E-4</v>
      </c>
      <c r="C113">
        <v>2.0196240711256586E-4</v>
      </c>
      <c r="D113">
        <v>1.808206126223677E-4</v>
      </c>
      <c r="E113">
        <v>1.7253896784086287E-4</v>
      </c>
      <c r="F113">
        <v>2.0642480717181222E-4</v>
      </c>
      <c r="G113">
        <v>1.0705223925411289E-4</v>
      </c>
      <c r="H113">
        <v>1.6390976590008322E-4</v>
      </c>
      <c r="I113">
        <v>2.114511996471613E-4</v>
      </c>
      <c r="J113">
        <v>2.3620936663149017E-4</v>
      </c>
      <c r="K113">
        <v>-1.6845042496438367E-5</v>
      </c>
      <c r="L113">
        <v>4.4930553861499689E-4</v>
      </c>
      <c r="M113">
        <v>4.675503920796853E-4</v>
      </c>
      <c r="N113">
        <v>4.7300760277368958E-4</v>
      </c>
      <c r="O113">
        <v>5.4612392438491142E-4</v>
      </c>
      <c r="P113">
        <v>5.3573019985209136E-4</v>
      </c>
      <c r="Q113">
        <v>5.4958248556946643E-4</v>
      </c>
      <c r="R113">
        <v>-5.5843737962575357E-3</v>
      </c>
      <c r="S113">
        <v>-8.0516079614618707E-3</v>
      </c>
      <c r="T113">
        <v>-1.0511502323894417E-3</v>
      </c>
      <c r="U113">
        <v>-2.57205776161884E-3</v>
      </c>
      <c r="V113">
        <v>-3.914814924961596E-3</v>
      </c>
      <c r="W113">
        <v>-4.496918329989219E-3</v>
      </c>
      <c r="X113">
        <v>5.4508872453293833E-3</v>
      </c>
      <c r="Y113">
        <v>-3.914814924961596E-3</v>
      </c>
      <c r="Z113">
        <v>-5.1584853420066912E-3</v>
      </c>
      <c r="AA113">
        <v>-1.7412858235990036E-3</v>
      </c>
      <c r="AC113">
        <v>-1.9968214935304984E-2</v>
      </c>
      <c r="AD113">
        <v>-1.0575157264266277E-2</v>
      </c>
      <c r="AE113">
        <v>-1.70630748638253E-2</v>
      </c>
      <c r="AF113">
        <v>-7.0999731384431275E-3</v>
      </c>
      <c r="AG113">
        <v>-1.3394619946210828E-2</v>
      </c>
      <c r="AH113">
        <v>-1.3977750454713488E-2</v>
      </c>
      <c r="AI113">
        <v>-1.3977750454713488E-2</v>
      </c>
      <c r="AJ113">
        <v>-2.7623013313002098E-2</v>
      </c>
      <c r="AK113">
        <v>-2.0549526668205975E-2</v>
      </c>
      <c r="AL113">
        <v>9.2242414242027504E-3</v>
      </c>
    </row>
    <row r="114" spans="1:38">
      <c r="A114" s="568">
        <v>43997</v>
      </c>
      <c r="B114">
        <v>1.1628494201258998E-4</v>
      </c>
      <c r="C114">
        <v>2.7799136112061085E-4</v>
      </c>
      <c r="D114">
        <v>2.2946159386583176E-4</v>
      </c>
      <c r="E114">
        <v>1.7253896784086287E-4</v>
      </c>
      <c r="F114">
        <v>1.9790074429537619E-4</v>
      </c>
      <c r="G114">
        <v>2.8143992234452853E-4</v>
      </c>
      <c r="H114">
        <v>1.638829038916878E-4</v>
      </c>
      <c r="I114">
        <v>2.114511996471613E-4</v>
      </c>
      <c r="J114">
        <v>-1.903836117784774E-4</v>
      </c>
      <c r="K114">
        <v>-4.6644040006382781E-4</v>
      </c>
      <c r="L114">
        <v>4.4930553861499689E-4</v>
      </c>
      <c r="M114">
        <v>4.675503920796853E-4</v>
      </c>
      <c r="N114">
        <v>4.7300760277368958E-4</v>
      </c>
      <c r="O114">
        <v>5.4612392438491142E-4</v>
      </c>
      <c r="P114">
        <v>5.3573019985209136E-4</v>
      </c>
      <c r="Q114">
        <v>5.4958248556946643E-4</v>
      </c>
      <c r="R114">
        <v>-4.843670372617348E-4</v>
      </c>
      <c r="S114">
        <v>3.916738291813715E-4</v>
      </c>
      <c r="T114">
        <v>1.938332684894295E-4</v>
      </c>
      <c r="U114">
        <v>4.5750151397538907E-4</v>
      </c>
      <c r="V114">
        <v>5.7541615888001552E-4</v>
      </c>
      <c r="W114">
        <v>-3.6764030073022091E-5</v>
      </c>
      <c r="X114">
        <v>5.2274148378539387E-3</v>
      </c>
      <c r="Y114">
        <v>5.7541615888001552E-4</v>
      </c>
      <c r="Z114">
        <v>-5.7288102660368878E-5</v>
      </c>
      <c r="AA114">
        <v>-1.4689288741539519E-3</v>
      </c>
      <c r="AC114">
        <v>-4.5233986602980503E-3</v>
      </c>
      <c r="AD114">
        <v>4.6506017159768653E-3</v>
      </c>
      <c r="AE114">
        <v>2.6011694732486212E-4</v>
      </c>
      <c r="AF114">
        <v>-1.7448948582357016E-3</v>
      </c>
      <c r="AG114">
        <v>-4.640762804573817E-3</v>
      </c>
      <c r="AH114">
        <v>-3.1663790622086349E-3</v>
      </c>
      <c r="AI114">
        <v>-3.1663790622086349E-3</v>
      </c>
      <c r="AJ114">
        <v>2.4125452352231624E-2</v>
      </c>
      <c r="AK114">
        <v>-1.0254596888260359E-2</v>
      </c>
      <c r="AL114">
        <v>-1.2905975232444078E-2</v>
      </c>
    </row>
    <row r="115" spans="1:38">
      <c r="A115" s="568">
        <v>43998</v>
      </c>
      <c r="B115">
        <v>1.1628494201258998E-4</v>
      </c>
      <c r="C115">
        <v>1.7130878024995688E-4</v>
      </c>
      <c r="D115">
        <v>1.8132576361029606E-4</v>
      </c>
      <c r="E115">
        <v>1.7253896784086287E-4</v>
      </c>
      <c r="F115">
        <v>2.2565642937100172E-4</v>
      </c>
      <c r="G115">
        <v>3.5754988710978708E-4</v>
      </c>
      <c r="H115">
        <v>1.659840513443811E-4</v>
      </c>
      <c r="I115">
        <v>2.114511996471613E-4</v>
      </c>
      <c r="J115">
        <v>-6.1275261800530778E-4</v>
      </c>
      <c r="K115">
        <v>-1.1417336034889036E-3</v>
      </c>
      <c r="L115">
        <v>4.4930553861499689E-4</v>
      </c>
      <c r="M115">
        <v>4.675503920796853E-4</v>
      </c>
      <c r="N115">
        <v>4.7300760277368958E-4</v>
      </c>
      <c r="O115">
        <v>5.4612392438491142E-4</v>
      </c>
      <c r="P115">
        <v>5.3573019985209136E-4</v>
      </c>
      <c r="Q115">
        <v>5.4958248556946643E-4</v>
      </c>
      <c r="R115">
        <v>6.6641051685536468E-3</v>
      </c>
      <c r="S115">
        <v>-1.7379318712120728E-3</v>
      </c>
      <c r="T115">
        <v>5.9204344038743528E-4</v>
      </c>
      <c r="U115">
        <v>2.2091644672233013E-3</v>
      </c>
      <c r="V115">
        <v>1.9422690368136042E-3</v>
      </c>
      <c r="W115">
        <v>2.1869472221085484E-3</v>
      </c>
      <c r="X115">
        <v>1.7292969655571255E-3</v>
      </c>
      <c r="Y115">
        <v>1.9422690368136042E-3</v>
      </c>
      <c r="Z115">
        <v>5.326514690487949E-3</v>
      </c>
      <c r="AA115">
        <v>-1.0273960491617995E-3</v>
      </c>
      <c r="AC115">
        <v>1.251034906217563E-2</v>
      </c>
      <c r="AD115">
        <v>-1.2509387498472746E-3</v>
      </c>
      <c r="AE115">
        <v>1.0477679885354307E-2</v>
      </c>
      <c r="AF115">
        <v>9.7154372934264988E-3</v>
      </c>
      <c r="AG115">
        <v>1.0848952131338852E-2</v>
      </c>
      <c r="AH115">
        <v>8.7572443435229401E-3</v>
      </c>
      <c r="AI115">
        <v>8.7572443435229401E-3</v>
      </c>
      <c r="AJ115">
        <v>3.7691401648998646E-2</v>
      </c>
      <c r="AK115">
        <v>2.4175300702631963E-2</v>
      </c>
      <c r="AL115">
        <v>2.2484457484837295E-2</v>
      </c>
    </row>
    <row r="116" spans="1:38">
      <c r="A116" s="568">
        <v>43999</v>
      </c>
      <c r="B116">
        <v>1.1628494201258998E-4</v>
      </c>
      <c r="C116">
        <v>-4.0017450895601936E-4</v>
      </c>
      <c r="D116">
        <v>7.5876577190214789E-5</v>
      </c>
      <c r="E116">
        <v>1.7253896784086287E-4</v>
      </c>
      <c r="F116">
        <v>7.0272116052616518E-4</v>
      </c>
      <c r="G116">
        <v>7.2796152165621741E-4</v>
      </c>
      <c r="H116">
        <v>1.6666572104551136E-4</v>
      </c>
      <c r="I116">
        <v>2.114511996471613E-4</v>
      </c>
      <c r="J116">
        <v>1.4985631784820708E-3</v>
      </c>
      <c r="K116">
        <v>1.6374836678951787E-3</v>
      </c>
      <c r="L116">
        <v>4.4930553861499689E-4</v>
      </c>
      <c r="M116">
        <v>4.675503920796853E-4</v>
      </c>
      <c r="N116">
        <v>4.7300760277368958E-4</v>
      </c>
      <c r="O116">
        <v>5.4612392438491142E-4</v>
      </c>
      <c r="P116">
        <v>5.3573019985209136E-4</v>
      </c>
      <c r="Q116">
        <v>5.4958248556946643E-4</v>
      </c>
      <c r="R116">
        <v>-1.0275015138478949E-3</v>
      </c>
      <c r="S116">
        <v>1.5082092030047622E-3</v>
      </c>
      <c r="T116">
        <v>2.9619074370887954E-3</v>
      </c>
      <c r="U116">
        <v>1.8495454010345469E-3</v>
      </c>
      <c r="V116">
        <v>4.3887079438049703E-3</v>
      </c>
      <c r="W116">
        <v>2.0620606287244936E-3</v>
      </c>
      <c r="X116">
        <v>3.0174267934224286E-3</v>
      </c>
      <c r="Y116">
        <v>4.3887079438049703E-3</v>
      </c>
      <c r="Z116">
        <v>1.55048938634339E-3</v>
      </c>
      <c r="AA116">
        <v>-1.6180847574268631E-3</v>
      </c>
      <c r="AC116">
        <v>2.1555594781931919E-2</v>
      </c>
      <c r="AD116">
        <v>2.6028016341590909E-2</v>
      </c>
      <c r="AE116">
        <v>1.8738102141370616E-2</v>
      </c>
      <c r="AF116">
        <v>1.2945117451636845E-2</v>
      </c>
      <c r="AG116">
        <v>1.6204908402644325E-2</v>
      </c>
      <c r="AH116">
        <v>1.5088916347352342E-2</v>
      </c>
      <c r="AI116">
        <v>1.5088916347352342E-2</v>
      </c>
      <c r="AJ116">
        <v>2.8376844494903963E-4</v>
      </c>
      <c r="AK116">
        <v>7.0930232558139572E-3</v>
      </c>
      <c r="AL116">
        <v>2.2950762275256498E-2</v>
      </c>
    </row>
    <row r="117" spans="1:38">
      <c r="A117" s="568">
        <v>44000</v>
      </c>
      <c r="B117">
        <v>8.6527218070714393E-5</v>
      </c>
      <c r="C117">
        <v>9.687791997703421E-5</v>
      </c>
      <c r="D117">
        <v>2.3514162649673764E-4</v>
      </c>
      <c r="E117">
        <v>1.4350532673490513E-4</v>
      </c>
      <c r="F117">
        <v>2.7298395466202052E-4</v>
      </c>
      <c r="G117">
        <v>1.1321479413135549E-3</v>
      </c>
      <c r="H117">
        <v>1.6876524116771208E-4</v>
      </c>
      <c r="I117">
        <v>1.8241642897232069E-4</v>
      </c>
      <c r="J117">
        <v>-1.2310391985281832E-4</v>
      </c>
      <c r="K117">
        <v>-4.393371677307023E-4</v>
      </c>
      <c r="L117">
        <v>4.4930553861499689E-4</v>
      </c>
      <c r="M117">
        <v>4.675503920796853E-4</v>
      </c>
      <c r="N117">
        <v>4.7300760277368958E-4</v>
      </c>
      <c r="O117">
        <v>5.4612392438491142E-4</v>
      </c>
      <c r="P117">
        <v>5.3573019985209136E-4</v>
      </c>
      <c r="Q117">
        <v>5.4958248556946643E-4</v>
      </c>
      <c r="R117">
        <v>-1.2493414516290269E-4</v>
      </c>
      <c r="S117">
        <v>-2.3821200039854107E-3</v>
      </c>
      <c r="T117">
        <v>-1.6727486040465367E-3</v>
      </c>
      <c r="U117">
        <v>2.0542121749507203E-3</v>
      </c>
      <c r="V117">
        <v>8.5719368803527374E-4</v>
      </c>
      <c r="W117">
        <v>2.4711521769167355E-3</v>
      </c>
      <c r="X117">
        <v>5.6699820338923512E-3</v>
      </c>
      <c r="Y117">
        <v>8.5719368803527374E-4</v>
      </c>
      <c r="Z117">
        <v>2.7073204371359516E-3</v>
      </c>
      <c r="AA117">
        <v>5.2310905621562043E-3</v>
      </c>
      <c r="AC117">
        <v>6.048837177904387E-3</v>
      </c>
      <c r="AD117">
        <v>8.8878580009230657E-3</v>
      </c>
      <c r="AE117">
        <v>8.845372329968626E-3</v>
      </c>
      <c r="AF117">
        <v>7.1795873036801794E-3</v>
      </c>
      <c r="AG117">
        <v>1.0584238697209702E-2</v>
      </c>
      <c r="AH117">
        <v>4.2341860245330709E-3</v>
      </c>
      <c r="AI117">
        <v>4.2341860245330709E-3</v>
      </c>
      <c r="AJ117">
        <v>2.3829787234042499E-2</v>
      </c>
      <c r="AK117">
        <v>4.5029442327675362E-3</v>
      </c>
      <c r="AL117">
        <v>2.6635638945739837E-2</v>
      </c>
    </row>
    <row r="118" spans="1:38">
      <c r="A118" s="568">
        <v>44001</v>
      </c>
      <c r="B118">
        <v>8.6527218070714393E-5</v>
      </c>
      <c r="C118">
        <v>4.3378845401842447E-4</v>
      </c>
      <c r="D118">
        <v>8.7433592449448483E-5</v>
      </c>
      <c r="E118">
        <v>1.4350532673490513E-4</v>
      </c>
      <c r="F118">
        <v>5.5899384871493929E-4</v>
      </c>
      <c r="G118">
        <v>1.0088695261722957E-3</v>
      </c>
      <c r="H118">
        <v>1.4037764422192289E-4</v>
      </c>
      <c r="I118">
        <v>1.8241642897232069E-4</v>
      </c>
      <c r="J118">
        <v>7.0834832985311458E-4</v>
      </c>
      <c r="K118">
        <v>1.2806880101183804E-3</v>
      </c>
      <c r="L118">
        <v>4.4930553861499689E-4</v>
      </c>
      <c r="M118">
        <v>4.675503920796853E-4</v>
      </c>
      <c r="N118">
        <v>4.7300760277368958E-4</v>
      </c>
      <c r="O118">
        <v>5.4612392438491142E-4</v>
      </c>
      <c r="P118">
        <v>5.3573019985209136E-4</v>
      </c>
      <c r="Q118">
        <v>5.4958248556946643E-4</v>
      </c>
      <c r="R118">
        <v>1.2045420888955327E-3</v>
      </c>
      <c r="S118">
        <v>-1.2672629635878119E-3</v>
      </c>
      <c r="T118">
        <v>-2.2965463276823916E-3</v>
      </c>
      <c r="U118">
        <v>3.0343554835274844E-3</v>
      </c>
      <c r="V118">
        <v>9.7765664052396062E-4</v>
      </c>
      <c r="W118">
        <v>-9.1887564961923296E-5</v>
      </c>
      <c r="X118">
        <v>1.5916350579692207E-4</v>
      </c>
      <c r="Y118">
        <v>9.7765664052396062E-4</v>
      </c>
      <c r="Z118">
        <v>1.04600896586593E-3</v>
      </c>
      <c r="AA118">
        <v>-1.0860879099510168E-3</v>
      </c>
      <c r="AC118">
        <v>4.6487270148818371E-3</v>
      </c>
      <c r="AD118">
        <v>9.776169869958995E-3</v>
      </c>
      <c r="AE118">
        <v>5.9661363206719997E-3</v>
      </c>
      <c r="AF118">
        <v>1.0303507578901527E-3</v>
      </c>
      <c r="AG118">
        <v>7.597239138051215E-3</v>
      </c>
      <c r="AH118">
        <v>3.2541089104172857E-3</v>
      </c>
      <c r="AI118">
        <v>3.2541089104172857E-3</v>
      </c>
      <c r="AJ118">
        <v>-1.7456359102244301E-2</v>
      </c>
      <c r="AK118">
        <v>5.6321839080459846E-3</v>
      </c>
      <c r="AL118">
        <v>-3.2644684423666082E-4</v>
      </c>
    </row>
    <row r="119" spans="1:38">
      <c r="A119" s="568">
        <v>44004</v>
      </c>
      <c r="B119">
        <v>8.6527218070714393E-5</v>
      </c>
      <c r="C119">
        <v>1.4192445799943165E-4</v>
      </c>
      <c r="D119">
        <v>1.4300800844835315E-4</v>
      </c>
      <c r="E119">
        <v>1.4350532673490513E-4</v>
      </c>
      <c r="F119">
        <v>3.0144349580418783E-4</v>
      </c>
      <c r="G119">
        <v>4.6803302025688609E-4</v>
      </c>
      <c r="H119">
        <v>1.3964906261443311E-4</v>
      </c>
      <c r="I119">
        <v>1.8241642897232069E-4</v>
      </c>
      <c r="J119">
        <v>-4.6440905188183113E-4</v>
      </c>
      <c r="K119">
        <v>-6.9000867022850354E-4</v>
      </c>
      <c r="L119">
        <v>4.4930553861499689E-4</v>
      </c>
      <c r="M119">
        <v>4.675503920796853E-4</v>
      </c>
      <c r="N119">
        <v>4.7300760277368958E-4</v>
      </c>
      <c r="O119">
        <v>5.4612392438491142E-4</v>
      </c>
      <c r="P119">
        <v>5.3573019985209136E-4</v>
      </c>
      <c r="Q119">
        <v>5.4958248556946643E-4</v>
      </c>
      <c r="R119">
        <v>-6.3390186406664384E-5</v>
      </c>
      <c r="S119">
        <v>3.905934253315646E-3</v>
      </c>
      <c r="T119">
        <v>-6.2304192280049353E-4</v>
      </c>
      <c r="U119">
        <v>-1.0335660808281633E-3</v>
      </c>
      <c r="V119">
        <v>-6.1615620770649748E-4</v>
      </c>
      <c r="W119">
        <v>5.2958020607096756E-4</v>
      </c>
      <c r="X119">
        <v>-2.2487461810997145E-3</v>
      </c>
      <c r="Y119">
        <v>-6.1615620770649748E-4</v>
      </c>
      <c r="Z119">
        <v>-3.2523009702822847E-4</v>
      </c>
      <c r="AA119">
        <v>1.4238669518189528E-3</v>
      </c>
      <c r="AC119">
        <v>-1.2800177276873992E-2</v>
      </c>
      <c r="AD119">
        <v>-9.286282833642856E-3</v>
      </c>
      <c r="AE119">
        <v>-8.1618065061398459E-3</v>
      </c>
      <c r="AF119">
        <v>3.9823210867062642E-4</v>
      </c>
      <c r="AG119">
        <v>-5.5883672676304563E-4</v>
      </c>
      <c r="AH119">
        <v>-8.9601240938117933E-3</v>
      </c>
      <c r="AI119">
        <v>-8.9601240938117933E-3</v>
      </c>
      <c r="AJ119">
        <v>-3.1020868584320516E-3</v>
      </c>
      <c r="AK119">
        <v>-6.8579266201840294E-4</v>
      </c>
      <c r="AL119">
        <v>-1.0851339914293989E-3</v>
      </c>
    </row>
    <row r="120" spans="1:38">
      <c r="A120" s="568">
        <v>44005</v>
      </c>
      <c r="B120">
        <v>8.6527218070714393E-5</v>
      </c>
      <c r="C120">
        <v>2.7499061474101083E-4</v>
      </c>
      <c r="D120">
        <v>7.2362125547842382E-5</v>
      </c>
      <c r="E120">
        <v>1.4350532673490513E-4</v>
      </c>
      <c r="F120">
        <v>3.6952135231649308E-4</v>
      </c>
      <c r="G120">
        <v>9.2235178320665412E-4</v>
      </c>
      <c r="H120">
        <v>1.4104712249696227E-4</v>
      </c>
      <c r="I120">
        <v>1.8241642897232069E-4</v>
      </c>
      <c r="J120">
        <v>9.7138212701652904E-4</v>
      </c>
      <c r="K120">
        <v>1.33693144102498E-3</v>
      </c>
      <c r="L120">
        <v>4.4930553861499689E-4</v>
      </c>
      <c r="M120">
        <v>4.675503920796853E-4</v>
      </c>
      <c r="N120">
        <v>4.7300760277368958E-4</v>
      </c>
      <c r="O120">
        <v>5.4612392438491142E-4</v>
      </c>
      <c r="P120">
        <v>5.3573019985209136E-4</v>
      </c>
      <c r="Q120">
        <v>5.4958248556946643E-4</v>
      </c>
      <c r="R120">
        <v>1.6363629159750204E-3</v>
      </c>
      <c r="S120">
        <v>1.8355770416844663E-3</v>
      </c>
      <c r="T120">
        <v>6.5188783223257829E-4</v>
      </c>
      <c r="U120">
        <v>2.6240586579533431E-3</v>
      </c>
      <c r="V120">
        <v>1.2438413698407924E-3</v>
      </c>
      <c r="W120">
        <v>-4.710121462256911E-4</v>
      </c>
      <c r="X120">
        <v>-3.0317431435037401E-3</v>
      </c>
      <c r="Y120">
        <v>1.2438413698407924E-3</v>
      </c>
      <c r="Z120">
        <v>3.6479431715252808E-4</v>
      </c>
      <c r="AA120">
        <v>4.2011696248533958E-4</v>
      </c>
      <c r="AC120">
        <v>6.7047103737141178E-3</v>
      </c>
      <c r="AD120">
        <v>8.1989229579868539E-3</v>
      </c>
      <c r="AE120">
        <v>9.2809368072925835E-3</v>
      </c>
      <c r="AF120">
        <v>3.9270727648921255E-3</v>
      </c>
      <c r="AG120">
        <v>-5.9011655651575179E-4</v>
      </c>
      <c r="AH120">
        <v>4.6932972615998823E-3</v>
      </c>
      <c r="AI120">
        <v>4.6932972615998823E-3</v>
      </c>
      <c r="AJ120">
        <v>-1.4992927864215022E-2</v>
      </c>
      <c r="AK120">
        <v>2.0130390026306566E-2</v>
      </c>
      <c r="AL120">
        <v>-2.1141447093867782E-2</v>
      </c>
    </row>
    <row r="121" spans="1:38">
      <c r="A121" s="568">
        <v>44006</v>
      </c>
      <c r="B121">
        <v>8.6527218070714393E-5</v>
      </c>
      <c r="C121">
        <v>1.7026803143349589E-4</v>
      </c>
      <c r="D121">
        <v>1.5455431629107785E-4</v>
      </c>
      <c r="E121">
        <v>1.4350532673490513E-4</v>
      </c>
      <c r="F121">
        <v>5.7945487066368706E-4</v>
      </c>
      <c r="G121">
        <v>2.5849842688585589E-4</v>
      </c>
      <c r="H121">
        <v>1.4669666743438725E-4</v>
      </c>
      <c r="I121">
        <v>1.8241642897232069E-4</v>
      </c>
      <c r="J121">
        <v>-3.3994057795916355E-4</v>
      </c>
      <c r="K121">
        <v>-1.2584053425990227E-4</v>
      </c>
      <c r="L121">
        <v>4.4930553861499689E-4</v>
      </c>
      <c r="M121">
        <v>4.675503920796853E-4</v>
      </c>
      <c r="N121">
        <v>4.7300760277368958E-4</v>
      </c>
      <c r="O121">
        <v>5.4612392438491142E-4</v>
      </c>
      <c r="P121">
        <v>5.3573019985209136E-4</v>
      </c>
      <c r="Q121">
        <v>5.4958248556946643E-4</v>
      </c>
      <c r="R121">
        <v>-2.658866095468615E-3</v>
      </c>
      <c r="S121">
        <v>-6.6046056152471166E-3</v>
      </c>
      <c r="T121">
        <v>6.0570082260058555E-4</v>
      </c>
      <c r="U121">
        <v>-4.3840459843274004E-3</v>
      </c>
      <c r="V121">
        <v>-3.7860454110333341E-3</v>
      </c>
      <c r="W121">
        <v>-3.1189807206347675E-3</v>
      </c>
      <c r="X121">
        <v>4.9866667456384128E-3</v>
      </c>
      <c r="Y121">
        <v>-3.7860454110333341E-3</v>
      </c>
      <c r="Z121">
        <v>-2.5967749940573048E-3</v>
      </c>
      <c r="AA121">
        <v>5.0931489430405819E-4</v>
      </c>
      <c r="AC121">
        <v>-1.6648057684926054E-2</v>
      </c>
      <c r="AD121">
        <v>-1.7865872616252387E-2</v>
      </c>
      <c r="AE121">
        <v>-1.7074103186314971E-2</v>
      </c>
      <c r="AF121">
        <v>-1.1370014843602894E-2</v>
      </c>
      <c r="AG121">
        <v>-1.5990805765208949E-2</v>
      </c>
      <c r="AH121">
        <v>-1.1653640379448237E-2</v>
      </c>
      <c r="AI121">
        <v>-1.1653640379448237E-2</v>
      </c>
      <c r="AJ121">
        <v>6.3756461803561315E-3</v>
      </c>
      <c r="AK121">
        <v>-5.157528870949557E-3</v>
      </c>
      <c r="AL121">
        <v>5.7580360776025019E-2</v>
      </c>
    </row>
    <row r="122" spans="1:38">
      <c r="A122" s="568">
        <v>44007</v>
      </c>
      <c r="B122">
        <v>8.6527218070714393E-5</v>
      </c>
      <c r="C122">
        <v>9.6767847494283465E-4</v>
      </c>
      <c r="D122">
        <v>4.109236231886193E-5</v>
      </c>
      <c r="E122">
        <v>1.4350532673490513E-4</v>
      </c>
      <c r="F122">
        <v>7.4303870893510648E-4</v>
      </c>
      <c r="G122">
        <v>8.1325485973926526E-4</v>
      </c>
      <c r="H122">
        <v>1.3746366778577546E-4</v>
      </c>
      <c r="I122">
        <v>1.8241642897232069E-4</v>
      </c>
      <c r="J122">
        <v>3.510445520267913E-3</v>
      </c>
      <c r="K122">
        <v>4.843256686385855E-3</v>
      </c>
      <c r="L122">
        <v>4.4930553861499689E-4</v>
      </c>
      <c r="M122">
        <v>4.675503920796853E-4</v>
      </c>
      <c r="N122">
        <v>4.7300760277368958E-4</v>
      </c>
      <c r="O122">
        <v>5.4612392438491142E-4</v>
      </c>
      <c r="P122">
        <v>5.3573019985209136E-4</v>
      </c>
      <c r="Q122">
        <v>5.4958248556946643E-4</v>
      </c>
      <c r="R122">
        <v>1.692249826312775E-4</v>
      </c>
      <c r="S122">
        <v>2.1824411454844928E-3</v>
      </c>
      <c r="T122">
        <v>3.1427614509453861E-3</v>
      </c>
      <c r="U122">
        <v>2.5436380895356159E-3</v>
      </c>
      <c r="V122">
        <v>3.7464505889592825E-3</v>
      </c>
      <c r="W122">
        <v>1.2916758992540522E-3</v>
      </c>
      <c r="X122">
        <v>3.2485167126083958E-4</v>
      </c>
      <c r="Y122">
        <v>3.7464505889592825E-3</v>
      </c>
      <c r="Z122">
        <v>3.1768322242355929E-3</v>
      </c>
      <c r="AA122">
        <v>-1.3256824335512452E-3</v>
      </c>
      <c r="AC122">
        <v>1.7013932154914979E-2</v>
      </c>
      <c r="AD122">
        <v>1.3717428800818166E-2</v>
      </c>
      <c r="AE122">
        <v>1.6076597998762487E-2</v>
      </c>
      <c r="AF122">
        <v>8.5965043882680892E-3</v>
      </c>
      <c r="AG122">
        <v>7.4784473336722002E-3</v>
      </c>
      <c r="AH122">
        <v>1.1909752508440485E-2</v>
      </c>
      <c r="AI122">
        <v>1.1909752508440485E-2</v>
      </c>
      <c r="AJ122">
        <v>1.0501683693853181E-2</v>
      </c>
      <c r="AK122">
        <v>-2.2540290769751392E-3</v>
      </c>
      <c r="AL122">
        <v>-4.6780725514011801E-3</v>
      </c>
    </row>
    <row r="123" spans="1:38">
      <c r="A123" s="568">
        <v>44008</v>
      </c>
      <c r="B123">
        <v>8.6527218070714393E-5</v>
      </c>
      <c r="C123">
        <v>4.4516769714730842E-4</v>
      </c>
      <c r="D123">
        <v>1.0127982980367989E-4</v>
      </c>
      <c r="E123">
        <v>1.4350532673490513E-4</v>
      </c>
      <c r="F123">
        <v>6.8804422256407705E-4</v>
      </c>
      <c r="G123">
        <v>1.027424693957224E-3</v>
      </c>
      <c r="H123">
        <v>1.4169564342569885E-4</v>
      </c>
      <c r="I123">
        <v>1.8241642897232069E-4</v>
      </c>
      <c r="J123">
        <v>8.0108956708513368E-4</v>
      </c>
      <c r="K123">
        <v>9.864679478173155E-4</v>
      </c>
      <c r="L123">
        <v>4.4930553861499689E-4</v>
      </c>
      <c r="M123">
        <v>4.675503920796853E-4</v>
      </c>
      <c r="N123">
        <v>4.7300760277368958E-4</v>
      </c>
      <c r="O123">
        <v>5.4612392438491142E-4</v>
      </c>
      <c r="P123">
        <v>5.3573019985209136E-4</v>
      </c>
      <c r="Q123">
        <v>5.4958248556946643E-4</v>
      </c>
      <c r="R123">
        <v>-1.8975106326025726E-3</v>
      </c>
      <c r="S123">
        <v>-5.8814869204005804E-3</v>
      </c>
      <c r="T123">
        <v>2.0624902555785862E-3</v>
      </c>
      <c r="U123">
        <v>-8.0185418574829637E-4</v>
      </c>
      <c r="V123">
        <v>-5.0151665089062103E-3</v>
      </c>
      <c r="W123">
        <v>-4.4648732031481453E-3</v>
      </c>
      <c r="X123">
        <v>3.181226932479353E-3</v>
      </c>
      <c r="Y123">
        <v>-5.0151665089062103E-3</v>
      </c>
      <c r="Z123">
        <v>-3.3965130003421606E-4</v>
      </c>
      <c r="AA123">
        <v>1.6033167790596714E-4</v>
      </c>
      <c r="AC123">
        <v>-2.238519305848552E-2</v>
      </c>
      <c r="AD123">
        <v>-2.1520407455150714E-2</v>
      </c>
      <c r="AE123">
        <v>-2.3128328398480669E-2</v>
      </c>
      <c r="AF123">
        <v>-1.8897602962278381E-2</v>
      </c>
      <c r="AG123">
        <v>-2.6603167397760696E-2</v>
      </c>
      <c r="AH123">
        <v>-1.5669635140939862E-2</v>
      </c>
      <c r="AI123">
        <v>-1.5669635140939862E-2</v>
      </c>
      <c r="AJ123">
        <v>1.4120304998588296E-3</v>
      </c>
      <c r="AK123">
        <v>-1.0956737828984542E-2</v>
      </c>
      <c r="AL123">
        <v>8.9371984608261901E-3</v>
      </c>
    </row>
    <row r="124" spans="1:38">
      <c r="A124" s="568">
        <v>44011</v>
      </c>
      <c r="B124">
        <v>8.6527218070714393E-5</v>
      </c>
      <c r="C124">
        <v>5.9841091854240247E-4</v>
      </c>
      <c r="D124">
        <v>9.2589324103720116E-5</v>
      </c>
      <c r="E124">
        <v>1.4350532673490513E-4</v>
      </c>
      <c r="F124">
        <v>7.1711887992487178E-4</v>
      </c>
      <c r="G124">
        <v>1.5752225873379988E-3</v>
      </c>
      <c r="H124">
        <v>1.4309232430109731E-4</v>
      </c>
      <c r="I124">
        <v>1.8241642897232069E-4</v>
      </c>
      <c r="J124">
        <v>1.8029694532184504E-3</v>
      </c>
      <c r="K124">
        <v>2.8549062265321723E-3</v>
      </c>
      <c r="L124">
        <v>4.4930553861499689E-4</v>
      </c>
      <c r="M124">
        <v>4.675503920796853E-4</v>
      </c>
      <c r="N124">
        <v>4.7300760277368958E-4</v>
      </c>
      <c r="O124">
        <v>5.4612392438491142E-4</v>
      </c>
      <c r="P124">
        <v>5.3573019985209136E-4</v>
      </c>
      <c r="Q124">
        <v>5.4958248556946643E-4</v>
      </c>
      <c r="R124">
        <v>-1.0118106377849934E-3</v>
      </c>
      <c r="S124">
        <v>1.1207638611128168E-3</v>
      </c>
      <c r="T124">
        <v>-2.6600530698672742E-4</v>
      </c>
      <c r="U124">
        <v>3.3658186833984693E-4</v>
      </c>
      <c r="V124">
        <v>3.453988708321587E-3</v>
      </c>
      <c r="W124">
        <v>1.0136366734934121E-3</v>
      </c>
      <c r="X124">
        <v>1.9318393349239127E-3</v>
      </c>
      <c r="Y124">
        <v>3.453988708321587E-3</v>
      </c>
      <c r="Z124">
        <v>1.1451783161464668E-3</v>
      </c>
      <c r="AA124">
        <v>-1.2253023637054383E-5</v>
      </c>
      <c r="AC124">
        <v>2.0257583325704598E-2</v>
      </c>
      <c r="AD124">
        <v>2.3714104726326291E-2</v>
      </c>
      <c r="AE124">
        <v>2.0617238405471916E-2</v>
      </c>
      <c r="AF124">
        <v>9.8957781091597585E-3</v>
      </c>
      <c r="AG124">
        <v>1.7337900736253742E-2</v>
      </c>
      <c r="AH124">
        <v>1.4180308327993217E-2</v>
      </c>
      <c r="AI124">
        <v>1.4180308327993217E-2</v>
      </c>
      <c r="AJ124">
        <v>5.6965595036659877E-3</v>
      </c>
      <c r="AK124">
        <v>-6.5098218364550986E-3</v>
      </c>
      <c r="AL124">
        <v>-8.9313269693115371E-3</v>
      </c>
    </row>
    <row r="125" spans="1:38">
      <c r="A125" s="568">
        <v>44012</v>
      </c>
      <c r="B125">
        <v>8.6527218070714393E-5</v>
      </c>
      <c r="C125">
        <v>1.5390451898318336E-3</v>
      </c>
      <c r="D125">
        <v>6.6542415582349079E-5</v>
      </c>
      <c r="E125">
        <v>1.4350532673490513E-4</v>
      </c>
      <c r="F125">
        <v>7.6909665590596532E-4</v>
      </c>
      <c r="G125">
        <v>1.0466472785555236E-3</v>
      </c>
      <c r="H125">
        <v>1.4307185181716697E-4</v>
      </c>
      <c r="I125">
        <v>1.8241642897232069E-4</v>
      </c>
      <c r="J125">
        <v>7.1202251023350094E-4</v>
      </c>
      <c r="K125">
        <v>8.4007075343350834E-4</v>
      </c>
      <c r="L125">
        <v>4.4930553861499689E-4</v>
      </c>
      <c r="M125">
        <v>4.675503920796853E-4</v>
      </c>
      <c r="N125">
        <v>4.7300760277368958E-4</v>
      </c>
      <c r="O125">
        <v>5.4612392438491142E-4</v>
      </c>
      <c r="P125">
        <v>5.3573019985209136E-4</v>
      </c>
      <c r="Q125">
        <v>5.4958248556946643E-4</v>
      </c>
      <c r="R125">
        <v>1.368123258360443E-3</v>
      </c>
      <c r="S125">
        <v>1.4585196451173399E-3</v>
      </c>
      <c r="T125">
        <v>1.6680824314827536E-3</v>
      </c>
      <c r="U125">
        <v>2.950164773088737E-3</v>
      </c>
      <c r="V125">
        <v>1.093499602730974E-3</v>
      </c>
      <c r="W125">
        <v>-2.1851063388800274E-4</v>
      </c>
      <c r="X125">
        <v>-1.6717339291324462E-3</v>
      </c>
      <c r="Y125">
        <v>1.093499602730974E-3</v>
      </c>
      <c r="Z125">
        <v>-1.0371768963107764E-3</v>
      </c>
      <c r="AA125">
        <v>2.8175553933438291E-3</v>
      </c>
      <c r="AC125">
        <v>-7.0980050733611133E-3</v>
      </c>
      <c r="AD125">
        <v>4.5852468050489037E-3</v>
      </c>
      <c r="AE125">
        <v>1.0157753296402561E-3</v>
      </c>
      <c r="AF125">
        <v>5.9660874720059986E-3</v>
      </c>
      <c r="AG125">
        <v>-1.9054466687958849E-3</v>
      </c>
      <c r="AH125">
        <v>-4.9686035513527788E-3</v>
      </c>
      <c r="AI125">
        <v>-4.9686035513527788E-3</v>
      </c>
      <c r="AJ125">
        <v>1.912399753238736E-2</v>
      </c>
      <c r="AK125">
        <v>4.9430969076906806E-3</v>
      </c>
      <c r="AL125">
        <v>-1.1735281652728746E-2</v>
      </c>
    </row>
    <row r="126" spans="1:38">
      <c r="A126" s="568">
        <v>44013</v>
      </c>
      <c r="B126">
        <v>8.6527218070714393E-5</v>
      </c>
      <c r="C126">
        <v>3.5480605058002546E-4</v>
      </c>
      <c r="D126">
        <v>1.8225622795564611E-4</v>
      </c>
      <c r="E126">
        <v>1.4350532673490513E-4</v>
      </c>
      <c r="F126">
        <v>3.6434939514728981E-4</v>
      </c>
      <c r="G126">
        <v>7.5672839779272749E-4</v>
      </c>
      <c r="H126">
        <v>1.4234321001627137E-4</v>
      </c>
      <c r="I126">
        <v>1.8241642897232069E-4</v>
      </c>
      <c r="J126">
        <v>1.9565479841026079E-3</v>
      </c>
      <c r="K126">
        <v>3.3858838057492235E-3</v>
      </c>
      <c r="L126">
        <v>4.8190165455164191E-4</v>
      </c>
      <c r="M126">
        <v>5.001471024606019E-4</v>
      </c>
      <c r="N126">
        <v>5.0560449095837789E-4</v>
      </c>
      <c r="O126">
        <v>5.4612392438491142E-4</v>
      </c>
      <c r="P126">
        <v>5.3573019985209136E-4</v>
      </c>
      <c r="Q126">
        <v>5.4958248556946643E-4</v>
      </c>
      <c r="R126">
        <v>2.023565234659408E-3</v>
      </c>
      <c r="S126">
        <v>3.9885143975859627E-3</v>
      </c>
      <c r="T126">
        <v>-2.4580409109004053E-3</v>
      </c>
      <c r="U126">
        <v>3.4354092468280584E-4</v>
      </c>
      <c r="V126">
        <v>3.2849867228423868E-3</v>
      </c>
      <c r="W126">
        <v>2.806313435240293E-3</v>
      </c>
      <c r="X126">
        <v>2.7711786044786191E-3</v>
      </c>
      <c r="Y126">
        <v>3.2849867228423868E-3</v>
      </c>
      <c r="Z126">
        <v>-2.5820556014130025E-3</v>
      </c>
      <c r="AA126">
        <v>-1.3915197006005853E-3</v>
      </c>
      <c r="AC126">
        <v>1.20705917849111E-2</v>
      </c>
      <c r="AD126">
        <v>2.3898345241973207E-2</v>
      </c>
      <c r="AE126">
        <v>1.198548179309733E-2</v>
      </c>
      <c r="AF126">
        <v>7.1339977724971249E-3</v>
      </c>
      <c r="AG126">
        <v>1.2122545579627664E-2</v>
      </c>
      <c r="AH126">
        <v>8.4494142494377696E-3</v>
      </c>
      <c r="AI126">
        <v>8.4494142494377696E-3</v>
      </c>
      <c r="AJ126">
        <v>-2.0526084085406016E-2</v>
      </c>
      <c r="AK126">
        <v>1.944635094943914E-3</v>
      </c>
      <c r="AL126">
        <v>-7.7524536310616954E-3</v>
      </c>
    </row>
    <row r="127" spans="1:38">
      <c r="A127" s="568">
        <v>44014</v>
      </c>
      <c r="B127">
        <v>8.6527218070714393E-5</v>
      </c>
      <c r="C127">
        <v>2.6956914442100022E-4</v>
      </c>
      <c r="D127">
        <v>2.0478396159773204E-4</v>
      </c>
      <c r="E127">
        <v>1.4350532673490513E-4</v>
      </c>
      <c r="F127">
        <v>2.7667360613392589E-4</v>
      </c>
      <c r="G127">
        <v>7.0379220034300083E-4</v>
      </c>
      <c r="H127">
        <v>1.4303102569535042E-4</v>
      </c>
      <c r="I127">
        <v>1.8241642897232069E-4</v>
      </c>
      <c r="J127">
        <v>9.4407206795943388E-4</v>
      </c>
      <c r="K127">
        <v>1.2402034160139408E-3</v>
      </c>
      <c r="L127">
        <v>4.8190165455164191E-4</v>
      </c>
      <c r="M127">
        <v>5.001471024606019E-4</v>
      </c>
      <c r="N127">
        <v>5.0560449095837789E-4</v>
      </c>
      <c r="O127">
        <v>5.4612392438491142E-4</v>
      </c>
      <c r="P127">
        <v>5.3573019985209136E-4</v>
      </c>
      <c r="Q127">
        <v>5.4958248556946643E-4</v>
      </c>
      <c r="R127">
        <v>1.903211677964034E-3</v>
      </c>
      <c r="S127">
        <v>-1.1343469767610692E-4</v>
      </c>
      <c r="T127">
        <v>7.4367715910272914E-4</v>
      </c>
      <c r="U127">
        <v>3.5436050511128414E-4</v>
      </c>
      <c r="V127">
        <v>2.3598060668472698E-4</v>
      </c>
      <c r="W127">
        <v>6.2194564443140976E-4</v>
      </c>
      <c r="X127">
        <v>3.1587169233660006E-4</v>
      </c>
      <c r="Y127">
        <v>2.3598060668472698E-4</v>
      </c>
      <c r="Z127">
        <v>2.0219294123313691E-3</v>
      </c>
      <c r="AA127">
        <v>5.3084875126541142E-4</v>
      </c>
      <c r="AC127">
        <v>3.3013454853891844E-4</v>
      </c>
      <c r="AD127">
        <v>-5.6464081068255956E-3</v>
      </c>
      <c r="AE127">
        <v>3.7120517948270315E-3</v>
      </c>
      <c r="AF127">
        <v>2.9924574676520876E-4</v>
      </c>
      <c r="AG127">
        <v>2.2165160353784241E-3</v>
      </c>
      <c r="AH127">
        <v>2.3109418397724288E-4</v>
      </c>
      <c r="AI127">
        <v>2.3109418397724288E-4</v>
      </c>
      <c r="AJ127">
        <v>1.8259452778246033E-2</v>
      </c>
      <c r="AK127">
        <v>3.3337138942801658E-2</v>
      </c>
      <c r="AL127">
        <v>3.0516810124020521E-2</v>
      </c>
    </row>
    <row r="128" spans="1:38">
      <c r="A128" s="568">
        <v>44015</v>
      </c>
      <c r="B128">
        <v>8.6527218070714393E-5</v>
      </c>
      <c r="C128">
        <v>3.5763963636226137E-4</v>
      </c>
      <c r="D128">
        <v>5.9571834668092905E-5</v>
      </c>
      <c r="E128">
        <v>1.4350532673490513E-4</v>
      </c>
      <c r="F128">
        <v>5.2979338993819347E-4</v>
      </c>
      <c r="G128">
        <v>5.1240370166394378E-4</v>
      </c>
      <c r="H128">
        <v>1.4371854386929783E-4</v>
      </c>
      <c r="I128">
        <v>1.8241642897232069E-4</v>
      </c>
      <c r="J128">
        <v>2.1439710816695268E-3</v>
      </c>
      <c r="K128">
        <v>3.0281456887439884E-3</v>
      </c>
      <c r="L128">
        <v>4.8190165455164191E-4</v>
      </c>
      <c r="M128">
        <v>5.001471024606019E-4</v>
      </c>
      <c r="N128">
        <v>5.0560449095837789E-4</v>
      </c>
      <c r="O128">
        <v>5.4612392438491142E-4</v>
      </c>
      <c r="P128">
        <v>5.3573019985209136E-4</v>
      </c>
      <c r="Q128">
        <v>5.4958248556946643E-4</v>
      </c>
      <c r="R128">
        <v>-3.9561187310299673E-5</v>
      </c>
      <c r="S128">
        <v>1.4736330922826557E-3</v>
      </c>
      <c r="T128">
        <v>-2.3370118481635949E-5</v>
      </c>
      <c r="U128">
        <v>2.9270216754975209E-3</v>
      </c>
      <c r="V128">
        <v>2.032171581769493E-3</v>
      </c>
      <c r="W128">
        <v>1.1463131158409023E-3</v>
      </c>
      <c r="X128">
        <v>1.6636063669517309E-3</v>
      </c>
      <c r="Y128">
        <v>2.032171581769493E-3</v>
      </c>
      <c r="Z128">
        <v>-5.9571368328126262E-5</v>
      </c>
      <c r="AA128">
        <v>1.8982268157810012E-3</v>
      </c>
      <c r="AC128">
        <v>5.5062110484589422E-3</v>
      </c>
      <c r="AD128">
        <v>6.9857099166446002E-3</v>
      </c>
      <c r="AE128">
        <v>7.1579190978396934E-3</v>
      </c>
      <c r="AF128">
        <v>5.365381333767516E-3</v>
      </c>
      <c r="AG128">
        <v>8.8893456792811243E-3</v>
      </c>
      <c r="AH128">
        <v>3.8543477339212594E-3</v>
      </c>
      <c r="AI128">
        <v>3.8543477339212594E-3</v>
      </c>
      <c r="AJ128">
        <v>4.1933348046787611E-3</v>
      </c>
      <c r="AK128">
        <v>1.4584023864766316E-2</v>
      </c>
      <c r="AL128">
        <v>4.281064471192364E-3</v>
      </c>
    </row>
    <row r="129" spans="1:38">
      <c r="A129" s="568">
        <v>44018</v>
      </c>
      <c r="B129">
        <v>8.6527218070714393E-5</v>
      </c>
      <c r="C129">
        <v>3.3338487479128709E-4</v>
      </c>
      <c r="D129">
        <v>1.0178658591586398E-4</v>
      </c>
      <c r="E129">
        <v>1.4350532673490513E-4</v>
      </c>
      <c r="F129">
        <v>5.0706001551126256E-4</v>
      </c>
      <c r="G129">
        <v>8.9564377174555787E-4</v>
      </c>
      <c r="H129">
        <v>1.4369789181745141E-4</v>
      </c>
      <c r="I129">
        <v>1.8241642897232069E-4</v>
      </c>
      <c r="J129">
        <v>6.822812988360738E-6</v>
      </c>
      <c r="K129">
        <v>-1.1773634404166344E-4</v>
      </c>
      <c r="L129">
        <v>4.8190165455164191E-4</v>
      </c>
      <c r="M129">
        <v>5.001471024606019E-4</v>
      </c>
      <c r="N129">
        <v>5.0560449095837789E-4</v>
      </c>
      <c r="O129">
        <v>5.4612392438491142E-4</v>
      </c>
      <c r="P129">
        <v>5.3573019985209136E-4</v>
      </c>
      <c r="Q129">
        <v>5.4958248556946643E-4</v>
      </c>
      <c r="R129">
        <v>2.270901991193286E-3</v>
      </c>
      <c r="S129">
        <v>2.5905758967557091E-3</v>
      </c>
      <c r="T129">
        <v>4.4725245835632865E-3</v>
      </c>
      <c r="U129">
        <v>-7.0025468352175047E-4</v>
      </c>
      <c r="V129">
        <v>5.5945290803138814E-3</v>
      </c>
      <c r="W129">
        <v>4.087097871607881E-3</v>
      </c>
      <c r="X129">
        <v>7.0751682587766318E-4</v>
      </c>
      <c r="Y129">
        <v>5.5945290803138814E-3</v>
      </c>
      <c r="Z129">
        <v>3.649224977358978E-3</v>
      </c>
      <c r="AA129">
        <v>2.3213114833415815E-3</v>
      </c>
      <c r="AC129">
        <v>2.2449370820085912E-2</v>
      </c>
      <c r="AD129">
        <v>1.9268463891376486E-2</v>
      </c>
      <c r="AE129">
        <v>2.4547369831642962E-2</v>
      </c>
      <c r="AF129">
        <v>1.6374012073078203E-2</v>
      </c>
      <c r="AG129">
        <v>1.8415180069183634E-2</v>
      </c>
      <c r="AH129">
        <v>1.5714559574060139E-2</v>
      </c>
      <c r="AI129">
        <v>1.5714559574060139E-2</v>
      </c>
      <c r="AJ129">
        <v>7.9670329670329387E-3</v>
      </c>
      <c r="AK129">
        <v>4.3123162365240164E-2</v>
      </c>
      <c r="AL129">
        <v>2.1591663319036059E-2</v>
      </c>
    </row>
    <row r="130" spans="1:38">
      <c r="A130" s="568">
        <v>44019</v>
      </c>
      <c r="B130">
        <v>8.6527218070714393E-5</v>
      </c>
      <c r="C130">
        <v>1.9588388359759179E-4</v>
      </c>
      <c r="D130">
        <v>1.0408932251726455E-4</v>
      </c>
      <c r="E130">
        <v>1.4350532673490513E-4</v>
      </c>
      <c r="F130">
        <v>4.661278845461414E-4</v>
      </c>
      <c r="G130">
        <v>6.8020074212116199E-4</v>
      </c>
      <c r="H130">
        <v>1.4509278506658063E-4</v>
      </c>
      <c r="I130">
        <v>1.8241642897232069E-4</v>
      </c>
      <c r="J130">
        <v>-6.4047518742438303E-4</v>
      </c>
      <c r="K130">
        <v>-1.3637710088721944E-3</v>
      </c>
      <c r="L130">
        <v>4.8190165455164191E-4</v>
      </c>
      <c r="M130">
        <v>5.001471024606019E-4</v>
      </c>
      <c r="N130">
        <v>5.0560449095837789E-4</v>
      </c>
      <c r="O130">
        <v>5.4612392438491142E-4</v>
      </c>
      <c r="P130">
        <v>5.3573019985209136E-4</v>
      </c>
      <c r="Q130">
        <v>5.4958248556946643E-4</v>
      </c>
      <c r="R130">
        <v>-8.1051458465730697E-4</v>
      </c>
      <c r="S130">
        <v>-4.168580013244827E-3</v>
      </c>
      <c r="T130">
        <v>-1.6420494409223885E-3</v>
      </c>
      <c r="U130">
        <v>-2.6706741132860312E-3</v>
      </c>
      <c r="V130">
        <v>-2.3786148160563902E-3</v>
      </c>
      <c r="W130">
        <v>-8.4674054800903953E-4</v>
      </c>
      <c r="X130">
        <v>1.0843468451480209E-3</v>
      </c>
      <c r="Y130">
        <v>-2.3786148160563902E-3</v>
      </c>
      <c r="Z130">
        <v>-2.1881866558363106E-3</v>
      </c>
      <c r="AA130">
        <v>-1.9579749018636683E-3</v>
      </c>
      <c r="AC130">
        <v>-1.1887545589543969E-2</v>
      </c>
      <c r="AD130">
        <v>-3.4241755593656942E-3</v>
      </c>
      <c r="AE130">
        <v>-7.3955769019452555E-3</v>
      </c>
      <c r="AF130">
        <v>-4.9647833626099702E-3</v>
      </c>
      <c r="AG130">
        <v>-6.4957267519568651E-3</v>
      </c>
      <c r="AH130">
        <v>-8.321281912680778E-3</v>
      </c>
      <c r="AI130">
        <v>-8.321281912680778E-3</v>
      </c>
      <c r="AJ130">
        <v>-4.6334150994821188E-3</v>
      </c>
      <c r="AK130">
        <v>-1.0126317987263933E-2</v>
      </c>
      <c r="AL130">
        <v>3.8776693278230745E-4</v>
      </c>
    </row>
    <row r="131" spans="1:38">
      <c r="A131" s="568">
        <v>44020</v>
      </c>
      <c r="B131">
        <v>8.6527218070714393E-5</v>
      </c>
      <c r="C131">
        <v>1.1464128036098309E-4</v>
      </c>
      <c r="D131">
        <v>1.3530203577527544E-4</v>
      </c>
      <c r="E131">
        <v>1.4350532673490513E-4</v>
      </c>
      <c r="F131">
        <v>5.6544830470661722E-4</v>
      </c>
      <c r="G131">
        <v>4.7990393486085914E-4</v>
      </c>
      <c r="H131">
        <v>1.4153340117495361E-4</v>
      </c>
      <c r="I131">
        <v>1.8241642897232069E-4</v>
      </c>
      <c r="J131">
        <v>-1.0608027888574512E-3</v>
      </c>
      <c r="K131">
        <v>-1.5171311033286283E-3</v>
      </c>
      <c r="L131">
        <v>4.8190165455164191E-4</v>
      </c>
      <c r="M131">
        <v>5.001471024606019E-4</v>
      </c>
      <c r="N131">
        <v>5.0560449095837789E-4</v>
      </c>
      <c r="O131">
        <v>5.4612392438491142E-4</v>
      </c>
      <c r="P131">
        <v>5.3573019985209136E-4</v>
      </c>
      <c r="Q131">
        <v>5.4958248556946643E-4</v>
      </c>
      <c r="R131">
        <v>-7.598153793481055E-4</v>
      </c>
      <c r="S131">
        <v>4.8634929903177415E-3</v>
      </c>
      <c r="T131">
        <v>4.5920912483403686E-3</v>
      </c>
      <c r="U131">
        <v>5.0523306476124574E-4</v>
      </c>
      <c r="V131">
        <v>3.9444733368003693E-3</v>
      </c>
      <c r="W131">
        <v>2.0463586628498565E-3</v>
      </c>
      <c r="X131">
        <v>2.1145125096744266E-4</v>
      </c>
      <c r="Y131">
        <v>3.9444733368003693E-3</v>
      </c>
      <c r="Z131">
        <v>-2.448420489605807E-3</v>
      </c>
      <c r="AA131">
        <v>-4.1057513242023225E-3</v>
      </c>
      <c r="AC131">
        <v>2.0548472070264445E-2</v>
      </c>
      <c r="AD131">
        <v>2.0772918625794334E-2</v>
      </c>
      <c r="AE131">
        <v>2.4591505571254002E-2</v>
      </c>
      <c r="AF131">
        <v>1.4998751192044191E-2</v>
      </c>
      <c r="AG131">
        <v>1.1608778000463893E-2</v>
      </c>
      <c r="AH131">
        <v>1.4383930449185111E-2</v>
      </c>
      <c r="AI131">
        <v>1.4383930449185111E-2</v>
      </c>
      <c r="AJ131">
        <v>1.0952902519167917E-3</v>
      </c>
      <c r="AK131">
        <v>3.7966673697532149E-2</v>
      </c>
      <c r="AL131">
        <v>4.0312577755963197E-3</v>
      </c>
    </row>
    <row r="132" spans="1:38">
      <c r="A132" s="568">
        <v>44021</v>
      </c>
      <c r="B132">
        <v>8.6527218070714393E-5</v>
      </c>
      <c r="C132">
        <v>2.3301820583809807E-4</v>
      </c>
      <c r="D132">
        <v>8.9611018802226994E-5</v>
      </c>
      <c r="E132">
        <v>1.4350532673490513E-4</v>
      </c>
      <c r="F132">
        <v>5.4691385989946717E-4</v>
      </c>
      <c r="G132">
        <v>6.4398131410325909E-4</v>
      </c>
      <c r="H132">
        <v>1.4505120661367776E-4</v>
      </c>
      <c r="I132">
        <v>1.8241642897232069E-4</v>
      </c>
      <c r="J132">
        <v>1.1841782162225201E-3</v>
      </c>
      <c r="K132">
        <v>1.496103149363881E-3</v>
      </c>
      <c r="L132">
        <v>4.8190165455164191E-4</v>
      </c>
      <c r="M132">
        <v>5.001471024606019E-4</v>
      </c>
      <c r="N132">
        <v>5.0560449095837789E-4</v>
      </c>
      <c r="O132">
        <v>5.4612392438491142E-4</v>
      </c>
      <c r="P132">
        <v>5.3573019985209136E-4</v>
      </c>
      <c r="Q132">
        <v>5.4958248556946643E-4</v>
      </c>
      <c r="R132">
        <v>5.4690320999251085E-4</v>
      </c>
      <c r="S132">
        <v>-1.1127706142946003E-3</v>
      </c>
      <c r="T132">
        <v>4.0585870142728631E-4</v>
      </c>
      <c r="U132">
        <v>-1.9151018899639105E-3</v>
      </c>
      <c r="V132">
        <v>-3.4534606332070616E-5</v>
      </c>
      <c r="W132">
        <v>7.1787130045541936E-4</v>
      </c>
      <c r="X132">
        <v>1.9590340187696231E-3</v>
      </c>
      <c r="Y132">
        <v>-3.4534606332070616E-5</v>
      </c>
      <c r="Z132">
        <v>-1.8661932874061149E-3</v>
      </c>
      <c r="AA132">
        <v>1.7544599246126502E-3</v>
      </c>
      <c r="AC132">
        <v>-6.1095593179023577E-3</v>
      </c>
      <c r="AD132">
        <v>1.0773324264233164E-2</v>
      </c>
      <c r="AE132">
        <v>-4.6227050257617863E-3</v>
      </c>
      <c r="AF132">
        <v>1.1147754538365362E-4</v>
      </c>
      <c r="AG132">
        <v>-1.3458422788324986E-3</v>
      </c>
      <c r="AH132">
        <v>-4.2766915225316499E-3</v>
      </c>
      <c r="AI132">
        <v>-4.2766915225316499E-3</v>
      </c>
      <c r="AJ132">
        <v>-7.0021881838074895E-3</v>
      </c>
      <c r="AK132">
        <v>1.7476122739280564E-2</v>
      </c>
      <c r="AL132">
        <v>1.0419162051089392E-2</v>
      </c>
    </row>
    <row r="133" spans="1:38">
      <c r="A133" s="568">
        <v>44022</v>
      </c>
      <c r="B133">
        <v>8.6527218070714393E-5</v>
      </c>
      <c r="C133">
        <v>1.1619250707020079E-3</v>
      </c>
      <c r="D133">
        <v>8.3244067559551382E-5</v>
      </c>
      <c r="E133">
        <v>1.4350532673490513E-4</v>
      </c>
      <c r="F133">
        <v>6.8945364649564134E-4</v>
      </c>
      <c r="G133">
        <v>4.4195068969776763E-4</v>
      </c>
      <c r="H133">
        <v>1.4503016981270989E-4</v>
      </c>
      <c r="I133">
        <v>1.8241642897232069E-4</v>
      </c>
      <c r="J133">
        <v>1.925306566011864E-3</v>
      </c>
      <c r="K133">
        <v>3.2910797942431458E-3</v>
      </c>
      <c r="L133">
        <v>4.8190165455164191E-4</v>
      </c>
      <c r="M133">
        <v>5.001471024606019E-4</v>
      </c>
      <c r="N133">
        <v>5.0560449095837789E-4</v>
      </c>
      <c r="O133">
        <v>5.4612392438491142E-4</v>
      </c>
      <c r="P133">
        <v>5.3573019985209136E-4</v>
      </c>
      <c r="Q133">
        <v>5.4958248556946643E-4</v>
      </c>
      <c r="R133">
        <v>2.7264357581913146E-4</v>
      </c>
      <c r="S133">
        <v>2.2201753617137054E-3</v>
      </c>
      <c r="T133">
        <v>-3.0992343867930483E-4</v>
      </c>
      <c r="U133">
        <v>2.9318233500041924E-3</v>
      </c>
      <c r="V133">
        <v>3.0019579141440378E-3</v>
      </c>
      <c r="W133">
        <v>1.1182319276314967E-3</v>
      </c>
      <c r="X133">
        <v>2.9409614512179161E-3</v>
      </c>
      <c r="Y133">
        <v>3.0019579141440378E-3</v>
      </c>
      <c r="Z133">
        <v>4.1224729806643712E-3</v>
      </c>
      <c r="AA133">
        <v>-2.1024764681465413E-4</v>
      </c>
      <c r="AC133">
        <v>8.7884943505129876E-3</v>
      </c>
      <c r="AD133">
        <v>4.2982123034869257E-3</v>
      </c>
      <c r="AE133">
        <v>1.0766706342717036E-2</v>
      </c>
      <c r="AF133">
        <v>6.237386780423293E-3</v>
      </c>
      <c r="AG133">
        <v>4.046940350909134E-3</v>
      </c>
      <c r="AH133">
        <v>6.1519460453590908E-3</v>
      </c>
      <c r="AI133">
        <v>6.1519460453590908E-3</v>
      </c>
      <c r="AJ133">
        <v>7.0515645658879578E-3</v>
      </c>
      <c r="AK133">
        <v>-1.5777910924705374E-2</v>
      </c>
      <c r="AL133">
        <v>-1.1398946857813508E-2</v>
      </c>
    </row>
    <row r="134" spans="1:38">
      <c r="A134" s="568">
        <v>44025</v>
      </c>
      <c r="B134">
        <v>8.6527218070714393E-5</v>
      </c>
      <c r="C134">
        <v>1.6448391702428289E-4</v>
      </c>
      <c r="D134">
        <v>1.5780374185614399E-4</v>
      </c>
      <c r="E134">
        <v>1.4350532673490513E-4</v>
      </c>
      <c r="F134">
        <v>9.5673335500889856E-4</v>
      </c>
      <c r="G134">
        <v>6.270400860490799E-4</v>
      </c>
      <c r="H134">
        <v>1.6269318046768788E-4</v>
      </c>
      <c r="I134">
        <v>1.8241642897232069E-4</v>
      </c>
      <c r="J134">
        <v>6.5809637993252679E-4</v>
      </c>
      <c r="K134">
        <v>7.6458853436389695E-4</v>
      </c>
      <c r="L134">
        <v>4.8190165455164191E-4</v>
      </c>
      <c r="M134">
        <v>5.001471024606019E-4</v>
      </c>
      <c r="N134">
        <v>5.0560449095837789E-4</v>
      </c>
      <c r="O134">
        <v>5.4612392438491142E-4</v>
      </c>
      <c r="P134">
        <v>5.3573019985209136E-4</v>
      </c>
      <c r="Q134">
        <v>5.4958248556946643E-4</v>
      </c>
      <c r="R134">
        <v>1.956704940482501E-3</v>
      </c>
      <c r="S134">
        <v>-6.0253579139699642E-3</v>
      </c>
      <c r="T134">
        <v>2.6545601952987496E-4</v>
      </c>
      <c r="U134">
        <v>-1.6448789326417579E-4</v>
      </c>
      <c r="V134">
        <v>-3.6922164157955351E-3</v>
      </c>
      <c r="W134">
        <v>-2.4968197015173832E-3</v>
      </c>
      <c r="X134">
        <v>1.194056659683751E-3</v>
      </c>
      <c r="Y134">
        <v>-3.6922164157955351E-3</v>
      </c>
      <c r="Z134">
        <v>1.0540495964390661E-3</v>
      </c>
      <c r="AA134">
        <v>4.1986695296056809E-3</v>
      </c>
      <c r="AC134">
        <v>-1.3343156876113427E-2</v>
      </c>
      <c r="AD134">
        <v>-1.4798773571066515E-2</v>
      </c>
      <c r="AE134">
        <v>-8.9921554936339687E-3</v>
      </c>
      <c r="AF134">
        <v>-1.4014600703545765E-2</v>
      </c>
      <c r="AG134">
        <v>-1.2161965566054533E-2</v>
      </c>
      <c r="AH134">
        <v>-9.3402098132793973E-3</v>
      </c>
      <c r="AI134">
        <v>-9.3402098132793973E-3</v>
      </c>
      <c r="AJ134">
        <v>3.1181619256017701E-3</v>
      </c>
      <c r="AK134">
        <v>-4.6672077922078614E-3</v>
      </c>
      <c r="AL134">
        <v>1.2279726527284263E-2</v>
      </c>
    </row>
    <row r="135" spans="1:38">
      <c r="A135" s="568">
        <v>44026</v>
      </c>
      <c r="B135">
        <v>8.6527218070714393E-5</v>
      </c>
      <c r="C135">
        <v>2.232743161429962E-4</v>
      </c>
      <c r="D135">
        <v>1.2599189721829163E-4</v>
      </c>
      <c r="E135">
        <v>1.4350532673490513E-4</v>
      </c>
      <c r="F135">
        <v>4.5577322066692183E-4</v>
      </c>
      <c r="G135">
        <v>4.7254045000366673E-4</v>
      </c>
      <c r="H135">
        <v>1.753971543225763E-4</v>
      </c>
      <c r="I135">
        <v>1.8241642897232069E-4</v>
      </c>
      <c r="J135">
        <v>4.7708898807630185E-4</v>
      </c>
      <c r="K135">
        <v>8.1836547117042358E-4</v>
      </c>
      <c r="L135">
        <v>4.8190165455164191E-4</v>
      </c>
      <c r="M135">
        <v>5.001471024606019E-4</v>
      </c>
      <c r="N135">
        <v>5.0560449095837789E-4</v>
      </c>
      <c r="O135">
        <v>5.4612392438491142E-4</v>
      </c>
      <c r="P135">
        <v>5.3573019985209136E-4</v>
      </c>
      <c r="Q135">
        <v>5.4958248556946643E-4</v>
      </c>
      <c r="R135">
        <v>-5.033340955625798E-4</v>
      </c>
      <c r="S135">
        <v>6.6181440541028813E-3</v>
      </c>
      <c r="T135">
        <v>-1.9280386848384845E-3</v>
      </c>
      <c r="U135">
        <v>2.5979071365256345E-4</v>
      </c>
      <c r="V135">
        <v>2.3314732943957583E-3</v>
      </c>
      <c r="W135">
        <v>1.2037034863385809E-3</v>
      </c>
      <c r="X135">
        <v>2.512582727335344E-3</v>
      </c>
      <c r="Y135">
        <v>2.3314732943957583E-3</v>
      </c>
      <c r="Z135">
        <v>1.4786517053113624E-3</v>
      </c>
      <c r="AA135">
        <v>-1.3004515638055381E-3</v>
      </c>
      <c r="AC135">
        <v>1.7661518995601311E-2</v>
      </c>
      <c r="AD135">
        <v>7.1911140464937517E-3</v>
      </c>
      <c r="AE135">
        <v>1.0878570827820733E-2</v>
      </c>
      <c r="AF135">
        <v>9.0326100556972211E-3</v>
      </c>
      <c r="AG135">
        <v>7.1145420040390484E-3</v>
      </c>
      <c r="AH135">
        <v>1.2363063296920917E-2</v>
      </c>
      <c r="AI135">
        <v>1.2363063296920917E-2</v>
      </c>
      <c r="AJ135">
        <v>8.0711130501172068E-3</v>
      </c>
      <c r="AK135">
        <v>-1.7838939857288461E-2</v>
      </c>
      <c r="AL135">
        <v>-1.8361939729595878E-2</v>
      </c>
    </row>
    <row r="136" spans="1:38">
      <c r="A136" s="568">
        <v>44027</v>
      </c>
      <c r="B136">
        <v>8.6527218070714393E-5</v>
      </c>
      <c r="C136">
        <v>-1.6249652089006528E-4</v>
      </c>
      <c r="D136">
        <v>1.0170541488863094E-4</v>
      </c>
      <c r="E136">
        <v>1.4350532673490513E-4</v>
      </c>
      <c r="F136">
        <v>4.4857838383216553E-4</v>
      </c>
      <c r="G136">
        <v>6.0511893361270275E-4</v>
      </c>
      <c r="H136">
        <v>1.7465927299298301E-4</v>
      </c>
      <c r="I136">
        <v>1.8241642897232069E-4</v>
      </c>
      <c r="J136">
        <v>-6.4699799162126759E-5</v>
      </c>
      <c r="K136">
        <v>-3.2246466738905522E-4</v>
      </c>
      <c r="L136">
        <v>4.8190165455164191E-4</v>
      </c>
      <c r="M136">
        <v>5.001471024606019E-4</v>
      </c>
      <c r="N136">
        <v>5.0560449095837789E-4</v>
      </c>
      <c r="O136">
        <v>5.4612392438491142E-4</v>
      </c>
      <c r="P136">
        <v>5.3573019985209136E-4</v>
      </c>
      <c r="Q136">
        <v>5.4958248556946643E-4</v>
      </c>
      <c r="R136">
        <v>2.2122352056359595E-3</v>
      </c>
      <c r="S136">
        <v>1.5916069484578355E-3</v>
      </c>
      <c r="T136">
        <v>2.6365188503014725E-3</v>
      </c>
      <c r="U136">
        <v>1.9732561427872053E-3</v>
      </c>
      <c r="V136">
        <v>2.9281178885722792E-3</v>
      </c>
      <c r="W136">
        <v>3.0188298780919887E-3</v>
      </c>
      <c r="X136">
        <v>5.1622958262043106E-4</v>
      </c>
      <c r="Y136">
        <v>2.9281178885722792E-3</v>
      </c>
      <c r="Z136">
        <v>1.8682324729883959E-3</v>
      </c>
      <c r="AA136">
        <v>1.7832195511822135E-3</v>
      </c>
      <c r="AC136">
        <v>1.3443820303026044E-2</v>
      </c>
      <c r="AD136">
        <v>1.1314294106267386E-2</v>
      </c>
      <c r="AE136">
        <v>1.0000001005039394E-7</v>
      </c>
      <c r="AF136">
        <v>5.272406751183123E-3</v>
      </c>
      <c r="AG136">
        <v>1.1096078950428634E-2</v>
      </c>
      <c r="AH136">
        <v>9.41067421211823E-3</v>
      </c>
      <c r="AI136">
        <v>9.41067421211823E-3</v>
      </c>
      <c r="AJ136">
        <v>1.5417906410603255E-2</v>
      </c>
      <c r="AK136">
        <v>3.5288012454592899E-3</v>
      </c>
      <c r="AL136">
        <v>1.6807514891923114E-2</v>
      </c>
    </row>
    <row r="137" spans="1:38">
      <c r="A137" s="568">
        <v>44028</v>
      </c>
      <c r="B137">
        <v>8.6527218070714393E-5</v>
      </c>
      <c r="C137">
        <v>2.8833436549891012E-4</v>
      </c>
      <c r="D137">
        <v>1.548538595590454E-4</v>
      </c>
      <c r="E137">
        <v>1.4350532673490513E-4</v>
      </c>
      <c r="F137">
        <v>3.9995437074713536E-4</v>
      </c>
      <c r="G137">
        <v>3.8525227467989254E-4</v>
      </c>
      <c r="H137">
        <v>1.7533577153749924E-4</v>
      </c>
      <c r="I137">
        <v>1.8241642897232069E-4</v>
      </c>
      <c r="J137">
        <v>-1.7733684914034153E-4</v>
      </c>
      <c r="K137">
        <v>-2.3747387808026321E-4</v>
      </c>
      <c r="L137">
        <v>4.8190165455164191E-4</v>
      </c>
      <c r="M137">
        <v>5.001471024606019E-4</v>
      </c>
      <c r="N137">
        <v>5.0560449095837789E-4</v>
      </c>
      <c r="O137">
        <v>5.4612392438491142E-4</v>
      </c>
      <c r="P137">
        <v>5.3573019985209136E-4</v>
      </c>
      <c r="Q137">
        <v>5.4958248556946643E-4</v>
      </c>
      <c r="R137">
        <v>9.3345079638496031E-4</v>
      </c>
      <c r="S137">
        <v>-3.4795931591379281E-3</v>
      </c>
      <c r="T137">
        <v>-4.3931562495702625E-3</v>
      </c>
      <c r="U137">
        <v>-1.099047980725798E-3</v>
      </c>
      <c r="V137">
        <v>-3.4987226885422329E-3</v>
      </c>
      <c r="W137">
        <v>-3.0944843373508224E-3</v>
      </c>
      <c r="X137">
        <v>-1.1584580637610253E-3</v>
      </c>
      <c r="Y137">
        <v>-3.4987226885422329E-3</v>
      </c>
      <c r="Z137">
        <v>-1.4669598854285537E-3</v>
      </c>
      <c r="AA137">
        <v>-7.5134955154099181E-5</v>
      </c>
      <c r="AC137">
        <v>-1.2154375899519065E-2</v>
      </c>
      <c r="AD137">
        <v>-1.1152735597137142E-2</v>
      </c>
      <c r="AE137">
        <v>0</v>
      </c>
      <c r="AF137">
        <v>-7.5457820910819207E-3</v>
      </c>
      <c r="AG137">
        <v>-8.6451113361510901E-3</v>
      </c>
      <c r="AH137">
        <v>-8.5080631296633458E-3</v>
      </c>
      <c r="AI137">
        <v>-8.5080631296633458E-3</v>
      </c>
      <c r="AJ137">
        <v>-1.7048481619605704E-2</v>
      </c>
      <c r="AK137">
        <v>-3.7439238804426567E-2</v>
      </c>
      <c r="AL137">
        <v>-1.9398436845973754E-2</v>
      </c>
    </row>
    <row r="138" spans="1:38">
      <c r="A138" s="568">
        <v>44029</v>
      </c>
      <c r="B138">
        <v>8.6527218070714393E-5</v>
      </c>
      <c r="C138">
        <v>5.355498819656912E-4</v>
      </c>
      <c r="D138">
        <v>3.6396577104191863E-5</v>
      </c>
      <c r="E138">
        <v>1.4350532673490513E-4</v>
      </c>
      <c r="F138">
        <v>7.3489577418639485E-4</v>
      </c>
      <c r="G138">
        <v>-1.6307634892676059E-3</v>
      </c>
      <c r="H138">
        <v>1.7459815915588095E-4</v>
      </c>
      <c r="I138">
        <v>1.8241642897232069E-4</v>
      </c>
      <c r="J138">
        <v>7.6287545274467128E-4</v>
      </c>
      <c r="K138">
        <v>1.1315071516906361E-3</v>
      </c>
      <c r="L138">
        <v>4.8190165455164191E-4</v>
      </c>
      <c r="M138">
        <v>5.001471024606019E-4</v>
      </c>
      <c r="N138">
        <v>5.0560449095837789E-4</v>
      </c>
      <c r="O138">
        <v>5.4612392438491142E-4</v>
      </c>
      <c r="P138">
        <v>5.3573019985209136E-4</v>
      </c>
      <c r="Q138">
        <v>5.4958248556946643E-4</v>
      </c>
      <c r="R138">
        <v>1.0872457358865883E-3</v>
      </c>
      <c r="S138">
        <v>5.3100553837690523E-3</v>
      </c>
      <c r="T138">
        <v>3.4904220719329526E-3</v>
      </c>
      <c r="U138">
        <v>1.8890032363692022E-3</v>
      </c>
      <c r="V138">
        <v>6.7566312381406313E-3</v>
      </c>
      <c r="W138">
        <v>6.0498975855516335E-3</v>
      </c>
      <c r="X138">
        <v>8.927663745130765E-4</v>
      </c>
      <c r="Y138">
        <v>6.7566312381406313E-3</v>
      </c>
      <c r="Z138">
        <v>5.1947240920811044E-3</v>
      </c>
      <c r="AA138">
        <v>-1.6688281161536533E-4</v>
      </c>
      <c r="AC138">
        <v>2.3221515355537736E-2</v>
      </c>
      <c r="AD138">
        <v>2.3924351888714668E-2</v>
      </c>
      <c r="AE138">
        <v>9.2484999999999928E-3</v>
      </c>
      <c r="AF138">
        <v>2.1964614788997805E-2</v>
      </c>
      <c r="AG138">
        <v>3.210691109862629E-2</v>
      </c>
      <c r="AH138">
        <v>1.6255060748876414E-2</v>
      </c>
      <c r="AI138">
        <v>1.6255060748876414E-2</v>
      </c>
      <c r="AJ138">
        <v>1.4905149051490429E-2</v>
      </c>
      <c r="AK138">
        <v>1.0637154829698181E-2</v>
      </c>
      <c r="AL138">
        <v>1.5082839633169254E-2</v>
      </c>
    </row>
    <row r="139" spans="1:38">
      <c r="A139" s="568">
        <v>44032</v>
      </c>
      <c r="B139">
        <v>8.6527218070714393E-5</v>
      </c>
      <c r="C139">
        <v>2.8446378769153569E-4</v>
      </c>
      <c r="D139">
        <v>1.294053420142216E-4</v>
      </c>
      <c r="E139">
        <v>1.4350532673490513E-4</v>
      </c>
      <c r="F139">
        <v>4.3856732194424985E-4</v>
      </c>
      <c r="G139">
        <v>3.449448739607508E-4</v>
      </c>
      <c r="H139">
        <v>1.7456767996004707E-4</v>
      </c>
      <c r="I139">
        <v>1.8241642897232069E-4</v>
      </c>
      <c r="J139">
        <v>6.0805322281143326E-4</v>
      </c>
      <c r="K139">
        <v>-3.1397482306250168E-4</v>
      </c>
      <c r="L139">
        <v>4.8190165455164191E-4</v>
      </c>
      <c r="M139">
        <v>5.001471024606019E-4</v>
      </c>
      <c r="N139">
        <v>5.0560449095837789E-4</v>
      </c>
      <c r="O139">
        <v>5.4612392438491142E-4</v>
      </c>
      <c r="P139">
        <v>5.3573019985209136E-4</v>
      </c>
      <c r="Q139">
        <v>5.4958248556946643E-4</v>
      </c>
      <c r="R139">
        <v>1.9200894514226352E-3</v>
      </c>
      <c r="S139">
        <v>4.8850375478364239E-3</v>
      </c>
      <c r="T139">
        <v>-2.4404433336244757E-3</v>
      </c>
      <c r="U139">
        <v>2.1784323001166062E-3</v>
      </c>
      <c r="V139">
        <v>4.4759477120737134E-3</v>
      </c>
      <c r="W139">
        <v>2.8243715234357314E-3</v>
      </c>
      <c r="X139">
        <v>1.8277669787065687E-3</v>
      </c>
      <c r="Y139">
        <v>4.4759477120737134E-3</v>
      </c>
      <c r="Z139">
        <v>2.7524569684300726E-3</v>
      </c>
      <c r="AA139">
        <v>2.2643260642176699E-3</v>
      </c>
      <c r="AC139">
        <v>1.4949221631614051E-2</v>
      </c>
      <c r="AD139">
        <v>2.7746905263749566E-2</v>
      </c>
      <c r="AE139">
        <v>2.3471721781107346E-2</v>
      </c>
      <c r="AF139">
        <v>1.7435610218509145E-2</v>
      </c>
      <c r="AG139">
        <v>1.6144596394507493E-2</v>
      </c>
      <c r="AH139">
        <v>1.0464455142129835E-2</v>
      </c>
      <c r="AI139">
        <v>1.0464455142129835E-2</v>
      </c>
      <c r="AJ139">
        <v>1.9225634178905437E-3</v>
      </c>
      <c r="AK139">
        <v>1.732936423559428E-2</v>
      </c>
      <c r="AL139">
        <v>2.9267078896995091E-3</v>
      </c>
    </row>
    <row r="140" spans="1:38">
      <c r="A140" s="568">
        <v>44033</v>
      </c>
      <c r="B140">
        <v>8.6527218070714393E-5</v>
      </c>
      <c r="C140">
        <v>7.627497272033601E-5</v>
      </c>
      <c r="D140">
        <v>1.3112148145322244E-4</v>
      </c>
      <c r="E140">
        <v>1.4350532673490513E-4</v>
      </c>
      <c r="F140">
        <v>8.6187419983763114E-4</v>
      </c>
      <c r="G140">
        <v>5.4639181041427065E-4</v>
      </c>
      <c r="H140">
        <v>1.7524383979039548E-4</v>
      </c>
      <c r="I140">
        <v>1.8241642897232069E-4</v>
      </c>
      <c r="J140">
        <v>1.068209744807147E-3</v>
      </c>
      <c r="K140">
        <v>1.2634932701658386E-3</v>
      </c>
      <c r="L140">
        <v>4.8190165455164191E-4</v>
      </c>
      <c r="M140">
        <v>5.001471024606019E-4</v>
      </c>
      <c r="N140">
        <v>5.0560449095837789E-4</v>
      </c>
      <c r="O140">
        <v>5.4612392438491142E-4</v>
      </c>
      <c r="P140">
        <v>5.3573019985209136E-4</v>
      </c>
      <c r="Q140">
        <v>5.4958248556946643E-4</v>
      </c>
      <c r="R140">
        <v>2.4051498040464914E-3</v>
      </c>
      <c r="S140">
        <v>5.0053732988970534E-3</v>
      </c>
      <c r="T140">
        <v>-1.1163712060167086E-3</v>
      </c>
      <c r="U140">
        <v>-1.3888030947339924E-3</v>
      </c>
      <c r="V140">
        <v>-4.0938542325463789E-4</v>
      </c>
      <c r="W140">
        <v>-2.8936984196814564E-4</v>
      </c>
      <c r="X140">
        <v>8.1580467218267394E-4</v>
      </c>
      <c r="Y140">
        <v>-4.0938542325463789E-4</v>
      </c>
      <c r="Z140">
        <v>-1.2566709011760935E-3</v>
      </c>
      <c r="AA140">
        <v>-1.5776274437631077E-3</v>
      </c>
      <c r="AC140">
        <v>-1.1175334972765016E-3</v>
      </c>
      <c r="AD140">
        <v>-1.1314995272185935E-2</v>
      </c>
      <c r="AE140">
        <v>-4.2016103010318329E-3</v>
      </c>
      <c r="AF140">
        <v>-8.7272077215974075E-3</v>
      </c>
      <c r="AG140">
        <v>-9.2997555706321178E-3</v>
      </c>
      <c r="AH140">
        <v>-7.8227344809355108E-4</v>
      </c>
      <c r="AI140">
        <v>-7.8227344809355108E-4</v>
      </c>
      <c r="AJ140">
        <v>-2.3506209690315139E-2</v>
      </c>
      <c r="AK140">
        <v>2.2363883373393234E-2</v>
      </c>
      <c r="AL140">
        <v>-1.4915036093821499E-2</v>
      </c>
    </row>
    <row r="141" spans="1:38">
      <c r="A141" s="568">
        <v>44034</v>
      </c>
      <c r="B141">
        <v>8.6527218070714393E-5</v>
      </c>
      <c r="C141">
        <v>1.7930377303909673E-4</v>
      </c>
      <c r="D141">
        <v>7.3926648593181099E-5</v>
      </c>
      <c r="E141">
        <v>1.4350532673490513E-4</v>
      </c>
      <c r="F141">
        <v>4.3985545615843336E-4</v>
      </c>
      <c r="G141">
        <v>4.8171167748800592E-4</v>
      </c>
      <c r="H141">
        <v>1.738001256164079E-4</v>
      </c>
      <c r="I141">
        <v>1.8241642897232069E-4</v>
      </c>
      <c r="J141">
        <v>1.062000901897342E-3</v>
      </c>
      <c r="K141">
        <v>2.1882104286823356E-3</v>
      </c>
      <c r="L141">
        <v>4.8190165455164191E-4</v>
      </c>
      <c r="M141">
        <v>5.001471024606019E-4</v>
      </c>
      <c r="N141">
        <v>5.0560449095837789E-4</v>
      </c>
      <c r="O141">
        <v>5.4612392438491142E-4</v>
      </c>
      <c r="P141">
        <v>5.3573019985209136E-4</v>
      </c>
      <c r="Q141">
        <v>5.4958248556946643E-4</v>
      </c>
      <c r="R141">
        <v>1.7840532882442695E-3</v>
      </c>
      <c r="S141">
        <v>1.3219200814469367E-3</v>
      </c>
      <c r="T141">
        <v>-3.3461276918766991E-4</v>
      </c>
      <c r="U141">
        <v>1.3526053342118871E-3</v>
      </c>
      <c r="V141">
        <v>7.5609800920428683E-4</v>
      </c>
      <c r="W141">
        <v>-5.6379516682225628E-4</v>
      </c>
      <c r="X141">
        <v>3.7584292519368123E-3</v>
      </c>
      <c r="Y141">
        <v>7.5609800920428683E-4</v>
      </c>
      <c r="Z141">
        <v>9.5945600498748007E-4</v>
      </c>
      <c r="AA141">
        <v>3.3558968444564741E-3</v>
      </c>
      <c r="AC141">
        <v>-1.9269540608390923E-4</v>
      </c>
      <c r="AD141">
        <v>3.0576630085379364E-3</v>
      </c>
      <c r="AE141">
        <v>1.0013637018102539E-3</v>
      </c>
      <c r="AF141">
        <v>1.3918368326162334E-3</v>
      </c>
      <c r="AG141">
        <v>-1.9040981775290122E-3</v>
      </c>
      <c r="AH141">
        <v>-1.3488678425873645E-4</v>
      </c>
      <c r="AI141">
        <v>-1.3488678425873645E-4</v>
      </c>
      <c r="AJ141">
        <v>-1.5556768558951939E-2</v>
      </c>
      <c r="AK141">
        <v>-2.187468056833286E-2</v>
      </c>
      <c r="AL141">
        <v>-8.570094394416472E-3</v>
      </c>
    </row>
    <row r="142" spans="1:38">
      <c r="A142" s="568">
        <v>44035</v>
      </c>
      <c r="B142">
        <v>8.6527218070714393E-5</v>
      </c>
      <c r="C142">
        <v>1.1873608325974061E-4</v>
      </c>
      <c r="D142">
        <v>1.0741672027880789E-4</v>
      </c>
      <c r="E142">
        <v>1.4350532673490513E-4</v>
      </c>
      <c r="F142">
        <v>4.7541072654744276E-4</v>
      </c>
      <c r="G142">
        <v>9.2152680819368449E-4</v>
      </c>
      <c r="H142">
        <v>1.7447630618838694E-4</v>
      </c>
      <c r="I142">
        <v>1.8241642897232069E-4</v>
      </c>
      <c r="J142">
        <v>-1.1808722767181479E-4</v>
      </c>
      <c r="K142">
        <v>-3.6240726101688381E-4</v>
      </c>
      <c r="L142">
        <v>4.8190165455164191E-4</v>
      </c>
      <c r="M142">
        <v>5.001471024606019E-4</v>
      </c>
      <c r="N142">
        <v>5.0560449095837789E-4</v>
      </c>
      <c r="O142">
        <v>5.4612392438491142E-4</v>
      </c>
      <c r="P142">
        <v>5.3573019985209136E-4</v>
      </c>
      <c r="Q142">
        <v>5.4958248556946643E-4</v>
      </c>
      <c r="R142">
        <v>5.9405914825072514E-4</v>
      </c>
      <c r="S142">
        <v>-5.6189509600284016E-3</v>
      </c>
      <c r="T142">
        <v>6.6919189072622842E-4</v>
      </c>
      <c r="U142">
        <v>-2.9981704721228075E-3</v>
      </c>
      <c r="V142">
        <v>-4.0976833136143753E-3</v>
      </c>
      <c r="W142">
        <v>-1.510892909794892E-3</v>
      </c>
      <c r="X142">
        <v>-1.9083112354986165E-3</v>
      </c>
      <c r="Y142">
        <v>-4.0976833136143753E-3</v>
      </c>
      <c r="Z142">
        <v>-2.6225471398717559E-3</v>
      </c>
      <c r="AA142">
        <v>-1.9164522815555696E-3</v>
      </c>
      <c r="AC142">
        <v>-1.91418895076787E-2</v>
      </c>
      <c r="AD142">
        <v>-2.7776589545315256E-2</v>
      </c>
      <c r="AE142">
        <v>-2.1821196854434621E-2</v>
      </c>
      <c r="AF142">
        <v>-1.5862913357843622E-2</v>
      </c>
      <c r="AG142">
        <v>-1.3999989082951303E-2</v>
      </c>
      <c r="AH142">
        <v>-1.3399322655375089E-2</v>
      </c>
      <c r="AI142">
        <v>-1.3399322655375089E-2</v>
      </c>
      <c r="AJ142">
        <v>9.8142500693096935E-3</v>
      </c>
      <c r="AK142">
        <v>6.3747518026961991E-3</v>
      </c>
      <c r="AL142">
        <v>1.6303460991364815E-2</v>
      </c>
    </row>
    <row r="143" spans="1:38">
      <c r="A143" s="568">
        <v>44036</v>
      </c>
      <c r="B143">
        <v>8.6527218070714393E-5</v>
      </c>
      <c r="C143">
        <v>6.5903755037832745E-4</v>
      </c>
      <c r="D143">
        <v>3.984385827138226E-5</v>
      </c>
      <c r="E143">
        <v>1.4350532673490513E-4</v>
      </c>
      <c r="F143">
        <v>6.5894769765062478E-4</v>
      </c>
      <c r="G143">
        <v>2.9526099602228406E-4</v>
      </c>
      <c r="H143">
        <v>1.7444586951720353E-4</v>
      </c>
      <c r="I143">
        <v>1.8241642897232069E-4</v>
      </c>
      <c r="J143">
        <v>-3.9453053971205687E-4</v>
      </c>
      <c r="K143">
        <v>-4.7950469490631864E-4</v>
      </c>
      <c r="L143">
        <v>4.8190165455164191E-4</v>
      </c>
      <c r="M143">
        <v>5.001471024606019E-4</v>
      </c>
      <c r="N143">
        <v>5.0560449095837789E-4</v>
      </c>
      <c r="O143">
        <v>5.4612392438491142E-4</v>
      </c>
      <c r="P143">
        <v>5.3573019985209136E-4</v>
      </c>
      <c r="Q143">
        <v>5.4958248556946643E-4</v>
      </c>
      <c r="R143">
        <v>-1.0332963323508304E-3</v>
      </c>
      <c r="S143">
        <v>2.4124035309551761E-3</v>
      </c>
      <c r="T143">
        <v>-2.6108645437639133E-4</v>
      </c>
      <c r="U143">
        <v>-1.661361554269325E-3</v>
      </c>
      <c r="V143">
        <v>-4.0302505867562122E-4</v>
      </c>
      <c r="W143">
        <v>-2.3938284655899977E-4</v>
      </c>
      <c r="X143">
        <v>-2.4746138961225794E-3</v>
      </c>
      <c r="Y143">
        <v>-4.0302505867562122E-4</v>
      </c>
      <c r="Z143">
        <v>2.0893663679322216E-4</v>
      </c>
      <c r="AA143">
        <v>-6.3692166517770321E-4</v>
      </c>
      <c r="AC143">
        <v>8.6320413946960883E-4</v>
      </c>
      <c r="AD143">
        <v>-6.3473241340412656E-3</v>
      </c>
      <c r="AE143">
        <v>6.36443320403135E-4</v>
      </c>
      <c r="AF143">
        <v>-2.5325779234607326E-3</v>
      </c>
      <c r="AG143">
        <v>-2.2589508033521444E-4</v>
      </c>
      <c r="AH143">
        <v>6.0424289762872618E-4</v>
      </c>
      <c r="AI143">
        <v>6.0424289762872618E-4</v>
      </c>
      <c r="AJ143">
        <v>-7.9068745881836211E-3</v>
      </c>
      <c r="AK143">
        <v>-2.8660436137071588E-2</v>
      </c>
      <c r="AL143">
        <v>-8.8179173243768671E-3</v>
      </c>
    </row>
    <row r="144" spans="1:38">
      <c r="A144" s="568">
        <v>44039</v>
      </c>
      <c r="B144">
        <v>8.6527218070714393E-5</v>
      </c>
      <c r="C144">
        <v>3.563539346889133E-4</v>
      </c>
      <c r="D144">
        <v>4.9081058233646502E-5</v>
      </c>
      <c r="E144">
        <v>1.4350532673490513E-4</v>
      </c>
      <c r="F144">
        <v>4.0948426778131264E-4</v>
      </c>
      <c r="G144">
        <v>7.4778039865774915E-4</v>
      </c>
      <c r="H144">
        <v>1.7370930806492879E-4</v>
      </c>
      <c r="I144">
        <v>1.8241642897232069E-4</v>
      </c>
      <c r="J144">
        <v>1.2681769318549918E-3</v>
      </c>
      <c r="K144">
        <v>2.3694882669973438E-3</v>
      </c>
      <c r="L144">
        <v>4.8190165455164191E-4</v>
      </c>
      <c r="M144">
        <v>5.001471024606019E-4</v>
      </c>
      <c r="N144">
        <v>5.0560449095837789E-4</v>
      </c>
      <c r="O144">
        <v>5.4612392438491142E-4</v>
      </c>
      <c r="P144">
        <v>5.3573019985209136E-4</v>
      </c>
      <c r="Q144">
        <v>5.4958248556946643E-4</v>
      </c>
      <c r="R144">
        <v>5.5851811733820256E-4</v>
      </c>
      <c r="S144">
        <v>9.3169063103597516E-3</v>
      </c>
      <c r="T144">
        <v>3.7546130236840725E-3</v>
      </c>
      <c r="U144">
        <v>1.9810909742885574E-3</v>
      </c>
      <c r="V144">
        <v>4.5431068104437866E-3</v>
      </c>
      <c r="W144">
        <v>2.2487567753992632E-3</v>
      </c>
      <c r="X144">
        <v>2.7947696641976716E-3</v>
      </c>
      <c r="Y144">
        <v>4.5431068104437866E-3</v>
      </c>
      <c r="Z144">
        <v>4.0127127045765931E-3</v>
      </c>
      <c r="AA144">
        <v>3.1624639809324506E-5</v>
      </c>
      <c r="AC144">
        <v>2.0467544949483107E-2</v>
      </c>
      <c r="AD144">
        <v>3.0081060618709632E-3</v>
      </c>
      <c r="AE144">
        <v>1.3256987542972443E-2</v>
      </c>
      <c r="AF144">
        <v>1.29450827703399E-2</v>
      </c>
      <c r="AG144">
        <v>5.6010898131553244E-3</v>
      </c>
      <c r="AH144">
        <v>1.4327281464638174E-2</v>
      </c>
      <c r="AI144">
        <v>1.4327281464638174E-2</v>
      </c>
      <c r="AJ144">
        <v>-5.4239539517380031E-3</v>
      </c>
      <c r="AK144">
        <v>7.4834295488557245E-4</v>
      </c>
      <c r="AL144">
        <v>7.8388972599119366E-3</v>
      </c>
    </row>
    <row r="145" spans="1:38">
      <c r="A145" s="568">
        <v>44040</v>
      </c>
      <c r="B145">
        <v>8.6527218070714393E-5</v>
      </c>
      <c r="C145">
        <v>6.4341973798343055E-4</v>
      </c>
      <c r="D145">
        <v>1.2240792556683644E-4</v>
      </c>
      <c r="E145">
        <v>1.4350532673490513E-4</v>
      </c>
      <c r="F145">
        <v>5.9195625549879338E-4</v>
      </c>
      <c r="G145">
        <v>6.6601709690261579E-4</v>
      </c>
      <c r="H145">
        <v>1.7438515113976649E-4</v>
      </c>
      <c r="I145">
        <v>1.8241642897232069E-4</v>
      </c>
      <c r="J145">
        <v>4.2101279640327505E-5</v>
      </c>
      <c r="K145">
        <v>-3.4447260666692348E-4</v>
      </c>
      <c r="L145">
        <v>4.8190165455164191E-4</v>
      </c>
      <c r="M145">
        <v>5.001471024606019E-4</v>
      </c>
      <c r="N145">
        <v>5.0560449095837789E-4</v>
      </c>
      <c r="O145">
        <v>5.4612392438491142E-4</v>
      </c>
      <c r="P145">
        <v>5.3573019985209136E-4</v>
      </c>
      <c r="Q145">
        <v>5.4958248556946643E-4</v>
      </c>
      <c r="R145">
        <v>2.3941717531972273E-4</v>
      </c>
      <c r="S145">
        <v>7.459282142154855E-4</v>
      </c>
      <c r="T145">
        <v>-1.0566835378096329E-3</v>
      </c>
      <c r="U145">
        <v>1.0977199329569309E-3</v>
      </c>
      <c r="V145">
        <v>-1.7313746065050761E-4</v>
      </c>
      <c r="W145">
        <v>-5.4523345059542816E-4</v>
      </c>
      <c r="X145">
        <v>1.773220828529265E-3</v>
      </c>
      <c r="Y145">
        <v>-1.7313746065050761E-4</v>
      </c>
      <c r="Z145">
        <v>4.7515626272964795E-4</v>
      </c>
      <c r="AA145">
        <v>-1.3669465318133511E-4</v>
      </c>
      <c r="AC145">
        <v>-3.5223029735702571E-3</v>
      </c>
      <c r="AD145">
        <v>-2.0080742726942269E-3</v>
      </c>
      <c r="AE145">
        <v>-3.5294140688882925E-3</v>
      </c>
      <c r="AF145">
        <v>-2.7044923430755707E-3</v>
      </c>
      <c r="AG145">
        <v>-3.3783302239701607E-3</v>
      </c>
      <c r="AH145">
        <v>-2.4656120814991796E-3</v>
      </c>
      <c r="AI145">
        <v>-2.4656120814991796E-3</v>
      </c>
      <c r="AJ145">
        <v>-2.5041736227044975E-3</v>
      </c>
      <c r="AK145">
        <v>1.0148488409358114E-2</v>
      </c>
      <c r="AL145">
        <v>-1.4883730495850234E-2</v>
      </c>
    </row>
    <row r="146" spans="1:38">
      <c r="A146" s="568">
        <v>44041</v>
      </c>
      <c r="B146">
        <v>8.6527218070714393E-5</v>
      </c>
      <c r="C146">
        <v>1.8043994972605226E-4</v>
      </c>
      <c r="D146">
        <v>8.9485406950640112E-5</v>
      </c>
      <c r="E146">
        <v>1.4350532673490513E-4</v>
      </c>
      <c r="F146">
        <v>4.7161703955156398E-4</v>
      </c>
      <c r="G146">
        <v>5.5986855416256809E-4</v>
      </c>
      <c r="H146">
        <v>2.0329622236103795E-4</v>
      </c>
      <c r="I146">
        <v>1.8241642897232069E-4</v>
      </c>
      <c r="J146">
        <v>-2.9011429109304654E-4</v>
      </c>
      <c r="K146">
        <v>-7.2246878412873805E-4</v>
      </c>
      <c r="L146">
        <v>4.8190165455164191E-4</v>
      </c>
      <c r="M146">
        <v>5.001471024606019E-4</v>
      </c>
      <c r="N146">
        <v>5.0560449095837789E-4</v>
      </c>
      <c r="O146">
        <v>5.4612392438491142E-4</v>
      </c>
      <c r="P146">
        <v>5.3573019985209136E-4</v>
      </c>
      <c r="Q146">
        <v>5.4958248556946643E-4</v>
      </c>
      <c r="R146">
        <v>1.6950321119475475E-3</v>
      </c>
      <c r="S146">
        <v>5.1515661545018521E-3</v>
      </c>
      <c r="T146">
        <v>1.7108923032032042E-3</v>
      </c>
      <c r="U146">
        <v>9.3978924266635566E-4</v>
      </c>
      <c r="V146">
        <v>3.2901814060146695E-3</v>
      </c>
      <c r="W146">
        <v>1.9919438231130737E-3</v>
      </c>
      <c r="X146">
        <v>2.8214842877454238E-3</v>
      </c>
      <c r="Y146">
        <v>3.2901814060146695E-3</v>
      </c>
      <c r="Z146">
        <v>7.2309020820937597E-4</v>
      </c>
      <c r="AA146">
        <v>-2.8850699843890881E-3</v>
      </c>
      <c r="AC146">
        <v>1.4370501714067174E-2</v>
      </c>
      <c r="AD146">
        <v>1.7953845607176833E-2</v>
      </c>
      <c r="AE146">
        <v>1.3925019819530426E-2</v>
      </c>
      <c r="AF146">
        <v>9.2378597083362379E-3</v>
      </c>
      <c r="AG146">
        <v>1.1659596463891031E-2</v>
      </c>
      <c r="AH146">
        <v>1.0059351199847022E-2</v>
      </c>
      <c r="AI146">
        <v>1.0059351199847022E-2</v>
      </c>
      <c r="AJ146">
        <v>1.6569037656903651E-2</v>
      </c>
      <c r="AK146">
        <v>9.6235194585447825E-3</v>
      </c>
      <c r="AL146">
        <v>1.5264346845390131E-2</v>
      </c>
    </row>
    <row r="147" spans="1:38">
      <c r="A147" s="568">
        <v>44042</v>
      </c>
      <c r="B147">
        <v>8.6527218070714393E-5</v>
      </c>
      <c r="C147">
        <v>4.4914221159220169E-4</v>
      </c>
      <c r="D147">
        <v>4.791370453172128E-5</v>
      </c>
      <c r="E147">
        <v>1.4350532673490513E-4</v>
      </c>
      <c r="F147">
        <v>6.1401709338371191E-4</v>
      </c>
      <c r="G147">
        <v>5.9995818050051497E-4</v>
      </c>
      <c r="H147">
        <v>1.9055147006930007E-4</v>
      </c>
      <c r="I147">
        <v>1.8241642897232069E-4</v>
      </c>
      <c r="J147">
        <v>1.8790805282165035E-3</v>
      </c>
      <c r="K147">
        <v>2.0963766809716233E-3</v>
      </c>
      <c r="L147">
        <v>4.8190165455164191E-4</v>
      </c>
      <c r="M147">
        <v>5.001471024606019E-4</v>
      </c>
      <c r="N147">
        <v>5.0560449095837789E-4</v>
      </c>
      <c r="O147">
        <v>5.4612392438491142E-4</v>
      </c>
      <c r="P147">
        <v>5.3573019985209136E-4</v>
      </c>
      <c r="Q147">
        <v>5.4958248556946643E-4</v>
      </c>
      <c r="R147">
        <v>-4.5323498090965586E-4</v>
      </c>
      <c r="S147">
        <v>1.2839533277682058E-3</v>
      </c>
      <c r="T147">
        <v>2.0590388359265077E-4</v>
      </c>
      <c r="U147">
        <v>1.6427395181428661E-3</v>
      </c>
      <c r="V147">
        <v>2.4059332405834688E-4</v>
      </c>
      <c r="W147">
        <v>5.8681801270110689E-4</v>
      </c>
      <c r="X147">
        <v>-7.04974976052819E-4</v>
      </c>
      <c r="Y147">
        <v>2.4059332405834688E-4</v>
      </c>
      <c r="Z147">
        <v>3.527860960046425E-4</v>
      </c>
      <c r="AA147">
        <v>1.5096465627286726E-3</v>
      </c>
      <c r="AC147">
        <v>-5.6483961017070872E-3</v>
      </c>
      <c r="AD147">
        <v>5.9916199956544514E-3</v>
      </c>
      <c r="AE147">
        <v>-7.0461509950699996E-3</v>
      </c>
      <c r="AF147">
        <v>-1.3481090566389575E-3</v>
      </c>
      <c r="AG147">
        <v>-3.1629141633536806E-3</v>
      </c>
      <c r="AH147">
        <v>-3.9538772711949612E-3</v>
      </c>
      <c r="AI147">
        <v>-3.9538772711949612E-3</v>
      </c>
      <c r="AJ147">
        <v>-7.7927779607067649E-3</v>
      </c>
      <c r="AK147">
        <v>-3.9803079501413707E-3</v>
      </c>
      <c r="AL147">
        <v>-6.0492246585809317E-3</v>
      </c>
    </row>
    <row r="148" spans="1:38">
      <c r="A148" s="568">
        <v>44043</v>
      </c>
      <c r="B148">
        <v>8.6527218070714393E-5</v>
      </c>
      <c r="C148">
        <v>3.4976701182865E-4</v>
      </c>
      <c r="D148">
        <v>8.8318621259686481E-5</v>
      </c>
      <c r="E148">
        <v>1.4350532673490513E-4</v>
      </c>
      <c r="F148">
        <v>6.6362006131792661E-4</v>
      </c>
      <c r="G148">
        <v>7.1535065741490378E-4</v>
      </c>
      <c r="H148">
        <v>1.8910394366389305E-4</v>
      </c>
      <c r="I148">
        <v>1.8241642897232069E-4</v>
      </c>
      <c r="J148">
        <v>4.5606954217003448E-4</v>
      </c>
      <c r="K148">
        <v>2.3048589042831136E-3</v>
      </c>
      <c r="L148">
        <v>4.8190165455164191E-4</v>
      </c>
      <c r="M148">
        <v>5.001471024606019E-4</v>
      </c>
      <c r="N148">
        <v>5.0560449095837789E-4</v>
      </c>
      <c r="O148">
        <v>5.4612392438491142E-4</v>
      </c>
      <c r="P148">
        <v>5.3573019985209136E-4</v>
      </c>
      <c r="Q148">
        <v>5.4958248556946643E-4</v>
      </c>
      <c r="R148">
        <v>6.8860591083685918E-5</v>
      </c>
      <c r="S148">
        <v>-5.8105937875408964E-3</v>
      </c>
      <c r="T148">
        <v>2.8925078368529089E-3</v>
      </c>
      <c r="U148">
        <v>-3.0529936847926153E-3</v>
      </c>
      <c r="V148">
        <v>-2.1229868228405113E-3</v>
      </c>
      <c r="W148">
        <v>-1.6323812462947229E-3</v>
      </c>
      <c r="X148">
        <v>-3.6897900982632015E-3</v>
      </c>
      <c r="Y148">
        <v>-2.1229868228405113E-3</v>
      </c>
      <c r="Z148">
        <v>-4.5948985557087152E-3</v>
      </c>
      <c r="AA148">
        <v>2.2365136630324578E-3</v>
      </c>
      <c r="AC148">
        <v>-1.9965012422780259E-2</v>
      </c>
      <c r="AD148">
        <v>-1.1581403001147073E-2</v>
      </c>
      <c r="AE148">
        <v>-1.9799860745700615E-2</v>
      </c>
      <c r="AF148">
        <v>-1.0792014072403822E-3</v>
      </c>
      <c r="AG148">
        <v>-1.6824389500258441E-4</v>
      </c>
      <c r="AH148">
        <v>-1.397550869594618E-2</v>
      </c>
      <c r="AI148">
        <v>-1.397550869594618E-2</v>
      </c>
      <c r="AJ148">
        <v>1.5929203539823078E-2</v>
      </c>
      <c r="AK148">
        <v>1.0516352928804373E-3</v>
      </c>
      <c r="AL148">
        <v>5.7863632936066001E-3</v>
      </c>
    </row>
    <row r="149" spans="1:38">
      <c r="A149" s="568">
        <v>44046</v>
      </c>
      <c r="B149">
        <v>8.6527218070714393E-5</v>
      </c>
      <c r="C149">
        <v>5.4299029814974809E-4</v>
      </c>
      <c r="D149">
        <v>7.3303754017928213E-5</v>
      </c>
      <c r="E149">
        <v>1.4350532673490513E-4</v>
      </c>
      <c r="F149">
        <v>6.479184982350894E-4</v>
      </c>
      <c r="G149">
        <v>6.8584720810682676E-4</v>
      </c>
      <c r="H149">
        <v>1.8906819012354248E-4</v>
      </c>
      <c r="I149">
        <v>1.8241642897232069E-4</v>
      </c>
      <c r="J149">
        <v>4.8110789335131798E-4</v>
      </c>
      <c r="K149">
        <v>3.9285640013209111E-4</v>
      </c>
      <c r="L149">
        <v>4.3982953106724842E-4</v>
      </c>
      <c r="M149">
        <v>4.5807421172106011E-4</v>
      </c>
      <c r="N149">
        <v>4.6353137072552286E-4</v>
      </c>
      <c r="O149">
        <v>5.4612392438491142E-4</v>
      </c>
      <c r="P149">
        <v>5.3573019985209136E-4</v>
      </c>
      <c r="Q149">
        <v>5.4958248556946643E-4</v>
      </c>
      <c r="R149">
        <v>4.1963093264607565E-4</v>
      </c>
      <c r="S149">
        <v>-2.8860674865777147E-3</v>
      </c>
      <c r="T149">
        <v>4.070845622957453E-3</v>
      </c>
      <c r="U149">
        <v>-3.2465748635202019E-4</v>
      </c>
      <c r="V149">
        <v>8.8558642589897651E-4</v>
      </c>
      <c r="W149">
        <v>-2.3183548628502582E-4</v>
      </c>
      <c r="X149">
        <v>2.6238191670935329E-4</v>
      </c>
      <c r="Y149">
        <v>8.8558642589897651E-4</v>
      </c>
      <c r="Z149">
        <v>1.0755404920694822E-3</v>
      </c>
      <c r="AA149">
        <v>1.9777639915772305E-3</v>
      </c>
      <c r="AC149">
        <v>-7.9873911936578779E-4</v>
      </c>
      <c r="AD149">
        <v>9.5343559449900805E-3</v>
      </c>
      <c r="AE149">
        <v>5.8954008504086275E-5</v>
      </c>
      <c r="AF149">
        <v>3.4885786762961501E-3</v>
      </c>
      <c r="AG149">
        <v>3.9344841907149597E-3</v>
      </c>
      <c r="AH149">
        <v>-5.5911738355605143E-4</v>
      </c>
      <c r="AI149">
        <v>-5.5911738355605143E-4</v>
      </c>
      <c r="AJ149">
        <v>2.8418989547038365E-2</v>
      </c>
      <c r="AK149">
        <v>1.4812480302552666E-2</v>
      </c>
      <c r="AL149">
        <v>1.8753682493457768E-2</v>
      </c>
    </row>
    <row r="150" spans="1:38">
      <c r="A150" s="568">
        <v>44047</v>
      </c>
      <c r="B150">
        <v>8.6527218070714393E-5</v>
      </c>
      <c r="C150">
        <v>5.1134097229788011E-4</v>
      </c>
      <c r="D150">
        <v>1.3678516763970805E-4</v>
      </c>
      <c r="E150">
        <v>1.4350532673490513E-4</v>
      </c>
      <c r="F150">
        <v>2.2738721917447968E-4</v>
      </c>
      <c r="G150">
        <v>3.0923611411859397E-4</v>
      </c>
      <c r="H150">
        <v>1.9185382995257072E-4</v>
      </c>
      <c r="I150">
        <v>1.8241642897232069E-4</v>
      </c>
      <c r="J150">
        <v>-2.737663469456475E-4</v>
      </c>
      <c r="K150">
        <v>1.7679348087400459E-3</v>
      </c>
      <c r="L150">
        <v>4.3982953106724842E-4</v>
      </c>
      <c r="M150">
        <v>4.5807421172106011E-4</v>
      </c>
      <c r="N150">
        <v>4.6353137072552286E-4</v>
      </c>
      <c r="O150">
        <v>5.4612392438491142E-4</v>
      </c>
      <c r="P150">
        <v>5.3573019985209136E-4</v>
      </c>
      <c r="Q150">
        <v>5.4958248556946643E-4</v>
      </c>
      <c r="R150">
        <v>1.4323801014741733E-3</v>
      </c>
      <c r="S150">
        <v>-2.3769410963381254E-5</v>
      </c>
      <c r="T150">
        <v>1.1707307510533393E-3</v>
      </c>
      <c r="U150">
        <v>-1.2347543670170325E-3</v>
      </c>
      <c r="V150">
        <v>-2.0418527457682911E-3</v>
      </c>
      <c r="W150">
        <v>-3.7485855627727993E-4</v>
      </c>
      <c r="X150">
        <v>1.6677734959829049E-3</v>
      </c>
      <c r="Y150">
        <v>-2.0418527457682911E-3</v>
      </c>
      <c r="Z150">
        <v>-1.3533788747864817E-3</v>
      </c>
      <c r="AA150">
        <v>-2.6941118047529855E-4</v>
      </c>
      <c r="AC150">
        <v>-1.569678109501127E-2</v>
      </c>
      <c r="AD150">
        <v>-8.320190608346989E-3</v>
      </c>
      <c r="AE150">
        <v>-4.2140669116431662E-3</v>
      </c>
      <c r="AF150">
        <v>-1.0683097407036657E-2</v>
      </c>
      <c r="AG150">
        <v>-1.2769808185920439E-2</v>
      </c>
      <c r="AH150">
        <v>-1.0987746766507888E-2</v>
      </c>
      <c r="AI150">
        <v>-1.0987746766507888E-2</v>
      </c>
      <c r="AJ150">
        <v>-4.4997353096876136E-3</v>
      </c>
      <c r="AK150">
        <v>1.5631469979296098E-2</v>
      </c>
      <c r="AL150">
        <v>6.1201801715731197E-3</v>
      </c>
    </row>
    <row r="151" spans="1:38">
      <c r="A151" s="568">
        <v>44048</v>
      </c>
      <c r="B151">
        <v>8.6527218070714393E-5</v>
      </c>
      <c r="C151">
        <v>8.5215044996811429E-5</v>
      </c>
      <c r="D151">
        <v>1.5119330179058643E-4</v>
      </c>
      <c r="E151">
        <v>1.4350532673490513E-4</v>
      </c>
      <c r="F151">
        <v>3.7242364622147583E-4</v>
      </c>
      <c r="G151">
        <v>1.2102861182072822E-3</v>
      </c>
      <c r="H151">
        <v>1.9111181945508093E-4</v>
      </c>
      <c r="I151">
        <v>1.8241642897232069E-4</v>
      </c>
      <c r="J151">
        <v>-2.5622022213800388E-4</v>
      </c>
      <c r="K151">
        <v>-3.5630414211318406E-4</v>
      </c>
      <c r="L151">
        <v>4.3982953106724842E-4</v>
      </c>
      <c r="M151">
        <v>4.5807421172106011E-4</v>
      </c>
      <c r="N151">
        <v>4.6353137072552286E-4</v>
      </c>
      <c r="O151">
        <v>5.4612392438491142E-4</v>
      </c>
      <c r="P151">
        <v>5.3573019985209136E-4</v>
      </c>
      <c r="Q151">
        <v>5.4958248556946643E-4</v>
      </c>
      <c r="R151">
        <v>1.3849445633145052E-3</v>
      </c>
      <c r="S151">
        <v>8.4330592495538426E-3</v>
      </c>
      <c r="T151">
        <v>5.7891480064287126E-3</v>
      </c>
      <c r="U151">
        <v>1.4213744638580383E-3</v>
      </c>
      <c r="V151">
        <v>4.4488046460628983E-3</v>
      </c>
      <c r="W151">
        <v>1.279648186864657E-3</v>
      </c>
      <c r="X151">
        <v>6.7092080469675075E-3</v>
      </c>
      <c r="Y151">
        <v>4.4488046460628983E-3</v>
      </c>
      <c r="Z151">
        <v>5.245985773236761E-4</v>
      </c>
      <c r="AA151">
        <v>1.2050013365898504E-3</v>
      </c>
      <c r="AC151">
        <v>1.5668486868170017E-2</v>
      </c>
      <c r="AD151">
        <v>1.6773314790673455E-2</v>
      </c>
      <c r="AE151">
        <v>9.839600983960084E-3</v>
      </c>
      <c r="AF151">
        <v>6.1495300540825859E-3</v>
      </c>
      <c r="AG151">
        <v>7.8835050049363975E-3</v>
      </c>
      <c r="AH151">
        <v>1.0967940807719012E-2</v>
      </c>
      <c r="AI151">
        <v>1.0967940807719012E-2</v>
      </c>
      <c r="AJ151">
        <v>9.5187450146236863E-3</v>
      </c>
      <c r="AK151">
        <v>1.110997859545404E-2</v>
      </c>
      <c r="AL151">
        <v>1.0162270446964161E-2</v>
      </c>
    </row>
    <row r="152" spans="1:38">
      <c r="A152" s="568">
        <v>44049</v>
      </c>
      <c r="B152">
        <v>7.6559597542130708E-5</v>
      </c>
      <c r="C152">
        <v>3.8397072449192216E-4</v>
      </c>
      <c r="D152">
        <v>6.9815358570979313E-5</v>
      </c>
      <c r="E152">
        <v>1.337802443437397E-4</v>
      </c>
      <c r="F152">
        <v>8.2078218648629075E-4</v>
      </c>
      <c r="G152">
        <v>6.2200708175508268E-4</v>
      </c>
      <c r="H152">
        <v>1.9107530270634498E-4</v>
      </c>
      <c r="I152">
        <v>1.726909682218114E-4</v>
      </c>
      <c r="J152">
        <v>3.3516287158712466E-3</v>
      </c>
      <c r="K152">
        <v>4.6873533481732732E-3</v>
      </c>
      <c r="L152">
        <v>4.3982953106724842E-4</v>
      </c>
      <c r="M152">
        <v>4.5807421172106011E-4</v>
      </c>
      <c r="N152">
        <v>4.6353137072552286E-4</v>
      </c>
      <c r="O152">
        <v>5.4612392438491142E-4</v>
      </c>
      <c r="P152">
        <v>5.3573019985209136E-4</v>
      </c>
      <c r="Q152">
        <v>5.4958248556946643E-4</v>
      </c>
      <c r="R152">
        <v>7.3942850335018129E-4</v>
      </c>
      <c r="S152">
        <v>1.339302412012966E-3</v>
      </c>
      <c r="T152">
        <v>5.4484506253116294E-5</v>
      </c>
      <c r="U152">
        <v>1.9871162148927812E-3</v>
      </c>
      <c r="V152">
        <v>4.2280151049038928E-3</v>
      </c>
      <c r="W152">
        <v>1.7988566982445331E-3</v>
      </c>
      <c r="X152">
        <v>3.515940648721072E-3</v>
      </c>
      <c r="Y152">
        <v>4.2280151049038928E-3</v>
      </c>
      <c r="Z152">
        <v>7.7050737090795796E-3</v>
      </c>
      <c r="AA152">
        <v>-3.9421685989223798E-3</v>
      </c>
      <c r="AC152">
        <v>1.2877206430237598E-2</v>
      </c>
      <c r="AD152">
        <v>1.7727593818673837E-2</v>
      </c>
      <c r="AE152">
        <v>1.4698870464068703E-2</v>
      </c>
      <c r="AF152">
        <v>8.945861140893463E-3</v>
      </c>
      <c r="AG152">
        <v>1.9461606918446117E-2</v>
      </c>
      <c r="AH152">
        <v>9.0140445011663173E-3</v>
      </c>
      <c r="AI152">
        <v>9.0140445011663173E-3</v>
      </c>
      <c r="AJ152">
        <v>1.3485040033712536E-2</v>
      </c>
      <c r="AK152">
        <v>-1.5120967741936164E-3</v>
      </c>
      <c r="AL152">
        <v>1.202048068103112E-2</v>
      </c>
    </row>
    <row r="153" spans="1:38">
      <c r="A153" s="568">
        <v>44050</v>
      </c>
      <c r="B153">
        <v>7.6559597542130708E-5</v>
      </c>
      <c r="C153">
        <v>5.9563056511668933E-5</v>
      </c>
      <c r="D153">
        <v>1.1423533864429736E-4</v>
      </c>
      <c r="E153">
        <v>1.337802443437397E-4</v>
      </c>
      <c r="F153">
        <v>5.7319946372147434E-4</v>
      </c>
      <c r="G153">
        <v>5.7125099397681289E-4</v>
      </c>
      <c r="H153">
        <v>1.8187457703566778E-4</v>
      </c>
      <c r="I153">
        <v>1.726909682218114E-4</v>
      </c>
      <c r="J153">
        <v>-2.8363150883026211E-4</v>
      </c>
      <c r="K153">
        <v>-7.3963249228725658E-4</v>
      </c>
      <c r="L153">
        <v>4.3982953106724842E-4</v>
      </c>
      <c r="M153">
        <v>4.5807421172106011E-4</v>
      </c>
      <c r="N153">
        <v>4.6353137072552286E-4</v>
      </c>
      <c r="O153">
        <v>5.4612392438491142E-4</v>
      </c>
      <c r="P153">
        <v>5.3573019985209136E-4</v>
      </c>
      <c r="Q153">
        <v>5.4958248556946643E-4</v>
      </c>
      <c r="R153">
        <v>4.6713915441354281E-4</v>
      </c>
      <c r="S153">
        <v>-3.6841221234910071E-3</v>
      </c>
      <c r="T153">
        <v>1.0350544137518458E-3</v>
      </c>
      <c r="U153">
        <v>-4.2885299966620716E-3</v>
      </c>
      <c r="V153">
        <v>-3.0841964835998104E-3</v>
      </c>
      <c r="W153">
        <v>-3.259717278646157E-3</v>
      </c>
      <c r="X153">
        <v>-1.4538575227351913E-4</v>
      </c>
      <c r="Y153">
        <v>-3.0841964835998104E-3</v>
      </c>
      <c r="Z153">
        <v>-3.2165593411197513E-3</v>
      </c>
      <c r="AA153">
        <v>-1.0523647807885173E-3</v>
      </c>
      <c r="AC153">
        <v>-1.2966071744124452E-2</v>
      </c>
      <c r="AD153">
        <v>-1.0964464383932504E-2</v>
      </c>
      <c r="AE153">
        <v>-1.1208442025484988E-2</v>
      </c>
      <c r="AF153">
        <v>-9.3879397522217412E-3</v>
      </c>
      <c r="AG153">
        <v>-7.9278327222984668E-3</v>
      </c>
      <c r="AH153">
        <v>-9.0762502208871151E-3</v>
      </c>
      <c r="AI153">
        <v>-9.0762502208871151E-3</v>
      </c>
      <c r="AJ153">
        <v>2.2609147609147673E-2</v>
      </c>
      <c r="AK153">
        <v>-2.7662796567390124E-2</v>
      </c>
      <c r="AL153">
        <v>7.9595786488644293E-3</v>
      </c>
    </row>
    <row r="154" spans="1:38">
      <c r="A154" s="568">
        <v>44053</v>
      </c>
      <c r="B154">
        <v>7.6559597542130708E-5</v>
      </c>
      <c r="C154">
        <v>1.4045499693748908E-4</v>
      </c>
      <c r="D154">
        <v>9.3454601254538971E-5</v>
      </c>
      <c r="E154">
        <v>1.337802443437397E-4</v>
      </c>
      <c r="F154">
        <v>5.7656108526327188E-4</v>
      </c>
      <c r="G154">
        <v>7.5977686469519412E-4</v>
      </c>
      <c r="H154">
        <v>1.8184150468925075E-4</v>
      </c>
      <c r="I154">
        <v>1.726909682218114E-4</v>
      </c>
      <c r="J154">
        <v>-1.06380119151539E-4</v>
      </c>
      <c r="K154">
        <v>-2.9636900317064896E-4</v>
      </c>
      <c r="L154">
        <v>4.3982953106724842E-4</v>
      </c>
      <c r="M154">
        <v>4.5807421172106011E-4</v>
      </c>
      <c r="N154">
        <v>4.6353137072552286E-4</v>
      </c>
      <c r="O154">
        <v>5.4612392438491142E-4</v>
      </c>
      <c r="P154">
        <v>5.3573019985209136E-4</v>
      </c>
      <c r="Q154">
        <v>5.4958248556946643E-4</v>
      </c>
      <c r="R154">
        <v>1.8431093578219482E-4</v>
      </c>
      <c r="S154">
        <v>3.503070775713546E-3</v>
      </c>
      <c r="T154">
        <v>-2.2053888529351973E-3</v>
      </c>
      <c r="U154">
        <v>-2.085864875486676E-3</v>
      </c>
      <c r="V154">
        <v>-5.7909770317332576E-4</v>
      </c>
      <c r="W154">
        <v>-9.0016799646908119E-4</v>
      </c>
      <c r="X154">
        <v>1.1880231625576165E-3</v>
      </c>
      <c r="Y154">
        <v>-5.7909770317332576E-4</v>
      </c>
      <c r="Z154">
        <v>9.9559703132934274E-4</v>
      </c>
      <c r="AA154">
        <v>4.0014415674813897E-3</v>
      </c>
      <c r="AC154">
        <v>6.5093334500927469E-3</v>
      </c>
      <c r="AD154">
        <v>-8.1546224754979191E-3</v>
      </c>
      <c r="AE154">
        <v>3.0571520134416996E-3</v>
      </c>
      <c r="AF154">
        <v>-1.0022475741966463E-4</v>
      </c>
      <c r="AG154">
        <v>3.4267225044584126E-3</v>
      </c>
      <c r="AH154">
        <v>4.5565334150649223E-3</v>
      </c>
      <c r="AI154">
        <v>4.5565334150649223E-3</v>
      </c>
      <c r="AJ154">
        <v>8.3354510800508486E-3</v>
      </c>
      <c r="AK154">
        <v>-1.3394247741667642E-2</v>
      </c>
      <c r="AL154">
        <v>-2.6312064614358865E-3</v>
      </c>
    </row>
    <row r="155" spans="1:38">
      <c r="A155" s="568">
        <v>44054</v>
      </c>
      <c r="B155">
        <v>7.6559597542130708E-5</v>
      </c>
      <c r="C155">
        <v>1.2638716896229418E-4</v>
      </c>
      <c r="D155">
        <v>1.315164072486219E-4</v>
      </c>
      <c r="E155">
        <v>1.337802443437397E-4</v>
      </c>
      <c r="F155">
        <v>3.3421273539535612E-4</v>
      </c>
      <c r="G155">
        <v>7.1117954803190386E-4</v>
      </c>
      <c r="H155">
        <v>1.79694392689278E-4</v>
      </c>
      <c r="I155">
        <v>1.726909682218114E-4</v>
      </c>
      <c r="J155">
        <v>-1.4191857768319771E-4</v>
      </c>
      <c r="K155">
        <v>-3.258984912107854E-4</v>
      </c>
      <c r="L155">
        <v>4.3982953106724842E-4</v>
      </c>
      <c r="M155">
        <v>4.5807421172106011E-4</v>
      </c>
      <c r="N155">
        <v>4.6353137072552286E-4</v>
      </c>
      <c r="O155">
        <v>5.4612392438491142E-4</v>
      </c>
      <c r="P155">
        <v>5.3573019985209136E-4</v>
      </c>
      <c r="Q155">
        <v>5.4958248556946643E-4</v>
      </c>
      <c r="R155">
        <v>1.675303976179876E-3</v>
      </c>
      <c r="S155">
        <v>-6.079155075761844E-3</v>
      </c>
      <c r="T155">
        <v>-6.2367905529726597E-3</v>
      </c>
      <c r="U155">
        <v>-5.6058197280635103E-3</v>
      </c>
      <c r="V155">
        <v>-3.6854042851959257E-3</v>
      </c>
      <c r="W155">
        <v>-1.8770396436593728E-3</v>
      </c>
      <c r="X155">
        <v>3.5362930603000109E-4</v>
      </c>
      <c r="Y155">
        <v>-3.6854042851959257E-3</v>
      </c>
      <c r="Z155">
        <v>-2.5819149215191572E-3</v>
      </c>
      <c r="AA155">
        <v>2.7672199519905849E-3</v>
      </c>
      <c r="AC155">
        <v>-1.2278081483307557E-2</v>
      </c>
      <c r="AD155">
        <v>-3.9605561134005152E-3</v>
      </c>
      <c r="AE155">
        <v>-8.2776129853583402E-3</v>
      </c>
      <c r="AF155">
        <v>-9.9734990064962448E-3</v>
      </c>
      <c r="AG155">
        <v>-1.193317628619639E-2</v>
      </c>
      <c r="AH155">
        <v>-8.5946570383152888E-3</v>
      </c>
      <c r="AI155">
        <v>-8.5946570383152888E-3</v>
      </c>
      <c r="AJ155">
        <v>-1.80956701446644E-2</v>
      </c>
      <c r="AK155">
        <v>5.4725320985056225E-3</v>
      </c>
      <c r="AL155">
        <v>-1.255274527276995E-2</v>
      </c>
    </row>
    <row r="156" spans="1:38">
      <c r="A156" s="568">
        <v>44055</v>
      </c>
      <c r="B156">
        <v>7.6559597542130708E-5</v>
      </c>
      <c r="C156">
        <v>-2.9986851081464927E-5</v>
      </c>
      <c r="D156">
        <v>1.0496859016817517E-4</v>
      </c>
      <c r="E156">
        <v>1.337802443437397E-4</v>
      </c>
      <c r="F156">
        <v>1.9953898659985647E-4</v>
      </c>
      <c r="G156">
        <v>3.8587384463406593E-4</v>
      </c>
      <c r="H156">
        <v>1.7966210841602326E-4</v>
      </c>
      <c r="I156">
        <v>1.726909682218114E-4</v>
      </c>
      <c r="J156">
        <v>-1.5949580021943355E-3</v>
      </c>
      <c r="K156">
        <v>-2.5024641824883398E-3</v>
      </c>
      <c r="L156">
        <v>4.3982953106724842E-4</v>
      </c>
      <c r="M156">
        <v>4.5807421172106011E-4</v>
      </c>
      <c r="N156">
        <v>4.6353137072552286E-4</v>
      </c>
      <c r="O156">
        <v>5.4612392438491142E-4</v>
      </c>
      <c r="P156">
        <v>5.3573019985209136E-4</v>
      </c>
      <c r="Q156">
        <v>5.4958248556946643E-4</v>
      </c>
      <c r="R156">
        <v>-5.1059401901409895E-4</v>
      </c>
      <c r="S156">
        <v>5.5762781986736787E-3</v>
      </c>
      <c r="T156">
        <v>6.000824527164772E-3</v>
      </c>
      <c r="U156">
        <v>-1.8181230138059057E-4</v>
      </c>
      <c r="V156">
        <v>4.479711621838689E-4</v>
      </c>
      <c r="W156">
        <v>-1.5627678718244109E-4</v>
      </c>
      <c r="X156">
        <v>5.1376693356997016E-4</v>
      </c>
      <c r="Y156">
        <v>4.479711621838689E-4</v>
      </c>
      <c r="Z156">
        <v>-8.9586491955384595E-4</v>
      </c>
      <c r="AA156">
        <v>-3.4454246598381033E-4</v>
      </c>
      <c r="AC156">
        <v>-5.5395480668340991E-4</v>
      </c>
      <c r="AD156">
        <v>-9.1843810080147747E-3</v>
      </c>
      <c r="AE156">
        <v>-1.9214533751887863E-3</v>
      </c>
      <c r="AF156">
        <v>5.7833095080273011E-4</v>
      </c>
      <c r="AG156">
        <v>-7.8401728282844196E-3</v>
      </c>
      <c r="AH156">
        <v>-3.8776836467838691E-4</v>
      </c>
      <c r="AI156">
        <v>-3.8776836467838691E-4</v>
      </c>
      <c r="AJ156">
        <v>1.848049281314168E-2</v>
      </c>
      <c r="AK156">
        <v>6.9081013188192486E-3</v>
      </c>
      <c r="AL156">
        <v>1.7934607698636862E-2</v>
      </c>
    </row>
    <row r="157" spans="1:38">
      <c r="A157" s="568">
        <v>44056</v>
      </c>
      <c r="B157">
        <v>7.6559597542130708E-5</v>
      </c>
      <c r="C157">
        <v>1.2630177903960593E-4</v>
      </c>
      <c r="D157">
        <v>1.3667552077967215E-4</v>
      </c>
      <c r="E157">
        <v>1.337802443437397E-4</v>
      </c>
      <c r="F157">
        <v>1.8383411620259693E-4</v>
      </c>
      <c r="G157">
        <v>1.9603393032174843E-4</v>
      </c>
      <c r="H157">
        <v>1.8033426646923978E-4</v>
      </c>
      <c r="I157">
        <v>1.726909682218114E-4</v>
      </c>
      <c r="J157">
        <v>-2.3789402506468882E-5</v>
      </c>
      <c r="K157">
        <v>2.0046298026232812E-4</v>
      </c>
      <c r="L157">
        <v>4.3982953106724842E-4</v>
      </c>
      <c r="M157">
        <v>4.5807421172106011E-4</v>
      </c>
      <c r="N157">
        <v>4.6353137072552286E-4</v>
      </c>
      <c r="O157">
        <v>5.4612392438491142E-4</v>
      </c>
      <c r="P157">
        <v>5.3573019985209136E-4</v>
      </c>
      <c r="Q157">
        <v>5.4958248556946643E-4</v>
      </c>
      <c r="R157">
        <v>-2.3960449113102911E-4</v>
      </c>
      <c r="S157">
        <v>-3.3548927891887681E-3</v>
      </c>
      <c r="T157">
        <v>1.0605101588700983E-4</v>
      </c>
      <c r="U157">
        <v>-1.9607530052700994E-5</v>
      </c>
      <c r="V157">
        <v>-1.9665245671551812E-3</v>
      </c>
      <c r="W157">
        <v>-7.6750894357879851E-4</v>
      </c>
      <c r="X157">
        <v>1.7860357542198724E-3</v>
      </c>
      <c r="Y157">
        <v>-1.9665245671551812E-3</v>
      </c>
      <c r="Z157">
        <v>-3.0657021699113107E-3</v>
      </c>
      <c r="AA157">
        <v>4.005445987893097E-3</v>
      </c>
      <c r="AC157">
        <v>-1.6228316708742252E-2</v>
      </c>
      <c r="AD157">
        <v>-1.9180032764399835E-3</v>
      </c>
      <c r="AE157">
        <v>-5.911150525629405E-3</v>
      </c>
      <c r="AF157">
        <v>-3.1280682036083363E-4</v>
      </c>
      <c r="AG157">
        <v>-1.4410452878247826E-2</v>
      </c>
      <c r="AH157">
        <v>-1.1359821696119576E-2</v>
      </c>
      <c r="AI157">
        <v>-1.1359821696119576E-2</v>
      </c>
      <c r="AJ157">
        <v>-1.2096774193548376E-2</v>
      </c>
      <c r="AK157">
        <v>-3.4303534303533612E-3</v>
      </c>
      <c r="AL157">
        <v>-8.1631886020966382E-3</v>
      </c>
    </row>
    <row r="158" spans="1:38">
      <c r="A158" s="568">
        <v>44057</v>
      </c>
      <c r="B158">
        <v>7.6559597542130708E-5</v>
      </c>
      <c r="C158">
        <v>1.4518020920073482E-4</v>
      </c>
      <c r="D158">
        <v>8.9374728632352074E-5</v>
      </c>
      <c r="E158">
        <v>1.337802443437397E-4</v>
      </c>
      <c r="F158">
        <v>2.4598840814182843E-4</v>
      </c>
      <c r="G158">
        <v>3.1866610490527414E-4</v>
      </c>
      <c r="H158">
        <v>1.7959744816664625E-4</v>
      </c>
      <c r="I158">
        <v>1.726909682218114E-4</v>
      </c>
      <c r="J158">
        <v>1.3522218070094461E-4</v>
      </c>
      <c r="K158">
        <v>2.5489459450533936E-4</v>
      </c>
      <c r="L158">
        <v>4.3982953106724842E-4</v>
      </c>
      <c r="M158">
        <v>4.5807421172106011E-4</v>
      </c>
      <c r="N158">
        <v>4.6353137072552286E-4</v>
      </c>
      <c r="O158">
        <v>5.4612392438491142E-4</v>
      </c>
      <c r="P158">
        <v>5.3573019985209136E-4</v>
      </c>
      <c r="Q158">
        <v>5.4958248556946643E-4</v>
      </c>
      <c r="R158">
        <v>-4.0697306355108598E-4</v>
      </c>
      <c r="S158">
        <v>2.8387216437648632E-3</v>
      </c>
      <c r="T158">
        <v>3.7173094276885532E-3</v>
      </c>
      <c r="U158">
        <v>3.2853598540438789E-4</v>
      </c>
      <c r="V158">
        <v>1.7001582091666911E-3</v>
      </c>
      <c r="W158">
        <v>1.9768613255417566E-3</v>
      </c>
      <c r="X158">
        <v>9.410035325987387E-4</v>
      </c>
      <c r="Y158">
        <v>1.7001582091666911E-3</v>
      </c>
      <c r="Z158">
        <v>-1.2667018154419729E-3</v>
      </c>
      <c r="AA158">
        <v>-4.748489163720615E-3</v>
      </c>
      <c r="AC158">
        <v>8.8880615883242253E-3</v>
      </c>
      <c r="AD158">
        <v>1.7518265589120396E-3</v>
      </c>
      <c r="AE158">
        <v>0</v>
      </c>
      <c r="AF158">
        <v>2.8971164586224507E-3</v>
      </c>
      <c r="AG158">
        <v>1.3310334733672047E-2</v>
      </c>
      <c r="AH158">
        <v>6.2216431118269572E-3</v>
      </c>
      <c r="AI158">
        <v>6.2216431118269572E-3</v>
      </c>
      <c r="AJ158">
        <v>9.1836734693877542E-3</v>
      </c>
      <c r="AK158">
        <v>3.1292375091274138E-4</v>
      </c>
      <c r="AL158">
        <v>7.3566766547270568E-3</v>
      </c>
    </row>
    <row r="159" spans="1:38">
      <c r="A159" s="568">
        <v>44060</v>
      </c>
      <c r="B159">
        <v>7.6559597542130708E-5</v>
      </c>
      <c r="C159">
        <v>1.4701627900182146E-4</v>
      </c>
      <c r="D159">
        <v>1.153119245214107E-4</v>
      </c>
      <c r="E159">
        <v>1.337802443437397E-4</v>
      </c>
      <c r="F159">
        <v>6.2955703501188509E-4</v>
      </c>
      <c r="G159">
        <v>3.8859728958584583E-4</v>
      </c>
      <c r="H159">
        <v>1.7956519871531462E-4</v>
      </c>
      <c r="I159">
        <v>1.726909682218114E-4</v>
      </c>
      <c r="J159">
        <v>-8.3662763990133282E-4</v>
      </c>
      <c r="K159">
        <v>-1.4393055582225811E-3</v>
      </c>
      <c r="L159">
        <v>4.3982953106724842E-4</v>
      </c>
      <c r="M159">
        <v>4.5807421172106011E-4</v>
      </c>
      <c r="N159">
        <v>4.6353137072552286E-4</v>
      </c>
      <c r="O159">
        <v>5.4612392438491142E-4</v>
      </c>
      <c r="P159">
        <v>5.3573019985209136E-4</v>
      </c>
      <c r="Q159">
        <v>5.4958248556946643E-4</v>
      </c>
      <c r="R159">
        <v>-1.3894417933757452E-4</v>
      </c>
      <c r="S159">
        <v>8.6060583344438335E-4</v>
      </c>
      <c r="T159">
        <v>1.8654538347782079E-3</v>
      </c>
      <c r="U159">
        <v>-2.1023201943076719E-3</v>
      </c>
      <c r="V159">
        <v>-2.0875405001191671E-3</v>
      </c>
      <c r="W159">
        <v>2.1028607644058006E-4</v>
      </c>
      <c r="X159">
        <v>-1.1580926630374577E-3</v>
      </c>
      <c r="Y159">
        <v>-2.0875405001191671E-3</v>
      </c>
      <c r="Z159">
        <v>-4.0946613131920273E-5</v>
      </c>
      <c r="AA159">
        <v>2.2023324272462119E-3</v>
      </c>
      <c r="AC159">
        <v>-1.7346120262250353E-2</v>
      </c>
      <c r="AD159">
        <v>-2.2416698579269867E-2</v>
      </c>
      <c r="AE159">
        <v>-5.4731999999999559E-3</v>
      </c>
      <c r="AF159">
        <v>-3.808674827764813E-3</v>
      </c>
      <c r="AG159">
        <v>-1.7718642903074011E-2</v>
      </c>
      <c r="AH159">
        <v>-1.2142284183575247E-2</v>
      </c>
      <c r="AI159">
        <v>-1.2142284183575247E-2</v>
      </c>
      <c r="AJ159">
        <v>1.6683518705763234E-2</v>
      </c>
      <c r="AK159">
        <v>1.3972888425443086E-2</v>
      </c>
      <c r="AL159">
        <v>1.5621083704448813E-2</v>
      </c>
    </row>
    <row r="160" spans="1:38">
      <c r="A160" s="568">
        <v>44061</v>
      </c>
      <c r="B160">
        <v>7.6559597542130708E-5</v>
      </c>
      <c r="C160">
        <v>9.2580114358198351E-4</v>
      </c>
      <c r="D160">
        <v>7.4944108989782876E-6</v>
      </c>
      <c r="E160">
        <v>1.337802443437397E-4</v>
      </c>
      <c r="F160">
        <v>1.4645136199307185E-3</v>
      </c>
      <c r="G160">
        <v>1.1565264480672965E-4</v>
      </c>
      <c r="H160">
        <v>1.8938967241921567E-4</v>
      </c>
      <c r="I160">
        <v>1.726909682218114E-4</v>
      </c>
      <c r="J160">
        <v>2.4409454142593212E-3</v>
      </c>
      <c r="K160">
        <v>3.9206890235612413E-3</v>
      </c>
      <c r="L160">
        <v>4.3982953106724842E-4</v>
      </c>
      <c r="M160">
        <v>4.5807421172106011E-4</v>
      </c>
      <c r="N160">
        <v>4.6353137072552286E-4</v>
      </c>
      <c r="O160">
        <v>5.4612392438491142E-4</v>
      </c>
      <c r="P160">
        <v>5.3573019985209136E-4</v>
      </c>
      <c r="Q160">
        <v>5.4958248556946643E-4</v>
      </c>
      <c r="R160">
        <v>3.264026101867934E-4</v>
      </c>
      <c r="S160">
        <v>7.650892511456675E-3</v>
      </c>
      <c r="T160">
        <v>3.2054887796091336E-3</v>
      </c>
      <c r="U160">
        <v>3.7933752975838342E-3</v>
      </c>
      <c r="V160">
        <v>6.0709936166638556E-3</v>
      </c>
      <c r="W160">
        <v>1.8141368726958262E-3</v>
      </c>
      <c r="X160">
        <v>3.9047707110240193E-3</v>
      </c>
      <c r="Y160">
        <v>6.0709936166638556E-3</v>
      </c>
      <c r="Z160">
        <v>3.6055228357987357E-3</v>
      </c>
      <c r="AA160">
        <v>2.3633660740909335E-3</v>
      </c>
      <c r="AC160">
        <v>2.4800239288135684E-2</v>
      </c>
      <c r="AD160">
        <v>3.8231444287367022E-2</v>
      </c>
      <c r="AE160">
        <v>1.5225331283179155E-2</v>
      </c>
      <c r="AF160">
        <v>1.5681503329516122E-2</v>
      </c>
      <c r="AG160">
        <v>1.8112318855446174E-2</v>
      </c>
      <c r="AH160">
        <v>1.7360167501694976E-2</v>
      </c>
      <c r="AI160">
        <v>1.7360167501694976E-2</v>
      </c>
      <c r="AJ160">
        <v>-3.7792143212331819E-3</v>
      </c>
      <c r="AK160">
        <v>1.1209378856437802E-2</v>
      </c>
      <c r="AL160">
        <v>-6.2283752864538133E-3</v>
      </c>
    </row>
    <row r="161" spans="1:38">
      <c r="A161" s="568">
        <v>44062</v>
      </c>
      <c r="B161">
        <v>7.6559597542130708E-5</v>
      </c>
      <c r="C161">
        <v>-2.5860657589782399E-4</v>
      </c>
      <c r="D161">
        <v>1.9715917836515828E-4</v>
      </c>
      <c r="E161">
        <v>1.337802443437397E-4</v>
      </c>
      <c r="F161">
        <v>3.8650371314719045E-4</v>
      </c>
      <c r="G161">
        <v>5.9393834387355682E-4</v>
      </c>
      <c r="H161">
        <v>1.8794597573879024E-4</v>
      </c>
      <c r="I161">
        <v>1.726909682218114E-4</v>
      </c>
      <c r="J161">
        <v>-1.1022246642218292E-3</v>
      </c>
      <c r="K161">
        <v>-1.5616922212136064E-3</v>
      </c>
      <c r="L161">
        <v>4.3982953106724842E-4</v>
      </c>
      <c r="M161">
        <v>4.5807421172106011E-4</v>
      </c>
      <c r="N161">
        <v>4.6353137072552286E-4</v>
      </c>
      <c r="O161">
        <v>5.4612392438491142E-4</v>
      </c>
      <c r="P161">
        <v>5.3573019985209136E-4</v>
      </c>
      <c r="Q161">
        <v>5.4958248556946643E-4</v>
      </c>
      <c r="R161">
        <v>9.0393713404757214E-4</v>
      </c>
      <c r="S161">
        <v>-6.510549375074226E-3</v>
      </c>
      <c r="T161">
        <v>-4.6819846149246391E-3</v>
      </c>
      <c r="U161">
        <v>-5.7945995290173968E-3</v>
      </c>
      <c r="V161">
        <v>-3.3732928085989933E-3</v>
      </c>
      <c r="W161">
        <v>-2.5113577900052197E-3</v>
      </c>
      <c r="X161">
        <v>-3.3288767944760211E-3</v>
      </c>
      <c r="Y161">
        <v>-3.3732928085989933E-3</v>
      </c>
      <c r="Z161">
        <v>-1.0980165719933765E-3</v>
      </c>
      <c r="AA161">
        <v>2.4672588291358988E-3</v>
      </c>
      <c r="AC161">
        <v>-1.1871799845981079E-2</v>
      </c>
      <c r="AD161">
        <v>-6.8687342715182398E-3</v>
      </c>
      <c r="AE161">
        <v>-8.3957234293067229E-3</v>
      </c>
      <c r="AF161">
        <v>-3.1200498861349013E-3</v>
      </c>
      <c r="AG161">
        <v>-1.008574574027854E-2</v>
      </c>
      <c r="AH161">
        <v>-8.3102598921867554E-3</v>
      </c>
      <c r="AI161">
        <v>-8.3102598921867554E-3</v>
      </c>
      <c r="AJ161">
        <v>1.0032943995208043E-2</v>
      </c>
      <c r="AK161">
        <v>-7.5256788365706262E-3</v>
      </c>
      <c r="AL161">
        <v>5.1953428967490556E-3</v>
      </c>
    </row>
    <row r="162" spans="1:38">
      <c r="A162" s="568">
        <v>44063</v>
      </c>
      <c r="B162">
        <v>7.6559597542130708E-5</v>
      </c>
      <c r="C162">
        <v>3.249917979630812E-4</v>
      </c>
      <c r="D162">
        <v>1.5619767593988421E-4</v>
      </c>
      <c r="E162">
        <v>1.337802443437397E-4</v>
      </c>
      <c r="F162">
        <v>4.0059574835615841E-4</v>
      </c>
      <c r="G162">
        <v>3.024823739947724E-4</v>
      </c>
      <c r="H162">
        <v>1.886144439253723E-4</v>
      </c>
      <c r="I162">
        <v>1.726909682218114E-4</v>
      </c>
      <c r="J162">
        <v>7.1457855319057018E-4</v>
      </c>
      <c r="K162">
        <v>6.7009129982720239E-4</v>
      </c>
      <c r="L162">
        <v>4.3982953106724842E-4</v>
      </c>
      <c r="M162">
        <v>4.5807421172106011E-4</v>
      </c>
      <c r="N162">
        <v>4.6353137072552286E-4</v>
      </c>
      <c r="O162">
        <v>5.4612392438491142E-4</v>
      </c>
      <c r="P162">
        <v>5.3573019985209136E-4</v>
      </c>
      <c r="Q162">
        <v>5.4958248556946643E-4</v>
      </c>
      <c r="R162">
        <v>-4.0411265318029965E-4</v>
      </c>
      <c r="S162">
        <v>-1.8753340642996275E-3</v>
      </c>
      <c r="T162">
        <v>-1.1178485270191274E-4</v>
      </c>
      <c r="U162">
        <v>9.8271777064828925E-4</v>
      </c>
      <c r="V162">
        <v>1.3559783462300246E-3</v>
      </c>
      <c r="W162">
        <v>-1.2588402933799703E-4</v>
      </c>
      <c r="X162">
        <v>-1.8208762837526038E-3</v>
      </c>
      <c r="Y162">
        <v>1.3559783462300246E-3</v>
      </c>
      <c r="Z162">
        <v>-1.3993643013454626E-3</v>
      </c>
      <c r="AA162">
        <v>-8.1455601460611593E-4</v>
      </c>
      <c r="AC162">
        <v>6.0900095881459837E-3</v>
      </c>
      <c r="AD162">
        <v>4.840399366615733E-3</v>
      </c>
      <c r="AE162">
        <v>6.2390636600235805E-3</v>
      </c>
      <c r="AF162">
        <v>4.8859669393588323E-3</v>
      </c>
      <c r="AG162">
        <v>5.746322506987589E-3</v>
      </c>
      <c r="AH162">
        <v>4.2630067117021882E-3</v>
      </c>
      <c r="AI162">
        <v>4.2630067117021882E-3</v>
      </c>
      <c r="AJ162">
        <v>3.2122559920928495E-3</v>
      </c>
      <c r="AK162">
        <v>-7.2753355876628012E-3</v>
      </c>
      <c r="AL162">
        <v>-9.6635280261615497E-3</v>
      </c>
    </row>
    <row r="163" spans="1:38">
      <c r="A163" s="568">
        <v>44064</v>
      </c>
      <c r="B163">
        <v>7.6559597542130708E-5</v>
      </c>
      <c r="C163">
        <v>3.4556569110932855E-4</v>
      </c>
      <c r="D163">
        <v>7.203564669566731E-5</v>
      </c>
      <c r="E163">
        <v>1.337802443437397E-4</v>
      </c>
      <c r="F163">
        <v>4.5462268613127854E-4</v>
      </c>
      <c r="G163">
        <v>3.2988998094940492E-4</v>
      </c>
      <c r="H163">
        <v>1.8857887522538697E-4</v>
      </c>
      <c r="I163">
        <v>1.726909682218114E-4</v>
      </c>
      <c r="J163">
        <v>3.5522854509384416E-4</v>
      </c>
      <c r="K163">
        <v>-8.4564074036230785E-5</v>
      </c>
      <c r="L163">
        <v>4.3982953106724842E-4</v>
      </c>
      <c r="M163">
        <v>4.5807421172106011E-4</v>
      </c>
      <c r="N163">
        <v>4.6353137072552286E-4</v>
      </c>
      <c r="O163">
        <v>5.4612392438491142E-4</v>
      </c>
      <c r="P163">
        <v>5.3573019985209136E-4</v>
      </c>
      <c r="Q163">
        <v>5.4958248556946643E-4</v>
      </c>
      <c r="R163">
        <v>6.7745295770538227E-4</v>
      </c>
      <c r="S163">
        <v>-9.7003385871519132E-4</v>
      </c>
      <c r="T163">
        <v>-1.4013279331461792E-3</v>
      </c>
      <c r="U163">
        <v>1.0891957391272467E-3</v>
      </c>
      <c r="V163">
        <v>2.6141740516738565E-6</v>
      </c>
      <c r="W163">
        <v>5.6888093077311908E-4</v>
      </c>
      <c r="X163">
        <v>-1.8377427121528678E-3</v>
      </c>
      <c r="Y163">
        <v>2.6141740516738565E-6</v>
      </c>
      <c r="Z163">
        <v>7.3056343993394002E-4</v>
      </c>
      <c r="AA163">
        <v>2.0950727677071512E-4</v>
      </c>
      <c r="AC163">
        <v>5.262748120342664E-4</v>
      </c>
      <c r="AD163">
        <v>1.536096143206489E-3</v>
      </c>
      <c r="AE163">
        <v>1.1139142601670482E-3</v>
      </c>
      <c r="AF163">
        <v>6.2239680531206432E-4</v>
      </c>
      <c r="AG163">
        <v>4.8463127594673416E-3</v>
      </c>
      <c r="AH163">
        <v>3.6839236842398646E-4</v>
      </c>
      <c r="AI163">
        <v>3.6839236842398646E-4</v>
      </c>
      <c r="AJ163">
        <v>1.9704433497536922E-2</v>
      </c>
      <c r="AK163">
        <v>1.1973575557390648E-2</v>
      </c>
      <c r="AL163">
        <v>2.4544984789005797E-2</v>
      </c>
    </row>
    <row r="164" spans="1:38">
      <c r="A164" s="568">
        <v>44067</v>
      </c>
      <c r="B164">
        <v>7.6559597542130708E-5</v>
      </c>
      <c r="C164">
        <v>1.4921899681419326E-4</v>
      </c>
      <c r="D164">
        <v>4.4947005751527769E-5</v>
      </c>
      <c r="E164">
        <v>1.337802443437397E-4</v>
      </c>
      <c r="F164">
        <v>5.4484031175694447E-4</v>
      </c>
      <c r="G164">
        <v>4.7296654545347927E-4</v>
      </c>
      <c r="H164">
        <v>1.8854331993822804E-4</v>
      </c>
      <c r="I164">
        <v>1.726909682218114E-4</v>
      </c>
      <c r="J164">
        <v>2.8052899808206355E-4</v>
      </c>
      <c r="K164">
        <v>-3.0104807456798888E-5</v>
      </c>
      <c r="L164">
        <v>4.3982953106724842E-4</v>
      </c>
      <c r="M164">
        <v>4.5807421172106011E-4</v>
      </c>
      <c r="N164">
        <v>4.6353137072552286E-4</v>
      </c>
      <c r="O164">
        <v>5.4612392438491142E-4</v>
      </c>
      <c r="P164">
        <v>5.3573019985209136E-4</v>
      </c>
      <c r="Q164">
        <v>5.4958248556946643E-4</v>
      </c>
      <c r="R164">
        <v>9.8741784425393497E-4</v>
      </c>
      <c r="S164">
        <v>1.0692692158424943E-3</v>
      </c>
      <c r="T164">
        <v>-2.1458157980712711E-3</v>
      </c>
      <c r="U164">
        <v>1.1744515068634609E-3</v>
      </c>
      <c r="V164">
        <v>2.350136328820529E-3</v>
      </c>
      <c r="W164">
        <v>6.3380179130567704E-4</v>
      </c>
      <c r="X164">
        <v>-2.9015373045337967E-6</v>
      </c>
      <c r="Y164">
        <v>2.350136328820529E-3</v>
      </c>
      <c r="Z164">
        <v>1.8796593744712098E-3</v>
      </c>
      <c r="AA164">
        <v>9.9556735094719073E-4</v>
      </c>
      <c r="AC164">
        <v>7.650611251037942E-3</v>
      </c>
      <c r="AD164">
        <v>6.0903547393347246E-3</v>
      </c>
      <c r="AE164">
        <v>7.2424998557349962E-3</v>
      </c>
      <c r="AF164">
        <v>6.5971568385627677E-3</v>
      </c>
      <c r="AG164">
        <v>1.0986579776488981E-2</v>
      </c>
      <c r="AH164">
        <v>5.3554278757265593E-3</v>
      </c>
      <c r="AI164">
        <v>5.3554278757265593E-3</v>
      </c>
      <c r="AJ164">
        <v>1.4492753623189802E-3</v>
      </c>
      <c r="AK164">
        <v>2.3969808241534052E-2</v>
      </c>
      <c r="AL164">
        <v>3.695393377363132E-4</v>
      </c>
    </row>
    <row r="165" spans="1:38">
      <c r="A165" s="568">
        <v>44068</v>
      </c>
      <c r="B165">
        <v>7.6559597542130708E-5</v>
      </c>
      <c r="C165">
        <v>2.9427423123262741E-4</v>
      </c>
      <c r="D165">
        <v>8.3551575811524614E-5</v>
      </c>
      <c r="E165">
        <v>1.337802443437397E-4</v>
      </c>
      <c r="F165">
        <v>5.3766227927520838E-4</v>
      </c>
      <c r="G165">
        <v>6.7012277380640306E-4</v>
      </c>
      <c r="H165">
        <v>1.8850777805590191E-4</v>
      </c>
      <c r="I165">
        <v>1.726909682218114E-4</v>
      </c>
      <c r="J165">
        <v>6.4665975402045106E-4</v>
      </c>
      <c r="K165">
        <v>1.3036876991256996E-3</v>
      </c>
      <c r="L165">
        <v>4.3982953106724842E-4</v>
      </c>
      <c r="M165">
        <v>4.5807421172106011E-4</v>
      </c>
      <c r="N165">
        <v>4.6353137072552286E-4</v>
      </c>
      <c r="O165">
        <v>5.4612392438491142E-4</v>
      </c>
      <c r="P165">
        <v>5.3573019985209136E-4</v>
      </c>
      <c r="Q165">
        <v>5.4958248556946643E-4</v>
      </c>
      <c r="R165">
        <v>7.4466836790620938E-4</v>
      </c>
      <c r="S165">
        <v>-8.8361456698216045E-4</v>
      </c>
      <c r="T165">
        <v>2.5133953915723595E-4</v>
      </c>
      <c r="U165">
        <v>1.2449267311074319E-3</v>
      </c>
      <c r="V165">
        <v>5.4768797433690786E-4</v>
      </c>
      <c r="W165">
        <v>1.4152538869995901E-3</v>
      </c>
      <c r="X165">
        <v>4.4212193387371812E-4</v>
      </c>
      <c r="Y165">
        <v>5.4768797433690786E-4</v>
      </c>
      <c r="Z165">
        <v>-2.3504593504541926E-3</v>
      </c>
      <c r="AA165">
        <v>-7.9173121234399346E-5</v>
      </c>
      <c r="AC165">
        <v>-1.7634753367611333E-3</v>
      </c>
      <c r="AD165">
        <v>7.4024656373263831E-3</v>
      </c>
      <c r="AE165">
        <v>4.2909240606847643E-3</v>
      </c>
      <c r="AF165">
        <v>5.4501929128525362E-4</v>
      </c>
      <c r="AG165">
        <v>3.4220089633079098E-3</v>
      </c>
      <c r="AH165">
        <v>-1.2344327357327932E-3</v>
      </c>
      <c r="AI165">
        <v>-1.2344327357327932E-3</v>
      </c>
      <c r="AJ165">
        <v>-9.2136999517608009E-3</v>
      </c>
      <c r="AK165">
        <v>7.1720290865624481E-3</v>
      </c>
      <c r="AL165">
        <v>-1.2868626398839567E-2</v>
      </c>
    </row>
    <row r="166" spans="1:38">
      <c r="A166" s="568">
        <v>44069</v>
      </c>
      <c r="B166">
        <v>7.6559597542130708E-5</v>
      </c>
      <c r="C166">
        <v>1.8668986882852678E-4</v>
      </c>
      <c r="D166">
        <v>1.2675731735423135E-4</v>
      </c>
      <c r="E166">
        <v>1.337802443437397E-4</v>
      </c>
      <c r="F166">
        <v>2.5538989600537576E-4</v>
      </c>
      <c r="G166">
        <v>6.9456454842597992E-4</v>
      </c>
      <c r="H166">
        <v>1.891755042335852E-4</v>
      </c>
      <c r="I166">
        <v>1.726909682218114E-4</v>
      </c>
      <c r="J166">
        <v>-1.5539606254679761E-3</v>
      </c>
      <c r="K166">
        <v>-1.9539400876562585E-3</v>
      </c>
      <c r="L166">
        <v>4.3982953106724842E-4</v>
      </c>
      <c r="M166">
        <v>4.5807421172106011E-4</v>
      </c>
      <c r="N166">
        <v>4.6353137072552286E-4</v>
      </c>
      <c r="O166">
        <v>5.4612392438491142E-4</v>
      </c>
      <c r="P166">
        <v>5.3573019985209136E-4</v>
      </c>
      <c r="Q166">
        <v>5.4958248556946643E-4</v>
      </c>
      <c r="R166">
        <v>-7.4733552337002962E-5</v>
      </c>
      <c r="S166">
        <v>-1.5394010757709964E-3</v>
      </c>
      <c r="T166">
        <v>3.8432700715154144E-3</v>
      </c>
      <c r="U166">
        <v>1.0310643798880914E-3</v>
      </c>
      <c r="V166">
        <v>-1.6578041914294683E-3</v>
      </c>
      <c r="W166">
        <v>5.5809281083396556E-5</v>
      </c>
      <c r="X166">
        <v>-6.1781745046107783E-4</v>
      </c>
      <c r="Y166">
        <v>-1.6578041914294683E-3</v>
      </c>
      <c r="Z166">
        <v>1.2185031305023131E-3</v>
      </c>
      <c r="AA166">
        <v>-5.0974302608064459E-4</v>
      </c>
      <c r="AC166">
        <v>-1.4593958338229629E-2</v>
      </c>
      <c r="AD166">
        <v>-6.5512566400297567E-3</v>
      </c>
      <c r="AE166">
        <v>-1.3279337353430565E-2</v>
      </c>
      <c r="AF166">
        <v>-7.6933545475810217E-4</v>
      </c>
      <c r="AG166">
        <v>-5.8226257173498164E-3</v>
      </c>
      <c r="AH166">
        <v>-1.021577083676074E-2</v>
      </c>
      <c r="AI166">
        <v>-1.021577083676074E-2</v>
      </c>
      <c r="AJ166">
        <v>2.73138906470618E-2</v>
      </c>
      <c r="AK166">
        <v>6.4286420729897653E-3</v>
      </c>
      <c r="AL166">
        <v>1.679236250519045E-2</v>
      </c>
    </row>
    <row r="167" spans="1:38">
      <c r="A167" s="568">
        <v>44070</v>
      </c>
      <c r="B167">
        <v>7.6559597542130708E-5</v>
      </c>
      <c r="C167">
        <v>1.2094325219913493E-4</v>
      </c>
      <c r="D167">
        <v>1.1809980297505795E-4</v>
      </c>
      <c r="E167">
        <v>1.337802443437397E-4</v>
      </c>
      <c r="F167">
        <v>2.2873791677047173E-4</v>
      </c>
      <c r="G167">
        <v>6.8973951278605838E-4</v>
      </c>
      <c r="H167">
        <v>1.8913972363110432E-4</v>
      </c>
      <c r="I167">
        <v>0</v>
      </c>
      <c r="J167">
        <v>-3.6026855691995152E-4</v>
      </c>
      <c r="K167">
        <v>-3.0373903785663181E-4</v>
      </c>
      <c r="L167">
        <v>4.3982953106724842E-4</v>
      </c>
      <c r="M167">
        <v>4.5807421172106011E-4</v>
      </c>
      <c r="N167">
        <v>4.6353137072552286E-4</v>
      </c>
      <c r="O167">
        <v>5.4612392438491142E-4</v>
      </c>
      <c r="P167">
        <v>5.3573019985209136E-4</v>
      </c>
      <c r="Q167">
        <v>5.4958248556946643E-4</v>
      </c>
      <c r="R167">
        <v>5.3283850869645377E-4</v>
      </c>
      <c r="S167">
        <v>-3.4724990477201789E-3</v>
      </c>
      <c r="T167">
        <v>2.2817164924338051E-3</v>
      </c>
      <c r="U167">
        <v>-1.0786489533665122E-4</v>
      </c>
      <c r="V167">
        <v>-4.1252832868587941E-4</v>
      </c>
      <c r="W167">
        <v>-1.4550295307631522E-3</v>
      </c>
      <c r="X167">
        <v>0</v>
      </c>
      <c r="Y167">
        <v>-4.1252832868587941E-4</v>
      </c>
      <c r="Z167">
        <v>-3.1366446381188018E-3</v>
      </c>
      <c r="AA167">
        <v>2.7033374711482594E-4</v>
      </c>
      <c r="AC167">
        <v>-3.6769345893139516E-5</v>
      </c>
      <c r="AD167">
        <v>1.6941391087328395E-3</v>
      </c>
      <c r="AE167">
        <v>2.0284576112961084E-4</v>
      </c>
      <c r="AF167">
        <v>3.1194424305369672E-4</v>
      </c>
      <c r="AG167">
        <v>-5.4267262000736727E-3</v>
      </c>
      <c r="AH167">
        <v>-2.5738542125197659E-5</v>
      </c>
      <c r="AI167">
        <v>-2.5738542125197659E-5</v>
      </c>
      <c r="AJ167">
        <v>-3.7914691943128354E-3</v>
      </c>
      <c r="AK167">
        <v>-2.0636792452830566E-3</v>
      </c>
      <c r="AL167">
        <v>-1.6318203711502499E-2</v>
      </c>
    </row>
    <row r="168" spans="1:38">
      <c r="A168" s="568">
        <v>44071</v>
      </c>
      <c r="B168">
        <v>7.6559597542130708E-5</v>
      </c>
      <c r="C168">
        <v>4.3625768838784218E-4</v>
      </c>
      <c r="D168">
        <v>3.110554283503042E-5</v>
      </c>
      <c r="E168">
        <v>1.337802443437397E-4</v>
      </c>
      <c r="F168">
        <v>4.1245901188569078E-4</v>
      </c>
      <c r="G168">
        <v>9.0645922723675554E-5</v>
      </c>
      <c r="H168">
        <v>1.884009678747578E-4</v>
      </c>
      <c r="I168">
        <v>-9.006400000000081E-5</v>
      </c>
      <c r="J168">
        <v>2.1944363616308582E-3</v>
      </c>
      <c r="K168">
        <v>2.8788578048799529E-3</v>
      </c>
      <c r="L168">
        <v>4.3982953106724842E-4</v>
      </c>
      <c r="M168">
        <v>4.5807421172106011E-4</v>
      </c>
      <c r="N168">
        <v>4.6353137072552286E-4</v>
      </c>
      <c r="O168">
        <v>5.4612392438491142E-4</v>
      </c>
      <c r="P168">
        <v>5.3573019985209136E-4</v>
      </c>
      <c r="Q168">
        <v>5.4958248556946643E-4</v>
      </c>
      <c r="R168">
        <v>2.7484203666450213E-3</v>
      </c>
      <c r="S168">
        <v>5.9438855718689787E-3</v>
      </c>
      <c r="T168">
        <v>4.977289310283961E-4</v>
      </c>
      <c r="U168">
        <v>5.6866460996396473E-3</v>
      </c>
      <c r="V168">
        <v>4.1844501444445736E-3</v>
      </c>
      <c r="W168">
        <v>3.2164411664883374E-3</v>
      </c>
      <c r="X168">
        <v>-6.7429411840058684E-4</v>
      </c>
      <c r="Y168">
        <v>4.1844501444445736E-3</v>
      </c>
      <c r="Z168">
        <v>7.8805475982224316E-4</v>
      </c>
      <c r="AA168">
        <v>1.5561430856392278E-3</v>
      </c>
      <c r="AC168">
        <v>1.5098843611240254E-2</v>
      </c>
      <c r="AD168">
        <v>8.841363353870868E-3</v>
      </c>
      <c r="AE168">
        <v>1.5249874761689597E-2</v>
      </c>
      <c r="AF168">
        <v>4.4508416110839999E-3</v>
      </c>
      <c r="AG168">
        <v>9.9211562986383228E-3</v>
      </c>
      <c r="AH168">
        <v>1.0569190527868177E-2</v>
      </c>
      <c r="AI168">
        <v>1.0569190527868177E-2</v>
      </c>
      <c r="AJ168">
        <v>-2.378686964795429E-2</v>
      </c>
      <c r="AK168">
        <v>3.9389463318562079E-3</v>
      </c>
      <c r="AL168">
        <v>-2.2634927277564665E-2</v>
      </c>
    </row>
    <row r="169" spans="1:38">
      <c r="A169" s="568">
        <v>44074</v>
      </c>
      <c r="B169">
        <v>7.6559597542130708E-5</v>
      </c>
      <c r="C169">
        <v>-1.2162406872628928E-5</v>
      </c>
      <c r="D169">
        <v>7.7761438275647521E-5</v>
      </c>
      <c r="E169">
        <v>1.337802443437397E-4</v>
      </c>
      <c r="F169">
        <v>2.5241246303697729E-4</v>
      </c>
      <c r="G169">
        <v>3.1146232647172312E-4</v>
      </c>
      <c r="H169">
        <v>1.8906833590359717E-4</v>
      </c>
      <c r="I169">
        <v>-4.9234434250089443E-5</v>
      </c>
      <c r="J169">
        <v>-3.3228274927821211E-4</v>
      </c>
      <c r="K169">
        <v>-3.6350368233484254E-4</v>
      </c>
      <c r="L169">
        <v>4.3982953106724842E-4</v>
      </c>
      <c r="M169">
        <v>4.5807421172106011E-4</v>
      </c>
      <c r="N169">
        <v>4.6353137072552286E-4</v>
      </c>
      <c r="O169">
        <v>5.4612392438491142E-4</v>
      </c>
      <c r="P169">
        <v>5.3573019985209136E-4</v>
      </c>
      <c r="Q169">
        <v>5.4958248556946643E-4</v>
      </c>
      <c r="R169">
        <v>7.1283618895945366E-4</v>
      </c>
      <c r="S169">
        <v>-6.166339720210301E-3</v>
      </c>
      <c r="T169">
        <v>-1.2597875664289715E-3</v>
      </c>
      <c r="U169">
        <v>3.9311628038389834E-3</v>
      </c>
      <c r="V169">
        <v>-4.705447810887331E-3</v>
      </c>
      <c r="W169">
        <v>-1.6312087192777991E-3</v>
      </c>
      <c r="X169">
        <v>1.7767568202340378E-3</v>
      </c>
      <c r="Y169">
        <v>-4.705447810887331E-3</v>
      </c>
      <c r="Z169">
        <v>-1.8399376063968909E-3</v>
      </c>
      <c r="AA169">
        <v>-1.3887627758893961E-3</v>
      </c>
      <c r="AC169">
        <v>-2.7155583011643447E-2</v>
      </c>
      <c r="AD169">
        <v>-1.6057805052612339E-2</v>
      </c>
      <c r="AE169">
        <v>-2.0227438851645796E-2</v>
      </c>
      <c r="AF169">
        <v>-9.1835693230523097E-3</v>
      </c>
      <c r="AG169">
        <v>-1.8098306177113943E-2</v>
      </c>
      <c r="AH169">
        <v>-1.900890810815041E-2</v>
      </c>
      <c r="AI169">
        <v>-1.900890810815041E-2</v>
      </c>
      <c r="AJ169">
        <v>9.5029239766082352E-3</v>
      </c>
      <c r="AK169">
        <v>-1.4026483570377724E-2</v>
      </c>
      <c r="AL169">
        <v>1.3131748284151978E-3</v>
      </c>
    </row>
    <row r="170" spans="1:38">
      <c r="A170" s="568">
        <v>44075</v>
      </c>
      <c r="B170">
        <v>7.6559597542130708E-5</v>
      </c>
      <c r="C170">
        <v>3.0066054442778878E-4</v>
      </c>
      <c r="D170">
        <v>3.6861815421396216E-5</v>
      </c>
      <c r="E170">
        <v>1.337802443437397E-4</v>
      </c>
      <c r="F170">
        <v>4.5111349465942752E-4</v>
      </c>
      <c r="G170">
        <v>4.3618755512730978E-4</v>
      </c>
      <c r="H170">
        <v>1.8832987242056731E-4</v>
      </c>
      <c r="I170">
        <v>-3.0104193333513329E-4</v>
      </c>
      <c r="J170">
        <v>1.3491253322626129E-3</v>
      </c>
      <c r="K170">
        <v>1.3217864745924679E-3</v>
      </c>
      <c r="L170">
        <v>6.2956720107809616E-4</v>
      </c>
      <c r="M170">
        <v>6.4781534191316048E-4</v>
      </c>
      <c r="N170">
        <v>6.5327353589128556E-4</v>
      </c>
      <c r="O170">
        <v>5.4612392438491142E-4</v>
      </c>
      <c r="P170">
        <v>5.3573019985209136E-4</v>
      </c>
      <c r="Q170">
        <v>5.4958248556946643E-4</v>
      </c>
      <c r="R170">
        <v>2.0606185064204752E-3</v>
      </c>
      <c r="S170">
        <v>3.4324822217641771E-3</v>
      </c>
      <c r="T170">
        <v>-3.5547029088757176E-3</v>
      </c>
      <c r="U170">
        <v>3.0074921004348276E-3</v>
      </c>
      <c r="V170">
        <v>5.1615230020984892E-3</v>
      </c>
      <c r="W170">
        <v>9.3870735057266508E-4</v>
      </c>
      <c r="X170">
        <v>2.1970936742943259E-4</v>
      </c>
      <c r="Y170">
        <v>5.1615230020984892E-3</v>
      </c>
      <c r="Z170">
        <v>1.2187622411623522E-3</v>
      </c>
      <c r="AA170">
        <v>-1.3654934322805401E-3</v>
      </c>
      <c r="AC170">
        <v>2.8162160992622143E-2</v>
      </c>
      <c r="AD170">
        <v>2.4491641218536975E-2</v>
      </c>
      <c r="AE170">
        <v>2.9030270838034333E-2</v>
      </c>
      <c r="AF170">
        <v>1.4712367366405577E-2</v>
      </c>
      <c r="AG170">
        <v>1.567625516954152E-2</v>
      </c>
      <c r="AH170">
        <v>1.9713512694835497E-2</v>
      </c>
      <c r="AI170">
        <v>1.9713512694835497E-2</v>
      </c>
      <c r="AJ170">
        <v>-1.0378952449915602E-2</v>
      </c>
      <c r="AK170">
        <v>1.8702745722244396E-2</v>
      </c>
      <c r="AL170">
        <v>-5.6247895987163732E-3</v>
      </c>
    </row>
    <row r="171" spans="1:38">
      <c r="A171" s="568">
        <v>44076</v>
      </c>
      <c r="B171">
        <v>7.6559597542130708E-5</v>
      </c>
      <c r="C171">
        <v>-4.6756576723927523E-5</v>
      </c>
      <c r="D171">
        <v>8.2936027525404299E-5</v>
      </c>
      <c r="E171">
        <v>1.337802443437397E-4</v>
      </c>
      <c r="F171">
        <v>1.6296851732078288E-4</v>
      </c>
      <c r="G171">
        <v>4.6989952546838687E-4</v>
      </c>
      <c r="H171">
        <v>1.8899700204388914E-4</v>
      </c>
      <c r="I171">
        <v>-4.7394867675909502E-5</v>
      </c>
      <c r="J171">
        <v>2.2853234367747888E-4</v>
      </c>
      <c r="K171">
        <v>2.4004830651414011E-4</v>
      </c>
      <c r="L171">
        <v>6.2956720107809616E-4</v>
      </c>
      <c r="M171">
        <v>6.4781534191316048E-4</v>
      </c>
      <c r="N171">
        <v>6.5327353589128556E-4</v>
      </c>
      <c r="O171">
        <v>5.4612392438491142E-4</v>
      </c>
      <c r="P171">
        <v>5.3573019985209136E-4</v>
      </c>
      <c r="Q171">
        <v>5.4958248556946643E-4</v>
      </c>
      <c r="R171">
        <v>8.639234162952647E-4</v>
      </c>
      <c r="S171">
        <v>-2.2482762558987401E-3</v>
      </c>
      <c r="T171">
        <v>-1.1221861183083881E-3</v>
      </c>
      <c r="U171">
        <v>-1.6117583974173399E-4</v>
      </c>
      <c r="V171">
        <v>-1.9240069264248039E-4</v>
      </c>
      <c r="W171">
        <v>2.8860682459330711E-4</v>
      </c>
      <c r="X171">
        <v>-1.7256184906615513E-3</v>
      </c>
      <c r="Y171">
        <v>-1.9240069264248039E-4</v>
      </c>
      <c r="Z171">
        <v>1.5312561901017485E-3</v>
      </c>
      <c r="AA171">
        <v>2.4310283595234683E-3</v>
      </c>
      <c r="AC171">
        <v>-2.5105806537493169E-3</v>
      </c>
      <c r="AD171">
        <v>2.9411744510143834E-4</v>
      </c>
      <c r="AE171">
        <v>9.115752592945281E-4</v>
      </c>
      <c r="AF171">
        <v>3.2155548524048783E-3</v>
      </c>
      <c r="AG171">
        <v>2.8085148415837313E-3</v>
      </c>
      <c r="AH171">
        <v>-1.7574064576245218E-3</v>
      </c>
      <c r="AI171">
        <v>-1.7574064576245218E-3</v>
      </c>
      <c r="AJ171">
        <v>7.8536585365853728E-3</v>
      </c>
      <c r="AK171">
        <v>8.7890624999986677E-4</v>
      </c>
      <c r="AL171">
        <v>5.2526295899011366E-3</v>
      </c>
    </row>
    <row r="172" spans="1:38">
      <c r="A172" s="568">
        <v>44077</v>
      </c>
      <c r="B172">
        <v>7.6559597542130708E-5</v>
      </c>
      <c r="C172">
        <v>2.4557016364012973E-4</v>
      </c>
      <c r="D172">
        <v>1.1172399336101257E-4</v>
      </c>
      <c r="E172">
        <v>1.337802443437397E-4</v>
      </c>
      <c r="F172">
        <v>3.1123745724492835E-4</v>
      </c>
      <c r="G172">
        <v>4.8997115533699898E-4</v>
      </c>
      <c r="H172">
        <v>1.8825883060347159E-4</v>
      </c>
      <c r="I172">
        <v>-4.9075932761932783E-5</v>
      </c>
      <c r="J172">
        <v>2.106262686759619E-3</v>
      </c>
      <c r="K172">
        <v>2.8210044366880904E-3</v>
      </c>
      <c r="L172">
        <v>6.2956720107809616E-4</v>
      </c>
      <c r="M172">
        <v>6.4781534191316048E-4</v>
      </c>
      <c r="N172">
        <v>6.5327353589128556E-4</v>
      </c>
      <c r="O172">
        <v>5.4612392438491142E-4</v>
      </c>
      <c r="P172">
        <v>5.3573019985209136E-4</v>
      </c>
      <c r="Q172">
        <v>5.4958248556946643E-4</v>
      </c>
      <c r="R172">
        <v>-7.9599188651358066E-4</v>
      </c>
      <c r="S172">
        <v>-4.0544867762303261E-3</v>
      </c>
      <c r="T172">
        <v>-3.6152550744165124E-3</v>
      </c>
      <c r="U172">
        <v>-8.1896399113519092E-3</v>
      </c>
      <c r="V172">
        <v>-5.466271389192312E-3</v>
      </c>
      <c r="W172">
        <v>-2.9078762286197657E-3</v>
      </c>
      <c r="X172">
        <v>-2.4787241839508978E-3</v>
      </c>
      <c r="Y172">
        <v>-5.466271389192312E-3</v>
      </c>
      <c r="Z172">
        <v>-3.6164820457328384E-3</v>
      </c>
      <c r="AA172">
        <v>-3.0638927919814929E-3</v>
      </c>
      <c r="AC172">
        <v>-1.1673900095279244E-2</v>
      </c>
      <c r="AD172">
        <v>-3.3794797962971801E-2</v>
      </c>
      <c r="AE172">
        <v>-1.7224665632000868E-2</v>
      </c>
      <c r="AF172">
        <v>-2.2364597247760187E-2</v>
      </c>
      <c r="AG172">
        <v>-1.0461866009509824E-2</v>
      </c>
      <c r="AH172">
        <v>-8.1717300666954706E-3</v>
      </c>
      <c r="AI172">
        <v>-8.1717300666954706E-3</v>
      </c>
      <c r="AJ172">
        <v>-4.1624316344804346E-2</v>
      </c>
      <c r="AK172">
        <v>-2.2050931798224149E-2</v>
      </c>
      <c r="AL172">
        <v>-2.3146200106932913E-2</v>
      </c>
    </row>
    <row r="173" spans="1:38">
      <c r="A173" s="568">
        <v>44078</v>
      </c>
      <c r="B173">
        <v>7.6559597542130708E-5</v>
      </c>
      <c r="C173">
        <v>1.9278010553080982E-4</v>
      </c>
      <c r="D173">
        <v>7.3994481220940322E-4</v>
      </c>
      <c r="E173">
        <v>1.337802443437397E-4</v>
      </c>
      <c r="F173">
        <v>2.0818967864211224E-4</v>
      </c>
      <c r="G173">
        <v>2.549083393326157E-4</v>
      </c>
      <c r="H173">
        <v>1.8822339588719927E-4</v>
      </c>
      <c r="I173">
        <v>-4.8427992272004339E-5</v>
      </c>
      <c r="J173">
        <v>1.0589559893048328E-3</v>
      </c>
      <c r="K173">
        <v>1.905038808481585E-3</v>
      </c>
      <c r="L173">
        <v>6.2956720107809616E-4</v>
      </c>
      <c r="M173">
        <v>6.4781534191316048E-4</v>
      </c>
      <c r="N173">
        <v>6.5327353589128556E-4</v>
      </c>
      <c r="O173">
        <v>5.4612392438491142E-4</v>
      </c>
      <c r="P173">
        <v>5.3573019985209136E-4</v>
      </c>
      <c r="Q173">
        <v>5.4958248556946643E-4</v>
      </c>
      <c r="R173">
        <v>-1.0258800988225403E-3</v>
      </c>
      <c r="S173">
        <v>6.5204412046042659E-3</v>
      </c>
      <c r="T173">
        <v>2.5716090566845207E-3</v>
      </c>
      <c r="U173">
        <v>-2.8118357516137005E-3</v>
      </c>
      <c r="V173">
        <v>9.3086984034007614E-4</v>
      </c>
      <c r="W173">
        <v>-7.7202812837318113E-4</v>
      </c>
      <c r="X173">
        <v>2.7070098711867718E-3</v>
      </c>
      <c r="Y173">
        <v>9.3086984034007614E-4</v>
      </c>
      <c r="Z173">
        <v>-4.1726207487846612E-4</v>
      </c>
      <c r="AA173">
        <v>1.3357003034677462E-3</v>
      </c>
      <c r="AC173">
        <v>5.1657343920954446E-3</v>
      </c>
      <c r="AD173">
        <v>-4.9533521448302809E-3</v>
      </c>
      <c r="AE173">
        <v>7.3203462797806207E-3</v>
      </c>
      <c r="AF173">
        <v>-4.8325069615466898E-3</v>
      </c>
      <c r="AG173">
        <v>-3.8132433764613838E-3</v>
      </c>
      <c r="AH173">
        <v>3.616014074466811E-3</v>
      </c>
      <c r="AI173">
        <v>3.616014074466811E-3</v>
      </c>
      <c r="AJ173">
        <v>-1.2171102469572204E-2</v>
      </c>
      <c r="AK173">
        <v>-8.3807243340318083E-3</v>
      </c>
      <c r="AL173">
        <v>-3.2981405517289453E-3</v>
      </c>
    </row>
    <row r="174" spans="1:38">
      <c r="A174" s="568">
        <v>44082</v>
      </c>
      <c r="B174">
        <v>7.6559597542130708E-5</v>
      </c>
      <c r="C174">
        <v>3.8203933689917591E-6</v>
      </c>
      <c r="D174">
        <v>3.682603324350886E-5</v>
      </c>
      <c r="E174">
        <v>1.337802443437397E-4</v>
      </c>
      <c r="F174">
        <v>1.6880439824662474E-4</v>
      </c>
      <c r="G174">
        <v>3.6735244701335823E-4</v>
      </c>
      <c r="H174">
        <v>1.8818797450759206E-4</v>
      </c>
      <c r="I174">
        <v>-4.4427995797735598E-5</v>
      </c>
      <c r="J174">
        <v>-1.3388736042102556E-3</v>
      </c>
      <c r="K174">
        <v>-1.9064422782019141E-3</v>
      </c>
      <c r="L174">
        <v>6.2956720107809616E-4</v>
      </c>
      <c r="M174">
        <v>6.4781534191316048E-4</v>
      </c>
      <c r="N174">
        <v>6.5327353589128556E-4</v>
      </c>
      <c r="O174">
        <v>5.4612392438491142E-4</v>
      </c>
      <c r="P174">
        <v>5.3573019985209136E-4</v>
      </c>
      <c r="Q174">
        <v>5.4958248556946643E-4</v>
      </c>
      <c r="R174">
        <v>-1.9673278700294006E-3</v>
      </c>
      <c r="S174">
        <v>-6.7804087654185219E-3</v>
      </c>
      <c r="T174">
        <v>-2.8358100734543479E-3</v>
      </c>
      <c r="U174">
        <v>-6.6477483580655861E-3</v>
      </c>
      <c r="V174">
        <v>-4.4358062038589718E-3</v>
      </c>
      <c r="W174">
        <v>-3.2023717128494278E-3</v>
      </c>
      <c r="X174">
        <v>-2.3764439856743813E-5</v>
      </c>
      <c r="Y174">
        <v>-4.4358062038589718E-3</v>
      </c>
      <c r="Z174">
        <v>-1.282199904660386E-3</v>
      </c>
      <c r="AA174">
        <v>1.1420403664890166E-3</v>
      </c>
      <c r="AC174">
        <v>-1.1766890520408135E-2</v>
      </c>
      <c r="AD174">
        <v>-1.2829633106194116E-2</v>
      </c>
      <c r="AE174">
        <v>-1.1559734237057584E-2</v>
      </c>
      <c r="AF174">
        <v>-1.7776193759014403E-2</v>
      </c>
      <c r="AG174">
        <v>-1.1448433757343945E-2</v>
      </c>
      <c r="AH174">
        <v>-8.2368233642856944E-3</v>
      </c>
      <c r="AI174">
        <v>-8.2368233642856944E-3</v>
      </c>
      <c r="AJ174">
        <v>-1.6053169734151274E-2</v>
      </c>
      <c r="AK174">
        <v>-2.5153435959352044E-2</v>
      </c>
      <c r="AL174">
        <v>2.5768853731202856E-3</v>
      </c>
    </row>
    <row r="175" spans="1:38">
      <c r="A175" s="568">
        <v>44083</v>
      </c>
      <c r="B175">
        <v>7.6559597542130708E-5</v>
      </c>
      <c r="C175">
        <v>2.3472990729023202E-4</v>
      </c>
      <c r="D175">
        <v>1.7836952988115051E-4</v>
      </c>
      <c r="E175">
        <v>1.337802443437397E-4</v>
      </c>
      <c r="F175">
        <v>3.1651200115634381E-4</v>
      </c>
      <c r="G175">
        <v>4.4534475499302673E-4</v>
      </c>
      <c r="H175">
        <v>1.8815256645710043E-4</v>
      </c>
      <c r="I175">
        <v>-5.0473774452441944E-5</v>
      </c>
      <c r="J175">
        <v>6.9497580827704297E-4</v>
      </c>
      <c r="K175">
        <v>9.9370842188495345E-4</v>
      </c>
      <c r="L175">
        <v>6.2956720107809616E-4</v>
      </c>
      <c r="M175">
        <v>6.4781534191316048E-4</v>
      </c>
      <c r="N175">
        <v>6.5327353589128556E-4</v>
      </c>
      <c r="O175">
        <v>5.4612392438491142E-4</v>
      </c>
      <c r="P175">
        <v>5.3573019985209136E-4</v>
      </c>
      <c r="Q175">
        <v>5.4958248556946643E-4</v>
      </c>
      <c r="R175">
        <v>1.407270146411399E-3</v>
      </c>
      <c r="S175">
        <v>7.3552896016746416E-3</v>
      </c>
      <c r="T175">
        <v>-4.1728098466775609E-4</v>
      </c>
      <c r="U175">
        <v>2.751196569557246E-3</v>
      </c>
      <c r="V175">
        <v>3.8887839284589276E-3</v>
      </c>
      <c r="W175">
        <v>2.7064437913129069E-3</v>
      </c>
      <c r="X175">
        <v>-5.8454018925369056E-4</v>
      </c>
      <c r="Y175">
        <v>3.8887839284589276E-3</v>
      </c>
      <c r="Z175">
        <v>2.3649521739368407E-3</v>
      </c>
      <c r="AA175">
        <v>4.5648498341299693E-4</v>
      </c>
      <c r="AC175">
        <v>1.2409745488273893E-2</v>
      </c>
      <c r="AD175">
        <v>1.2420400055644487E-2</v>
      </c>
      <c r="AE175">
        <v>1.4166638927987307E-2</v>
      </c>
      <c r="AF175">
        <v>7.2340802602131049E-3</v>
      </c>
      <c r="AG175">
        <v>9.0148870643800283E-3</v>
      </c>
      <c r="AH175">
        <v>8.686821841791724E-3</v>
      </c>
      <c r="AI175">
        <v>8.686821841791724E-3</v>
      </c>
      <c r="AJ175">
        <v>1.0599605112750599E-2</v>
      </c>
      <c r="AK175">
        <v>-4.1283930230158195E-3</v>
      </c>
      <c r="AL175">
        <v>-4.9465791221927624E-3</v>
      </c>
    </row>
    <row r="176" spans="1:38">
      <c r="A176" s="568">
        <v>44084</v>
      </c>
      <c r="B176">
        <v>7.6559597542130708E-5</v>
      </c>
      <c r="C176">
        <v>-9.5623791319665585E-6</v>
      </c>
      <c r="D176">
        <v>2.3586601659575379E-5</v>
      </c>
      <c r="E176">
        <v>1.337802443437397E-4</v>
      </c>
      <c r="F176">
        <v>1.1568236822401268E-4</v>
      </c>
      <c r="G176">
        <v>2.563083978177616E-4</v>
      </c>
      <c r="H176">
        <v>1.8811717172839693E-4</v>
      </c>
      <c r="I176">
        <v>-5.5525755625951412E-5</v>
      </c>
      <c r="J176">
        <v>-1.4276480304545869E-3</v>
      </c>
      <c r="K176">
        <v>-9.9459615413244329E-4</v>
      </c>
      <c r="L176">
        <v>6.2956720107809616E-4</v>
      </c>
      <c r="M176">
        <v>6.4781534191316048E-4</v>
      </c>
      <c r="N176">
        <v>6.5327353589128556E-4</v>
      </c>
      <c r="O176">
        <v>5.4612392438491142E-4</v>
      </c>
      <c r="P176">
        <v>5.3573019985209136E-4</v>
      </c>
      <c r="Q176">
        <v>5.4958248556946643E-4</v>
      </c>
      <c r="R176">
        <v>1.1480938435231014E-3</v>
      </c>
      <c r="S176">
        <v>-3.6310736670046584E-3</v>
      </c>
      <c r="T176">
        <v>1.3761453039831117E-3</v>
      </c>
      <c r="U176">
        <v>-4.7742228897045269E-3</v>
      </c>
      <c r="V176">
        <v>-5.9464997987338508E-3</v>
      </c>
      <c r="W176">
        <v>-2.5901238339195443E-3</v>
      </c>
      <c r="X176">
        <v>-2.7876597454290497E-4</v>
      </c>
      <c r="Y176">
        <v>-5.9464997987338508E-3</v>
      </c>
      <c r="Z176">
        <v>-3.6788761006250059E-3</v>
      </c>
      <c r="AA176">
        <v>-4.3646917824458065E-4</v>
      </c>
      <c r="AC176">
        <v>-2.426065237136199E-2</v>
      </c>
      <c r="AD176">
        <v>-2.5291656446685074E-2</v>
      </c>
      <c r="AE176">
        <v>-2.317125693145472E-2</v>
      </c>
      <c r="AF176">
        <v>-2.0228856303758702E-2</v>
      </c>
      <c r="AG176">
        <v>-1.79711342710549E-2</v>
      </c>
      <c r="AH176">
        <v>-1.698245665995339E-2</v>
      </c>
      <c r="AI176">
        <v>-1.698245665995339E-2</v>
      </c>
      <c r="AJ176">
        <v>-1.0796915167095134E-2</v>
      </c>
      <c r="AK176">
        <v>-8.3946522955745673E-3</v>
      </c>
      <c r="AL176">
        <v>2.5527055156537859E-3</v>
      </c>
    </row>
    <row r="177" spans="1:38">
      <c r="A177" s="568">
        <v>44085</v>
      </c>
      <c r="B177">
        <v>7.6559597542130708E-5</v>
      </c>
      <c r="C177">
        <v>5.7766802682657215E-5</v>
      </c>
      <c r="D177">
        <v>2.0422063652425493E-4</v>
      </c>
      <c r="E177">
        <v>1.337802443437397E-4</v>
      </c>
      <c r="F177">
        <v>1.7876116228565664E-4</v>
      </c>
      <c r="G177">
        <v>3.1838600517497539E-4</v>
      </c>
      <c r="H177">
        <v>1.8667819486406501E-4</v>
      </c>
      <c r="I177">
        <v>-6.4941761678372067E-5</v>
      </c>
      <c r="J177">
        <v>4.3336534506654978E-4</v>
      </c>
      <c r="K177">
        <v>6.4960901433086526E-4</v>
      </c>
      <c r="L177">
        <v>6.2956720107809616E-4</v>
      </c>
      <c r="M177">
        <v>6.4781534191316048E-4</v>
      </c>
      <c r="N177">
        <v>6.5327353589128556E-4</v>
      </c>
      <c r="O177">
        <v>5.4612392438491142E-4</v>
      </c>
      <c r="P177">
        <v>5.3573019985209136E-4</v>
      </c>
      <c r="Q177">
        <v>5.4958248556946643E-4</v>
      </c>
      <c r="R177">
        <v>-3.5812763950959781E-4</v>
      </c>
      <c r="S177">
        <v>1.7045219368945208E-3</v>
      </c>
      <c r="T177">
        <v>2.1374011348571642E-3</v>
      </c>
      <c r="U177">
        <v>1.0915908728392765E-3</v>
      </c>
      <c r="V177">
        <v>-3.1816735602929747E-4</v>
      </c>
      <c r="W177">
        <v>2.2151837696582355E-4</v>
      </c>
      <c r="X177">
        <v>2.7863305987652076E-4</v>
      </c>
      <c r="Y177">
        <v>-3.1816735602929747E-4</v>
      </c>
      <c r="Z177">
        <v>3.6692666861082301E-4</v>
      </c>
      <c r="AA177">
        <v>1.4894966096794526E-3</v>
      </c>
      <c r="AC177">
        <v>-4.7692816856932385E-3</v>
      </c>
      <c r="AD177">
        <v>-6.1540408538014457E-3</v>
      </c>
      <c r="AE177">
        <v>0</v>
      </c>
      <c r="AF177">
        <v>1.6787913226805617E-3</v>
      </c>
      <c r="AG177">
        <v>-6.0426920282014018E-3</v>
      </c>
      <c r="AH177">
        <v>-3.3384971799852669E-3</v>
      </c>
      <c r="AI177">
        <v>-3.3384971799852669E-3</v>
      </c>
      <c r="AJ177">
        <v>5.197505197505059E-4</v>
      </c>
      <c r="AK177">
        <v>1.1914715719063329E-2</v>
      </c>
      <c r="AL177">
        <v>4.9980780539213843E-3</v>
      </c>
    </row>
    <row r="178" spans="1:38">
      <c r="A178" s="568">
        <v>44088</v>
      </c>
      <c r="B178">
        <v>7.6559597542130708E-5</v>
      </c>
      <c r="C178">
        <v>9.4188084717838905E-5</v>
      </c>
      <c r="D178">
        <v>2.9907900919723396E-4</v>
      </c>
      <c r="E178">
        <v>1.337802443437397E-4</v>
      </c>
      <c r="F178">
        <v>3.1540449254841008E-4</v>
      </c>
      <c r="G178">
        <v>1.6592480519794783E-4</v>
      </c>
      <c r="H178">
        <v>1.8594168588070836E-4</v>
      </c>
      <c r="I178">
        <v>-1.5975586028327271E-4</v>
      </c>
      <c r="J178">
        <v>1.1705636409176101E-3</v>
      </c>
      <c r="K178">
        <v>1.1324457416757028E-3</v>
      </c>
      <c r="L178">
        <v>6.2956720107809616E-4</v>
      </c>
      <c r="M178">
        <v>6.4781534191316048E-4</v>
      </c>
      <c r="N178">
        <v>6.5327353589128556E-4</v>
      </c>
      <c r="O178">
        <v>5.4612392438491142E-4</v>
      </c>
      <c r="P178">
        <v>5.3573019985209136E-4</v>
      </c>
      <c r="Q178">
        <v>5.4958248556946643E-4</v>
      </c>
      <c r="R178">
        <v>7.908547961112955E-4</v>
      </c>
      <c r="S178">
        <v>4.3316839308324973E-3</v>
      </c>
      <c r="T178">
        <v>1.5267706716064477E-3</v>
      </c>
      <c r="U178">
        <v>5.5905576078776331E-3</v>
      </c>
      <c r="V178">
        <v>4.1164494899810222E-3</v>
      </c>
      <c r="W178">
        <v>1.7998034240676031E-3</v>
      </c>
      <c r="X178">
        <v>1.3150263341770163E-3</v>
      </c>
      <c r="Y178">
        <v>4.1164494899810222E-3</v>
      </c>
      <c r="Z178">
        <v>3.4579532011858038E-3</v>
      </c>
      <c r="AA178">
        <v>-5.3547694205402507E-6</v>
      </c>
      <c r="AC178">
        <v>1.9430840104665226E-2</v>
      </c>
      <c r="AD178">
        <v>2.5163880868085409E-2</v>
      </c>
      <c r="AE178">
        <v>1.4299999999999979E-2</v>
      </c>
      <c r="AF178">
        <v>1.3410532374832362E-2</v>
      </c>
      <c r="AG178">
        <v>1.3397899661755641E-2</v>
      </c>
      <c r="AH178">
        <v>1.3601588073265657E-2</v>
      </c>
      <c r="AI178">
        <v>1.3601588073265657E-2</v>
      </c>
      <c r="AJ178">
        <v>-5.1948051948047524E-4</v>
      </c>
      <c r="AK178">
        <v>1.2497417888865936E-2</v>
      </c>
      <c r="AL178">
        <v>2.1598222119810107E-2</v>
      </c>
    </row>
    <row r="179" spans="1:38">
      <c r="A179" s="568">
        <v>44089</v>
      </c>
      <c r="B179">
        <v>7.6559597542130708E-5</v>
      </c>
      <c r="C179">
        <v>-1.7160613995603757E-4</v>
      </c>
      <c r="D179">
        <v>3.2371372666961662E-4</v>
      </c>
      <c r="E179">
        <v>1.337802443437397E-4</v>
      </c>
      <c r="F179">
        <v>-9.4591513176367492E-5</v>
      </c>
      <c r="G179">
        <v>4.8658615341512501E-4</v>
      </c>
      <c r="H179">
        <v>1.8380250911476104E-4</v>
      </c>
      <c r="I179">
        <v>-1.7163676717724119E-4</v>
      </c>
      <c r="J179">
        <v>-5.8218748251559482E-4</v>
      </c>
      <c r="K179">
        <v>-7.9057819075467606E-4</v>
      </c>
      <c r="L179">
        <v>6.2956720107809616E-4</v>
      </c>
      <c r="M179">
        <v>6.4781534191316048E-4</v>
      </c>
      <c r="N179">
        <v>6.5327353589128556E-4</v>
      </c>
      <c r="O179">
        <v>5.4612392438491142E-4</v>
      </c>
      <c r="P179">
        <v>5.3573019985209136E-4</v>
      </c>
      <c r="Q179">
        <v>5.4958248556946643E-4</v>
      </c>
      <c r="R179">
        <v>9.586499749290045E-4</v>
      </c>
      <c r="S179">
        <v>2.9432778565046114E-3</v>
      </c>
      <c r="T179">
        <v>1.1803903185951814E-3</v>
      </c>
      <c r="U179">
        <v>-1.0067263869772969E-4</v>
      </c>
      <c r="V179">
        <v>4.4532111581840894E-5</v>
      </c>
      <c r="W179">
        <v>9.2745007227112986E-4</v>
      </c>
      <c r="X179">
        <v>-2.6298584512052248E-4</v>
      </c>
      <c r="Y179">
        <v>4.4532111581840894E-5</v>
      </c>
      <c r="Z179">
        <v>-6.2020357942360604E-4</v>
      </c>
      <c r="AA179">
        <v>-2.6591078116601219E-3</v>
      </c>
      <c r="AC179">
        <v>2.3335942836899548E-4</v>
      </c>
      <c r="AD179">
        <v>-8.3208281118318794E-4</v>
      </c>
      <c r="AE179">
        <v>1.071182096026746E-3</v>
      </c>
      <c r="AF179">
        <v>1.3223938455420026E-3</v>
      </c>
      <c r="AG179">
        <v>1.0392738194535678E-3</v>
      </c>
      <c r="AH179">
        <v>1.6335159985829683E-4</v>
      </c>
      <c r="AI179">
        <v>1.6335159985829683E-4</v>
      </c>
      <c r="AJ179">
        <v>5.717255717255787E-3</v>
      </c>
      <c r="AK179">
        <v>8.3647862899112191E-3</v>
      </c>
      <c r="AL179">
        <v>4.9637849841643877E-3</v>
      </c>
    </row>
    <row r="180" spans="1:38">
      <c r="A180" s="568">
        <v>44090</v>
      </c>
      <c r="B180">
        <v>7.6559597542130708E-5</v>
      </c>
      <c r="C180">
        <v>-5.4413259967245331E-5</v>
      </c>
      <c r="D180">
        <v>6.3227329840653823E-6</v>
      </c>
      <c r="E180">
        <v>1.337802443437397E-4</v>
      </c>
      <c r="F180">
        <v>4.6614720197402093E-5</v>
      </c>
      <c r="G180">
        <v>1.4400896195487789E-4</v>
      </c>
      <c r="H180">
        <v>1.8587295408223348E-4</v>
      </c>
      <c r="I180">
        <v>-2.8435773599166936E-4</v>
      </c>
      <c r="J180">
        <v>-1.3205197650526523E-3</v>
      </c>
      <c r="K180">
        <v>-1.7082882743623129E-3</v>
      </c>
      <c r="L180">
        <v>6.2956720107809616E-4</v>
      </c>
      <c r="M180">
        <v>6.4781534191316048E-4</v>
      </c>
      <c r="N180">
        <v>6.5327353589128556E-4</v>
      </c>
      <c r="O180">
        <v>5.4612392438491142E-4</v>
      </c>
      <c r="P180">
        <v>5.3573019985209136E-4</v>
      </c>
      <c r="Q180">
        <v>5.4958248556946643E-4</v>
      </c>
      <c r="R180">
        <v>5.4188301468660605E-4</v>
      </c>
      <c r="S180">
        <v>-3.5068235037749584E-4</v>
      </c>
      <c r="T180">
        <v>4.9665621299865848E-4</v>
      </c>
      <c r="U180">
        <v>4.0488032058449974E-4</v>
      </c>
      <c r="V180">
        <v>-1.9305120440900048E-3</v>
      </c>
      <c r="W180">
        <v>-2.9802420557958342E-3</v>
      </c>
      <c r="X180">
        <v>-7.5071176101748627E-4</v>
      </c>
      <c r="Y180">
        <v>-1.9305120440900048E-3</v>
      </c>
      <c r="Z180">
        <v>-2.5524915497100453E-3</v>
      </c>
      <c r="AA180">
        <v>1.2901816372752339E-3</v>
      </c>
      <c r="AC180">
        <v>-6.2037191207393594E-3</v>
      </c>
      <c r="AD180">
        <v>-4.5365878945606841E-3</v>
      </c>
      <c r="AE180">
        <v>-8.3834086823094678E-3</v>
      </c>
      <c r="AF180">
        <v>-7.7215087381318215E-3</v>
      </c>
      <c r="AG180">
        <v>-7.9652492535181585E-3</v>
      </c>
      <c r="AH180">
        <v>-4.342603384517551E-3</v>
      </c>
      <c r="AI180">
        <v>-4.342603384517551E-3</v>
      </c>
      <c r="AJ180">
        <v>-7.7519379844961378E-3</v>
      </c>
      <c r="AK180">
        <v>2.5290844714214167E-3</v>
      </c>
      <c r="AL180">
        <v>-1.3871115499065612E-3</v>
      </c>
    </row>
    <row r="181" spans="1:38">
      <c r="A181" s="568">
        <v>44091</v>
      </c>
      <c r="B181">
        <v>7.6559597542130708E-5</v>
      </c>
      <c r="C181">
        <v>2.4590771375421205E-4</v>
      </c>
      <c r="D181">
        <v>7.8746267455631624E-5</v>
      </c>
      <c r="E181">
        <v>1.337802443437397E-4</v>
      </c>
      <c r="F181">
        <v>1.8919210401735498E-4</v>
      </c>
      <c r="G181">
        <v>2.9465530632943882E-4</v>
      </c>
      <c r="H181">
        <v>1.8724096579880722E-4</v>
      </c>
      <c r="I181">
        <v>-1.7042723702720419E-4</v>
      </c>
      <c r="J181">
        <v>9.8819581351916597E-4</v>
      </c>
      <c r="K181">
        <v>1.3082398123283046E-3</v>
      </c>
      <c r="L181">
        <v>6.2956720107809616E-4</v>
      </c>
      <c r="M181">
        <v>6.4781534191316048E-4</v>
      </c>
      <c r="N181">
        <v>6.5327353589128556E-4</v>
      </c>
      <c r="O181">
        <v>5.4612392438491142E-4</v>
      </c>
      <c r="P181">
        <v>5.3573019985209136E-4</v>
      </c>
      <c r="Q181">
        <v>5.4958248556946643E-4</v>
      </c>
      <c r="R181">
        <v>-7.9991559643577403E-4</v>
      </c>
      <c r="S181">
        <v>3.1430529645135596E-3</v>
      </c>
      <c r="T181">
        <v>-2.7899005191368564E-3</v>
      </c>
      <c r="U181">
        <v>9.5948703965365034E-4</v>
      </c>
      <c r="V181">
        <v>-4.5403606568561461E-4</v>
      </c>
      <c r="W181">
        <v>-1.3741675210158233E-3</v>
      </c>
      <c r="X181">
        <v>8.2552087748966052E-4</v>
      </c>
      <c r="Y181">
        <v>-4.5403606568561461E-4</v>
      </c>
      <c r="Z181">
        <v>7.9849031680745419E-4</v>
      </c>
      <c r="AA181">
        <v>-7.9168585055067187E-4</v>
      </c>
      <c r="AC181">
        <v>4.2349347403500825E-3</v>
      </c>
      <c r="AD181">
        <v>-7.005256895984302E-3</v>
      </c>
      <c r="AE181">
        <v>3.350965130595851E-3</v>
      </c>
      <c r="AF181">
        <v>-6.3320316510595553E-4</v>
      </c>
      <c r="AG181">
        <v>-1.7740744483524251E-3</v>
      </c>
      <c r="AH181">
        <v>2.9644543182450575E-3</v>
      </c>
      <c r="AI181">
        <v>2.9644543182450575E-3</v>
      </c>
      <c r="AJ181">
        <v>-8.3333333333333037E-3</v>
      </c>
      <c r="AK181">
        <v>-9.4853683148334866E-3</v>
      </c>
      <c r="AL181">
        <v>-6.003612996056229E-3</v>
      </c>
    </row>
    <row r="182" spans="1:38">
      <c r="A182" s="568">
        <v>44092</v>
      </c>
      <c r="B182">
        <v>7.6559597542130708E-5</v>
      </c>
      <c r="C182">
        <v>-4.9052789450887424E-5</v>
      </c>
      <c r="D182">
        <v>1.5115793878051065E-4</v>
      </c>
      <c r="E182">
        <v>1.337802443437397E-4</v>
      </c>
      <c r="F182">
        <v>2.2982035632668207E-4</v>
      </c>
      <c r="G182">
        <v>1.5219373024510929E-5</v>
      </c>
      <c r="H182">
        <v>1.8860820466737316E-4</v>
      </c>
      <c r="I182">
        <v>-9.9648008858199688E-5</v>
      </c>
      <c r="J182">
        <v>-5.0604970383391068E-3</v>
      </c>
      <c r="K182">
        <v>-6.4406493070592319E-3</v>
      </c>
      <c r="L182">
        <v>6.2956720107809616E-4</v>
      </c>
      <c r="M182">
        <v>6.4781534191316048E-4</v>
      </c>
      <c r="N182">
        <v>6.5327353589128556E-4</v>
      </c>
      <c r="O182">
        <v>5.4612392438491142E-4</v>
      </c>
      <c r="P182">
        <v>5.3573019985209136E-4</v>
      </c>
      <c r="Q182">
        <v>5.4958248556946643E-4</v>
      </c>
      <c r="R182">
        <v>-4.690707663324023E-4</v>
      </c>
      <c r="S182">
        <v>-6.029911268144561E-3</v>
      </c>
      <c r="T182">
        <v>1.7391648531133175E-3</v>
      </c>
      <c r="U182">
        <v>-5.966693500827791E-3</v>
      </c>
      <c r="V182">
        <v>-4.9704086080230026E-3</v>
      </c>
      <c r="W182">
        <v>-3.4053203301370738E-3</v>
      </c>
      <c r="X182">
        <v>2.7525341391143598E-4</v>
      </c>
      <c r="Y182">
        <v>-4.9704086080230026E-3</v>
      </c>
      <c r="Z182">
        <v>-7.0284468769223896E-3</v>
      </c>
      <c r="AA182">
        <v>-5.9752441809013401E-4</v>
      </c>
      <c r="AC182">
        <v>-1.8063234156994401E-2</v>
      </c>
      <c r="AD182">
        <v>-1.3199143057199714E-2</v>
      </c>
      <c r="AE182">
        <v>-1.0144240805798121E-2</v>
      </c>
      <c r="AF182">
        <v>-8.0424374660544862E-3</v>
      </c>
      <c r="AG182">
        <v>-1.7664993260755546E-2</v>
      </c>
      <c r="AH182">
        <v>-1.264426390989608E-2</v>
      </c>
      <c r="AI182">
        <v>-1.264426390989608E-2</v>
      </c>
      <c r="AJ182">
        <v>1.7857142857142794E-2</v>
      </c>
      <c r="AK182">
        <v>3.1581092094539187E-3</v>
      </c>
      <c r="AL182">
        <v>2.3493236024211717E-2</v>
      </c>
    </row>
    <row r="183" spans="1:38">
      <c r="A183" s="568">
        <v>44095</v>
      </c>
      <c r="B183">
        <v>7.6559597542130708E-5</v>
      </c>
      <c r="C183">
        <v>-1.6743663059015645E-4</v>
      </c>
      <c r="D183">
        <v>1.1665560449714008E-4</v>
      </c>
      <c r="E183">
        <v>1.337802443437397E-4</v>
      </c>
      <c r="F183">
        <v>-9.0445278550954633E-5</v>
      </c>
      <c r="G183">
        <v>1.1026513413514571E-4</v>
      </c>
      <c r="H183">
        <v>1.7875844896542148E-4</v>
      </c>
      <c r="I183">
        <v>-1.7068763597660741E-4</v>
      </c>
      <c r="J183">
        <v>-2.0257471261745374E-3</v>
      </c>
      <c r="K183">
        <v>-3.3338408149952148E-3</v>
      </c>
      <c r="L183">
        <v>6.2956720107809616E-4</v>
      </c>
      <c r="M183">
        <v>6.4781534191316048E-4</v>
      </c>
      <c r="N183">
        <v>6.5327353589128556E-4</v>
      </c>
      <c r="O183">
        <v>5.4612392438491142E-4</v>
      </c>
      <c r="P183">
        <v>5.3573019985209136E-4</v>
      </c>
      <c r="Q183">
        <v>5.4958248556946643E-4</v>
      </c>
      <c r="R183">
        <v>-4.9182710375810235E-3</v>
      </c>
      <c r="S183">
        <v>-3.7158734274426175E-3</v>
      </c>
      <c r="T183">
        <v>-4.4697254831317368E-3</v>
      </c>
      <c r="U183">
        <v>-4.5605944443412039E-3</v>
      </c>
      <c r="V183">
        <v>-4.9503774794767974E-3</v>
      </c>
      <c r="W183">
        <v>-5.5312638567908134E-3</v>
      </c>
      <c r="X183">
        <v>-2.920764970966494E-3</v>
      </c>
      <c r="Y183">
        <v>-4.9503774794767974E-3</v>
      </c>
      <c r="Z183">
        <v>-5.0799268201213721E-3</v>
      </c>
      <c r="AA183">
        <v>1.9683537856240996E-4</v>
      </c>
      <c r="AC183">
        <v>-1.3215930741885429E-2</v>
      </c>
      <c r="AD183">
        <v>-1.0715806737569111E-2</v>
      </c>
      <c r="AE183">
        <v>1.0000001005039394E-7</v>
      </c>
      <c r="AF183">
        <v>-1.5708393807439158E-2</v>
      </c>
      <c r="AG183">
        <v>-1.437609563353337E-2</v>
      </c>
      <c r="AH183">
        <v>-9.2511515193197998E-3</v>
      </c>
      <c r="AI183">
        <v>-9.2511515193197998E-3</v>
      </c>
      <c r="AJ183">
        <v>-1.4293085655314841E-2</v>
      </c>
      <c r="AK183">
        <v>-1.0866253681324212E-2</v>
      </c>
      <c r="AL183">
        <v>-1.3413165476106936E-2</v>
      </c>
    </row>
    <row r="184" spans="1:38">
      <c r="A184" s="568">
        <v>44096</v>
      </c>
      <c r="B184">
        <v>7.6559597542130708E-5</v>
      </c>
      <c r="C184">
        <v>2.0722955283036804E-4</v>
      </c>
      <c r="D184">
        <v>1.252608643689257E-4</v>
      </c>
      <c r="E184">
        <v>1.337802443437397E-4</v>
      </c>
      <c r="F184">
        <v>2.7821291373886226E-4</v>
      </c>
      <c r="G184">
        <v>1.017115621109177E-4</v>
      </c>
      <c r="H184">
        <v>1.801282765647727E-4</v>
      </c>
      <c r="I184">
        <v>-8.360713806121467E-5</v>
      </c>
      <c r="J184">
        <v>2.7132431014942338E-3</v>
      </c>
      <c r="K184">
        <v>3.4657709047438701E-3</v>
      </c>
      <c r="L184">
        <v>6.2956720107809616E-4</v>
      </c>
      <c r="M184">
        <v>6.4781534191316048E-4</v>
      </c>
      <c r="N184">
        <v>6.5327353589128556E-4</v>
      </c>
      <c r="O184">
        <v>5.4612392438491142E-4</v>
      </c>
      <c r="P184">
        <v>5.3573019985209136E-4</v>
      </c>
      <c r="Q184">
        <v>5.4958248556946643E-4</v>
      </c>
      <c r="R184">
        <v>-6.5047492390224448E-4</v>
      </c>
      <c r="S184">
        <v>-2.0729314458469705E-3</v>
      </c>
      <c r="T184">
        <v>3.6656604001115145E-3</v>
      </c>
      <c r="U184">
        <v>-4.6042639705690114E-4</v>
      </c>
      <c r="V184">
        <v>2.0499356908920685E-3</v>
      </c>
      <c r="W184">
        <v>9.4196603370888532E-4</v>
      </c>
      <c r="X184">
        <v>2.3868793957586565E-3</v>
      </c>
      <c r="Y184">
        <v>2.0499356908920685E-3</v>
      </c>
      <c r="Z184">
        <v>-8.9083949901214154E-4</v>
      </c>
      <c r="AA184">
        <v>-8.2939714428431621E-4</v>
      </c>
      <c r="AC184">
        <v>3.1221543669330831E-3</v>
      </c>
      <c r="AD184">
        <v>5.3990279312465805E-3</v>
      </c>
      <c r="AE184">
        <v>0</v>
      </c>
      <c r="AF184">
        <v>7.1839526076611371E-3</v>
      </c>
      <c r="AG184">
        <v>7.5324951716566613E-3</v>
      </c>
      <c r="AH184">
        <v>2.1855080568531581E-3</v>
      </c>
      <c r="AI184">
        <v>2.1855080568531581E-3</v>
      </c>
      <c r="AJ184">
        <v>2.4969900015704427E-2</v>
      </c>
      <c r="AK184">
        <v>-3.9014373716633743E-3</v>
      </c>
      <c r="AL184">
        <v>2.5979157176792E-4</v>
      </c>
    </row>
    <row r="185" spans="1:38">
      <c r="A185" s="568">
        <v>44097</v>
      </c>
      <c r="B185">
        <v>7.6559597542130708E-5</v>
      </c>
      <c r="C185">
        <v>-1.4136303183254206E-5</v>
      </c>
      <c r="D185">
        <v>7.6411047773561336E-5</v>
      </c>
      <c r="E185">
        <v>1.337802443437397E-4</v>
      </c>
      <c r="F185">
        <v>5.5261739694278944E-5</v>
      </c>
      <c r="G185">
        <v>2.2077803002362728E-4</v>
      </c>
      <c r="H185">
        <v>1.7939507420372536E-4</v>
      </c>
      <c r="I185">
        <v>-8.3255433284135094E-5</v>
      </c>
      <c r="J185">
        <v>-1.5742855856096805E-3</v>
      </c>
      <c r="K185">
        <v>-1.7195937835227104E-3</v>
      </c>
      <c r="L185">
        <v>6.2956720107809616E-4</v>
      </c>
      <c r="M185">
        <v>6.4781534191316048E-4</v>
      </c>
      <c r="N185">
        <v>6.5327353589128556E-4</v>
      </c>
      <c r="O185">
        <v>5.4612392438491142E-4</v>
      </c>
      <c r="P185">
        <v>5.3573019985209136E-4</v>
      </c>
      <c r="Q185">
        <v>5.4958248556946643E-4</v>
      </c>
      <c r="R185">
        <v>-1.7505366209170647E-3</v>
      </c>
      <c r="S185">
        <v>-9.0893641675106052E-3</v>
      </c>
      <c r="T185">
        <v>1.0170469385164527E-3</v>
      </c>
      <c r="U185">
        <v>-1.69306970689731E-3</v>
      </c>
      <c r="V185">
        <v>-5.089213408211557E-3</v>
      </c>
      <c r="W185">
        <v>-3.9944255048494082E-3</v>
      </c>
      <c r="X185">
        <v>1.1074695080521835E-3</v>
      </c>
      <c r="Y185">
        <v>-5.089213408211557E-3</v>
      </c>
      <c r="Z185">
        <v>-2.2994766462863803E-3</v>
      </c>
      <c r="AA185">
        <v>-2.0690173195232475E-3</v>
      </c>
      <c r="AC185">
        <v>-1.6020796447533736E-2</v>
      </c>
      <c r="AD185">
        <v>-1.6333227626255997E-2</v>
      </c>
      <c r="AE185">
        <v>-1.3613499999999945E-2</v>
      </c>
      <c r="AF185">
        <v>-9.7387474723886758E-3</v>
      </c>
      <c r="AG185">
        <v>-1.674699062439422E-2</v>
      </c>
      <c r="AH185">
        <v>-1.1214557513273615E-2</v>
      </c>
      <c r="AI185">
        <v>-1.1214557513273615E-2</v>
      </c>
      <c r="AJ185">
        <v>1.1235955056179137E-3</v>
      </c>
      <c r="AK185">
        <v>-2.0614306328592402E-3</v>
      </c>
      <c r="AL185">
        <v>1.9314360724710378E-2</v>
      </c>
    </row>
    <row r="186" spans="1:38">
      <c r="A186" s="568">
        <v>44098</v>
      </c>
      <c r="B186">
        <v>7.6559597542130708E-5</v>
      </c>
      <c r="C186">
        <v>3.3712506366434525E-4</v>
      </c>
      <c r="D186">
        <v>3.2745089816543782E-5</v>
      </c>
      <c r="E186">
        <v>1.337802443437397E-4</v>
      </c>
      <c r="F186">
        <v>3.0141101456315766E-4</v>
      </c>
      <c r="G186">
        <v>2.3221232489989418E-4</v>
      </c>
      <c r="H186">
        <v>1.7936289738340605E-4</v>
      </c>
      <c r="I186">
        <v>-1.2999085528841992E-4</v>
      </c>
      <c r="J186">
        <v>3.1780879798215533E-3</v>
      </c>
      <c r="K186">
        <v>3.490401696041312E-3</v>
      </c>
      <c r="L186">
        <v>6.2956720107809616E-4</v>
      </c>
      <c r="M186">
        <v>6.4781534191316048E-4</v>
      </c>
      <c r="N186">
        <v>6.5327353589128556E-4</v>
      </c>
      <c r="O186">
        <v>5.4612392438491142E-4</v>
      </c>
      <c r="P186">
        <v>5.3573019985209136E-4</v>
      </c>
      <c r="Q186">
        <v>5.4958248556946643E-4</v>
      </c>
      <c r="R186">
        <v>-2.422414688243002E-3</v>
      </c>
      <c r="S186">
        <v>6.8654975073059177E-3</v>
      </c>
      <c r="T186">
        <v>-4.3021234463470615E-3</v>
      </c>
      <c r="U186">
        <v>1.3788247400217113E-3</v>
      </c>
      <c r="V186">
        <v>1.8726641573676428E-3</v>
      </c>
      <c r="W186">
        <v>-4.490276596299525E-4</v>
      </c>
      <c r="X186">
        <v>-3.2387004553935395E-4</v>
      </c>
      <c r="Y186">
        <v>1.8726641573676428E-3</v>
      </c>
      <c r="Z186">
        <v>-1.6092740694154672E-3</v>
      </c>
      <c r="AA186">
        <v>-3.3261734371003993E-4</v>
      </c>
      <c r="AC186">
        <v>1.3341540726770074E-2</v>
      </c>
      <c r="AD186">
        <v>7.8142347625063113E-3</v>
      </c>
      <c r="AE186">
        <v>1.380138515683238E-2</v>
      </c>
      <c r="AF186">
        <v>2.9642837009131728E-3</v>
      </c>
      <c r="AG186">
        <v>3.8663895115813585E-3</v>
      </c>
      <c r="AH186">
        <v>9.3390785087390515E-3</v>
      </c>
      <c r="AI186">
        <v>9.3390785087390515E-3</v>
      </c>
      <c r="AJ186">
        <v>-1.5304560759106245E-2</v>
      </c>
      <c r="AK186">
        <v>-1.8178062383804927E-2</v>
      </c>
      <c r="AL186">
        <v>-1.96399528221749E-2</v>
      </c>
    </row>
    <row r="187" spans="1:38">
      <c r="A187" s="568">
        <v>44099</v>
      </c>
      <c r="B187">
        <v>7.6559597542130708E-5</v>
      </c>
      <c r="C187">
        <v>-4.4345050303262745E-5</v>
      </c>
      <c r="D187">
        <v>7.1232599714088352E-5</v>
      </c>
      <c r="E187">
        <v>1.337802443437397E-4</v>
      </c>
      <c r="F187">
        <v>3.789329704100286E-4</v>
      </c>
      <c r="G187">
        <v>-1.2716707762105983E-4</v>
      </c>
      <c r="H187">
        <v>1.8003124277599092E-4</v>
      </c>
      <c r="I187">
        <v>-1.30492798841364E-4</v>
      </c>
      <c r="J187">
        <v>-1.415344784915229E-4</v>
      </c>
      <c r="K187">
        <v>-3.3237346585701655E-4</v>
      </c>
      <c r="L187">
        <v>6.2956720107809616E-4</v>
      </c>
      <c r="M187">
        <v>6.4781534191316048E-4</v>
      </c>
      <c r="N187">
        <v>6.5327353589128556E-4</v>
      </c>
      <c r="O187">
        <v>5.4612392438491142E-4</v>
      </c>
      <c r="P187">
        <v>5.3573019985209136E-4</v>
      </c>
      <c r="Q187">
        <v>5.4958248556946643E-4</v>
      </c>
      <c r="R187">
        <v>-3.2325572825320226E-4</v>
      </c>
      <c r="S187">
        <v>-2.1498823685066615E-3</v>
      </c>
      <c r="T187">
        <v>7.3697217251877944E-4</v>
      </c>
      <c r="U187">
        <v>5.3016501156388784E-4</v>
      </c>
      <c r="V187">
        <v>7.3279718775820513E-4</v>
      </c>
      <c r="W187">
        <v>8.1074642009237863E-4</v>
      </c>
      <c r="X187">
        <v>-7.9270192130165285E-5</v>
      </c>
      <c r="Y187">
        <v>7.3279718775820513E-4</v>
      </c>
      <c r="Z187">
        <v>-7.8687743583294445E-4</v>
      </c>
      <c r="AA187">
        <v>-5.3484568008055344E-4</v>
      </c>
      <c r="AC187">
        <v>-1.30808465379606E-4</v>
      </c>
      <c r="AD187">
        <v>1.9435266887459779E-3</v>
      </c>
      <c r="AE187">
        <v>0</v>
      </c>
      <c r="AF187">
        <v>2.8694515116336472E-3</v>
      </c>
      <c r="AG187">
        <v>5.8462386729829507E-3</v>
      </c>
      <c r="AH187">
        <v>-9.1565925765724193E-5</v>
      </c>
      <c r="AI187">
        <v>-9.1565925765724193E-5</v>
      </c>
      <c r="AJ187">
        <v>2.5800435188063409E-2</v>
      </c>
      <c r="AK187">
        <v>-3.0507048180097307E-3</v>
      </c>
      <c r="AL187">
        <v>9.3699611736186572E-3</v>
      </c>
    </row>
    <row r="188" spans="1:38">
      <c r="A188" s="568">
        <v>44102</v>
      </c>
      <c r="B188">
        <v>7.6559597542130708E-5</v>
      </c>
      <c r="C188">
        <v>-4.0725085662307592E-4</v>
      </c>
      <c r="D188">
        <v>-7.3525188120981966E-5</v>
      </c>
      <c r="E188">
        <v>1.337802443437397E-4</v>
      </c>
      <c r="F188">
        <v>-2.0856237543875888E-4</v>
      </c>
      <c r="G188">
        <v>1.3778185540536114E-4</v>
      </c>
      <c r="H188">
        <v>1.8350076026751871E-4</v>
      </c>
      <c r="I188">
        <v>-3.2393523510743094E-4</v>
      </c>
      <c r="J188">
        <v>-5.2860933411598143E-3</v>
      </c>
      <c r="K188">
        <v>-6.0079418661207473E-3</v>
      </c>
      <c r="L188">
        <v>6.2956720107809616E-4</v>
      </c>
      <c r="M188">
        <v>6.4781534191316048E-4</v>
      </c>
      <c r="N188">
        <v>6.5327353589128556E-4</v>
      </c>
      <c r="O188">
        <v>5.4612392438491142E-4</v>
      </c>
      <c r="P188">
        <v>5.3573019985209136E-4</v>
      </c>
      <c r="Q188">
        <v>5.4958248556946643E-4</v>
      </c>
      <c r="R188">
        <v>2.2926242172256472E-3</v>
      </c>
      <c r="S188">
        <v>-7.9196421707491416E-3</v>
      </c>
      <c r="T188">
        <v>7.2516260600263838E-3</v>
      </c>
      <c r="U188">
        <v>-3.6383426794593943E-3</v>
      </c>
      <c r="V188">
        <v>-3.9796771155300448E-3</v>
      </c>
      <c r="W188">
        <v>2.2745280102705046E-3</v>
      </c>
      <c r="X188">
        <v>-2.1709086414960499E-3</v>
      </c>
      <c r="Y188">
        <v>-3.9796771155300448E-3</v>
      </c>
      <c r="Z188">
        <v>-3.0310559401067749E-3</v>
      </c>
      <c r="AA188">
        <v>-2.3259791891672155E-4</v>
      </c>
      <c r="AC188">
        <v>-2.4051803217711387E-2</v>
      </c>
      <c r="AD188">
        <v>-2.0511015945402833E-2</v>
      </c>
      <c r="AE188">
        <v>-1.5651399999999982E-2</v>
      </c>
      <c r="AF188">
        <v>-1.4805318754668284E-2</v>
      </c>
      <c r="AG188">
        <v>-1.7017460435742704E-2</v>
      </c>
      <c r="AH188">
        <v>-1.6836262252397968E-2</v>
      </c>
      <c r="AI188">
        <v>-1.6836262252397968E-2</v>
      </c>
      <c r="AJ188">
        <v>3.2828282828282873E-2</v>
      </c>
      <c r="AK188">
        <v>1.1184974147937066E-2</v>
      </c>
      <c r="AL188">
        <v>1.7267891692223314E-2</v>
      </c>
    </row>
    <row r="189" spans="1:38">
      <c r="A189" s="568">
        <v>44103</v>
      </c>
      <c r="B189">
        <v>7.6559597542130708E-5</v>
      </c>
      <c r="C189">
        <v>-7.3780767350206666E-5</v>
      </c>
      <c r="D189">
        <v>2.1254937464521007E-5</v>
      </c>
      <c r="E189">
        <v>1.337802443437397E-4</v>
      </c>
      <c r="F189">
        <v>1.1685581179654569E-4</v>
      </c>
      <c r="G189">
        <v>1.1853101995051851E-4</v>
      </c>
      <c r="H189">
        <v>1.8346709391647842E-4</v>
      </c>
      <c r="I189">
        <v>-2.937512932066344E-4</v>
      </c>
      <c r="J189">
        <v>2.1269710130078501E-4</v>
      </c>
      <c r="K189">
        <v>-4.2704103252133585E-5</v>
      </c>
      <c r="L189">
        <v>6.2956720107809616E-4</v>
      </c>
      <c r="M189">
        <v>6.4781534191316048E-4</v>
      </c>
      <c r="N189">
        <v>6.5327353589128556E-4</v>
      </c>
      <c r="O189">
        <v>5.4612392438491142E-4</v>
      </c>
      <c r="P189">
        <v>5.3573019985209136E-4</v>
      </c>
      <c r="Q189">
        <v>5.4958248556946643E-4</v>
      </c>
      <c r="R189">
        <v>4.81995189081319E-4</v>
      </c>
      <c r="S189">
        <v>1.6073712942699103E-3</v>
      </c>
      <c r="T189">
        <v>8.6467720069682841E-4</v>
      </c>
      <c r="U189">
        <v>-9.8248330507011428E-4</v>
      </c>
      <c r="V189">
        <v>-2.3760371855147122E-3</v>
      </c>
      <c r="W189">
        <v>1.7252146621982156E-4</v>
      </c>
      <c r="X189">
        <v>-2.3098933578014069E-4</v>
      </c>
      <c r="Y189">
        <v>-2.3760371855147122E-3</v>
      </c>
      <c r="Z189">
        <v>-3.2892211055346454E-4</v>
      </c>
      <c r="AA189">
        <v>-3.1024355220132804E-3</v>
      </c>
      <c r="AC189">
        <v>-1.1472078204752045E-2</v>
      </c>
      <c r="AD189">
        <v>-7.772512764133821E-3</v>
      </c>
      <c r="AE189">
        <v>-1.1479165003129954E-2</v>
      </c>
      <c r="AF189">
        <v>-7.2488070102958435E-3</v>
      </c>
      <c r="AG189">
        <v>-1.3263723370894986E-2</v>
      </c>
      <c r="AH189">
        <v>-8.030454743326431E-3</v>
      </c>
      <c r="AI189">
        <v>-8.030454743326431E-3</v>
      </c>
      <c r="AJ189">
        <v>1.5647921760391093E-2</v>
      </c>
      <c r="AK189">
        <v>-3.6523009495982306E-3</v>
      </c>
      <c r="AL189">
        <v>1.5449178739035396E-3</v>
      </c>
    </row>
    <row r="190" spans="1:38">
      <c r="A190" s="568">
        <v>44104</v>
      </c>
      <c r="B190">
        <v>7.6559597542130708E-5</v>
      </c>
      <c r="C190">
        <v>3.0653093115429186E-4</v>
      </c>
      <c r="D190">
        <v>-3.6764515808473952E-5</v>
      </c>
      <c r="E190">
        <v>1.337802443437397E-4</v>
      </c>
      <c r="F190">
        <v>3.4322383945140089E-4</v>
      </c>
      <c r="G190">
        <v>2.2918513793257489E-4</v>
      </c>
      <c r="H190">
        <v>1.750319083166918E-4</v>
      </c>
      <c r="I190">
        <v>-3.3562070532555666E-4</v>
      </c>
      <c r="J190">
        <v>2.5629795216248752E-3</v>
      </c>
      <c r="K190">
        <v>3.1809350500460187E-3</v>
      </c>
      <c r="L190">
        <v>6.2956720107809616E-4</v>
      </c>
      <c r="M190">
        <v>6.4781534191316048E-4</v>
      </c>
      <c r="N190">
        <v>6.5327353589128556E-4</v>
      </c>
      <c r="O190">
        <v>5.4612392438491142E-4</v>
      </c>
      <c r="P190">
        <v>5.3573019985209136E-4</v>
      </c>
      <c r="Q190">
        <v>5.4958248556946643E-4</v>
      </c>
      <c r="R190">
        <v>1.6374781932921856E-3</v>
      </c>
      <c r="S190">
        <v>2.4951596697544431E-3</v>
      </c>
      <c r="T190">
        <v>-2.9642002335350526E-3</v>
      </c>
      <c r="U190">
        <v>1.8585024790791493E-3</v>
      </c>
      <c r="V190">
        <v>2.2455229718869596E-3</v>
      </c>
      <c r="W190">
        <v>2.8413873767973996E-4</v>
      </c>
      <c r="X190">
        <v>1.4601821623616562E-3</v>
      </c>
      <c r="Y190">
        <v>2.2455229718869596E-3</v>
      </c>
      <c r="Z190">
        <v>-3.5369432231311393E-3</v>
      </c>
      <c r="AA190">
        <v>1.4799968008565312E-3</v>
      </c>
      <c r="AC190">
        <v>1.0932102733105742E-2</v>
      </c>
      <c r="AD190">
        <v>1.1149459541665463E-2</v>
      </c>
      <c r="AE190">
        <v>1.5529946022251107E-2</v>
      </c>
      <c r="AF190">
        <v>7.0405198102916344E-3</v>
      </c>
      <c r="AG190">
        <v>8.9369527810365668E-3</v>
      </c>
      <c r="AH190">
        <v>7.6524719131740191E-3</v>
      </c>
      <c r="AI190">
        <v>7.6524719131740191E-3</v>
      </c>
      <c r="AJ190">
        <v>-1.7910447761193993E-2</v>
      </c>
      <c r="AK190">
        <v>2.2622538751571053E-2</v>
      </c>
      <c r="AL190">
        <v>7.8007953092054105E-3</v>
      </c>
    </row>
    <row r="191" spans="1:38">
      <c r="A191" s="568">
        <v>44105</v>
      </c>
      <c r="B191">
        <v>7.6559597542130708E-5</v>
      </c>
      <c r="C191">
        <v>-4.5151270380272557E-4</v>
      </c>
      <c r="D191">
        <v>-5.4574334552137671E-5</v>
      </c>
      <c r="E191">
        <v>1.337802443437397E-4</v>
      </c>
      <c r="F191">
        <v>-5.9313550591078013E-6</v>
      </c>
      <c r="G191">
        <v>1.2555212281606387E-5</v>
      </c>
      <c r="H191">
        <v>1.6730122129904323E-4</v>
      </c>
      <c r="I191">
        <v>-5.4110331993650895E-4</v>
      </c>
      <c r="J191">
        <v>3.3090788034417784E-4</v>
      </c>
      <c r="K191">
        <v>2.9005047599794942E-4</v>
      </c>
      <c r="L191">
        <v>7.336085408597981E-4</v>
      </c>
      <c r="M191">
        <v>7.5185857906157061E-4</v>
      </c>
      <c r="N191">
        <v>7.573173405599487E-4</v>
      </c>
      <c r="O191">
        <v>5.4612392438491142E-4</v>
      </c>
      <c r="P191">
        <v>5.3573019985209136E-4</v>
      </c>
      <c r="Q191">
        <v>5.4958248556946643E-4</v>
      </c>
      <c r="R191">
        <v>1.7667958281983864E-3</v>
      </c>
      <c r="S191">
        <v>2.2770973841885755E-3</v>
      </c>
      <c r="T191">
        <v>3.7191329544270513E-3</v>
      </c>
      <c r="U191">
        <v>-1.8235919732834116E-3</v>
      </c>
      <c r="V191">
        <v>2.8931916752805709E-3</v>
      </c>
      <c r="W191">
        <v>1.8153729132659446E-3</v>
      </c>
      <c r="X191">
        <v>2.6694757901197796E-3</v>
      </c>
      <c r="Y191">
        <v>2.8931916752805709E-3</v>
      </c>
      <c r="Z191">
        <v>2.4804874984685199E-5</v>
      </c>
      <c r="AA191">
        <v>-5.2177769865990875E-4</v>
      </c>
      <c r="AC191">
        <v>9.2506208551956792E-3</v>
      </c>
      <c r="AD191">
        <v>1.3548546996070998E-2</v>
      </c>
      <c r="AE191">
        <v>1.1981353231585334E-2</v>
      </c>
      <c r="AF191">
        <v>5.2156228552679984E-3</v>
      </c>
      <c r="AG191">
        <v>1.0270485131664842E-2</v>
      </c>
      <c r="AH191">
        <v>6.4754345986369755E-3</v>
      </c>
      <c r="AI191">
        <v>6.4754345986369755E-3</v>
      </c>
      <c r="AJ191">
        <v>1.3824884792626779E-2</v>
      </c>
      <c r="AK191">
        <v>-4.0966816878329482E-4</v>
      </c>
      <c r="AL191">
        <v>5.1638739950929935E-3</v>
      </c>
    </row>
    <row r="192" spans="1:38">
      <c r="A192" s="568">
        <v>44106</v>
      </c>
      <c r="B192">
        <v>7.6559597542130708E-5</v>
      </c>
      <c r="C192">
        <v>-6.5549244159135434E-4</v>
      </c>
      <c r="D192">
        <v>-1.4075201792440595E-4</v>
      </c>
      <c r="E192">
        <v>1.337802443437397E-4</v>
      </c>
      <c r="F192">
        <v>1.3915954025334187E-4</v>
      </c>
      <c r="G192">
        <v>7.6115018817324298E-5</v>
      </c>
      <c r="H192">
        <v>1.6097424412087058E-4</v>
      </c>
      <c r="I192">
        <v>-1.227510451750069E-4</v>
      </c>
      <c r="J192">
        <v>-3.0403217501907553E-3</v>
      </c>
      <c r="K192">
        <v>-4.4060953144168247E-3</v>
      </c>
      <c r="L192">
        <v>7.336085408597981E-4</v>
      </c>
      <c r="M192">
        <v>7.5185857906157061E-4</v>
      </c>
      <c r="N192">
        <v>7.573173405599487E-4</v>
      </c>
      <c r="O192">
        <v>5.4612392438491142E-4</v>
      </c>
      <c r="P192">
        <v>5.3573019985209136E-4</v>
      </c>
      <c r="Q192">
        <v>5.4958248556946643E-4</v>
      </c>
      <c r="R192">
        <v>-6.5366702702984725E-4</v>
      </c>
      <c r="S192">
        <v>-2.9096788300415621E-3</v>
      </c>
      <c r="T192">
        <v>5.4613698877283845E-3</v>
      </c>
      <c r="U192">
        <v>-1.9498194159897064E-3</v>
      </c>
      <c r="V192">
        <v>-4.922300438305327E-3</v>
      </c>
      <c r="W192">
        <v>-3.6890101922317786E-3</v>
      </c>
      <c r="X192">
        <v>-2.3376131911608811E-3</v>
      </c>
      <c r="Y192">
        <v>-4.922300438305327E-3</v>
      </c>
      <c r="Z192">
        <v>3.5979512214900922E-4</v>
      </c>
      <c r="AA192">
        <v>8.8050294650399152E-4</v>
      </c>
      <c r="AC192">
        <v>-1.5321142388885045E-2</v>
      </c>
      <c r="AD192">
        <v>-1.6250301600577055E-2</v>
      </c>
      <c r="AE192">
        <v>-1.5946000000000016E-2</v>
      </c>
      <c r="AF192">
        <v>-1.3113404005198892E-2</v>
      </c>
      <c r="AG192">
        <v>-1.2009970482387611E-2</v>
      </c>
      <c r="AH192">
        <v>-1.072479967221953E-2</v>
      </c>
      <c r="AI192">
        <v>-1.072479967221953E-2</v>
      </c>
      <c r="AJ192">
        <v>-6.7698259187620735E-3</v>
      </c>
      <c r="AK192">
        <v>-4.2008196721311508E-3</v>
      </c>
      <c r="AL192">
        <v>1.7135290857903662E-3</v>
      </c>
    </row>
    <row r="193" spans="1:38">
      <c r="A193" s="568">
        <v>44109</v>
      </c>
      <c r="B193">
        <v>7.6559597542130708E-5</v>
      </c>
      <c r="C193">
        <v>-3.1839980554615455E-4</v>
      </c>
      <c r="D193">
        <v>-1.562854622918497E-4</v>
      </c>
      <c r="E193">
        <v>1.337802443437397E-4</v>
      </c>
      <c r="F193">
        <v>3.7043221044918972E-4</v>
      </c>
      <c r="G193">
        <v>6.6791730340298727E-5</v>
      </c>
      <c r="H193">
        <v>1.714449661658346E-4</v>
      </c>
      <c r="I193">
        <v>-1.9568007959225309E-4</v>
      </c>
      <c r="J193">
        <v>2.4476862383648879E-3</v>
      </c>
      <c r="K193">
        <v>3.3457115048440844E-3</v>
      </c>
      <c r="L193">
        <v>7.336085408597981E-4</v>
      </c>
      <c r="M193">
        <v>7.5185857906157061E-4</v>
      </c>
      <c r="N193">
        <v>7.573173405599487E-4</v>
      </c>
      <c r="O193">
        <v>5.4612392438491142E-4</v>
      </c>
      <c r="P193">
        <v>5.3573019985209136E-4</v>
      </c>
      <c r="Q193">
        <v>5.4958248556946643E-4</v>
      </c>
      <c r="R193">
        <v>1.9346278446199516E-3</v>
      </c>
      <c r="S193">
        <v>4.6448753296994827E-3</v>
      </c>
      <c r="T193">
        <v>-6.5531220887971031E-4</v>
      </c>
      <c r="U193">
        <v>-1.4324426162010129E-3</v>
      </c>
      <c r="V193">
        <v>3.7506974161565232E-3</v>
      </c>
      <c r="W193">
        <v>2.6092636551464654E-3</v>
      </c>
      <c r="X193">
        <v>1.3282415682525084E-3</v>
      </c>
      <c r="Y193">
        <v>3.7506974161565232E-3</v>
      </c>
      <c r="Z193">
        <v>-5.4659057430536118E-3</v>
      </c>
      <c r="AA193">
        <v>-2.9779078540206338E-3</v>
      </c>
      <c r="AC193">
        <v>2.2054938069905106E-2</v>
      </c>
      <c r="AD193">
        <v>1.2502725885003896E-2</v>
      </c>
      <c r="AE193">
        <v>1.6204395287250595E-2</v>
      </c>
      <c r="AF193">
        <v>1.3425763085091358E-2</v>
      </c>
      <c r="AG193">
        <v>1.1339423913640845E-2</v>
      </c>
      <c r="AH193">
        <v>1.5438456648933573E-2</v>
      </c>
      <c r="AI193">
        <v>1.5438456648933573E-2</v>
      </c>
      <c r="AJ193">
        <v>-1.8500486854916565E-3</v>
      </c>
      <c r="AK193">
        <v>7.7168432966354672E-3</v>
      </c>
      <c r="AL193">
        <v>-1.148570328222287E-2</v>
      </c>
    </row>
    <row r="194" spans="1:38">
      <c r="A194" s="568">
        <v>44110</v>
      </c>
      <c r="B194">
        <v>7.6559597542130708E-5</v>
      </c>
      <c r="C194">
        <v>9.4996394170987486E-5</v>
      </c>
      <c r="D194">
        <v>7.7580276909960943E-5</v>
      </c>
      <c r="E194">
        <v>1.337802443437397E-4</v>
      </c>
      <c r="F194">
        <v>3.0736312536316923E-4</v>
      </c>
      <c r="G194">
        <v>2.8244836441815302E-4</v>
      </c>
      <c r="H194">
        <v>1.7491385492629519E-4</v>
      </c>
      <c r="I194">
        <v>-1.9272413300763791E-4</v>
      </c>
      <c r="J194">
        <v>-3.5516296395254887E-4</v>
      </c>
      <c r="K194">
        <v>-1.9426396768695842E-4</v>
      </c>
      <c r="L194">
        <v>7.336085408597981E-4</v>
      </c>
      <c r="M194">
        <v>7.5185857906157061E-4</v>
      </c>
      <c r="N194">
        <v>7.573173405599487E-4</v>
      </c>
      <c r="O194">
        <v>5.4612392438491142E-4</v>
      </c>
      <c r="P194">
        <v>5.3573019985209136E-4</v>
      </c>
      <c r="Q194">
        <v>5.4958248556946643E-4</v>
      </c>
      <c r="R194">
        <v>6.0468767753074637E-4</v>
      </c>
      <c r="S194">
        <v>-2.3993512246858195E-3</v>
      </c>
      <c r="T194">
        <v>2.9518070294460852E-3</v>
      </c>
      <c r="U194">
        <v>-1.1836664792582718E-3</v>
      </c>
      <c r="V194">
        <v>-2.9334950346009414E-3</v>
      </c>
      <c r="W194">
        <v>-3.0438903255274319E-3</v>
      </c>
      <c r="X194">
        <v>8.9915883776958694E-4</v>
      </c>
      <c r="Y194">
        <v>-2.9334950346009414E-3</v>
      </c>
      <c r="Z194">
        <v>9.8680930051009419E-4</v>
      </c>
      <c r="AA194">
        <v>1.1370363873297595E-3</v>
      </c>
      <c r="AC194">
        <v>-4.9345821314551452E-3</v>
      </c>
      <c r="AD194">
        <v>-2.7140638814125984E-3</v>
      </c>
      <c r="AE194">
        <v>0</v>
      </c>
      <c r="AF194">
        <v>-6.0566945145065221E-3</v>
      </c>
      <c r="AG194">
        <v>-6.0086985653170499E-3</v>
      </c>
      <c r="AH194">
        <v>-3.4542074920186016E-3</v>
      </c>
      <c r="AI194">
        <v>-3.4542074920186016E-3</v>
      </c>
      <c r="AJ194">
        <v>-7.6577894839529037E-3</v>
      </c>
      <c r="AK194">
        <v>1.1741882785378799E-2</v>
      </c>
      <c r="AL194">
        <v>8.962777117233367E-3</v>
      </c>
    </row>
    <row r="195" spans="1:38">
      <c r="A195" s="568">
        <v>44111</v>
      </c>
      <c r="B195">
        <v>7.6559597542130708E-5</v>
      </c>
      <c r="C195">
        <v>1.745708907430199E-4</v>
      </c>
      <c r="D195">
        <v>1.6204400701513855E-4</v>
      </c>
      <c r="E195">
        <v>1.337802443437397E-4</v>
      </c>
      <c r="F195">
        <v>2.1609103176634115E-4</v>
      </c>
      <c r="G195">
        <v>1.0784912181094342E-6</v>
      </c>
      <c r="H195">
        <v>1.8397719522234013E-4</v>
      </c>
      <c r="I195">
        <v>1.1232490470192147E-4</v>
      </c>
      <c r="J195">
        <v>-2.9913576128515196E-4</v>
      </c>
      <c r="K195">
        <v>2.7751187882008033E-4</v>
      </c>
      <c r="L195">
        <v>7.336085408597981E-4</v>
      </c>
      <c r="M195">
        <v>7.5185857906157061E-4</v>
      </c>
      <c r="N195">
        <v>7.573173405599487E-4</v>
      </c>
      <c r="O195">
        <v>5.4612392438491142E-4</v>
      </c>
      <c r="P195">
        <v>5.3573019985209136E-4</v>
      </c>
      <c r="Q195">
        <v>5.4958248556946643E-4</v>
      </c>
      <c r="R195">
        <v>5.8635938184647962E-4</v>
      </c>
      <c r="S195">
        <v>7.962668663008543E-4</v>
      </c>
      <c r="T195">
        <v>7.5120481959611851E-4</v>
      </c>
      <c r="U195">
        <v>-2.7269560800148307E-3</v>
      </c>
      <c r="V195">
        <v>1.2029906721544581E-3</v>
      </c>
      <c r="W195">
        <v>2.9484119655447394E-3</v>
      </c>
      <c r="X195">
        <v>5.598436237435056E-4</v>
      </c>
      <c r="Y195">
        <v>1.2029906721544581E-3</v>
      </c>
      <c r="Z195">
        <v>1.7555441584302667E-3</v>
      </c>
      <c r="AA195">
        <v>-5.9859419185814833E-4</v>
      </c>
      <c r="AC195">
        <v>-9.2841052290637549E-4</v>
      </c>
      <c r="AD195">
        <v>3.508787827073423E-4</v>
      </c>
      <c r="AE195">
        <v>0</v>
      </c>
      <c r="AF195">
        <v>1.0540781246341391E-2</v>
      </c>
      <c r="AG195">
        <v>-1.476324151534647E-3</v>
      </c>
      <c r="AH195">
        <v>-6.4988736603446276E-4</v>
      </c>
      <c r="AI195">
        <v>-6.4988736603446276E-4</v>
      </c>
      <c r="AJ195">
        <v>2.0447284345048056E-2</v>
      </c>
      <c r="AK195">
        <v>9.7890806337672664E-3</v>
      </c>
      <c r="AL195">
        <v>1.176593065097542E-3</v>
      </c>
    </row>
    <row r="196" spans="1:38">
      <c r="A196" s="568">
        <v>44112</v>
      </c>
      <c r="B196">
        <v>7.6559597542130708E-5</v>
      </c>
      <c r="C196">
        <v>4.20101366835679E-4</v>
      </c>
      <c r="D196">
        <v>1.579960357358523E-4</v>
      </c>
      <c r="E196">
        <v>1.337802443437397E-4</v>
      </c>
      <c r="F196">
        <v>2.069285513086605E-4</v>
      </c>
      <c r="G196">
        <v>2.8521159729777423E-4</v>
      </c>
      <c r="H196">
        <v>1.8534216261434366E-4</v>
      </c>
      <c r="I196">
        <v>1.2076553528084233E-4</v>
      </c>
      <c r="J196">
        <v>1.5162143347848822E-3</v>
      </c>
      <c r="K196">
        <v>2.3190301791216061E-3</v>
      </c>
      <c r="L196">
        <v>7.336085408597981E-4</v>
      </c>
      <c r="M196">
        <v>7.5185857906157061E-4</v>
      </c>
      <c r="N196">
        <v>7.573173405599487E-4</v>
      </c>
      <c r="O196">
        <v>5.4612392438491142E-4</v>
      </c>
      <c r="P196">
        <v>5.3573019985209136E-4</v>
      </c>
      <c r="Q196">
        <v>5.4958248556946643E-4</v>
      </c>
      <c r="R196">
        <v>1.6375101382650747E-3</v>
      </c>
      <c r="S196">
        <v>4.9843187136089373E-3</v>
      </c>
      <c r="T196">
        <v>-2.1645000088387212E-3</v>
      </c>
      <c r="U196">
        <v>2.1372178471750214E-3</v>
      </c>
      <c r="V196">
        <v>3.5033968296256379E-3</v>
      </c>
      <c r="W196">
        <v>1.7121458481497154E-3</v>
      </c>
      <c r="X196">
        <v>1.533563954795536E-3</v>
      </c>
      <c r="Y196">
        <v>3.5033968296256379E-3</v>
      </c>
      <c r="Z196">
        <v>-1.0052293313089766E-4</v>
      </c>
      <c r="AA196">
        <v>-1.9531135395712829E-3</v>
      </c>
      <c r="AC196">
        <v>2.5055623448463349E-2</v>
      </c>
      <c r="AD196">
        <v>2.1045342598249306E-2</v>
      </c>
      <c r="AE196">
        <v>1.8129999999993984E-4</v>
      </c>
      <c r="AF196">
        <v>8.6626585268132494E-3</v>
      </c>
      <c r="AG196">
        <v>1.4831042535381478E-2</v>
      </c>
      <c r="AH196">
        <v>1.7538936413924344E-2</v>
      </c>
      <c r="AI196">
        <v>1.7538936413924344E-2</v>
      </c>
      <c r="AJ196">
        <v>1.8785222291797243E-3</v>
      </c>
      <c r="AK196">
        <v>4.4973016190286152E-3</v>
      </c>
      <c r="AL196">
        <v>6.0499192612617492E-3</v>
      </c>
    </row>
    <row r="197" spans="1:38">
      <c r="A197" s="568">
        <v>44113</v>
      </c>
      <c r="B197">
        <v>7.6559597542130708E-5</v>
      </c>
      <c r="C197">
        <v>1.0585494259487405E-3</v>
      </c>
      <c r="D197">
        <v>4.5553114184371246E-4</v>
      </c>
      <c r="E197">
        <v>1.337802443437397E-4</v>
      </c>
      <c r="F197">
        <v>3.7594875795643468E-4</v>
      </c>
      <c r="G197">
        <v>3.0198912917556164E-4</v>
      </c>
      <c r="H197">
        <v>1.9090201551974495E-4</v>
      </c>
      <c r="I197">
        <v>2.9696448820537569E-4</v>
      </c>
      <c r="J197">
        <v>2.4707886656276656E-3</v>
      </c>
      <c r="K197">
        <v>3.2281408875123319E-3</v>
      </c>
      <c r="L197">
        <v>7.336085408597981E-4</v>
      </c>
      <c r="M197">
        <v>7.5185857906157061E-4</v>
      </c>
      <c r="N197">
        <v>7.573173405599487E-4</v>
      </c>
      <c r="O197">
        <v>5.4612392438491142E-4</v>
      </c>
      <c r="P197">
        <v>5.3573019985209136E-4</v>
      </c>
      <c r="Q197">
        <v>5.4958248556946643E-4</v>
      </c>
      <c r="R197">
        <v>1.9286421603865733E-3</v>
      </c>
      <c r="S197">
        <v>2.9606518804858872E-3</v>
      </c>
      <c r="T197">
        <v>2.4189951487227912E-3</v>
      </c>
      <c r="U197">
        <v>2.5737022786909147E-3</v>
      </c>
      <c r="V197">
        <v>2.7982424700994102E-3</v>
      </c>
      <c r="W197">
        <v>4.4931083283352713E-3</v>
      </c>
      <c r="X197">
        <v>2.0690457949663621E-3</v>
      </c>
      <c r="Y197">
        <v>2.7982424700994102E-3</v>
      </c>
      <c r="Z197">
        <v>1.8630697228709803E-3</v>
      </c>
      <c r="AA197">
        <v>6.3324620319615832E-4</v>
      </c>
      <c r="AC197">
        <v>-4.4569158840613854E-3</v>
      </c>
      <c r="AD197">
        <v>1.8186675130782426E-4</v>
      </c>
      <c r="AE197">
        <v>-1.813671181413179E-4</v>
      </c>
      <c r="AF197">
        <v>3.8674637418183444E-3</v>
      </c>
      <c r="AG197">
        <v>-2.1250094744970083E-3</v>
      </c>
      <c r="AH197">
        <v>-3.1198411188429697E-3</v>
      </c>
      <c r="AI197">
        <v>-3.1198411188429697E-3</v>
      </c>
      <c r="AJ197">
        <v>-3.8461538461539435E-3</v>
      </c>
      <c r="AK197">
        <v>5.1736145657148569E-3</v>
      </c>
      <c r="AL197">
        <v>-8.9770844610115308E-3</v>
      </c>
    </row>
    <row r="198" spans="1:38">
      <c r="A198" s="568">
        <v>44117</v>
      </c>
      <c r="B198">
        <v>7.6559597542130708E-5</v>
      </c>
      <c r="C198">
        <v>7.1434017517058024E-4</v>
      </c>
      <c r="D198">
        <v>2.2507805959737226E-4</v>
      </c>
      <c r="E198">
        <v>1.337802443437397E-4</v>
      </c>
      <c r="F198">
        <v>4.4550267779919217E-4</v>
      </c>
      <c r="G198">
        <v>3.4452230600634515E-4</v>
      </c>
      <c r="H198">
        <v>2.0275098124500346E-4</v>
      </c>
      <c r="I198">
        <v>6.0398305280462417E-4</v>
      </c>
      <c r="J198">
        <v>-3.6422393560986421E-4</v>
      </c>
      <c r="K198">
        <v>-6.30575780945275E-4</v>
      </c>
      <c r="L198">
        <v>7.336085408597981E-4</v>
      </c>
      <c r="M198">
        <v>7.5185857906157061E-4</v>
      </c>
      <c r="N198">
        <v>7.573173405599487E-4</v>
      </c>
      <c r="O198">
        <v>5.4612392438491142E-4</v>
      </c>
      <c r="P198">
        <v>5.3573019985209136E-4</v>
      </c>
      <c r="Q198">
        <v>5.4958248556946643E-4</v>
      </c>
      <c r="R198">
        <v>4.4018471147144744E-4</v>
      </c>
      <c r="S198">
        <v>-2.0495512587390685E-3</v>
      </c>
      <c r="T198">
        <v>-3.2999248239309331E-3</v>
      </c>
      <c r="U198">
        <v>3.4429654418353106E-3</v>
      </c>
      <c r="V198">
        <v>1.8294022805311894E-3</v>
      </c>
      <c r="W198">
        <v>8.205798373150941E-4</v>
      </c>
      <c r="X198">
        <v>-4.0878069646443915E-4</v>
      </c>
      <c r="Y198">
        <v>1.8294022805311894E-3</v>
      </c>
      <c r="Z198">
        <v>2.3784157701349784E-3</v>
      </c>
      <c r="AA198">
        <v>2.8866706857770819E-3</v>
      </c>
      <c r="AC198">
        <v>1.0458303067468755E-2</v>
      </c>
      <c r="AD198">
        <v>1.2474086236471615E-2</v>
      </c>
      <c r="AE198">
        <v>1.2818201281820096E-2</v>
      </c>
      <c r="AF198">
        <v>7.466885435656101E-3</v>
      </c>
      <c r="AG198">
        <v>8.8465644749582406E-3</v>
      </c>
      <c r="AH198">
        <v>7.3208121472281276E-3</v>
      </c>
      <c r="AI198">
        <v>7.3208121472281276E-3</v>
      </c>
      <c r="AJ198">
        <v>2.5096525096525157E-2</v>
      </c>
      <c r="AK198">
        <v>2.3953281203602961E-2</v>
      </c>
      <c r="AL198">
        <v>2.3444599839400837E-2</v>
      </c>
    </row>
    <row r="199" spans="1:38">
      <c r="A199" s="568">
        <v>44118</v>
      </c>
      <c r="B199">
        <v>7.6559597542130708E-5</v>
      </c>
      <c r="C199">
        <v>2.277075642027615E-4</v>
      </c>
      <c r="D199">
        <v>7.4052387758927196E-5</v>
      </c>
      <c r="E199">
        <v>1.337802443437397E-4</v>
      </c>
      <c r="F199">
        <v>2.5133739267491073E-4</v>
      </c>
      <c r="G199">
        <v>1.4967257654574517E-4</v>
      </c>
      <c r="H199">
        <v>1.9292388733238575E-4</v>
      </c>
      <c r="I199">
        <v>1.9788569375500664E-4</v>
      </c>
      <c r="J199">
        <v>5.6403660489445784E-4</v>
      </c>
      <c r="K199">
        <v>5.2876566774084921E-4</v>
      </c>
      <c r="L199">
        <v>7.336085408597981E-4</v>
      </c>
      <c r="M199">
        <v>7.5185857906157061E-4</v>
      </c>
      <c r="N199">
        <v>7.573173405599487E-4</v>
      </c>
      <c r="O199">
        <v>5.4612392438491142E-4</v>
      </c>
      <c r="P199">
        <v>5.3573019985209136E-4</v>
      </c>
      <c r="Q199">
        <v>5.4958248556946643E-4</v>
      </c>
      <c r="R199">
        <v>-1.1960859317177164E-3</v>
      </c>
      <c r="S199">
        <v>3.7251619861966567E-3</v>
      </c>
      <c r="T199">
        <v>-1.7314869965997515E-3</v>
      </c>
      <c r="U199">
        <v>1.0034469827790993E-4</v>
      </c>
      <c r="V199">
        <v>1.316032874395523E-3</v>
      </c>
      <c r="W199">
        <v>-2.3618480083409388E-4</v>
      </c>
      <c r="X199">
        <v>6.8481557488198064E-4</v>
      </c>
      <c r="Y199">
        <v>1.316032874395523E-3</v>
      </c>
      <c r="Z199">
        <v>2.4188326556520146E-3</v>
      </c>
      <c r="AA199">
        <v>7.0726171250967695E-4</v>
      </c>
      <c r="AC199">
        <v>8.4424994127070274E-3</v>
      </c>
      <c r="AD199">
        <v>8.2639740957177743E-3</v>
      </c>
      <c r="AE199">
        <v>7.1151966972151648E-3</v>
      </c>
      <c r="AF199">
        <v>3.4515360022209229E-3</v>
      </c>
      <c r="AG199">
        <v>9.8294690980553767E-3</v>
      </c>
      <c r="AH199">
        <v>5.9097495888949187E-3</v>
      </c>
      <c r="AI199">
        <v>5.9097495888949187E-3</v>
      </c>
      <c r="AJ199">
        <v>-5.3201506591337155E-3</v>
      </c>
      <c r="AK199">
        <v>-5.7999033349442897E-4</v>
      </c>
      <c r="AL199">
        <v>9.37722854756462E-4</v>
      </c>
    </row>
    <row r="200" spans="1:38">
      <c r="A200" s="568">
        <v>44119</v>
      </c>
      <c r="B200">
        <v>7.6559597542130708E-5</v>
      </c>
      <c r="C200">
        <v>1.5082692401580111E-4</v>
      </c>
      <c r="D200">
        <v>1.6933206822189462E-4</v>
      </c>
      <c r="E200">
        <v>1.337802443437397E-4</v>
      </c>
      <c r="F200">
        <v>6.372897342177275E-5</v>
      </c>
      <c r="G200">
        <v>1.5268627456177519E-4</v>
      </c>
      <c r="H200">
        <v>1.8729575677256527E-4</v>
      </c>
      <c r="I200">
        <v>1.4536147425503465E-4</v>
      </c>
      <c r="J200">
        <v>-1.8637983316924789E-3</v>
      </c>
      <c r="K200">
        <v>-2.9062549252228953E-3</v>
      </c>
      <c r="L200">
        <v>7.336085408597981E-4</v>
      </c>
      <c r="M200">
        <v>7.5185857906157061E-4</v>
      </c>
      <c r="N200">
        <v>7.573173405599487E-4</v>
      </c>
      <c r="O200">
        <v>5.4612392438491142E-4</v>
      </c>
      <c r="P200">
        <v>5.3573019985209136E-4</v>
      </c>
      <c r="Q200">
        <v>5.4958248556946643E-4</v>
      </c>
      <c r="R200">
        <v>-1.1981576248603076E-3</v>
      </c>
      <c r="S200">
        <v>-1.819591354481398E-3</v>
      </c>
      <c r="T200">
        <v>-4.9178028622776093E-4</v>
      </c>
      <c r="U200">
        <v>-9.5343024251570707E-4</v>
      </c>
      <c r="V200">
        <v>-4.1698776484000444E-4</v>
      </c>
      <c r="W200">
        <v>-8.0779042938350365E-4</v>
      </c>
      <c r="X200">
        <v>5.3220887311677956E-4</v>
      </c>
      <c r="Y200">
        <v>-4.1698776484000444E-4</v>
      </c>
      <c r="Z200">
        <v>-1.7529745454825107E-4</v>
      </c>
      <c r="AA200">
        <v>1.5975084377546356E-3</v>
      </c>
      <c r="AC200">
        <v>-2.8224856175245172E-3</v>
      </c>
      <c r="AD200">
        <v>-9.8666720086992843E-4</v>
      </c>
      <c r="AE200">
        <v>-5.3008530677445265E-4</v>
      </c>
      <c r="AF200">
        <v>9.7283422826488497E-4</v>
      </c>
      <c r="AG200">
        <v>5.3261993692621523E-4</v>
      </c>
      <c r="AH200">
        <v>-1.9757399322671621E-3</v>
      </c>
      <c r="AI200">
        <v>-1.9757399322671621E-3</v>
      </c>
      <c r="AJ200">
        <v>3.0766317981727465E-3</v>
      </c>
      <c r="AK200">
        <v>-1.4314730631589168E-2</v>
      </c>
      <c r="AL200">
        <v>-1.0597493956226778E-2</v>
      </c>
    </row>
    <row r="201" spans="1:38">
      <c r="A201" s="568">
        <v>44120</v>
      </c>
      <c r="B201">
        <v>7.6559597542130708E-5</v>
      </c>
      <c r="C201">
        <v>-7.5170026910820198E-6</v>
      </c>
      <c r="D201">
        <v>1.5495565398815359E-5</v>
      </c>
      <c r="E201">
        <v>1.337802443437397E-4</v>
      </c>
      <c r="F201">
        <v>8.4207919823109378E-5</v>
      </c>
      <c r="G201">
        <v>5.2291227274903207E-5</v>
      </c>
      <c r="H201">
        <v>1.8656194974697726E-4</v>
      </c>
      <c r="I201">
        <v>1.3557691609000777E-4</v>
      </c>
      <c r="J201">
        <v>2.1057818672143291E-4</v>
      </c>
      <c r="K201">
        <v>6.1158298938823741E-4</v>
      </c>
      <c r="L201">
        <v>7.336085408597981E-4</v>
      </c>
      <c r="M201">
        <v>7.5185857906157061E-4</v>
      </c>
      <c r="N201">
        <v>7.573173405599487E-4</v>
      </c>
      <c r="O201">
        <v>5.4612392438491142E-4</v>
      </c>
      <c r="P201">
        <v>5.3573019985209136E-4</v>
      </c>
      <c r="Q201">
        <v>5.4958248556946643E-4</v>
      </c>
      <c r="R201">
        <v>1.3205786221173188E-3</v>
      </c>
      <c r="S201">
        <v>-2.3051674341112438E-3</v>
      </c>
      <c r="T201">
        <v>4.3742924598919597E-3</v>
      </c>
      <c r="U201">
        <v>-2.4462091763699512E-4</v>
      </c>
      <c r="V201">
        <v>0</v>
      </c>
      <c r="W201">
        <v>1.7089955471072393E-3</v>
      </c>
      <c r="X201">
        <v>1.2064654887640192E-3</v>
      </c>
      <c r="Y201">
        <v>0</v>
      </c>
      <c r="Z201">
        <v>3.3442523833344673E-3</v>
      </c>
      <c r="AA201">
        <v>1.0228707770987278E-4</v>
      </c>
      <c r="AC201">
        <v>-7.520539794128589E-3</v>
      </c>
      <c r="AD201">
        <v>-5.2510743139962957E-3</v>
      </c>
      <c r="AE201">
        <v>-3.4572398305887653E-3</v>
      </c>
      <c r="AF201">
        <v>-1.3706385748262218E-3</v>
      </c>
      <c r="AG201">
        <v>-8.3028695204512282E-4</v>
      </c>
      <c r="AH201">
        <v>-5.2643778558900123E-3</v>
      </c>
      <c r="AI201">
        <v>-5.2643778558900123E-3</v>
      </c>
      <c r="AJ201">
        <v>3.2559456398641995E-3</v>
      </c>
      <c r="AK201">
        <v>1.1971347267196508E-2</v>
      </c>
      <c r="AL201">
        <v>5.1736564940383367E-3</v>
      </c>
    </row>
    <row r="202" spans="1:38">
      <c r="A202" s="568">
        <v>44123</v>
      </c>
      <c r="B202">
        <v>7.6559597542130708E-5</v>
      </c>
      <c r="C202">
        <v>3.4145285843312223E-4</v>
      </c>
      <c r="D202">
        <v>9.8710961106140971E-5</v>
      </c>
      <c r="E202">
        <v>1.337802443437397E-4</v>
      </c>
      <c r="F202">
        <v>1.7022221736739951E-4</v>
      </c>
      <c r="G202">
        <v>2.0543306818288087E-4</v>
      </c>
      <c r="H202">
        <v>-5.0998059977902521E-4</v>
      </c>
      <c r="I202">
        <v>1.2426633764484052E-4</v>
      </c>
      <c r="J202">
        <v>1.7821780861893011E-3</v>
      </c>
      <c r="K202">
        <v>2.3557899590846976E-3</v>
      </c>
      <c r="L202">
        <v>7.336085408597981E-4</v>
      </c>
      <c r="M202">
        <v>7.5185857906157061E-4</v>
      </c>
      <c r="N202">
        <v>7.573173405599487E-4</v>
      </c>
      <c r="O202">
        <v>5.4612392438491142E-4</v>
      </c>
      <c r="P202">
        <v>5.3573019985209136E-4</v>
      </c>
      <c r="Q202">
        <v>5.4958248556946643E-4</v>
      </c>
      <c r="R202">
        <v>-2.4484467705754298E-4</v>
      </c>
      <c r="S202">
        <v>-4.1717815656150403E-4</v>
      </c>
      <c r="T202">
        <v>-3.2759554143102498E-3</v>
      </c>
      <c r="U202">
        <v>9.3998336204270672E-5</v>
      </c>
      <c r="V202">
        <v>-1.301650165016488E-3</v>
      </c>
      <c r="W202">
        <v>-2.0170748549129813E-3</v>
      </c>
      <c r="X202">
        <v>-2.3173569084933288E-4</v>
      </c>
      <c r="Y202">
        <v>-1.301650165016488E-3</v>
      </c>
      <c r="Z202">
        <v>-3.0069172069162597E-3</v>
      </c>
      <c r="AA202">
        <v>-1.1316896655323427E-3</v>
      </c>
      <c r="AC202">
        <v>3.5452458530804698E-3</v>
      </c>
      <c r="AD202">
        <v>1.7729557698631382E-5</v>
      </c>
      <c r="AE202">
        <v>3.6280000220481057E-3</v>
      </c>
      <c r="AF202">
        <v>-2.2156564169841797E-3</v>
      </c>
      <c r="AG202">
        <v>-2.9280002426845808E-3</v>
      </c>
      <c r="AH202">
        <v>2.4816720971563289E-3</v>
      </c>
      <c r="AI202">
        <v>2.4816720971563289E-3</v>
      </c>
      <c r="AJ202">
        <v>-2.2341376228775744E-2</v>
      </c>
      <c r="AK202">
        <v>-3.2968098516434896E-3</v>
      </c>
      <c r="AL202">
        <v>-1.6780403950160339E-2</v>
      </c>
    </row>
    <row r="203" spans="1:38">
      <c r="A203" s="568">
        <v>44124</v>
      </c>
      <c r="B203">
        <v>7.6559597542130708E-5</v>
      </c>
      <c r="C203">
        <v>1.9558606848235627E-4</v>
      </c>
      <c r="D203">
        <v>9.1815086710633764E-5</v>
      </c>
      <c r="E203">
        <v>1.337802443437397E-4</v>
      </c>
      <c r="F203">
        <v>1.8885079512998004E-4</v>
      </c>
      <c r="G203">
        <v>2.0734884240036777E-4</v>
      </c>
      <c r="H203">
        <v>8.8348546198102618E-4</v>
      </c>
      <c r="I203">
        <v>1.4111992127885387E-4</v>
      </c>
      <c r="J203">
        <v>1.4491228668878087E-3</v>
      </c>
      <c r="K203">
        <v>1.7294572939221542E-3</v>
      </c>
      <c r="L203">
        <v>7.336085408597981E-4</v>
      </c>
      <c r="M203">
        <v>7.5185857906157061E-4</v>
      </c>
      <c r="N203">
        <v>7.573173405599487E-4</v>
      </c>
      <c r="O203">
        <v>5.4612392438491142E-4</v>
      </c>
      <c r="P203">
        <v>5.3573019985209136E-4</v>
      </c>
      <c r="Q203">
        <v>5.4958248556946643E-4</v>
      </c>
      <c r="R203">
        <v>6.7140958926348304E-5</v>
      </c>
      <c r="S203">
        <v>5.915579199202492E-3</v>
      </c>
      <c r="T203">
        <v>1.6933040669049326E-3</v>
      </c>
      <c r="U203">
        <v>2.1771020445946476E-3</v>
      </c>
      <c r="V203">
        <v>3.8756718315853256E-3</v>
      </c>
      <c r="W203">
        <v>3.90849887234479E-4</v>
      </c>
      <c r="X203">
        <v>2.0041027715858029E-3</v>
      </c>
      <c r="Y203">
        <v>3.8756718315853256E-3</v>
      </c>
      <c r="Z203">
        <v>-7.2737393048283305E-4</v>
      </c>
      <c r="AA203">
        <v>1.5004098313942116E-3</v>
      </c>
      <c r="AC203">
        <v>1.9077588002552437E-2</v>
      </c>
      <c r="AD203">
        <v>2.3151477440995105E-2</v>
      </c>
      <c r="AE203">
        <v>2.0082870010359466E-2</v>
      </c>
      <c r="AF203">
        <v>1.6713487081114531E-2</v>
      </c>
      <c r="AG203">
        <v>1.0815886980080958E-2</v>
      </c>
      <c r="AH203">
        <v>1.3354311601786704E-2</v>
      </c>
      <c r="AI203">
        <v>1.3354311601786704E-2</v>
      </c>
      <c r="AJ203">
        <v>3.9449629558356847E-3</v>
      </c>
      <c r="AK203">
        <v>9.3394299056328567E-3</v>
      </c>
      <c r="AL203">
        <v>5.3561607206542572E-3</v>
      </c>
    </row>
    <row r="204" spans="1:38">
      <c r="A204" s="568">
        <v>44125</v>
      </c>
      <c r="B204">
        <v>7.6559597542130708E-5</v>
      </c>
      <c r="C204">
        <v>1.4798656052805725E-5</v>
      </c>
      <c r="D204">
        <v>4.8772286783238528E-5</v>
      </c>
      <c r="E204">
        <v>1.337802443437397E-4</v>
      </c>
      <c r="F204">
        <v>2.8208526527739863E-5</v>
      </c>
      <c r="G204">
        <v>2.0573980785343338E-4</v>
      </c>
      <c r="H204">
        <v>1.8925096423716425E-4</v>
      </c>
      <c r="I204">
        <v>1.3899293182384476E-4</v>
      </c>
      <c r="J204">
        <v>9.2442306620132975E-4</v>
      </c>
      <c r="K204">
        <v>2.7442582497829715E-3</v>
      </c>
      <c r="L204">
        <v>7.336085408597981E-4</v>
      </c>
      <c r="M204">
        <v>7.5185857906157061E-4</v>
      </c>
      <c r="N204">
        <v>7.573173405599487E-4</v>
      </c>
      <c r="O204">
        <v>5.4612392438491142E-4</v>
      </c>
      <c r="P204">
        <v>5.3573019985209136E-4</v>
      </c>
      <c r="Q204">
        <v>5.4958248556946643E-4</v>
      </c>
      <c r="R204">
        <v>1.3484835793831085E-3</v>
      </c>
      <c r="S204">
        <v>2.6583107358497671E-3</v>
      </c>
      <c r="T204">
        <v>4.8077121079925789E-3</v>
      </c>
      <c r="U204">
        <v>7.5237412395212644E-4</v>
      </c>
      <c r="V204">
        <v>1.5879996734462498E-3</v>
      </c>
      <c r="W204">
        <v>3.8518283865556224E-3</v>
      </c>
      <c r="X204">
        <v>2.8142817208829385E-3</v>
      </c>
      <c r="Y204">
        <v>1.5879996734462498E-3</v>
      </c>
      <c r="Z204">
        <v>2.2057678437326089E-5</v>
      </c>
      <c r="AA204">
        <v>1.4973219261933401E-3</v>
      </c>
      <c r="AC204">
        <v>1.2532350372684853E-4</v>
      </c>
      <c r="AD204">
        <v>3.679010980063957E-3</v>
      </c>
      <c r="AE204">
        <v>2.6048854822386946E-3</v>
      </c>
      <c r="AF204">
        <v>2.4387911642453908E-4</v>
      </c>
      <c r="AG204">
        <v>9.5683914735249509E-3</v>
      </c>
      <c r="AH204">
        <v>8.772645260879397E-5</v>
      </c>
      <c r="AI204">
        <v>8.772645260879397E-5</v>
      </c>
      <c r="AJ204">
        <v>-1.8209699060762752E-3</v>
      </c>
      <c r="AK204">
        <v>3.0843373493976145E-3</v>
      </c>
      <c r="AL204">
        <v>1.3655271459186658E-2</v>
      </c>
    </row>
    <row r="205" spans="1:38">
      <c r="A205" s="568">
        <v>44126</v>
      </c>
      <c r="B205">
        <v>7.6559597542130708E-5</v>
      </c>
      <c r="C205">
        <v>2.5904086499606294E-5</v>
      </c>
      <c r="D205">
        <v>1.0557250708309596E-4</v>
      </c>
      <c r="E205">
        <v>1.337802443437397E-4</v>
      </c>
      <c r="F205">
        <v>6.8699473470656969E-5</v>
      </c>
      <c r="G205">
        <v>4.3057514074407166E-5</v>
      </c>
      <c r="H205">
        <v>1.8712052237357391E-4</v>
      </c>
      <c r="I205">
        <v>1.2998921147877596E-4</v>
      </c>
      <c r="J205">
        <v>-2.4928616301977957E-4</v>
      </c>
      <c r="K205">
        <v>2.4746089174487729E-4</v>
      </c>
      <c r="L205">
        <v>7.336085408597981E-4</v>
      </c>
      <c r="M205">
        <v>7.5185857906157061E-4</v>
      </c>
      <c r="N205">
        <v>7.573173405599487E-4</v>
      </c>
      <c r="O205">
        <v>5.4612392438491142E-4</v>
      </c>
      <c r="P205">
        <v>5.3573019985209136E-4</v>
      </c>
      <c r="Q205">
        <v>5.4958248556946643E-4</v>
      </c>
      <c r="R205">
        <v>-3.8439730079020684E-4</v>
      </c>
      <c r="S205">
        <v>1.8890809292984034E-3</v>
      </c>
      <c r="T205">
        <v>2.2148812383648853E-4</v>
      </c>
      <c r="U205">
        <v>-1.2118554170212903E-3</v>
      </c>
      <c r="V205">
        <v>5.7845111825116646E-4</v>
      </c>
      <c r="W205">
        <v>-5.434747672847795E-4</v>
      </c>
      <c r="X205">
        <v>-6.9913411035471551E-4</v>
      </c>
      <c r="Y205">
        <v>5.7845111825116646E-4</v>
      </c>
      <c r="Z205">
        <v>-2.7983401298725674E-4</v>
      </c>
      <c r="AA205">
        <v>-6.8286223590374728E-4</v>
      </c>
      <c r="AC205">
        <v>1.357799515476521E-2</v>
      </c>
      <c r="AD205">
        <v>6.8152427585825848E-3</v>
      </c>
      <c r="AE205">
        <v>7.5986359834216977E-3</v>
      </c>
      <c r="AF205">
        <v>4.1001190537850452E-3</v>
      </c>
      <c r="AG205">
        <v>7.5519143375131215E-3</v>
      </c>
      <c r="AH205">
        <v>9.5045966083356463E-3</v>
      </c>
      <c r="AI205">
        <v>9.5045966083356463E-3</v>
      </c>
      <c r="AJ205">
        <v>4.3206913106095257E-3</v>
      </c>
      <c r="AK205">
        <v>-4.804458537522871E-3</v>
      </c>
      <c r="AL205">
        <v>5.0884064090872538E-3</v>
      </c>
    </row>
    <row r="206" spans="1:38">
      <c r="A206" s="568">
        <v>44127</v>
      </c>
      <c r="B206">
        <v>7.6559597542130708E-5</v>
      </c>
      <c r="C206">
        <v>3.8354881721991418E-5</v>
      </c>
      <c r="D206">
        <v>1.2449356362553843E-4</v>
      </c>
      <c r="E206">
        <v>1.337802443437397E-4</v>
      </c>
      <c r="F206">
        <v>4.4583350393256893E-5</v>
      </c>
      <c r="G206">
        <v>1.93456909601597E-4</v>
      </c>
      <c r="H206">
        <v>1.8708551483426206E-4</v>
      </c>
      <c r="I206">
        <v>1.3418132945819394E-4</v>
      </c>
      <c r="J206">
        <v>-9.2852926016484538E-4</v>
      </c>
      <c r="K206">
        <v>-1.8262863429645559E-3</v>
      </c>
      <c r="L206">
        <v>7.336085408597981E-4</v>
      </c>
      <c r="M206">
        <v>7.5185857906157061E-4</v>
      </c>
      <c r="N206">
        <v>7.573173405599487E-4</v>
      </c>
      <c r="O206">
        <v>5.4612392438491142E-4</v>
      </c>
      <c r="P206">
        <v>5.3573019985209136E-4</v>
      </c>
      <c r="Q206">
        <v>5.4958248556946643E-4</v>
      </c>
      <c r="R206">
        <v>1.3586835014813836E-3</v>
      </c>
      <c r="S206">
        <v>-5.3422495810306891E-4</v>
      </c>
      <c r="T206">
        <v>3.1563372927250199E-3</v>
      </c>
      <c r="U206">
        <v>5.1015595371239897E-4</v>
      </c>
      <c r="V206">
        <v>-4.2833192307900614E-4</v>
      </c>
      <c r="W206">
        <v>2.4054526712276036E-3</v>
      </c>
      <c r="X206">
        <v>2.3921581582351248E-3</v>
      </c>
      <c r="Y206">
        <v>-4.2833192307900614E-4</v>
      </c>
      <c r="Z206">
        <v>4.3121918438913109E-3</v>
      </c>
      <c r="AA206">
        <v>-2.6690873650804248E-3</v>
      </c>
      <c r="AC206">
        <v>-6.4552084672240273E-3</v>
      </c>
      <c r="AD206">
        <v>-4.8466890745483271E-3</v>
      </c>
      <c r="AE206">
        <v>-6.3050793904578795E-3</v>
      </c>
      <c r="AF206">
        <v>-6.0727047205635376E-3</v>
      </c>
      <c r="AG206">
        <v>-2.3398274943964292E-4</v>
      </c>
      <c r="AH206">
        <v>-4.5186459270568184E-3</v>
      </c>
      <c r="AI206">
        <v>-4.5186459270568184E-3</v>
      </c>
      <c r="AJ206">
        <v>6.2141491395792947E-3</v>
      </c>
      <c r="AK206">
        <v>-2.8965916771250821E-4</v>
      </c>
      <c r="AL206">
        <v>7.9518235794835412E-3</v>
      </c>
    </row>
    <row r="207" spans="1:38">
      <c r="A207" s="568">
        <v>44130</v>
      </c>
      <c r="B207">
        <v>7.6559597542130708E-5</v>
      </c>
      <c r="C207">
        <v>1.6061684435220158E-4</v>
      </c>
      <c r="D207">
        <v>8.3750220131184605E-5</v>
      </c>
      <c r="E207">
        <v>1.337802443437397E-4</v>
      </c>
      <c r="F207">
        <v>1.4011285453552347E-4</v>
      </c>
      <c r="G207">
        <v>2.5035937184947343E-4</v>
      </c>
      <c r="H207">
        <v>1.8705052039136305E-4</v>
      </c>
      <c r="I207">
        <v>1.2916328987966352E-4</v>
      </c>
      <c r="J207">
        <v>2.9512179857471565E-4</v>
      </c>
      <c r="K207">
        <v>4.140315682450435E-4</v>
      </c>
      <c r="L207">
        <v>7.336085408597981E-4</v>
      </c>
      <c r="M207">
        <v>7.5185857906157061E-4</v>
      </c>
      <c r="N207">
        <v>7.573173405599487E-4</v>
      </c>
      <c r="O207">
        <v>5.4612392438491142E-4</v>
      </c>
      <c r="P207">
        <v>5.3573019985209136E-4</v>
      </c>
      <c r="Q207">
        <v>5.4958248556946643E-4</v>
      </c>
      <c r="R207">
        <v>-5.5243226485113262E-4</v>
      </c>
      <c r="S207">
        <v>-2.4492553471031631E-3</v>
      </c>
      <c r="T207">
        <v>-3.2912673674058146E-3</v>
      </c>
      <c r="U207">
        <v>-2.3956319788592806E-3</v>
      </c>
      <c r="V207">
        <v>-2.7393442924631417E-3</v>
      </c>
      <c r="W207">
        <v>-2.5035070680911042E-3</v>
      </c>
      <c r="X207">
        <v>-2.8910976380063236E-3</v>
      </c>
      <c r="Y207">
        <v>-2.7393442924631417E-3</v>
      </c>
      <c r="Z207">
        <v>-2.2765326827088872E-3</v>
      </c>
      <c r="AA207">
        <v>-8.9234150703398907E-4</v>
      </c>
      <c r="AC207">
        <v>-2.3977926087154211E-3</v>
      </c>
      <c r="AD207">
        <v>-7.9742712144460492E-3</v>
      </c>
      <c r="AE207">
        <v>-5.1044366180524881E-3</v>
      </c>
      <c r="AF207">
        <v>-4.643041671708481E-3</v>
      </c>
      <c r="AG207">
        <v>-5.6650460064907593E-3</v>
      </c>
      <c r="AH207">
        <v>-1.6784548261007948E-3</v>
      </c>
      <c r="AI207">
        <v>-1.6784548261007948E-3</v>
      </c>
      <c r="AJ207">
        <v>-1.6912114014251745E-2</v>
      </c>
      <c r="AK207">
        <v>-3.8632412594167276E-3</v>
      </c>
      <c r="AL207">
        <v>-1.4829552546374858E-2</v>
      </c>
    </row>
    <row r="208" spans="1:38">
      <c r="A208" s="568">
        <v>44131</v>
      </c>
      <c r="B208">
        <v>7.6559597542130708E-5</v>
      </c>
      <c r="C208">
        <v>9.9682848133886282E-5</v>
      </c>
      <c r="D208">
        <v>9.8656380400630184E-5</v>
      </c>
      <c r="E208">
        <v>1.337802443437397E-4</v>
      </c>
      <c r="F208">
        <v>1.4691594770344096E-4</v>
      </c>
      <c r="G208">
        <v>4.8112915407938495E-4</v>
      </c>
      <c r="H208">
        <v>1.8841117738843671E-4</v>
      </c>
      <c r="I208">
        <v>1.3582515488796965E-4</v>
      </c>
      <c r="J208">
        <v>-3.8618597618633732E-4</v>
      </c>
      <c r="K208">
        <v>-6.6343570664528784E-4</v>
      </c>
      <c r="L208">
        <v>7.336085408597981E-4</v>
      </c>
      <c r="M208">
        <v>7.5185857906157061E-4</v>
      </c>
      <c r="N208">
        <v>7.573173405599487E-4</v>
      </c>
      <c r="O208">
        <v>5.4612392438491142E-4</v>
      </c>
      <c r="P208">
        <v>5.3573019985209136E-4</v>
      </c>
      <c r="Q208">
        <v>5.4958248556946643E-4</v>
      </c>
      <c r="R208">
        <v>4.5189172214787909E-4</v>
      </c>
      <c r="S208">
        <v>-3.020441879732827E-3</v>
      </c>
      <c r="T208">
        <v>-6.2451604586144516E-4</v>
      </c>
      <c r="U208">
        <v>-3.6528957416936958E-4</v>
      </c>
      <c r="V208">
        <v>-1.1019109455607801E-3</v>
      </c>
      <c r="W208">
        <v>1.0858995042988262E-3</v>
      </c>
      <c r="X208">
        <v>-6.0291877247187209E-4</v>
      </c>
      <c r="Y208">
        <v>-1.1019109455607801E-3</v>
      </c>
      <c r="Z208">
        <v>-1.4264442117588594E-3</v>
      </c>
      <c r="AA208">
        <v>2.7677589402053115E-4</v>
      </c>
      <c r="AC208">
        <v>-1.3972499678272077E-2</v>
      </c>
      <c r="AD208">
        <v>-1.0321656204783647E-2</v>
      </c>
      <c r="AE208">
        <v>-1.1434911703991024E-2</v>
      </c>
      <c r="AF208">
        <v>-6.8003224927607464E-3</v>
      </c>
      <c r="AG208">
        <v>-9.3046224805202193E-3</v>
      </c>
      <c r="AH208">
        <v>-9.7807497747904523E-3</v>
      </c>
      <c r="AI208">
        <v>-9.7807497747904523E-3</v>
      </c>
      <c r="AJ208">
        <v>8.0216487870881092E-3</v>
      </c>
      <c r="AK208">
        <v>1.0471204188481575E-2</v>
      </c>
      <c r="AL208">
        <v>6.5654081361341543E-3</v>
      </c>
    </row>
    <row r="209" spans="1:38">
      <c r="A209" s="568">
        <v>44132</v>
      </c>
      <c r="B209">
        <v>7.6559597542130708E-5</v>
      </c>
      <c r="C209">
        <v>1.5030951612615695E-4</v>
      </c>
      <c r="D209">
        <v>3.4985148517518994E-5</v>
      </c>
      <c r="E209">
        <v>1.337802443437397E-4</v>
      </c>
      <c r="F209">
        <v>1.3597961488209798E-4</v>
      </c>
      <c r="G209">
        <v>1.094949204620832E-4</v>
      </c>
      <c r="H209">
        <v>1.7721268173009896E-4</v>
      </c>
      <c r="I209">
        <v>1.4432756062876528E-4</v>
      </c>
      <c r="J209">
        <v>1.9780739638686207E-4</v>
      </c>
      <c r="K209">
        <v>-4.8551627031656608E-4</v>
      </c>
      <c r="L209">
        <v>7.336085408597981E-4</v>
      </c>
      <c r="M209">
        <v>7.5185857906157061E-4</v>
      </c>
      <c r="N209">
        <v>7.573173405599487E-4</v>
      </c>
      <c r="O209">
        <v>5.4612392438491142E-4</v>
      </c>
      <c r="P209">
        <v>5.3573019985209136E-4</v>
      </c>
      <c r="Q209">
        <v>5.4958248556946643E-4</v>
      </c>
      <c r="R209">
        <v>-3.9911831599631631E-3</v>
      </c>
      <c r="S209">
        <v>-9.9147917346776859E-3</v>
      </c>
      <c r="T209">
        <v>5.4040073352079609E-4</v>
      </c>
      <c r="U209">
        <v>-4.7477314157290396E-3</v>
      </c>
      <c r="V209">
        <v>-9.5190843522299229E-3</v>
      </c>
      <c r="W209">
        <v>-6.5509708170751191E-3</v>
      </c>
      <c r="X209">
        <v>-1.6296654929768284E-3</v>
      </c>
      <c r="Y209">
        <v>-9.5190843522299229E-3</v>
      </c>
      <c r="Z209">
        <v>-5.7944240059338847E-3</v>
      </c>
      <c r="AA209">
        <v>-1.8520683757550227E-4</v>
      </c>
      <c r="AC209">
        <v>-4.2535585872030768E-2</v>
      </c>
      <c r="AD209">
        <v>-4.6945451415585815E-2</v>
      </c>
      <c r="AE209">
        <v>-2.6216776220525317E-2</v>
      </c>
      <c r="AF209">
        <v>-2.1148836293220175E-2</v>
      </c>
      <c r="AG209">
        <v>-4.0248190832491759E-2</v>
      </c>
      <c r="AH209">
        <v>-2.9774910110421535E-2</v>
      </c>
      <c r="AI209">
        <v>-2.9774910110421535E-2</v>
      </c>
      <c r="AJ209">
        <v>-2.2051773729626079E-2</v>
      </c>
      <c r="AK209">
        <v>-4.9894454039531855E-3</v>
      </c>
      <c r="AL209">
        <v>-6.527603602247245E-3</v>
      </c>
    </row>
    <row r="210" spans="1:38">
      <c r="A210" s="568">
        <v>44133</v>
      </c>
      <c r="B210">
        <v>7.6559597542130708E-5</v>
      </c>
      <c r="C210">
        <v>3.9714986312122669E-4</v>
      </c>
      <c r="D210">
        <v>9.3481634586778384E-5</v>
      </c>
      <c r="E210">
        <v>1.337802443437397E-4</v>
      </c>
      <c r="F210">
        <v>2.0917096452355288E-4</v>
      </c>
      <c r="G210">
        <v>1.0928742740023978E-4</v>
      </c>
      <c r="H210">
        <v>1.8694718044609537E-4</v>
      </c>
      <c r="I210">
        <v>1.3785241332664455E-4</v>
      </c>
      <c r="J210">
        <v>1.0097637317594277E-3</v>
      </c>
      <c r="K210">
        <v>1.0538710253000794E-3</v>
      </c>
      <c r="L210">
        <v>7.336085408597981E-4</v>
      </c>
      <c r="M210">
        <v>7.5185857906157061E-4</v>
      </c>
      <c r="N210">
        <v>7.573173405599487E-4</v>
      </c>
      <c r="O210">
        <v>5.4612392438491142E-4</v>
      </c>
      <c r="P210">
        <v>5.3573019985209136E-4</v>
      </c>
      <c r="Q210">
        <v>5.4958248556946643E-4</v>
      </c>
      <c r="R210">
        <v>-1.2125296006466613E-3</v>
      </c>
      <c r="S210">
        <v>3.5077603150823755E-3</v>
      </c>
      <c r="T210">
        <v>-1.3727844443681692E-3</v>
      </c>
      <c r="U210">
        <v>5.4328132513643546E-3</v>
      </c>
      <c r="V210">
        <v>3.1546749938717866E-3</v>
      </c>
      <c r="W210">
        <v>1.7439416255817797E-3</v>
      </c>
      <c r="X210">
        <v>3.0982676514252905E-3</v>
      </c>
      <c r="Y210">
        <v>3.1546749938717866E-3</v>
      </c>
      <c r="Z210">
        <v>1.0528214412164338E-4</v>
      </c>
      <c r="AA210">
        <v>-1.8851797271199899E-3</v>
      </c>
      <c r="AC210">
        <v>1.27232439637468E-2</v>
      </c>
      <c r="AD210">
        <v>2.152405756095499E-2</v>
      </c>
      <c r="AE210">
        <v>0</v>
      </c>
      <c r="AF210">
        <v>9.2955480093268594E-3</v>
      </c>
      <c r="AG210">
        <v>1.6883214041230277E-2</v>
      </c>
      <c r="AH210">
        <v>8.9062707746227592E-3</v>
      </c>
      <c r="AI210">
        <v>8.9062707746227592E-3</v>
      </c>
      <c r="AJ210">
        <v>1.225490196078427E-2</v>
      </c>
      <c r="AK210">
        <v>1.1861137897782204E-2</v>
      </c>
      <c r="AL210">
        <v>7.3731428050287651E-3</v>
      </c>
    </row>
    <row r="211" spans="1:38">
      <c r="A211" s="568">
        <v>44134</v>
      </c>
      <c r="B211">
        <v>7.6559597542130708E-5</v>
      </c>
      <c r="C211">
        <v>1.005362180022118E-4</v>
      </c>
      <c r="D211">
        <v>5.1037348443472297E-5</v>
      </c>
      <c r="E211">
        <v>1.337802443437397E-4</v>
      </c>
      <c r="F211">
        <v>-2.1367346511924623E-5</v>
      </c>
      <c r="G211">
        <v>1.1914742054641714E-4</v>
      </c>
      <c r="H211">
        <v>1.8621480400704549E-4</v>
      </c>
      <c r="I211">
        <v>1.3301036485402484E-4</v>
      </c>
      <c r="J211">
        <v>-1.2879328035387827E-3</v>
      </c>
      <c r="K211">
        <v>-1.3178042341663865E-3</v>
      </c>
      <c r="L211">
        <v>7.336085408597981E-4</v>
      </c>
      <c r="M211">
        <v>7.5185857906157061E-4</v>
      </c>
      <c r="N211">
        <v>7.573173405599487E-4</v>
      </c>
      <c r="O211">
        <v>5.4612392438491142E-4</v>
      </c>
      <c r="P211">
        <v>5.3573019985209136E-4</v>
      </c>
      <c r="Q211">
        <v>5.4958248556946643E-4</v>
      </c>
      <c r="R211">
        <v>5.1304875373858749E-5</v>
      </c>
      <c r="S211">
        <v>-4.2747892008296873E-3</v>
      </c>
      <c r="T211">
        <v>2.9709510224202873E-3</v>
      </c>
      <c r="U211">
        <v>-1.0985649324896096E-3</v>
      </c>
      <c r="V211">
        <v>-5.7901726427623812E-3</v>
      </c>
      <c r="W211">
        <v>-3.453050429327531E-3</v>
      </c>
      <c r="X211">
        <v>-3.1770430081596857E-3</v>
      </c>
      <c r="Y211">
        <v>-5.7901726427623812E-3</v>
      </c>
      <c r="Z211">
        <v>-5.6827669937283831E-3</v>
      </c>
      <c r="AA211">
        <v>7.9805997099002823E-5</v>
      </c>
      <c r="AC211">
        <v>-2.7228216888087964E-2</v>
      </c>
      <c r="AD211">
        <v>-3.2284790903539085E-2</v>
      </c>
      <c r="AE211">
        <v>-2.6905000000000401E-3</v>
      </c>
      <c r="AF211">
        <v>-1.5151068341905161E-2</v>
      </c>
      <c r="AG211">
        <v>-2.2732087845050764E-2</v>
      </c>
      <c r="AH211">
        <v>-1.9059751821661572E-2</v>
      </c>
      <c r="AI211">
        <v>-1.9059751821661572E-2</v>
      </c>
      <c r="AJ211">
        <v>-1.8886198547215516E-2</v>
      </c>
      <c r="AK211">
        <v>-1.9822738968836462E-2</v>
      </c>
      <c r="AL211">
        <v>-1.6063773664461767E-2</v>
      </c>
    </row>
    <row r="212" spans="1:38">
      <c r="A212" s="568">
        <v>44138</v>
      </c>
      <c r="B212">
        <v>7.6559597542130708E-5</v>
      </c>
      <c r="C212">
        <v>9.3583876182412595E-5</v>
      </c>
      <c r="D212">
        <v>5.3328440114297493E-5</v>
      </c>
      <c r="E212">
        <v>1.337802443437397E-4</v>
      </c>
      <c r="F212">
        <v>1.8185364327849562E-4</v>
      </c>
      <c r="G212">
        <v>2.8977031622190452E-4</v>
      </c>
      <c r="H212">
        <v>1.9106126163204173E-4</v>
      </c>
      <c r="I212">
        <v>1.3528772433013536E-4</v>
      </c>
      <c r="J212">
        <v>5.3977707206831482E-5</v>
      </c>
      <c r="K212">
        <v>-4.653062062951463E-4</v>
      </c>
      <c r="L212">
        <v>7.6889191280815616E-4</v>
      </c>
      <c r="M212">
        <v>7.8714259446055479E-4</v>
      </c>
      <c r="N212">
        <v>7.9260154842142327E-4</v>
      </c>
      <c r="O212">
        <v>5.4612392438491142E-4</v>
      </c>
      <c r="P212">
        <v>5.3573019985209136E-4</v>
      </c>
      <c r="Q212">
        <v>5.4958248556946643E-4</v>
      </c>
      <c r="R212">
        <v>3.369916108006521E-3</v>
      </c>
      <c r="S212">
        <v>9.9741726850137713E-3</v>
      </c>
      <c r="T212">
        <v>3.0191013405400646E-3</v>
      </c>
      <c r="U212">
        <v>6.5831961484463797E-4</v>
      </c>
      <c r="V212">
        <v>4.5415687112630998E-3</v>
      </c>
      <c r="W212">
        <v>3.5515965103651848E-3</v>
      </c>
      <c r="X212">
        <v>2.404196802744174E-3</v>
      </c>
      <c r="Y212">
        <v>4.5415687112630998E-3</v>
      </c>
      <c r="Z212">
        <v>7.376963280441684E-3</v>
      </c>
      <c r="AA212">
        <v>5.8261976293128015E-4</v>
      </c>
      <c r="AC212">
        <v>2.1578054419046477E-2</v>
      </c>
      <c r="AD212">
        <v>2.5776890854410706E-2</v>
      </c>
      <c r="AE212">
        <v>2.6977583187566267E-3</v>
      </c>
      <c r="AF212">
        <v>9.1989425587941653E-3</v>
      </c>
      <c r="AG212">
        <v>7.1907018882404472E-3</v>
      </c>
      <c r="AH212">
        <v>1.5104638093332533E-2</v>
      </c>
      <c r="AI212">
        <v>1.5104638093332533E-2</v>
      </c>
      <c r="AJ212">
        <v>3.6525172754195534E-2</v>
      </c>
      <c r="AK212">
        <v>6.4171122994653995E-3</v>
      </c>
      <c r="AL212">
        <v>4.4348616203131463E-3</v>
      </c>
    </row>
    <row r="213" spans="1:38">
      <c r="A213" s="568">
        <v>44139</v>
      </c>
      <c r="B213">
        <v>7.6559597542130708E-5</v>
      </c>
      <c r="C213">
        <v>1.5505903309809277E-4</v>
      </c>
      <c r="D213">
        <v>5.5619170379772598E-5</v>
      </c>
      <c r="E213">
        <v>1.337802443437397E-4</v>
      </c>
      <c r="F213">
        <v>1.227288905172319E-4</v>
      </c>
      <c r="G213">
        <v>5.9402804457153735E-5</v>
      </c>
      <c r="H213">
        <v>1.9102476419941006E-4</v>
      </c>
      <c r="I213">
        <v>1.4198944338628117E-4</v>
      </c>
      <c r="J213">
        <v>2.5625717000687942E-3</v>
      </c>
      <c r="K213">
        <v>3.0034684709872028E-3</v>
      </c>
      <c r="L213">
        <v>7.6889191280815616E-4</v>
      </c>
      <c r="M213">
        <v>7.8714259446055479E-4</v>
      </c>
      <c r="N213">
        <v>7.9260154842142327E-4</v>
      </c>
      <c r="O213">
        <v>5.4612392438491142E-4</v>
      </c>
      <c r="P213">
        <v>5.3573019985209136E-4</v>
      </c>
      <c r="Q213">
        <v>5.4958248556946643E-4</v>
      </c>
      <c r="R213">
        <v>4.4585307428350873E-3</v>
      </c>
      <c r="S213">
        <v>2.7850521609451562E-3</v>
      </c>
      <c r="T213">
        <v>-6.9225310277083452E-3</v>
      </c>
      <c r="U213">
        <v>3.4360396171140284E-3</v>
      </c>
      <c r="V213">
        <v>5.4039678740493979E-3</v>
      </c>
      <c r="W213">
        <v>3.9475120579297585E-3</v>
      </c>
      <c r="X213">
        <v>-8.8743167441007742E-5</v>
      </c>
      <c r="Y213">
        <v>5.4039678740493979E-3</v>
      </c>
      <c r="Z213">
        <v>-1.3377246623877959E-3</v>
      </c>
      <c r="AA213">
        <v>-2.1835138143899702E-3</v>
      </c>
      <c r="AC213">
        <v>1.9661447195453929E-2</v>
      </c>
      <c r="AD213">
        <v>2.7656457883670438E-2</v>
      </c>
      <c r="AE213">
        <v>9.5579999999999554E-3</v>
      </c>
      <c r="AF213">
        <v>1.5807375568235749E-2</v>
      </c>
      <c r="AG213">
        <v>2.9893272872670407E-2</v>
      </c>
      <c r="AH213">
        <v>1.376301303681775E-2</v>
      </c>
      <c r="AI213">
        <v>1.376301303681775E-2</v>
      </c>
      <c r="AJ213">
        <v>4.761904761904745E-3</v>
      </c>
      <c r="AK213">
        <v>1.9998067819534171E-2</v>
      </c>
      <c r="AL213">
        <v>-2.0805832416571635E-3</v>
      </c>
    </row>
    <row r="214" spans="1:38">
      <c r="A214" s="568">
        <v>44140</v>
      </c>
      <c r="B214">
        <v>7.6559597542130708E-5</v>
      </c>
      <c r="C214">
        <v>1.3883744322029656E-4</v>
      </c>
      <c r="D214">
        <v>1.135256005961871E-4</v>
      </c>
      <c r="E214">
        <v>1.337802443437397E-4</v>
      </c>
      <c r="F214">
        <v>1.3907567398274701E-4</v>
      </c>
      <c r="G214">
        <v>1.2983822001477741E-4</v>
      </c>
      <c r="H214">
        <v>1.9098828070829299E-4</v>
      </c>
      <c r="I214">
        <v>1.4252586050322869E-4</v>
      </c>
      <c r="J214">
        <v>2.1256103987072894E-3</v>
      </c>
      <c r="K214">
        <v>2.7273870127739741E-3</v>
      </c>
      <c r="L214">
        <v>7.6889191280815616E-4</v>
      </c>
      <c r="M214">
        <v>7.8714259446055479E-4</v>
      </c>
      <c r="N214">
        <v>7.9260154842142327E-4</v>
      </c>
      <c r="O214">
        <v>5.4612392438491142E-4</v>
      </c>
      <c r="P214">
        <v>5.3573019985209136E-4</v>
      </c>
      <c r="Q214">
        <v>5.4958248556946643E-4</v>
      </c>
      <c r="R214">
        <v>4.5360924449149298E-3</v>
      </c>
      <c r="S214">
        <v>8.8897065840300993E-3</v>
      </c>
      <c r="T214">
        <v>3.6814910767164477E-3</v>
      </c>
      <c r="U214">
        <v>5.9806935759010305E-3</v>
      </c>
      <c r="V214">
        <v>8.3930252981070375E-3</v>
      </c>
      <c r="W214">
        <v>5.8360185761119343E-3</v>
      </c>
      <c r="X214">
        <v>2.0757642290929468E-3</v>
      </c>
      <c r="Y214">
        <v>8.3930252981070375E-3</v>
      </c>
      <c r="Z214">
        <v>1.6920912164040125E-3</v>
      </c>
      <c r="AA214">
        <v>-1.5524325954719975E-3</v>
      </c>
      <c r="AC214">
        <v>2.9474650292576232E-2</v>
      </c>
      <c r="AD214">
        <v>3.4179681353408098E-2</v>
      </c>
      <c r="AE214">
        <v>3.1641470821884621E-2</v>
      </c>
      <c r="AF214">
        <v>2.308093645871967E-2</v>
      </c>
      <c r="AG214">
        <v>2.5176573177724038E-2</v>
      </c>
      <c r="AH214">
        <v>2.063225520480336E-2</v>
      </c>
      <c r="AI214">
        <v>2.063225520480336E-2</v>
      </c>
      <c r="AJ214">
        <v>-2.3696682464454666E-3</v>
      </c>
      <c r="AK214">
        <v>2.5573025194165488E-2</v>
      </c>
      <c r="AL214">
        <v>4.677323301733205E-3</v>
      </c>
    </row>
    <row r="215" spans="1:38">
      <c r="A215" s="568">
        <v>44141</v>
      </c>
      <c r="B215">
        <v>7.6559597542130708E-5</v>
      </c>
      <c r="C215">
        <v>1.7611368836623065E-4</v>
      </c>
      <c r="D215">
        <v>7.9688218412199419E-5</v>
      </c>
      <c r="E215">
        <v>1.337802443437397E-4</v>
      </c>
      <c r="F215">
        <v>1.8540844617276342E-4</v>
      </c>
      <c r="G215">
        <v>-2.1959249571956718E-4</v>
      </c>
      <c r="H215">
        <v>1.9095181115003079E-4</v>
      </c>
      <c r="I215">
        <v>1.3815161136765397E-4</v>
      </c>
      <c r="J215">
        <v>2.510355274413234E-3</v>
      </c>
      <c r="K215">
        <v>2.5083395088463245E-3</v>
      </c>
      <c r="L215">
        <v>7.6889191280815616E-4</v>
      </c>
      <c r="M215">
        <v>7.8714259446055479E-4</v>
      </c>
      <c r="N215">
        <v>7.9260154842142327E-4</v>
      </c>
      <c r="O215">
        <v>5.4612392438491142E-4</v>
      </c>
      <c r="P215">
        <v>5.3573019985209136E-4</v>
      </c>
      <c r="Q215">
        <v>5.4958248556946643E-4</v>
      </c>
      <c r="R215">
        <v>-3.9208333702822618E-4</v>
      </c>
      <c r="S215">
        <v>2.6654777555343845E-3</v>
      </c>
      <c r="T215">
        <v>2.9816429764184527E-3</v>
      </c>
      <c r="U215">
        <v>-4.3321659583483996E-4</v>
      </c>
      <c r="V215">
        <v>1.274837694275055E-3</v>
      </c>
      <c r="W215">
        <v>-2.6444770822642294E-3</v>
      </c>
      <c r="X215">
        <v>-3.9195567752925431E-4</v>
      </c>
      <c r="Y215">
        <v>1.274837694275055E-3</v>
      </c>
      <c r="Z215">
        <v>-3.3677997281762462E-3</v>
      </c>
      <c r="AA215">
        <v>2.7632632419962722E-3</v>
      </c>
      <c r="AC215">
        <v>1.7241447761520146E-3</v>
      </c>
      <c r="AD215">
        <v>2.407048440825843E-3</v>
      </c>
      <c r="AE215">
        <v>6.7914422431680777E-3</v>
      </c>
      <c r="AF215">
        <v>4.4317415840509078E-3</v>
      </c>
      <c r="AG215">
        <v>9.6483436099541464E-3</v>
      </c>
      <c r="AH215">
        <v>1.20690134330641E-3</v>
      </c>
      <c r="AI215">
        <v>1.20690134330641E-3</v>
      </c>
      <c r="AJ215">
        <v>-2.9453681710213675E-2</v>
      </c>
      <c r="AK215">
        <v>6.8341337273734037E-3</v>
      </c>
      <c r="AL215">
        <v>-2.6120587272025708E-2</v>
      </c>
    </row>
    <row r="216" spans="1:38">
      <c r="A216" s="568">
        <v>44144</v>
      </c>
      <c r="B216">
        <v>7.6559597542130708E-5</v>
      </c>
      <c r="C216">
        <v>1.6355918444022066E-4</v>
      </c>
      <c r="D216">
        <v>5.1019326006151999E-5</v>
      </c>
      <c r="E216">
        <v>1.337802443437397E-4</v>
      </c>
      <c r="F216">
        <v>1.1313270830171085E-4</v>
      </c>
      <c r="G216">
        <v>1.6707546417693564E-5</v>
      </c>
      <c r="H216">
        <v>1.9091535551707395E-4</v>
      </c>
      <c r="I216">
        <v>1.3670942073562564E-4</v>
      </c>
      <c r="J216">
        <v>1.8650544102687405E-3</v>
      </c>
      <c r="K216">
        <v>2.5119004459472905E-3</v>
      </c>
      <c r="L216">
        <v>7.6889191280815616E-4</v>
      </c>
      <c r="M216">
        <v>7.8714259446055479E-4</v>
      </c>
      <c r="N216">
        <v>7.9260154842142327E-4</v>
      </c>
      <c r="O216">
        <v>5.4612392438491142E-4</v>
      </c>
      <c r="P216">
        <v>5.3573019985209136E-4</v>
      </c>
      <c r="Q216">
        <v>5.4958248556946643E-4</v>
      </c>
      <c r="R216">
        <v>6.2871999528555378E-3</v>
      </c>
      <c r="S216">
        <v>3.7479458101647989E-3</v>
      </c>
      <c r="T216">
        <v>-2.3614102581859253E-3</v>
      </c>
      <c r="U216">
        <v>-1.0987224296976628E-3</v>
      </c>
      <c r="V216">
        <v>1.7290567995154049E-4</v>
      </c>
      <c r="W216">
        <v>1.1532519782730954E-3</v>
      </c>
      <c r="X216">
        <v>-1.5036380112056769E-3</v>
      </c>
      <c r="Y216">
        <v>1.7290567995154049E-4</v>
      </c>
      <c r="Z216">
        <v>-2.1685079140505437E-3</v>
      </c>
      <c r="AA216">
        <v>-6.7116388609265165E-3</v>
      </c>
      <c r="AC216">
        <v>2.5663088204709528E-2</v>
      </c>
      <c r="AD216">
        <v>5.6322273907600806E-3</v>
      </c>
      <c r="AE216">
        <v>1.1005886845311785E-2</v>
      </c>
      <c r="AF216">
        <v>2.9181809620906218E-3</v>
      </c>
      <c r="AG216">
        <v>2.1263794965967753E-2</v>
      </c>
      <c r="AH216">
        <v>1.7964161743296667E-2</v>
      </c>
      <c r="AI216">
        <v>1.7964161743296667E-2</v>
      </c>
      <c r="AJ216">
        <v>9.3000489476260384E-3</v>
      </c>
      <c r="AK216">
        <v>6.4208402128063113E-4</v>
      </c>
      <c r="AL216">
        <v>1.1945601367173042E-2</v>
      </c>
    </row>
    <row r="217" spans="1:38">
      <c r="A217" s="568">
        <v>44145</v>
      </c>
      <c r="B217">
        <v>7.6559597542130708E-5</v>
      </c>
      <c r="C217">
        <v>9.2689567963377684E-5</v>
      </c>
      <c r="D217">
        <v>1.3929285089475663E-4</v>
      </c>
      <c r="E217">
        <v>1.337802443437397E-4</v>
      </c>
      <c r="F217">
        <v>9.0859366056017521E-5</v>
      </c>
      <c r="G217">
        <v>-1.0327240652163727E-4</v>
      </c>
      <c r="H217">
        <v>1.9157555217308442E-4</v>
      </c>
      <c r="I217">
        <v>1.1739448985603751E-4</v>
      </c>
      <c r="J217">
        <v>-5.6294148420787948E-4</v>
      </c>
      <c r="K217">
        <v>2.5127567323646183E-4</v>
      </c>
      <c r="L217">
        <v>7.6889191280815616E-4</v>
      </c>
      <c r="M217">
        <v>7.8714259446055479E-4</v>
      </c>
      <c r="N217">
        <v>7.9260154842142327E-4</v>
      </c>
      <c r="O217">
        <v>5.4612392438491142E-4</v>
      </c>
      <c r="P217">
        <v>5.3573019985209136E-4</v>
      </c>
      <c r="Q217">
        <v>5.4958248556946643E-4</v>
      </c>
      <c r="R217">
        <v>2.2480414647141345E-4</v>
      </c>
      <c r="S217">
        <v>4.8434565659465356E-3</v>
      </c>
      <c r="T217">
        <v>1.8782406321717904E-3</v>
      </c>
      <c r="U217">
        <v>-2.5969621002307486E-3</v>
      </c>
      <c r="V217">
        <v>-1.3882449702313782E-3</v>
      </c>
      <c r="W217">
        <v>-2.6263157772195012E-3</v>
      </c>
      <c r="X217">
        <v>2.564758335408257E-3</v>
      </c>
      <c r="Y217">
        <v>-1.3882449702313782E-3</v>
      </c>
      <c r="Z217">
        <v>-3.0969398480429344E-4</v>
      </c>
      <c r="AA217">
        <v>-2.1931588131580693E-3</v>
      </c>
      <c r="AC217">
        <v>1.4991040925792953E-2</v>
      </c>
      <c r="AD217">
        <v>-2.52505608462128E-3</v>
      </c>
      <c r="AE217">
        <v>7.3755157102191049E-3</v>
      </c>
      <c r="AF217">
        <v>-6.9206887422207375E-3</v>
      </c>
      <c r="AG217">
        <v>-9.6597102555329162E-4</v>
      </c>
      <c r="AH217">
        <v>1.0493728648055067E-2</v>
      </c>
      <c r="AI217">
        <v>1.0493728648055067E-2</v>
      </c>
      <c r="AJ217">
        <v>9.2143549951504422E-3</v>
      </c>
      <c r="AK217">
        <v>-2.9333577779814823E-2</v>
      </c>
      <c r="AL217">
        <v>-1.8283790028838176E-2</v>
      </c>
    </row>
    <row r="218" spans="1:38">
      <c r="A218" s="568">
        <v>44146</v>
      </c>
      <c r="B218">
        <v>7.6559597542130708E-5</v>
      </c>
      <c r="C218">
        <v>1.7721786813718055E-4</v>
      </c>
      <c r="D218">
        <v>1.6105283851319818E-4</v>
      </c>
      <c r="E218">
        <v>1.337802443437397E-4</v>
      </c>
      <c r="F218">
        <v>3.9974489007832403E-5</v>
      </c>
      <c r="G218">
        <v>1.0113337782557963E-4</v>
      </c>
      <c r="H218">
        <v>1.9014584813414892E-4</v>
      </c>
      <c r="I218">
        <v>1.3640254821645215E-4</v>
      </c>
      <c r="J218">
        <v>-1.5587962510021924E-3</v>
      </c>
      <c r="K218">
        <v>-6.7545636665089503E-4</v>
      </c>
      <c r="L218">
        <v>7.6889191280815616E-4</v>
      </c>
      <c r="M218">
        <v>7.8714259446055479E-4</v>
      </c>
      <c r="N218">
        <v>7.9260154842142327E-4</v>
      </c>
      <c r="O218">
        <v>5.4612392438491142E-4</v>
      </c>
      <c r="P218">
        <v>5.3573019985209136E-4</v>
      </c>
      <c r="Q218">
        <v>5.4958248556946643E-4</v>
      </c>
      <c r="R218">
        <v>1.4605837550352163E-4</v>
      </c>
      <c r="S218">
        <v>-2.6559940268812143E-3</v>
      </c>
      <c r="T218">
        <v>-2.185100196463452E-4</v>
      </c>
      <c r="U218">
        <v>1.6385906451832355E-4</v>
      </c>
      <c r="V218">
        <v>3.6459303286329181E-4</v>
      </c>
      <c r="W218">
        <v>1.0469896421561042E-3</v>
      </c>
      <c r="X218">
        <v>2.2543795649321297E-3</v>
      </c>
      <c r="Y218">
        <v>3.6459303286329181E-4</v>
      </c>
      <c r="Z218">
        <v>-2.2396068162366944E-3</v>
      </c>
      <c r="AA218">
        <v>-1.2753577127463389E-3</v>
      </c>
      <c r="AC218">
        <v>-2.4568142068639442E-3</v>
      </c>
      <c r="AD218">
        <v>-4.2695198419762104E-4</v>
      </c>
      <c r="AE218">
        <v>1.7498262534052511E-3</v>
      </c>
      <c r="AF218">
        <v>-6.3732602435528918E-5</v>
      </c>
      <c r="AG218">
        <v>-9.7337094129068547E-4</v>
      </c>
      <c r="AH218">
        <v>-1.7197699448047608E-3</v>
      </c>
      <c r="AI218">
        <v>-1.7197699448047608E-3</v>
      </c>
      <c r="AJ218">
        <v>9.1302258529553093E-3</v>
      </c>
      <c r="AK218">
        <v>-1.397676834450845E-2</v>
      </c>
      <c r="AL218">
        <v>1.0539737998480181E-2</v>
      </c>
    </row>
    <row r="219" spans="1:38">
      <c r="A219" s="568">
        <v>44147</v>
      </c>
      <c r="B219">
        <v>7.6559597542130708E-5</v>
      </c>
      <c r="C219">
        <v>4.9654694266321187E-5</v>
      </c>
      <c r="D219">
        <v>7.3923383284268951E-5</v>
      </c>
      <c r="E219">
        <v>1.337802443437397E-4</v>
      </c>
      <c r="F219">
        <v>9.9932227780152871E-5</v>
      </c>
      <c r="G219">
        <v>1.6492355431751982E-4</v>
      </c>
      <c r="H219">
        <v>1.9080607208987743E-4</v>
      </c>
      <c r="I219">
        <v>1.2884107221444729E-4</v>
      </c>
      <c r="J219">
        <v>-7.7892224920927955E-4</v>
      </c>
      <c r="K219">
        <v>-2.1317853892521832E-4</v>
      </c>
      <c r="L219">
        <v>7.6889191280815616E-4</v>
      </c>
      <c r="M219">
        <v>7.8714259446055479E-4</v>
      </c>
      <c r="N219">
        <v>7.9260154842142327E-4</v>
      </c>
      <c r="O219">
        <v>5.4612392438491142E-4</v>
      </c>
      <c r="P219">
        <v>5.3573019985209136E-4</v>
      </c>
      <c r="Q219">
        <v>5.4958248556946643E-4</v>
      </c>
      <c r="R219">
        <v>-9.4042821586781677E-4</v>
      </c>
      <c r="S219">
        <v>-2.6726381053367998E-3</v>
      </c>
      <c r="T219">
        <v>-7.871328626152474E-3</v>
      </c>
      <c r="U219">
        <v>-2.8437068991549186E-3</v>
      </c>
      <c r="V219">
        <v>-5.1339063311185429E-3</v>
      </c>
      <c r="W219">
        <v>-3.6069954841140284E-3</v>
      </c>
      <c r="X219">
        <v>-3.4885436526786995E-3</v>
      </c>
      <c r="Y219">
        <v>-5.1339063311185429E-3</v>
      </c>
      <c r="Z219">
        <v>-4.0785132620230202E-3</v>
      </c>
      <c r="AA219">
        <v>-6.235989486157667E-3</v>
      </c>
      <c r="AC219">
        <v>-2.196208086665985E-2</v>
      </c>
      <c r="AD219">
        <v>-1.7887939416791676E-2</v>
      </c>
      <c r="AE219">
        <v>-2.3549375852551457E-2</v>
      </c>
      <c r="AF219">
        <v>-2.2236527765113534E-2</v>
      </c>
      <c r="AG219">
        <v>-2.0477462449769668E-2</v>
      </c>
      <c r="AH219">
        <v>-1.5373456606661893E-2</v>
      </c>
      <c r="AI219">
        <v>-1.5373456606661893E-2</v>
      </c>
      <c r="AJ219">
        <v>-2.3809523809523725E-3</v>
      </c>
      <c r="AK219">
        <v>1.4557992529451225E-2</v>
      </c>
      <c r="AL219">
        <v>7.5861217306416595E-3</v>
      </c>
    </row>
    <row r="220" spans="1:38">
      <c r="A220" s="568">
        <v>44148</v>
      </c>
      <c r="B220">
        <v>7.6559597542130708E-5</v>
      </c>
      <c r="C220">
        <v>2.5612199046110007E-4</v>
      </c>
      <c r="D220">
        <v>9.6265196865230607E-5</v>
      </c>
      <c r="E220">
        <v>1.337802443437397E-4</v>
      </c>
      <c r="F220">
        <v>2.979499589408352E-4</v>
      </c>
      <c r="G220">
        <v>-1.3090113808789106E-5</v>
      </c>
      <c r="H220">
        <v>1.907696720779839E-4</v>
      </c>
      <c r="I220">
        <v>1.355501697577477E-4</v>
      </c>
      <c r="J220">
        <v>8.9340492493583668E-4</v>
      </c>
      <c r="K220">
        <v>1.4073475713425321E-3</v>
      </c>
      <c r="L220">
        <v>7.6889191280815616E-4</v>
      </c>
      <c r="M220">
        <v>7.8714259446055479E-4</v>
      </c>
      <c r="N220">
        <v>7.9260154842142327E-4</v>
      </c>
      <c r="O220">
        <v>5.4612392438491142E-4</v>
      </c>
      <c r="P220">
        <v>5.3573019985209136E-4</v>
      </c>
      <c r="Q220">
        <v>5.4958248556946643E-4</v>
      </c>
      <c r="R220">
        <v>4.4923460001111692E-4</v>
      </c>
      <c r="S220">
        <v>2.8031855671748485E-3</v>
      </c>
      <c r="T220">
        <v>-1.3415843368802527E-4</v>
      </c>
      <c r="U220">
        <v>1.3338872444073058E-3</v>
      </c>
      <c r="V220">
        <v>4.7650674172701191E-3</v>
      </c>
      <c r="W220">
        <v>1.5996807659743872E-3</v>
      </c>
      <c r="X220">
        <v>1.9100192783119141E-3</v>
      </c>
      <c r="Y220">
        <v>4.7650674172701191E-3</v>
      </c>
      <c r="Z220">
        <v>4.5721630604098618E-3</v>
      </c>
      <c r="AA220">
        <v>-2.3563424305994563E-4</v>
      </c>
      <c r="AC220">
        <v>2.16179361782185E-2</v>
      </c>
      <c r="AD220">
        <v>1.82616480018023E-2</v>
      </c>
      <c r="AE220">
        <v>2.0875731528921637E-2</v>
      </c>
      <c r="AF220">
        <v>2.0698523528387192E-2</v>
      </c>
      <c r="AG220">
        <v>1.2360090621604369E-2</v>
      </c>
      <c r="AH220">
        <v>1.5132555324752949E-2</v>
      </c>
      <c r="AI220">
        <v>1.5132555324752949E-2</v>
      </c>
      <c r="AJ220">
        <v>1.4319809069212486E-2</v>
      </c>
      <c r="AK220">
        <v>6.9857453035022665E-3</v>
      </c>
      <c r="AL220">
        <v>8.7908480538689826E-3</v>
      </c>
    </row>
    <row r="221" spans="1:38">
      <c r="A221" s="568">
        <v>44151</v>
      </c>
      <c r="B221">
        <v>7.6559597542130708E-5</v>
      </c>
      <c r="C221">
        <v>2.3776147966181327E-4</v>
      </c>
      <c r="D221">
        <v>7.3910803983334716E-5</v>
      </c>
      <c r="E221">
        <v>1.337802443437397E-4</v>
      </c>
      <c r="F221">
        <v>2.4882308497042871E-4</v>
      </c>
      <c r="G221">
        <v>2.6971848755619199E-4</v>
      </c>
      <c r="H221">
        <v>1.9142939283467442E-4</v>
      </c>
      <c r="I221">
        <v>1.3848614277578442E-4</v>
      </c>
      <c r="J221">
        <v>1.4468082865717324E-3</v>
      </c>
      <c r="K221">
        <v>2.2635526853678201E-3</v>
      </c>
      <c r="L221">
        <v>7.6889191280815616E-4</v>
      </c>
      <c r="M221">
        <v>7.8714259446055479E-4</v>
      </c>
      <c r="N221">
        <v>7.9260154842142327E-4</v>
      </c>
      <c r="O221">
        <v>5.4612392438491142E-4</v>
      </c>
      <c r="P221">
        <v>5.3573019985209136E-4</v>
      </c>
      <c r="Q221">
        <v>5.4958248556946643E-4</v>
      </c>
      <c r="R221">
        <v>2.6406660045583674E-3</v>
      </c>
      <c r="S221">
        <v>4.4153014675263336E-3</v>
      </c>
      <c r="T221">
        <v>-1.2033461644098686E-3</v>
      </c>
      <c r="U221">
        <v>1.0923388491084207E-3</v>
      </c>
      <c r="V221">
        <v>2.5705861985751977E-3</v>
      </c>
      <c r="W221">
        <v>1.2115724446133402E-3</v>
      </c>
      <c r="X221">
        <v>1.4652963030268307E-3</v>
      </c>
      <c r="Y221">
        <v>2.5705861985751977E-3</v>
      </c>
      <c r="Z221">
        <v>4.2590179351111868E-3</v>
      </c>
      <c r="AA221">
        <v>-1.6962428703914956E-3</v>
      </c>
      <c r="AC221">
        <v>1.629938026985478E-2</v>
      </c>
      <c r="AD221">
        <v>1.3105467644697777E-2</v>
      </c>
      <c r="AE221">
        <v>1.1574926921183115E-2</v>
      </c>
      <c r="AF221">
        <v>1.2005023259298531E-2</v>
      </c>
      <c r="AG221">
        <v>9.1049802017806325E-3</v>
      </c>
      <c r="AH221">
        <v>1.1409566188898344E-2</v>
      </c>
      <c r="AI221">
        <v>1.1409566188898344E-2</v>
      </c>
      <c r="AJ221">
        <v>4.2352941176471148E-3</v>
      </c>
      <c r="AK221">
        <v>1.3124589856567948E-3</v>
      </c>
      <c r="AL221">
        <v>-5.3361667800400081E-4</v>
      </c>
    </row>
    <row r="222" spans="1:38">
      <c r="A222" s="568">
        <v>44152</v>
      </c>
      <c r="B222">
        <v>7.6559597542130708E-5</v>
      </c>
      <c r="C222">
        <v>5.6677209970601439E-5</v>
      </c>
      <c r="D222">
        <v>1.7531034514361998E-4</v>
      </c>
      <c r="E222">
        <v>1.337802443437397E-4</v>
      </c>
      <c r="F222">
        <v>2.8189908285192189E-4</v>
      </c>
      <c r="G222">
        <v>2.910338146135949E-4</v>
      </c>
      <c r="H222">
        <v>1.9000080732944902E-4</v>
      </c>
      <c r="I222">
        <v>1.4747076980037299E-4</v>
      </c>
      <c r="J222">
        <v>1.6231130852661924E-3</v>
      </c>
      <c r="K222">
        <v>5.5653546688771982E-4</v>
      </c>
      <c r="L222">
        <v>7.6889191280815616E-4</v>
      </c>
      <c r="M222">
        <v>7.8714259446055479E-4</v>
      </c>
      <c r="N222">
        <v>7.9260154842142327E-4</v>
      </c>
      <c r="O222">
        <v>5.4612392438491142E-4</v>
      </c>
      <c r="P222">
        <v>5.3573019985209136E-4</v>
      </c>
      <c r="Q222">
        <v>5.4958248556946643E-4</v>
      </c>
      <c r="R222">
        <v>2.4182657579863154E-4</v>
      </c>
      <c r="S222">
        <v>1.8819293310514684E-3</v>
      </c>
      <c r="T222">
        <v>-4.5161268161559853E-3</v>
      </c>
      <c r="U222">
        <v>2.6871840681064185E-5</v>
      </c>
      <c r="V222">
        <v>4.8925215061657035E-4</v>
      </c>
      <c r="W222">
        <v>-1.4219040911979119E-3</v>
      </c>
      <c r="X222">
        <v>-2.3363777314888701E-4</v>
      </c>
      <c r="Y222">
        <v>4.8925215061657035E-4</v>
      </c>
      <c r="Z222">
        <v>9.4445608292526018E-5</v>
      </c>
      <c r="AA222">
        <v>-2.7080257048022194E-3</v>
      </c>
      <c r="AC222">
        <v>7.6924797087134511E-3</v>
      </c>
      <c r="AD222">
        <v>1.6932527578572554E-3</v>
      </c>
      <c r="AE222">
        <v>9.2831515568605472E-3</v>
      </c>
      <c r="AF222">
        <v>3.8858009145683603E-3</v>
      </c>
      <c r="AG222">
        <v>5.3131212892172375E-3</v>
      </c>
      <c r="AH222">
        <v>5.3847357960994154E-3</v>
      </c>
      <c r="AI222">
        <v>5.3847357960994154E-3</v>
      </c>
      <c r="AJ222">
        <v>-1.1199625117151002E-2</v>
      </c>
      <c r="AK222">
        <v>-8.7070499016946856E-3</v>
      </c>
      <c r="AL222">
        <v>-1.5153672871403567E-2</v>
      </c>
    </row>
    <row r="223" spans="1:38">
      <c r="A223" s="568">
        <v>44153</v>
      </c>
      <c r="B223">
        <v>7.6559597542130708E-5</v>
      </c>
      <c r="C223">
        <v>9.7680316121673272E-5</v>
      </c>
      <c r="D223">
        <v>9.3940709664730448E-5</v>
      </c>
      <c r="E223">
        <v>1.337802443437397E-4</v>
      </c>
      <c r="F223">
        <v>1.9695607561853734E-4</v>
      </c>
      <c r="G223">
        <v>3.1428365002517111E-4</v>
      </c>
      <c r="H223">
        <v>1.8996471388033065E-4</v>
      </c>
      <c r="I223">
        <v>1.4768498541251063E-4</v>
      </c>
      <c r="J223">
        <v>-1.994130378049741E-3</v>
      </c>
      <c r="K223">
        <v>-7.295947092134103E-4</v>
      </c>
      <c r="L223">
        <v>7.6889191280815616E-4</v>
      </c>
      <c r="M223">
        <v>7.8714259446055479E-4</v>
      </c>
      <c r="N223">
        <v>7.9260154842142327E-4</v>
      </c>
      <c r="O223">
        <v>5.4612392438491142E-4</v>
      </c>
      <c r="P223">
        <v>5.3573019985209136E-4</v>
      </c>
      <c r="Q223">
        <v>5.4958248556946643E-4</v>
      </c>
      <c r="R223">
        <v>1.260334016772946E-3</v>
      </c>
      <c r="S223">
        <v>1.4134507738019497E-3</v>
      </c>
      <c r="T223">
        <v>-1.1931657827894959E-3</v>
      </c>
      <c r="U223">
        <v>-2.4676365749631834E-4</v>
      </c>
      <c r="V223">
        <v>-2.2960070919946229E-3</v>
      </c>
      <c r="W223">
        <v>-1.4291874432502683E-3</v>
      </c>
      <c r="X223">
        <v>-4.9781761644840383E-4</v>
      </c>
      <c r="Y223">
        <v>-2.2960070919946229E-3</v>
      </c>
      <c r="Z223">
        <v>-2.6827510450905256E-3</v>
      </c>
      <c r="AA223">
        <v>5.9567875934374293E-4</v>
      </c>
      <c r="AC223">
        <v>-1.0531976026174061E-2</v>
      </c>
      <c r="AD223">
        <v>-1.6478668286222797E-2</v>
      </c>
      <c r="AE223">
        <v>-9.0359340510267616E-3</v>
      </c>
      <c r="AF223">
        <v>-1.2918630854815483E-2</v>
      </c>
      <c r="AG223">
        <v>-3.9107169869122549E-3</v>
      </c>
      <c r="AH223">
        <v>-7.3723832183218421E-3</v>
      </c>
      <c r="AI223">
        <v>-7.3723832183218421E-3</v>
      </c>
      <c r="AJ223">
        <v>-1.9382967631865755E-2</v>
      </c>
      <c r="AK223">
        <v>1.0389119758216214E-3</v>
      </c>
      <c r="AL223">
        <v>-4.3486427443206743E-3</v>
      </c>
    </row>
    <row r="224" spans="1:38">
      <c r="A224" s="568">
        <v>44154</v>
      </c>
      <c r="B224">
        <v>7.6559597542130708E-5</v>
      </c>
      <c r="C224">
        <v>1.7006888651671659E-4</v>
      </c>
      <c r="D224">
        <v>6.0712072423640961E-5</v>
      </c>
      <c r="E224">
        <v>1.337802443437397E-4</v>
      </c>
      <c r="F224">
        <v>1.3475676404084425E-4</v>
      </c>
      <c r="G224">
        <v>4.9777664645755948E-6</v>
      </c>
      <c r="H224">
        <v>1.9062434342442813E-4</v>
      </c>
      <c r="I224">
        <v>1.4714334261189954E-4</v>
      </c>
      <c r="J224">
        <v>9.6754483970618033E-4</v>
      </c>
      <c r="K224">
        <v>8.412597283786738E-4</v>
      </c>
      <c r="L224">
        <v>7.6889191280815616E-4</v>
      </c>
      <c r="M224">
        <v>7.8714259446055479E-4</v>
      </c>
      <c r="N224">
        <v>7.9260154842142327E-4</v>
      </c>
      <c r="O224">
        <v>5.4612392438491142E-4</v>
      </c>
      <c r="P224">
        <v>5.3573019985209136E-4</v>
      </c>
      <c r="Q224">
        <v>5.4958248556946643E-4</v>
      </c>
      <c r="R224">
        <v>4.628578524650262E-4</v>
      </c>
      <c r="S224">
        <v>1.2704458387058359E-4</v>
      </c>
      <c r="T224">
        <v>-2.191889581426798E-3</v>
      </c>
      <c r="U224">
        <v>1.2353748932922848E-3</v>
      </c>
      <c r="V224">
        <v>1.6145730948167181E-3</v>
      </c>
      <c r="W224">
        <v>1.3007485008915687E-3</v>
      </c>
      <c r="X224">
        <v>-6.3305843885286261E-4</v>
      </c>
      <c r="Y224">
        <v>1.6145730948167181E-3</v>
      </c>
      <c r="Z224">
        <v>1.1652591816468938E-3</v>
      </c>
      <c r="AA224">
        <v>2.4544628124703038E-3</v>
      </c>
      <c r="AC224">
        <v>5.1904892889675924E-3</v>
      </c>
      <c r="AD224">
        <v>8.2062343114392977E-3</v>
      </c>
      <c r="AE224">
        <v>7.3916271292948643E-3</v>
      </c>
      <c r="AF224">
        <v>4.1807152834221206E-3</v>
      </c>
      <c r="AG224">
        <v>4.9634737929482586E-3</v>
      </c>
      <c r="AH224">
        <v>3.6333425022773143E-3</v>
      </c>
      <c r="AI224">
        <v>3.6333425022773143E-3</v>
      </c>
      <c r="AJ224">
        <v>-8.7956698240865272E-3</v>
      </c>
      <c r="AK224">
        <v>-7.5478818756480326E-4</v>
      </c>
      <c r="AL224">
        <v>-4.8710943603162971E-3</v>
      </c>
    </row>
    <row r="225" spans="1:38">
      <c r="A225" s="568">
        <v>44155</v>
      </c>
      <c r="B225">
        <v>7.6559597542130708E-5</v>
      </c>
      <c r="C225">
        <v>-9.5595330852016325E-5</v>
      </c>
      <c r="D225">
        <v>1.2198949401276415E-4</v>
      </c>
      <c r="E225">
        <v>1.337802443437397E-4</v>
      </c>
      <c r="F225">
        <v>-9.0733068753845458E-6</v>
      </c>
      <c r="G225">
        <v>1.3869354777296117E-4</v>
      </c>
      <c r="H225">
        <v>1.8919685933216357E-4</v>
      </c>
      <c r="I225">
        <v>1.4720165750881087E-4</v>
      </c>
      <c r="J225">
        <v>-1.6199930260727413E-3</v>
      </c>
      <c r="K225">
        <v>-1.1948722605003015E-3</v>
      </c>
      <c r="L225">
        <v>7.6889191280815616E-4</v>
      </c>
      <c r="M225">
        <v>7.8714259446055479E-4</v>
      </c>
      <c r="N225">
        <v>7.9260154842142327E-4</v>
      </c>
      <c r="O225">
        <v>5.4612392438491142E-4</v>
      </c>
      <c r="P225">
        <v>5.3573019985209136E-4</v>
      </c>
      <c r="Q225">
        <v>5.4958248556946643E-4</v>
      </c>
      <c r="R225">
        <v>6.6889003121906043E-4</v>
      </c>
      <c r="S225">
        <v>8.5201616963592741E-4</v>
      </c>
      <c r="T225">
        <v>3.1286168731048392E-4</v>
      </c>
      <c r="U225">
        <v>-1.9883336088656334E-3</v>
      </c>
      <c r="V225">
        <v>-3.0093604193204282E-4</v>
      </c>
      <c r="W225">
        <v>-8.6487042429528316E-5</v>
      </c>
      <c r="X225">
        <v>1.2949429719433247E-3</v>
      </c>
      <c r="Y225">
        <v>-3.0093604193204282E-4</v>
      </c>
      <c r="Z225">
        <v>-5.9990300808898667E-4</v>
      </c>
      <c r="AA225">
        <v>1.2804844565408313E-3</v>
      </c>
      <c r="AC225">
        <v>-5.8818842053850462E-3</v>
      </c>
      <c r="AD225">
        <v>-3.0972455967871459E-3</v>
      </c>
      <c r="AE225">
        <v>-4.2579340132471444E-3</v>
      </c>
      <c r="AF225">
        <v>-2.4951550387597443E-3</v>
      </c>
      <c r="AG225">
        <v>-7.3805001535585113E-3</v>
      </c>
      <c r="AH225">
        <v>-4.1173189437695322E-3</v>
      </c>
      <c r="AI225">
        <v>-4.1173189437695322E-3</v>
      </c>
      <c r="AJ225">
        <v>8.8249634324719661E-3</v>
      </c>
      <c r="AK225">
        <v>1.5201586252478583E-2</v>
      </c>
      <c r="AL225">
        <v>1.3603501427756237E-2</v>
      </c>
    </row>
    <row r="226" spans="1:38">
      <c r="A226" s="568">
        <v>44158</v>
      </c>
      <c r="B226">
        <v>7.6559597542130708E-5</v>
      </c>
      <c r="C226">
        <v>8.4529227488472358E-5</v>
      </c>
      <c r="D226">
        <v>6.8718092614883375E-5</v>
      </c>
      <c r="E226">
        <v>1.337802443437397E-4</v>
      </c>
      <c r="F226">
        <v>1.2067607637611388E-4</v>
      </c>
      <c r="G226">
        <v>1.2140101850000029E-4</v>
      </c>
      <c r="H226">
        <v>1.9124740598952528E-4</v>
      </c>
      <c r="I226">
        <v>1.4728392880791752E-4</v>
      </c>
      <c r="J226">
        <v>-1.3434750946748064E-3</v>
      </c>
      <c r="K226">
        <v>-1.0691084390240801E-3</v>
      </c>
      <c r="L226">
        <v>7.6889191280815616E-4</v>
      </c>
      <c r="M226">
        <v>7.8714259446055479E-4</v>
      </c>
      <c r="N226">
        <v>7.9260154842142327E-4</v>
      </c>
      <c r="O226">
        <v>5.4612392438491142E-4</v>
      </c>
      <c r="P226">
        <v>5.3573019985209136E-4</v>
      </c>
      <c r="Q226">
        <v>5.4958248556946643E-4</v>
      </c>
      <c r="R226">
        <v>1.0361804908638472E-3</v>
      </c>
      <c r="S226">
        <v>3.3841960618987699E-3</v>
      </c>
      <c r="T226">
        <v>3.1880829552897172E-3</v>
      </c>
      <c r="U226">
        <v>1.3866707030496528E-4</v>
      </c>
      <c r="V226">
        <v>2.1281274049409493E-3</v>
      </c>
      <c r="W226">
        <v>1.3050153381672924E-3</v>
      </c>
      <c r="X226">
        <v>2.1410853139476327E-3</v>
      </c>
      <c r="Y226">
        <v>2.1281274049409493E-3</v>
      </c>
      <c r="Z226">
        <v>2.0696878926740325E-4</v>
      </c>
      <c r="AA226">
        <v>3.4245526637755042E-4</v>
      </c>
      <c r="AC226">
        <v>1.2602873867152198E-2</v>
      </c>
      <c r="AD226">
        <v>1.4400287123571109E-2</v>
      </c>
      <c r="AE226">
        <v>1.4644306425641851E-2</v>
      </c>
      <c r="AF226">
        <v>1.5370840363138738E-2</v>
      </c>
      <c r="AG226">
        <v>7.2431103005261566E-3</v>
      </c>
      <c r="AH226">
        <v>8.8220117070065378E-3</v>
      </c>
      <c r="AI226">
        <v>8.8220117070065378E-3</v>
      </c>
      <c r="AJ226">
        <v>1.9767048475182403E-2</v>
      </c>
      <c r="AK226">
        <v>5.4873511904762751E-3</v>
      </c>
      <c r="AL226">
        <v>1.2724869041200071E-2</v>
      </c>
    </row>
    <row r="227" spans="1:38">
      <c r="A227" s="568">
        <v>44159</v>
      </c>
      <c r="B227">
        <v>7.6559597542130708E-5</v>
      </c>
      <c r="C227">
        <v>2.732478583098441E-4</v>
      </c>
      <c r="D227">
        <v>7.7875153531303809E-5</v>
      </c>
      <c r="E227">
        <v>1.337802443437397E-4</v>
      </c>
      <c r="F227">
        <v>1.1476452406289361E-4</v>
      </c>
      <c r="G227">
        <v>9.9148393266190737E-4</v>
      </c>
      <c r="H227">
        <v>1.9121083741313605E-4</v>
      </c>
      <c r="I227">
        <v>1.4746408626087337E-4</v>
      </c>
      <c r="J227">
        <v>2.3644557817688039E-3</v>
      </c>
      <c r="K227">
        <v>1.8461876372264374E-3</v>
      </c>
      <c r="L227">
        <v>7.6889191280815616E-4</v>
      </c>
      <c r="M227">
        <v>7.8714259446055479E-4</v>
      </c>
      <c r="N227">
        <v>7.9260154842142327E-4</v>
      </c>
      <c r="O227">
        <v>5.4612392438491142E-4</v>
      </c>
      <c r="P227">
        <v>5.3573019985209136E-4</v>
      </c>
      <c r="Q227">
        <v>5.4958248556946643E-4</v>
      </c>
      <c r="R227">
        <v>2.1759796132552189E-3</v>
      </c>
      <c r="S227">
        <v>2.6669838507080712E-3</v>
      </c>
      <c r="T227">
        <v>2.1781235461260096E-3</v>
      </c>
      <c r="U227">
        <v>4.5600106708727495E-3</v>
      </c>
      <c r="V227">
        <v>4.5685000744439819E-3</v>
      </c>
      <c r="W227">
        <v>5.4502242424665504E-3</v>
      </c>
      <c r="X227">
        <v>3.407003542505338E-3</v>
      </c>
      <c r="Y227">
        <v>4.5685000744439819E-3</v>
      </c>
      <c r="Z227">
        <v>4.1682715490471978E-3</v>
      </c>
      <c r="AA227">
        <v>1.1770278774647647E-3</v>
      </c>
      <c r="AC227">
        <v>2.2419484196712025E-2</v>
      </c>
      <c r="AD227">
        <v>2.0258912578156707E-2</v>
      </c>
      <c r="AE227">
        <v>2.7935403840735562E-2</v>
      </c>
      <c r="AF227">
        <v>1.4965982128860356E-2</v>
      </c>
      <c r="AG227">
        <v>1.9786819109030684E-2</v>
      </c>
      <c r="AH227">
        <v>1.5693638937698418E-2</v>
      </c>
      <c r="AI227">
        <v>1.5693638937698418E-2</v>
      </c>
      <c r="AJ227">
        <v>2.322274881516595E-3</v>
      </c>
      <c r="AK227">
        <v>3.6999352511331018E-3</v>
      </c>
      <c r="AL227">
        <v>-1.0836386020280253E-2</v>
      </c>
    </row>
    <row r="228" spans="1:38">
      <c r="A228" s="568">
        <v>44160</v>
      </c>
      <c r="B228">
        <v>7.6559597542130708E-5</v>
      </c>
      <c r="C228">
        <v>2.7257476667097436E-4</v>
      </c>
      <c r="D228">
        <v>1.059248643446864E-4</v>
      </c>
      <c r="E228">
        <v>1.337802443437397E-4</v>
      </c>
      <c r="F228">
        <v>1.6010762134954781E-4</v>
      </c>
      <c r="G228">
        <v>2.1445764247118859E-4</v>
      </c>
      <c r="H228">
        <v>1.9186946202864874E-4</v>
      </c>
      <c r="I228">
        <v>1.4784597791672738E-4</v>
      </c>
      <c r="J228">
        <v>1.1701906810832607E-3</v>
      </c>
      <c r="K228">
        <v>1.5940713535700368E-3</v>
      </c>
      <c r="L228">
        <v>7.6889191280815616E-4</v>
      </c>
      <c r="M228">
        <v>7.8714259446055479E-4</v>
      </c>
      <c r="N228">
        <v>7.9260154842142327E-4</v>
      </c>
      <c r="O228">
        <v>5.4612392438491142E-4</v>
      </c>
      <c r="P228">
        <v>5.3573019985209136E-4</v>
      </c>
      <c r="Q228">
        <v>5.4958248556946643E-4</v>
      </c>
      <c r="R228">
        <v>5.4952672011232551E-4</v>
      </c>
      <c r="S228">
        <v>1.5749661293134043E-3</v>
      </c>
      <c r="T228">
        <v>-5.9842388878319497E-3</v>
      </c>
      <c r="U228">
        <v>1.9021606959124249E-3</v>
      </c>
      <c r="V228">
        <v>1.9735405160845598E-3</v>
      </c>
      <c r="W228">
        <v>2.8502399193808259E-4</v>
      </c>
      <c r="X228">
        <v>1.4940234218470128E-3</v>
      </c>
      <c r="Y228">
        <v>1.9735405160845598E-3</v>
      </c>
      <c r="Z228">
        <v>-1.5935493549195101E-3</v>
      </c>
      <c r="AA228">
        <v>2.6088573083056232E-3</v>
      </c>
      <c r="AC228">
        <v>3.1536721794978018E-3</v>
      </c>
      <c r="AD228">
        <v>3.2713443780834073E-3</v>
      </c>
      <c r="AE228">
        <v>5.3746856646050833E-3</v>
      </c>
      <c r="AF228">
        <v>5.5877508832715694E-3</v>
      </c>
      <c r="AG228">
        <v>7.8956030191745796E-3</v>
      </c>
      <c r="AH228">
        <v>2.2075705256484612E-3</v>
      </c>
      <c r="AI228">
        <v>2.2075705256484612E-3</v>
      </c>
      <c r="AJ228">
        <v>-1.1773606317083574E-2</v>
      </c>
      <c r="AK228">
        <v>-1.3178508893189611E-2</v>
      </c>
      <c r="AL228">
        <v>-2.549398033890915E-2</v>
      </c>
    </row>
    <row r="229" spans="1:38">
      <c r="A229" s="568">
        <v>44161</v>
      </c>
      <c r="B229">
        <v>7.6559597542130708E-5</v>
      </c>
      <c r="C229">
        <v>2.6406105156784321E-4</v>
      </c>
      <c r="D229">
        <v>4.751801390723287E-5</v>
      </c>
      <c r="E229">
        <v>1.337802443437397E-4</v>
      </c>
      <c r="F229">
        <v>2.0089609635776107E-4</v>
      </c>
      <c r="G229">
        <v>9.3561451746104751E-5</v>
      </c>
      <c r="H229">
        <v>1.9183265520017478E-4</v>
      </c>
      <c r="I229">
        <v>1.475324302979697E-4</v>
      </c>
      <c r="J229">
        <v>5.950840224540066E-3</v>
      </c>
      <c r="K229">
        <v>1.5922386698814517E-3</v>
      </c>
      <c r="L229">
        <v>7.6889191280815616E-4</v>
      </c>
      <c r="M229">
        <v>7.8714259446055479E-4</v>
      </c>
      <c r="N229">
        <v>7.9260154842142327E-4</v>
      </c>
      <c r="O229">
        <v>5.4612392438491142E-4</v>
      </c>
      <c r="P229">
        <v>5.3573019985209136E-4</v>
      </c>
      <c r="Q229">
        <v>5.4958248556946643E-4</v>
      </c>
      <c r="R229">
        <v>-3.8695391129217604E-5</v>
      </c>
      <c r="S229">
        <v>-3.6022866647988927E-4</v>
      </c>
      <c r="T229">
        <v>-1.9765921590265689E-3</v>
      </c>
      <c r="U229">
        <v>1.298644933015014E-3</v>
      </c>
      <c r="V229">
        <v>1.0847366140129822E-3</v>
      </c>
      <c r="W229">
        <v>2.419982439167967E-4</v>
      </c>
      <c r="X229">
        <v>1.1095350034528995E-3</v>
      </c>
      <c r="Y229">
        <v>1.0847366140129822E-3</v>
      </c>
      <c r="Z229">
        <v>7.9564023372991066E-4</v>
      </c>
      <c r="AA229">
        <v>-8.4739582454651519E-4</v>
      </c>
      <c r="AC229">
        <v>8.5860190445097295E-4</v>
      </c>
      <c r="AD229">
        <v>1.1509852012994148E-3</v>
      </c>
      <c r="AE229">
        <v>2.7085749894348865E-3</v>
      </c>
      <c r="AF229">
        <v>3.9881934028049848E-3</v>
      </c>
      <c r="AG229">
        <v>7.6141096490938143E-3</v>
      </c>
      <c r="AH229">
        <v>6.0102133311568107E-4</v>
      </c>
      <c r="AI229">
        <v>6.0102133311568107E-4</v>
      </c>
      <c r="AJ229">
        <v>-2.3923444976076125E-3</v>
      </c>
      <c r="AK229">
        <v>9.3388121031003912E-3</v>
      </c>
      <c r="AL229">
        <v>2.9256267501349686E-3</v>
      </c>
    </row>
    <row r="230" spans="1:38">
      <c r="A230" s="568">
        <v>44162</v>
      </c>
      <c r="B230">
        <v>7.6559597542130708E-5</v>
      </c>
      <c r="C230">
        <v>6.6187242198356699E-4</v>
      </c>
      <c r="D230">
        <v>1.0590861288917175E-4</v>
      </c>
      <c r="E230">
        <v>1.337802443437397E-4</v>
      </c>
      <c r="F230">
        <v>4.3843680729116485E-4</v>
      </c>
      <c r="G230">
        <v>2.4284721402012543E-4</v>
      </c>
      <c r="H230">
        <v>1.9179586249062908E-4</v>
      </c>
      <c r="I230">
        <v>1.475845788372343E-4</v>
      </c>
      <c r="J230">
        <v>3.4642832204194729E-3</v>
      </c>
      <c r="K230">
        <v>3.0377888654149476E-3</v>
      </c>
      <c r="L230">
        <v>7.6889191280815616E-4</v>
      </c>
      <c r="M230">
        <v>7.8714259446055479E-4</v>
      </c>
      <c r="N230">
        <v>7.9260154842142327E-4</v>
      </c>
      <c r="O230">
        <v>5.4612392438491142E-4</v>
      </c>
      <c r="P230">
        <v>5.3573019985209136E-4</v>
      </c>
      <c r="Q230">
        <v>5.4958248556946643E-4</v>
      </c>
      <c r="R230">
        <v>1.3412840875897114E-3</v>
      </c>
      <c r="S230">
        <v>9.1249130070258921E-4</v>
      </c>
      <c r="T230">
        <v>1.5835410413171935E-3</v>
      </c>
      <c r="U230">
        <v>2.8890504829228725E-3</v>
      </c>
      <c r="V230">
        <v>2.4548624162377131E-3</v>
      </c>
      <c r="W230">
        <v>2.3625382200895828E-3</v>
      </c>
      <c r="X230">
        <v>2.6398569748991019E-3</v>
      </c>
      <c r="Y230">
        <v>2.4548624162377131E-3</v>
      </c>
      <c r="Z230">
        <v>4.8699564028042985E-4</v>
      </c>
      <c r="AA230">
        <v>7.7005957332954011E-6</v>
      </c>
      <c r="AC230">
        <v>3.1605660641136346E-3</v>
      </c>
      <c r="AD230">
        <v>3.8337697790764569E-3</v>
      </c>
      <c r="AE230">
        <v>3.9898023737576782E-3</v>
      </c>
      <c r="AF230">
        <v>2.4367365528839002E-3</v>
      </c>
      <c r="AG230">
        <v>6.7734610434613263E-3</v>
      </c>
      <c r="AH230">
        <v>2.2123962448795439E-3</v>
      </c>
      <c r="AI230">
        <v>2.2123962448795439E-3</v>
      </c>
      <c r="AJ230">
        <v>1.1990407673860837E-2</v>
      </c>
      <c r="AK230">
        <v>5.4589193190228702E-3</v>
      </c>
      <c r="AL230">
        <v>7.4566535062507988E-3</v>
      </c>
    </row>
    <row r="231" spans="1:38">
      <c r="A231" s="568">
        <v>44165</v>
      </c>
      <c r="B231">
        <v>7.6559597542130708E-5</v>
      </c>
      <c r="C231">
        <v>1.1056212235516227E-4</v>
      </c>
      <c r="D231">
        <v>6.6972948652876951E-5</v>
      </c>
      <c r="E231">
        <v>1.337802443437397E-4</v>
      </c>
      <c r="F231">
        <v>1.7221610401740861E-5</v>
      </c>
      <c r="G231">
        <v>2.4756217990340446E-4</v>
      </c>
      <c r="H231">
        <v>1.9175908389179597E-4</v>
      </c>
      <c r="I231">
        <v>1.4832377358509063E-4</v>
      </c>
      <c r="J231">
        <v>-1.3750204859497295E-5</v>
      </c>
      <c r="K231">
        <v>-1.4306141159459163E-4</v>
      </c>
      <c r="L231">
        <v>7.6889191280815616E-4</v>
      </c>
      <c r="M231">
        <v>7.8714259446055479E-4</v>
      </c>
      <c r="N231">
        <v>7.9260154842142327E-4</v>
      </c>
      <c r="O231">
        <v>5.4612392438491142E-4</v>
      </c>
      <c r="P231">
        <v>5.3573019985209136E-4</v>
      </c>
      <c r="Q231">
        <v>5.4958248556946643E-4</v>
      </c>
      <c r="R231">
        <v>3.4593556872120068E-4</v>
      </c>
      <c r="S231">
        <v>-1.3870602720034153E-3</v>
      </c>
      <c r="T231">
        <v>1.2309381758468518E-4</v>
      </c>
      <c r="U231">
        <v>-3.74108702750231E-4</v>
      </c>
      <c r="V231">
        <v>-3.1211857920104835E-3</v>
      </c>
      <c r="W231">
        <v>-2.5167251085582709E-3</v>
      </c>
      <c r="X231">
        <v>5.1249686539978079E-4</v>
      </c>
      <c r="Y231">
        <v>-3.1211857920104835E-3</v>
      </c>
      <c r="Z231">
        <v>-7.0397094080582034E-3</v>
      </c>
      <c r="AA231">
        <v>1.8440875336847018E-3</v>
      </c>
      <c r="AC231">
        <v>-1.5212686864455538E-2</v>
      </c>
      <c r="AD231">
        <v>-9.9230145461461916E-3</v>
      </c>
      <c r="AE231">
        <v>-1.3965620569714732E-2</v>
      </c>
      <c r="AF231">
        <v>-7.0118943634850384E-3</v>
      </c>
      <c r="AG231">
        <v>-1.0139602756344068E-2</v>
      </c>
      <c r="AH231">
        <v>-1.0648880805118876E-2</v>
      </c>
      <c r="AI231">
        <v>-1.0648880805118876E-2</v>
      </c>
      <c r="AJ231">
        <v>-4.7393364928910442E-3</v>
      </c>
      <c r="AK231">
        <v>-2.7790558571822888E-2</v>
      </c>
      <c r="AL231">
        <v>-8.0246034139992428E-3</v>
      </c>
    </row>
    <row r="232" spans="1:38">
      <c r="A232" s="568">
        <v>44166</v>
      </c>
      <c r="B232">
        <v>7.6559597542130708E-5</v>
      </c>
      <c r="C232">
        <v>2.2934033096322359E-4</v>
      </c>
      <c r="D232">
        <v>2.5986053388171726E-4</v>
      </c>
      <c r="E232">
        <v>1.337802443437397E-4</v>
      </c>
      <c r="F232">
        <v>1.305194310803337E-4</v>
      </c>
      <c r="G232">
        <v>-2.4068270120591873E-4</v>
      </c>
      <c r="H232">
        <v>1.9102767331080628E-4</v>
      </c>
      <c r="I232">
        <v>1.5137716857882566E-4</v>
      </c>
      <c r="J232">
        <v>3.599815967700648E-3</v>
      </c>
      <c r="K232">
        <v>3.4605703920902453E-3</v>
      </c>
      <c r="L232">
        <v>9.3554313058796801E-4</v>
      </c>
      <c r="M232">
        <v>9.5379685140195569E-4</v>
      </c>
      <c r="N232">
        <v>9.5925671440522109E-4</v>
      </c>
      <c r="O232">
        <v>5.4612392438491142E-4</v>
      </c>
      <c r="P232">
        <v>5.3573019985209136E-4</v>
      </c>
      <c r="Q232">
        <v>5.4958248556946643E-4</v>
      </c>
      <c r="R232">
        <v>1.9957629758864392E-3</v>
      </c>
      <c r="S232">
        <v>2.185431213475475E-3</v>
      </c>
      <c r="T232">
        <v>1.1277382090288945E-3</v>
      </c>
      <c r="U232">
        <v>2.4327406364659243E-3</v>
      </c>
      <c r="V232">
        <v>4.3319801299592786E-3</v>
      </c>
      <c r="W232">
        <v>4.935896022385089E-3</v>
      </c>
      <c r="X232">
        <v>5.0774996252633819E-4</v>
      </c>
      <c r="Y232">
        <v>4.3319801299592786E-3</v>
      </c>
      <c r="Z232">
        <v>9.168773518897666E-3</v>
      </c>
      <c r="AA232">
        <v>1.1404090927029653E-3</v>
      </c>
      <c r="AC232">
        <v>2.3018767358732317E-2</v>
      </c>
      <c r="AD232">
        <v>1.4164790992991394E-2</v>
      </c>
      <c r="AE232">
        <v>2.5944406377889306E-2</v>
      </c>
      <c r="AF232">
        <v>1.6421056477301965E-2</v>
      </c>
      <c r="AG232">
        <v>1.8401735701162991E-2</v>
      </c>
      <c r="AH232">
        <v>1.6113137151112622E-2</v>
      </c>
      <c r="AI232">
        <v>1.6113137151112622E-2</v>
      </c>
      <c r="AJ232">
        <v>-1.4285714285714235E-2</v>
      </c>
      <c r="AK232">
        <v>8.3293894936109503E-3</v>
      </c>
      <c r="AL232">
        <v>-1.0755148059695463E-2</v>
      </c>
    </row>
    <row r="233" spans="1:38">
      <c r="A233" s="568">
        <v>44167</v>
      </c>
      <c r="B233">
        <v>7.6559597542130708E-5</v>
      </c>
      <c r="C233">
        <v>3.0467584764037881E-4</v>
      </c>
      <c r="D233">
        <v>7.6106766921713032E-5</v>
      </c>
      <c r="E233">
        <v>1.337802443437397E-4</v>
      </c>
      <c r="F233">
        <v>4.087262603449382E-4</v>
      </c>
      <c r="G233">
        <v>1.4243740207420252E-4</v>
      </c>
      <c r="H233">
        <v>1.9168570212202418E-4</v>
      </c>
      <c r="I233">
        <v>1.5151998354201446E-4</v>
      </c>
      <c r="J233">
        <v>1.6168191404726251E-3</v>
      </c>
      <c r="K233">
        <v>1.305132504263673E-3</v>
      </c>
      <c r="L233">
        <v>9.3554313058796801E-4</v>
      </c>
      <c r="M233">
        <v>9.5379685140195569E-4</v>
      </c>
      <c r="N233">
        <v>9.5925671440522109E-4</v>
      </c>
      <c r="O233">
        <v>5.4612392438491142E-4</v>
      </c>
      <c r="P233">
        <v>5.3573019985209136E-4</v>
      </c>
      <c r="Q233">
        <v>5.4958248556946643E-4</v>
      </c>
      <c r="R233">
        <v>1.2598695481569333E-3</v>
      </c>
      <c r="S233">
        <v>-2.3229670009117243E-5</v>
      </c>
      <c r="T233">
        <v>-1.2344336004017631E-3</v>
      </c>
      <c r="U233">
        <v>9.8435870836222072E-4</v>
      </c>
      <c r="V233">
        <v>1.5832633821915021E-3</v>
      </c>
      <c r="W233">
        <v>1.2097239866035725E-3</v>
      </c>
      <c r="X233">
        <v>1.6061116328449643E-3</v>
      </c>
      <c r="Y233">
        <v>1.5832633821915021E-3</v>
      </c>
      <c r="Z233">
        <v>2.7400034373281645E-3</v>
      </c>
      <c r="AA233">
        <v>2.3977796458400924E-3</v>
      </c>
      <c r="AC233">
        <v>4.2964128067966012E-3</v>
      </c>
      <c r="AD233">
        <v>1.266661349214715E-3</v>
      </c>
      <c r="AE233">
        <v>3.7027487469316611E-3</v>
      </c>
      <c r="AF233">
        <v>4.9181242902962552E-4</v>
      </c>
      <c r="AG233">
        <v>1.7515649383152976E-3</v>
      </c>
      <c r="AH233">
        <v>3.0074889647576206E-3</v>
      </c>
      <c r="AI233">
        <v>3.0074889647576206E-3</v>
      </c>
      <c r="AJ233">
        <v>1.6908212560386993E-3</v>
      </c>
      <c r="AK233">
        <v>-6.758659532526079E-3</v>
      </c>
      <c r="AL233">
        <v>9.7596372504622497E-3</v>
      </c>
    </row>
    <row r="234" spans="1:38">
      <c r="A234" s="568">
        <v>44168</v>
      </c>
      <c r="B234">
        <v>7.6559597542130708E-5</v>
      </c>
      <c r="C234">
        <v>3.1879264014467168E-4</v>
      </c>
      <c r="D234">
        <v>7.7817538471025571E-5</v>
      </c>
      <c r="E234">
        <v>1.337802443437397E-4</v>
      </c>
      <c r="F234">
        <v>3.3472871573780871E-4</v>
      </c>
      <c r="G234">
        <v>-2.0515078485272564E-4</v>
      </c>
      <c r="H234">
        <v>1.909545854443806E-4</v>
      </c>
      <c r="I234">
        <v>1.4995780213311605E-4</v>
      </c>
      <c r="J234">
        <v>4.7687798897901867E-3</v>
      </c>
      <c r="K234">
        <v>4.4819900613188857E-3</v>
      </c>
      <c r="L234">
        <v>9.3554313058796801E-4</v>
      </c>
      <c r="M234">
        <v>9.5379685140195569E-4</v>
      </c>
      <c r="N234">
        <v>9.5925671440522109E-4</v>
      </c>
      <c r="O234">
        <v>5.4612392438491142E-4</v>
      </c>
      <c r="P234">
        <v>5.3573019985209136E-4</v>
      </c>
      <c r="Q234">
        <v>5.4958248556946643E-4</v>
      </c>
      <c r="R234">
        <v>1.794266173704262E-3</v>
      </c>
      <c r="S234">
        <v>7.6343634535391836E-4</v>
      </c>
      <c r="T234">
        <v>2.6559896244933157E-3</v>
      </c>
      <c r="U234">
        <v>-1.0806916723302695E-3</v>
      </c>
      <c r="V234">
        <v>1.9649911807482212E-3</v>
      </c>
      <c r="W234">
        <v>-5.8077334556017046E-4</v>
      </c>
      <c r="X234">
        <v>2.5336051918967151E-4</v>
      </c>
      <c r="Y234">
        <v>1.9649911807482212E-3</v>
      </c>
      <c r="Z234">
        <v>7.4667875567535624E-3</v>
      </c>
      <c r="AA234">
        <v>-3.3864857115051272E-3</v>
      </c>
      <c r="AC234">
        <v>3.6920399293769446E-3</v>
      </c>
      <c r="AD234">
        <v>9.2030438420276361E-4</v>
      </c>
      <c r="AE234">
        <v>3.1541085779185352E-3</v>
      </c>
      <c r="AF234">
        <v>-1.0640622287703128E-3</v>
      </c>
      <c r="AG234">
        <v>1.6726424140012242E-4</v>
      </c>
      <c r="AH234">
        <v>2.5844279505638609E-3</v>
      </c>
      <c r="AI234">
        <v>2.5844279505638609E-3</v>
      </c>
      <c r="AJ234">
        <v>-1.1333494092114704E-2</v>
      </c>
      <c r="AK234">
        <v>8.2222852282394232E-3</v>
      </c>
      <c r="AL234">
        <v>-9.5136897964364087E-3</v>
      </c>
    </row>
    <row r="235" spans="1:38">
      <c r="A235" s="568">
        <v>44169</v>
      </c>
      <c r="B235">
        <v>7.6559597542130708E-5</v>
      </c>
      <c r="C235">
        <v>-2.5539255863882282E-4</v>
      </c>
      <c r="D235">
        <v>8.1244342933661784E-5</v>
      </c>
      <c r="E235">
        <v>1.337802443437397E-4</v>
      </c>
      <c r="F235">
        <v>8.6936953050065213E-5</v>
      </c>
      <c r="G235">
        <v>4.4312308630356512E-4</v>
      </c>
      <c r="H235">
        <v>1.9091812875249303E-4</v>
      </c>
      <c r="I235">
        <v>1.4852606909276922E-4</v>
      </c>
      <c r="J235">
        <v>-2.5324862583345764E-3</v>
      </c>
      <c r="K235">
        <v>-6.7009293736572939E-3</v>
      </c>
      <c r="L235">
        <v>9.3554313058796801E-4</v>
      </c>
      <c r="M235">
        <v>9.5379685140195569E-4</v>
      </c>
      <c r="N235">
        <v>9.5925671440522109E-4</v>
      </c>
      <c r="O235">
        <v>5.4612392438491142E-4</v>
      </c>
      <c r="P235">
        <v>5.3573019985209136E-4</v>
      </c>
      <c r="Q235">
        <v>5.4958248556946643E-4</v>
      </c>
      <c r="R235">
        <v>1.3899410917919131E-3</v>
      </c>
      <c r="S235">
        <v>1.7117236330608243E-3</v>
      </c>
      <c r="T235">
        <v>6.714082537517152E-3</v>
      </c>
      <c r="U235">
        <v>5.9229756657606103E-3</v>
      </c>
      <c r="V235">
        <v>3.1192896667096015E-3</v>
      </c>
      <c r="W235">
        <v>1.8379722174775015E-3</v>
      </c>
      <c r="X235">
        <v>2.223804283653541E-3</v>
      </c>
      <c r="Y235">
        <v>3.1192896667096015E-3</v>
      </c>
      <c r="Z235">
        <v>3.4289057280401103E-4</v>
      </c>
      <c r="AA235">
        <v>6.9357970110250911E-4</v>
      </c>
      <c r="AC235">
        <v>1.2989663785150762E-2</v>
      </c>
      <c r="AD235">
        <v>2.1870901789748931E-2</v>
      </c>
      <c r="AE235">
        <v>1.352254109172657E-2</v>
      </c>
      <c r="AF235">
        <v>1.5190601379506452E-2</v>
      </c>
      <c r="AG235">
        <v>2.1144294658042018E-3</v>
      </c>
      <c r="AH235">
        <v>9.0927646496055323E-3</v>
      </c>
      <c r="AI235">
        <v>9.0927646496055323E-3</v>
      </c>
      <c r="AJ235">
        <v>4.3902439024390283E-3</v>
      </c>
      <c r="AK235">
        <v>1.8747656542930091E-3</v>
      </c>
      <c r="AL235">
        <v>5.6226282655289506E-3</v>
      </c>
    </row>
    <row r="236" spans="1:38">
      <c r="A236" s="568">
        <v>44172</v>
      </c>
      <c r="B236">
        <v>7.6559597542130708E-5</v>
      </c>
      <c r="C236">
        <v>3.7081970894004002E-4</v>
      </c>
      <c r="D236">
        <v>1.0755419472796568E-4</v>
      </c>
      <c r="E236">
        <v>1.337802443437397E-4</v>
      </c>
      <c r="F236">
        <v>2.7120160420945894E-4</v>
      </c>
      <c r="G236">
        <v>1.0852096529998523E-3</v>
      </c>
      <c r="H236">
        <v>1.881052250911619E-4</v>
      </c>
      <c r="I236">
        <v>1.4932828069480486E-4</v>
      </c>
      <c r="J236">
        <v>1.7536604988526161E-3</v>
      </c>
      <c r="K236">
        <v>3.0338912486764791E-3</v>
      </c>
      <c r="L236">
        <v>9.3554313058796801E-4</v>
      </c>
      <c r="M236">
        <v>9.5379685140195569E-4</v>
      </c>
      <c r="N236">
        <v>9.5925671440522109E-4</v>
      </c>
      <c r="O236">
        <v>5.4612392438491142E-4</v>
      </c>
      <c r="P236">
        <v>5.3573019985209136E-4</v>
      </c>
      <c r="Q236">
        <v>5.4958248556946643E-4</v>
      </c>
      <c r="R236">
        <v>2.9654668598255718E-4</v>
      </c>
      <c r="S236">
        <v>-5.2430482319454352E-4</v>
      </c>
      <c r="T236">
        <v>-4.6144262535100511E-3</v>
      </c>
      <c r="U236">
        <v>-7.9540562037982987E-4</v>
      </c>
      <c r="V236">
        <v>-1.4316429000261754E-3</v>
      </c>
      <c r="W236">
        <v>-1.5788506589295981E-3</v>
      </c>
      <c r="X236">
        <v>-2.6936686248618669E-3</v>
      </c>
      <c r="Y236">
        <v>-1.4316429000261754E-3</v>
      </c>
      <c r="Z236">
        <v>3.0490980191146821E-3</v>
      </c>
      <c r="AA236">
        <v>-3.5857609482929931E-3</v>
      </c>
      <c r="AC236">
        <v>-1.4105467224591051E-3</v>
      </c>
      <c r="AD236">
        <v>-5.0897345337601596E-3</v>
      </c>
      <c r="AE236">
        <v>1.2433892221175302E-3</v>
      </c>
      <c r="AF236">
        <v>-2.944663774120726E-3</v>
      </c>
      <c r="AG236">
        <v>-6.6741124108604666E-4</v>
      </c>
      <c r="AH236">
        <v>-9.8738270572137346E-4</v>
      </c>
      <c r="AI236">
        <v>-9.8738270572137346E-4</v>
      </c>
      <c r="AJ236">
        <v>-1.1170471102476931E-2</v>
      </c>
      <c r="AK236">
        <v>-8.6077844311377438E-3</v>
      </c>
      <c r="AL236">
        <v>-3.8141539475397002E-3</v>
      </c>
    </row>
    <row r="237" spans="1:38">
      <c r="A237" s="568">
        <v>44173</v>
      </c>
      <c r="B237">
        <v>7.6559597542130708E-5</v>
      </c>
      <c r="C237">
        <v>1.1700184442786643E-4</v>
      </c>
      <c r="D237">
        <v>4.8622996732694546E-5</v>
      </c>
      <c r="E237">
        <v>1.337802443437397E-4</v>
      </c>
      <c r="F237">
        <v>-3.2137050488545427E-5</v>
      </c>
      <c r="G237">
        <v>-1.7297057505916147E-4</v>
      </c>
      <c r="H237">
        <v>1.9084578688843834E-4</v>
      </c>
      <c r="I237">
        <v>1.5181234449701542E-4</v>
      </c>
      <c r="J237">
        <v>1.9727284945989521E-3</v>
      </c>
      <c r="K237">
        <v>2.5468478182120169E-3</v>
      </c>
      <c r="L237">
        <v>9.3554313058796801E-4</v>
      </c>
      <c r="M237">
        <v>9.5379685140195569E-4</v>
      </c>
      <c r="N237">
        <v>9.5925671440522109E-4</v>
      </c>
      <c r="O237">
        <v>5.4612392438491142E-4</v>
      </c>
      <c r="P237">
        <v>5.3573019985209136E-4</v>
      </c>
      <c r="Q237">
        <v>5.4958248556946643E-4</v>
      </c>
      <c r="R237">
        <v>4.0043596150129979E-4</v>
      </c>
      <c r="S237">
        <v>1.8101632853397831E-3</v>
      </c>
      <c r="T237">
        <v>-1.8220751543146507E-3</v>
      </c>
      <c r="U237">
        <v>7.0815532349000065E-5</v>
      </c>
      <c r="V237">
        <v>0</v>
      </c>
      <c r="W237">
        <v>8.5615450473408572E-4</v>
      </c>
      <c r="X237">
        <v>8.4145552148617853E-4</v>
      </c>
      <c r="Y237">
        <v>0</v>
      </c>
      <c r="Z237">
        <v>-2.1255672407135551E-3</v>
      </c>
      <c r="AA237">
        <v>2.0868957597939275E-3</v>
      </c>
      <c r="AC237">
        <v>1.7896858141361882E-3</v>
      </c>
      <c r="AD237">
        <v>2.0655752177942688E-3</v>
      </c>
      <c r="AE237">
        <v>-6.359534190802929E-5</v>
      </c>
      <c r="AF237">
        <v>4.2975673339784581E-3</v>
      </c>
      <c r="AG237">
        <v>2.2125427300880851E-3</v>
      </c>
      <c r="AH237">
        <v>1.2527800698953317E-3</v>
      </c>
      <c r="AI237">
        <v>1.2527800698953317E-3</v>
      </c>
      <c r="AJ237">
        <v>8.8408644400785885E-3</v>
      </c>
      <c r="AK237">
        <v>1.8875047187618677E-3</v>
      </c>
      <c r="AL237">
        <v>3.2696994200001051E-3</v>
      </c>
    </row>
    <row r="238" spans="1:38">
      <c r="A238" s="568">
        <v>44174</v>
      </c>
      <c r="B238">
        <v>7.6559597542130708E-5</v>
      </c>
      <c r="C238">
        <v>2.6825955092113496E-4</v>
      </c>
      <c r="D238">
        <v>1.0353334717594365E-4</v>
      </c>
      <c r="E238">
        <v>1.337802443437397E-4</v>
      </c>
      <c r="F238">
        <v>1.6521690716664317E-4</v>
      </c>
      <c r="G238">
        <v>4.1839265800813763E-6</v>
      </c>
      <c r="H238">
        <v>1.9427863302756698E-4</v>
      </c>
      <c r="I238">
        <v>1.1980215543450079E-4</v>
      </c>
      <c r="J238">
        <v>3.8369911785587352E-3</v>
      </c>
      <c r="K238">
        <v>2.3572523188690742E-3</v>
      </c>
      <c r="L238">
        <v>9.3554313058796801E-4</v>
      </c>
      <c r="M238">
        <v>9.5379685140195569E-4</v>
      </c>
      <c r="N238">
        <v>9.5925671440522109E-4</v>
      </c>
      <c r="O238">
        <v>5.4612392438491142E-4</v>
      </c>
      <c r="P238">
        <v>5.3573019985209136E-4</v>
      </c>
      <c r="Q238">
        <v>5.4958248556946643E-4</v>
      </c>
      <c r="R238">
        <v>-8.1972994074441807E-4</v>
      </c>
      <c r="S238">
        <v>-1.3875618349412644E-3</v>
      </c>
      <c r="T238">
        <v>-2.1236046776901274E-3</v>
      </c>
      <c r="U238">
        <v>-4.2141694061640367E-3</v>
      </c>
      <c r="V238">
        <v>-1.6084110132474905E-3</v>
      </c>
      <c r="W238">
        <v>-4.5883828602000243E-4</v>
      </c>
      <c r="X238">
        <v>-3.7341641088950439E-4</v>
      </c>
      <c r="Y238">
        <v>-1.6084110132474905E-3</v>
      </c>
      <c r="Z238">
        <v>-1.6053423602010453E-3</v>
      </c>
      <c r="AA238">
        <v>-9.4319943104526072E-4</v>
      </c>
      <c r="AC238">
        <v>-6.959123869241135E-3</v>
      </c>
      <c r="AD238">
        <v>-1.3427533159238503E-2</v>
      </c>
      <c r="AE238">
        <v>-1.0636849196623555E-2</v>
      </c>
      <c r="AF238">
        <v>-6.1033301058355249E-3</v>
      </c>
      <c r="AG238">
        <v>-6.2047150624628955E-3</v>
      </c>
      <c r="AH238">
        <v>-4.8713867084687942E-3</v>
      </c>
      <c r="AI238">
        <v>-4.8713867084687942E-3</v>
      </c>
      <c r="AJ238">
        <v>-3.4079844206427179E-3</v>
      </c>
      <c r="AK238">
        <v>-4.7098718914845294E-3</v>
      </c>
      <c r="AL238">
        <v>1.2434277608455613E-2</v>
      </c>
    </row>
    <row r="239" spans="1:38">
      <c r="A239" s="568">
        <v>44175</v>
      </c>
      <c r="B239">
        <v>7.6559597542130708E-5</v>
      </c>
      <c r="C239">
        <v>2.6958931593235036E-4</v>
      </c>
      <c r="D239">
        <v>7.5497165996640803E-5</v>
      </c>
      <c r="E239">
        <v>1.337802443437397E-4</v>
      </c>
      <c r="F239">
        <v>2.0094298378592335E-4</v>
      </c>
      <c r="G239">
        <v>0</v>
      </c>
      <c r="H239">
        <v>1.9215974371311617E-4</v>
      </c>
      <c r="I239">
        <v>1.4835772964727489E-4</v>
      </c>
      <c r="J239">
        <v>1.5520129352410983E-3</v>
      </c>
      <c r="K239">
        <v>-8.7448154047597981E-5</v>
      </c>
      <c r="L239">
        <v>9.3554313058796801E-4</v>
      </c>
      <c r="M239">
        <v>9.5379685140195569E-4</v>
      </c>
      <c r="N239">
        <v>9.5925671440522109E-4</v>
      </c>
      <c r="O239">
        <v>5.4612392438491142E-4</v>
      </c>
      <c r="P239">
        <v>5.3573019985209136E-4</v>
      </c>
      <c r="Q239">
        <v>5.4958248556946643E-4</v>
      </c>
      <c r="R239">
        <v>7.033790054988831E-4</v>
      </c>
      <c r="S239">
        <v>2.1249490873802568E-3</v>
      </c>
      <c r="T239">
        <v>3.3422659545958577E-3</v>
      </c>
      <c r="U239">
        <v>4.379003295541084E-3</v>
      </c>
      <c r="V239">
        <v>2.1926099779194796E-3</v>
      </c>
      <c r="W239">
        <v>-4.4982180136332595E-4</v>
      </c>
      <c r="X239">
        <v>-8.1601381762197445E-4</v>
      </c>
      <c r="Y239">
        <v>2.1926099779194796E-3</v>
      </c>
      <c r="Z239">
        <v>6.8551794850686409E-3</v>
      </c>
      <c r="AA239">
        <v>3.1868489114046383E-3</v>
      </c>
      <c r="AC239">
        <v>1.8826974873532354E-2</v>
      </c>
      <c r="AD239">
        <v>1.9380200473303688E-2</v>
      </c>
      <c r="AE239">
        <v>2.9195792029693024E-2</v>
      </c>
      <c r="AF239">
        <v>0</v>
      </c>
      <c r="AG239">
        <v>7.9158938707397652E-3</v>
      </c>
      <c r="AH239">
        <v>1.3178882411472647E-2</v>
      </c>
      <c r="AI239">
        <v>1.3178882411472647E-2</v>
      </c>
      <c r="AJ239">
        <v>-2.3937469467513295E-2</v>
      </c>
      <c r="AK239">
        <v>-8.5178875638847185E-4</v>
      </c>
      <c r="AL239">
        <v>0</v>
      </c>
    </row>
    <row r="240" spans="1:38">
      <c r="A240" s="568">
        <v>44176</v>
      </c>
      <c r="B240">
        <v>7.6559597542130708E-5</v>
      </c>
      <c r="C240">
        <v>1.4934573342006985E-4</v>
      </c>
      <c r="D240">
        <v>6.0050030253888664E-5</v>
      </c>
      <c r="E240">
        <v>1.337802443437397E-4</v>
      </c>
      <c r="F240">
        <v>2.7510988558510086E-4</v>
      </c>
      <c r="G240">
        <v>4.4047805539704221E-4</v>
      </c>
      <c r="H240">
        <v>1.9212282544023296E-4</v>
      </c>
      <c r="I240">
        <v>1.5480444179138964E-4</v>
      </c>
      <c r="J240">
        <v>3.0342414277630958E-3</v>
      </c>
      <c r="K240">
        <v>2.0446914131100336E-3</v>
      </c>
      <c r="L240">
        <v>9.3554313058796801E-4</v>
      </c>
      <c r="M240">
        <v>9.5379685140195569E-4</v>
      </c>
      <c r="N240">
        <v>9.5925671440522109E-4</v>
      </c>
      <c r="O240">
        <v>5.4612392438491142E-4</v>
      </c>
      <c r="P240">
        <v>5.3573019985209136E-4</v>
      </c>
      <c r="Q240">
        <v>5.4958248556946643E-4</v>
      </c>
      <c r="R240">
        <v>-5.5686280819866596E-6</v>
      </c>
      <c r="S240">
        <v>-4.9264888883016056E-4</v>
      </c>
      <c r="T240">
        <v>-2.1584573714392707E-3</v>
      </c>
      <c r="U240">
        <v>2.3723384207987586E-3</v>
      </c>
      <c r="V240">
        <v>7.035924299616525E-4</v>
      </c>
      <c r="W240">
        <v>-1.2398744547783558E-3</v>
      </c>
      <c r="X240">
        <v>-2.1689129267651319E-3</v>
      </c>
      <c r="Y240">
        <v>7.035924299616525E-4</v>
      </c>
      <c r="Z240">
        <v>1.4379074005455017E-3</v>
      </c>
      <c r="AA240">
        <v>9.6687422304619908E-4</v>
      </c>
      <c r="AC240">
        <v>-5.4721401618884613E-6</v>
      </c>
      <c r="AD240">
        <v>-4.8592605379279563E-3</v>
      </c>
      <c r="AE240">
        <v>4.1274650552056702E-3</v>
      </c>
      <c r="AF240">
        <v>2.0052590280980498E-2</v>
      </c>
      <c r="AG240">
        <v>2.1510625363061475E-3</v>
      </c>
      <c r="AH240">
        <v>-3.8304981133219227E-6</v>
      </c>
      <c r="AI240">
        <v>-3.8304981133219227E-6</v>
      </c>
      <c r="AJ240">
        <v>4.2542542542542972E-3</v>
      </c>
      <c r="AK240">
        <v>7.5779103912099188E-4</v>
      </c>
      <c r="AL240">
        <v>-1.3941068801511469E-2</v>
      </c>
    </row>
    <row r="241" spans="1:38">
      <c r="A241" s="568">
        <v>44179</v>
      </c>
      <c r="B241">
        <v>7.6559597542130708E-5</v>
      </c>
      <c r="C241">
        <v>1.7231087064994988E-4</v>
      </c>
      <c r="D241">
        <v>7.377132148467247E-5</v>
      </c>
      <c r="E241">
        <v>1.337802443437397E-4</v>
      </c>
      <c r="F241">
        <v>1.3932654614023932E-4</v>
      </c>
      <c r="G241">
        <v>2.1202106944784305E-4</v>
      </c>
      <c r="H241">
        <v>1.920859213500048E-4</v>
      </c>
      <c r="I241">
        <v>1.5452320831998989E-4</v>
      </c>
      <c r="J241">
        <v>9.0743679989735426E-5</v>
      </c>
      <c r="K241">
        <v>8.335576849076709E-4</v>
      </c>
      <c r="L241">
        <v>9.3554313058796801E-4</v>
      </c>
      <c r="M241">
        <v>9.5379685140195569E-4</v>
      </c>
      <c r="N241">
        <v>9.5925671440522109E-4</v>
      </c>
      <c r="O241">
        <v>5.4612392438491142E-4</v>
      </c>
      <c r="P241">
        <v>5.3573019985209136E-4</v>
      </c>
      <c r="Q241">
        <v>5.4958248556946643E-4</v>
      </c>
      <c r="R241">
        <v>5.6057834855849364E-4</v>
      </c>
      <c r="S241">
        <v>-9.5265115221210284E-4</v>
      </c>
      <c r="T241">
        <v>2.1047807608061131E-3</v>
      </c>
      <c r="U241">
        <v>-2.9772086720778468E-3</v>
      </c>
      <c r="V241">
        <v>-2.386426621230342E-4</v>
      </c>
      <c r="W241">
        <v>3.3158279951783776E-4</v>
      </c>
      <c r="X241">
        <v>5.5897344753286227E-4</v>
      </c>
      <c r="Y241">
        <v>-2.386426621230342E-4</v>
      </c>
      <c r="Z241">
        <v>-5.45290542932797E-3</v>
      </c>
      <c r="AA241">
        <v>-8.5382423173141486E-4</v>
      </c>
      <c r="AC241">
        <v>-4.4896115627823807E-3</v>
      </c>
      <c r="AD241">
        <v>1.0134585737424651E-3</v>
      </c>
      <c r="AE241">
        <v>-8.6769261351415938E-4</v>
      </c>
      <c r="AF241">
        <v>-5.8477049917974311E-3</v>
      </c>
      <c r="AG241">
        <v>-1.5148544386125451E-3</v>
      </c>
      <c r="AH241">
        <v>-3.1427280939476665E-3</v>
      </c>
      <c r="AI241">
        <v>-3.1427280939476665E-3</v>
      </c>
      <c r="AJ241">
        <v>2.7410914527783437E-3</v>
      </c>
      <c r="AK241">
        <v>-9.7491717936583067E-3</v>
      </c>
      <c r="AL241">
        <v>1.0801758966338504E-2</v>
      </c>
    </row>
    <row r="242" spans="1:38">
      <c r="A242" s="568">
        <v>44180</v>
      </c>
      <c r="B242">
        <v>7.6559597542130708E-5</v>
      </c>
      <c r="C242">
        <v>2.5451738763804244E-4</v>
      </c>
      <c r="D242">
        <v>1.1493753345193092E-4</v>
      </c>
      <c r="E242">
        <v>1.337802443437397E-4</v>
      </c>
      <c r="F242">
        <v>7.9875455801192707E-4</v>
      </c>
      <c r="G242">
        <v>1.6724721871197445E-5</v>
      </c>
      <c r="H242">
        <v>1.9343566704121962E-4</v>
      </c>
      <c r="I242">
        <v>1.5475058544089926E-4</v>
      </c>
      <c r="J242">
        <v>1.8915971962019107E-3</v>
      </c>
      <c r="K242">
        <v>1.5624338003423777E-3</v>
      </c>
      <c r="L242">
        <v>9.3554313058796801E-4</v>
      </c>
      <c r="M242">
        <v>9.5379685140195569E-4</v>
      </c>
      <c r="N242">
        <v>9.5925671440522109E-4</v>
      </c>
      <c r="O242">
        <v>5.4612392438491142E-4</v>
      </c>
      <c r="P242">
        <v>5.3573019985209136E-4</v>
      </c>
      <c r="Q242">
        <v>5.4958248556946643E-4</v>
      </c>
      <c r="R242">
        <v>1.2423520215893991E-3</v>
      </c>
      <c r="S242">
        <v>3.5757105023104252E-3</v>
      </c>
      <c r="T242">
        <v>2.2447569661672162E-3</v>
      </c>
      <c r="U242">
        <v>6.3674602562187044E-3</v>
      </c>
      <c r="V242">
        <v>5.0819920382123573E-3</v>
      </c>
      <c r="W242">
        <v>3.591918760268209E-3</v>
      </c>
      <c r="X242">
        <v>1.9472313983879275E-3</v>
      </c>
      <c r="Y242">
        <v>5.0819920382123573E-3</v>
      </c>
      <c r="Z242">
        <v>9.3600739460049098E-3</v>
      </c>
      <c r="AA242">
        <v>1.8497494929885505E-3</v>
      </c>
      <c r="AC242">
        <v>1.3415015925156482E-2</v>
      </c>
      <c r="AD242">
        <v>1.4369003709220118E-2</v>
      </c>
      <c r="AE242">
        <v>1.399901052182706E-2</v>
      </c>
      <c r="AF242">
        <v>1.6393521469460604E-2</v>
      </c>
      <c r="AG242">
        <v>1.1412933205764642E-2</v>
      </c>
      <c r="AH242">
        <v>9.3905111476095364E-3</v>
      </c>
      <c r="AI242">
        <v>9.3905111476095364E-3</v>
      </c>
      <c r="AJ242">
        <v>9.9403578528827197E-3</v>
      </c>
      <c r="AK242">
        <v>2.8675205505646062E-4</v>
      </c>
      <c r="AL242">
        <v>-5.6255168328804839E-3</v>
      </c>
    </row>
    <row r="243" spans="1:38">
      <c r="A243" s="568">
        <v>44181</v>
      </c>
      <c r="B243">
        <v>7.6559597542130708E-5</v>
      </c>
      <c r="C243">
        <v>6.141523711034047E-5</v>
      </c>
      <c r="D243">
        <v>9.66279144893889E-5</v>
      </c>
      <c r="E243">
        <v>1.337802443437397E-4</v>
      </c>
      <c r="F243">
        <v>4.4289621585757999E-5</v>
      </c>
      <c r="G243">
        <v>1.6043796257969589E-5</v>
      </c>
      <c r="H243">
        <v>1.9339825692021861E-4</v>
      </c>
      <c r="I243">
        <v>1.5409063647253696E-4</v>
      </c>
      <c r="J243">
        <v>-2.0686085157028966E-4</v>
      </c>
      <c r="K243">
        <v>2.8582687935574391E-4</v>
      </c>
      <c r="L243">
        <v>9.3554313058796801E-4</v>
      </c>
      <c r="M243">
        <v>9.5379685140195569E-4</v>
      </c>
      <c r="N243">
        <v>9.5925671440522109E-4</v>
      </c>
      <c r="O243">
        <v>5.4612392438491142E-4</v>
      </c>
      <c r="P243">
        <v>5.3573019985209136E-4</v>
      </c>
      <c r="Q243">
        <v>5.4958248556946643E-4</v>
      </c>
      <c r="R243">
        <v>8.615881756750543E-4</v>
      </c>
      <c r="S243">
        <v>2.5807830057491543E-3</v>
      </c>
      <c r="T243">
        <v>3.2471489673369103E-3</v>
      </c>
      <c r="U243">
        <v>5.7686596194717055E-4</v>
      </c>
      <c r="V243">
        <v>2.8499122809257926E-3</v>
      </c>
      <c r="W243">
        <v>1.6686949942028573E-3</v>
      </c>
      <c r="X243">
        <v>1.4034777376916718E-3</v>
      </c>
      <c r="Y243">
        <v>2.8499122809257926E-3</v>
      </c>
      <c r="Z243">
        <v>-8.1330801303902689E-5</v>
      </c>
      <c r="AA243">
        <v>-1.4662683983248659E-3</v>
      </c>
      <c r="AC243">
        <v>1.4711495090385496E-2</v>
      </c>
      <c r="AD243">
        <v>1.5422362874604412E-2</v>
      </c>
      <c r="AE243">
        <v>1.4631379062742367E-2</v>
      </c>
      <c r="AF243">
        <v>6.1704427275637297E-3</v>
      </c>
      <c r="AG243">
        <v>4.5597481347730007E-3</v>
      </c>
      <c r="AH243">
        <v>1.0298046563269846E-2</v>
      </c>
      <c r="AI243">
        <v>1.0298046563269846E-2</v>
      </c>
      <c r="AJ243">
        <v>4.9212598425207865E-4</v>
      </c>
      <c r="AK243">
        <v>1.3855709507883285E-2</v>
      </c>
      <c r="AL243">
        <v>1.3419992502518241E-2</v>
      </c>
    </row>
    <row r="244" spans="1:38">
      <c r="A244" s="568">
        <v>44182</v>
      </c>
      <c r="B244">
        <v>7.6559597542130708E-5</v>
      </c>
      <c r="C244">
        <v>2.3489411215926737E-4</v>
      </c>
      <c r="D244">
        <v>1.2234541885014494E-4</v>
      </c>
      <c r="E244">
        <v>1.337802443437397E-4</v>
      </c>
      <c r="F244">
        <v>7.1402554042254707E-5</v>
      </c>
      <c r="G244">
        <v>1.2173642818713581E-4</v>
      </c>
      <c r="H244">
        <v>1.9336086126653385E-4</v>
      </c>
      <c r="I244">
        <v>1.5404865624235597E-4</v>
      </c>
      <c r="J244">
        <v>8.8900360294297265E-4</v>
      </c>
      <c r="K244">
        <v>1.0071957308037671E-3</v>
      </c>
      <c r="L244">
        <v>9.3554313058796801E-4</v>
      </c>
      <c r="M244">
        <v>9.5379685140195569E-4</v>
      </c>
      <c r="N244">
        <v>9.5925671440522109E-4</v>
      </c>
      <c r="O244">
        <v>5.4612392438491142E-4</v>
      </c>
      <c r="P244">
        <v>5.3573019985209136E-4</v>
      </c>
      <c r="Q244">
        <v>5.4958248556946643E-4</v>
      </c>
      <c r="R244">
        <v>2.8003737122785921E-3</v>
      </c>
      <c r="S244">
        <v>2.3925821810093506E-3</v>
      </c>
      <c r="T244">
        <v>5.2331328291199686E-3</v>
      </c>
      <c r="U244">
        <v>3.5650176306547543E-3</v>
      </c>
      <c r="V244">
        <v>2.1058957441553172E-3</v>
      </c>
      <c r="W244">
        <v>2.3546848117372843E-3</v>
      </c>
      <c r="X244">
        <v>3.7073146308475025E-4</v>
      </c>
      <c r="Y244">
        <v>2.1058957441553172E-3</v>
      </c>
      <c r="Z244">
        <v>5.1479806552512386E-3</v>
      </c>
      <c r="AA244">
        <v>1.0981405258929655E-3</v>
      </c>
      <c r="AC244">
        <v>4.6091312930420791E-3</v>
      </c>
      <c r="AD244">
        <v>4.9764866055035384E-3</v>
      </c>
      <c r="AE244">
        <v>2.6428677500116571E-3</v>
      </c>
      <c r="AF244">
        <v>6.6072790715039353E-3</v>
      </c>
      <c r="AG244">
        <v>9.4135830328712089E-4</v>
      </c>
      <c r="AH244">
        <v>3.2263919051294552E-3</v>
      </c>
      <c r="AI244">
        <v>3.2263919051294552E-3</v>
      </c>
      <c r="AJ244">
        <v>-1.4756517461879115E-3</v>
      </c>
      <c r="AK244">
        <v>1.1969839773798396E-2</v>
      </c>
      <c r="AL244">
        <v>3.4227114402669567E-3</v>
      </c>
    </row>
    <row r="245" spans="1:38">
      <c r="A245" s="568">
        <v>44183</v>
      </c>
      <c r="B245">
        <v>7.6559597542130708E-5</v>
      </c>
      <c r="C245">
        <v>1.7070491863591108E-4</v>
      </c>
      <c r="D245">
        <v>1.3261992957414037E-4</v>
      </c>
      <c r="E245">
        <v>1.337802443437397E-4</v>
      </c>
      <c r="F245">
        <v>2.1012542454390548E-4</v>
      </c>
      <c r="G245">
        <v>1.5827698199633033E-4</v>
      </c>
      <c r="H245">
        <v>1.9332348007217171E-4</v>
      </c>
      <c r="I245">
        <v>1.5415769140836311E-4</v>
      </c>
      <c r="J245">
        <v>4.8068050547955821E-4</v>
      </c>
      <c r="K245">
        <v>1.3174367338697479E-4</v>
      </c>
      <c r="L245">
        <v>9.3554313058796801E-4</v>
      </c>
      <c r="M245">
        <v>9.5379685140195569E-4</v>
      </c>
      <c r="N245">
        <v>9.5925671440522109E-4</v>
      </c>
      <c r="O245">
        <v>5.4612392438491142E-4</v>
      </c>
      <c r="P245">
        <v>5.3573019985209136E-4</v>
      </c>
      <c r="Q245">
        <v>5.4958248556946643E-4</v>
      </c>
      <c r="R245">
        <v>-2.8922436179878996E-4</v>
      </c>
      <c r="S245">
        <v>5.7617638354789946E-4</v>
      </c>
      <c r="T245">
        <v>4.0871584918988901E-4</v>
      </c>
      <c r="U245">
        <v>1.0349184238145348E-4</v>
      </c>
      <c r="V245">
        <v>-3.2779886871270314E-4</v>
      </c>
      <c r="W245">
        <v>1.8453948801178122E-4</v>
      </c>
      <c r="X245">
        <v>-2.1097223649165775E-3</v>
      </c>
      <c r="Y245">
        <v>-3.2779886871270314E-4</v>
      </c>
      <c r="Z245">
        <v>-2.6071033971190039E-3</v>
      </c>
      <c r="AA245">
        <v>4.5525974983040562E-4</v>
      </c>
      <c r="AC245">
        <v>-3.1832617022030663E-3</v>
      </c>
      <c r="AD245">
        <v>1.4863483206963846E-3</v>
      </c>
      <c r="AE245">
        <v>-1.8563014236840925E-3</v>
      </c>
      <c r="AF245">
        <v>3.6729827324744058E-4</v>
      </c>
      <c r="AG245">
        <v>-9.9610134479788393E-4</v>
      </c>
      <c r="AH245">
        <v>-2.228283191542146E-3</v>
      </c>
      <c r="AI245">
        <v>-2.228283191542146E-3</v>
      </c>
      <c r="AJ245">
        <v>2.4630541871917266E-4</v>
      </c>
      <c r="AK245">
        <v>-3.8185712955202122E-3</v>
      </c>
      <c r="AL245">
        <v>-5.2554378500502263E-3</v>
      </c>
    </row>
    <row r="246" spans="1:38">
      <c r="A246" s="568">
        <v>44186</v>
      </c>
      <c r="B246">
        <v>7.6559597542130708E-5</v>
      </c>
      <c r="C246">
        <v>1.4744697007307295E-4</v>
      </c>
      <c r="D246">
        <v>1.0573893799237233E-4</v>
      </c>
      <c r="E246">
        <v>1.337802443437397E-4</v>
      </c>
      <c r="F246">
        <v>1.5541496926263498E-4</v>
      </c>
      <c r="G246">
        <v>1.4114361712991297E-4</v>
      </c>
      <c r="H246">
        <v>1.9259333155985381E-4</v>
      </c>
      <c r="I246">
        <v>1.4045922892913509E-4</v>
      </c>
      <c r="J246">
        <v>2.2178786998372502E-4</v>
      </c>
      <c r="K246">
        <v>4.9531040348305133E-4</v>
      </c>
      <c r="L246">
        <v>9.3554313058796801E-4</v>
      </c>
      <c r="M246">
        <v>9.5379685140195569E-4</v>
      </c>
      <c r="N246">
        <v>9.5925671440522109E-4</v>
      </c>
      <c r="O246">
        <v>5.4612392438491142E-4</v>
      </c>
      <c r="P246">
        <v>5.3573019985209136E-4</v>
      </c>
      <c r="Q246">
        <v>5.4958248556946643E-4</v>
      </c>
      <c r="R246">
        <v>-2.351397234707564E-3</v>
      </c>
      <c r="S246">
        <v>-1.4412897669987546E-3</v>
      </c>
      <c r="T246">
        <v>-3.3806961295478333E-3</v>
      </c>
      <c r="U246">
        <v>-2.4857402755148472E-3</v>
      </c>
      <c r="V246">
        <v>-3.6069699164982261E-3</v>
      </c>
      <c r="W246">
        <v>-3.6992767615972033E-3</v>
      </c>
      <c r="X246">
        <v>-5.1077695963237524E-3</v>
      </c>
      <c r="Y246">
        <v>-3.6069699164982261E-3</v>
      </c>
      <c r="Z246">
        <v>-5.5513255779120474E-3</v>
      </c>
      <c r="AA246">
        <v>7.6213410973791085E-4</v>
      </c>
      <c r="AC246">
        <v>-1.8649648837389954E-2</v>
      </c>
      <c r="AD246">
        <v>-2.3877704830138624E-2</v>
      </c>
      <c r="AE246">
        <v>-2.6616401225654895E-2</v>
      </c>
      <c r="AF246">
        <v>-1.1402058687970507E-2</v>
      </c>
      <c r="AG246">
        <v>-1.1363952160210022E-2</v>
      </c>
      <c r="AH246">
        <v>-1.3054754186172968E-2</v>
      </c>
      <c r="AI246">
        <v>-1.3054754186172968E-2</v>
      </c>
      <c r="AJ246">
        <v>6.6486087170647412E-3</v>
      </c>
      <c r="AK246">
        <v>-2.8047868361991135E-4</v>
      </c>
      <c r="AL246">
        <v>-4.4622503695318505E-3</v>
      </c>
    </row>
    <row r="247" spans="1:38">
      <c r="A247" s="568">
        <v>44187</v>
      </c>
      <c r="B247">
        <v>7.6559597542130708E-5</v>
      </c>
      <c r="C247">
        <v>5.1542844882579431E-4</v>
      </c>
      <c r="D247">
        <v>1.4516135484687887E-4</v>
      </c>
      <c r="E247">
        <v>1.337802443437397E-4</v>
      </c>
      <c r="F247">
        <v>6.6583159158595251E-4</v>
      </c>
      <c r="G247">
        <v>-7.9892341667942013E-5</v>
      </c>
      <c r="H247">
        <v>1.9324889487948305E-4</v>
      </c>
      <c r="I247">
        <v>1.4889313228438894E-4</v>
      </c>
      <c r="J247">
        <v>3.3179081778444974E-4</v>
      </c>
      <c r="K247">
        <v>4.3059811002921222E-4</v>
      </c>
      <c r="L247">
        <v>9.3554313058796801E-4</v>
      </c>
      <c r="M247">
        <v>9.5379685140195569E-4</v>
      </c>
      <c r="N247">
        <v>9.5925671440522109E-4</v>
      </c>
      <c r="O247">
        <v>5.4612392438491142E-4</v>
      </c>
      <c r="P247">
        <v>5.3573019985209136E-4</v>
      </c>
      <c r="Q247">
        <v>5.4958248556946643E-4</v>
      </c>
      <c r="R247">
        <v>4.7015386741655618E-4</v>
      </c>
      <c r="S247">
        <v>-1.7627813766485367E-4</v>
      </c>
      <c r="T247">
        <v>-5.1991578049810361E-3</v>
      </c>
      <c r="U247">
        <v>-1.0276186769286877E-3</v>
      </c>
      <c r="V247">
        <v>2.1174225610098851E-4</v>
      </c>
      <c r="W247">
        <v>-1.51603163191949E-3</v>
      </c>
      <c r="X247">
        <v>-3.6494205726667062E-3</v>
      </c>
      <c r="Y247">
        <v>2.1174225610098851E-4</v>
      </c>
      <c r="Z247">
        <v>2.7906344300274721E-3</v>
      </c>
      <c r="AA247">
        <v>1.0504775439035274E-3</v>
      </c>
      <c r="AC247">
        <v>7.0246239571440938E-3</v>
      </c>
      <c r="AD247">
        <v>1.0296571748066974E-2</v>
      </c>
      <c r="AE247">
        <v>1.0187120229706359E-2</v>
      </c>
      <c r="AF247">
        <v>3.0222407879838542E-3</v>
      </c>
      <c r="AG247">
        <v>3.1849784592972163E-3</v>
      </c>
      <c r="AH247">
        <v>4.9172367700008653E-3</v>
      </c>
      <c r="AI247">
        <v>4.9172367700008653E-3</v>
      </c>
      <c r="AJ247">
        <v>2.9843444227004579E-3</v>
      </c>
      <c r="AK247">
        <v>-1.0100065463387375E-2</v>
      </c>
      <c r="AL247">
        <v>5.6585250960705658E-3</v>
      </c>
    </row>
    <row r="248" spans="1:38">
      <c r="A248" s="568">
        <v>44188</v>
      </c>
      <c r="B248">
        <v>7.6559597542130708E-5</v>
      </c>
      <c r="C248">
        <v>2.5456245092025931E-4</v>
      </c>
      <c r="D248">
        <v>1.3885468314578375E-4</v>
      </c>
      <c r="E248">
        <v>1.337802443437397E-4</v>
      </c>
      <c r="F248">
        <v>1.6296151174111095E-4</v>
      </c>
      <c r="G248">
        <v>2.4368139110109155E-4</v>
      </c>
      <c r="H248">
        <v>1.9805915874715474E-4</v>
      </c>
      <c r="I248">
        <v>1.4997800879412715E-4</v>
      </c>
      <c r="J248">
        <v>2.421251460407392E-3</v>
      </c>
      <c r="K248">
        <v>2.1199656142871781E-3</v>
      </c>
      <c r="L248">
        <v>9.3554313058796801E-4</v>
      </c>
      <c r="M248">
        <v>9.5379685140195569E-4</v>
      </c>
      <c r="N248">
        <v>9.5925671440522109E-4</v>
      </c>
      <c r="O248">
        <v>5.4612392438491142E-4</v>
      </c>
      <c r="P248">
        <v>5.3573019985209136E-4</v>
      </c>
      <c r="Q248">
        <v>5.4958248556946643E-4</v>
      </c>
      <c r="R248">
        <v>6.8023099485170491E-4</v>
      </c>
      <c r="S248">
        <v>2.4142243930798113E-3</v>
      </c>
      <c r="T248">
        <v>6.5180103452684435E-3</v>
      </c>
      <c r="U248">
        <v>1.0405764496828063E-3</v>
      </c>
      <c r="V248">
        <v>3.471327750982578E-3</v>
      </c>
      <c r="W248">
        <v>2.3489240913903142E-3</v>
      </c>
      <c r="X248">
        <v>2.4210654367617934E-3</v>
      </c>
      <c r="Y248">
        <v>3.471327750982578E-3</v>
      </c>
      <c r="Z248">
        <v>5.2606435852691202E-3</v>
      </c>
      <c r="AA248">
        <v>8.970121739924064E-4</v>
      </c>
      <c r="AC248">
        <v>1.0036937080758479E-2</v>
      </c>
      <c r="AD248">
        <v>1.5775822214462831E-2</v>
      </c>
      <c r="AE248">
        <v>1.7029919262492754E-2</v>
      </c>
      <c r="AF248">
        <v>9.4127395823591087E-3</v>
      </c>
      <c r="AG248">
        <v>8.3169279898294146E-3</v>
      </c>
      <c r="AH248">
        <v>7.0258559565309344E-3</v>
      </c>
      <c r="AI248">
        <v>7.0258559565309344E-3</v>
      </c>
      <c r="AJ248">
        <v>1.1267743036925015E-2</v>
      </c>
      <c r="AK248">
        <v>7.4633915918753679E-3</v>
      </c>
      <c r="AL248">
        <v>1.7171513011489337E-2</v>
      </c>
    </row>
    <row r="249" spans="1:38">
      <c r="A249" s="568">
        <v>44189</v>
      </c>
      <c r="B249">
        <v>7.6559597542130708E-5</v>
      </c>
      <c r="C249">
        <v>1.7783706742746652E-4</v>
      </c>
      <c r="D249">
        <v>5.656257248864982E-5</v>
      </c>
      <c r="E249">
        <v>1.337802443437397E-4</v>
      </c>
      <c r="F249">
        <v>2.4598214124504914E-4</v>
      </c>
      <c r="G249">
        <v>1.7122537214042666E-4</v>
      </c>
      <c r="H249">
        <v>1.9455805203771881E-4</v>
      </c>
      <c r="I249">
        <v>1.515376343697028E-4</v>
      </c>
      <c r="J249">
        <v>5.403280598148541E-4</v>
      </c>
      <c r="K249">
        <v>5.6658873811366028E-4</v>
      </c>
      <c r="L249">
        <v>9.3554313058796801E-4</v>
      </c>
      <c r="M249">
        <v>9.5379685140195569E-4</v>
      </c>
      <c r="N249">
        <v>9.5925671440522109E-4</v>
      </c>
      <c r="O249">
        <v>5.4612392438491142E-4</v>
      </c>
      <c r="P249">
        <v>5.3573019985209136E-4</v>
      </c>
      <c r="Q249">
        <v>5.4958248556946643E-4</v>
      </c>
      <c r="R249">
        <v>1.4100730242800896E-3</v>
      </c>
      <c r="S249">
        <v>1.9187410063903343E-4</v>
      </c>
      <c r="T249">
        <v>3.2108532310837212E-4</v>
      </c>
      <c r="U249">
        <v>4.4084479999373372E-4</v>
      </c>
      <c r="V249">
        <v>4.3463894466611031E-4</v>
      </c>
      <c r="W249">
        <v>5.6028300325472458E-4</v>
      </c>
      <c r="X249">
        <v>2.8222889984541588E-4</v>
      </c>
      <c r="Y249">
        <v>4.3463894466611031E-4</v>
      </c>
      <c r="Z249">
        <v>3.4500057845887611E-5</v>
      </c>
      <c r="AA249">
        <v>-1.0025687768311364E-5</v>
      </c>
      <c r="AC249">
        <v>0</v>
      </c>
      <c r="AD249">
        <v>1.2857170271152185E-3</v>
      </c>
      <c r="AE249">
        <v>2.4820823922544477E-4</v>
      </c>
      <c r="AF249">
        <v>-3.6813600713980765E-4</v>
      </c>
      <c r="AG249">
        <v>-1.6501857802782016E-3</v>
      </c>
      <c r="AH249">
        <v>0</v>
      </c>
      <c r="AI249">
        <v>0</v>
      </c>
      <c r="AJ249">
        <v>0</v>
      </c>
      <c r="AK249">
        <v>-2.363090772693166E-2</v>
      </c>
      <c r="AL249">
        <v>-3.9161633677675667E-5</v>
      </c>
    </row>
    <row r="250" spans="1:38">
      <c r="A250" s="568">
        <v>44193</v>
      </c>
      <c r="B250">
        <v>7.6559597542130708E-5</v>
      </c>
      <c r="C250">
        <v>1.0780735156457055E-4</v>
      </c>
      <c r="D250">
        <v>1.3768493915300439E-4</v>
      </c>
      <c r="E250">
        <v>1.337802443437397E-4</v>
      </c>
      <c r="F250">
        <v>-8.347799091468211E-5</v>
      </c>
      <c r="G250">
        <v>-1.0949940892657217E-4</v>
      </c>
      <c r="H250">
        <v>1.9382796383737855E-4</v>
      </c>
      <c r="I250">
        <v>1.4449031312491201E-4</v>
      </c>
      <c r="J250">
        <v>-3.948681440871793E-4</v>
      </c>
      <c r="K250">
        <v>-3.9167709146914476E-5</v>
      </c>
      <c r="L250">
        <v>9.3554313058796801E-4</v>
      </c>
      <c r="M250">
        <v>9.5379685140195569E-4</v>
      </c>
      <c r="N250">
        <v>9.5925671440522109E-4</v>
      </c>
      <c r="O250">
        <v>5.4612392438491142E-4</v>
      </c>
      <c r="P250">
        <v>5.3573019985209136E-4</v>
      </c>
      <c r="Q250">
        <v>5.4958248556946643E-4</v>
      </c>
      <c r="R250">
        <v>-3.9387063442086756E-5</v>
      </c>
      <c r="S250">
        <v>4.56744316839508E-4</v>
      </c>
      <c r="T250">
        <v>2.4354000668753706E-3</v>
      </c>
      <c r="U250">
        <v>-7.1656582329371332E-4</v>
      </c>
      <c r="V250">
        <v>1.763206902421377E-3</v>
      </c>
      <c r="W250">
        <v>2.3179855809352112E-3</v>
      </c>
      <c r="X250">
        <v>2.2463860678123559E-3</v>
      </c>
      <c r="Y250">
        <v>1.763206902421377E-3</v>
      </c>
      <c r="Z250">
        <v>4.1764381034545828E-3</v>
      </c>
      <c r="AA250">
        <v>-1.7601227881449688E-3</v>
      </c>
      <c r="AC250">
        <v>1.1178042702949753E-2</v>
      </c>
      <c r="AD250">
        <v>8.5489136684293587E-3</v>
      </c>
      <c r="AE250">
        <v>1.4201908306473499E-2</v>
      </c>
      <c r="AF250">
        <v>6.5719730176576618E-3</v>
      </c>
      <c r="AG250">
        <v>1.0845533822031461E-2</v>
      </c>
      <c r="AH250">
        <v>7.8246298920648261E-3</v>
      </c>
      <c r="AI250">
        <v>7.8246298920648261E-3</v>
      </c>
      <c r="AJ250">
        <v>2.0162068300212166E-2</v>
      </c>
      <c r="AK250">
        <v>-1.2197464464079988E-2</v>
      </c>
      <c r="AL250">
        <v>1.1486401955111525E-2</v>
      </c>
    </row>
    <row r="251" spans="1:38">
      <c r="A251" s="568">
        <v>44194</v>
      </c>
      <c r="B251">
        <v>7.6559597542130708E-5</v>
      </c>
      <c r="C251">
        <v>2.3874724655192914E-4</v>
      </c>
      <c r="D251">
        <v>1.0282106735126639E-4</v>
      </c>
      <c r="E251">
        <v>1.337802443437397E-4</v>
      </c>
      <c r="F251">
        <v>1.1281751361025272E-4</v>
      </c>
      <c r="G251">
        <v>-3.5272971012356713E-5</v>
      </c>
      <c r="H251">
        <v>1.9379040183831187E-4</v>
      </c>
      <c r="I251">
        <v>1.5137796315678465E-4</v>
      </c>
      <c r="J251">
        <v>2.198210123319555E-3</v>
      </c>
      <c r="K251">
        <v>1.899692676898157E-3</v>
      </c>
      <c r="L251">
        <v>9.3554313058796801E-4</v>
      </c>
      <c r="M251">
        <v>9.5379685140195569E-4</v>
      </c>
      <c r="N251">
        <v>9.5925671440522109E-4</v>
      </c>
      <c r="O251">
        <v>5.4612392438491142E-4</v>
      </c>
      <c r="P251">
        <v>5.3573019985209136E-4</v>
      </c>
      <c r="Q251">
        <v>5.4958248556946643E-4</v>
      </c>
      <c r="R251">
        <v>2.0352835826407123E-3</v>
      </c>
      <c r="S251">
        <v>2.1140795421454861E-3</v>
      </c>
      <c r="T251">
        <v>4.1201571435016682E-3</v>
      </c>
      <c r="U251">
        <v>7.8614866647952475E-4</v>
      </c>
      <c r="V251">
        <v>1.8361886404849592E-3</v>
      </c>
      <c r="W251">
        <v>8.0219894190047825E-5</v>
      </c>
      <c r="X251">
        <v>1.5037589744570923E-4</v>
      </c>
      <c r="Y251">
        <v>1.8361886404849592E-3</v>
      </c>
      <c r="Z251">
        <v>2.3031023170509979E-3</v>
      </c>
      <c r="AA251">
        <v>8.1161388176864691E-4</v>
      </c>
      <c r="AC251">
        <v>2.3962486054411869E-3</v>
      </c>
      <c r="AD251">
        <v>-4.3045275615760659E-4</v>
      </c>
      <c r="AE251">
        <v>1.8720609916185182E-3</v>
      </c>
      <c r="AF251">
        <v>4.1128930691736176E-3</v>
      </c>
      <c r="AG251">
        <v>1.2310173502958488E-3</v>
      </c>
      <c r="AH251">
        <v>1.6773740238088307E-3</v>
      </c>
      <c r="AI251">
        <v>1.6773740238088307E-3</v>
      </c>
      <c r="AJ251">
        <v>-7.0921985815602939E-3</v>
      </c>
      <c r="AK251">
        <v>2.1390374331550888E-2</v>
      </c>
      <c r="AL251">
        <v>-4.8124811697470848E-3</v>
      </c>
    </row>
    <row r="252" spans="1:38">
      <c r="A252" s="568">
        <v>44195</v>
      </c>
      <c r="B252">
        <v>7.6559597542130708E-5</v>
      </c>
      <c r="C252">
        <v>4.7580229805332941E-4</v>
      </c>
      <c r="D252">
        <v>9.8812310300289141E-5</v>
      </c>
      <c r="E252">
        <v>1.337802443437397E-4</v>
      </c>
      <c r="F252">
        <v>1.389754978977642E-4</v>
      </c>
      <c r="G252">
        <v>-8.5707597356599052E-5</v>
      </c>
      <c r="H252">
        <v>1.9721272679462665E-4</v>
      </c>
      <c r="I252">
        <v>8.8942274285130907E-5</v>
      </c>
      <c r="J252">
        <v>9.2581433808902602E-4</v>
      </c>
      <c r="K252">
        <v>1.2073360979631964E-3</v>
      </c>
      <c r="L252">
        <v>9.3554313058796801E-4</v>
      </c>
      <c r="M252">
        <v>9.5379685140195569E-4</v>
      </c>
      <c r="N252">
        <v>9.5925671440522109E-4</v>
      </c>
      <c r="O252">
        <v>5.4612392438491142E-4</v>
      </c>
      <c r="P252">
        <v>5.3573019985209136E-4</v>
      </c>
      <c r="Q252">
        <v>5.4958248556946643E-4</v>
      </c>
      <c r="R252">
        <v>4.1949657953677111E-4</v>
      </c>
      <c r="S252">
        <v>2.6994450833852657E-3</v>
      </c>
      <c r="T252">
        <v>3.3939031210477033E-3</v>
      </c>
      <c r="U252">
        <v>6.4196741527067225E-4</v>
      </c>
      <c r="V252">
        <v>2.0631918970985819E-3</v>
      </c>
      <c r="W252">
        <v>2.2723327162625928E-3</v>
      </c>
      <c r="X252">
        <v>6.7042973657560623E-4</v>
      </c>
      <c r="Y252">
        <v>2.0631918970985819E-3</v>
      </c>
      <c r="Z252">
        <v>1.6651134885274921E-3</v>
      </c>
      <c r="AA252">
        <v>3.5808099375767011E-3</v>
      </c>
      <c r="AC252">
        <v>-3.282076792272548E-3</v>
      </c>
      <c r="AD252">
        <v>2.1277738860543405E-3</v>
      </c>
      <c r="AE252">
        <v>-3.2210510973419426E-3</v>
      </c>
      <c r="AF252">
        <v>2.8475353999355413E-3</v>
      </c>
      <c r="AG252">
        <v>3.6066459902905912E-4</v>
      </c>
      <c r="AH252">
        <v>-2.2974537545907836E-3</v>
      </c>
      <c r="AI252">
        <v>-2.2974537545907836E-3</v>
      </c>
      <c r="AJ252">
        <v>1.9047619047607434E-4</v>
      </c>
      <c r="AK252">
        <v>2.8081865778200932E-2</v>
      </c>
      <c r="AL252">
        <v>-3.1688362545617688E-3</v>
      </c>
    </row>
    <row r="253" spans="1:38">
      <c r="A253" s="568">
        <v>44196</v>
      </c>
      <c r="B253">
        <v>7.6559597542130708E-5</v>
      </c>
      <c r="C253">
        <v>1.7163788086693721E-4</v>
      </c>
      <c r="D253">
        <v>5.6540186080145105E-5</v>
      </c>
      <c r="E253">
        <v>1.337802443437397E-4</v>
      </c>
      <c r="F253">
        <v>1.6467210400405996E-4</v>
      </c>
      <c r="G253">
        <v>1.687087782307195E-4</v>
      </c>
      <c r="H253">
        <v>1.9440648944080152E-4</v>
      </c>
      <c r="I253">
        <v>1.9905243088724767E-4</v>
      </c>
      <c r="J253">
        <v>5.236735273734805E-4</v>
      </c>
      <c r="K253">
        <v>5.5514271771972545E-4</v>
      </c>
      <c r="L253">
        <v>9.3554313058796801E-4</v>
      </c>
      <c r="M253">
        <v>9.5379685140195569E-4</v>
      </c>
      <c r="N253">
        <v>9.5925671440522109E-4</v>
      </c>
      <c r="O253">
        <v>5.4612392438491142E-4</v>
      </c>
      <c r="P253">
        <v>5.3573019985209136E-4</v>
      </c>
      <c r="Q253">
        <v>5.4958248556946643E-4</v>
      </c>
      <c r="R253">
        <v>1.4323208447808433E-3</v>
      </c>
      <c r="S253">
        <v>1.8850286140370542E-4</v>
      </c>
      <c r="T253">
        <v>3.1596365113295555E-4</v>
      </c>
      <c r="U253">
        <v>2.3562201446503117E-4</v>
      </c>
      <c r="V253">
        <v>2.7284164574026271E-4</v>
      </c>
      <c r="W253">
        <v>-6.1967325383915917E-4</v>
      </c>
      <c r="X253">
        <v>6.0670509408322637E-4</v>
      </c>
      <c r="Y253">
        <v>2.7284164574026271E-4</v>
      </c>
      <c r="Z253">
        <v>-1.1866177714279225E-3</v>
      </c>
      <c r="AA253">
        <v>1.8500776229690707E-4</v>
      </c>
      <c r="AC253">
        <v>0</v>
      </c>
      <c r="AD253">
        <v>-1.1176117256027629E-3</v>
      </c>
      <c r="AE253">
        <v>-6.177942710111628E-4</v>
      </c>
      <c r="AF253">
        <v>1.8364641964208062E-4</v>
      </c>
      <c r="AG253">
        <v>7.4917156640785798E-4</v>
      </c>
      <c r="AH253">
        <v>0</v>
      </c>
      <c r="AI253">
        <v>0</v>
      </c>
      <c r="AJ253">
        <v>0</v>
      </c>
      <c r="AK253">
        <v>5.3703703703702477E-3</v>
      </c>
      <c r="AL253">
        <v>1.2162913445682211E-2</v>
      </c>
    </row>
    <row r="254" spans="1:38">
      <c r="A254" s="568">
        <v>44200</v>
      </c>
      <c r="B254">
        <v>7.6559597542130708E-5</v>
      </c>
      <c r="C254">
        <v>1.71653489231538E-4</v>
      </c>
      <c r="D254">
        <v>1.0279452630568287E-4</v>
      </c>
      <c r="E254">
        <v>1.337802443437397E-4</v>
      </c>
      <c r="F254">
        <v>1.1231946000056503E-4</v>
      </c>
      <c r="G254">
        <v>2.6351441755201321E-4</v>
      </c>
      <c r="H254">
        <v>1.9367699933470206E-4</v>
      </c>
      <c r="I254">
        <v>1.6702593254058762E-4</v>
      </c>
      <c r="J254">
        <v>2.183086241647203E-5</v>
      </c>
      <c r="K254">
        <v>3.6173535334138585E-4</v>
      </c>
      <c r="L254">
        <v>4.5049059479529419E-4</v>
      </c>
      <c r="M254">
        <v>4.6873546987136194E-4</v>
      </c>
      <c r="N254">
        <v>4.7419268702930673E-4</v>
      </c>
      <c r="O254">
        <v>5.4612392438491142E-4</v>
      </c>
      <c r="P254">
        <v>5.3573019985209136E-4</v>
      </c>
      <c r="Q254">
        <v>5.4958248556946643E-4</v>
      </c>
      <c r="R254">
        <v>-6.7252835102427078E-4</v>
      </c>
      <c r="S254">
        <v>1.3340074724583761E-3</v>
      </c>
      <c r="T254">
        <v>-3.8735465471739783E-4</v>
      </c>
      <c r="U254">
        <v>-1.0542353467994925E-3</v>
      </c>
      <c r="V254">
        <v>-1.0456076900151601E-3</v>
      </c>
      <c r="W254">
        <v>-2.1198644339258665E-3</v>
      </c>
      <c r="X254">
        <v>1.4345802757926851E-3</v>
      </c>
      <c r="Y254">
        <v>-1.0456076900151601E-3</v>
      </c>
      <c r="Z254">
        <v>1.6135742188758684E-3</v>
      </c>
      <c r="AA254">
        <v>2.2711769196013254E-3</v>
      </c>
      <c r="AC254">
        <v>-1.3656004793927146E-3</v>
      </c>
      <c r="AD254">
        <v>3.3179837277805824E-3</v>
      </c>
      <c r="AE254">
        <v>-5.7197597621381213E-3</v>
      </c>
      <c r="AF254">
        <v>1.7304668964801539E-3</v>
      </c>
      <c r="AG254">
        <v>-7.8927752707559362E-3</v>
      </c>
      <c r="AH254">
        <v>-9.5592033557490008E-4</v>
      </c>
      <c r="AI254">
        <v>-9.5592033557490008E-4</v>
      </c>
      <c r="AJ254">
        <v>3.6183584079223508E-3</v>
      </c>
      <c r="AK254">
        <v>2.6708417756493574E-3</v>
      </c>
      <c r="AL254">
        <v>1.561846266244471E-2</v>
      </c>
    </row>
    <row r="255" spans="1:38">
      <c r="A255" s="568">
        <v>44201</v>
      </c>
      <c r="B255">
        <v>7.6559597542130708E-5</v>
      </c>
      <c r="C255">
        <v>4.3667439164174482E-5</v>
      </c>
      <c r="D255">
        <v>1.3704528090285883E-4</v>
      </c>
      <c r="E255">
        <v>1.337802443437397E-4</v>
      </c>
      <c r="F255">
        <v>1.0509034161110264E-4</v>
      </c>
      <c r="G255">
        <v>1.232712757819332E-4</v>
      </c>
      <c r="H255">
        <v>1.9433106544597401E-4</v>
      </c>
      <c r="I255">
        <v>1.7991844825915315E-4</v>
      </c>
      <c r="J255">
        <v>-8.0366490682481917E-4</v>
      </c>
      <c r="K255">
        <v>2.0300428761443889E-4</v>
      </c>
      <c r="L255">
        <v>4.5049059479529419E-4</v>
      </c>
      <c r="M255">
        <v>4.6873546987136194E-4</v>
      </c>
      <c r="N255">
        <v>4.7419268702930673E-4</v>
      </c>
      <c r="O255">
        <v>5.4612392438491142E-4</v>
      </c>
      <c r="P255">
        <v>5.3573019985209136E-4</v>
      </c>
      <c r="Q255">
        <v>5.4958248556946643E-4</v>
      </c>
      <c r="R255">
        <v>-1.039838386416192E-3</v>
      </c>
      <c r="S255">
        <v>4.7202777297341569E-3</v>
      </c>
      <c r="T255">
        <v>6.0490071036896076E-3</v>
      </c>
      <c r="U255">
        <v>-2.9121579337745285E-3</v>
      </c>
      <c r="V255">
        <v>1.6180902489835169E-3</v>
      </c>
      <c r="W255">
        <v>3.3482008507790262E-3</v>
      </c>
      <c r="X255">
        <v>5.6397649174027009E-3</v>
      </c>
      <c r="Y255">
        <v>1.6180902489835169E-3</v>
      </c>
      <c r="Z255">
        <v>-1.3568810663913133E-3</v>
      </c>
      <c r="AA255">
        <v>6.7966504154304275E-4</v>
      </c>
      <c r="AC255">
        <v>4.3877100032467808E-3</v>
      </c>
      <c r="AD255">
        <v>6.5860403104347487E-3</v>
      </c>
      <c r="AE255">
        <v>7.4978168589592276E-3</v>
      </c>
      <c r="AF255">
        <v>3.0229647585546804E-3</v>
      </c>
      <c r="AG255">
        <v>4.6257257581472366E-4</v>
      </c>
      <c r="AH255">
        <v>3.0713970022727462E-3</v>
      </c>
      <c r="AI255">
        <v>3.0713970022727462E-3</v>
      </c>
      <c r="AJ255">
        <v>9.962049335863421E-3</v>
      </c>
      <c r="AK255">
        <v>2.2595756406723622E-2</v>
      </c>
      <c r="AL255">
        <v>1.517105824465137E-2</v>
      </c>
    </row>
    <row r="256" spans="1:38">
      <c r="A256" s="568">
        <v>44202</v>
      </c>
      <c r="B256">
        <v>7.6559597542130708E-5</v>
      </c>
      <c r="C256">
        <v>1.7857274476762441E-4</v>
      </c>
      <c r="D256">
        <v>1.2046913306762441E-4</v>
      </c>
      <c r="E256">
        <v>1.337802443437397E-4</v>
      </c>
      <c r="F256">
        <v>1.2221669516132572E-4</v>
      </c>
      <c r="G256">
        <v>2.9323097801214892E-4</v>
      </c>
      <c r="H256">
        <v>1.9429330822040569E-4</v>
      </c>
      <c r="I256">
        <v>1.6652296146379975E-4</v>
      </c>
      <c r="J256">
        <v>-6.1905518113614111E-4</v>
      </c>
      <c r="K256">
        <v>4.894653438451968E-4</v>
      </c>
      <c r="L256">
        <v>4.5049059479529419E-4</v>
      </c>
      <c r="M256">
        <v>4.6873546987136194E-4</v>
      </c>
      <c r="N256">
        <v>4.7419268702930673E-4</v>
      </c>
      <c r="O256">
        <v>5.4612392438491142E-4</v>
      </c>
      <c r="P256">
        <v>5.3573019985209136E-4</v>
      </c>
      <c r="Q256">
        <v>5.4958248556946643E-4</v>
      </c>
      <c r="R256">
        <v>4.3356346177714222E-4</v>
      </c>
      <c r="S256">
        <v>1.5718927384800185E-3</v>
      </c>
      <c r="T256">
        <v>4.4659724710116588E-3</v>
      </c>
      <c r="U256">
        <v>-1.4173903559330236E-3</v>
      </c>
      <c r="V256">
        <v>-3.9377233900769193E-3</v>
      </c>
      <c r="W256">
        <v>2.5154825293083327E-3</v>
      </c>
      <c r="X256">
        <v>2.4201797537952707E-3</v>
      </c>
      <c r="Y256">
        <v>-3.9377233900769193E-3</v>
      </c>
      <c r="Z256">
        <v>-3.2286450893150853E-3</v>
      </c>
      <c r="AA256">
        <v>-2.315219144808367E-3</v>
      </c>
      <c r="AC256">
        <v>-2.3131074441047339E-3</v>
      </c>
      <c r="AD256">
        <v>-1.4145727256560825E-2</v>
      </c>
      <c r="AE256">
        <v>-3.2519088671710827E-3</v>
      </c>
      <c r="AF256">
        <v>-5.7138368675856421E-3</v>
      </c>
      <c r="AG256">
        <v>-1.2575388541808064E-2</v>
      </c>
      <c r="AH256">
        <v>-1.6191752108733136E-3</v>
      </c>
      <c r="AI256">
        <v>-1.6191752108733136E-3</v>
      </c>
      <c r="AJ256">
        <v>1.3433536871770624E-2</v>
      </c>
      <c r="AK256">
        <v>-6.3774364501930636E-3</v>
      </c>
      <c r="AL256">
        <v>3.5844084316347669E-3</v>
      </c>
    </row>
    <row r="257" spans="1:38">
      <c r="A257" s="568">
        <v>44203</v>
      </c>
      <c r="B257">
        <v>7.6559597542130708E-5</v>
      </c>
      <c r="C257">
        <v>6.4567683905503159E-5</v>
      </c>
      <c r="D257">
        <v>1.1246237220241539E-4</v>
      </c>
      <c r="E257">
        <v>1.337802443437397E-4</v>
      </c>
      <c r="F257">
        <v>3.4811719103688965E-4</v>
      </c>
      <c r="G257">
        <v>2.3420529492335085E-4</v>
      </c>
      <c r="H257">
        <v>1.9425556566399216E-4</v>
      </c>
      <c r="I257">
        <v>1.6644380855845853E-4</v>
      </c>
      <c r="J257">
        <v>-2.0921976205316994E-3</v>
      </c>
      <c r="K257">
        <v>-1.0899176120781062E-3</v>
      </c>
      <c r="L257">
        <v>4.5049059479529419E-4</v>
      </c>
      <c r="M257">
        <v>4.6873546987136194E-4</v>
      </c>
      <c r="N257">
        <v>4.7419268702930673E-4</v>
      </c>
      <c r="O257">
        <v>5.4612392438491142E-4</v>
      </c>
      <c r="P257">
        <v>5.3573019985209136E-4</v>
      </c>
      <c r="Q257">
        <v>5.4958248556946643E-4</v>
      </c>
      <c r="R257">
        <v>2.8912165944783297E-4</v>
      </c>
      <c r="S257">
        <v>4.6574768667495547E-4</v>
      </c>
      <c r="T257">
        <v>2.211486035783583E-4</v>
      </c>
      <c r="U257">
        <v>4.1278099659007861E-3</v>
      </c>
      <c r="V257">
        <v>3.5047439484248155E-3</v>
      </c>
      <c r="W257">
        <v>2.0760638331214221E-3</v>
      </c>
      <c r="X257">
        <v>2.9363740873018518E-3</v>
      </c>
      <c r="Y257">
        <v>3.5047439484248155E-3</v>
      </c>
      <c r="Z257">
        <v>4.0278867210470359E-3</v>
      </c>
      <c r="AA257">
        <v>-3.1875615456401496E-3</v>
      </c>
      <c r="AC257">
        <v>2.7588898344988566E-2</v>
      </c>
      <c r="AD257">
        <v>4.1454587675730403E-2</v>
      </c>
      <c r="AE257">
        <v>3.2745996155952861E-2</v>
      </c>
      <c r="AF257">
        <v>2.9302692607524827E-2</v>
      </c>
      <c r="AG257">
        <v>9.2323271823180342E-3</v>
      </c>
      <c r="AH257">
        <v>1.9312228841491995E-2</v>
      </c>
      <c r="AI257">
        <v>1.9312228841491995E-2</v>
      </c>
      <c r="AJ257">
        <v>3.0543196143863582E-2</v>
      </c>
      <c r="AK257">
        <v>-3.1639848128729442E-3</v>
      </c>
      <c r="AL257">
        <v>2.2256104757369721E-2</v>
      </c>
    </row>
    <row r="258" spans="1:38">
      <c r="A258" s="568">
        <v>44204</v>
      </c>
      <c r="B258">
        <v>7.6559597542130708E-5</v>
      </c>
      <c r="C258">
        <v>9.2786068103278829E-4</v>
      </c>
      <c r="D258">
        <v>1.9578810133480395E-4</v>
      </c>
      <c r="E258">
        <v>1.337802443437397E-4</v>
      </c>
      <c r="F258">
        <v>6.0493613461143347E-4</v>
      </c>
      <c r="G258">
        <v>3.0676427854237076E-4</v>
      </c>
      <c r="H258">
        <v>1.9352667108551991E-4</v>
      </c>
      <c r="I258">
        <v>1.651842500105527E-4</v>
      </c>
      <c r="J258">
        <v>3.22272856478234E-4</v>
      </c>
      <c r="K258">
        <v>1.8494906015931178E-4</v>
      </c>
      <c r="L258">
        <v>4.5049059479529419E-4</v>
      </c>
      <c r="M258">
        <v>4.6873546987136194E-4</v>
      </c>
      <c r="N258">
        <v>4.7419268702930673E-4</v>
      </c>
      <c r="O258">
        <v>5.4612392438491142E-4</v>
      </c>
      <c r="P258">
        <v>5.3573019985209136E-4</v>
      </c>
      <c r="Q258">
        <v>5.4958248556946643E-4</v>
      </c>
      <c r="R258">
        <v>-2.7001435371709626E-5</v>
      </c>
      <c r="S258">
        <v>-2.7665658516540237E-4</v>
      </c>
      <c r="T258">
        <v>2.4241807939191506E-3</v>
      </c>
      <c r="U258">
        <v>1.0490619871472706E-3</v>
      </c>
      <c r="V258">
        <v>5.984984507223734E-3</v>
      </c>
      <c r="W258">
        <v>4.8652017793389124E-3</v>
      </c>
      <c r="X258">
        <v>4.2363227401540637E-3</v>
      </c>
      <c r="Y258">
        <v>5.984984507223734E-3</v>
      </c>
      <c r="Z258">
        <v>2.0843487027910612E-5</v>
      </c>
      <c r="AA258">
        <v>1.3675955979277621E-3</v>
      </c>
      <c r="AC258">
        <v>2.1985453882276795E-2</v>
      </c>
      <c r="AD258">
        <v>2.3087287657793221E-2</v>
      </c>
      <c r="AE258">
        <v>1.8334119258297532E-2</v>
      </c>
      <c r="AF258">
        <v>1.9443109841763562E-2</v>
      </c>
      <c r="AG258">
        <v>2.0680805786287948E-2</v>
      </c>
      <c r="AH258">
        <v>1.5389817717593755E-2</v>
      </c>
      <c r="AI258">
        <v>1.5389817717593755E-2</v>
      </c>
      <c r="AJ258">
        <v>7.4207330784799019E-3</v>
      </c>
      <c r="AK258">
        <v>2.2671624195157447E-2</v>
      </c>
      <c r="AL258">
        <v>2.2413752968088341E-2</v>
      </c>
    </row>
    <row r="259" spans="1:38">
      <c r="A259" s="568">
        <v>44207</v>
      </c>
      <c r="B259">
        <v>7.6559597542130708E-5</v>
      </c>
      <c r="C259">
        <v>8.388086447652654E-6</v>
      </c>
      <c r="D259">
        <v>1.0557932517119006E-4</v>
      </c>
      <c r="E259">
        <v>1.337802443437397E-4</v>
      </c>
      <c r="F259">
        <v>2.4417076095684109E-4</v>
      </c>
      <c r="G259">
        <v>2.9648021215367137E-4</v>
      </c>
      <c r="H259">
        <v>1.941802587088759E-4</v>
      </c>
      <c r="I259">
        <v>1.671774440454854E-4</v>
      </c>
      <c r="J259">
        <v>-3.9547153419425829E-3</v>
      </c>
      <c r="K259">
        <v>-1.9477657115878344E-3</v>
      </c>
      <c r="L259">
        <v>4.5049059479529419E-4</v>
      </c>
      <c r="M259">
        <v>4.6873546987136194E-4</v>
      </c>
      <c r="N259">
        <v>4.7419268702930673E-4</v>
      </c>
      <c r="O259">
        <v>5.4612392438491142E-4</v>
      </c>
      <c r="P259">
        <v>5.3573019985209136E-4</v>
      </c>
      <c r="Q259">
        <v>5.4958248556946643E-4</v>
      </c>
      <c r="R259">
        <v>-2.1675373841899548E-3</v>
      </c>
      <c r="S259">
        <v>-2.0654173760710215E-3</v>
      </c>
      <c r="T259">
        <v>-3.8905640329224278E-3</v>
      </c>
      <c r="U259">
        <v>-6.4684953241429533E-3</v>
      </c>
      <c r="V259">
        <v>-3.8733711382390457E-3</v>
      </c>
      <c r="W259">
        <v>-2.3831878575700793E-3</v>
      </c>
      <c r="X259">
        <v>3.2692795418971521E-3</v>
      </c>
      <c r="Y259">
        <v>-3.8733711382390457E-3</v>
      </c>
      <c r="Z259">
        <v>-8.3946037594176959E-3</v>
      </c>
      <c r="AA259">
        <v>3.4992147324646172E-3</v>
      </c>
      <c r="AC259">
        <v>-1.4563072254185294E-2</v>
      </c>
      <c r="AD259">
        <v>-1.4524249113444521E-3</v>
      </c>
      <c r="AE259">
        <v>-1.8840501679339927E-2</v>
      </c>
      <c r="AF259">
        <v>-6.9226827360610033E-3</v>
      </c>
      <c r="AG259">
        <v>-1.0141102173180538E-2</v>
      </c>
      <c r="AH259">
        <v>-1.0194150577929705E-2</v>
      </c>
      <c r="AI259">
        <v>-1.0194150577929705E-2</v>
      </c>
      <c r="AJ259">
        <v>1.1160714285714191E-2</v>
      </c>
      <c r="AK259">
        <v>-6.9167331737164384E-3</v>
      </c>
      <c r="AL259">
        <v>1.8171591744905458E-2</v>
      </c>
    </row>
    <row r="260" spans="1:38">
      <c r="A260" s="568">
        <v>44208</v>
      </c>
      <c r="B260">
        <v>7.6559597542130708E-5</v>
      </c>
      <c r="C260">
        <v>2.7232252231468301E-4</v>
      </c>
      <c r="D260">
        <v>2.3396191100255592E-5</v>
      </c>
      <c r="E260">
        <v>1.337802443437397E-4</v>
      </c>
      <c r="F260">
        <v>2.1168310588648431E-4</v>
      </c>
      <c r="G260">
        <v>2.9775060044912038E-4</v>
      </c>
      <c r="H260">
        <v>1.9345166126627511E-4</v>
      </c>
      <c r="I260">
        <v>1.6422405159000064E-4</v>
      </c>
      <c r="J260">
        <v>3.583551388283146E-3</v>
      </c>
      <c r="K260">
        <v>2.9680999491199511E-3</v>
      </c>
      <c r="L260">
        <v>4.5049059479529419E-4</v>
      </c>
      <c r="M260">
        <v>4.6873546987136194E-4</v>
      </c>
      <c r="N260">
        <v>4.7419268702930673E-4</v>
      </c>
      <c r="O260">
        <v>5.4612392438491142E-4</v>
      </c>
      <c r="P260">
        <v>5.3573019985209136E-4</v>
      </c>
      <c r="Q260">
        <v>5.4958248556946643E-4</v>
      </c>
      <c r="R260">
        <v>6.236288928374023E-4</v>
      </c>
      <c r="S260">
        <v>4.8018801278166823E-3</v>
      </c>
      <c r="T260">
        <v>4.2382347814184929E-3</v>
      </c>
      <c r="U260">
        <v>1.8675883617171873E-3</v>
      </c>
      <c r="V260">
        <v>3.0341365563053557E-3</v>
      </c>
      <c r="W260">
        <v>6.9890795631821767E-4</v>
      </c>
      <c r="X260">
        <v>2.039529297208631E-3</v>
      </c>
      <c r="Y260">
        <v>3.0341365563053557E-3</v>
      </c>
      <c r="Z260">
        <v>1.3405771903620689E-3</v>
      </c>
      <c r="AA260">
        <v>-3.7401591245704857E-3</v>
      </c>
      <c r="AC260">
        <v>6.0270919352403141E-3</v>
      </c>
      <c r="AD260">
        <v>1.1261557960903668E-2</v>
      </c>
      <c r="AE260">
        <v>3.1471003124332597E-3</v>
      </c>
      <c r="AF260">
        <v>8.0246203717886377E-3</v>
      </c>
      <c r="AG260">
        <v>2.1855137661781487E-3</v>
      </c>
      <c r="AH260">
        <v>4.2189643546682197E-3</v>
      </c>
      <c r="AI260">
        <v>4.2189643546682197E-3</v>
      </c>
      <c r="AJ260">
        <v>-3.3112582781456901E-2</v>
      </c>
      <c r="AK260">
        <v>7.5899633895883944E-3</v>
      </c>
      <c r="AL260">
        <v>-3.3180145701539376E-2</v>
      </c>
    </row>
    <row r="261" spans="1:38">
      <c r="A261" s="568">
        <v>44209</v>
      </c>
      <c r="B261">
        <v>7.6559597542130708E-5</v>
      </c>
      <c r="C261">
        <v>4.1181864258943435E-5</v>
      </c>
      <c r="D261">
        <v>9.5865076751966427E-5</v>
      </c>
      <c r="E261">
        <v>1.337802443437397E-4</v>
      </c>
      <c r="F261">
        <v>2.7918244572822104E-4</v>
      </c>
      <c r="G261">
        <v>3.7215020669023602E-4</v>
      </c>
      <c r="H261">
        <v>1.9410501011973835E-4</v>
      </c>
      <c r="I261">
        <v>1.643808904603361E-4</v>
      </c>
      <c r="J261">
        <v>-1.1457705080336611E-3</v>
      </c>
      <c r="K261">
        <v>-1.1561772080789234E-3</v>
      </c>
      <c r="L261">
        <v>4.5049059479529419E-4</v>
      </c>
      <c r="M261">
        <v>4.6873546987136194E-4</v>
      </c>
      <c r="N261">
        <v>4.7419268702930673E-4</v>
      </c>
      <c r="O261">
        <v>5.4612392438491142E-4</v>
      </c>
      <c r="P261">
        <v>5.3573019985209136E-4</v>
      </c>
      <c r="Q261">
        <v>5.4958248556946643E-4</v>
      </c>
      <c r="R261">
        <v>1.7480228718098623E-3</v>
      </c>
      <c r="S261">
        <v>-2.07637849505804E-3</v>
      </c>
      <c r="T261">
        <v>-2.1339629449569353E-3</v>
      </c>
      <c r="U261">
        <v>-2.2970007602196585E-3</v>
      </c>
      <c r="V261">
        <v>-2.3968524352925291E-3</v>
      </c>
      <c r="W261">
        <v>-1.3662270930203668E-4</v>
      </c>
      <c r="X261">
        <v>1.6901324691178665E-3</v>
      </c>
      <c r="Y261">
        <v>-2.3968524352925291E-3</v>
      </c>
      <c r="Z261">
        <v>-5.455681014219671E-3</v>
      </c>
      <c r="AA261">
        <v>-1.5776424368826314E-3</v>
      </c>
      <c r="AC261">
        <v>-1.6652849239503831E-2</v>
      </c>
      <c r="AD261">
        <v>-1.6661537539525928E-2</v>
      </c>
      <c r="AE261">
        <v>-2.3155746139727817E-2</v>
      </c>
      <c r="AF261">
        <v>-1.4043584802552744E-2</v>
      </c>
      <c r="AG261">
        <v>7.8754008455850233E-4</v>
      </c>
      <c r="AH261">
        <v>-1.1656994467652681E-2</v>
      </c>
      <c r="AI261">
        <v>-1.1656994467652681E-2</v>
      </c>
      <c r="AJ261">
        <v>-2.2831050228310223E-3</v>
      </c>
      <c r="AK261">
        <v>5.494505494505475E-3</v>
      </c>
      <c r="AL261">
        <v>7.6855885504747423E-3</v>
      </c>
    </row>
    <row r="262" spans="1:38">
      <c r="A262" s="568">
        <v>44210</v>
      </c>
      <c r="B262">
        <v>7.6559597542130708E-5</v>
      </c>
      <c r="C262">
        <v>2.4665814206303871E-4</v>
      </c>
      <c r="D262">
        <v>8.6726755375243769E-5</v>
      </c>
      <c r="E262">
        <v>1.337802443437397E-4</v>
      </c>
      <c r="F262">
        <v>2.1833176524599374E-4</v>
      </c>
      <c r="G262">
        <v>1.2991810311802077E-4</v>
      </c>
      <c r="H262">
        <v>1.9337670957098041E-4</v>
      </c>
      <c r="I262">
        <v>1.6663417933981961E-4</v>
      </c>
      <c r="J262">
        <v>3.3906797184422022E-3</v>
      </c>
      <c r="K262">
        <v>1.9711683558258919E-3</v>
      </c>
      <c r="L262">
        <v>4.5049059479529419E-4</v>
      </c>
      <c r="M262">
        <v>4.6873546987136194E-4</v>
      </c>
      <c r="N262">
        <v>4.7419268702930673E-4</v>
      </c>
      <c r="O262">
        <v>5.4612392438491142E-4</v>
      </c>
      <c r="P262">
        <v>5.3573019985209136E-4</v>
      </c>
      <c r="Q262">
        <v>5.4958248556946643E-4</v>
      </c>
      <c r="R262">
        <v>9.5040878621932556E-4</v>
      </c>
      <c r="S262">
        <v>1.6690196136337487E-3</v>
      </c>
      <c r="T262">
        <v>4.2040577142603563E-3</v>
      </c>
      <c r="U262">
        <v>-2.43234159313932E-5</v>
      </c>
      <c r="V262">
        <v>3.5359182809997503E-3</v>
      </c>
      <c r="W262">
        <v>1.2042584483775709E-3</v>
      </c>
      <c r="X262">
        <v>-9.2338506554778821E-4</v>
      </c>
      <c r="Y262">
        <v>3.5359182809997503E-3</v>
      </c>
      <c r="Z262">
        <v>5.9249369019496179E-3</v>
      </c>
      <c r="AA262">
        <v>-4.8989834934646259E-3</v>
      </c>
      <c r="AC262">
        <v>1.2690895694589255E-2</v>
      </c>
      <c r="AD262">
        <v>1.557833800882058E-2</v>
      </c>
      <c r="AE262">
        <v>2.0127753327905396E-2</v>
      </c>
      <c r="AF262">
        <v>1.3001130370136726E-2</v>
      </c>
      <c r="AG262">
        <v>9.4549113605624235E-4</v>
      </c>
      <c r="AH262">
        <v>8.8836269862124784E-3</v>
      </c>
      <c r="AI262">
        <v>8.8836269862124784E-3</v>
      </c>
      <c r="AJ262">
        <v>-2.0503432494279106E-2</v>
      </c>
      <c r="AK262">
        <v>1.225101357306535E-2</v>
      </c>
      <c r="AL262">
        <v>-9.7292304418085118E-3</v>
      </c>
    </row>
    <row r="263" spans="1:38">
      <c r="A263" s="568">
        <v>44211</v>
      </c>
      <c r="B263">
        <v>7.6559597542130708E-5</v>
      </c>
      <c r="C263">
        <v>1.143855348955336E-3</v>
      </c>
      <c r="D263">
        <v>7.4738287626052724E-5</v>
      </c>
      <c r="E263">
        <v>1.337802443437397E-4</v>
      </c>
      <c r="F263">
        <v>3.4340365682150598E-4</v>
      </c>
      <c r="G263">
        <v>2.6909911560530908E-3</v>
      </c>
      <c r="H263">
        <v>1.9402981982841183E-4</v>
      </c>
      <c r="I263">
        <v>1.6477299026007586E-4</v>
      </c>
      <c r="J263">
        <v>3.7577019340373496E-5</v>
      </c>
      <c r="K263">
        <v>1.1939311566633304E-3</v>
      </c>
      <c r="L263">
        <v>4.5049059479529419E-4</v>
      </c>
      <c r="M263">
        <v>4.6873546987136194E-4</v>
      </c>
      <c r="N263">
        <v>4.7419268702930673E-4</v>
      </c>
      <c r="O263">
        <v>5.4612392438491142E-4</v>
      </c>
      <c r="P263">
        <v>5.3573019985209136E-4</v>
      </c>
      <c r="Q263">
        <v>5.4958248556946643E-4</v>
      </c>
      <c r="R263">
        <v>2.641944765577886E-4</v>
      </c>
      <c r="S263">
        <v>-3.5233476486128401E-3</v>
      </c>
      <c r="T263">
        <v>-2.9927595163153908E-3</v>
      </c>
      <c r="U263">
        <v>-2.2460804973957194E-3</v>
      </c>
      <c r="V263">
        <v>-4.7506474733481907E-3</v>
      </c>
      <c r="W263">
        <v>-3.2006976750771354E-3</v>
      </c>
      <c r="X263">
        <v>1.6756108065596464E-4</v>
      </c>
      <c r="Y263">
        <v>-4.7506474733481907E-3</v>
      </c>
      <c r="Z263">
        <v>-1.1605485004724803E-2</v>
      </c>
      <c r="AA263">
        <v>7.030682214685946E-4</v>
      </c>
      <c r="AC263">
        <v>-2.5362057108279101E-2</v>
      </c>
      <c r="AD263">
        <v>-2.0888790006230784E-2</v>
      </c>
      <c r="AE263">
        <v>-2.5111389694188246E-2</v>
      </c>
      <c r="AF263">
        <v>-2.1659897731857725E-2</v>
      </c>
      <c r="AG263">
        <v>-7.2793257771761599E-3</v>
      </c>
      <c r="AH263">
        <v>-1.7753439975795371E-2</v>
      </c>
      <c r="AI263">
        <v>-1.7753439975795371E-2</v>
      </c>
      <c r="AJ263">
        <v>6.4479955144378653E-3</v>
      </c>
      <c r="AK263">
        <v>-2.5250326512842314E-3</v>
      </c>
      <c r="AL263">
        <v>1.3155006893847521E-2</v>
      </c>
    </row>
    <row r="264" spans="1:38">
      <c r="A264" s="568">
        <v>44214</v>
      </c>
      <c r="B264">
        <v>7.6559597542130708E-5</v>
      </c>
      <c r="C264">
        <v>3.1021475824410949E-4</v>
      </c>
      <c r="D264">
        <v>8.443083916254146E-5</v>
      </c>
      <c r="E264">
        <v>1.337802443437397E-4</v>
      </c>
      <c r="F264">
        <v>2.1595959395992459E-4</v>
      </c>
      <c r="G264">
        <v>2.8578917209021171E-4</v>
      </c>
      <c r="H264">
        <v>1.9399217956084236E-4</v>
      </c>
      <c r="I264">
        <v>8.9524659173223498E-5</v>
      </c>
      <c r="J264">
        <v>6.0744221034192414E-4</v>
      </c>
      <c r="K264">
        <v>4.2549369857725061E-4</v>
      </c>
      <c r="L264">
        <v>4.5049059479529419E-4</v>
      </c>
      <c r="M264">
        <v>4.6873546987136194E-4</v>
      </c>
      <c r="N264">
        <v>4.7419268702930673E-4</v>
      </c>
      <c r="O264">
        <v>5.4612392438491142E-4</v>
      </c>
      <c r="P264">
        <v>5.3573019985209136E-4</v>
      </c>
      <c r="Q264">
        <v>5.4958248556946643E-4</v>
      </c>
      <c r="R264">
        <v>-3.983319085310022E-5</v>
      </c>
      <c r="S264">
        <v>7.0423321985257914E-5</v>
      </c>
      <c r="T264">
        <v>-3.0366621952484518E-3</v>
      </c>
      <c r="U264">
        <v>8.8806010210840114E-4</v>
      </c>
      <c r="V264">
        <v>5.2952879501932948E-4</v>
      </c>
      <c r="W264">
        <v>-6.5389813619154413E-4</v>
      </c>
      <c r="X264">
        <v>-8.5067537244354341E-6</v>
      </c>
      <c r="Y264">
        <v>5.2952879501932948E-4</v>
      </c>
      <c r="Z264">
        <v>3.7755391399654226E-3</v>
      </c>
      <c r="AA264">
        <v>-7.9019196830509841E-4</v>
      </c>
      <c r="AC264">
        <v>7.4186863516711998E-3</v>
      </c>
      <c r="AD264">
        <v>7.8879075208666549E-3</v>
      </c>
      <c r="AE264">
        <v>1.0726306341737768E-2</v>
      </c>
      <c r="AF264">
        <v>6.413898439570298E-3</v>
      </c>
      <c r="AG264">
        <v>-2.8661156776563779E-3</v>
      </c>
      <c r="AH264">
        <v>5.1930804461698399E-3</v>
      </c>
      <c r="AI264">
        <v>5.1930804461698399E-3</v>
      </c>
      <c r="AJ264">
        <v>-1.2070566388115989E-3</v>
      </c>
      <c r="AK264">
        <v>1.1260474860335101E-2</v>
      </c>
      <c r="AL264">
        <v>-4.3148909678221159E-3</v>
      </c>
    </row>
    <row r="265" spans="1:38">
      <c r="A265" s="568">
        <v>44215</v>
      </c>
      <c r="B265">
        <v>7.6559597542130708E-5</v>
      </c>
      <c r="C265">
        <v>2.4864633345100806E-4</v>
      </c>
      <c r="D265">
        <v>1.3176944112647249E-4</v>
      </c>
      <c r="E265">
        <v>1.337802443437397E-4</v>
      </c>
      <c r="F265">
        <v>2.2580897640156472E-4</v>
      </c>
      <c r="G265">
        <v>1.9736629086208879E-4</v>
      </c>
      <c r="H265">
        <v>1.9464478362318793E-4</v>
      </c>
      <c r="I265">
        <v>1.6557092462710088E-4</v>
      </c>
      <c r="J265">
        <v>-5.7213851529436255E-4</v>
      </c>
      <c r="K265">
        <v>-3.7639866445293713E-4</v>
      </c>
      <c r="L265">
        <v>4.5049059479529419E-4</v>
      </c>
      <c r="M265">
        <v>4.6873546987136194E-4</v>
      </c>
      <c r="N265">
        <v>4.7419268702930673E-4</v>
      </c>
      <c r="O265">
        <v>5.4612392438491142E-4</v>
      </c>
      <c r="P265">
        <v>5.3573019985209136E-4</v>
      </c>
      <c r="Q265">
        <v>5.4958248556946643E-4</v>
      </c>
      <c r="R265">
        <v>1.5345582016743631E-3</v>
      </c>
      <c r="S265">
        <v>1.0808525306194028E-3</v>
      </c>
      <c r="T265">
        <v>-2.2401411703206753E-3</v>
      </c>
      <c r="U265">
        <v>1.7681474792459184E-3</v>
      </c>
      <c r="V265">
        <v>1.3458034370912308E-3</v>
      </c>
      <c r="W265">
        <v>2.4160603776330891E-3</v>
      </c>
      <c r="X265">
        <v>-7.1031163848322976E-4</v>
      </c>
      <c r="Y265">
        <v>1.3458034370912308E-3</v>
      </c>
      <c r="Z265">
        <v>1.8041681244485019E-3</v>
      </c>
      <c r="AA265">
        <v>1.597529498831296E-4</v>
      </c>
      <c r="AC265">
        <v>-4.9920147064997922E-3</v>
      </c>
      <c r="AD265">
        <v>-7.8617631185814441E-3</v>
      </c>
      <c r="AE265">
        <v>-4.4929395656523319E-4</v>
      </c>
      <c r="AF265">
        <v>-5.3241853292733676E-3</v>
      </c>
      <c r="AG265">
        <v>4.238405480199825E-3</v>
      </c>
      <c r="AH265">
        <v>-3.4944102945498544E-3</v>
      </c>
      <c r="AI265">
        <v>-3.4944102945498544E-3</v>
      </c>
      <c r="AJ265">
        <v>2.3705494096867286E-2</v>
      </c>
      <c r="AK265">
        <v>2.2529132498920967E-2</v>
      </c>
      <c r="AL265">
        <v>2.672130670364381E-2</v>
      </c>
    </row>
    <row r="266" spans="1:38">
      <c r="A266" s="568">
        <v>44216</v>
      </c>
      <c r="B266">
        <v>7.6559597542130708E-5</v>
      </c>
      <c r="C266">
        <v>1.5350765577126779E-4</v>
      </c>
      <c r="D266">
        <v>8.3271877546975404E-5</v>
      </c>
      <c r="E266">
        <v>1.337802443437397E-4</v>
      </c>
      <c r="F266">
        <v>1.7853769978692924E-4</v>
      </c>
      <c r="G266">
        <v>2.0070954738704572E-4</v>
      </c>
      <c r="H266">
        <v>1.9391680899905062E-4</v>
      </c>
      <c r="I266">
        <v>1.6483953517010264E-4</v>
      </c>
      <c r="J266">
        <v>7.59614932133168E-5</v>
      </c>
      <c r="K266">
        <v>4.0067690221179397E-4</v>
      </c>
      <c r="L266">
        <v>4.5049059479529419E-4</v>
      </c>
      <c r="M266">
        <v>4.6873546987136194E-4</v>
      </c>
      <c r="N266">
        <v>4.7419268702930673E-4</v>
      </c>
      <c r="O266">
        <v>5.4612392438491142E-4</v>
      </c>
      <c r="P266">
        <v>5.3573019985209136E-4</v>
      </c>
      <c r="Q266">
        <v>5.4958248556946643E-4</v>
      </c>
      <c r="R266">
        <v>1.1809741996910983E-3</v>
      </c>
      <c r="S266">
        <v>1.6211829856518367E-3</v>
      </c>
      <c r="T266">
        <v>2.0701080335052691E-3</v>
      </c>
      <c r="U266">
        <v>4.8477652232934432E-3</v>
      </c>
      <c r="V266">
        <v>1.3213430886205302E-3</v>
      </c>
      <c r="W266">
        <v>2.9166704474308247E-3</v>
      </c>
      <c r="X266">
        <v>1.0162367192922961E-3</v>
      </c>
      <c r="Y266">
        <v>1.3213430886205302E-3</v>
      </c>
      <c r="Z266">
        <v>-6.3436132533045697E-4</v>
      </c>
      <c r="AA266">
        <v>1.7323908709601099E-3</v>
      </c>
      <c r="AC266">
        <v>-8.2063960965675919E-3</v>
      </c>
      <c r="AD266">
        <v>4.7089879725987771E-3</v>
      </c>
      <c r="AE266">
        <v>-6.8810345649343851E-3</v>
      </c>
      <c r="AF266">
        <v>8.0034103814385915E-4</v>
      </c>
      <c r="AG266">
        <v>-2.3451552923210439E-3</v>
      </c>
      <c r="AH266">
        <v>-5.7444772675973137E-3</v>
      </c>
      <c r="AI266">
        <v>-5.7444772675973137E-3</v>
      </c>
      <c r="AJ266">
        <v>5.0399564111878181E-3</v>
      </c>
      <c r="AK266">
        <v>2.7013337835556372E-2</v>
      </c>
      <c r="AL266">
        <v>-9.9895309281583522E-4</v>
      </c>
    </row>
    <row r="267" spans="1:38">
      <c r="A267" s="568">
        <v>44217</v>
      </c>
      <c r="B267">
        <v>7.6559597542130708E-5</v>
      </c>
      <c r="C267">
        <v>8.9818946139574862E-5</v>
      </c>
      <c r="D267">
        <v>6.7866632372126645E-5</v>
      </c>
      <c r="E267">
        <v>1.337802443437397E-4</v>
      </c>
      <c r="F267">
        <v>1.501787081663597E-4</v>
      </c>
      <c r="G267">
        <v>1.330387994085136E-4</v>
      </c>
      <c r="H267">
        <v>1.9456917417115527E-4</v>
      </c>
      <c r="I267">
        <v>1.6430908244746689E-4</v>
      </c>
      <c r="J267">
        <v>-1.5030382289401567E-3</v>
      </c>
      <c r="K267">
        <v>-1.4307581444608086E-3</v>
      </c>
      <c r="L267">
        <v>4.5049059479529419E-4</v>
      </c>
      <c r="M267">
        <v>4.6873546987136194E-4</v>
      </c>
      <c r="N267">
        <v>4.7419268702930673E-4</v>
      </c>
      <c r="O267">
        <v>5.4612392438491142E-4</v>
      </c>
      <c r="P267">
        <v>5.3573019985209136E-4</v>
      </c>
      <c r="Q267">
        <v>5.4958248556946643E-4</v>
      </c>
      <c r="R267">
        <v>1.0817920343435539E-3</v>
      </c>
      <c r="S267">
        <v>-9.3156465134747179E-4</v>
      </c>
      <c r="T267">
        <v>1.0346993659755555E-3</v>
      </c>
      <c r="U267">
        <v>4.3049196416355962E-4</v>
      </c>
      <c r="V267">
        <v>-1.8725744505438957E-3</v>
      </c>
      <c r="W267">
        <v>-7.3171214421630104E-4</v>
      </c>
      <c r="X267">
        <v>6.6699013869442325E-4</v>
      </c>
      <c r="Y267">
        <v>-1.8725744505438957E-3</v>
      </c>
      <c r="Z267">
        <v>-3.6322896151149697E-3</v>
      </c>
      <c r="AA267">
        <v>4.7994787492369184E-3</v>
      </c>
      <c r="AC267">
        <v>-1.1010862006712974E-2</v>
      </c>
      <c r="AD267">
        <v>-1.8686466553167191E-3</v>
      </c>
      <c r="AE267">
        <v>-9.5743584165551843E-3</v>
      </c>
      <c r="AF267">
        <v>-2.5135145144946636E-3</v>
      </c>
      <c r="AG267">
        <v>-6.7091175651387003E-3</v>
      </c>
      <c r="AH267">
        <v>-7.707603404699081E-3</v>
      </c>
      <c r="AI267">
        <v>-7.707603404699081E-3</v>
      </c>
      <c r="AJ267">
        <v>1.1203975604246796E-2</v>
      </c>
      <c r="AK267">
        <v>-9.0415913200725395E-4</v>
      </c>
      <c r="AL267">
        <v>2.1013302000175704E-2</v>
      </c>
    </row>
    <row r="268" spans="1:38">
      <c r="A268" s="568">
        <v>44218</v>
      </c>
      <c r="B268">
        <v>7.6559597542130708E-5</v>
      </c>
      <c r="C268">
        <v>8.3483539575324173E-4</v>
      </c>
      <c r="D268">
        <v>1.3173216968032087E-4</v>
      </c>
      <c r="E268">
        <v>1.337802443437397E-4</v>
      </c>
      <c r="F268">
        <v>2.7333815571384257E-4</v>
      </c>
      <c r="G268">
        <v>2.407324526374488E-4</v>
      </c>
      <c r="H268">
        <v>1.9453132437208254E-4</v>
      </c>
      <c r="I268">
        <v>8.8471857785599184E-5</v>
      </c>
      <c r="J268">
        <v>-1.3455626733170911E-3</v>
      </c>
      <c r="K268">
        <v>-6.2288442522473453E-4</v>
      </c>
      <c r="L268">
        <v>4.5049059479529419E-4</v>
      </c>
      <c r="M268">
        <v>4.6873546987136194E-4</v>
      </c>
      <c r="N268">
        <v>4.7419268702930673E-4</v>
      </c>
      <c r="O268">
        <v>5.4612392438491142E-4</v>
      </c>
      <c r="P268">
        <v>5.3573019985209136E-4</v>
      </c>
      <c r="Q268">
        <v>5.4958248556946643E-4</v>
      </c>
      <c r="R268">
        <v>-1.5061564986348364E-3</v>
      </c>
      <c r="S268">
        <v>-5.3323431677457789E-3</v>
      </c>
      <c r="T268">
        <v>-8.2338303032976068E-3</v>
      </c>
      <c r="U268">
        <v>-2.3693743442892989E-3</v>
      </c>
      <c r="V268">
        <v>-2.8632369939286528E-3</v>
      </c>
      <c r="W268">
        <v>-2.1656204499760356E-3</v>
      </c>
      <c r="X268">
        <v>1.5057619043004067E-3</v>
      </c>
      <c r="Y268">
        <v>-2.8632369939286528E-3</v>
      </c>
      <c r="Z268">
        <v>-2.6045865431527648E-3</v>
      </c>
      <c r="AA268">
        <v>1.5669979002512768E-3</v>
      </c>
      <c r="AC268">
        <v>-8.0157871710051509E-3</v>
      </c>
      <c r="AD268">
        <v>-1.0974629742343311E-2</v>
      </c>
      <c r="AE268">
        <v>-5.8252524678542583E-3</v>
      </c>
      <c r="AF268">
        <v>-4.0583233112247985E-3</v>
      </c>
      <c r="AG268">
        <v>-4.0839534669423472E-3</v>
      </c>
      <c r="AH268">
        <v>-5.6110510197036056E-3</v>
      </c>
      <c r="AI268">
        <v>-5.6110510197036056E-3</v>
      </c>
      <c r="AJ268">
        <v>1.3715766429879706E-2</v>
      </c>
      <c r="AK268">
        <v>-1.6454134101193674E-3</v>
      </c>
      <c r="AL268">
        <v>1.0446774307912188E-2</v>
      </c>
    </row>
    <row r="269" spans="1:38">
      <c r="A269" s="568">
        <v>44221</v>
      </c>
      <c r="B269">
        <v>7.6559597542130708E-5</v>
      </c>
      <c r="C269">
        <v>1.0989157367724545E-4</v>
      </c>
      <c r="D269">
        <v>5.8159790031764302E-5</v>
      </c>
      <c r="E269">
        <v>1.337802443437397E-4</v>
      </c>
      <c r="F269">
        <v>3.1910700376935885E-4</v>
      </c>
      <c r="G269">
        <v>1.3366513965840099E-4</v>
      </c>
      <c r="H269">
        <v>1.9311410284683639E-4</v>
      </c>
      <c r="I269">
        <v>1.7849259315960708E-4</v>
      </c>
      <c r="J269">
        <v>1.5198281416739512E-4</v>
      </c>
      <c r="K269">
        <v>1.8783974555192096E-4</v>
      </c>
      <c r="L269">
        <v>4.5049059479529419E-4</v>
      </c>
      <c r="M269">
        <v>4.6873546987136194E-4</v>
      </c>
      <c r="N269">
        <v>4.7419268702930673E-4</v>
      </c>
      <c r="O269">
        <v>5.4612392438491142E-4</v>
      </c>
      <c r="P269">
        <v>5.3573019985209136E-4</v>
      </c>
      <c r="Q269">
        <v>5.4958248556946643E-4</v>
      </c>
      <c r="R269">
        <v>-2.0727897732597533E-4</v>
      </c>
      <c r="S269">
        <v>4.5541689009054309E-5</v>
      </c>
      <c r="T269">
        <v>8.4545115951906169E-5</v>
      </c>
      <c r="U269">
        <v>-1.5609135874905533E-3</v>
      </c>
      <c r="V269">
        <v>-7.5006439946856407E-4</v>
      </c>
      <c r="W269">
        <v>-5.3308108390104358E-5</v>
      </c>
      <c r="X269">
        <v>-2.9816717453168273E-5</v>
      </c>
      <c r="Y269">
        <v>-7.5006439946856407E-4</v>
      </c>
      <c r="Z269">
        <v>-1.3228828822209326E-3</v>
      </c>
      <c r="AA269">
        <v>3.7907361081224167E-6</v>
      </c>
      <c r="AC269">
        <v>0</v>
      </c>
      <c r="AD269">
        <v>-2.3634663033172965E-3</v>
      </c>
      <c r="AE269">
        <v>-9.1387549183918892E-5</v>
      </c>
      <c r="AF269">
        <v>-1.5213941450901158E-3</v>
      </c>
      <c r="AG269">
        <v>2.2735677677852006E-3</v>
      </c>
      <c r="AH269">
        <v>0</v>
      </c>
      <c r="AI269">
        <v>0</v>
      </c>
      <c r="AJ269">
        <v>0</v>
      </c>
      <c r="AK269">
        <v>2.8924598269468582E-2</v>
      </c>
      <c r="AL269">
        <v>-1.0448093830520588E-2</v>
      </c>
    </row>
    <row r="270" spans="1:38">
      <c r="A270" s="568">
        <v>44222</v>
      </c>
      <c r="B270">
        <v>7.6559597542130708E-5</v>
      </c>
      <c r="C270">
        <v>4.5866685915396666E-4</v>
      </c>
      <c r="D270">
        <v>1.2771603252414998E-4</v>
      </c>
      <c r="E270">
        <v>1.337802443437397E-4</v>
      </c>
      <c r="F270">
        <v>3.9403882607880192E-4</v>
      </c>
      <c r="G270">
        <v>2.2615745638354667E-4</v>
      </c>
      <c r="H270">
        <v>1.9307681699087809E-4</v>
      </c>
      <c r="I270">
        <v>1.7750396171511973E-4</v>
      </c>
      <c r="J270">
        <v>8.4410997609207783E-4</v>
      </c>
      <c r="K270">
        <v>1.0233948844458052E-3</v>
      </c>
      <c r="L270">
        <v>4.5049059479529419E-4</v>
      </c>
      <c r="M270">
        <v>4.6873546987136194E-4</v>
      </c>
      <c r="N270">
        <v>4.7419268702930673E-4</v>
      </c>
      <c r="O270">
        <v>5.4612392438491142E-4</v>
      </c>
      <c r="P270">
        <v>5.3573019985209136E-4</v>
      </c>
      <c r="Q270">
        <v>5.4958248556946643E-4</v>
      </c>
      <c r="R270">
        <v>1.3760306469534633E-4</v>
      </c>
      <c r="S270">
        <v>1.3622452932218199E-3</v>
      </c>
      <c r="T270">
        <v>-3.8600349716350069E-3</v>
      </c>
      <c r="U270">
        <v>5.6404027798606649E-4</v>
      </c>
      <c r="V270">
        <v>-1.2712646176475939E-3</v>
      </c>
      <c r="W270">
        <v>-1.9991606361017267E-3</v>
      </c>
      <c r="X270">
        <v>-3.8573200572548094E-3</v>
      </c>
      <c r="Y270">
        <v>-1.2712646176475939E-3</v>
      </c>
      <c r="Z270">
        <v>-3.3908139004449334E-3</v>
      </c>
      <c r="AA270">
        <v>-3.9554006338516912E-3</v>
      </c>
      <c r="AC270">
        <v>-7.807345155911416E-3</v>
      </c>
      <c r="AD270">
        <v>-1.1655507519601982E-2</v>
      </c>
      <c r="AE270">
        <v>-1.103244738903153E-2</v>
      </c>
      <c r="AF270">
        <v>-9.963783195104492E-3</v>
      </c>
      <c r="AG270">
        <v>-1.8495022255209381E-3</v>
      </c>
      <c r="AH270">
        <v>-5.4651416091379907E-3</v>
      </c>
      <c r="AI270">
        <v>-5.4651416091379907E-3</v>
      </c>
      <c r="AJ270">
        <v>-1.4191273688849759E-2</v>
      </c>
      <c r="AK270">
        <v>-2.1223770623097882E-2</v>
      </c>
      <c r="AL270">
        <v>-3.0816636794122609E-2</v>
      </c>
    </row>
    <row r="271" spans="1:38">
      <c r="A271" s="568">
        <v>44223</v>
      </c>
      <c r="B271">
        <v>7.6559597542130708E-5</v>
      </c>
      <c r="C271">
        <v>1.8001541157830481E-4</v>
      </c>
      <c r="D271">
        <v>9.9765408767327202E-5</v>
      </c>
      <c r="E271">
        <v>1.337802443437397E-4</v>
      </c>
      <c r="F271">
        <v>1.4641512010094004E-4</v>
      </c>
      <c r="G271">
        <v>5.0907712610159805E-4</v>
      </c>
      <c r="H271">
        <v>1.9372897247804666E-4</v>
      </c>
      <c r="I271">
        <v>1.7598265959928305E-4</v>
      </c>
      <c r="J271">
        <v>1.793295360966729E-3</v>
      </c>
      <c r="K271">
        <v>1.0052879999229436E-3</v>
      </c>
      <c r="L271">
        <v>4.5049059479529419E-4</v>
      </c>
      <c r="M271">
        <v>4.6873546987136194E-4</v>
      </c>
      <c r="N271">
        <v>4.7419268702930673E-4</v>
      </c>
      <c r="O271">
        <v>5.4612392438491142E-4</v>
      </c>
      <c r="P271">
        <v>5.3573019985209136E-4</v>
      </c>
      <c r="Q271">
        <v>5.4958248556946643E-4</v>
      </c>
      <c r="R271">
        <v>-1.1141257323297182E-3</v>
      </c>
      <c r="S271">
        <v>-8.9197989439453451E-3</v>
      </c>
      <c r="T271">
        <v>-3.8053553523837991E-3</v>
      </c>
      <c r="U271">
        <v>-2.9324346242675103E-3</v>
      </c>
      <c r="V271">
        <v>-6.6149415688596669E-3</v>
      </c>
      <c r="W271">
        <v>-8.6019611130211393E-3</v>
      </c>
      <c r="X271">
        <v>-3.5200669859298817E-3</v>
      </c>
      <c r="Y271">
        <v>-6.6149415688596669E-3</v>
      </c>
      <c r="Z271">
        <v>-5.5433214367074379E-3</v>
      </c>
      <c r="AA271">
        <v>2.9616417079081359E-4</v>
      </c>
      <c r="AC271">
        <v>-4.9951890737794935E-3</v>
      </c>
      <c r="AD271">
        <v>-2.1827970337934488E-2</v>
      </c>
      <c r="AE271">
        <v>-6.6906368617587475E-3</v>
      </c>
      <c r="AF271">
        <v>-9.1029656181808027E-3</v>
      </c>
      <c r="AG271">
        <v>-1.0250570068569775E-2</v>
      </c>
      <c r="AH271">
        <v>-3.4966323516456453E-3</v>
      </c>
      <c r="AI271">
        <v>-3.4966323516456453E-3</v>
      </c>
      <c r="AJ271">
        <v>-2.5393419170243181E-2</v>
      </c>
      <c r="AK271">
        <v>-1.7838147451108677E-2</v>
      </c>
      <c r="AL271">
        <v>1.31533733136453E-2</v>
      </c>
    </row>
    <row r="272" spans="1:38">
      <c r="A272" s="568">
        <v>44224</v>
      </c>
      <c r="B272">
        <v>7.6559597542130708E-5</v>
      </c>
      <c r="C272">
        <v>2.0729417905096525E-4</v>
      </c>
      <c r="D272">
        <v>7.4674084672432528E-5</v>
      </c>
      <c r="E272">
        <v>1.337802443437397E-4</v>
      </c>
      <c r="F272">
        <v>1.198991230748625E-4</v>
      </c>
      <c r="G272">
        <v>2.7983547989940405E-6</v>
      </c>
      <c r="H272">
        <v>1.9300215542061849E-4</v>
      </c>
      <c r="I272">
        <v>1.5775678956186923E-4</v>
      </c>
      <c r="J272">
        <v>1.9513997149447349E-3</v>
      </c>
      <c r="K272">
        <v>1.7095049249233885E-3</v>
      </c>
      <c r="L272">
        <v>4.5049059479529419E-4</v>
      </c>
      <c r="M272">
        <v>4.6873546987136194E-4</v>
      </c>
      <c r="N272">
        <v>4.7419268702930673E-4</v>
      </c>
      <c r="O272">
        <v>5.4612392438491142E-4</v>
      </c>
      <c r="P272">
        <v>5.3573019985209136E-4</v>
      </c>
      <c r="Q272">
        <v>5.4958248556946643E-4</v>
      </c>
      <c r="R272">
        <v>5.7237620604566608E-4</v>
      </c>
      <c r="S272">
        <v>4.8795217845836181E-3</v>
      </c>
      <c r="T272">
        <v>-5.1274748421070715E-4</v>
      </c>
      <c r="U272">
        <v>2.5037683139073064E-3</v>
      </c>
      <c r="V272">
        <v>6.3634881493406237E-3</v>
      </c>
      <c r="W272">
        <v>4.562708001591087E-3</v>
      </c>
      <c r="X272">
        <v>1.5854354700808315E-3</v>
      </c>
      <c r="Y272">
        <v>6.3634881493406237E-3</v>
      </c>
      <c r="Z272">
        <v>6.3969384205524449E-3</v>
      </c>
      <c r="AA272">
        <v>1.7248490629329094E-3</v>
      </c>
      <c r="AC272">
        <v>2.5896534673543803E-2</v>
      </c>
      <c r="AD272">
        <v>3.1683140982467828E-2</v>
      </c>
      <c r="AE272">
        <v>2.7361156360564243E-2</v>
      </c>
      <c r="AF272">
        <v>1.2686975599850436E-2</v>
      </c>
      <c r="AG272">
        <v>2.3116067116643269E-2</v>
      </c>
      <c r="AH272">
        <v>1.8127574271480661E-2</v>
      </c>
      <c r="AI272">
        <v>1.8127574271480661E-2</v>
      </c>
      <c r="AJ272">
        <v>2.5229357798165042E-2</v>
      </c>
      <c r="AK272">
        <v>-1.8911938681996143E-2</v>
      </c>
      <c r="AL272">
        <v>-1.2139780400979516E-2</v>
      </c>
    </row>
    <row r="273" spans="1:38">
      <c r="A273" s="568">
        <v>44225</v>
      </c>
      <c r="B273">
        <v>7.6559597542130708E-5</v>
      </c>
      <c r="C273">
        <v>2.4519395297817326E-4</v>
      </c>
      <c r="D273">
        <v>1.7726645998883406E-4</v>
      </c>
      <c r="E273">
        <v>1.337802443437397E-4</v>
      </c>
      <c r="F273">
        <v>2.0160394119983494E-4</v>
      </c>
      <c r="G273">
        <v>2.0234943421781892E-4</v>
      </c>
      <c r="H273">
        <v>1.9365407317906147E-4</v>
      </c>
      <c r="I273">
        <v>1.5264231753908675E-4</v>
      </c>
      <c r="J273">
        <v>2.10021594417098E-3</v>
      </c>
      <c r="K273">
        <v>1.7701631438513665E-3</v>
      </c>
      <c r="L273">
        <v>4.5049059479529419E-4</v>
      </c>
      <c r="M273">
        <v>4.6873546987136194E-4</v>
      </c>
      <c r="N273">
        <v>4.7419268702930673E-4</v>
      </c>
      <c r="O273">
        <v>5.4612392438491142E-4</v>
      </c>
      <c r="P273">
        <v>5.3573019985209136E-4</v>
      </c>
      <c r="Q273">
        <v>5.4958248556946643E-4</v>
      </c>
      <c r="R273">
        <v>1.3631279994321677E-3</v>
      </c>
      <c r="S273">
        <v>-1.3761964355295753E-2</v>
      </c>
      <c r="T273">
        <v>-3.4031452839633491E-4</v>
      </c>
      <c r="U273">
        <v>-2.0132496152404089E-3</v>
      </c>
      <c r="V273">
        <v>-6.4700670801164373E-3</v>
      </c>
      <c r="W273">
        <v>-6.4118438516026499E-3</v>
      </c>
      <c r="X273">
        <v>-3.676414349705337E-3</v>
      </c>
      <c r="Y273">
        <v>-6.4700670801164373E-3</v>
      </c>
      <c r="Z273">
        <v>-8.1227153875031988E-3</v>
      </c>
      <c r="AA273">
        <v>3.3027927207252006E-3</v>
      </c>
      <c r="AC273">
        <v>-3.2096195216735679E-2</v>
      </c>
      <c r="AD273">
        <v>-2.8672402864664104E-2</v>
      </c>
      <c r="AE273">
        <v>-3.0220310538608741E-2</v>
      </c>
      <c r="AF273">
        <v>-1.0802479848933344E-2</v>
      </c>
      <c r="AG273">
        <v>-2.0852520316321677E-2</v>
      </c>
      <c r="AH273">
        <v>-2.2467336651714975E-2</v>
      </c>
      <c r="AI273">
        <v>-2.2467336651714975E-2</v>
      </c>
      <c r="AJ273">
        <v>-1.5659955257270708E-2</v>
      </c>
      <c r="AK273">
        <v>-1.010529891304357E-2</v>
      </c>
      <c r="AL273">
        <v>9.4225362864410744E-3</v>
      </c>
    </row>
    <row r="274" spans="1:38">
      <c r="A274" s="568">
        <v>44228</v>
      </c>
      <c r="B274">
        <v>7.6559597542130708E-5</v>
      </c>
      <c r="C274">
        <v>1.9051830233118849E-4</v>
      </c>
      <c r="D274">
        <v>-6.8386511443696563E-6</v>
      </c>
      <c r="E274">
        <v>1.337802443437397E-4</v>
      </c>
      <c r="F274">
        <v>1.970741447701041E-4</v>
      </c>
      <c r="G274">
        <v>2.316369584147715E-4</v>
      </c>
      <c r="H274">
        <v>1.9361657854011227E-4</v>
      </c>
      <c r="I274">
        <v>2.0315240471213691E-4</v>
      </c>
      <c r="J274">
        <v>1.0488966659560894E-4</v>
      </c>
      <c r="K274">
        <v>1.5212491821081642E-4</v>
      </c>
      <c r="L274">
        <v>8.0160846054178059E-4</v>
      </c>
      <c r="M274">
        <v>8.1985973883469399E-4</v>
      </c>
      <c r="N274">
        <v>8.2531887125658621E-4</v>
      </c>
      <c r="O274">
        <v>5.4612392438491142E-4</v>
      </c>
      <c r="P274">
        <v>5.3573019985209136E-4</v>
      </c>
      <c r="Q274">
        <v>5.4958248556946643E-4</v>
      </c>
      <c r="R274">
        <v>7.0263163039818721E-5</v>
      </c>
      <c r="S274">
        <v>1.2766357521999172E-2</v>
      </c>
      <c r="T274">
        <v>8.6014418738040721E-3</v>
      </c>
      <c r="U274">
        <v>3.0615159434979056E-3</v>
      </c>
      <c r="V274">
        <v>7.358074263555725E-3</v>
      </c>
      <c r="W274">
        <v>6.4371409652896894E-3</v>
      </c>
      <c r="X274">
        <v>1.6874295614757173E-3</v>
      </c>
      <c r="Y274">
        <v>7.358074263555725E-3</v>
      </c>
      <c r="Z274">
        <v>4.3458825273052781E-3</v>
      </c>
      <c r="AA274">
        <v>6.4876060913350297E-3</v>
      </c>
      <c r="AC274">
        <v>2.1292014994670483E-2</v>
      </c>
      <c r="AD274">
        <v>3.4136862009066293E-2</v>
      </c>
      <c r="AE274">
        <v>2.4368812356655223E-2</v>
      </c>
      <c r="AF274">
        <v>1.8242316023217686E-2</v>
      </c>
      <c r="AG274">
        <v>2.0073615809239831E-2</v>
      </c>
      <c r="AH274">
        <v>1.4904410496269336E-2</v>
      </c>
      <c r="AI274">
        <v>1.5432169999999967E-2</v>
      </c>
      <c r="AJ274">
        <v>5.9090909090908639E-3</v>
      </c>
      <c r="AK274">
        <v>2.9853307025821341E-2</v>
      </c>
      <c r="AL274">
        <v>2.5103546087290596E-4</v>
      </c>
    </row>
    <row r="275" spans="1:38">
      <c r="A275" s="568">
        <v>44229</v>
      </c>
      <c r="B275">
        <v>7.6559597542130708E-5</v>
      </c>
      <c r="C275">
        <v>2.6475790403601707E-4</v>
      </c>
      <c r="D275">
        <v>4.046229597887141E-5</v>
      </c>
      <c r="E275">
        <v>1.337802443437397E-4</v>
      </c>
      <c r="F275">
        <v>2.3653214256369459E-4</v>
      </c>
      <c r="G275">
        <v>1.8181363976532694E-4</v>
      </c>
      <c r="H275">
        <v>1.9495688559478808E-4</v>
      </c>
      <c r="I275">
        <v>1.4774227160541109E-4</v>
      </c>
      <c r="J275">
        <v>2.0875891569851479E-3</v>
      </c>
      <c r="K275">
        <v>1.7454040415698646E-3</v>
      </c>
      <c r="L275">
        <v>8.0160846054178059E-4</v>
      </c>
      <c r="M275">
        <v>8.1985973883469399E-4</v>
      </c>
      <c r="N275">
        <v>8.2531887125658621E-4</v>
      </c>
      <c r="O275">
        <v>5.4612392438491142E-4</v>
      </c>
      <c r="P275">
        <v>5.3573019985209136E-4</v>
      </c>
      <c r="Q275">
        <v>5.4958248556946643E-4</v>
      </c>
      <c r="R275">
        <v>1.071590689013302E-3</v>
      </c>
      <c r="S275">
        <v>8.9338897282973395E-3</v>
      </c>
      <c r="T275">
        <v>4.3047609876576409E-3</v>
      </c>
      <c r="U275">
        <v>2.0964081534859957E-3</v>
      </c>
      <c r="V275">
        <v>4.7498368666252233E-3</v>
      </c>
      <c r="W275">
        <v>3.6655996256798051E-3</v>
      </c>
      <c r="X275">
        <v>3.6469799233063149E-3</v>
      </c>
      <c r="Y275">
        <v>4.7498368666252233E-3</v>
      </c>
      <c r="Z275">
        <v>5.7916512949951482E-5</v>
      </c>
      <c r="AA275">
        <v>3.0403909439959964E-3</v>
      </c>
      <c r="AC275">
        <v>6.0947482150965904E-3</v>
      </c>
      <c r="AD275">
        <v>8.2292900937581681E-3</v>
      </c>
      <c r="AE275">
        <v>6.433945168128119E-3</v>
      </c>
      <c r="AF275">
        <v>5.2665839762280342E-3</v>
      </c>
      <c r="AG275">
        <v>6.1989430420370528E-3</v>
      </c>
      <c r="AH275">
        <v>4.2663237505676131E-3</v>
      </c>
      <c r="AI275">
        <v>3.540679630033905E-3</v>
      </c>
      <c r="AJ275">
        <v>4.2024401265250422E-3</v>
      </c>
      <c r="AK275">
        <v>1.0662224073302751E-2</v>
      </c>
      <c r="AL275">
        <v>2.5228891591855263E-3</v>
      </c>
    </row>
    <row r="276" spans="1:38">
      <c r="A276" s="568">
        <v>44230</v>
      </c>
      <c r="B276">
        <v>7.6559597542130708E-5</v>
      </c>
      <c r="C276">
        <v>2.3469697667777289E-4</v>
      </c>
      <c r="D276">
        <v>5.2997764406148562E-5</v>
      </c>
      <c r="E276">
        <v>1.337802443437397E-4</v>
      </c>
      <c r="F276">
        <v>1.960912771241663E-4</v>
      </c>
      <c r="G276">
        <v>2.0251418467220894E-4</v>
      </c>
      <c r="H276">
        <v>1.9423012550556784E-4</v>
      </c>
      <c r="I276">
        <v>1.4841996208025954E-4</v>
      </c>
      <c r="J276">
        <v>8.6232447204515061E-4</v>
      </c>
      <c r="K276">
        <v>8.2955302571763312E-4</v>
      </c>
      <c r="L276">
        <v>8.0160846054178059E-4</v>
      </c>
      <c r="M276">
        <v>8.1985973883469399E-4</v>
      </c>
      <c r="N276">
        <v>8.2531887125658621E-4</v>
      </c>
      <c r="O276">
        <v>5.4612392438491142E-4</v>
      </c>
      <c r="P276">
        <v>5.3573019985209136E-4</v>
      </c>
      <c r="Q276">
        <v>5.4958248556946643E-4</v>
      </c>
      <c r="R276">
        <v>1.9266764434662242E-3</v>
      </c>
      <c r="S276">
        <v>4.7225401859427585E-3</v>
      </c>
      <c r="T276">
        <v>4.2545725984757254E-3</v>
      </c>
      <c r="U276">
        <v>1.7253154678051885E-3</v>
      </c>
      <c r="V276">
        <v>3.5467955495143144E-3</v>
      </c>
      <c r="W276">
        <v>1.2791838693209101E-3</v>
      </c>
      <c r="X276">
        <v>7.3560953149987007E-4</v>
      </c>
      <c r="Y276">
        <v>3.5467955495143144E-3</v>
      </c>
      <c r="Z276">
        <v>1.2558428823934431E-3</v>
      </c>
      <c r="AA276">
        <v>3.2418442682669024E-4</v>
      </c>
      <c r="AC276">
        <v>1.2609844848948004E-2</v>
      </c>
      <c r="AD276">
        <v>1.0557340417833183E-2</v>
      </c>
      <c r="AE276">
        <v>1.2843391586583319E-2</v>
      </c>
      <c r="AF276">
        <v>1.0627636488636183E-2</v>
      </c>
      <c r="AG276">
        <v>1.3338302421264991E-2</v>
      </c>
      <c r="AH276">
        <v>8.8268913942636026E-3</v>
      </c>
      <c r="AI276">
        <v>7.4082594180064909E-3</v>
      </c>
      <c r="AJ276">
        <v>3.4648787292446137E-3</v>
      </c>
      <c r="AK276">
        <v>1.3434435011950852E-2</v>
      </c>
      <c r="AL276">
        <v>1.2384885964791925E-2</v>
      </c>
    </row>
    <row r="277" spans="1:38">
      <c r="A277" s="568">
        <v>44231</v>
      </c>
      <c r="B277">
        <v>7.6559597542130708E-5</v>
      </c>
      <c r="C277">
        <v>1.3930072611234579E-4</v>
      </c>
      <c r="D277">
        <v>5.1285441089010675E-5</v>
      </c>
      <c r="E277">
        <v>1.337802443437397E-4</v>
      </c>
      <c r="F277">
        <v>2.566183533267985E-4</v>
      </c>
      <c r="G277">
        <v>5.1206431628081361E-4</v>
      </c>
      <c r="H277">
        <v>1.9625828416547364E-4</v>
      </c>
      <c r="I277">
        <v>1.4792280129216628E-4</v>
      </c>
      <c r="J277">
        <v>-9.7789994551777948E-4</v>
      </c>
      <c r="K277">
        <v>-6.1275425853235532E-4</v>
      </c>
      <c r="L277">
        <v>8.0160846054178059E-4</v>
      </c>
      <c r="M277">
        <v>8.1985973883469399E-4</v>
      </c>
      <c r="N277">
        <v>8.2531887125658621E-4</v>
      </c>
      <c r="O277">
        <v>5.4612392438491142E-4</v>
      </c>
      <c r="P277">
        <v>5.3573019985209136E-4</v>
      </c>
      <c r="Q277">
        <v>5.4958248556946643E-4</v>
      </c>
      <c r="R277">
        <v>1.0446297503243773E-3</v>
      </c>
      <c r="S277">
        <v>1.3177743564485311E-4</v>
      </c>
      <c r="T277">
        <v>3.6318399932289136E-3</v>
      </c>
      <c r="U277">
        <v>8.3180456196596531E-4</v>
      </c>
      <c r="V277">
        <v>8.8042962959233861E-4</v>
      </c>
      <c r="W277">
        <v>2.5670230935552762E-3</v>
      </c>
      <c r="X277">
        <v>4.451502768706872E-3</v>
      </c>
      <c r="Y277">
        <v>8.8042962959233861E-4</v>
      </c>
      <c r="Z277">
        <v>-2.9723160479976363E-3</v>
      </c>
      <c r="AA277">
        <v>5.5254685643157941E-3</v>
      </c>
      <c r="AC277">
        <v>-3.8747219454762227E-3</v>
      </c>
      <c r="AD277">
        <v>9.9088898051140628E-3</v>
      </c>
      <c r="AE277">
        <v>1.5846250577074006E-3</v>
      </c>
      <c r="AF277">
        <v>9.3972999118394629E-3</v>
      </c>
      <c r="AG277">
        <v>-3.5134581978005786E-3</v>
      </c>
      <c r="AH277">
        <v>-2.7123053618333557E-3</v>
      </c>
      <c r="AI277">
        <v>2.2087009942004299E-2</v>
      </c>
      <c r="AJ277">
        <v>2.0627802690582842E-2</v>
      </c>
      <c r="AK277">
        <v>-2.5211450878332986E-3</v>
      </c>
      <c r="AL277">
        <v>2.3557488351559908E-3</v>
      </c>
    </row>
    <row r="278" spans="1:38">
      <c r="A278" s="568">
        <v>44232</v>
      </c>
      <c r="B278">
        <v>7.6559597542130708E-5</v>
      </c>
      <c r="C278">
        <v>2.6582421234144782E-4</v>
      </c>
      <c r="D278">
        <v>5.9829946198686201E-5</v>
      </c>
      <c r="E278">
        <v>1.337802443437397E-4</v>
      </c>
      <c r="F278">
        <v>3.7765248167476173E-4</v>
      </c>
      <c r="G278">
        <v>1.5813735207159674E-4</v>
      </c>
      <c r="H278">
        <v>1.9346581266321827E-4</v>
      </c>
      <c r="I278">
        <v>1.2564792569014216E-4</v>
      </c>
      <c r="J278">
        <v>3.977729383517481E-4</v>
      </c>
      <c r="K278">
        <v>6.3958595703783594E-4</v>
      </c>
      <c r="L278">
        <v>8.0160846054178059E-4</v>
      </c>
      <c r="M278">
        <v>8.1985973883469399E-4</v>
      </c>
      <c r="N278">
        <v>8.2531887125658621E-4</v>
      </c>
      <c r="O278">
        <v>5.4612392438491142E-4</v>
      </c>
      <c r="P278">
        <v>5.3573019985209136E-4</v>
      </c>
      <c r="Q278">
        <v>5.4958248556946643E-4</v>
      </c>
      <c r="R278">
        <v>1.7323366464956358E-3</v>
      </c>
      <c r="S278">
        <v>4.0563115448160048E-3</v>
      </c>
      <c r="T278">
        <v>6.1705329001453535E-3</v>
      </c>
      <c r="U278">
        <v>1.5398150791334775E-3</v>
      </c>
      <c r="V278">
        <v>4.1000451105208668E-3</v>
      </c>
      <c r="W278">
        <v>2.5043821023329471E-3</v>
      </c>
      <c r="X278">
        <v>1.4952963528467311E-3</v>
      </c>
      <c r="Y278">
        <v>4.1000451105208668E-3</v>
      </c>
      <c r="Z278">
        <v>3.9912381897946325E-3</v>
      </c>
      <c r="AA278">
        <v>7.1755163397748678E-3</v>
      </c>
      <c r="AC278">
        <v>8.2125881743895235E-3</v>
      </c>
      <c r="AD278">
        <v>1.3309181894149091E-2</v>
      </c>
      <c r="AE278">
        <v>2.3379631170700854E-2</v>
      </c>
      <c r="AF278">
        <v>1.5172536755197141E-2</v>
      </c>
      <c r="AG278">
        <v>7.4276548717433499E-3</v>
      </c>
      <c r="AH278">
        <v>5.7488117220726659E-3</v>
      </c>
      <c r="AI278">
        <v>4.4268542412817968E-2</v>
      </c>
      <c r="AJ278">
        <v>-4.833040421792556E-3</v>
      </c>
      <c r="AK278">
        <v>2.2013860578882216E-3</v>
      </c>
      <c r="AL278">
        <v>-2.1567425949138741E-2</v>
      </c>
    </row>
    <row r="279" spans="1:38">
      <c r="A279" s="568">
        <v>44235</v>
      </c>
      <c r="B279">
        <v>7.6559597542130708E-5</v>
      </c>
      <c r="C279">
        <v>1.9891916381431507E-4</v>
      </c>
      <c r="D279">
        <v>5.4698392493834902E-5</v>
      </c>
      <c r="E279">
        <v>1.337802443437397E-4</v>
      </c>
      <c r="F279">
        <v>2.986004783884777E-4</v>
      </c>
      <c r="G279">
        <v>1.6476058263958926E-4</v>
      </c>
      <c r="H279">
        <v>1.9342839088221098E-4</v>
      </c>
      <c r="I279">
        <v>2.0555374580477626E-4</v>
      </c>
      <c r="J279">
        <v>-2.5323152863543363E-4</v>
      </c>
      <c r="K279">
        <v>2.423673193236997E-4</v>
      </c>
      <c r="L279">
        <v>8.0160846054178059E-4</v>
      </c>
      <c r="M279">
        <v>8.1985973883469399E-4</v>
      </c>
      <c r="N279">
        <v>8.2531887125658621E-4</v>
      </c>
      <c r="O279">
        <v>5.4612392438491142E-4</v>
      </c>
      <c r="P279">
        <v>5.3573019985209136E-4</v>
      </c>
      <c r="Q279">
        <v>5.4958248556946643E-4</v>
      </c>
      <c r="R279">
        <v>1.1364934045721142E-3</v>
      </c>
      <c r="S279">
        <v>7.4009108320627348E-4</v>
      </c>
      <c r="T279">
        <v>2.2278191976674577E-3</v>
      </c>
      <c r="U279">
        <v>2.9341682817007886E-3</v>
      </c>
      <c r="V279">
        <v>1.4276586398307423E-3</v>
      </c>
      <c r="W279">
        <v>1.6710665392936086E-3</v>
      </c>
      <c r="X279">
        <v>3.3683624438156645E-3</v>
      </c>
      <c r="Y279">
        <v>1.4276586398307423E-3</v>
      </c>
      <c r="Z279">
        <v>-4.889071118703292E-4</v>
      </c>
      <c r="AA279">
        <v>5.3355504378904683E-5</v>
      </c>
      <c r="AC279">
        <v>-4.5234433125809215E-3</v>
      </c>
      <c r="AD279">
        <v>-1.1024759183755339E-3</v>
      </c>
      <c r="AE279">
        <v>1.4160200682693524E-3</v>
      </c>
      <c r="AF279">
        <v>8.5027731777560511E-3</v>
      </c>
      <c r="AG279">
        <v>2.0346288573991345E-4</v>
      </c>
      <c r="AH279">
        <v>-3.1664103188066449E-3</v>
      </c>
      <c r="AI279">
        <v>8.5110286440575056E-3</v>
      </c>
      <c r="AJ279">
        <v>2.2075055187638082E-3</v>
      </c>
      <c r="AK279">
        <v>4.0676863000326247E-3</v>
      </c>
      <c r="AL279">
        <v>1.0740979951376017E-2</v>
      </c>
    </row>
    <row r="280" spans="1:38">
      <c r="A280" s="568">
        <v>44236</v>
      </c>
      <c r="B280">
        <v>7.6559597542130708E-5</v>
      </c>
      <c r="C280">
        <v>8.1450534248572737E-5</v>
      </c>
      <c r="D280">
        <v>5.5265144501159824E-5</v>
      </c>
      <c r="E280">
        <v>1.337802443437397E-4</v>
      </c>
      <c r="F280">
        <v>1.9093968771044523E-4</v>
      </c>
      <c r="G280">
        <v>9.151857836764421E-5</v>
      </c>
      <c r="H280">
        <v>1.98896776702151E-4</v>
      </c>
      <c r="I280">
        <v>1.4322896912499772E-4</v>
      </c>
      <c r="J280">
        <v>-1.4540715349340427E-3</v>
      </c>
      <c r="K280">
        <v>-1.6340190661854326E-3</v>
      </c>
      <c r="L280">
        <v>8.0160846054178059E-4</v>
      </c>
      <c r="M280">
        <v>8.1985973883469399E-4</v>
      </c>
      <c r="N280">
        <v>8.2531887125658621E-4</v>
      </c>
      <c r="O280">
        <v>5.4612392438491142E-4</v>
      </c>
      <c r="P280">
        <v>5.3573019985209136E-4</v>
      </c>
      <c r="Q280">
        <v>5.4958248556946643E-4</v>
      </c>
      <c r="R280">
        <v>4.8356867615639842E-4</v>
      </c>
      <c r="S280">
        <v>9.318586549467156E-5</v>
      </c>
      <c r="T280">
        <v>-2.0876172951710403E-3</v>
      </c>
      <c r="U280">
        <v>8.6649208431799352E-4</v>
      </c>
      <c r="V280">
        <v>-7.5518159251108941E-4</v>
      </c>
      <c r="W280">
        <v>4.0212398164785057E-4</v>
      </c>
      <c r="X280">
        <v>-1.4180792436606637E-3</v>
      </c>
      <c r="Y280">
        <v>-7.5518159251108941E-4</v>
      </c>
      <c r="Z280">
        <v>1.8214296744645253E-5</v>
      </c>
      <c r="AA280">
        <v>-6.040598082032167E-4</v>
      </c>
      <c r="AC280">
        <v>-1.8775842473405246E-3</v>
      </c>
      <c r="AD280">
        <v>-3.4309534458136781E-3</v>
      </c>
      <c r="AE280">
        <v>-3.8376115740055283E-3</v>
      </c>
      <c r="AF280">
        <v>-2.6259756391374678E-3</v>
      </c>
      <c r="AG280">
        <v>-2.1803175806871522E-3</v>
      </c>
      <c r="AH280">
        <v>-1.3143089731383671E-3</v>
      </c>
      <c r="AI280">
        <v>-3.2529126828392263E-3</v>
      </c>
      <c r="AJ280">
        <v>4.405286343612369E-3</v>
      </c>
      <c r="AK280">
        <v>1.5232539296710312E-2</v>
      </c>
      <c r="AL280">
        <v>7.5923130186583698E-4</v>
      </c>
    </row>
    <row r="281" spans="1:38">
      <c r="A281" s="568">
        <v>44237</v>
      </c>
      <c r="B281">
        <v>7.6559597542130708E-5</v>
      </c>
      <c r="C281">
        <v>4.2692064208482705E-4</v>
      </c>
      <c r="D281">
        <v>4.3298132710978265E-5</v>
      </c>
      <c r="E281">
        <v>1.337802443437397E-4</v>
      </c>
      <c r="F281">
        <v>3.5805560123969293E-4</v>
      </c>
      <c r="G281">
        <v>2.3108734542964804E-4</v>
      </c>
      <c r="H281">
        <v>1.9472870094627837E-4</v>
      </c>
      <c r="I281">
        <v>1.4266704461118884E-4</v>
      </c>
      <c r="J281">
        <v>1.6561003080470815E-3</v>
      </c>
      <c r="K281">
        <v>1.6058730146175648E-3</v>
      </c>
      <c r="L281">
        <v>8.0160846054178059E-4</v>
      </c>
      <c r="M281">
        <v>8.1985973883469399E-4</v>
      </c>
      <c r="N281">
        <v>8.2531887125658621E-4</v>
      </c>
      <c r="O281">
        <v>5.4612392438491142E-4</v>
      </c>
      <c r="P281">
        <v>5.3573019985209136E-4</v>
      </c>
      <c r="Q281">
        <v>5.4958248556946643E-4</v>
      </c>
      <c r="R281">
        <v>6.8346109062678018E-4</v>
      </c>
      <c r="S281">
        <v>-7.9493926759988121E-4</v>
      </c>
      <c r="T281">
        <v>-2.4156532789039176E-3</v>
      </c>
      <c r="U281">
        <v>-1.9155793283336386E-3</v>
      </c>
      <c r="V281">
        <v>-2.3745089480575743E-3</v>
      </c>
      <c r="W281">
        <v>3.7659305061810144E-4</v>
      </c>
      <c r="X281">
        <v>-2.6813074248619451E-3</v>
      </c>
      <c r="Y281">
        <v>-2.3745089480575743E-3</v>
      </c>
      <c r="Z281">
        <v>-1.1353371510507415E-3</v>
      </c>
      <c r="AA281">
        <v>-1.1865730429335697E-3</v>
      </c>
      <c r="AC281">
        <v>-8.6739428158754128E-3</v>
      </c>
      <c r="AD281">
        <v>-2.2490601541563571E-2</v>
      </c>
      <c r="AE281">
        <v>-1.0920567875053244E-2</v>
      </c>
      <c r="AF281">
        <v>-8.4840746193669547E-3</v>
      </c>
      <c r="AG281">
        <v>-5.1720759697518881E-3</v>
      </c>
      <c r="AH281">
        <v>-6.0717599711127886E-3</v>
      </c>
      <c r="AI281">
        <v>-2.0522366141122905E-2</v>
      </c>
      <c r="AJ281">
        <v>1.3157894736841591E-3</v>
      </c>
      <c r="AK281">
        <v>1.7717478052673652E-2</v>
      </c>
      <c r="AL281">
        <v>4.3357129803469618E-3</v>
      </c>
    </row>
    <row r="282" spans="1:38">
      <c r="A282" s="568">
        <v>44238</v>
      </c>
      <c r="B282">
        <v>7.6559597542130708E-5</v>
      </c>
      <c r="C282">
        <v>3.0550563709375034E-4</v>
      </c>
      <c r="D282">
        <v>5.6968760610454083E-5</v>
      </c>
      <c r="E282">
        <v>1.337802443437397E-4</v>
      </c>
      <c r="F282">
        <v>4.331862799558106E-4</v>
      </c>
      <c r="G282">
        <v>4.2133120436682603E-4</v>
      </c>
      <c r="H282">
        <v>1.9469078906175774E-4</v>
      </c>
      <c r="I282">
        <v>1.3882573661927466E-4</v>
      </c>
      <c r="J282">
        <v>2.2372079357779739E-4</v>
      </c>
      <c r="K282">
        <v>3.8539284164107457E-4</v>
      </c>
      <c r="L282">
        <v>8.0160846054178059E-4</v>
      </c>
      <c r="M282">
        <v>8.1985973883469399E-4</v>
      </c>
      <c r="N282">
        <v>8.2531887125658621E-4</v>
      </c>
      <c r="O282">
        <v>5.4612392438491142E-4</v>
      </c>
      <c r="P282">
        <v>5.3573019985209136E-4</v>
      </c>
      <c r="Q282">
        <v>5.4958248556946643E-4</v>
      </c>
      <c r="R282">
        <v>4.0422111076576783E-4</v>
      </c>
      <c r="S282">
        <v>3.4269666476733907E-3</v>
      </c>
      <c r="T282">
        <v>9.5084491965935491E-4</v>
      </c>
      <c r="U282">
        <v>3.1311743669788505E-3</v>
      </c>
      <c r="V282">
        <v>2.5826743305172872E-3</v>
      </c>
      <c r="W282">
        <v>4.3641298283538799E-3</v>
      </c>
      <c r="X282">
        <v>1.9703942318238798E-3</v>
      </c>
      <c r="Y282">
        <v>2.5826743305172872E-3</v>
      </c>
      <c r="Z282">
        <v>1.8221453958389144E-3</v>
      </c>
      <c r="AA282">
        <v>7.331552336564684E-6</v>
      </c>
      <c r="AC282">
        <v>7.2993421810874093E-3</v>
      </c>
      <c r="AD282">
        <v>5.5461239052361222E-3</v>
      </c>
      <c r="AE282">
        <v>7.3400519991129176E-3</v>
      </c>
      <c r="AF282">
        <v>1.0200950966627431E-2</v>
      </c>
      <c r="AG282">
        <v>5.05624127884996E-3</v>
      </c>
      <c r="AH282">
        <v>5.1095395267611865E-3</v>
      </c>
      <c r="AI282">
        <v>-3.4329059053365141E-3</v>
      </c>
      <c r="AJ282">
        <v>7.8843626806812672E-4</v>
      </c>
      <c r="AK282">
        <v>5.4893350062734658E-3</v>
      </c>
      <c r="AL282">
        <v>4.5882971906592296E-3</v>
      </c>
    </row>
    <row r="283" spans="1:38">
      <c r="A283" s="568">
        <v>44239</v>
      </c>
      <c r="B283">
        <v>7.6559597542130708E-5</v>
      </c>
      <c r="C283">
        <v>3.1914475606686921E-4</v>
      </c>
      <c r="D283">
        <v>6.4940687505510297E-5</v>
      </c>
      <c r="E283">
        <v>1.337802443437397E-4</v>
      </c>
      <c r="F283">
        <v>3.7120572006066332E-4</v>
      </c>
      <c r="G283">
        <v>2.4325841128303161E-4</v>
      </c>
      <c r="H283">
        <v>1.9465289193676405E-4</v>
      </c>
      <c r="I283">
        <v>1.5067468023222119E-4</v>
      </c>
      <c r="J283">
        <v>1.784521176362297E-4</v>
      </c>
      <c r="K283">
        <v>-1.1238572475047448E-4</v>
      </c>
      <c r="L283">
        <v>8.0160846054178059E-4</v>
      </c>
      <c r="M283">
        <v>8.1985973883469399E-4</v>
      </c>
      <c r="N283">
        <v>8.2531887125658621E-4</v>
      </c>
      <c r="O283">
        <v>5.4612392438491142E-4</v>
      </c>
      <c r="P283">
        <v>5.3573019985209136E-4</v>
      </c>
      <c r="Q283">
        <v>5.4958248556946643E-4</v>
      </c>
      <c r="R283">
        <v>-9.4259956359343811E-4</v>
      </c>
      <c r="S283">
        <v>2.5400374862025732E-3</v>
      </c>
      <c r="T283">
        <v>6.3146697941340868E-3</v>
      </c>
      <c r="U283">
        <v>1.6449250428574036E-3</v>
      </c>
      <c r="V283">
        <v>1.2618265063366607E-3</v>
      </c>
      <c r="W283">
        <v>2.0665353690081378E-3</v>
      </c>
      <c r="X283">
        <v>4.0216608812428944E-3</v>
      </c>
      <c r="Y283">
        <v>1.2618265063366607E-3</v>
      </c>
      <c r="Z283">
        <v>-1.9000785038681967E-3</v>
      </c>
      <c r="AA283">
        <v>9.1148108049443621E-5</v>
      </c>
      <c r="AC283">
        <v>1.0803871220939065E-3</v>
      </c>
      <c r="AD283">
        <v>-1.0782027278353201E-3</v>
      </c>
      <c r="AE283">
        <v>2.7765945224880184E-3</v>
      </c>
      <c r="AF283">
        <v>3.6994720510485912E-4</v>
      </c>
      <c r="AG283">
        <v>-1.4507776667601613E-3</v>
      </c>
      <c r="AH283">
        <v>7.5627098546573448E-4</v>
      </c>
      <c r="AI283">
        <v>6.1453990061024477E-3</v>
      </c>
      <c r="AJ283">
        <v>4.0266106442576888E-3</v>
      </c>
      <c r="AK283">
        <v>-7.7990953049389411E-5</v>
      </c>
      <c r="AL283">
        <v>4.3016180794221981E-3</v>
      </c>
    </row>
    <row r="284" spans="1:38">
      <c r="A284" s="568">
        <v>44244</v>
      </c>
      <c r="B284">
        <v>7.6559597542130708E-5</v>
      </c>
      <c r="C284">
        <v>2.5059040862762672E-4</v>
      </c>
      <c r="D284">
        <v>1.0196165102671628E-4</v>
      </c>
      <c r="E284">
        <v>1.337802443437397E-4</v>
      </c>
      <c r="F284">
        <v>3.0750747954888524E-4</v>
      </c>
      <c r="G284">
        <v>3.1306971253108884E-4</v>
      </c>
      <c r="H284">
        <v>1.9392732401612989E-4</v>
      </c>
      <c r="I284">
        <v>2.6276415190618074E-4</v>
      </c>
      <c r="J284">
        <v>-1.2131502472767508E-3</v>
      </c>
      <c r="K284">
        <v>-8.5164110881963406E-4</v>
      </c>
      <c r="L284">
        <v>8.0160846054178059E-4</v>
      </c>
      <c r="M284">
        <v>8.1985973883469399E-4</v>
      </c>
      <c r="N284">
        <v>8.2531887125658621E-4</v>
      </c>
      <c r="O284">
        <v>5.4612392438491142E-4</v>
      </c>
      <c r="P284">
        <v>5.3573019985209136E-4</v>
      </c>
      <c r="Q284">
        <v>5.4958248556946643E-4</v>
      </c>
      <c r="R284">
        <v>-2.8814005352904015E-3</v>
      </c>
      <c r="S284">
        <v>5.2371366469272651E-3</v>
      </c>
      <c r="T284">
        <v>1.3453810628510476E-2</v>
      </c>
      <c r="U284">
        <v>-7.7918959928202636E-4</v>
      </c>
      <c r="V284">
        <v>2.4158680188886006E-3</v>
      </c>
      <c r="W284">
        <v>1.7302268388985631E-4</v>
      </c>
      <c r="X284">
        <v>7.3223614189801278E-3</v>
      </c>
      <c r="Y284">
        <v>2.4158680188886006E-3</v>
      </c>
      <c r="Z284">
        <v>-1.3666542185107877E-3</v>
      </c>
      <c r="AA284">
        <v>4.7236963038004287E-3</v>
      </c>
      <c r="AC284">
        <v>7.7625381901438306E-3</v>
      </c>
      <c r="AD284">
        <v>8.2459465232713747E-3</v>
      </c>
      <c r="AE284">
        <v>4.7580284194734812E-3</v>
      </c>
      <c r="AF284">
        <v>1.1424936530856744E-2</v>
      </c>
      <c r="AG284">
        <v>4.095591833289447E-3</v>
      </c>
      <c r="AH284">
        <v>5.4337767331006813E-3</v>
      </c>
      <c r="AI284">
        <v>1.4640250970554547E-3</v>
      </c>
      <c r="AJ284">
        <v>2.6155187445509043E-3</v>
      </c>
      <c r="AK284">
        <v>1.224553466968259E-2</v>
      </c>
      <c r="AL284">
        <v>2.5685368954122323E-2</v>
      </c>
    </row>
    <row r="285" spans="1:38">
      <c r="A285" s="568">
        <v>44245</v>
      </c>
      <c r="B285">
        <v>7.6559597542130708E-5</v>
      </c>
      <c r="C285">
        <v>4.9168213960859575E-4</v>
      </c>
      <c r="D285">
        <v>6.4360290042753121E-5</v>
      </c>
      <c r="E285">
        <v>1.337802443437397E-4</v>
      </c>
      <c r="F285">
        <v>3.2799663859384154E-4</v>
      </c>
      <c r="G285">
        <v>2.7035061877578315E-4</v>
      </c>
      <c r="H285">
        <v>1.9457727571192684E-4</v>
      </c>
      <c r="I285">
        <v>1.5016810839774131E-4</v>
      </c>
      <c r="J285">
        <v>2.6704838161533129E-3</v>
      </c>
      <c r="K285">
        <v>7.8796790879898104E-4</v>
      </c>
      <c r="L285">
        <v>8.0160846054178059E-4</v>
      </c>
      <c r="M285">
        <v>8.1985973883469399E-4</v>
      </c>
      <c r="N285">
        <v>8.2531887125658621E-4</v>
      </c>
      <c r="O285">
        <v>5.4612392438491142E-4</v>
      </c>
      <c r="P285">
        <v>5.3573019985209136E-4</v>
      </c>
      <c r="Q285">
        <v>5.4958248556946643E-4</v>
      </c>
      <c r="R285">
        <v>-1.1797286137704699E-4</v>
      </c>
      <c r="S285">
        <v>-3.0662243691171875E-3</v>
      </c>
      <c r="T285">
        <v>1.6429276775249413E-3</v>
      </c>
      <c r="U285">
        <v>-1.5778286831117372E-3</v>
      </c>
      <c r="V285">
        <v>-1.7789615436218931E-3</v>
      </c>
      <c r="W285">
        <v>-2.0389631183931334E-3</v>
      </c>
      <c r="X285">
        <v>-1.3922628301908935E-3</v>
      </c>
      <c r="Y285">
        <v>-1.7789615436218931E-3</v>
      </c>
      <c r="Z285">
        <v>-1.0554391373135408E-3</v>
      </c>
      <c r="AA285">
        <v>3.101955406164647E-3</v>
      </c>
      <c r="AC285">
        <v>-9.6116688694410923E-3</v>
      </c>
      <c r="AD285">
        <v>-7.9782525624344514E-3</v>
      </c>
      <c r="AE285">
        <v>-7.727901562684103E-3</v>
      </c>
      <c r="AF285">
        <v>-2.8324991504889985E-3</v>
      </c>
      <c r="AG285">
        <v>-4.910357352881034E-3</v>
      </c>
      <c r="AH285">
        <v>-6.7281682086087645E-3</v>
      </c>
      <c r="AI285">
        <v>-4.7954342904732439E-3</v>
      </c>
      <c r="AJ285">
        <v>-8.6956521739123271E-4</v>
      </c>
      <c r="AK285">
        <v>-2.1960240406842302E-2</v>
      </c>
      <c r="AL285">
        <v>4.6213882077472679E-3</v>
      </c>
    </row>
    <row r="286" spans="1:38">
      <c r="A286" s="568">
        <v>44246</v>
      </c>
      <c r="B286">
        <v>7.6559597542130708E-5</v>
      </c>
      <c r="C286">
        <v>2.1053698210149463E-4</v>
      </c>
      <c r="D286">
        <v>4.727044503693989E-5</v>
      </c>
      <c r="E286">
        <v>1.337802443437397E-4</v>
      </c>
      <c r="F286">
        <v>2.5900107000098593E-4</v>
      </c>
      <c r="G286">
        <v>4.1253395301610318E-4</v>
      </c>
      <c r="H286">
        <v>1.7666654293124751E-4</v>
      </c>
      <c r="I286">
        <v>1.5059301928066482E-4</v>
      </c>
      <c r="J286">
        <v>-4.6058570521834152E-4</v>
      </c>
      <c r="K286">
        <v>2.5480551610668201E-5</v>
      </c>
      <c r="L286">
        <v>8.0160846054178059E-4</v>
      </c>
      <c r="M286">
        <v>8.1985973883469399E-4</v>
      </c>
      <c r="N286">
        <v>8.2531887125658621E-4</v>
      </c>
      <c r="O286">
        <v>5.4612392438491142E-4</v>
      </c>
      <c r="P286">
        <v>5.3573019985209136E-4</v>
      </c>
      <c r="Q286">
        <v>5.4958248556946643E-4</v>
      </c>
      <c r="R286">
        <v>-3.4483765262260935E-4</v>
      </c>
      <c r="S286">
        <v>1.1612552780808638E-3</v>
      </c>
      <c r="T286">
        <v>7.0597602619693056E-3</v>
      </c>
      <c r="U286">
        <v>9.3028578004195062E-4</v>
      </c>
      <c r="V286">
        <v>1.1648571556579501E-3</v>
      </c>
      <c r="W286">
        <v>-2.0711785297550245E-3</v>
      </c>
      <c r="X286">
        <v>4.8078997278797608E-3</v>
      </c>
      <c r="Y286">
        <v>1.1648571556579501E-3</v>
      </c>
      <c r="Z286">
        <v>1.1312654754203066E-3</v>
      </c>
      <c r="AA286">
        <v>3.6228170749725841E-3</v>
      </c>
      <c r="AC286">
        <v>-6.4467000008473496E-3</v>
      </c>
      <c r="AD286">
        <v>1.4700644992676315E-2</v>
      </c>
      <c r="AE286">
        <v>-6.1308523102394652E-3</v>
      </c>
      <c r="AF286">
        <v>1.0614912412037603E-2</v>
      </c>
      <c r="AG286">
        <v>-1.1861585158035037E-2</v>
      </c>
      <c r="AH286">
        <v>-4.5126900005931442E-3</v>
      </c>
      <c r="AI286">
        <v>1.9631287204793235E-2</v>
      </c>
      <c r="AJ286">
        <v>-7.8328981723237989E-3</v>
      </c>
      <c r="AK286">
        <v>5.8299850311194223E-3</v>
      </c>
      <c r="AL286">
        <v>-5.1093079993915769E-3</v>
      </c>
    </row>
    <row r="287" spans="1:38">
      <c r="A287" s="568">
        <v>44249</v>
      </c>
      <c r="B287">
        <v>7.6559597542130708E-5</v>
      </c>
      <c r="C287">
        <v>3.2472159032304049E-4</v>
      </c>
      <c r="D287">
        <v>4.7268210647599673E-5</v>
      </c>
      <c r="E287">
        <v>1.337802443437397E-4</v>
      </c>
      <c r="F287">
        <v>3.3495953429429903E-4</v>
      </c>
      <c r="G287">
        <v>1.8921241198799343E-4</v>
      </c>
      <c r="H287">
        <v>1.9587965428957688E-4</v>
      </c>
      <c r="I287">
        <v>2.0331291466524348E-4</v>
      </c>
      <c r="J287">
        <v>-3.2332028306722993E-3</v>
      </c>
      <c r="K287">
        <v>-2.3000002318455115E-3</v>
      </c>
      <c r="L287">
        <v>8.0160846054178059E-4</v>
      </c>
      <c r="M287">
        <v>8.1985973883469399E-4</v>
      </c>
      <c r="N287">
        <v>8.2531887125658621E-4</v>
      </c>
      <c r="O287">
        <v>5.4612392438491142E-4</v>
      </c>
      <c r="P287">
        <v>5.3573019985209136E-4</v>
      </c>
      <c r="Q287">
        <v>5.4958248556946643E-4</v>
      </c>
      <c r="R287">
        <v>-2.9628548049048797E-3</v>
      </c>
      <c r="S287">
        <v>-1.358076332000302E-2</v>
      </c>
      <c r="T287">
        <v>-1.1476941747323721E-3</v>
      </c>
      <c r="U287">
        <v>-2.7710669063742976E-3</v>
      </c>
      <c r="V287">
        <v>-8.5969858341163885E-3</v>
      </c>
      <c r="W287">
        <v>-6.8414294933630826E-3</v>
      </c>
      <c r="X287">
        <v>7.9496679156343397E-4</v>
      </c>
      <c r="Y287">
        <v>-8.5969858341163885E-3</v>
      </c>
      <c r="Z287">
        <v>-8.148874617471602E-3</v>
      </c>
      <c r="AA287">
        <v>3.2255180736324718E-3</v>
      </c>
      <c r="AC287">
        <v>-4.8660003463633972E-2</v>
      </c>
      <c r="AD287">
        <v>-2.5175860436481012E-2</v>
      </c>
      <c r="AE287">
        <v>-3.9450096190544404E-2</v>
      </c>
      <c r="AF287">
        <v>-1.7986274457225115E-2</v>
      </c>
      <c r="AG287">
        <v>-2.5019242763207994E-2</v>
      </c>
      <c r="AH287">
        <v>-3.4062002424543776E-2</v>
      </c>
      <c r="AI287">
        <v>-1.1483050594210953E-2</v>
      </c>
      <c r="AJ287">
        <v>6.5789473684210176E-3</v>
      </c>
      <c r="AK287">
        <v>-3.4777159865277629E-2</v>
      </c>
      <c r="AL287">
        <v>6.0886358071163826E-3</v>
      </c>
    </row>
    <row r="288" spans="1:38">
      <c r="A288" s="568">
        <v>44250</v>
      </c>
      <c r="B288">
        <v>7.6559597542130708E-5</v>
      </c>
      <c r="C288">
        <v>3.5281379129692425E-4</v>
      </c>
      <c r="D288">
        <v>8.4281500210670046E-5</v>
      </c>
      <c r="E288">
        <v>1.337802443437397E-4</v>
      </c>
      <c r="F288">
        <v>2.9863557518639006E-4</v>
      </c>
      <c r="G288">
        <v>1.105452794902817E-5</v>
      </c>
      <c r="H288">
        <v>1.9240548080756703E-4</v>
      </c>
      <c r="I288">
        <v>1.7855847965697613E-4</v>
      </c>
      <c r="J288">
        <v>2.7484024966684117E-4</v>
      </c>
      <c r="K288">
        <v>5.7346910842315246E-4</v>
      </c>
      <c r="L288">
        <v>8.0160846054178059E-4</v>
      </c>
      <c r="M288">
        <v>8.1985973883469399E-4</v>
      </c>
      <c r="N288">
        <v>8.2531887125658621E-4</v>
      </c>
      <c r="O288">
        <v>5.4612392438491142E-4</v>
      </c>
      <c r="P288">
        <v>5.3573019985209136E-4</v>
      </c>
      <c r="Q288">
        <v>5.4958248556946643E-4</v>
      </c>
      <c r="R288">
        <v>6.0836641109585088E-4</v>
      </c>
      <c r="S288">
        <v>8.2713503469773464E-3</v>
      </c>
      <c r="T288">
        <v>4.3341016531339704E-4</v>
      </c>
      <c r="U288">
        <v>2.5971752804276882E-4</v>
      </c>
      <c r="V288">
        <v>1.5046040885109413E-3</v>
      </c>
      <c r="W288">
        <v>2.0065681853944639E-3</v>
      </c>
      <c r="X288">
        <v>-3.5156429958435043E-3</v>
      </c>
      <c r="Y288">
        <v>1.5046040885109413E-3</v>
      </c>
      <c r="Z288">
        <v>1.3391102640840646E-3</v>
      </c>
      <c r="AA288">
        <v>-4.0467371855691381E-3</v>
      </c>
      <c r="AC288">
        <v>2.2719554938993136E-2</v>
      </c>
      <c r="AD288">
        <v>1.8867872443797395E-3</v>
      </c>
      <c r="AE288">
        <v>1.4577965580982122E-2</v>
      </c>
      <c r="AF288">
        <v>7.3911990382728998E-3</v>
      </c>
      <c r="AG288">
        <v>1.5772862277802835E-2</v>
      </c>
      <c r="AH288">
        <v>1.5903688457295194E-2</v>
      </c>
      <c r="AI288">
        <v>1.7590387518810591E-2</v>
      </c>
      <c r="AJ288">
        <v>-6.5359477124182774E-3</v>
      </c>
      <c r="AK288">
        <v>-3.4894100462550259E-3</v>
      </c>
      <c r="AL288">
        <v>-9.4435955011815675E-3</v>
      </c>
    </row>
    <row r="289" spans="1:38">
      <c r="A289" s="568">
        <v>44251</v>
      </c>
      <c r="B289">
        <v>7.6559597542130708E-5</v>
      </c>
      <c r="C289">
        <v>2.2943635714933741E-4</v>
      </c>
      <c r="D289">
        <v>4.3845463532088402E-5</v>
      </c>
      <c r="E289">
        <v>1.337802443437397E-4</v>
      </c>
      <c r="F289">
        <v>4.7284747138331973E-4</v>
      </c>
      <c r="G289">
        <v>2.192617348764081E-4</v>
      </c>
      <c r="H289">
        <v>1.9649064951843265E-4</v>
      </c>
      <c r="I289">
        <v>1.2757707410804286E-4</v>
      </c>
      <c r="J289">
        <v>-1.3873956240053609E-3</v>
      </c>
      <c r="K289">
        <v>-1.1575074097155413E-3</v>
      </c>
      <c r="L289">
        <v>8.0160846054178059E-4</v>
      </c>
      <c r="M289">
        <v>8.1985973883469399E-4</v>
      </c>
      <c r="N289">
        <v>8.2531887125658621E-4</v>
      </c>
      <c r="O289">
        <v>5.4612392438491142E-4</v>
      </c>
      <c r="P289">
        <v>5.3573019985209136E-4</v>
      </c>
      <c r="Q289">
        <v>5.4958248556946643E-4</v>
      </c>
      <c r="R289">
        <v>-7.1044729517777405E-4</v>
      </c>
      <c r="S289">
        <v>6.7619238305252072E-3</v>
      </c>
      <c r="T289">
        <v>2.1648492293826482E-3</v>
      </c>
      <c r="U289">
        <v>2.1877624677573149E-3</v>
      </c>
      <c r="V289">
        <v>1.7777733263890649E-3</v>
      </c>
      <c r="W289">
        <v>2.4742365878582806E-3</v>
      </c>
      <c r="X289">
        <v>4.6890606591443174E-3</v>
      </c>
      <c r="Y289">
        <v>1.7777733263890649E-3</v>
      </c>
      <c r="Z289">
        <v>1.7063545988176276E-3</v>
      </c>
      <c r="AA289">
        <v>4.4764914013171175E-3</v>
      </c>
      <c r="AC289">
        <v>3.8213113436675883E-3</v>
      </c>
      <c r="AD289">
        <v>6.9738108653687458E-3</v>
      </c>
      <c r="AE289">
        <v>2.3605839260503192E-3</v>
      </c>
      <c r="AF289">
        <v>1.1026982618003833E-2</v>
      </c>
      <c r="AG289">
        <v>2.8657033042867042E-3</v>
      </c>
      <c r="AH289">
        <v>2.6749179405673117E-3</v>
      </c>
      <c r="AI289">
        <v>9.3164224356172554E-3</v>
      </c>
      <c r="AJ289">
        <v>1.2061403508771829E-2</v>
      </c>
      <c r="AK289">
        <v>-2.7361563517915299E-2</v>
      </c>
      <c r="AL289">
        <v>-8.4944842166542189E-3</v>
      </c>
    </row>
    <row r="290" spans="1:38">
      <c r="A290" s="568">
        <v>44252</v>
      </c>
      <c r="B290">
        <v>7.6559597542130708E-5</v>
      </c>
      <c r="C290">
        <v>5.9645300300559256E-5</v>
      </c>
      <c r="D290">
        <v>8.5978892466531676E-5</v>
      </c>
      <c r="E290">
        <v>1.337802443437397E-4</v>
      </c>
      <c r="F290">
        <v>1.7913253395263062E-4</v>
      </c>
      <c r="G290">
        <v>3.1281915602643373E-4</v>
      </c>
      <c r="H290">
        <v>1.9713894380224417E-4</v>
      </c>
      <c r="I290">
        <v>1.5403124733648355E-4</v>
      </c>
      <c r="J290">
        <v>-2.9087041150283044E-3</v>
      </c>
      <c r="K290">
        <v>-2.4139329193586523E-3</v>
      </c>
      <c r="L290">
        <v>8.0160846054178059E-4</v>
      </c>
      <c r="M290">
        <v>8.1985973883469399E-4</v>
      </c>
      <c r="N290">
        <v>8.2531887125658621E-4</v>
      </c>
      <c r="O290">
        <v>5.4612392438491142E-4</v>
      </c>
      <c r="P290">
        <v>5.3573019985209136E-4</v>
      </c>
      <c r="Q290">
        <v>5.4958248556946643E-4</v>
      </c>
      <c r="R290">
        <v>-5.2042935421722225E-3</v>
      </c>
      <c r="S290">
        <v>-1.2931449435920173E-2</v>
      </c>
      <c r="T290">
        <v>1.4137810273375795E-3</v>
      </c>
      <c r="U290">
        <v>-3.3864962854903702E-3</v>
      </c>
      <c r="V290">
        <v>-8.4056927760531863E-3</v>
      </c>
      <c r="W290">
        <v>-1.4975011594011822E-2</v>
      </c>
      <c r="X290">
        <v>5.9619693912169591E-3</v>
      </c>
      <c r="Y290">
        <v>-8.4056927760531863E-3</v>
      </c>
      <c r="Z290">
        <v>-2.6735407510811715E-3</v>
      </c>
      <c r="AA290">
        <v>-3.4356299994864337E-4</v>
      </c>
      <c r="AC290">
        <v>-2.9493260785328435E-2</v>
      </c>
      <c r="AD290">
        <v>-2.7664529565405771E-2</v>
      </c>
      <c r="AE290">
        <v>-2.3228241764553403E-2</v>
      </c>
      <c r="AF290">
        <v>-2.9543631782979807E-2</v>
      </c>
      <c r="AG290">
        <v>-1.8733724722214906E-2</v>
      </c>
      <c r="AH290">
        <v>-2.0645282549729901E-2</v>
      </c>
      <c r="AI290">
        <v>-2.8946134093108644E-2</v>
      </c>
      <c r="AJ290">
        <v>-6.7172264355362943E-3</v>
      </c>
      <c r="AK290">
        <v>-2.9303415941057676E-3</v>
      </c>
      <c r="AL290">
        <v>1.9253981547829424E-2</v>
      </c>
    </row>
    <row r="291" spans="1:38">
      <c r="A291" s="568">
        <v>44253</v>
      </c>
      <c r="B291">
        <v>7.6559597542130708E-5</v>
      </c>
      <c r="C291">
        <v>5.6812194511701719E-4</v>
      </c>
      <c r="D291">
        <v>7.5723242366709798E-5</v>
      </c>
      <c r="E291">
        <v>1.337802443437397E-4</v>
      </c>
      <c r="F291">
        <v>6.1814220575828749E-4</v>
      </c>
      <c r="G291">
        <v>5.3667015479841318E-4</v>
      </c>
      <c r="H291">
        <v>1.9641332781183962E-4</v>
      </c>
      <c r="I291">
        <v>1.5407573903702954E-4</v>
      </c>
      <c r="J291">
        <v>-2.6626337353536922E-3</v>
      </c>
      <c r="K291">
        <v>-1.8635292850995855E-3</v>
      </c>
      <c r="L291">
        <v>8.0160846054178059E-4</v>
      </c>
      <c r="M291">
        <v>8.1985973883469399E-4</v>
      </c>
      <c r="N291">
        <v>8.2531887125658621E-4</v>
      </c>
      <c r="O291">
        <v>5.4612392438491142E-4</v>
      </c>
      <c r="P291">
        <v>5.3573019985209136E-4</v>
      </c>
      <c r="Q291">
        <v>5.4958248556946643E-4</v>
      </c>
      <c r="R291">
        <v>-4.6070256220565042E-4</v>
      </c>
      <c r="S291">
        <v>-7.8900976740390316E-3</v>
      </c>
      <c r="T291">
        <v>-4.0702870334099472E-3</v>
      </c>
      <c r="U291">
        <v>-6.24698799134904E-3</v>
      </c>
      <c r="V291">
        <v>-5.737000375577006E-3</v>
      </c>
      <c r="W291">
        <v>-9.19368346864613E-3</v>
      </c>
      <c r="X291">
        <v>-8.8594717177670201E-4</v>
      </c>
      <c r="Y291">
        <v>-5.737000375577006E-3</v>
      </c>
      <c r="Z291">
        <v>-7.4812309118593712E-3</v>
      </c>
      <c r="AA291">
        <v>-4.264501673680865E-4</v>
      </c>
      <c r="AC291">
        <v>-1.9786763084069348E-2</v>
      </c>
      <c r="AD291">
        <v>-1.4940181385476148E-2</v>
      </c>
      <c r="AE291">
        <v>-1.7969984699397368E-2</v>
      </c>
      <c r="AF291">
        <v>-1.0086368898038711E-2</v>
      </c>
      <c r="AG291">
        <v>-2.1258136857229992E-2</v>
      </c>
      <c r="AH291">
        <v>-1.3850734158848542E-2</v>
      </c>
      <c r="AI291">
        <v>-9.4513225934329537E-3</v>
      </c>
      <c r="AJ291">
        <v>7.8534031413612926E-3</v>
      </c>
      <c r="AK291">
        <v>-3.0900999244269145E-2</v>
      </c>
      <c r="AL291">
        <v>-9.1184180119469049E-3</v>
      </c>
    </row>
    <row r="292" spans="1:38">
      <c r="A292" s="568">
        <v>44256</v>
      </c>
      <c r="B292">
        <v>7.6559597542130708E-5</v>
      </c>
      <c r="C292">
        <v>1.6405985319267735E-4</v>
      </c>
      <c r="D292">
        <v>7.0593767595106272E-5</v>
      </c>
      <c r="E292">
        <v>1.337802443437397E-4</v>
      </c>
      <c r="F292">
        <v>3.7672668255983588E-4</v>
      </c>
      <c r="G292">
        <v>1.488350441047892E-5</v>
      </c>
      <c r="H292">
        <v>1.97748007242593E-4</v>
      </c>
      <c r="I292">
        <v>2.3109440545354687E-4</v>
      </c>
      <c r="J292">
        <v>-1.6632828389976373E-3</v>
      </c>
      <c r="K292">
        <v>-1.1966067765399879E-3</v>
      </c>
      <c r="L292">
        <v>7.2831338527890033E-4</v>
      </c>
      <c r="M292">
        <v>7.4656332691458438E-4</v>
      </c>
      <c r="N292">
        <v>7.5202205952940027E-4</v>
      </c>
      <c r="O292">
        <v>5.4612392438491142E-4</v>
      </c>
      <c r="P292">
        <v>5.3573019985209136E-4</v>
      </c>
      <c r="Q292">
        <v>5.4958248556946643E-4</v>
      </c>
      <c r="R292">
        <v>3.7419416608157618E-3</v>
      </c>
      <c r="S292">
        <v>8.5101704707462034E-3</v>
      </c>
      <c r="T292">
        <v>-1.7175138520555411E-3</v>
      </c>
      <c r="U292">
        <v>4.8270836618935498E-3</v>
      </c>
      <c r="V292">
        <v>3.5087096618811042E-3</v>
      </c>
      <c r="W292">
        <v>7.8188105269296759E-3</v>
      </c>
      <c r="X292">
        <v>2.8496684904473213E-3</v>
      </c>
      <c r="Y292">
        <v>3.5087096618811042E-3</v>
      </c>
      <c r="Z292">
        <v>7.7743647236083735E-3</v>
      </c>
      <c r="AA292">
        <v>3.2658930506515027E-3</v>
      </c>
      <c r="AC292">
        <v>2.7233111013507116E-3</v>
      </c>
      <c r="AD292">
        <v>9.951003037925954E-3</v>
      </c>
      <c r="AE292">
        <v>8.2199394111317492E-3</v>
      </c>
      <c r="AF292">
        <v>1.4234806855792259E-2</v>
      </c>
      <c r="AG292">
        <v>2.8417463070349314E-3</v>
      </c>
      <c r="AH292">
        <v>1.906317770945498E-3</v>
      </c>
      <c r="AI292">
        <v>1.059913667831669E-2</v>
      </c>
      <c r="AJ292">
        <v>3.3766233766233889E-2</v>
      </c>
      <c r="AK292">
        <v>3.2146261155879152E-2</v>
      </c>
      <c r="AL292">
        <v>5.1664490113867423E-3</v>
      </c>
    </row>
    <row r="293" spans="1:38">
      <c r="A293" s="568">
        <v>44257</v>
      </c>
      <c r="B293">
        <v>7.6559597542130708E-5</v>
      </c>
      <c r="C293">
        <v>1.1124503400772312E-4</v>
      </c>
      <c r="D293">
        <v>8.0266279111507188E-5</v>
      </c>
      <c r="E293">
        <v>1.337802443437397E-4</v>
      </c>
      <c r="F293">
        <v>2.0881717119669574E-4</v>
      </c>
      <c r="G293">
        <v>4.9335682267437342E-4</v>
      </c>
      <c r="H293">
        <v>1.9770891069925689E-4</v>
      </c>
      <c r="I293">
        <v>1.5276723160462247E-4</v>
      </c>
      <c r="J293">
        <v>-4.7786746543942993E-4</v>
      </c>
      <c r="K293">
        <v>-2.1292298763575523E-4</v>
      </c>
      <c r="L293">
        <v>7.2831338527890033E-4</v>
      </c>
      <c r="M293">
        <v>7.4656332691458438E-4</v>
      </c>
      <c r="N293">
        <v>7.5202205952940027E-4</v>
      </c>
      <c r="O293">
        <v>5.4612392438491142E-4</v>
      </c>
      <c r="P293">
        <v>5.3573019985209136E-4</v>
      </c>
      <c r="Q293">
        <v>5.4958248556946643E-4</v>
      </c>
      <c r="R293">
        <v>-1.0211163186002459E-4</v>
      </c>
      <c r="S293">
        <v>1.5856728571339573E-3</v>
      </c>
      <c r="T293">
        <v>-1.8463509977055814E-3</v>
      </c>
      <c r="U293">
        <v>-9.4949860386384088E-6</v>
      </c>
      <c r="V293">
        <v>-8.1853114081509304E-4</v>
      </c>
      <c r="W293">
        <v>-3.1979027441122465E-3</v>
      </c>
      <c r="X293">
        <v>-1.4263092313304693E-4</v>
      </c>
      <c r="Y293">
        <v>-8.1853114081509304E-4</v>
      </c>
      <c r="Z293">
        <v>7.5645341234644725E-3</v>
      </c>
      <c r="AA293">
        <v>-3.6927800461872273E-3</v>
      </c>
      <c r="AC293">
        <v>1.0921030104455776E-2</v>
      </c>
      <c r="AD293">
        <v>-9.2898666708163269E-4</v>
      </c>
      <c r="AE293">
        <v>1.157569036119277E-2</v>
      </c>
      <c r="AF293">
        <v>-3.3691590898466961E-3</v>
      </c>
      <c r="AG293">
        <v>8.5345451373275427E-3</v>
      </c>
      <c r="AH293">
        <v>7.6447210731190422E-3</v>
      </c>
      <c r="AI293">
        <v>-1.1087803725605916E-2</v>
      </c>
      <c r="AJ293">
        <v>-1.6750418760469454E-3</v>
      </c>
      <c r="AK293">
        <v>-1.5194761584956362E-2</v>
      </c>
      <c r="AL293">
        <v>1.3488868973511758E-2</v>
      </c>
    </row>
    <row r="294" spans="1:38">
      <c r="A294" s="568">
        <v>44258</v>
      </c>
      <c r="B294">
        <v>7.6559597542130708E-5</v>
      </c>
      <c r="C294">
        <v>4.6124119801538299E-5</v>
      </c>
      <c r="D294">
        <v>1.2238202088576955E-4</v>
      </c>
      <c r="E294">
        <v>1.337802443437397E-4</v>
      </c>
      <c r="F294">
        <v>2.0074382277801561E-4</v>
      </c>
      <c r="G294">
        <v>6.3074001485863285E-4</v>
      </c>
      <c r="H294">
        <v>2.0590607251347315E-4</v>
      </c>
      <c r="I294">
        <v>1.5349920347174084E-4</v>
      </c>
      <c r="J294">
        <v>3.6734747188793548E-5</v>
      </c>
      <c r="K294">
        <v>-5.8017226048490134E-4</v>
      </c>
      <c r="L294">
        <v>7.2831338527890033E-4</v>
      </c>
      <c r="M294">
        <v>7.4656332691458438E-4</v>
      </c>
      <c r="N294">
        <v>7.5202205952940027E-4</v>
      </c>
      <c r="O294">
        <v>5.4612392438491142E-4</v>
      </c>
      <c r="P294">
        <v>5.3573019985209136E-4</v>
      </c>
      <c r="Q294">
        <v>5.4958248556946643E-4</v>
      </c>
      <c r="R294">
        <v>-1.017551541064643E-3</v>
      </c>
      <c r="S294">
        <v>-3.7186051298979672E-3</v>
      </c>
      <c r="T294">
        <v>8.3409917940282519E-3</v>
      </c>
      <c r="U294">
        <v>2.8583425524844053E-3</v>
      </c>
      <c r="V294">
        <v>-2.6876894719941591E-3</v>
      </c>
      <c r="W294">
        <v>-4.5139565398057968E-3</v>
      </c>
      <c r="X294">
        <v>5.099515963600032E-3</v>
      </c>
      <c r="Y294">
        <v>-2.6876894719941591E-3</v>
      </c>
      <c r="Z294">
        <v>5.4064525451400502E-3</v>
      </c>
      <c r="AA294">
        <v>-2.440003153906467E-3</v>
      </c>
      <c r="AC294">
        <v>-3.1903410262525966E-3</v>
      </c>
      <c r="AD294">
        <v>-1.2971798512441457E-2</v>
      </c>
      <c r="AE294">
        <v>-2.7064907447682529E-3</v>
      </c>
      <c r="AF294">
        <v>-6.1370641501140577E-3</v>
      </c>
      <c r="AG294">
        <v>-5.2672329923610928E-3</v>
      </c>
      <c r="AH294">
        <v>-2.2332387183768175E-3</v>
      </c>
      <c r="AI294">
        <v>-2.1760961207453633E-2</v>
      </c>
      <c r="AJ294">
        <v>-2.6426174496644306E-2</v>
      </c>
      <c r="AK294">
        <v>1.2189924132639973E-2</v>
      </c>
      <c r="AL294">
        <v>2.0894363136370053E-2</v>
      </c>
    </row>
    <row r="295" spans="1:38">
      <c r="A295" s="568">
        <v>44259</v>
      </c>
      <c r="B295">
        <v>7.6559597542130708E-5</v>
      </c>
      <c r="C295">
        <v>4.5941069480126551E-4</v>
      </c>
      <c r="D295">
        <v>6.488299149287613E-5</v>
      </c>
      <c r="E295">
        <v>1.337802443437397E-4</v>
      </c>
      <c r="F295">
        <v>5.0086681625782781E-4</v>
      </c>
      <c r="G295">
        <v>5.4354086517083289E-4</v>
      </c>
      <c r="H295">
        <v>1.9762913657328518E-4</v>
      </c>
      <c r="I295">
        <v>1.5259418614577136E-4</v>
      </c>
      <c r="J295">
        <v>7.0166231776491728E-3</v>
      </c>
      <c r="K295">
        <v>7.0679167688736388E-3</v>
      </c>
      <c r="L295">
        <v>7.2831338527890033E-4</v>
      </c>
      <c r="M295">
        <v>7.4656332691458438E-4</v>
      </c>
      <c r="N295">
        <v>7.5202205952940027E-4</v>
      </c>
      <c r="O295">
        <v>5.4612392438491142E-4</v>
      </c>
      <c r="P295">
        <v>5.3573019985209136E-4</v>
      </c>
      <c r="Q295">
        <v>5.4958248556946643E-4</v>
      </c>
      <c r="R295">
        <v>-1.8884278853158465E-3</v>
      </c>
      <c r="S295">
        <v>2.3181138086703079E-4</v>
      </c>
      <c r="T295">
        <v>8.2012858391737886E-3</v>
      </c>
      <c r="U295">
        <v>-3.4900553894967601E-3</v>
      </c>
      <c r="V295">
        <v>-3.3971869264082244E-4</v>
      </c>
      <c r="W295">
        <v>-3.4692332873192955E-3</v>
      </c>
      <c r="X295">
        <v>-4.7869470214051413E-3</v>
      </c>
      <c r="Y295">
        <v>-3.3971869264082244E-4</v>
      </c>
      <c r="Z295">
        <v>-1.5818904771756848E-2</v>
      </c>
      <c r="AA295">
        <v>-3.1884206727164077E-3</v>
      </c>
      <c r="AC295">
        <v>1.3547099199120005E-2</v>
      </c>
      <c r="AD295">
        <v>-5.7962557703894468E-4</v>
      </c>
      <c r="AE295">
        <v>2.7619718241145286E-3</v>
      </c>
      <c r="AF295">
        <v>-1.8836828903964764E-2</v>
      </c>
      <c r="AG295">
        <v>1.7505252284948369E-2</v>
      </c>
      <c r="AH295">
        <v>9.4829694393840022E-3</v>
      </c>
      <c r="AI295">
        <v>-5.2652405304316474E-3</v>
      </c>
      <c r="AJ295">
        <v>-3.4467901766479514E-3</v>
      </c>
      <c r="AK295">
        <v>-3.9498062994778538E-2</v>
      </c>
      <c r="AL295">
        <v>-2.2356546291996349E-2</v>
      </c>
    </row>
    <row r="296" spans="1:38">
      <c r="A296" s="568">
        <v>44260</v>
      </c>
      <c r="B296">
        <v>7.6559597542130708E-5</v>
      </c>
      <c r="C296">
        <v>2.6588811078753771E-4</v>
      </c>
      <c r="D296">
        <v>6.6017006208340945E-5</v>
      </c>
      <c r="E296">
        <v>1.337802443437397E-4</v>
      </c>
      <c r="F296">
        <v>1.8901265849868842E-4</v>
      </c>
      <c r="G296">
        <v>4.0597230799144235E-4</v>
      </c>
      <c r="H296">
        <v>1.9690401032423921E-4</v>
      </c>
      <c r="I296">
        <v>1.53125307108537E-4</v>
      </c>
      <c r="J296">
        <v>6.7568845556282842E-3</v>
      </c>
      <c r="K296">
        <v>4.8825026234584623E-3</v>
      </c>
      <c r="L296">
        <v>7.2831338527890033E-4</v>
      </c>
      <c r="M296">
        <v>7.4656332691458438E-4</v>
      </c>
      <c r="N296">
        <v>7.5202205952940027E-4</v>
      </c>
      <c r="O296">
        <v>5.4612392438491142E-4</v>
      </c>
      <c r="P296">
        <v>5.3573019985209136E-4</v>
      </c>
      <c r="Q296">
        <v>5.4958248556946643E-4</v>
      </c>
      <c r="R296">
        <v>-3.2694509640618374E-3</v>
      </c>
      <c r="S296">
        <v>6.3202180542583086E-3</v>
      </c>
      <c r="T296">
        <v>1.105093892272313E-2</v>
      </c>
      <c r="U296">
        <v>1.8629607652715929E-3</v>
      </c>
      <c r="V296">
        <v>5.5058202936775213E-3</v>
      </c>
      <c r="W296">
        <v>5.4117030903657604E-3</v>
      </c>
      <c r="X296">
        <v>-7.3925052352796783E-4</v>
      </c>
      <c r="Y296">
        <v>5.5058202936775213E-3</v>
      </c>
      <c r="Z296">
        <v>-1.0978974127866525E-3</v>
      </c>
      <c r="AA296">
        <v>-1.9418661189052333E-3</v>
      </c>
      <c r="AC296">
        <v>2.229174026447911E-2</v>
      </c>
      <c r="AD296">
        <v>1.8603876907887562E-2</v>
      </c>
      <c r="AE296">
        <v>1.4619992105366464E-2</v>
      </c>
      <c r="AF296">
        <v>9.867857093694532E-3</v>
      </c>
      <c r="AG296">
        <v>1.693582660222881E-2</v>
      </c>
      <c r="AH296">
        <v>1.5604218185135375E-2</v>
      </c>
      <c r="AI296">
        <v>1.2658069620915535E-2</v>
      </c>
      <c r="AJ296">
        <v>2.4643320363164634E-2</v>
      </c>
      <c r="AK296">
        <v>-2.9811486190267633E-3</v>
      </c>
      <c r="AL296">
        <v>-1.6742453348967956E-3</v>
      </c>
    </row>
    <row r="297" spans="1:38">
      <c r="A297" s="568">
        <v>44263</v>
      </c>
      <c r="B297">
        <v>7.6559597542130708E-5</v>
      </c>
      <c r="C297">
        <v>7.0660217581286489E-5</v>
      </c>
      <c r="D297">
        <v>0</v>
      </c>
      <c r="E297">
        <v>1.337802443437397E-4</v>
      </c>
      <c r="F297">
        <v>-2.8079120722557249E-5</v>
      </c>
      <c r="G297">
        <v>-2.2326602549416208E-5</v>
      </c>
      <c r="H297">
        <v>1.9755118839381858E-4</v>
      </c>
      <c r="I297">
        <v>1.9135554380111941E-4</v>
      </c>
      <c r="J297">
        <v>-3.1428451292163651E-3</v>
      </c>
      <c r="K297">
        <v>-3.2662246967271047E-3</v>
      </c>
      <c r="L297">
        <v>7.2831338527890033E-4</v>
      </c>
      <c r="M297">
        <v>7.4656332691458438E-4</v>
      </c>
      <c r="N297">
        <v>7.5202205952940027E-4</v>
      </c>
      <c r="O297">
        <v>5.4612392438491142E-4</v>
      </c>
      <c r="P297">
        <v>5.3573019985209136E-4</v>
      </c>
      <c r="Q297">
        <v>5.4958248556946643E-4</v>
      </c>
      <c r="R297">
        <v>-2.1350981837513494E-3</v>
      </c>
      <c r="S297">
        <v>-3.4269225889849153E-3</v>
      </c>
      <c r="T297">
        <v>-1.3153727429728868E-3</v>
      </c>
      <c r="U297">
        <v>-5.7784539616345665E-4</v>
      </c>
      <c r="V297">
        <v>-9.2665222293123461E-3</v>
      </c>
      <c r="W297">
        <v>-1.4860998666024194E-3</v>
      </c>
      <c r="X297">
        <v>3.4441365147157565E-3</v>
      </c>
      <c r="Y297">
        <v>-9.2665222293123461E-3</v>
      </c>
      <c r="Z297">
        <v>8.6669915338193348E-3</v>
      </c>
      <c r="AA297">
        <v>-1.6628386543011686E-3</v>
      </c>
      <c r="AC297">
        <v>-3.9848620985895811E-2</v>
      </c>
      <c r="AD297">
        <v>-5.3523729555839616E-2</v>
      </c>
      <c r="AE297">
        <v>-3.7407430258213914E-2</v>
      </c>
      <c r="AF297">
        <v>-2.2210986949993905E-2</v>
      </c>
      <c r="AG297">
        <v>-3.7600218586625656E-2</v>
      </c>
      <c r="AH297">
        <v>-2.7894034690127065E-2</v>
      </c>
      <c r="AI297">
        <v>-4.6060266863232724E-2</v>
      </c>
      <c r="AJ297">
        <v>2.6371308016877704E-2</v>
      </c>
      <c r="AK297">
        <v>-4.3883563450883734E-2</v>
      </c>
      <c r="AL297">
        <v>5.9503666825975188E-3</v>
      </c>
    </row>
    <row r="298" spans="1:38">
      <c r="A298" s="568">
        <v>44264</v>
      </c>
      <c r="B298">
        <v>7.6559597542130708E-5</v>
      </c>
      <c r="C298">
        <v>1.0148829612317556E-3</v>
      </c>
      <c r="D298">
        <v>1.94054422875789E-4</v>
      </c>
      <c r="E298">
        <v>1.337802443437397E-4</v>
      </c>
      <c r="F298">
        <v>9.8056825713355167E-4</v>
      </c>
      <c r="G298">
        <v>3.1000173633934924E-3</v>
      </c>
      <c r="H298">
        <v>1.9751216963004303E-4</v>
      </c>
      <c r="I298">
        <v>1.5435460232104958E-4</v>
      </c>
      <c r="J298">
        <v>-7.3860413690118865E-4</v>
      </c>
      <c r="K298">
        <v>1.6397123930445012E-4</v>
      </c>
      <c r="L298">
        <v>7.2831338527890033E-4</v>
      </c>
      <c r="M298">
        <v>7.4656332691458438E-4</v>
      </c>
      <c r="N298">
        <v>7.5202205952940027E-4</v>
      </c>
      <c r="O298">
        <v>5.4612392438491142E-4</v>
      </c>
      <c r="P298">
        <v>5.3573019985209136E-4</v>
      </c>
      <c r="Q298">
        <v>5.4958248556946643E-4</v>
      </c>
      <c r="R298">
        <v>1.5100989796195119E-3</v>
      </c>
      <c r="S298">
        <v>2.8679930253558972E-3</v>
      </c>
      <c r="T298">
        <v>-9.2396435488285578E-3</v>
      </c>
      <c r="U298">
        <v>-2.9204187709714891E-3</v>
      </c>
      <c r="V298">
        <v>1.5631086004068706E-3</v>
      </c>
      <c r="W298">
        <v>2.8075363161890188E-3</v>
      </c>
      <c r="X298">
        <v>5.2379041973527052E-5</v>
      </c>
      <c r="Y298">
        <v>1.5631086004068706E-3</v>
      </c>
      <c r="Z298">
        <v>4.7384948622728462E-3</v>
      </c>
      <c r="AA298">
        <v>-3.7146150848510473E-4</v>
      </c>
      <c r="AC298">
        <v>6.5005852009345499E-3</v>
      </c>
      <c r="AD298">
        <v>3.7004156109821107E-3</v>
      </c>
      <c r="AE298">
        <v>3.7531988244747794E-3</v>
      </c>
      <c r="AF298">
        <v>-7.1356401331460484E-3</v>
      </c>
      <c r="AG298">
        <v>-7.0207177050951586E-4</v>
      </c>
      <c r="AH298">
        <v>4.5504096406541843E-3</v>
      </c>
      <c r="AI298">
        <v>-8.5169347145892527E-3</v>
      </c>
      <c r="AJ298">
        <v>4.1109969167523186E-3</v>
      </c>
      <c r="AK298">
        <v>1.8027961736571063E-2</v>
      </c>
      <c r="AL298">
        <v>-1.2094888163037831E-2</v>
      </c>
    </row>
    <row r="299" spans="1:38">
      <c r="A299" s="568">
        <v>44265</v>
      </c>
      <c r="B299">
        <v>7.6559597542130708E-5</v>
      </c>
      <c r="C299">
        <v>1.5854174123086651E-4</v>
      </c>
      <c r="D299">
        <v>7.3965338704518047E-5</v>
      </c>
      <c r="E299">
        <v>1.337802443437397E-4</v>
      </c>
      <c r="F299">
        <v>1.0285880691784932E-4</v>
      </c>
      <c r="G299">
        <v>-8.7886062216657734E-6</v>
      </c>
      <c r="H299">
        <v>1.9747316627660716E-4</v>
      </c>
      <c r="I299">
        <v>1.552789677221611E-4</v>
      </c>
      <c r="J299">
        <v>1.1306391627396994E-3</v>
      </c>
      <c r="K299">
        <v>7.752086235672806E-4</v>
      </c>
      <c r="L299">
        <v>7.2831338527890033E-4</v>
      </c>
      <c r="M299">
        <v>7.4656332691458438E-4</v>
      </c>
      <c r="N299">
        <v>7.5202205952940027E-4</v>
      </c>
      <c r="O299">
        <v>5.4612392438491142E-4</v>
      </c>
      <c r="P299">
        <v>5.3573019985209136E-4</v>
      </c>
      <c r="Q299">
        <v>5.4958248556946643E-4</v>
      </c>
      <c r="R299">
        <v>1.8870863571354146E-3</v>
      </c>
      <c r="S299">
        <v>2.8151961079019294E-3</v>
      </c>
      <c r="T299">
        <v>-3.6048107324324619E-3</v>
      </c>
      <c r="U299">
        <v>1.271995153436567E-3</v>
      </c>
      <c r="V299">
        <v>-6.4561881546743027E-4</v>
      </c>
      <c r="W299">
        <v>2.5309302348333063E-3</v>
      </c>
      <c r="X299">
        <v>-6.7160204348049035E-4</v>
      </c>
      <c r="Y299">
        <v>-6.4561881546743027E-4</v>
      </c>
      <c r="Z299">
        <v>-2.2448660940148635E-3</v>
      </c>
      <c r="AA299">
        <v>-7.24505747560511E-3</v>
      </c>
      <c r="AC299">
        <v>1.2987172801157687E-2</v>
      </c>
      <c r="AD299">
        <v>-3.9808335259483574E-4</v>
      </c>
      <c r="AE299">
        <v>8.2581567287971502E-3</v>
      </c>
      <c r="AF299">
        <v>-5.7494908793874755E-3</v>
      </c>
      <c r="AG299">
        <v>1.0794197641853298E-2</v>
      </c>
      <c r="AH299">
        <v>9.0910209608103809E-3</v>
      </c>
      <c r="AI299">
        <v>-5.1972724482816091E-3</v>
      </c>
      <c r="AJ299">
        <v>-1.4616171954964119E-2</v>
      </c>
      <c r="AK299">
        <v>3.704372967112457E-3</v>
      </c>
      <c r="AL299">
        <v>-5.3453892655174196E-3</v>
      </c>
    </row>
    <row r="300" spans="1:38">
      <c r="A300" s="568">
        <v>44266</v>
      </c>
      <c r="B300">
        <v>7.6559597542130708E-5</v>
      </c>
      <c r="C300">
        <v>7.4459488247802241E-5</v>
      </c>
      <c r="D300">
        <v>7.4528790301009451E-5</v>
      </c>
      <c r="E300">
        <v>1.337802443437397E-4</v>
      </c>
      <c r="F300">
        <v>7.7024863447849867E-5</v>
      </c>
      <c r="G300">
        <v>1.2590744350871041E-4</v>
      </c>
      <c r="H300">
        <v>1.9743417832418508E-4</v>
      </c>
      <c r="I300">
        <v>1.5277744627550938E-4</v>
      </c>
      <c r="J300">
        <v>2.7501572396302354E-3</v>
      </c>
      <c r="K300">
        <v>1.611688156842872E-3</v>
      </c>
      <c r="L300">
        <v>7.2831338527890033E-4</v>
      </c>
      <c r="M300">
        <v>7.4656332691458438E-4</v>
      </c>
      <c r="N300">
        <v>7.5202205952940027E-4</v>
      </c>
      <c r="O300">
        <v>5.4612392438491142E-4</v>
      </c>
      <c r="P300">
        <v>5.3573019985209136E-4</v>
      </c>
      <c r="Q300">
        <v>5.4958248556946643E-4</v>
      </c>
      <c r="R300">
        <v>3.814997216182725E-3</v>
      </c>
      <c r="S300">
        <v>7.5780140684136299E-3</v>
      </c>
      <c r="T300">
        <v>3.9285667728028439E-3</v>
      </c>
      <c r="U300">
        <v>3.4718120898054039E-3</v>
      </c>
      <c r="V300">
        <v>7.5921936479919072E-3</v>
      </c>
      <c r="W300">
        <v>4.997419779243284E-3</v>
      </c>
      <c r="X300">
        <v>-1.4960880324019765E-3</v>
      </c>
      <c r="Y300">
        <v>7.5921936479919072E-3</v>
      </c>
      <c r="Z300">
        <v>1.3602239484147294E-3</v>
      </c>
      <c r="AA300">
        <v>2.3207084890093377E-3</v>
      </c>
      <c r="AC300">
        <v>1.9572075704785474E-2</v>
      </c>
      <c r="AD300">
        <v>2.3443285395946534E-2</v>
      </c>
      <c r="AE300">
        <v>1.9372084886385643E-2</v>
      </c>
      <c r="AF300">
        <v>1.6854024543480728E-2</v>
      </c>
      <c r="AG300">
        <v>2.5371408817213448E-2</v>
      </c>
      <c r="AH300">
        <v>1.3700452993349831E-2</v>
      </c>
      <c r="AI300">
        <v>2.6119090069600004E-2</v>
      </c>
      <c r="AJ300">
        <v>-1.5497756356988579E-2</v>
      </c>
      <c r="AK300">
        <v>3.6546943919344654E-2</v>
      </c>
      <c r="AL300">
        <v>-9.5328730188283251E-3</v>
      </c>
    </row>
    <row r="301" spans="1:38">
      <c r="A301" s="568">
        <v>44267</v>
      </c>
      <c r="B301">
        <v>7.6559597542130708E-5</v>
      </c>
      <c r="C301">
        <v>2.9366215311754651E-4</v>
      </c>
      <c r="D301">
        <v>2.6168464610787368E-5</v>
      </c>
      <c r="E301">
        <v>1.337802443437397E-4</v>
      </c>
      <c r="F301">
        <v>5.0262643458887091E-4</v>
      </c>
      <c r="G301">
        <v>1.8501670355997035E-4</v>
      </c>
      <c r="H301">
        <v>1.9739520576389502E-4</v>
      </c>
      <c r="I301">
        <v>1.667277851469251E-4</v>
      </c>
      <c r="J301">
        <v>-1.1829851610198894E-3</v>
      </c>
      <c r="K301">
        <v>-1.9841377213580813E-4</v>
      </c>
      <c r="L301">
        <v>7.2831338527890033E-4</v>
      </c>
      <c r="M301">
        <v>7.4656332691458438E-4</v>
      </c>
      <c r="N301">
        <v>7.5202205952940027E-4</v>
      </c>
      <c r="O301">
        <v>5.4612392438491142E-4</v>
      </c>
      <c r="P301">
        <v>5.3573019985209136E-4</v>
      </c>
      <c r="Q301">
        <v>5.4958248556946643E-4</v>
      </c>
      <c r="R301">
        <v>-2.1390046955254149E-3</v>
      </c>
      <c r="S301">
        <v>1.0024611890857571E-4</v>
      </c>
      <c r="T301">
        <v>6.4170066836077844E-3</v>
      </c>
      <c r="U301">
        <v>6.7986529308727839E-4</v>
      </c>
      <c r="V301">
        <v>-3.9631252650507154E-4</v>
      </c>
      <c r="W301">
        <v>-1.6221109718095317E-4</v>
      </c>
      <c r="X301">
        <v>3.9814918626031037E-3</v>
      </c>
      <c r="Y301">
        <v>-3.9631252650507154E-4</v>
      </c>
      <c r="Z301">
        <v>3.488094441657541E-3</v>
      </c>
      <c r="AA301">
        <v>-1.9535122310082587E-3</v>
      </c>
      <c r="AC301">
        <v>-7.1606633841161393E-3</v>
      </c>
      <c r="AD301">
        <v>-8.4585374278632885E-3</v>
      </c>
      <c r="AE301">
        <v>-7.9258191294032665E-3</v>
      </c>
      <c r="AF301">
        <v>-3.6725030908649758E-3</v>
      </c>
      <c r="AG301">
        <v>-6.3832276298967372E-3</v>
      </c>
      <c r="AH301">
        <v>-5.0124643688812974E-3</v>
      </c>
      <c r="AI301">
        <v>-5.7629485636695454E-3</v>
      </c>
      <c r="AJ301">
        <v>1.055074910318643E-3</v>
      </c>
      <c r="AK301">
        <v>-1.8758141554494179E-2</v>
      </c>
      <c r="AL301">
        <v>-5.5361625627005084E-3</v>
      </c>
    </row>
    <row r="302" spans="1:38">
      <c r="A302" s="568">
        <v>44270</v>
      </c>
      <c r="B302">
        <v>7.6559597542130708E-5</v>
      </c>
      <c r="C302">
        <v>8.5608903283462823E-5</v>
      </c>
      <c r="D302">
        <v>5.0060100563964482E-5</v>
      </c>
      <c r="E302">
        <v>1.337802443437397E-4</v>
      </c>
      <c r="F302">
        <v>1.1035317465624139E-4</v>
      </c>
      <c r="G302">
        <v>8.5949525472805988E-5</v>
      </c>
      <c r="H302">
        <v>1.9804151333868703E-4</v>
      </c>
      <c r="I302">
        <v>2.3585030027195586E-4</v>
      </c>
      <c r="J302">
        <v>-4.0234917459303077E-4</v>
      </c>
      <c r="K302">
        <v>-1.4886292619942232E-4</v>
      </c>
      <c r="L302">
        <v>7.2831338527890033E-4</v>
      </c>
      <c r="M302">
        <v>7.4656332691458438E-4</v>
      </c>
      <c r="N302">
        <v>7.5202205952940027E-4</v>
      </c>
      <c r="O302">
        <v>5.4612392438491142E-4</v>
      </c>
      <c r="P302">
        <v>5.3573019985209136E-4</v>
      </c>
      <c r="Q302">
        <v>5.4958248556946643E-4</v>
      </c>
      <c r="R302">
        <v>-1.4110637211905974E-5</v>
      </c>
      <c r="S302">
        <v>1.0818868449984365E-3</v>
      </c>
      <c r="T302">
        <v>-2.1075174304057143E-3</v>
      </c>
      <c r="U302">
        <v>-5.5416923357642922E-5</v>
      </c>
      <c r="V302">
        <v>1.0101137640625701E-3</v>
      </c>
      <c r="W302">
        <v>1.1333768632308949E-3</v>
      </c>
      <c r="X302">
        <v>2.8459206257402947E-4</v>
      </c>
      <c r="Y302">
        <v>1.0101137640625701E-3</v>
      </c>
      <c r="Z302">
        <v>3.9447555042120275E-3</v>
      </c>
      <c r="AA302">
        <v>5.6145348371305914E-4</v>
      </c>
      <c r="AC302">
        <v>6.0471056513466959E-3</v>
      </c>
      <c r="AD302">
        <v>6.0382155069209631E-3</v>
      </c>
      <c r="AE302">
        <v>5.6265088388756102E-3</v>
      </c>
      <c r="AF302">
        <v>2.2366036824601476E-3</v>
      </c>
      <c r="AG302">
        <v>1.8827246062109726E-3</v>
      </c>
      <c r="AH302">
        <v>4.2329739559426871E-3</v>
      </c>
      <c r="AI302">
        <v>9.2418930238276076E-3</v>
      </c>
      <c r="AJ302">
        <v>2.0236087689713411E-2</v>
      </c>
      <c r="AK302">
        <v>-1.0974422515266813E-2</v>
      </c>
      <c r="AL302">
        <v>6.9993266512060615E-3</v>
      </c>
    </row>
    <row r="303" spans="1:38">
      <c r="A303" s="568">
        <v>44271</v>
      </c>
      <c r="B303">
        <v>7.6559597542130708E-5</v>
      </c>
      <c r="C303">
        <v>1.2815341736893693E-4</v>
      </c>
      <c r="D303">
        <v>7.6224064619712095E-5</v>
      </c>
      <c r="E303">
        <v>1.337802443437397E-4</v>
      </c>
      <c r="F303">
        <v>1.592825699487932E-4</v>
      </c>
      <c r="G303">
        <v>3.7671304168118702E-4</v>
      </c>
      <c r="H303">
        <v>1.9731717159543471E-4</v>
      </c>
      <c r="I303">
        <v>1.6367999228750207E-4</v>
      </c>
      <c r="J303">
        <v>8.544848807432448E-4</v>
      </c>
      <c r="K303">
        <v>9.6341617599504659E-4</v>
      </c>
      <c r="L303">
        <v>7.2831338527890033E-4</v>
      </c>
      <c r="M303">
        <v>7.4656332691458438E-4</v>
      </c>
      <c r="N303">
        <v>7.5202205952940027E-4</v>
      </c>
      <c r="O303">
        <v>5.4612392438491142E-4</v>
      </c>
      <c r="P303">
        <v>5.3573019985209136E-4</v>
      </c>
      <c r="Q303">
        <v>5.4958248556946643E-4</v>
      </c>
      <c r="R303">
        <v>1.1797886196718288E-3</v>
      </c>
      <c r="S303">
        <v>9.6441598405938578E-5</v>
      </c>
      <c r="T303">
        <v>-2.1026464340063722E-3</v>
      </c>
      <c r="U303">
        <v>-2.4635603422606955E-4</v>
      </c>
      <c r="V303">
        <v>-8.2493472420186453E-4</v>
      </c>
      <c r="W303">
        <v>-1.7460720511486283E-4</v>
      </c>
      <c r="X303">
        <v>-3.9653708435727353E-4</v>
      </c>
      <c r="Y303">
        <v>-8.2493472420186453E-4</v>
      </c>
      <c r="Z303">
        <v>-1.8871975562497756E-3</v>
      </c>
      <c r="AA303">
        <v>5.3487475884888003E-3</v>
      </c>
      <c r="AC303">
        <v>-7.2438366526851317E-3</v>
      </c>
      <c r="AD303">
        <v>-3.3772653243829831E-3</v>
      </c>
      <c r="AE303">
        <v>-9.2506727586008086E-3</v>
      </c>
      <c r="AF303">
        <v>-5.5505828072432983E-4</v>
      </c>
      <c r="AG303">
        <v>-2.4983013821592293E-3</v>
      </c>
      <c r="AH303">
        <v>-5.0706856568795916E-3</v>
      </c>
      <c r="AI303">
        <v>7.4026122647807835E-3</v>
      </c>
      <c r="AJ303">
        <v>-2.0661157024792765E-4</v>
      </c>
      <c r="AK303">
        <v>9.0380313199105444E-3</v>
      </c>
      <c r="AL303">
        <v>1.2417690312276131E-2</v>
      </c>
    </row>
    <row r="304" spans="1:38">
      <c r="A304" s="568">
        <v>44272</v>
      </c>
      <c r="B304">
        <v>7.6559597542130708E-5</v>
      </c>
      <c r="C304">
        <v>9.0026596383019353E-5</v>
      </c>
      <c r="D304">
        <v>1.0352031643101611E-4</v>
      </c>
      <c r="E304">
        <v>1.337802443437397E-4</v>
      </c>
      <c r="F304">
        <v>1.3390060926998792E-4</v>
      </c>
      <c r="G304">
        <v>1.5311031092002381E-4</v>
      </c>
      <c r="H304">
        <v>1.9727824520998638E-4</v>
      </c>
      <c r="I304">
        <v>1.6226866692603537E-4</v>
      </c>
      <c r="J304">
        <v>7.5724232721396945E-4</v>
      </c>
      <c r="K304">
        <v>6.2655615873330461E-4</v>
      </c>
      <c r="L304">
        <v>7.2831338527890033E-4</v>
      </c>
      <c r="M304">
        <v>7.4656332691458438E-4</v>
      </c>
      <c r="N304">
        <v>7.5202205952940027E-4</v>
      </c>
      <c r="O304">
        <v>5.4612392438491142E-4</v>
      </c>
      <c r="P304">
        <v>5.3573019985209136E-4</v>
      </c>
      <c r="Q304">
        <v>5.4958248556946643E-4</v>
      </c>
      <c r="R304">
        <v>-1.317502065107945E-3</v>
      </c>
      <c r="S304">
        <v>3.9511667443064002E-3</v>
      </c>
      <c r="T304">
        <v>4.1295004731125573E-3</v>
      </c>
      <c r="U304">
        <v>1.8894377854377087E-3</v>
      </c>
      <c r="V304">
        <v>3.8276255592475383E-3</v>
      </c>
      <c r="W304">
        <v>2.6749244806096861E-3</v>
      </c>
      <c r="X304">
        <v>-9.2079533151334658E-4</v>
      </c>
      <c r="Y304">
        <v>3.8276255592475383E-3</v>
      </c>
      <c r="Z304">
        <v>2.3667444010833094E-5</v>
      </c>
      <c r="AA304">
        <v>5.8370980043798149E-4</v>
      </c>
      <c r="AC304">
        <v>2.2195115576574276E-2</v>
      </c>
      <c r="AD304">
        <v>1.9566112651065559E-2</v>
      </c>
      <c r="AE304">
        <v>2.146556737063765E-2</v>
      </c>
      <c r="AF304">
        <v>9.3163844278194574E-3</v>
      </c>
      <c r="AG304">
        <v>2.2544084532847508E-2</v>
      </c>
      <c r="AH304">
        <v>1.5536580903601991E-2</v>
      </c>
      <c r="AI304">
        <v>3.3784444530551294E-3</v>
      </c>
      <c r="AJ304">
        <v>-2.0665426741051096E-4</v>
      </c>
      <c r="AK304">
        <v>4.522880454061573E-3</v>
      </c>
      <c r="AL304">
        <v>-2.6431890580437267E-3</v>
      </c>
    </row>
    <row r="305" spans="1:38">
      <c r="A305" s="568">
        <v>44273</v>
      </c>
      <c r="B305">
        <v>1.0638977261790416E-4</v>
      </c>
      <c r="C305">
        <v>8.5778458668084312E-5</v>
      </c>
      <c r="D305">
        <v>2.121378088155712E-4</v>
      </c>
      <c r="E305">
        <v>1.6288457365898346E-4</v>
      </c>
      <c r="F305">
        <v>7.9173147670807964E-5</v>
      </c>
      <c r="G305">
        <v>6.834508033290998E-4</v>
      </c>
      <c r="H305">
        <v>1.9792419297948172E-4</v>
      </c>
      <c r="I305">
        <v>1.6181794306291408E-4</v>
      </c>
      <c r="J305">
        <v>-7.9701669378273721E-4</v>
      </c>
      <c r="K305">
        <v>-2.5807991835856692E-3</v>
      </c>
      <c r="L305">
        <v>7.2831338527890033E-4</v>
      </c>
      <c r="M305">
        <v>7.4656332691458438E-4</v>
      </c>
      <c r="N305">
        <v>7.5202205952940027E-4</v>
      </c>
      <c r="O305">
        <v>5.4612392438491142E-4</v>
      </c>
      <c r="P305">
        <v>5.3573019985209136E-4</v>
      </c>
      <c r="Q305">
        <v>5.4958248556946643E-4</v>
      </c>
      <c r="R305">
        <v>-9.4985292006144473E-4</v>
      </c>
      <c r="S305">
        <v>-5.197788927991831E-3</v>
      </c>
      <c r="T305">
        <v>2.0267218754390637E-3</v>
      </c>
      <c r="U305">
        <v>-7.2477095565811611E-3</v>
      </c>
      <c r="V305">
        <v>-6.6275302829088556E-3</v>
      </c>
      <c r="W305">
        <v>-1.159779291314289E-2</v>
      </c>
      <c r="X305">
        <v>-1.6002704094951747E-3</v>
      </c>
      <c r="Y305">
        <v>-6.6275302829088556E-3</v>
      </c>
      <c r="Z305">
        <v>7.0490498797985968E-3</v>
      </c>
      <c r="AA305">
        <v>-2.5930411314584179E-3</v>
      </c>
      <c r="AC305">
        <v>-1.4706291167079E-2</v>
      </c>
      <c r="AD305">
        <v>-1.9385127662717383E-2</v>
      </c>
      <c r="AE305">
        <v>-1.8004360543782405E-2</v>
      </c>
      <c r="AF305">
        <v>-1.5952033209947092E-2</v>
      </c>
      <c r="AG305">
        <v>-1.5219683191845523E-2</v>
      </c>
      <c r="AH305">
        <v>-1.0294403816955299E-2</v>
      </c>
      <c r="AI305">
        <v>-2.8287409393995655E-2</v>
      </c>
      <c r="AJ305">
        <v>-2.0669698222405941E-2</v>
      </c>
      <c r="AK305">
        <v>3.4431005561932349E-3</v>
      </c>
      <c r="AL305">
        <v>1.7004514443819119E-3</v>
      </c>
    </row>
    <row r="306" spans="1:38">
      <c r="A306" s="568">
        <v>44274</v>
      </c>
      <c r="B306">
        <v>1.0638977261790416E-4</v>
      </c>
      <c r="C306">
        <v>8.0082655253832513E-6</v>
      </c>
      <c r="D306">
        <v>2.2119063106984527E-4</v>
      </c>
      <c r="E306">
        <v>1.6288457365898346E-4</v>
      </c>
      <c r="F306">
        <v>2.4817482537686786E-4</v>
      </c>
      <c r="G306">
        <v>4.3014354395465304E-5</v>
      </c>
      <c r="H306">
        <v>2.2664340433453667E-4</v>
      </c>
      <c r="I306">
        <v>1.8740173476161637E-4</v>
      </c>
      <c r="J306">
        <v>-2.6662130311283505E-3</v>
      </c>
      <c r="K306">
        <v>-2.2073658816150754E-3</v>
      </c>
      <c r="L306">
        <v>7.2831338527890033E-4</v>
      </c>
      <c r="M306">
        <v>7.4656332691458438E-4</v>
      </c>
      <c r="N306">
        <v>7.5202205952940027E-4</v>
      </c>
      <c r="O306">
        <v>5.4612392438491142E-4</v>
      </c>
      <c r="P306">
        <v>5.3573019985209136E-4</v>
      </c>
      <c r="Q306">
        <v>5.4958248556946643E-4</v>
      </c>
      <c r="R306">
        <v>1.0594664711107704E-3</v>
      </c>
      <c r="S306">
        <v>3.5823883417416269E-3</v>
      </c>
      <c r="T306">
        <v>-2.4210475544248489E-3</v>
      </c>
      <c r="U306">
        <v>6.0655454804847686E-4</v>
      </c>
      <c r="V306">
        <v>2.3091589040611371E-3</v>
      </c>
      <c r="W306">
        <v>6.9104122636831633E-5</v>
      </c>
      <c r="X306">
        <v>5.5730039834047673E-3</v>
      </c>
      <c r="Y306">
        <v>2.3091589040611371E-3</v>
      </c>
      <c r="Z306">
        <v>-9.1680880554256827E-4</v>
      </c>
      <c r="AA306">
        <v>-5.086587775812168E-4</v>
      </c>
      <c r="AC306">
        <v>1.2070752031842602E-2</v>
      </c>
      <c r="AD306">
        <v>1.3771500064066577E-2</v>
      </c>
      <c r="AE306">
        <v>1.2346298310216941E-2</v>
      </c>
      <c r="AF306">
        <v>-1.8094686077098077E-3</v>
      </c>
      <c r="AG306">
        <v>1.7541784823747353E-2</v>
      </c>
      <c r="AH306">
        <v>8.44952642228982E-3</v>
      </c>
      <c r="AI306">
        <v>-5.3125865403294004E-3</v>
      </c>
      <c r="AJ306">
        <v>-1.9839594765724056E-2</v>
      </c>
      <c r="AK306">
        <v>-9.8539503783212634E-3</v>
      </c>
      <c r="AL306">
        <v>-1.2987074942069521E-2</v>
      </c>
    </row>
    <row r="307" spans="1:38">
      <c r="A307" s="568">
        <v>44277</v>
      </c>
      <c r="B307">
        <v>1.0638977261790416E-4</v>
      </c>
      <c r="C307">
        <v>1.6480362956938777E-4</v>
      </c>
      <c r="D307">
        <v>1.0573871281871483E-4</v>
      </c>
      <c r="E307">
        <v>1.6288457365898346E-4</v>
      </c>
      <c r="F307">
        <v>1.2272268275337339E-4</v>
      </c>
      <c r="G307">
        <v>1.0767431771063762E-4</v>
      </c>
      <c r="H307">
        <v>2.265920487412032E-4</v>
      </c>
      <c r="I307">
        <v>2.5107034872307032E-4</v>
      </c>
      <c r="J307">
        <v>-6.3056332538125037E-4</v>
      </c>
      <c r="K307">
        <v>8.6021410482972627E-5</v>
      </c>
      <c r="L307">
        <v>7.2831338527890033E-4</v>
      </c>
      <c r="M307">
        <v>7.4656332691458438E-4</v>
      </c>
      <c r="N307">
        <v>7.5202205952940027E-4</v>
      </c>
      <c r="O307">
        <v>5.4612392438491142E-4</v>
      </c>
      <c r="P307">
        <v>5.3573019985209136E-4</v>
      </c>
      <c r="Q307">
        <v>5.4958248556946643E-4</v>
      </c>
      <c r="R307">
        <v>-9.8165350944201535E-4</v>
      </c>
      <c r="S307">
        <v>-9.3358208843219437E-4</v>
      </c>
      <c r="T307">
        <v>-6.2835145532267322E-3</v>
      </c>
      <c r="U307">
        <v>9.4729402412774277E-4</v>
      </c>
      <c r="V307">
        <v>0</v>
      </c>
      <c r="W307">
        <v>3.6755094637315189E-3</v>
      </c>
      <c r="X307">
        <v>1.87056255462692E-3</v>
      </c>
      <c r="Y307">
        <v>0</v>
      </c>
      <c r="Z307">
        <v>-1.8292888512175809E-3</v>
      </c>
      <c r="AA307">
        <v>1.318474614475651E-3</v>
      </c>
      <c r="AC307">
        <v>-1.0692678588606341E-2</v>
      </c>
      <c r="AD307">
        <v>-1.1457944993150115E-2</v>
      </c>
      <c r="AE307">
        <v>-8.7726739529069286E-3</v>
      </c>
      <c r="AF307">
        <v>-6.1422912840760624E-3</v>
      </c>
      <c r="AG307">
        <v>-6.6235231438316333E-4</v>
      </c>
      <c r="AH307">
        <v>-7.4848750120244381E-3</v>
      </c>
      <c r="AI307">
        <v>-4.6026731656744202E-3</v>
      </c>
      <c r="AJ307">
        <v>1.744186046511631E-2</v>
      </c>
      <c r="AK307">
        <v>6.2200106628740315E-4</v>
      </c>
      <c r="AL307">
        <v>-3.2975984797085633E-3</v>
      </c>
    </row>
    <row r="308" spans="1:38">
      <c r="A308" s="568">
        <v>44278</v>
      </c>
      <c r="B308">
        <v>1.0638977261790416E-4</v>
      </c>
      <c r="C308">
        <v>1.9489336895106568E-4</v>
      </c>
      <c r="D308">
        <v>9.4927408953449088E-5</v>
      </c>
      <c r="E308">
        <v>1.6288457365898346E-4</v>
      </c>
      <c r="F308">
        <v>2.0495729908076576E-4</v>
      </c>
      <c r="G308">
        <v>2.0636150339514714E-4</v>
      </c>
      <c r="H308">
        <v>2.2722512945683171E-4</v>
      </c>
      <c r="I308">
        <v>1.80763504766146E-4</v>
      </c>
      <c r="J308">
        <v>-1.9166883305059557E-3</v>
      </c>
      <c r="K308">
        <v>-1.0651899274761734E-3</v>
      </c>
      <c r="L308">
        <v>7.2831338527890033E-4</v>
      </c>
      <c r="M308">
        <v>7.4656332691458438E-4</v>
      </c>
      <c r="N308">
        <v>7.5202205952940027E-4</v>
      </c>
      <c r="O308">
        <v>5.4612392438491142E-4</v>
      </c>
      <c r="P308">
        <v>5.3573019985209136E-4</v>
      </c>
      <c r="Q308">
        <v>5.4958248556946643E-4</v>
      </c>
      <c r="R308">
        <v>-6.3993003759132971E-4</v>
      </c>
      <c r="S308">
        <v>-8.4413389440665121E-3</v>
      </c>
      <c r="T308">
        <v>-4.199066621494274E-3</v>
      </c>
      <c r="U308">
        <v>-4.4205293359668163E-3</v>
      </c>
      <c r="V308">
        <v>-6.4315504684725466E-3</v>
      </c>
      <c r="W308">
        <v>-1.984494665272063E-3</v>
      </c>
      <c r="X308">
        <v>2.9896545726879609E-3</v>
      </c>
      <c r="Y308">
        <v>-6.4315504684725466E-3</v>
      </c>
      <c r="Z308">
        <v>-4.7419822271244083E-4</v>
      </c>
      <c r="AA308">
        <v>3.3469711306826078E-3</v>
      </c>
      <c r="AC308">
        <v>-1.4933701725691084E-2</v>
      </c>
      <c r="AD308">
        <v>-1.4001956739670973E-2</v>
      </c>
      <c r="AE308">
        <v>-1.3667868743032274E-2</v>
      </c>
      <c r="AF308">
        <v>-7.4229950029494063E-3</v>
      </c>
      <c r="AG308">
        <v>-5.6694409179041116E-3</v>
      </c>
      <c r="AH308">
        <v>-1.0453591207983759E-2</v>
      </c>
      <c r="AI308">
        <v>-4.0695143485111052E-3</v>
      </c>
      <c r="AJ308">
        <v>-7.0687830687830022E-3</v>
      </c>
      <c r="AK308">
        <v>-1.5806766716987886E-2</v>
      </c>
      <c r="AL308">
        <v>-4.4624085402850122E-3</v>
      </c>
    </row>
    <row r="309" spans="1:38">
      <c r="A309" s="568">
        <v>44279</v>
      </c>
      <c r="B309">
        <v>1.0638977261790416E-4</v>
      </c>
      <c r="C309">
        <v>4.8334905980706999E-4</v>
      </c>
      <c r="D309">
        <v>8.4119299354368238E-5</v>
      </c>
      <c r="E309">
        <v>1.6288457365898346E-4</v>
      </c>
      <c r="F309">
        <v>3.5915740250969108E-4</v>
      </c>
      <c r="G309">
        <v>1.503534880102908E-4</v>
      </c>
      <c r="H309">
        <v>2.2717350992662588E-4</v>
      </c>
      <c r="I309">
        <v>1.9069113261838133E-4</v>
      </c>
      <c r="J309">
        <v>-2.1942446528788739E-4</v>
      </c>
      <c r="K309">
        <v>-1.3186045148282366E-3</v>
      </c>
      <c r="L309">
        <v>7.2831338527890033E-4</v>
      </c>
      <c r="M309">
        <v>7.4656332691458438E-4</v>
      </c>
      <c r="N309">
        <v>7.5202205952940027E-4</v>
      </c>
      <c r="O309">
        <v>5.4612392438491142E-4</v>
      </c>
      <c r="P309">
        <v>5.3573019985209136E-4</v>
      </c>
      <c r="Q309">
        <v>5.4958248556946643E-4</v>
      </c>
      <c r="R309">
        <v>-6.2128939364991531E-4</v>
      </c>
      <c r="S309">
        <v>1.6392170908874348E-3</v>
      </c>
      <c r="T309">
        <v>2.0928663813397641E-3</v>
      </c>
      <c r="U309">
        <v>-2.8866407048244724E-3</v>
      </c>
      <c r="V309">
        <v>-4.741746437333938E-3</v>
      </c>
      <c r="W309">
        <v>-8.5136764940907383E-4</v>
      </c>
      <c r="X309">
        <v>1.6664733764257811E-3</v>
      </c>
      <c r="Y309">
        <v>-4.741746437333938E-3</v>
      </c>
      <c r="Z309">
        <v>7.5891992883914128E-4</v>
      </c>
      <c r="AA309">
        <v>-4.7907398093467446E-3</v>
      </c>
      <c r="AC309">
        <v>-1.0573821005846584E-2</v>
      </c>
      <c r="AD309">
        <v>-2.3017307470103443E-2</v>
      </c>
      <c r="AE309">
        <v>-9.8004441536162501E-3</v>
      </c>
      <c r="AF309">
        <v>-6.0769091841298417E-3</v>
      </c>
      <c r="AG309">
        <v>-1.3863631652862196E-2</v>
      </c>
      <c r="AH309">
        <v>-7.4016747040926084E-3</v>
      </c>
      <c r="AI309">
        <v>-7.0520374126795682E-3</v>
      </c>
      <c r="AJ309">
        <v>1.0316310000852535E-2</v>
      </c>
      <c r="AK309">
        <v>-3.1579897139763613E-2</v>
      </c>
      <c r="AL309">
        <v>1.2763350736239687E-2</v>
      </c>
    </row>
    <row r="310" spans="1:38">
      <c r="A310" s="568">
        <v>44280</v>
      </c>
      <c r="B310">
        <v>1.0638977261790416E-4</v>
      </c>
      <c r="C310">
        <v>2.5849758871165918E-4</v>
      </c>
      <c r="D310">
        <v>7.1609055476429262E-5</v>
      </c>
      <c r="E310">
        <v>1.6288457365898346E-4</v>
      </c>
      <c r="F310">
        <v>1.8440199100822063E-4</v>
      </c>
      <c r="G310">
        <v>2.7111035993332422E-4</v>
      </c>
      <c r="H310">
        <v>2.2643781169406907E-4</v>
      </c>
      <c r="I310">
        <v>1.8953360273576969E-4</v>
      </c>
      <c r="J310">
        <v>1.3587857960704053E-3</v>
      </c>
      <c r="K310">
        <v>6.6805939393010938E-4</v>
      </c>
      <c r="L310">
        <v>7.2831338527890033E-4</v>
      </c>
      <c r="M310">
        <v>7.4656332691458438E-4</v>
      </c>
      <c r="N310">
        <v>7.5202205952940027E-4</v>
      </c>
      <c r="O310">
        <v>5.4612392438491142E-4</v>
      </c>
      <c r="P310">
        <v>5.3573019985209136E-4</v>
      </c>
      <c r="Q310">
        <v>5.4958248556946643E-4</v>
      </c>
      <c r="R310">
        <v>2.7732513451184104E-4</v>
      </c>
      <c r="S310">
        <v>5.8032761244630748E-4</v>
      </c>
      <c r="T310">
        <v>-2.6140335828339634E-4</v>
      </c>
      <c r="U310">
        <v>9.9451352265900184E-4</v>
      </c>
      <c r="V310">
        <v>4.4424575296972968E-3</v>
      </c>
      <c r="W310">
        <v>1.4372238680424587E-3</v>
      </c>
      <c r="X310">
        <v>2.4184635032824531E-3</v>
      </c>
      <c r="Y310">
        <v>4.4424575296972968E-3</v>
      </c>
      <c r="Z310">
        <v>-2.224511827240927E-3</v>
      </c>
      <c r="AA310">
        <v>-1.5793430904661454E-3</v>
      </c>
      <c r="AC310">
        <v>1.5042360989714787E-2</v>
      </c>
      <c r="AD310">
        <v>1.8561018731299228E-2</v>
      </c>
      <c r="AE310">
        <v>1.578537135953062E-2</v>
      </c>
      <c r="AF310">
        <v>4.7536748396286299E-3</v>
      </c>
      <c r="AG310">
        <v>9.6349802575521615E-3</v>
      </c>
      <c r="AH310">
        <v>1.0529652692800351E-2</v>
      </c>
      <c r="AI310">
        <v>9.2332924050175791E-3</v>
      </c>
      <c r="AJ310">
        <v>1.565400843881859E-2</v>
      </c>
      <c r="AK310">
        <v>-1.2484859778253976E-2</v>
      </c>
      <c r="AL310">
        <v>-2.429105175577706E-3</v>
      </c>
    </row>
    <row r="311" spans="1:38">
      <c r="A311" s="568">
        <v>44281</v>
      </c>
      <c r="B311">
        <v>1.0638977261790416E-4</v>
      </c>
      <c r="C311">
        <v>7.9418546714804528E-4</v>
      </c>
      <c r="D311">
        <v>8.2401345699256723E-5</v>
      </c>
      <c r="E311">
        <v>1.6288457365898346E-4</v>
      </c>
      <c r="F311">
        <v>1.9236467722505424E-4</v>
      </c>
      <c r="G311">
        <v>1.9298511956056252E-4</v>
      </c>
      <c r="H311">
        <v>2.2570260194054725E-4</v>
      </c>
      <c r="I311">
        <v>1.6993197972370311E-4</v>
      </c>
      <c r="J311">
        <v>1.4468414329575907E-3</v>
      </c>
      <c r="K311">
        <v>9.9722441522454019E-5</v>
      </c>
      <c r="L311">
        <v>7.2831338527890033E-4</v>
      </c>
      <c r="M311">
        <v>7.4656332691458438E-4</v>
      </c>
      <c r="N311">
        <v>7.5202205952940027E-4</v>
      </c>
      <c r="O311">
        <v>5.4612392438491142E-4</v>
      </c>
      <c r="P311">
        <v>5.3573019985209136E-4</v>
      </c>
      <c r="Q311">
        <v>5.4958248556946643E-4</v>
      </c>
      <c r="R311">
        <v>7.1309970301869363E-4</v>
      </c>
      <c r="S311">
        <v>8.3714331175406276E-3</v>
      </c>
      <c r="T311">
        <v>6.5438846371477233E-3</v>
      </c>
      <c r="U311">
        <v>1.3520873354078145E-3</v>
      </c>
      <c r="V311">
        <v>3.4054869286781475E-3</v>
      </c>
      <c r="W311">
        <v>6.9718500423137097E-3</v>
      </c>
      <c r="X311">
        <v>1.9079364256120446E-3</v>
      </c>
      <c r="Y311">
        <v>3.4054869286781475E-3</v>
      </c>
      <c r="Z311">
        <v>5.2588553141854621E-3</v>
      </c>
      <c r="AA311">
        <v>-3.3548637139491078E-4</v>
      </c>
      <c r="AC311">
        <v>9.0612826912375155E-3</v>
      </c>
      <c r="AD311">
        <v>7.2795368861864329E-3</v>
      </c>
      <c r="AE311">
        <v>7.4475197763974599E-3</v>
      </c>
      <c r="AF311">
        <v>4.9572074039394565E-3</v>
      </c>
      <c r="AG311">
        <v>2.1059210865881361E-3</v>
      </c>
      <c r="AH311">
        <v>6.3428978838662607E-3</v>
      </c>
      <c r="AI311">
        <v>-5.2892415930649861E-5</v>
      </c>
      <c r="AJ311">
        <v>2.5300153711935502E-2</v>
      </c>
      <c r="AK311">
        <v>1.820926502500253E-2</v>
      </c>
      <c r="AL311">
        <v>2.7412637068268131E-2</v>
      </c>
    </row>
    <row r="312" spans="1:38">
      <c r="A312" s="568">
        <v>44284</v>
      </c>
      <c r="B312">
        <v>1.0638977261790416E-4</v>
      </c>
      <c r="C312">
        <v>1.062071647219831E-4</v>
      </c>
      <c r="D312">
        <v>8.5235747872669521E-5</v>
      </c>
      <c r="E312">
        <v>1.6288457365898346E-4</v>
      </c>
      <c r="F312">
        <v>1.5235194988294509E-4</v>
      </c>
      <c r="G312">
        <v>2.5955063438409809E-4</v>
      </c>
      <c r="H312">
        <v>2.2633546471584332E-4</v>
      </c>
      <c r="I312">
        <v>2.4580801639828564E-4</v>
      </c>
      <c r="J312">
        <v>-5.9813449902079707E-4</v>
      </c>
      <c r="K312">
        <v>-3.6534980652402904E-4</v>
      </c>
      <c r="L312">
        <v>7.2831338527890033E-4</v>
      </c>
      <c r="M312">
        <v>7.4656332691458438E-4</v>
      </c>
      <c r="N312">
        <v>7.5202205952940027E-4</v>
      </c>
      <c r="O312">
        <v>5.4612392438491142E-4</v>
      </c>
      <c r="P312">
        <v>5.3573019985209136E-4</v>
      </c>
      <c r="Q312">
        <v>5.4958248556946643E-4</v>
      </c>
      <c r="R312">
        <v>-1.3281232242802199E-3</v>
      </c>
      <c r="S312">
        <v>-8.7584467025214607E-4</v>
      </c>
      <c r="T312">
        <v>1.8098840105669201E-3</v>
      </c>
      <c r="U312">
        <v>2.0515584586393576E-3</v>
      </c>
      <c r="V312">
        <v>-3.5738908265070535E-4</v>
      </c>
      <c r="W312">
        <v>-3.5944419657485405E-5</v>
      </c>
      <c r="X312">
        <v>1.8291634667400025E-3</v>
      </c>
      <c r="Y312">
        <v>-3.5738908265070535E-4</v>
      </c>
      <c r="Z312">
        <v>3.4198821362050325E-3</v>
      </c>
      <c r="AA312">
        <v>8.9748985938364889E-4</v>
      </c>
      <c r="AC312">
        <v>5.5593008645535846E-3</v>
      </c>
      <c r="AD312">
        <v>-2.8124353818255177E-3</v>
      </c>
      <c r="AE312">
        <v>1.0207219009512603E-3</v>
      </c>
      <c r="AF312">
        <v>-6.2284738241380477E-4</v>
      </c>
      <c r="AG312">
        <v>2.5338500429228361E-3</v>
      </c>
      <c r="AH312">
        <v>3.891510605187509E-3</v>
      </c>
      <c r="AI312">
        <v>-1.9533906651858501E-3</v>
      </c>
      <c r="AJ312">
        <v>4.3354943273905544E-3</v>
      </c>
      <c r="AK312">
        <v>-2.0385470719050947E-3</v>
      </c>
      <c r="AL312">
        <v>-2.3649057218019243E-3</v>
      </c>
    </row>
    <row r="313" spans="1:38">
      <c r="A313" s="568">
        <v>44285</v>
      </c>
      <c r="B313">
        <v>1.0638977261790416E-4</v>
      </c>
      <c r="C313">
        <v>2.5230836787382138E-4</v>
      </c>
      <c r="D313">
        <v>8.1251154135708603E-5</v>
      </c>
      <c r="E313">
        <v>1.6288457365898346E-4</v>
      </c>
      <c r="F313">
        <v>1.8918963329639382E-4</v>
      </c>
      <c r="G313">
        <v>1.9670814398398129E-4</v>
      </c>
      <c r="H313">
        <v>2.2628424856541152E-4</v>
      </c>
      <c r="I313">
        <v>1.8325678650166211E-4</v>
      </c>
      <c r="J313">
        <v>1.6307415486178645E-3</v>
      </c>
      <c r="K313">
        <v>2.2061473171754997E-3</v>
      </c>
      <c r="L313">
        <v>7.2831338527890033E-4</v>
      </c>
      <c r="M313">
        <v>7.4656332691458438E-4</v>
      </c>
      <c r="N313">
        <v>7.5202205952940027E-4</v>
      </c>
      <c r="O313">
        <v>5.4612392438491142E-4</v>
      </c>
      <c r="P313">
        <v>5.3573019985209136E-4</v>
      </c>
      <c r="Q313">
        <v>5.4958248556946643E-4</v>
      </c>
      <c r="R313">
        <v>-1.3778688428789376E-4</v>
      </c>
      <c r="S313">
        <v>1.4799775009808336E-3</v>
      </c>
      <c r="T313">
        <v>6.3918235205051577E-3</v>
      </c>
      <c r="U313">
        <v>1.3051307550531188E-3</v>
      </c>
      <c r="V313">
        <v>2.7663183624206944E-3</v>
      </c>
      <c r="W313">
        <v>-1.5399599347956094E-3</v>
      </c>
      <c r="X313">
        <v>1.4047669273435925E-3</v>
      </c>
      <c r="Y313">
        <v>2.7663183624206944E-3</v>
      </c>
      <c r="Z313">
        <v>-4.8137556683481852E-3</v>
      </c>
      <c r="AA313">
        <v>-2.1921224523162586E-3</v>
      </c>
      <c r="AC313">
        <v>1.2397902177393672E-2</v>
      </c>
      <c r="AD313">
        <v>1.8976411222657807E-2</v>
      </c>
      <c r="AE313">
        <v>1.0780305860667916E-2</v>
      </c>
      <c r="AF313">
        <v>7.4938998360825071E-3</v>
      </c>
      <c r="AG313">
        <v>6.9974228439699804E-3</v>
      </c>
      <c r="AH313">
        <v>8.678531524175569E-3</v>
      </c>
      <c r="AI313">
        <v>6.549356201372758E-3</v>
      </c>
      <c r="AJ313">
        <v>-1.4927179569935722E-3</v>
      </c>
      <c r="AK313">
        <v>1.021355617455888E-2</v>
      </c>
      <c r="AL313">
        <v>-2.740812127535408E-3</v>
      </c>
    </row>
    <row r="314" spans="1:38">
      <c r="A314" s="568">
        <v>44286</v>
      </c>
      <c r="B314">
        <v>1.0638977261790416E-4</v>
      </c>
      <c r="C314">
        <v>4.2245936513429783E-4</v>
      </c>
      <c r="D314">
        <v>7.6699403108282382E-5</v>
      </c>
      <c r="E314">
        <v>1.6288457365898346E-4</v>
      </c>
      <c r="F314">
        <v>2.797345629814707E-4</v>
      </c>
      <c r="G314">
        <v>2.1428875514506451E-4</v>
      </c>
      <c r="H314">
        <v>2.2418260493362041E-4</v>
      </c>
      <c r="I314">
        <v>1.9199351783960594E-4</v>
      </c>
      <c r="J314">
        <v>7.1741627550281351E-4</v>
      </c>
      <c r="K314">
        <v>1.6848040284083154E-3</v>
      </c>
      <c r="L314">
        <v>7.2831338527890033E-4</v>
      </c>
      <c r="M314">
        <v>7.4656332691458438E-4</v>
      </c>
      <c r="N314">
        <v>7.5202205952940027E-4</v>
      </c>
      <c r="O314">
        <v>5.4612392438491142E-4</v>
      </c>
      <c r="P314">
        <v>5.3573019985209136E-4</v>
      </c>
      <c r="Q314">
        <v>5.4958248556946643E-4</v>
      </c>
      <c r="R314">
        <v>1.6955043910240608E-3</v>
      </c>
      <c r="S314">
        <v>2.7148012103708208E-3</v>
      </c>
      <c r="T314">
        <v>-1.8476392191568713E-4</v>
      </c>
      <c r="U314">
        <v>2.2220712398854925E-3</v>
      </c>
      <c r="V314">
        <v>2.1391834691182332E-3</v>
      </c>
      <c r="W314">
        <v>3.6012580974020825E-3</v>
      </c>
      <c r="X314">
        <v>-7.4131197864391041E-4</v>
      </c>
      <c r="Y314">
        <v>2.1391834691182332E-3</v>
      </c>
      <c r="Z314">
        <v>-1.8853688425941595E-3</v>
      </c>
      <c r="AA314">
        <v>-1.2727352699809513E-3</v>
      </c>
      <c r="AC314">
        <v>-1.8481010686636212E-3</v>
      </c>
      <c r="AD314">
        <v>-2.3829954611087611E-3</v>
      </c>
      <c r="AE314">
        <v>1.5091294050268989E-3</v>
      </c>
      <c r="AF314">
        <v>2.3402307108577602E-3</v>
      </c>
      <c r="AG314">
        <v>7.6427163148868882E-3</v>
      </c>
      <c r="AH314">
        <v>-1.2936707480645348E-3</v>
      </c>
      <c r="AI314">
        <v>4.0252888891625371E-3</v>
      </c>
      <c r="AJ314">
        <v>-1.7373737373737375E-2</v>
      </c>
      <c r="AK314">
        <v>-3.7683823529411908E-3</v>
      </c>
      <c r="AL314">
        <v>-1.332642070225043E-2</v>
      </c>
    </row>
    <row r="315" spans="1:38">
      <c r="A315" s="568">
        <v>44287</v>
      </c>
      <c r="B315">
        <v>1.0638977261790416E-4</v>
      </c>
      <c r="C315">
        <v>8.7491354799462684E-5</v>
      </c>
      <c r="D315">
        <v>8.80555238365055E-5</v>
      </c>
      <c r="E315">
        <v>1.6288457365898346E-4</v>
      </c>
      <c r="F315">
        <v>1.5935972016611899E-4</v>
      </c>
      <c r="G315">
        <v>1.9472294162858894E-4</v>
      </c>
      <c r="H315">
        <v>2.2481568871834945E-4</v>
      </c>
      <c r="I315">
        <v>1.8742444160824157E-4</v>
      </c>
      <c r="J315">
        <v>1.0815362169460663E-3</v>
      </c>
      <c r="K315">
        <v>3.2568642226382671E-4</v>
      </c>
      <c r="L315">
        <v>4.8041964915990221E-4</v>
      </c>
      <c r="M315">
        <v>4.9866507004203697E-4</v>
      </c>
      <c r="N315">
        <v>5.0412245045583504E-4</v>
      </c>
      <c r="O315">
        <v>5.4612392438491142E-4</v>
      </c>
      <c r="P315">
        <v>5.3573019985209136E-4</v>
      </c>
      <c r="Q315">
        <v>5.4958248556946643E-4</v>
      </c>
      <c r="R315">
        <v>2.735484092859064E-3</v>
      </c>
      <c r="S315">
        <v>5.5616384419487908E-4</v>
      </c>
      <c r="T315">
        <v>-3.2937082661026462E-3</v>
      </c>
      <c r="U315">
        <v>-7.4919661085159905E-4</v>
      </c>
      <c r="V315">
        <v>8.276056963494316E-4</v>
      </c>
      <c r="W315">
        <v>5.4764537542006941E-3</v>
      </c>
      <c r="X315">
        <v>-1.2676800942655886E-3</v>
      </c>
      <c r="Y315">
        <v>8.276056963494316E-4</v>
      </c>
      <c r="Z315">
        <v>1.1049744009894447E-4</v>
      </c>
      <c r="AA315">
        <v>5.3948870360476242E-4</v>
      </c>
      <c r="AC315">
        <v>-1.1835428039164042E-2</v>
      </c>
      <c r="AD315">
        <v>-1.4155117157961805E-2</v>
      </c>
      <c r="AE315">
        <v>-1.2535803488872954E-2</v>
      </c>
      <c r="AF315">
        <v>-2.9704402285806175E-3</v>
      </c>
      <c r="AG315">
        <v>-5.497189300668559E-3</v>
      </c>
      <c r="AH315">
        <v>-8.2847996274148291E-3</v>
      </c>
      <c r="AI315">
        <v>8.9254883341263191E-3</v>
      </c>
      <c r="AJ315">
        <v>2.5493421052631637E-2</v>
      </c>
      <c r="AK315">
        <v>2.5186825352892406E-2</v>
      </c>
      <c r="AL315">
        <v>1.5881102189915008E-2</v>
      </c>
    </row>
    <row r="316" spans="1:38">
      <c r="A316" s="568">
        <v>44291</v>
      </c>
      <c r="B316">
        <v>1.0638977261790416E-4</v>
      </c>
      <c r="C316">
        <v>1.8605576110042321E-4</v>
      </c>
      <c r="D316">
        <v>6.7597965926147197E-5</v>
      </c>
      <c r="E316">
        <v>1.6288457365898346E-4</v>
      </c>
      <c r="F316">
        <v>1.8330105222785775E-4</v>
      </c>
      <c r="G316">
        <v>9.6247710189789615E-5</v>
      </c>
      <c r="H316">
        <v>2.2476515798453001E-4</v>
      </c>
      <c r="I316">
        <v>3.1336872057474707E-4</v>
      </c>
      <c r="J316">
        <v>-2.6290828663289023E-4</v>
      </c>
      <c r="K316">
        <v>-3.5380304719390132E-5</v>
      </c>
      <c r="L316">
        <v>4.8041964915990221E-4</v>
      </c>
      <c r="M316">
        <v>4.9866507004203697E-4</v>
      </c>
      <c r="N316">
        <v>5.0412245045583504E-4</v>
      </c>
      <c r="O316">
        <v>5.4612392438491142E-4</v>
      </c>
      <c r="P316">
        <v>5.3573019985209136E-4</v>
      </c>
      <c r="Q316">
        <v>5.4958248556946643E-4</v>
      </c>
      <c r="R316">
        <v>-2.045709980798005E-4</v>
      </c>
      <c r="S316">
        <v>1.4604253333840855E-3</v>
      </c>
      <c r="T316">
        <v>-1.902688659652485E-3</v>
      </c>
      <c r="U316">
        <v>4.6843645814427237E-3</v>
      </c>
      <c r="V316">
        <v>0</v>
      </c>
      <c r="W316">
        <v>5.0077469159572896E-3</v>
      </c>
      <c r="X316">
        <v>5.9059830118490808E-4</v>
      </c>
      <c r="Y316">
        <v>0</v>
      </c>
      <c r="Z316">
        <v>1.4622275341240609E-3</v>
      </c>
      <c r="AA316">
        <v>-1.891946839371883E-5</v>
      </c>
      <c r="AC316">
        <v>1.9653491947433155E-2</v>
      </c>
      <c r="AD316">
        <v>2.0826391448425685E-2</v>
      </c>
      <c r="AE316">
        <v>1.7816744162948206E-2</v>
      </c>
      <c r="AF316">
        <v>9.2728250722446948E-3</v>
      </c>
      <c r="AG316">
        <v>1.5454032133518814E-2</v>
      </c>
      <c r="AH316">
        <v>1.3757444363203208E-2</v>
      </c>
      <c r="AI316">
        <v>2.9954571486663362E-3</v>
      </c>
      <c r="AJ316">
        <v>8.4202085004010385E-3</v>
      </c>
      <c r="AK316">
        <v>0</v>
      </c>
      <c r="AL316">
        <v>-7.0018697694971266E-3</v>
      </c>
    </row>
    <row r="317" spans="1:38">
      <c r="A317" s="568">
        <v>44292</v>
      </c>
      <c r="B317">
        <v>1.0638977261790416E-4</v>
      </c>
      <c r="C317">
        <v>1.3374451945025179E-4</v>
      </c>
      <c r="D317">
        <v>1.4427498129809813E-4</v>
      </c>
      <c r="E317">
        <v>1.6288457365898346E-4</v>
      </c>
      <c r="F317">
        <v>2.3074837466596776E-4</v>
      </c>
      <c r="G317">
        <v>2.1989200161387501E-4</v>
      </c>
      <c r="H317">
        <v>2.2608069646512519E-4</v>
      </c>
      <c r="I317">
        <v>1.9788098657236297E-4</v>
      </c>
      <c r="J317">
        <v>-6.814849118381705E-4</v>
      </c>
      <c r="K317">
        <v>-4.1841365186556789E-4</v>
      </c>
      <c r="L317">
        <v>4.8041964915990221E-4</v>
      </c>
      <c r="M317">
        <v>4.9866507004203697E-4</v>
      </c>
      <c r="N317">
        <v>5.0412245045583504E-4</v>
      </c>
      <c r="O317">
        <v>5.4612392438491142E-4</v>
      </c>
      <c r="P317">
        <v>5.3573019985209136E-4</v>
      </c>
      <c r="Q317">
        <v>5.4958248556946643E-4</v>
      </c>
      <c r="R317">
        <v>1.4028845511779853E-3</v>
      </c>
      <c r="S317">
        <v>7.9573221493389745E-4</v>
      </c>
      <c r="T317">
        <v>-3.1995385748835314E-3</v>
      </c>
      <c r="U317">
        <v>-1.5424215249683071E-3</v>
      </c>
      <c r="V317">
        <v>3.9379607313210219E-3</v>
      </c>
      <c r="W317">
        <v>-1.016505823214886E-3</v>
      </c>
      <c r="X317">
        <v>-2.4686382592759015E-3</v>
      </c>
      <c r="Y317">
        <v>3.9379607313210219E-3</v>
      </c>
      <c r="Z317">
        <v>1.3095082481504594E-3</v>
      </c>
      <c r="AA317">
        <v>3.5359386839628471E-4</v>
      </c>
      <c r="AC317">
        <v>-1.6652705737074669E-4</v>
      </c>
      <c r="AD317">
        <v>1.4425658371706174E-3</v>
      </c>
      <c r="AE317">
        <v>1.8459799515313513E-4</v>
      </c>
      <c r="AF317">
        <v>1.462513861280712E-3</v>
      </c>
      <c r="AG317">
        <v>3.8636836563659127E-3</v>
      </c>
      <c r="AH317">
        <v>-1.1656894015952267E-4</v>
      </c>
      <c r="AI317">
        <v>9.4746650839270252E-3</v>
      </c>
      <c r="AJ317">
        <v>-1.395626242544723E-2</v>
      </c>
      <c r="AK317">
        <v>7.1994240460762082E-3</v>
      </c>
      <c r="AL317">
        <v>-7.471236410691362E-3</v>
      </c>
    </row>
    <row r="318" spans="1:38">
      <c r="A318" s="568">
        <v>44293</v>
      </c>
      <c r="B318">
        <v>1.0638977261790416E-4</v>
      </c>
      <c r="C318">
        <v>5.9756985247405581E-5</v>
      </c>
      <c r="D318">
        <v>7.8942242107471472E-5</v>
      </c>
      <c r="E318">
        <v>1.6288457365898346E-4</v>
      </c>
      <c r="F318">
        <v>1.6902855606582001E-4</v>
      </c>
      <c r="G318">
        <v>2.0908940280284227E-4</v>
      </c>
      <c r="H318">
        <v>2.2807820214287844E-4</v>
      </c>
      <c r="I318">
        <v>1.9564156297380286E-4</v>
      </c>
      <c r="J318">
        <v>-5.6313934459717441E-4</v>
      </c>
      <c r="K318">
        <v>-1.1969854707655214E-3</v>
      </c>
      <c r="L318">
        <v>4.8041964915990221E-4</v>
      </c>
      <c r="M318">
        <v>4.9866507004203697E-4</v>
      </c>
      <c r="N318">
        <v>5.0412245045583504E-4</v>
      </c>
      <c r="O318">
        <v>5.4612392438491142E-4</v>
      </c>
      <c r="P318">
        <v>5.3573019985209136E-4</v>
      </c>
      <c r="Q318">
        <v>5.4958248556946643E-4</v>
      </c>
      <c r="R318">
        <v>2.5693715011598783E-5</v>
      </c>
      <c r="S318">
        <v>9.2235121480266358E-5</v>
      </c>
      <c r="T318">
        <v>-8.665336032810389E-4</v>
      </c>
      <c r="U318">
        <v>5.7740835738062657E-4</v>
      </c>
      <c r="V318">
        <v>2.2600913076820106E-5</v>
      </c>
      <c r="W318">
        <v>4.8113179344855261E-4</v>
      </c>
      <c r="X318">
        <v>1.4236070609348062E-3</v>
      </c>
      <c r="Y318">
        <v>2.2600913076820106E-5</v>
      </c>
      <c r="Z318">
        <v>2.0197858598802743E-3</v>
      </c>
      <c r="AA318">
        <v>3.1488242297670332E-3</v>
      </c>
      <c r="AC318">
        <v>1.0613719093639506E-3</v>
      </c>
      <c r="AD318">
        <v>4.5442490849745276E-4</v>
      </c>
      <c r="AE318">
        <v>6.0938670035382003E-4</v>
      </c>
      <c r="AF318">
        <v>3.4602991501799796E-3</v>
      </c>
      <c r="AG318">
        <v>1.2422345913729593E-3</v>
      </c>
      <c r="AH318">
        <v>7.4296033655476537E-4</v>
      </c>
      <c r="AI318">
        <v>-4.6474926610473588E-6</v>
      </c>
      <c r="AJ318">
        <v>9.1132706963990007E-3</v>
      </c>
      <c r="AK318">
        <v>-1.7333809864188643E-2</v>
      </c>
      <c r="AL318">
        <v>1.1712558163133657E-2</v>
      </c>
    </row>
    <row r="319" spans="1:38">
      <c r="A319" s="568">
        <v>44294</v>
      </c>
      <c r="B319">
        <v>1.0638977261790416E-4</v>
      </c>
      <c r="C319">
        <v>2.1210512918656832E-4</v>
      </c>
      <c r="D319">
        <v>8.8022170229073993E-5</v>
      </c>
      <c r="E319">
        <v>1.6288457365898346E-4</v>
      </c>
      <c r="F319">
        <v>5.8107608193358473E-5</v>
      </c>
      <c r="G319">
        <v>3.9192499398654768E-4</v>
      </c>
      <c r="H319">
        <v>2.2666076802502211E-4</v>
      </c>
      <c r="I319">
        <v>1.9734305181051681E-4</v>
      </c>
      <c r="J319">
        <v>4.6842656994396936E-3</v>
      </c>
      <c r="K319">
        <v>2.7243846627500456E-3</v>
      </c>
      <c r="L319">
        <v>4.8041964915990221E-4</v>
      </c>
      <c r="M319">
        <v>4.9866507004203697E-4</v>
      </c>
      <c r="N319">
        <v>5.0412245045583504E-4</v>
      </c>
      <c r="O319">
        <v>5.4612392438491142E-4</v>
      </c>
      <c r="P319">
        <v>5.3573019985209136E-4</v>
      </c>
      <c r="Q319">
        <v>5.4958248556946643E-4</v>
      </c>
      <c r="R319">
        <v>1.051580031113053E-3</v>
      </c>
      <c r="S319">
        <v>-6.9579691729271254E-5</v>
      </c>
      <c r="T319">
        <v>-2.6947251160639452E-3</v>
      </c>
      <c r="U319">
        <v>2.121878368683161E-3</v>
      </c>
      <c r="V319">
        <v>2.0365473616541507E-3</v>
      </c>
      <c r="W319">
        <v>9.6687481254464913E-4</v>
      </c>
      <c r="X319">
        <v>-1.8080624561130909E-3</v>
      </c>
      <c r="Y319">
        <v>2.0365473616541507E-3</v>
      </c>
      <c r="Z319">
        <v>-2.5631571884743298E-3</v>
      </c>
      <c r="AA319">
        <v>1.5392493987702593E-3</v>
      </c>
      <c r="AC319">
        <v>5.8631951178496067E-3</v>
      </c>
      <c r="AD319">
        <v>5.4909603932580264E-3</v>
      </c>
      <c r="AE319">
        <v>7.7697524117452677E-3</v>
      </c>
      <c r="AF319">
        <v>7.025076433482047E-3</v>
      </c>
      <c r="AG319">
        <v>5.3767290140602775E-3</v>
      </c>
      <c r="AH319">
        <v>4.1042365824947242E-3</v>
      </c>
      <c r="AI319">
        <v>1.9490327419527498E-2</v>
      </c>
      <c r="AJ319">
        <v>-6.9930069930069783E-3</v>
      </c>
      <c r="AK319">
        <v>3.818876159301654E-3</v>
      </c>
      <c r="AL319">
        <v>-5.1608960488207511E-3</v>
      </c>
    </row>
    <row r="320" spans="1:38">
      <c r="A320" s="568">
        <v>44295</v>
      </c>
      <c r="B320">
        <v>1.0638977261790416E-4</v>
      </c>
      <c r="C320">
        <v>1.7717594982946672E-4</v>
      </c>
      <c r="D320">
        <v>5.9622673651116287E-5</v>
      </c>
      <c r="E320">
        <v>1.6288457365898346E-4</v>
      </c>
      <c r="F320">
        <v>3.7435092915760748E-4</v>
      </c>
      <c r="G320">
        <v>-2.0354234056441101E-5</v>
      </c>
      <c r="H320">
        <v>2.2660940456331602E-4</v>
      </c>
      <c r="I320">
        <v>1.9371815309532359E-4</v>
      </c>
      <c r="J320">
        <v>-3.7967760642756421E-3</v>
      </c>
      <c r="K320">
        <v>-4.4497722069393175E-3</v>
      </c>
      <c r="L320">
        <v>4.8041964915990221E-4</v>
      </c>
      <c r="M320">
        <v>4.9866507004203697E-4</v>
      </c>
      <c r="N320">
        <v>5.0412245045583504E-4</v>
      </c>
      <c r="O320">
        <v>5.4612392438491142E-4</v>
      </c>
      <c r="P320">
        <v>5.3573019985209136E-4</v>
      </c>
      <c r="Q320">
        <v>5.4958248556946643E-4</v>
      </c>
      <c r="R320">
        <v>-4.9498839527206684E-4</v>
      </c>
      <c r="S320">
        <v>1.0966641666401156E-3</v>
      </c>
      <c r="T320">
        <v>2.610422183262795E-3</v>
      </c>
      <c r="U320">
        <v>5.0493178856991783E-4</v>
      </c>
      <c r="V320">
        <v>5.4130725702572491E-4</v>
      </c>
      <c r="W320">
        <v>2.3717650133401325E-3</v>
      </c>
      <c r="X320">
        <v>2.4109863936330189E-3</v>
      </c>
      <c r="Y320">
        <v>5.4130725702572491E-4</v>
      </c>
      <c r="Z320">
        <v>2.37904413992851E-3</v>
      </c>
      <c r="AA320">
        <v>1.1459833485276683E-3</v>
      </c>
      <c r="AC320">
        <v>-5.4375153142214305E-3</v>
      </c>
      <c r="AD320">
        <v>-5.6554243870987619E-3</v>
      </c>
      <c r="AE320">
        <v>-5.0483976139833464E-3</v>
      </c>
      <c r="AF320">
        <v>2.4200145036270548E-3</v>
      </c>
      <c r="AG320">
        <v>7.7193409108899935E-4</v>
      </c>
      <c r="AH320">
        <v>-3.8062607199550011E-3</v>
      </c>
      <c r="AI320">
        <v>1.4679952836593735E-3</v>
      </c>
      <c r="AJ320">
        <v>2.2132796780684139E-2</v>
      </c>
      <c r="AK320">
        <v>-1.4039855072463858E-2</v>
      </c>
      <c r="AL320">
        <v>1.3895529903426462E-2</v>
      </c>
    </row>
    <row r="321" spans="1:38">
      <c r="A321" s="568">
        <v>44298</v>
      </c>
      <c r="B321">
        <v>1.0638977261790416E-4</v>
      </c>
      <c r="C321">
        <v>1.5301868074057978E-4</v>
      </c>
      <c r="D321">
        <v>4.4856289533212745E-5</v>
      </c>
      <c r="E321">
        <v>1.6288457365898346E-4</v>
      </c>
      <c r="F321">
        <v>2.4873493236055033E-4</v>
      </c>
      <c r="G321">
        <v>3.1349963081028775E-4</v>
      </c>
      <c r="H321">
        <v>2.2724046818356491E-4</v>
      </c>
      <c r="I321">
        <v>2.6477977041472478E-4</v>
      </c>
      <c r="J321">
        <v>-7.4229241251211331E-4</v>
      </c>
      <c r="K321">
        <v>-2.3644069162453984E-4</v>
      </c>
      <c r="L321">
        <v>4.8041964915990221E-4</v>
      </c>
      <c r="M321">
        <v>4.9866507004203697E-4</v>
      </c>
      <c r="N321">
        <v>5.0412245045583504E-4</v>
      </c>
      <c r="O321">
        <v>5.4612392438491142E-4</v>
      </c>
      <c r="P321">
        <v>5.3573019985209136E-4</v>
      </c>
      <c r="Q321">
        <v>5.4958248556946643E-4</v>
      </c>
      <c r="R321">
        <v>1.100518955832186E-5</v>
      </c>
      <c r="S321">
        <v>1.0556480968604287E-3</v>
      </c>
      <c r="T321">
        <v>-2.1546179619430506E-3</v>
      </c>
      <c r="U321">
        <v>-2.9105110300298165E-4</v>
      </c>
      <c r="V321">
        <v>1.1346274264245615E-3</v>
      </c>
      <c r="W321">
        <v>6.3550679278656652E-4</v>
      </c>
      <c r="X321">
        <v>-4.948953343701934E-4</v>
      </c>
      <c r="Y321">
        <v>1.1346274264245615E-3</v>
      </c>
      <c r="Z321">
        <v>7.7688575922274516E-4</v>
      </c>
      <c r="AA321">
        <v>2.0099379894267244E-3</v>
      </c>
      <c r="AC321">
        <v>9.7037560157695602E-3</v>
      </c>
      <c r="AD321">
        <v>1.5203548002293177E-2</v>
      </c>
      <c r="AE321">
        <v>8.7445440142972508E-3</v>
      </c>
      <c r="AF321">
        <v>9.8990833026624259E-4</v>
      </c>
      <c r="AG321">
        <v>5.6194243993643589E-3</v>
      </c>
      <c r="AH321">
        <v>6.7926292110386914E-3</v>
      </c>
      <c r="AI321">
        <v>5.2787500440734103E-3</v>
      </c>
      <c r="AJ321">
        <v>1.0000000000000009E-2</v>
      </c>
      <c r="AK321">
        <v>-1.2861736334405238E-3</v>
      </c>
      <c r="AL321">
        <v>-1.5512739764954375E-2</v>
      </c>
    </row>
    <row r="322" spans="1:38">
      <c r="A322" s="568">
        <v>44299</v>
      </c>
      <c r="B322">
        <v>1.0638977261790416E-4</v>
      </c>
      <c r="C322">
        <v>8.4489660665099109E-5</v>
      </c>
      <c r="D322">
        <v>5.6209790837202789E-5</v>
      </c>
      <c r="E322">
        <v>1.6288457365898346E-4</v>
      </c>
      <c r="F322">
        <v>1.7243106525155483E-4</v>
      </c>
      <c r="G322">
        <v>1.4015583541304721E-4</v>
      </c>
      <c r="H322">
        <v>2.2650659291101327E-4</v>
      </c>
      <c r="I322">
        <v>2.1167776232444702E-4</v>
      </c>
      <c r="J322">
        <v>-3.1077171944187132E-3</v>
      </c>
      <c r="K322">
        <v>-1.9944441796708734E-3</v>
      </c>
      <c r="L322">
        <v>4.8041964915990221E-4</v>
      </c>
      <c r="M322">
        <v>4.9866507004203697E-4</v>
      </c>
      <c r="N322">
        <v>5.0412245045583504E-4</v>
      </c>
      <c r="O322">
        <v>5.4612392438491142E-4</v>
      </c>
      <c r="P322">
        <v>5.3573019985209136E-4</v>
      </c>
      <c r="Q322">
        <v>5.4958248556946643E-4</v>
      </c>
      <c r="R322">
        <v>2.0175958816588402E-3</v>
      </c>
      <c r="S322">
        <v>6.9695202620856378E-4</v>
      </c>
      <c r="T322">
        <v>-5.7470618181952871E-3</v>
      </c>
      <c r="U322">
        <v>2.0381123866710649E-3</v>
      </c>
      <c r="V322">
        <v>-1.6262074590389641E-4</v>
      </c>
      <c r="W322">
        <v>8.7095051529839651E-4</v>
      </c>
      <c r="X322">
        <v>-2.1342884036820164E-3</v>
      </c>
      <c r="Y322">
        <v>-1.6262074590389641E-4</v>
      </c>
      <c r="Z322">
        <v>2.1173949817920867E-3</v>
      </c>
      <c r="AA322">
        <v>5.39272840793803E-4</v>
      </c>
      <c r="AC322">
        <v>4.0853706881154306E-3</v>
      </c>
      <c r="AD322">
        <v>-6.1316317784809726E-4</v>
      </c>
      <c r="AE322">
        <v>9.383513450265113E-4</v>
      </c>
      <c r="AF322">
        <v>-8.7183576773219862E-4</v>
      </c>
      <c r="AG322">
        <v>-1.1076241138563425E-4</v>
      </c>
      <c r="AH322">
        <v>2.8597594816808011E-3</v>
      </c>
      <c r="AI322">
        <v>-8.1974030341500637E-3</v>
      </c>
      <c r="AJ322">
        <v>2.572698214703184E-3</v>
      </c>
      <c r="AK322">
        <v>-2.8516235856865801E-3</v>
      </c>
      <c r="AL322">
        <v>-9.9030468971118557E-3</v>
      </c>
    </row>
    <row r="323" spans="1:38">
      <c r="A323" s="568">
        <v>44300</v>
      </c>
      <c r="B323">
        <v>1.0638977261790416E-4</v>
      </c>
      <c r="C323">
        <v>1.8280491379263353E-4</v>
      </c>
      <c r="D323">
        <v>1.5272306935898428E-4</v>
      </c>
      <c r="E323">
        <v>1.6288457365898346E-4</v>
      </c>
      <c r="F323">
        <v>1.0858181950346157E-4</v>
      </c>
      <c r="G323">
        <v>1.4717152584653448E-4</v>
      </c>
      <c r="H323">
        <v>2.2781948784267314E-4</v>
      </c>
      <c r="I323">
        <v>2.0759289226335298E-4</v>
      </c>
      <c r="J323">
        <v>1.8277855048256519E-3</v>
      </c>
      <c r="K323">
        <v>2.1455401751429015E-3</v>
      </c>
      <c r="L323">
        <v>4.8041964915990221E-4</v>
      </c>
      <c r="M323">
        <v>4.9866507004203697E-4</v>
      </c>
      <c r="N323">
        <v>5.0412245045583504E-4</v>
      </c>
      <c r="O323">
        <v>5.4612392438491142E-4</v>
      </c>
      <c r="P323">
        <v>5.3573019985209136E-4</v>
      </c>
      <c r="Q323">
        <v>5.4958248556946643E-4</v>
      </c>
      <c r="R323">
        <v>7.6819349445655938E-4</v>
      </c>
      <c r="S323">
        <v>3.6195463227566282E-3</v>
      </c>
      <c r="T323">
        <v>3.5264549260634048E-3</v>
      </c>
      <c r="U323">
        <v>-4.8203654273815122E-4</v>
      </c>
      <c r="V323">
        <v>1.2761549202022771E-4</v>
      </c>
      <c r="W323">
        <v>-2.3429557598784179E-3</v>
      </c>
      <c r="X323">
        <v>-7.3781222422519832E-4</v>
      </c>
      <c r="Y323">
        <v>1.2761549202022771E-4</v>
      </c>
      <c r="Z323">
        <v>-2.0866752403114752E-4</v>
      </c>
      <c r="AA323">
        <v>4.874315301190979E-4</v>
      </c>
      <c r="AC323">
        <v>8.3618943724796946E-3</v>
      </c>
      <c r="AD323">
        <v>7.1896102462700728E-3</v>
      </c>
      <c r="AE323">
        <v>7.718514112505348E-3</v>
      </c>
      <c r="AF323">
        <v>5.7938814572806585E-3</v>
      </c>
      <c r="AG323">
        <v>6.6444189801284637E-6</v>
      </c>
      <c r="AH323">
        <v>5.853326060735786E-3</v>
      </c>
      <c r="AI323">
        <v>5.7548283833941394E-3</v>
      </c>
      <c r="AJ323">
        <v>-1.1314152410575429E-2</v>
      </c>
      <c r="AK323">
        <v>8.3948339483395085E-3</v>
      </c>
      <c r="AL323">
        <v>1.5344500456641263E-2</v>
      </c>
    </row>
    <row r="324" spans="1:38">
      <c r="A324" s="568">
        <v>44301</v>
      </c>
      <c r="B324">
        <v>1.0638977261790416E-4</v>
      </c>
      <c r="C324">
        <v>1.9739676367058756E-4</v>
      </c>
      <c r="D324">
        <v>6.9254161068066367E-5</v>
      </c>
      <c r="E324">
        <v>1.6288457365898346E-4</v>
      </c>
      <c r="F324">
        <v>4.5953927310371512E-4</v>
      </c>
      <c r="G324">
        <v>1.5874695231965497E-4</v>
      </c>
      <c r="H324">
        <v>2.2640372011317744E-4</v>
      </c>
      <c r="I324">
        <v>2.1297026623856574E-4</v>
      </c>
      <c r="J324">
        <v>2.1386832127101574E-3</v>
      </c>
      <c r="K324">
        <v>3.8848039093590803E-3</v>
      </c>
      <c r="L324">
        <v>4.8041964915990221E-4</v>
      </c>
      <c r="M324">
        <v>4.9866507004203697E-4</v>
      </c>
      <c r="N324">
        <v>5.0412245045583504E-4</v>
      </c>
      <c r="O324">
        <v>5.4612392438491142E-4</v>
      </c>
      <c r="P324">
        <v>5.3573019985209136E-4</v>
      </c>
      <c r="Q324">
        <v>5.4958248556946643E-4</v>
      </c>
      <c r="R324">
        <v>2.0680795698493348E-3</v>
      </c>
      <c r="S324">
        <v>-1.0861225690762533E-3</v>
      </c>
      <c r="T324">
        <v>-6.9833984619770417E-3</v>
      </c>
      <c r="U324">
        <v>7.6029335115435082E-4</v>
      </c>
      <c r="V324">
        <v>0</v>
      </c>
      <c r="W324">
        <v>2.3164029900100136E-3</v>
      </c>
      <c r="X324">
        <v>-7.218692397776616E-3</v>
      </c>
      <c r="Y324">
        <v>0</v>
      </c>
      <c r="Z324">
        <v>-1.1451818151574367E-3</v>
      </c>
      <c r="AA324">
        <v>1.314591455713332E-3</v>
      </c>
      <c r="AC324">
        <v>3.3749622177805527E-3</v>
      </c>
      <c r="AD324">
        <v>9.9623001824054036E-3</v>
      </c>
      <c r="AE324">
        <v>7.516578570614163E-3</v>
      </c>
      <c r="AF324">
        <v>5.0128767401633745E-3</v>
      </c>
      <c r="AG324">
        <v>7.7958104541406836E-3</v>
      </c>
      <c r="AH324">
        <v>2.3624735524463867E-3</v>
      </c>
      <c r="AI324">
        <v>8.4169382173593377E-3</v>
      </c>
      <c r="AJ324">
        <v>2.5954618742380919E-3</v>
      </c>
      <c r="AK324">
        <v>-4.7571127984630257E-3</v>
      </c>
      <c r="AL324">
        <v>-7.110805664425901E-3</v>
      </c>
    </row>
    <row r="325" spans="1:38">
      <c r="A325" s="568">
        <v>44302</v>
      </c>
      <c r="B325">
        <v>1.0638977261790416E-4</v>
      </c>
      <c r="C325">
        <v>3.1450498087037815E-4</v>
      </c>
      <c r="D325">
        <v>5.0915311999610857E-4</v>
      </c>
      <c r="E325">
        <v>1.6288457365898346E-4</v>
      </c>
      <c r="F325">
        <v>2.2811380885845445E-4</v>
      </c>
      <c r="G325">
        <v>7.1377268592520693E-5</v>
      </c>
      <c r="H325">
        <v>2.2635247307123407E-4</v>
      </c>
      <c r="I325">
        <v>2.1234322094509928E-4</v>
      </c>
      <c r="J325">
        <v>2.590355462294136E-3</v>
      </c>
      <c r="K325">
        <v>2.9727200493849804E-3</v>
      </c>
      <c r="L325">
        <v>4.8041964915990221E-4</v>
      </c>
      <c r="M325">
        <v>4.9866507004203697E-4</v>
      </c>
      <c r="N325">
        <v>5.0412245045583504E-4</v>
      </c>
      <c r="O325">
        <v>5.4612392438491142E-4</v>
      </c>
      <c r="P325">
        <v>5.3573019985209136E-4</v>
      </c>
      <c r="Q325">
        <v>5.4958248556946643E-4</v>
      </c>
      <c r="R325">
        <v>1.1085685289442537E-3</v>
      </c>
      <c r="S325">
        <v>-1.4679671922301907E-4</v>
      </c>
      <c r="T325">
        <v>1.9033278726772185E-3</v>
      </c>
      <c r="U325">
        <v>1.5847755833211519E-3</v>
      </c>
      <c r="V325">
        <v>3.5452564368796402E-3</v>
      </c>
      <c r="W325">
        <v>2.3020725385693996E-3</v>
      </c>
      <c r="X325">
        <v>1.4501493617702366E-3</v>
      </c>
      <c r="Y325">
        <v>3.5452564368796402E-3</v>
      </c>
      <c r="Z325">
        <v>5.4020043621960667E-4</v>
      </c>
      <c r="AA325">
        <v>2.49748332151567E-3</v>
      </c>
      <c r="AC325">
        <v>3.4238418063461395E-3</v>
      </c>
      <c r="AD325">
        <v>4.1759828628529228E-3</v>
      </c>
      <c r="AE325">
        <v>4.5734946806328391E-3</v>
      </c>
      <c r="AF325">
        <v>3.6228190575131602E-3</v>
      </c>
      <c r="AG325">
        <v>6.7834881877402164E-3</v>
      </c>
      <c r="AH325">
        <v>2.3966892644422975E-3</v>
      </c>
      <c r="AI325">
        <v>3.2384456826302088E-3</v>
      </c>
      <c r="AJ325">
        <v>1.9611688566389951E-4</v>
      </c>
      <c r="AK325">
        <v>9.4677819652539963E-3</v>
      </c>
      <c r="AL325">
        <v>4.6931618352912263E-3</v>
      </c>
    </row>
    <row r="326" spans="1:38">
      <c r="A326" s="568">
        <v>44305</v>
      </c>
      <c r="B326">
        <v>1.0638977261790416E-4</v>
      </c>
      <c r="C326">
        <v>1.8589884400532775E-4</v>
      </c>
      <c r="D326">
        <v>8.169536027091695E-5</v>
      </c>
      <c r="E326">
        <v>1.6288457365898346E-4</v>
      </c>
      <c r="F326">
        <v>1.8023523576715661E-4</v>
      </c>
      <c r="G326">
        <v>3.3338693374096451E-4</v>
      </c>
      <c r="H326">
        <v>2.2630124922384809E-4</v>
      </c>
      <c r="I326">
        <v>2.8478033332368646E-4</v>
      </c>
      <c r="J326">
        <v>1.2101818935454922E-3</v>
      </c>
      <c r="K326">
        <v>1.6116326144361981E-3</v>
      </c>
      <c r="L326">
        <v>4.8041964915990221E-4</v>
      </c>
      <c r="M326">
        <v>4.9866507004203697E-4</v>
      </c>
      <c r="N326">
        <v>5.0412245045583504E-4</v>
      </c>
      <c r="O326">
        <v>5.4612392438491142E-4</v>
      </c>
      <c r="P326">
        <v>5.3573019985209136E-4</v>
      </c>
      <c r="Q326">
        <v>5.4958248556946643E-4</v>
      </c>
      <c r="R326">
        <v>-5.3239883966227364E-4</v>
      </c>
      <c r="S326">
        <v>3.1557405388371595E-3</v>
      </c>
      <c r="T326">
        <v>1.4923056493023612E-3</v>
      </c>
      <c r="U326">
        <v>-1.7921484302411139E-3</v>
      </c>
      <c r="V326">
        <v>0</v>
      </c>
      <c r="W326">
        <v>-9.1300429352736412E-4</v>
      </c>
      <c r="X326">
        <v>-4.5590669468120737E-4</v>
      </c>
      <c r="Y326">
        <v>0</v>
      </c>
      <c r="Z326">
        <v>-2.3908388195451602E-3</v>
      </c>
      <c r="AA326">
        <v>2.8267173229563625E-3</v>
      </c>
      <c r="AC326">
        <v>-1.4874424436560618E-3</v>
      </c>
      <c r="AD326">
        <v>-6.0318511454816592E-3</v>
      </c>
      <c r="AE326">
        <v>-8.6485793168600278E-4</v>
      </c>
      <c r="AF326">
        <v>-5.317510067426312E-5</v>
      </c>
      <c r="AG326">
        <v>2.0101168623964938E-3</v>
      </c>
      <c r="AH326">
        <v>-1.0412097105592431E-3</v>
      </c>
      <c r="AI326">
        <v>-1.3072801097646636E-3</v>
      </c>
      <c r="AJ326">
        <v>-1.3137254901960715E-2</v>
      </c>
      <c r="AK326">
        <v>4.4618466581680671E-3</v>
      </c>
      <c r="AL326">
        <v>-7.9419798217048587E-3</v>
      </c>
    </row>
    <row r="327" spans="1:38">
      <c r="A327" s="568">
        <v>44306</v>
      </c>
      <c r="B327">
        <v>1.0638977261790416E-4</v>
      </c>
      <c r="C327">
        <v>1.0723314217342406E-4</v>
      </c>
      <c r="D327">
        <v>9.8707163076694471E-5</v>
      </c>
      <c r="E327">
        <v>1.6288457365898346E-4</v>
      </c>
      <c r="F327">
        <v>1.2352965397965932E-4</v>
      </c>
      <c r="G327">
        <v>3.238703773655871E-4</v>
      </c>
      <c r="H327">
        <v>2.2965742880454165E-4</v>
      </c>
      <c r="I327">
        <v>2.1020048713937811E-4</v>
      </c>
      <c r="J327">
        <v>-2.1508365831730547E-3</v>
      </c>
      <c r="K327">
        <v>-2.3764054397382717E-3</v>
      </c>
      <c r="L327">
        <v>4.8041964915990221E-4</v>
      </c>
      <c r="M327">
        <v>4.9866507004203697E-4</v>
      </c>
      <c r="N327">
        <v>5.0412245045583504E-4</v>
      </c>
      <c r="O327">
        <v>5.4612392438491142E-4</v>
      </c>
      <c r="P327">
        <v>5.3573019985209136E-4</v>
      </c>
      <c r="Q327">
        <v>5.4958248556946643E-4</v>
      </c>
      <c r="R327">
        <v>-1.4508907532774229E-3</v>
      </c>
      <c r="S327">
        <v>-4.9833581459532983E-3</v>
      </c>
      <c r="T327">
        <v>-4.124075909417102E-3</v>
      </c>
      <c r="U327">
        <v>-6.990306409775382E-4</v>
      </c>
      <c r="V327">
        <v>-3.8967255538436829E-3</v>
      </c>
      <c r="W327">
        <v>-1.066238453052204E-3</v>
      </c>
      <c r="X327">
        <v>-3.3659428830090654E-4</v>
      </c>
      <c r="Y327">
        <v>-3.8967255538436829E-3</v>
      </c>
      <c r="Z327">
        <v>-4.026954814527306E-3</v>
      </c>
      <c r="AA327">
        <v>-5.9994280761943575E-4</v>
      </c>
      <c r="AC327">
        <v>-7.2088212243096583E-3</v>
      </c>
      <c r="AD327">
        <v>-1.1066817552079278E-2</v>
      </c>
      <c r="AE327">
        <v>-7.4439701194495278E-3</v>
      </c>
      <c r="AF327">
        <v>-6.2393123924303628E-3</v>
      </c>
      <c r="AG327">
        <v>-4.3115000778415347E-4</v>
      </c>
      <c r="AH327">
        <v>-5.0461748570167601E-3</v>
      </c>
      <c r="AI327">
        <v>-5.7023990097940791E-3</v>
      </c>
      <c r="AJ327">
        <v>-7.351480230478824E-3</v>
      </c>
      <c r="AK327">
        <v>-5.0766023026017626E-3</v>
      </c>
      <c r="AL327">
        <v>5.6657750432742571E-3</v>
      </c>
    </row>
    <row r="328" spans="1:38">
      <c r="A328" s="568">
        <v>44308</v>
      </c>
      <c r="B328">
        <v>1.0638977261790416E-4</v>
      </c>
      <c r="C328">
        <v>2.8537003962236795E-4</v>
      </c>
      <c r="D328">
        <v>1.0947472551903203E-4</v>
      </c>
      <c r="E328">
        <v>1.6288457365898346E-4</v>
      </c>
      <c r="F328">
        <v>3.5593395919875093E-4</v>
      </c>
      <c r="G328">
        <v>1.7000301541614249E-5</v>
      </c>
      <c r="H328">
        <v>2.2619810048096767E-4</v>
      </c>
      <c r="I328">
        <v>2.2967057347433872E-4</v>
      </c>
      <c r="J328">
        <v>3.8077095925777016E-3</v>
      </c>
      <c r="K328">
        <v>3.6304153779214143E-3</v>
      </c>
      <c r="L328">
        <v>4.8041964915990221E-4</v>
      </c>
      <c r="M328">
        <v>4.9866507004203697E-4</v>
      </c>
      <c r="N328">
        <v>5.0412245045583504E-4</v>
      </c>
      <c r="O328">
        <v>5.4612392438491142E-4</v>
      </c>
      <c r="P328">
        <v>5.3573019985209136E-4</v>
      </c>
      <c r="Q328">
        <v>5.4958248556946643E-4</v>
      </c>
      <c r="R328">
        <v>1.5674849782689737E-3</v>
      </c>
      <c r="S328">
        <v>5.7172561417795364E-5</v>
      </c>
      <c r="T328">
        <v>3.8592898484028915E-3</v>
      </c>
      <c r="U328">
        <v>-1.0319406435741474E-3</v>
      </c>
      <c r="V328">
        <v>-1.0186638234181977E-3</v>
      </c>
      <c r="W328">
        <v>-1.0713027714770451E-3</v>
      </c>
      <c r="X328">
        <v>1.4269593110705081E-4</v>
      </c>
      <c r="Y328">
        <v>-1.0186638234181977E-3</v>
      </c>
      <c r="Z328">
        <v>-1.2328377726834594E-3</v>
      </c>
      <c r="AA328">
        <v>-1.5254758533345125E-4</v>
      </c>
      <c r="AC328">
        <v>-5.7512789851310586E-3</v>
      </c>
      <c r="AD328">
        <v>-6.247704015754918E-3</v>
      </c>
      <c r="AE328">
        <v>-4.8816421225015283E-3</v>
      </c>
      <c r="AF328">
        <v>-3.8962798515411734E-3</v>
      </c>
      <c r="AG328">
        <v>-4.0709225565789264E-3</v>
      </c>
      <c r="AH328">
        <v>-4.025895289591741E-3</v>
      </c>
      <c r="AI328">
        <v>-2.1428331462591821E-3</v>
      </c>
      <c r="AJ328">
        <v>-1.8094475580464398E-2</v>
      </c>
      <c r="AK328">
        <v>1.0933940774486839E-3</v>
      </c>
      <c r="AL328">
        <v>-2.8757377905577863E-2</v>
      </c>
    </row>
    <row r="329" spans="1:38">
      <c r="A329" s="568">
        <v>44309</v>
      </c>
      <c r="B329">
        <v>1.0638977261790416E-4</v>
      </c>
      <c r="C329">
        <v>2.7962884002707966E-4</v>
      </c>
      <c r="D329">
        <v>4.7641815221100003E-5</v>
      </c>
      <c r="E329">
        <v>1.6288457365898346E-4</v>
      </c>
      <c r="F329">
        <v>4.0581505985426425E-4</v>
      </c>
      <c r="G329">
        <v>1.5936324601084628E-4</v>
      </c>
      <c r="H329">
        <v>2.268281119726101E-4</v>
      </c>
      <c r="I329">
        <v>2.1963990533246935E-4</v>
      </c>
      <c r="J329">
        <v>2.4501590474432788E-3</v>
      </c>
      <c r="K329">
        <v>1.3784194599781863E-3</v>
      </c>
      <c r="L329">
        <v>4.8041964915990221E-4</v>
      </c>
      <c r="M329">
        <v>4.9866507004203697E-4</v>
      </c>
      <c r="N329">
        <v>5.0412245045583504E-4</v>
      </c>
      <c r="O329">
        <v>5.4612392438491142E-4</v>
      </c>
      <c r="P329">
        <v>5.3573019985209136E-4</v>
      </c>
      <c r="Q329">
        <v>5.4958248556946643E-4</v>
      </c>
      <c r="R329">
        <v>2.3043786233922781E-4</v>
      </c>
      <c r="S329">
        <v>3.395410523411746E-3</v>
      </c>
      <c r="T329">
        <v>3.1415677667281372E-3</v>
      </c>
      <c r="U329">
        <v>2.3548611939703257E-3</v>
      </c>
      <c r="V329">
        <v>3.8883989417139997E-3</v>
      </c>
      <c r="W329">
        <v>2.9787205370568337E-3</v>
      </c>
      <c r="X329">
        <v>1.0901441782329435E-4</v>
      </c>
      <c r="Y329">
        <v>3.8883989417139997E-3</v>
      </c>
      <c r="Z329">
        <v>1.5194939702454224E-3</v>
      </c>
      <c r="AA329">
        <v>-9.71431421912472E-4</v>
      </c>
      <c r="AC329">
        <v>9.7056683891327822E-3</v>
      </c>
      <c r="AD329">
        <v>9.6190701023337599E-3</v>
      </c>
      <c r="AE329">
        <v>1.0887656422351233E-2</v>
      </c>
      <c r="AF329">
        <v>7.1566650272640864E-3</v>
      </c>
      <c r="AG329">
        <v>7.7272768040408391E-3</v>
      </c>
      <c r="AH329">
        <v>6.7939678723929475E-3</v>
      </c>
      <c r="AI329">
        <v>1.2579356889667492E-2</v>
      </c>
      <c r="AJ329">
        <v>1.5166340508806275E-2</v>
      </c>
      <c r="AK329">
        <v>1.5654864840265681E-2</v>
      </c>
      <c r="AL329">
        <v>2.1553642512492921E-2</v>
      </c>
    </row>
    <row r="330" spans="1:38">
      <c r="A330" s="568">
        <v>44312</v>
      </c>
      <c r="B330">
        <v>1.0638977261790416E-4</v>
      </c>
      <c r="C330">
        <v>2.5159560263787739E-4</v>
      </c>
      <c r="D330">
        <v>2.1494509258790373E-4</v>
      </c>
      <c r="E330">
        <v>1.6288457365898346E-4</v>
      </c>
      <c r="F330">
        <v>1.7606202337727694E-4</v>
      </c>
      <c r="G330">
        <v>1.2021556759322927E-4</v>
      </c>
      <c r="H330">
        <v>2.2677667264825452E-4</v>
      </c>
      <c r="I330">
        <v>2.7173709840133675E-4</v>
      </c>
      <c r="J330">
        <v>8.108432805660204E-4</v>
      </c>
      <c r="K330">
        <v>4.0100216321947713E-5</v>
      </c>
      <c r="L330">
        <v>4.8041964915990221E-4</v>
      </c>
      <c r="M330">
        <v>4.9866507004203697E-4</v>
      </c>
      <c r="N330">
        <v>5.0412245045583504E-4</v>
      </c>
      <c r="O330">
        <v>5.4612392438491142E-4</v>
      </c>
      <c r="P330">
        <v>5.3573019985209136E-4</v>
      </c>
      <c r="Q330">
        <v>5.4958248556946643E-4</v>
      </c>
      <c r="R330">
        <v>5.555981068330329E-4</v>
      </c>
      <c r="S330">
        <v>2.0125789328071519E-3</v>
      </c>
      <c r="T330">
        <v>3.7085356951793713E-3</v>
      </c>
      <c r="U330">
        <v>1.7423853395435174E-3</v>
      </c>
      <c r="V330">
        <v>1.9915744918739264E-3</v>
      </c>
      <c r="W330">
        <v>2.7039570143605474E-4</v>
      </c>
      <c r="X330">
        <v>1.9908594469195684E-3</v>
      </c>
      <c r="Y330">
        <v>1.9915744918739264E-3</v>
      </c>
      <c r="Z330">
        <v>1.7458921032400543E-3</v>
      </c>
      <c r="AA330">
        <v>2.5902413091738463E-3</v>
      </c>
      <c r="AC330">
        <v>5.3555104842728518E-4</v>
      </c>
      <c r="AD330">
        <v>2.7110444701117231E-3</v>
      </c>
      <c r="AE330">
        <v>3.2506115853305761E-3</v>
      </c>
      <c r="AF330">
        <v>3.7740320988692844E-3</v>
      </c>
      <c r="AG330">
        <v>1.4737905320572064E-3</v>
      </c>
      <c r="AH330">
        <v>3.7488573389909963E-4</v>
      </c>
      <c r="AI330">
        <v>4.3485425217875129E-3</v>
      </c>
      <c r="AJ330">
        <v>-6.0240963855421326E-3</v>
      </c>
      <c r="AK330">
        <v>-4.749529527735441E-3</v>
      </c>
      <c r="AL330">
        <v>5.9170252856213246E-3</v>
      </c>
    </row>
    <row r="331" spans="1:38">
      <c r="A331" s="568">
        <v>44313</v>
      </c>
      <c r="B331">
        <v>1.0638977261790416E-4</v>
      </c>
      <c r="C331">
        <v>3.1251065342075002E-4</v>
      </c>
      <c r="D331">
        <v>9.5258615801618873E-5</v>
      </c>
      <c r="E331">
        <v>1.6288457365898346E-4</v>
      </c>
      <c r="F331">
        <v>4.4803877990151619E-4</v>
      </c>
      <c r="G331">
        <v>2.8084905663949833E-4</v>
      </c>
      <c r="H331">
        <v>2.267252566487965E-4</v>
      </c>
      <c r="I331">
        <v>2.2029265831413625E-4</v>
      </c>
      <c r="J331">
        <v>8.4978559139758936E-4</v>
      </c>
      <c r="K331">
        <v>7.3687494069707427E-4</v>
      </c>
      <c r="L331">
        <v>4.8041964915990221E-4</v>
      </c>
      <c r="M331">
        <v>4.9866507004203697E-4</v>
      </c>
      <c r="N331">
        <v>5.0412245045583504E-4</v>
      </c>
      <c r="O331">
        <v>5.4612392438491142E-4</v>
      </c>
      <c r="P331">
        <v>5.3573019985209136E-4</v>
      </c>
      <c r="Q331">
        <v>5.4958248556946643E-4</v>
      </c>
      <c r="R331">
        <v>-1.1549294405548416E-3</v>
      </c>
      <c r="S331">
        <v>-1.4902855623740718E-3</v>
      </c>
      <c r="T331">
        <v>4.0662510085411885E-3</v>
      </c>
      <c r="U331">
        <v>1.7086422468790552E-3</v>
      </c>
      <c r="V331">
        <v>-1.1058916126589491E-3</v>
      </c>
      <c r="W331">
        <v>-1.1462126291588159E-3</v>
      </c>
      <c r="X331">
        <v>3.0064635318429733E-3</v>
      </c>
      <c r="Y331">
        <v>-1.1058916126589491E-3</v>
      </c>
      <c r="Z331">
        <v>-2.9690085246019127E-3</v>
      </c>
      <c r="AA331">
        <v>2.8661505876301785E-3</v>
      </c>
      <c r="AC331">
        <v>-1.0002437090679273E-2</v>
      </c>
      <c r="AD331">
        <v>-4.1245657004048697E-3</v>
      </c>
      <c r="AE331">
        <v>-6.5683617480863932E-3</v>
      </c>
      <c r="AF331">
        <v>-1.4914300531551072E-3</v>
      </c>
      <c r="AG331">
        <v>-7.507562671271395E-3</v>
      </c>
      <c r="AH331">
        <v>-7.0017059634754899E-3</v>
      </c>
      <c r="AI331">
        <v>-2.9345735127684902E-3</v>
      </c>
      <c r="AJ331">
        <v>4.0404040404040664E-3</v>
      </c>
      <c r="AK331">
        <v>1.44066270484422E-3</v>
      </c>
      <c r="AL331">
        <v>9.9381879482267621E-3</v>
      </c>
    </row>
    <row r="332" spans="1:38">
      <c r="A332" s="568">
        <v>44314</v>
      </c>
      <c r="B332">
        <v>1.0638977261790416E-4</v>
      </c>
      <c r="C332">
        <v>1.1243758499079881E-4</v>
      </c>
      <c r="D332">
        <v>9.1847773088460372E-5</v>
      </c>
      <c r="E332">
        <v>1.6288457365898346E-4</v>
      </c>
      <c r="F332">
        <v>2.2590847479508902E-4</v>
      </c>
      <c r="G332">
        <v>1.0754315062122544E-4</v>
      </c>
      <c r="H332">
        <v>2.2667386395891498E-4</v>
      </c>
      <c r="I332">
        <v>2.0534901291124896E-4</v>
      </c>
      <c r="J332">
        <v>1.6287552300253694E-3</v>
      </c>
      <c r="K332">
        <v>8.6883508736446124E-4</v>
      </c>
      <c r="L332">
        <v>4.8041964915990221E-4</v>
      </c>
      <c r="M332">
        <v>4.9866507004203697E-4</v>
      </c>
      <c r="N332">
        <v>5.0412245045583504E-4</v>
      </c>
      <c r="O332">
        <v>5.4612392438491142E-4</v>
      </c>
      <c r="P332">
        <v>5.3573019985209136E-4</v>
      </c>
      <c r="Q332">
        <v>5.4958248556946643E-4</v>
      </c>
      <c r="R332">
        <v>1.1228116273651612E-3</v>
      </c>
      <c r="S332">
        <v>1.4014697609043836E-4</v>
      </c>
      <c r="T332">
        <v>1.7476440721941877E-3</v>
      </c>
      <c r="U332">
        <v>-8.7742405249524591E-4</v>
      </c>
      <c r="V332">
        <v>2.5109589519300979E-3</v>
      </c>
      <c r="W332">
        <v>1.0926169352276638E-4</v>
      </c>
      <c r="X332">
        <v>-1.5291607861471768E-3</v>
      </c>
      <c r="Y332">
        <v>2.5109589519300979E-3</v>
      </c>
      <c r="Z332">
        <v>2.1481075484275358E-3</v>
      </c>
      <c r="AA332">
        <v>-3.0346397817584414E-3</v>
      </c>
      <c r="AC332">
        <v>1.3938962396421006E-2</v>
      </c>
      <c r="AD332">
        <v>1.421290229804506E-2</v>
      </c>
      <c r="AE332">
        <v>1.328150836369435E-2</v>
      </c>
      <c r="AF332">
        <v>3.6899500959739484E-3</v>
      </c>
      <c r="AG332">
        <v>7.6901034535439283E-3</v>
      </c>
      <c r="AH332">
        <v>9.757273677494703E-3</v>
      </c>
      <c r="AI332">
        <v>7.2594271941845978E-3</v>
      </c>
      <c r="AJ332">
        <v>-1.810865191146882E-2</v>
      </c>
      <c r="AK332">
        <v>3.9561229994604652E-3</v>
      </c>
      <c r="AL332">
        <v>-2.1441314953305923E-2</v>
      </c>
    </row>
    <row r="333" spans="1:38">
      <c r="A333" s="568">
        <v>44315</v>
      </c>
      <c r="B333">
        <v>1.0638977261790416E-4</v>
      </c>
      <c r="C333">
        <v>2.9000776372645198E-4</v>
      </c>
      <c r="D333">
        <v>1.1564953655152088E-4</v>
      </c>
      <c r="E333">
        <v>1.6288457365898346E-4</v>
      </c>
      <c r="F333">
        <v>2.0729382551687436E-4</v>
      </c>
      <c r="G333">
        <v>5.4800298279156223E-4</v>
      </c>
      <c r="H333">
        <v>2.2730304259410694E-4</v>
      </c>
      <c r="I333">
        <v>2.1983116562784843E-4</v>
      </c>
      <c r="J333">
        <v>3.0981052491352301E-4</v>
      </c>
      <c r="K333">
        <v>8.898366502982924E-4</v>
      </c>
      <c r="L333">
        <v>4.8041964915990221E-4</v>
      </c>
      <c r="M333">
        <v>4.9866507004203697E-4</v>
      </c>
      <c r="N333">
        <v>5.0412245045583504E-4</v>
      </c>
      <c r="O333">
        <v>5.4612392438491142E-4</v>
      </c>
      <c r="P333">
        <v>5.3573019985209136E-4</v>
      </c>
      <c r="Q333">
        <v>5.4958248556946643E-4</v>
      </c>
      <c r="R333">
        <v>1.1628662892109176E-3</v>
      </c>
      <c r="S333">
        <v>-2.5659201145511457E-4</v>
      </c>
      <c r="T333">
        <v>4.1503663891637732E-3</v>
      </c>
      <c r="U333">
        <v>2.307309307175931E-3</v>
      </c>
      <c r="V333">
        <v>0</v>
      </c>
      <c r="W333">
        <v>1.8101844303970438E-3</v>
      </c>
      <c r="X333">
        <v>3.0177199735601512E-3</v>
      </c>
      <c r="Y333">
        <v>0</v>
      </c>
      <c r="Z333">
        <v>-1.1639072670218686E-3</v>
      </c>
      <c r="AA333">
        <v>2.6838060838150213E-3</v>
      </c>
      <c r="AC333">
        <v>-8.1515857745051434E-3</v>
      </c>
      <c r="AD333">
        <v>-6.0022180943122283E-3</v>
      </c>
      <c r="AE333">
        <v>-3.9346156185845471E-3</v>
      </c>
      <c r="AF333">
        <v>3.3195195479958084E-3</v>
      </c>
      <c r="AG333">
        <v>5.5279642984835675E-3</v>
      </c>
      <c r="AH333">
        <v>-5.7061100421536004E-3</v>
      </c>
      <c r="AI333">
        <v>4.3154085952656906E-4</v>
      </c>
      <c r="AJ333">
        <v>2.049180327868827E-3</v>
      </c>
      <c r="AK333">
        <v>-2.6867275658247758E-3</v>
      </c>
      <c r="AL333">
        <v>1.8732236029980198E-2</v>
      </c>
    </row>
    <row r="334" spans="1:38">
      <c r="A334" s="568">
        <v>44316</v>
      </c>
      <c r="B334">
        <v>1.0638977261790416E-4</v>
      </c>
      <c r="C334">
        <v>1.6576657102640446E-4</v>
      </c>
      <c r="D334">
        <v>1.1053456784382298E-4</v>
      </c>
      <c r="E334">
        <v>1.6288457365898346E-4</v>
      </c>
      <c r="F334">
        <v>3.2700562714826908E-4</v>
      </c>
      <c r="G334">
        <v>2.332527335577872E-4</v>
      </c>
      <c r="H334">
        <v>2.3337492804831328E-4</v>
      </c>
      <c r="I334">
        <v>2.2630034394799381E-4</v>
      </c>
      <c r="J334">
        <v>-1.8527979231945935E-3</v>
      </c>
      <c r="K334">
        <v>2.1480448445390099E-3</v>
      </c>
      <c r="L334">
        <v>4.8041964915990221E-4</v>
      </c>
      <c r="M334">
        <v>4.9866507004203697E-4</v>
      </c>
      <c r="N334">
        <v>5.0412245045583504E-4</v>
      </c>
      <c r="O334">
        <v>5.4612392438491142E-4</v>
      </c>
      <c r="P334">
        <v>5.3573019985209136E-4</v>
      </c>
      <c r="Q334">
        <v>5.4958248556946643E-4</v>
      </c>
      <c r="R334">
        <v>-1.0425725203857539E-3</v>
      </c>
      <c r="S334">
        <v>-7.5562443158039283E-4</v>
      </c>
      <c r="T334">
        <v>3.0139587404764967E-4</v>
      </c>
      <c r="U334">
        <v>-3.6667503407071811E-3</v>
      </c>
      <c r="V334">
        <v>-1.581896733980126E-3</v>
      </c>
      <c r="W334">
        <v>-1.572590837812915E-3</v>
      </c>
      <c r="X334">
        <v>2.7671212670354883E-3</v>
      </c>
      <c r="Y334">
        <v>-1.581896733980126E-3</v>
      </c>
      <c r="Z334">
        <v>-5.1240709889428526E-3</v>
      </c>
      <c r="AA334">
        <v>1.0819275733935374E-3</v>
      </c>
      <c r="AC334">
        <v>-9.7605686884061349E-3</v>
      </c>
      <c r="AD334">
        <v>-1.1861458073670006E-2</v>
      </c>
      <c r="AE334">
        <v>-8.5473602485066635E-3</v>
      </c>
      <c r="AF334">
        <v>-1.1113215635368823E-3</v>
      </c>
      <c r="AG334">
        <v>-2.9701801154665697E-3</v>
      </c>
      <c r="AH334">
        <v>-6.8323980818842944E-3</v>
      </c>
      <c r="AI334">
        <v>-1.2972761845954084E-3</v>
      </c>
      <c r="AJ334">
        <v>1.0224948875255713E-2</v>
      </c>
      <c r="AK334">
        <v>-1.4727011494252928E-2</v>
      </c>
      <c r="AL334">
        <v>1.0503249348612353E-2</v>
      </c>
    </row>
    <row r="335" spans="1:38">
      <c r="A335" s="568">
        <v>44319</v>
      </c>
      <c r="B335">
        <v>1.0638977261790416E-4</v>
      </c>
      <c r="C335">
        <v>7.6608411481604577E-5</v>
      </c>
      <c r="D335">
        <v>9.3518912641421537E-5</v>
      </c>
      <c r="E335">
        <v>1.6288457365898346E-4</v>
      </c>
      <c r="F335">
        <v>9.6302598668218664E-5</v>
      </c>
      <c r="G335">
        <v>3.2717945138549531E-4</v>
      </c>
      <c r="H335">
        <v>2.2651813063379045E-4</v>
      </c>
      <c r="I335">
        <v>2.7751538074616278E-4</v>
      </c>
      <c r="J335">
        <v>-8.4792941650690956E-4</v>
      </c>
      <c r="K335">
        <v>-3.3140995128314588E-3</v>
      </c>
      <c r="L335">
        <v>7.1945568676867744E-4</v>
      </c>
      <c r="M335">
        <v>7.3770546686957594E-4</v>
      </c>
      <c r="N335">
        <v>7.4316415116770784E-4</v>
      </c>
      <c r="O335">
        <v>5.4612392438491142E-4</v>
      </c>
      <c r="P335">
        <v>5.3573019985209136E-4</v>
      </c>
      <c r="Q335">
        <v>5.4958248556946643E-4</v>
      </c>
      <c r="R335">
        <v>1.1335685113378347E-3</v>
      </c>
      <c r="S335">
        <v>-3.5529952934654219E-4</v>
      </c>
      <c r="T335">
        <v>-8.7909306029843037E-4</v>
      </c>
      <c r="U335">
        <v>5.691307655761868E-4</v>
      </c>
      <c r="V335">
        <v>-5.2315196568120115E-5</v>
      </c>
      <c r="W335">
        <v>6.0493356933255527E-5</v>
      </c>
      <c r="X335">
        <v>-2.6674293453637921E-3</v>
      </c>
      <c r="Y335">
        <v>-5.2315196568120115E-5</v>
      </c>
      <c r="Z335">
        <v>2.0547127111736341E-3</v>
      </c>
      <c r="AA335">
        <v>-7.3296648998888436E-4</v>
      </c>
      <c r="AC335">
        <v>2.654805328854648E-3</v>
      </c>
      <c r="AD335">
        <v>4.3025456306517995E-3</v>
      </c>
      <c r="AE335">
        <v>4.6643496146057117E-3</v>
      </c>
      <c r="AF335">
        <v>-2.3600643980137281E-4</v>
      </c>
      <c r="AG335">
        <v>1.598610317927962E-3</v>
      </c>
      <c r="AH335">
        <v>1.8583637301982535E-3</v>
      </c>
      <c r="AI335">
        <v>-5.2996778140079748E-4</v>
      </c>
      <c r="AJ335">
        <v>1.5789473684209021E-3</v>
      </c>
      <c r="AK335">
        <v>-5.3773240977033065E-3</v>
      </c>
      <c r="AL335">
        <v>-1.3078622224300673E-3</v>
      </c>
    </row>
    <row r="336" spans="1:38">
      <c r="A336" s="568">
        <v>44320</v>
      </c>
      <c r="B336">
        <v>1.0638977261790416E-4</v>
      </c>
      <c r="C336">
        <v>8.3401846618480491E-5</v>
      </c>
      <c r="D336">
        <v>6.5740481514975357E-5</v>
      </c>
      <c r="E336">
        <v>1.6288457365898346E-4</v>
      </c>
      <c r="F336">
        <v>4.240440016323177E-5</v>
      </c>
      <c r="G336">
        <v>2.4800623276832745E-4</v>
      </c>
      <c r="H336">
        <v>2.2714691236602746E-4</v>
      </c>
      <c r="I336">
        <v>2.3447287396094474E-4</v>
      </c>
      <c r="J336">
        <v>-3.1866730410780031E-3</v>
      </c>
      <c r="K336">
        <v>-2.6806506919258011E-3</v>
      </c>
      <c r="L336">
        <v>7.1945568676867744E-4</v>
      </c>
      <c r="M336">
        <v>7.3770546686957594E-4</v>
      </c>
      <c r="N336">
        <v>7.4316415116770784E-4</v>
      </c>
      <c r="O336">
        <v>5.4612392438491142E-4</v>
      </c>
      <c r="P336">
        <v>5.3573019985209136E-4</v>
      </c>
      <c r="Q336">
        <v>5.4958248556946643E-4</v>
      </c>
      <c r="R336">
        <v>-1.3592274248405145E-3</v>
      </c>
      <c r="S336">
        <v>-3.9837309758428141E-5</v>
      </c>
      <c r="T336">
        <v>3.339304395932885E-5</v>
      </c>
      <c r="U336">
        <v>-6.0193050295498374E-4</v>
      </c>
      <c r="V336">
        <v>0</v>
      </c>
      <c r="W336">
        <v>-2.3983044961768396E-3</v>
      </c>
      <c r="X336">
        <v>8.9661683394970382E-5</v>
      </c>
      <c r="Y336">
        <v>0</v>
      </c>
      <c r="Z336">
        <v>-3.0445060790352807E-3</v>
      </c>
      <c r="AA336">
        <v>3.586783825706874E-3</v>
      </c>
      <c r="AC336">
        <v>-1.2561752639135726E-2</v>
      </c>
      <c r="AD336">
        <v>-1.0280984271493154E-2</v>
      </c>
      <c r="AE336">
        <v>-8.2842286015057942E-3</v>
      </c>
      <c r="AF336">
        <v>1.9343598432357556E-3</v>
      </c>
      <c r="AG336">
        <v>-9.8246995573099127E-3</v>
      </c>
      <c r="AH336">
        <v>-4.8478460247869393E-3</v>
      </c>
      <c r="AI336">
        <v>-6.9376790285740064E-3</v>
      </c>
      <c r="AJ336">
        <v>-4.8102186830510929E-3</v>
      </c>
      <c r="AK336">
        <v>-2.290845780262063E-3</v>
      </c>
      <c r="AL336">
        <v>-4.155490637419712E-4</v>
      </c>
    </row>
    <row r="337" spans="1:38">
      <c r="A337" s="568">
        <v>44321</v>
      </c>
      <c r="B337">
        <v>1.0638977261790416E-4</v>
      </c>
      <c r="C337">
        <v>1.59611376451263E-4</v>
      </c>
      <c r="D337">
        <v>6.6302851022603804E-5</v>
      </c>
      <c r="E337">
        <v>1.6288457365898346E-4</v>
      </c>
      <c r="F337">
        <v>2.1775502956700166E-4</v>
      </c>
      <c r="G337">
        <v>1.9572090596886582E-4</v>
      </c>
      <c r="H337">
        <v>2.2641540223089507E-4</v>
      </c>
      <c r="I337">
        <v>2.3334017893650305E-4</v>
      </c>
      <c r="J337">
        <v>5.3687731738749633E-4</v>
      </c>
      <c r="K337">
        <v>1.3324249759032458E-3</v>
      </c>
      <c r="L337">
        <v>7.1945568676867744E-4</v>
      </c>
      <c r="M337">
        <v>7.3770546686957594E-4</v>
      </c>
      <c r="N337">
        <v>7.4316415116770784E-4</v>
      </c>
      <c r="O337">
        <v>5.4612392438491142E-4</v>
      </c>
      <c r="P337">
        <v>5.3573019985209136E-4</v>
      </c>
      <c r="Q337">
        <v>5.4958248556946643E-4</v>
      </c>
      <c r="R337">
        <v>9.7888203286644604E-4</v>
      </c>
      <c r="S337">
        <v>4.3999025502077238E-3</v>
      </c>
      <c r="T337">
        <v>-2.3227758515422803E-3</v>
      </c>
      <c r="U337">
        <v>1.431119701940986E-3</v>
      </c>
      <c r="V337">
        <v>-4.7833539283292925E-4</v>
      </c>
      <c r="W337">
        <v>-5.4459320010691314E-5</v>
      </c>
      <c r="X337">
        <v>-1.4764896776627845E-3</v>
      </c>
      <c r="Y337">
        <v>-4.7833539283292925E-4</v>
      </c>
      <c r="Z337">
        <v>7.4946698015816438E-3</v>
      </c>
      <c r="AA337">
        <v>2.469761075271748E-3</v>
      </c>
      <c r="AC337">
        <v>1.573705314666296E-2</v>
      </c>
      <c r="AD337">
        <v>1.7535465478420775E-2</v>
      </c>
      <c r="AE337">
        <v>1.6432177811413151E-2</v>
      </c>
      <c r="AF337">
        <v>5.9575965115554741E-3</v>
      </c>
      <c r="AG337">
        <v>8.7131184939850392E-3</v>
      </c>
      <c r="AH337">
        <v>6.678102300983868E-3</v>
      </c>
      <c r="AI337">
        <v>1.3228991127054002E-2</v>
      </c>
      <c r="AJ337">
        <v>-1.502843216896832E-2</v>
      </c>
      <c r="AK337">
        <v>-7.6230712711241599E-3</v>
      </c>
      <c r="AL337">
        <v>-2.4700527000660499E-2</v>
      </c>
    </row>
    <row r="338" spans="1:38">
      <c r="A338" s="568">
        <v>44322</v>
      </c>
      <c r="B338">
        <v>1.360036470787751E-4</v>
      </c>
      <c r="C338">
        <v>1.616516845397431E-4</v>
      </c>
      <c r="D338">
        <v>1.5526304903756838E-4</v>
      </c>
      <c r="E338">
        <v>1.917778655160518E-4</v>
      </c>
      <c r="F338">
        <v>1.2408892892690204E-4</v>
      </c>
      <c r="G338">
        <v>1.083124549943193E-4</v>
      </c>
      <c r="H338">
        <v>2.270439221223608E-4</v>
      </c>
      <c r="I338">
        <v>2.3089812618515282E-4</v>
      </c>
      <c r="J338">
        <v>1.2452466499000003E-3</v>
      </c>
      <c r="K338">
        <v>1.1774856614616969E-3</v>
      </c>
      <c r="L338">
        <v>7.1945568676867744E-4</v>
      </c>
      <c r="M338">
        <v>7.3770546686957594E-4</v>
      </c>
      <c r="N338">
        <v>7.4316415116770784E-4</v>
      </c>
      <c r="O338">
        <v>5.4612392438491142E-4</v>
      </c>
      <c r="P338">
        <v>5.3573019985209136E-4</v>
      </c>
      <c r="Q338">
        <v>5.4958248556946643E-4</v>
      </c>
      <c r="R338">
        <v>8.292024965914635E-4</v>
      </c>
      <c r="S338">
        <v>1.2382215967670085E-3</v>
      </c>
      <c r="T338">
        <v>-2.7521328720653271E-3</v>
      </c>
      <c r="U338">
        <v>1.3587855870886845E-3</v>
      </c>
      <c r="V338">
        <v>6.5054835493527641E-4</v>
      </c>
      <c r="W338">
        <v>1.2402803067179669E-3</v>
      </c>
      <c r="X338">
        <v>-4.1652264805658312E-4</v>
      </c>
      <c r="Y338">
        <v>6.5054835493527641E-4</v>
      </c>
      <c r="Z338">
        <v>2.8867987508662818E-3</v>
      </c>
      <c r="AA338">
        <v>-9.9342239536681642E-4</v>
      </c>
      <c r="AC338">
        <v>2.9788957318748199E-3</v>
      </c>
      <c r="AD338">
        <v>7.967152909882369E-4</v>
      </c>
      <c r="AE338">
        <v>2.9840353346415327E-3</v>
      </c>
      <c r="AF338">
        <v>1.0101817137006197E-2</v>
      </c>
      <c r="AG338">
        <v>4.6972070739779159E-3</v>
      </c>
      <c r="AH338">
        <v>-4.3901079576369462E-4</v>
      </c>
      <c r="AI338">
        <v>7.45720573321762E-3</v>
      </c>
      <c r="AJ338">
        <v>-5.3608247422680666E-3</v>
      </c>
      <c r="AK338">
        <v>3.7019898195289613E-4</v>
      </c>
      <c r="AL338">
        <v>-1.6621045771817444E-3</v>
      </c>
    </row>
    <row r="339" spans="1:38">
      <c r="A339" s="568">
        <v>44323</v>
      </c>
      <c r="B339">
        <v>1.360036470787751E-4</v>
      </c>
      <c r="C339">
        <v>2.2673123780259097E-4</v>
      </c>
      <c r="D339">
        <v>2.2435993679392752E-4</v>
      </c>
      <c r="E339">
        <v>1.917778655160518E-4</v>
      </c>
      <c r="F339">
        <v>2.6978266379251714E-4</v>
      </c>
      <c r="G339">
        <v>2.4161578996140243E-4</v>
      </c>
      <c r="H339">
        <v>2.5077901203940378E-4</v>
      </c>
      <c r="I339">
        <v>2.5658362925939926E-4</v>
      </c>
      <c r="J339">
        <v>1.3735887597943197E-3</v>
      </c>
      <c r="K339">
        <v>7.625277433838118E-4</v>
      </c>
      <c r="L339">
        <v>7.1945568676867744E-4</v>
      </c>
      <c r="M339">
        <v>7.3770546686957594E-4</v>
      </c>
      <c r="N339">
        <v>7.4316415116770784E-4</v>
      </c>
      <c r="O339">
        <v>5.4612392438491142E-4</v>
      </c>
      <c r="P339">
        <v>5.3573019985209136E-4</v>
      </c>
      <c r="Q339">
        <v>5.4958248556946643E-4</v>
      </c>
      <c r="R339">
        <v>2.8664452439814969E-3</v>
      </c>
      <c r="S339">
        <v>4.8206254170009011E-3</v>
      </c>
      <c r="T339">
        <v>1.2388832594945054E-3</v>
      </c>
      <c r="U339">
        <v>2.1524955495275666E-3</v>
      </c>
      <c r="V339">
        <v>5.7315654571676866E-3</v>
      </c>
      <c r="W339">
        <v>2.115790311889798E-3</v>
      </c>
      <c r="X339">
        <v>-1.6433269590935273E-3</v>
      </c>
      <c r="Y339">
        <v>5.7315654571676866E-3</v>
      </c>
      <c r="Z339">
        <v>7.1594728330208746E-3</v>
      </c>
      <c r="AA339">
        <v>-1.0174885033228387E-3</v>
      </c>
      <c r="AC339">
        <v>1.7657515251131572E-2</v>
      </c>
      <c r="AD339">
        <v>2.2275267622243966E-2</v>
      </c>
      <c r="AE339">
        <v>1.7164451328480101E-2</v>
      </c>
      <c r="AF339">
        <v>3.6748714665060245E-3</v>
      </c>
      <c r="AG339">
        <v>1.3135494324040264E-2</v>
      </c>
      <c r="AH339">
        <v>6.7968711550290273E-3</v>
      </c>
      <c r="AI339">
        <v>5.4970296663838791E-3</v>
      </c>
      <c r="AJ339">
        <v>-3.4825870646765233E-3</v>
      </c>
      <c r="AK339">
        <v>-7.4937552039966437E-3</v>
      </c>
      <c r="AL339">
        <v>-2.4689228962169185E-3</v>
      </c>
    </row>
    <row r="340" spans="1:38">
      <c r="A340" s="568">
        <v>44326</v>
      </c>
      <c r="B340">
        <v>1.360036470787751E-4</v>
      </c>
      <c r="C340">
        <v>2.4356147663295857E-4</v>
      </c>
      <c r="D340">
        <v>1.2801508085624747E-4</v>
      </c>
      <c r="E340">
        <v>1.917778655160518E-4</v>
      </c>
      <c r="F340">
        <v>2.2689179865609255E-4</v>
      </c>
      <c r="G340">
        <v>9.2360192245788397E-5</v>
      </c>
      <c r="H340">
        <v>2.6022840308081996E-4</v>
      </c>
      <c r="I340">
        <v>3.2822405566279578E-4</v>
      </c>
      <c r="J340">
        <v>-4.36637102363302E-4</v>
      </c>
      <c r="K340">
        <v>-4.2123952870198877E-4</v>
      </c>
      <c r="L340">
        <v>7.1945568676867744E-4</v>
      </c>
      <c r="M340">
        <v>7.3770546686957594E-4</v>
      </c>
      <c r="N340">
        <v>7.4316415116770784E-4</v>
      </c>
      <c r="O340">
        <v>5.4612392438491142E-4</v>
      </c>
      <c r="P340">
        <v>5.3573019985209136E-4</v>
      </c>
      <c r="Q340">
        <v>5.4958248556946643E-4</v>
      </c>
      <c r="R340">
        <v>4.4694210557505443E-4</v>
      </c>
      <c r="S340">
        <v>-5.2762443692566663E-4</v>
      </c>
      <c r="T340">
        <v>-1.3081638454914835E-3</v>
      </c>
      <c r="U340">
        <v>-1.4969145549215135E-5</v>
      </c>
      <c r="V340">
        <v>-2.835829027991732E-3</v>
      </c>
      <c r="W340">
        <v>-2.3620183421552143E-3</v>
      </c>
      <c r="X340">
        <v>1.8855461740097113E-4</v>
      </c>
      <c r="Y340">
        <v>-2.835829027991732E-3</v>
      </c>
      <c r="Z340">
        <v>-7.5850032762236896E-4</v>
      </c>
      <c r="AA340">
        <v>-1.83311103822692E-3</v>
      </c>
      <c r="AC340">
        <v>-1.0577023849352996E-3</v>
      </c>
      <c r="AD340">
        <v>-8.9484031637754313E-3</v>
      </c>
      <c r="AE340">
        <v>-4.2939943475860387E-3</v>
      </c>
      <c r="AF340">
        <v>-4.7946742054079117E-3</v>
      </c>
      <c r="AG340">
        <v>-5.9321218939617504E-3</v>
      </c>
      <c r="AH340">
        <v>-8.4764356699114085E-3</v>
      </c>
      <c r="AI340">
        <v>-4.2271451412286831E-3</v>
      </c>
      <c r="AJ340">
        <v>-1.1898818439008196E-2</v>
      </c>
      <c r="AK340">
        <v>-1.3982102908277394E-2</v>
      </c>
      <c r="AL340">
        <v>8.9573695131450748E-4</v>
      </c>
    </row>
    <row r="341" spans="1:38">
      <c r="A341" s="568">
        <v>44327</v>
      </c>
      <c r="B341">
        <v>1.360036470787751E-4</v>
      </c>
      <c r="C341">
        <v>2.0365074508621461E-4</v>
      </c>
      <c r="D341">
        <v>1.449896723177968E-4</v>
      </c>
      <c r="E341">
        <v>1.917778655160518E-4</v>
      </c>
      <c r="F341">
        <v>1.8138399963651963E-4</v>
      </c>
      <c r="G341">
        <v>3.9166576919780205E-4</v>
      </c>
      <c r="H341">
        <v>2.5812288959059515E-4</v>
      </c>
      <c r="I341">
        <v>2.5628529826549062E-4</v>
      </c>
      <c r="J341">
        <v>2.3128426318388406E-3</v>
      </c>
      <c r="K341">
        <v>2.3964343223208395E-3</v>
      </c>
      <c r="L341">
        <v>7.1945568676867744E-4</v>
      </c>
      <c r="M341">
        <v>7.3770546686957594E-4</v>
      </c>
      <c r="N341">
        <v>7.4316415116770784E-4</v>
      </c>
      <c r="O341">
        <v>5.4612392438491142E-4</v>
      </c>
      <c r="P341">
        <v>5.3573019985209136E-4</v>
      </c>
      <c r="Q341">
        <v>5.4958248556946643E-4</v>
      </c>
      <c r="R341">
        <v>-1.4629454653828367E-3</v>
      </c>
      <c r="S341">
        <v>1.3424865842992517E-4</v>
      </c>
      <c r="T341">
        <v>2.794728033342464E-3</v>
      </c>
      <c r="U341">
        <v>-1.8627659424587106E-3</v>
      </c>
      <c r="V341">
        <v>1.1549437803173301E-3</v>
      </c>
      <c r="W341">
        <v>-1.2962682506828527E-3</v>
      </c>
      <c r="X341">
        <v>1.876149776818048E-3</v>
      </c>
      <c r="Y341">
        <v>1.1549437803173301E-3</v>
      </c>
      <c r="Z341">
        <v>-8.6266886594144054E-4</v>
      </c>
      <c r="AA341">
        <v>7.3402639825337346E-4</v>
      </c>
      <c r="AC341">
        <v>8.6538298270439906E-3</v>
      </c>
      <c r="AD341">
        <v>5.4806182358491107E-4</v>
      </c>
      <c r="AE341">
        <v>8.4608663986693866E-3</v>
      </c>
      <c r="AF341">
        <v>5.658519971604159E-3</v>
      </c>
      <c r="AG341">
        <v>8.7679656344286094E-4</v>
      </c>
      <c r="AH341">
        <v>2.1631590244302057E-3</v>
      </c>
      <c r="AI341">
        <v>9.9701842215262904E-3</v>
      </c>
      <c r="AJ341">
        <v>-6.7368421052631522E-3</v>
      </c>
      <c r="AK341">
        <v>-5.8612214029117871E-3</v>
      </c>
      <c r="AL341">
        <v>-1.3049363910009548E-2</v>
      </c>
    </row>
    <row r="342" spans="1:38">
      <c r="A342" s="568">
        <v>44328</v>
      </c>
      <c r="B342">
        <v>1.360036470787751E-4</v>
      </c>
      <c r="C342">
        <v>1.2607492256977437E-4</v>
      </c>
      <c r="D342">
        <v>1.3534182872287914E-4</v>
      </c>
      <c r="E342">
        <v>1.917778655160518E-4</v>
      </c>
      <c r="F342">
        <v>1.0766342999790623E-4</v>
      </c>
      <c r="G342">
        <v>3.4776907981615146E-4</v>
      </c>
      <c r="H342">
        <v>2.553398974700638E-4</v>
      </c>
      <c r="I342">
        <v>2.5400176213730141E-4</v>
      </c>
      <c r="J342">
        <v>-1.2146772571424158E-3</v>
      </c>
      <c r="K342">
        <v>-1.1545228558033083E-3</v>
      </c>
      <c r="L342">
        <v>7.1945568676867744E-4</v>
      </c>
      <c r="M342">
        <v>7.3770546686957594E-4</v>
      </c>
      <c r="N342">
        <v>7.4316415116770784E-4</v>
      </c>
      <c r="O342">
        <v>5.4612392438491142E-4</v>
      </c>
      <c r="P342">
        <v>5.3573019985209136E-4</v>
      </c>
      <c r="Q342">
        <v>5.4958248556946643E-4</v>
      </c>
      <c r="R342">
        <v>-2.7364468690386223E-3</v>
      </c>
      <c r="S342">
        <v>-4.3885574502365854E-3</v>
      </c>
      <c r="T342">
        <v>1.482437767892808E-3</v>
      </c>
      <c r="U342">
        <v>-2.6578113589104113E-4</v>
      </c>
      <c r="V342">
        <v>-7.4327308091157729E-3</v>
      </c>
      <c r="W342">
        <v>-3.0592547370147383E-3</v>
      </c>
      <c r="X342">
        <v>3.8437404500755168E-3</v>
      </c>
      <c r="Y342">
        <v>-7.4327308091157729E-3</v>
      </c>
      <c r="Z342">
        <v>-5.5998768255198783E-3</v>
      </c>
      <c r="AA342">
        <v>6.0543526583445306E-4</v>
      </c>
      <c r="AC342">
        <v>-2.6462865028555882E-2</v>
      </c>
      <c r="AD342">
        <v>-2.8171837712598014E-2</v>
      </c>
      <c r="AE342">
        <v>-2.7746272877598566E-2</v>
      </c>
      <c r="AF342">
        <v>-1.8439436233982587E-2</v>
      </c>
      <c r="AG342">
        <v>-1.5423083719651953E-2</v>
      </c>
      <c r="AH342">
        <v>-2.0704097757953122E-2</v>
      </c>
      <c r="AI342">
        <v>-1.9128789419424086E-2</v>
      </c>
      <c r="AJ342">
        <v>-3.8151759220008685E-3</v>
      </c>
      <c r="AK342">
        <v>1.8067706352224988E-3</v>
      </c>
      <c r="AL342">
        <v>7.823427087820356E-3</v>
      </c>
    </row>
    <row r="343" spans="1:38">
      <c r="A343" s="568">
        <v>44329</v>
      </c>
      <c r="B343">
        <v>1.360036470787751E-4</v>
      </c>
      <c r="C343">
        <v>1.8536224913856536E-4</v>
      </c>
      <c r="D343">
        <v>1.3758834247390439E-4</v>
      </c>
      <c r="E343">
        <v>1.917778655160518E-4</v>
      </c>
      <c r="F343">
        <v>2.4001065929701859E-4</v>
      </c>
      <c r="G343">
        <v>1.3108977055864557E-4</v>
      </c>
      <c r="H343">
        <v>2.5527471565034432E-4</v>
      </c>
      <c r="I343">
        <v>2.5556634568668635E-4</v>
      </c>
      <c r="J343">
        <v>-6.4441016107852356E-4</v>
      </c>
      <c r="K343">
        <v>1.601713897854129E-4</v>
      </c>
      <c r="L343">
        <v>7.1945568676867744E-4</v>
      </c>
      <c r="M343">
        <v>7.3770546686957594E-4</v>
      </c>
      <c r="N343">
        <v>7.4316415116770784E-4</v>
      </c>
      <c r="O343">
        <v>5.4612392438491142E-4</v>
      </c>
      <c r="P343">
        <v>5.3573019985209136E-4</v>
      </c>
      <c r="Q343">
        <v>5.4958248556946643E-4</v>
      </c>
      <c r="R343">
        <v>-8.0740285213543039E-5</v>
      </c>
      <c r="S343">
        <v>-1.1424184575354879E-3</v>
      </c>
      <c r="T343">
        <v>-2.6816311539178406E-3</v>
      </c>
      <c r="U343">
        <v>-1.9727101608972841E-3</v>
      </c>
      <c r="V343">
        <v>6.2736511649985616E-4</v>
      </c>
      <c r="W343">
        <v>1.9621960370737046E-3</v>
      </c>
      <c r="X343">
        <v>-4.4698920789687513E-4</v>
      </c>
      <c r="Y343">
        <v>6.2736511649985616E-4</v>
      </c>
      <c r="Z343">
        <v>-3.1782913809992319E-3</v>
      </c>
      <c r="AA343">
        <v>-1.0306828013065816E-3</v>
      </c>
      <c r="AC343">
        <v>8.3191024177340367E-3</v>
      </c>
      <c r="AD343">
        <v>7.536253894824263E-3</v>
      </c>
      <c r="AE343">
        <v>7.8294204238160692E-3</v>
      </c>
      <c r="AF343">
        <v>-9.1826620888080246E-4</v>
      </c>
      <c r="AG343">
        <v>8.3303344470411211E-3</v>
      </c>
      <c r="AH343">
        <v>1.214754295326248E-3</v>
      </c>
      <c r="AI343">
        <v>-7.0266116300100601E-3</v>
      </c>
      <c r="AJ343">
        <v>5.7446808510637215E-3</v>
      </c>
      <c r="AK343">
        <v>-3.0374940673943862E-2</v>
      </c>
      <c r="AL343">
        <v>2.8640802379222841E-3</v>
      </c>
    </row>
    <row r="344" spans="1:38">
      <c r="A344" s="568">
        <v>44330</v>
      </c>
      <c r="B344">
        <v>1.360036470787751E-4</v>
      </c>
      <c r="C344">
        <v>4.8922261450812243E-5</v>
      </c>
      <c r="D344">
        <v>1.4323070730504206E-4</v>
      </c>
      <c r="E344">
        <v>1.917778655160518E-4</v>
      </c>
      <c r="F344">
        <v>2.0422476192161199E-4</v>
      </c>
      <c r="G344">
        <v>2.4492119745667118E-4</v>
      </c>
      <c r="H344">
        <v>2.5588831594958172E-4</v>
      </c>
      <c r="I344">
        <v>2.552143688674402E-4</v>
      </c>
      <c r="J344">
        <v>-2.8499111600188698E-5</v>
      </c>
      <c r="K344">
        <v>-4.8794642852456604E-5</v>
      </c>
      <c r="L344">
        <v>7.1945568676867744E-4</v>
      </c>
      <c r="M344">
        <v>7.3770546686957594E-4</v>
      </c>
      <c r="N344">
        <v>7.4316415116770784E-4</v>
      </c>
      <c r="O344">
        <v>5.4612392438491142E-4</v>
      </c>
      <c r="P344">
        <v>5.3573019985209136E-4</v>
      </c>
      <c r="Q344">
        <v>5.4958248556946643E-4</v>
      </c>
      <c r="R344">
        <v>2.2797312163505001E-3</v>
      </c>
      <c r="S344">
        <v>6.4988500458116327E-3</v>
      </c>
      <c r="T344">
        <v>-8.1653311130724937E-4</v>
      </c>
      <c r="U344">
        <v>2.8480827226040617E-3</v>
      </c>
      <c r="V344">
        <v>0</v>
      </c>
      <c r="W344">
        <v>2.6977259373586193E-3</v>
      </c>
      <c r="X344">
        <v>-2.0417960232388399E-3</v>
      </c>
      <c r="Y344">
        <v>0</v>
      </c>
      <c r="Z344">
        <v>6.2202139301725801E-3</v>
      </c>
      <c r="AA344">
        <v>-5.9545087098489269E-5</v>
      </c>
      <c r="AC344">
        <v>9.7336576146105358E-3</v>
      </c>
      <c r="AD344">
        <v>1.8654870388249867E-2</v>
      </c>
      <c r="AE344">
        <v>7.6262685896284488E-3</v>
      </c>
      <c r="AF344">
        <v>4.8363595374947277E-3</v>
      </c>
      <c r="AG344">
        <v>1.0906382868444142E-2</v>
      </c>
      <c r="AH344">
        <v>6.8555130828966693E-3</v>
      </c>
      <c r="AI344">
        <v>2.072659126995724E-3</v>
      </c>
      <c r="AJ344">
        <v>1.1212185318383749E-2</v>
      </c>
      <c r="AK344">
        <v>1.7033773861967694E-2</v>
      </c>
      <c r="AL344">
        <v>-1.1101338042261544E-2</v>
      </c>
    </row>
    <row r="345" spans="1:38">
      <c r="A345" s="568">
        <v>44333</v>
      </c>
      <c r="B345">
        <v>1.360036470787751E-4</v>
      </c>
      <c r="C345">
        <v>1.9301656713466286E-4</v>
      </c>
      <c r="D345">
        <v>1.4490833981462004E-4</v>
      </c>
      <c r="E345">
        <v>1.917778655160518E-4</v>
      </c>
      <c r="F345">
        <v>1.1995203682513278E-4</v>
      </c>
      <c r="G345">
        <v>2.1023247435114634E-4</v>
      </c>
      <c r="H345">
        <v>2.551442786609126E-4</v>
      </c>
      <c r="I345">
        <v>3.2241312149983159E-4</v>
      </c>
      <c r="J345">
        <v>2.7813617245846523E-3</v>
      </c>
      <c r="K345">
        <v>2.3236126772672172E-3</v>
      </c>
      <c r="L345">
        <v>7.1945568676867744E-4</v>
      </c>
      <c r="M345">
        <v>7.3770546686957594E-4</v>
      </c>
      <c r="N345">
        <v>7.4316415116770784E-4</v>
      </c>
      <c r="O345">
        <v>5.4612392438491142E-4</v>
      </c>
      <c r="P345">
        <v>5.3573019985209136E-4</v>
      </c>
      <c r="Q345">
        <v>5.4958248556946643E-4</v>
      </c>
      <c r="R345">
        <v>-1.5749185736879667E-5</v>
      </c>
      <c r="S345">
        <v>2.578536376288465E-3</v>
      </c>
      <c r="T345">
        <v>2.0189995487274182E-3</v>
      </c>
      <c r="U345">
        <v>1.1893622809209248E-3</v>
      </c>
      <c r="V345">
        <v>6.6269168225769892E-3</v>
      </c>
      <c r="W345">
        <v>-2.2205611627224009E-4</v>
      </c>
      <c r="X345">
        <v>-3.2943047661193603E-4</v>
      </c>
      <c r="Y345">
        <v>6.6269168225769892E-3</v>
      </c>
      <c r="Z345">
        <v>4.4179574898928209E-4</v>
      </c>
      <c r="AA345">
        <v>2.1656868569972509E-3</v>
      </c>
      <c r="AC345">
        <v>8.6728166088805292E-3</v>
      </c>
      <c r="AD345">
        <v>1.3621077574976548E-2</v>
      </c>
      <c r="AE345">
        <v>8.9084715366019029E-3</v>
      </c>
      <c r="AF345">
        <v>6.5632310204655209E-3</v>
      </c>
      <c r="AG345">
        <v>4.5192381152003858E-3</v>
      </c>
      <c r="AH345">
        <v>6.1886355790836678E-3</v>
      </c>
      <c r="AI345">
        <v>6.2693971939145055E-3</v>
      </c>
      <c r="AJ345">
        <v>-4.1841004184095532E-4</v>
      </c>
      <c r="AK345">
        <v>1.4630859562999365E-2</v>
      </c>
      <c r="AL345">
        <v>1.3245667499261593E-2</v>
      </c>
    </row>
    <row r="346" spans="1:38">
      <c r="A346" s="568">
        <v>44334</v>
      </c>
      <c r="B346">
        <v>1.360036470787751E-4</v>
      </c>
      <c r="C346">
        <v>2.3883064089136319E-4</v>
      </c>
      <c r="D346">
        <v>2.0204992953720691E-4</v>
      </c>
      <c r="E346">
        <v>1.917778655160518E-4</v>
      </c>
      <c r="F346">
        <v>1.4904016808925391E-4</v>
      </c>
      <c r="G346">
        <v>8.0121277316713702E-5</v>
      </c>
      <c r="H346">
        <v>2.5643600090097252E-4</v>
      </c>
      <c r="I346">
        <v>2.6020465825449257E-4</v>
      </c>
      <c r="J346">
        <v>-3.0456376391549966E-3</v>
      </c>
      <c r="K346">
        <v>-9.7092735248727191E-4</v>
      </c>
      <c r="L346">
        <v>7.1945568676867744E-4</v>
      </c>
      <c r="M346">
        <v>7.3770546686957594E-4</v>
      </c>
      <c r="N346">
        <v>7.4316415116770784E-4</v>
      </c>
      <c r="O346">
        <v>5.4612392438491142E-4</v>
      </c>
      <c r="P346">
        <v>5.3573019985209136E-4</v>
      </c>
      <c r="Q346">
        <v>5.4958248556946643E-4</v>
      </c>
      <c r="R346">
        <v>4.7551175059190598E-4</v>
      </c>
      <c r="S346">
        <v>-7.0583828048376152E-4</v>
      </c>
      <c r="T346">
        <v>-8.0295902073734826E-4</v>
      </c>
      <c r="U346">
        <v>7.2634710649577272E-4</v>
      </c>
      <c r="V346">
        <v>-9.2061837762724696E-4</v>
      </c>
      <c r="W346">
        <v>-1.3444109354396883E-3</v>
      </c>
      <c r="X346">
        <v>-5.6772820083006437E-4</v>
      </c>
      <c r="Y346">
        <v>-9.2061837762724696E-4</v>
      </c>
      <c r="Z346">
        <v>1.855761797491251E-3</v>
      </c>
      <c r="AA346">
        <v>-1.1554926895924744E-3</v>
      </c>
      <c r="AC346">
        <v>3.423680595735501E-4</v>
      </c>
      <c r="AD346">
        <v>-3.1994675686252139E-3</v>
      </c>
      <c r="AE346">
        <v>5.6270752364029342E-4</v>
      </c>
      <c r="AF346">
        <v>-1.7012363961006471E-3</v>
      </c>
      <c r="AG346">
        <v>-5.5690586481920157E-3</v>
      </c>
      <c r="AH346">
        <v>-8.2513158489694316E-4</v>
      </c>
      <c r="AI346">
        <v>-1.0910904103782482E-3</v>
      </c>
      <c r="AJ346">
        <v>-1.2766848053578972E-2</v>
      </c>
      <c r="AK346">
        <v>1.242766340954371E-2</v>
      </c>
      <c r="AL346">
        <v>5.237651660080056E-3</v>
      </c>
    </row>
    <row r="347" spans="1:38">
      <c r="A347" s="568">
        <v>44335</v>
      </c>
      <c r="B347">
        <v>1.360036470787751E-4</v>
      </c>
      <c r="C347">
        <v>2.0428536544958575E-4</v>
      </c>
      <c r="D347">
        <v>1.9804815059809577E-4</v>
      </c>
      <c r="E347">
        <v>1.917778655160518E-4</v>
      </c>
      <c r="F347">
        <v>2.3366721291884218E-4</v>
      </c>
      <c r="G347">
        <v>2.7770628606527126E-4</v>
      </c>
      <c r="H347">
        <v>2.5569203014041975E-4</v>
      </c>
      <c r="I347">
        <v>2.6012082041293461E-4</v>
      </c>
      <c r="J347">
        <v>1.7548664685151927E-4</v>
      </c>
      <c r="K347">
        <v>-5.7242255393230579E-4</v>
      </c>
      <c r="L347">
        <v>7.1945568676867744E-4</v>
      </c>
      <c r="M347">
        <v>7.3770546686957594E-4</v>
      </c>
      <c r="N347">
        <v>7.4316415116770784E-4</v>
      </c>
      <c r="O347">
        <v>5.4612392438491142E-4</v>
      </c>
      <c r="P347">
        <v>5.3573019985209136E-4</v>
      </c>
      <c r="Q347">
        <v>5.4958248556946643E-4</v>
      </c>
      <c r="R347">
        <v>-1.8847955786921444E-3</v>
      </c>
      <c r="S347">
        <v>-4.5788347796108519E-3</v>
      </c>
      <c r="T347">
        <v>-4.5374978783224718E-3</v>
      </c>
      <c r="U347">
        <v>-2.7953626243626406E-3</v>
      </c>
      <c r="V347">
        <v>-2.297457397688607E-3</v>
      </c>
      <c r="W347">
        <v>-1.5781729138353295E-4</v>
      </c>
      <c r="X347">
        <v>3.1689766251352669E-3</v>
      </c>
      <c r="Y347">
        <v>-2.297457397688607E-3</v>
      </c>
      <c r="Z347">
        <v>-5.3041711522784363E-3</v>
      </c>
      <c r="AA347">
        <v>-1.0164010712584437E-3</v>
      </c>
      <c r="AC347">
        <v>-2.794439028927953E-3</v>
      </c>
      <c r="AD347">
        <v>-5.8606629919063513E-3</v>
      </c>
      <c r="AE347">
        <v>-3.8977946182823242E-3</v>
      </c>
      <c r="AF347">
        <v>-2.3791704212784426E-3</v>
      </c>
      <c r="AG347">
        <v>-9.4075622275291426E-4</v>
      </c>
      <c r="AH347">
        <v>-6.0916386664450206E-3</v>
      </c>
      <c r="AI347">
        <v>-4.1146914106188204E-3</v>
      </c>
      <c r="AJ347">
        <v>6.9959720161119066E-3</v>
      </c>
      <c r="AK347">
        <v>-6.5592203898046098E-4</v>
      </c>
      <c r="AL347">
        <v>1.1390043063605582E-2</v>
      </c>
    </row>
    <row r="348" spans="1:38">
      <c r="A348" s="568">
        <v>44336</v>
      </c>
      <c r="B348">
        <v>1.360036470787751E-4</v>
      </c>
      <c r="C348">
        <v>2.024988731044175E-4</v>
      </c>
      <c r="D348">
        <v>1.6180158712653103E-4</v>
      </c>
      <c r="E348">
        <v>1.917778655160518E-4</v>
      </c>
      <c r="F348">
        <v>2.8782838552077195E-4</v>
      </c>
      <c r="G348">
        <v>2.0878925211920141E-4</v>
      </c>
      <c r="H348">
        <v>2.5494861361519128E-4</v>
      </c>
      <c r="I348">
        <v>2.6012321736823552E-4</v>
      </c>
      <c r="J348">
        <v>8.6263724359560978E-3</v>
      </c>
      <c r="K348">
        <v>2.0562622483331072E-3</v>
      </c>
      <c r="L348">
        <v>7.1945568676867744E-4</v>
      </c>
      <c r="M348">
        <v>7.3770546686957594E-4</v>
      </c>
      <c r="N348">
        <v>7.4316415116770784E-4</v>
      </c>
      <c r="O348">
        <v>5.4612392438491142E-4</v>
      </c>
      <c r="P348">
        <v>5.3573019985209136E-4</v>
      </c>
      <c r="Q348">
        <v>5.4958248556946643E-4</v>
      </c>
      <c r="R348">
        <v>5.4108976205990977E-4</v>
      </c>
      <c r="S348">
        <v>2.6791238090084768E-4</v>
      </c>
      <c r="T348">
        <v>2.5795895003799529E-3</v>
      </c>
      <c r="U348">
        <v>2.6246243302361361E-3</v>
      </c>
      <c r="V348">
        <v>2.2828322056092087E-3</v>
      </c>
      <c r="W348">
        <v>1.8519777178489516E-3</v>
      </c>
      <c r="X348">
        <v>-8.8917142401778726E-4</v>
      </c>
      <c r="Y348">
        <v>2.2828322056092087E-3</v>
      </c>
      <c r="Z348">
        <v>1.5707765699359832E-3</v>
      </c>
      <c r="AA348">
        <v>1.4897399336355477E-4</v>
      </c>
      <c r="AC348">
        <v>5.258638755407663E-4</v>
      </c>
      <c r="AD348">
        <v>6.9930317843593937E-3</v>
      </c>
      <c r="AE348">
        <v>3.1709884497319596E-3</v>
      </c>
      <c r="AF348">
        <v>6.1440071276586128E-3</v>
      </c>
      <c r="AG348">
        <v>6.4627037360942552E-3</v>
      </c>
      <c r="AH348">
        <v>4.7973553445401773E-3</v>
      </c>
      <c r="AI348">
        <v>4.1456338862393416E-3</v>
      </c>
      <c r="AJ348">
        <v>2.1052631578948322E-3</v>
      </c>
      <c r="AK348">
        <v>7.7824660103140708E-3</v>
      </c>
      <c r="AL348">
        <v>-2.0677033359920993E-2</v>
      </c>
    </row>
    <row r="349" spans="1:38">
      <c r="A349" s="568">
        <v>44337</v>
      </c>
      <c r="B349">
        <v>1.360036470787751E-4</v>
      </c>
      <c r="C349">
        <v>2.4133718827945572E-4</v>
      </c>
      <c r="D349">
        <v>1.4819985259206803E-4</v>
      </c>
      <c r="E349">
        <v>1.917778655160518E-4</v>
      </c>
      <c r="F349">
        <v>6.2352216434002905E-4</v>
      </c>
      <c r="G349">
        <v>2.2396670657864881E-4</v>
      </c>
      <c r="H349">
        <v>2.5352786739007982E-4</v>
      </c>
      <c r="I349">
        <v>3.0628502134821822E-4</v>
      </c>
      <c r="J349">
        <v>5.9387760258311495E-4</v>
      </c>
      <c r="K349">
        <v>1.5452957394581635E-3</v>
      </c>
      <c r="L349">
        <v>7.1945568676867744E-4</v>
      </c>
      <c r="M349">
        <v>7.3770546686957594E-4</v>
      </c>
      <c r="N349">
        <v>7.4316415116770784E-4</v>
      </c>
      <c r="O349">
        <v>5.4612392438491142E-4</v>
      </c>
      <c r="P349">
        <v>5.3573019985209136E-4</v>
      </c>
      <c r="Q349">
        <v>5.4958248556946643E-4</v>
      </c>
      <c r="R349">
        <v>1.1864798289333844E-3</v>
      </c>
      <c r="S349">
        <v>2.2265720218148655E-3</v>
      </c>
      <c r="T349">
        <v>-1.7096018296423043E-3</v>
      </c>
      <c r="U349">
        <v>9.8366794365878363E-4</v>
      </c>
      <c r="V349">
        <v>-6.4578464075815134E-5</v>
      </c>
      <c r="W349">
        <v>4.5414890252892803E-5</v>
      </c>
      <c r="X349">
        <v>2.5079216002250604E-3</v>
      </c>
      <c r="Y349">
        <v>-6.4578464075815134E-5</v>
      </c>
      <c r="Z349">
        <v>-2.1531122270384007E-3</v>
      </c>
      <c r="AA349">
        <v>-1.0609523746685223E-4</v>
      </c>
      <c r="AC349">
        <v>-8.8279790211609477E-4</v>
      </c>
      <c r="AD349">
        <v>-5.2694722274052586E-3</v>
      </c>
      <c r="AE349">
        <v>-3.2965055246200192E-3</v>
      </c>
      <c r="AF349">
        <v>-4.3047460179477248E-3</v>
      </c>
      <c r="AG349">
        <v>-1.028165592851904E-3</v>
      </c>
      <c r="AH349">
        <v>8.8153707692069094E-3</v>
      </c>
      <c r="AI349">
        <v>-7.8612192424156735E-3</v>
      </c>
      <c r="AJ349">
        <v>1.6806722689075571E-2</v>
      </c>
      <c r="AK349">
        <v>-9.6762188314105657E-3</v>
      </c>
      <c r="AL349">
        <v>3.2782333165373156E-2</v>
      </c>
    </row>
    <row r="350" spans="1:38">
      <c r="A350" s="568">
        <v>44340</v>
      </c>
      <c r="B350">
        <v>1.360036470787751E-4</v>
      </c>
      <c r="C350">
        <v>1.6793431265127445E-4</v>
      </c>
      <c r="D350">
        <v>1.7306272958372837E-4</v>
      </c>
      <c r="E350">
        <v>1.917778655160518E-4</v>
      </c>
      <c r="F350">
        <v>1.2506710246396047E-4</v>
      </c>
      <c r="G350">
        <v>1.4839552303014258E-4</v>
      </c>
      <c r="H350">
        <v>2.561744480220618E-4</v>
      </c>
      <c r="I350">
        <v>3.8958281891487978E-4</v>
      </c>
      <c r="J350">
        <v>-1.3140079583043862E-3</v>
      </c>
      <c r="K350">
        <v>1.0077747509162904E-5</v>
      </c>
      <c r="L350">
        <v>7.1945568676867744E-4</v>
      </c>
      <c r="M350">
        <v>7.3770546686957594E-4</v>
      </c>
      <c r="N350">
        <v>7.4316415116770784E-4</v>
      </c>
      <c r="O350">
        <v>5.4612392438491142E-4</v>
      </c>
      <c r="P350">
        <v>5.3573019985209136E-4</v>
      </c>
      <c r="Q350">
        <v>5.4958248556946643E-4</v>
      </c>
      <c r="R350">
        <v>1.314662820172785E-3</v>
      </c>
      <c r="S350">
        <v>4.4012006711027229E-3</v>
      </c>
      <c r="T350">
        <v>7.3606218889299413E-4</v>
      </c>
      <c r="U350">
        <v>1.2404065924596086E-3</v>
      </c>
      <c r="V350">
        <v>0</v>
      </c>
      <c r="W350">
        <v>3.2955136050665246E-3</v>
      </c>
      <c r="X350">
        <v>6.7669467102571268E-4</v>
      </c>
      <c r="Y350">
        <v>0</v>
      </c>
      <c r="Z350">
        <v>5.3241045029932543E-3</v>
      </c>
      <c r="AA350">
        <v>-1.7245265309716595E-3</v>
      </c>
      <c r="AC350">
        <v>1.17393017695131E-2</v>
      </c>
      <c r="AD350">
        <v>1.8378050391828049E-2</v>
      </c>
      <c r="AE350">
        <v>1.1628688882364679E-2</v>
      </c>
      <c r="AF350">
        <v>6.2557274893801917E-3</v>
      </c>
      <c r="AG350">
        <v>1.1726305083282984E-2</v>
      </c>
      <c r="AH350">
        <v>8.0789373208438597E-3</v>
      </c>
      <c r="AI350">
        <v>2.3702327728269967E-3</v>
      </c>
      <c r="AJ350">
        <v>2.0661157024792765E-3</v>
      </c>
      <c r="AK350">
        <v>-4.0398346486282266E-3</v>
      </c>
      <c r="AL350">
        <v>-5.7136486319406821E-3</v>
      </c>
    </row>
    <row r="351" spans="1:38">
      <c r="A351" s="568">
        <v>44341</v>
      </c>
      <c r="B351">
        <v>1.360036470787751E-4</v>
      </c>
      <c r="C351">
        <v>1.5618456716470774E-4</v>
      </c>
      <c r="D351">
        <v>1.3740838733999894E-4</v>
      </c>
      <c r="E351">
        <v>1.917778655160518E-4</v>
      </c>
      <c r="F351">
        <v>2.8753029966099852E-4</v>
      </c>
      <c r="G351">
        <v>1.5083064591414619E-4</v>
      </c>
      <c r="H351">
        <v>2.5543130286909133E-4</v>
      </c>
      <c r="I351">
        <v>3.0592649314398201E-4</v>
      </c>
      <c r="J351">
        <v>-8.9013760308065404E-4</v>
      </c>
      <c r="K351">
        <v>-6.8920027289876007E-4</v>
      </c>
      <c r="L351">
        <v>7.1945568676867744E-4</v>
      </c>
      <c r="M351">
        <v>7.3770546686957594E-4</v>
      </c>
      <c r="N351">
        <v>7.4316415116770784E-4</v>
      </c>
      <c r="O351">
        <v>5.4612392438491142E-4</v>
      </c>
      <c r="P351">
        <v>5.3573019985209136E-4</v>
      </c>
      <c r="Q351">
        <v>5.4958248556946643E-4</v>
      </c>
      <c r="R351">
        <v>1.2881415383312333E-3</v>
      </c>
      <c r="S351">
        <v>-4.2577031057491332E-3</v>
      </c>
      <c r="T351">
        <v>-4.9726378353943668E-3</v>
      </c>
      <c r="U351">
        <v>-2.4101200613255713E-3</v>
      </c>
      <c r="V351">
        <v>1.217134269781539E-3</v>
      </c>
      <c r="W351">
        <v>-1.5138179897905557E-3</v>
      </c>
      <c r="X351">
        <v>-1.5120735834479593E-3</v>
      </c>
      <c r="Y351">
        <v>1.217134269781539E-3</v>
      </c>
      <c r="Z351">
        <v>-4.2519298946551709E-3</v>
      </c>
      <c r="AA351">
        <v>2.6740971394023649E-3</v>
      </c>
      <c r="AC351">
        <v>-8.4164828291365401E-3</v>
      </c>
      <c r="AD351">
        <v>-5.3421524188352887E-3</v>
      </c>
      <c r="AE351">
        <v>-6.6469430056426138E-3</v>
      </c>
      <c r="AF351">
        <v>-5.9869209360289277E-3</v>
      </c>
      <c r="AG351">
        <v>-3.2094625687485445E-3</v>
      </c>
      <c r="AH351">
        <v>-2.3659785462737393E-3</v>
      </c>
      <c r="AI351">
        <v>2.5587139088416588E-3</v>
      </c>
      <c r="AJ351">
        <v>-2.8865979381442752E-4</v>
      </c>
      <c r="AK351">
        <v>2.1601735685312651E-2</v>
      </c>
      <c r="AL351">
        <v>2.6793747426563375E-2</v>
      </c>
    </row>
    <row r="352" spans="1:38">
      <c r="A352" s="568">
        <v>44342</v>
      </c>
      <c r="B352">
        <v>1.360036470787751E-4</v>
      </c>
      <c r="C352">
        <v>2.1809593644817049E-4</v>
      </c>
      <c r="D352">
        <v>1.136431740029753E-4</v>
      </c>
      <c r="E352">
        <v>1.917778655160518E-4</v>
      </c>
      <c r="F352">
        <v>2.3990653769545567E-4</v>
      </c>
      <c r="G352">
        <v>2.3877917414716343E-4</v>
      </c>
      <c r="H352">
        <v>2.5672080156491361E-4</v>
      </c>
      <c r="I352">
        <v>3.0015194729915429E-4</v>
      </c>
      <c r="J352">
        <v>8.8131946618208445E-4</v>
      </c>
      <c r="K352">
        <v>2.7320226003935133E-4</v>
      </c>
      <c r="L352">
        <v>7.1945568676867744E-4</v>
      </c>
      <c r="M352">
        <v>7.3770546686957594E-4</v>
      </c>
      <c r="N352">
        <v>7.4316415116770784E-4</v>
      </c>
      <c r="O352">
        <v>5.4612392438491142E-4</v>
      </c>
      <c r="P352">
        <v>5.3573019985209136E-4</v>
      </c>
      <c r="Q352">
        <v>5.4958248556946643E-4</v>
      </c>
      <c r="R352">
        <v>-6.1183505216899636E-4</v>
      </c>
      <c r="S352">
        <v>1.8715844462842135E-3</v>
      </c>
      <c r="T352">
        <v>-1.1787462729792031E-3</v>
      </c>
      <c r="U352">
        <v>-1.472501475086041E-5</v>
      </c>
      <c r="V352">
        <v>1.6398933201018373E-3</v>
      </c>
      <c r="W352">
        <v>-3.2851915652842845E-4</v>
      </c>
      <c r="X352">
        <v>1.3469810197026533E-3</v>
      </c>
      <c r="Y352">
        <v>1.6398933201018373E-3</v>
      </c>
      <c r="Z352">
        <v>8.410420166666821E-4</v>
      </c>
      <c r="AA352">
        <v>1.15328296108963E-3</v>
      </c>
      <c r="AC352">
        <v>8.1427648339820191E-3</v>
      </c>
      <c r="AD352">
        <v>7.0386419716661486E-3</v>
      </c>
      <c r="AE352">
        <v>9.2313791011817692E-3</v>
      </c>
      <c r="AF352">
        <v>2.7643174476184029E-3</v>
      </c>
      <c r="AG352">
        <v>1.5778451702994634E-3</v>
      </c>
      <c r="AH352">
        <v>3.429773270442249E-3</v>
      </c>
      <c r="AI352">
        <v>9.7231720791932652E-3</v>
      </c>
      <c r="AJ352">
        <v>-3.8361588912263489E-3</v>
      </c>
      <c r="AK352">
        <v>6.3711911357340334E-3</v>
      </c>
      <c r="AL352">
        <v>-4.5112970059147939E-3</v>
      </c>
    </row>
    <row r="353" spans="1:38">
      <c r="A353" s="568">
        <v>44343</v>
      </c>
      <c r="B353">
        <v>1.360036470787751E-4</v>
      </c>
      <c r="C353">
        <v>2.0792461182983502E-4</v>
      </c>
      <c r="D353">
        <v>1.3172065046251902E-4</v>
      </c>
      <c r="E353">
        <v>1.917778655160518E-4</v>
      </c>
      <c r="F353">
        <v>1.641535332836952E-4</v>
      </c>
      <c r="G353">
        <v>2.0027344883266629E-4</v>
      </c>
      <c r="H353">
        <v>2.5665491291015918E-4</v>
      </c>
      <c r="I353">
        <v>3.046756391376082E-4</v>
      </c>
      <c r="J353">
        <v>2.3201592466530752E-3</v>
      </c>
      <c r="K353">
        <v>6.5592660467661545E-4</v>
      </c>
      <c r="L353">
        <v>7.1945568676867744E-4</v>
      </c>
      <c r="M353">
        <v>7.3770546686957594E-4</v>
      </c>
      <c r="N353">
        <v>7.4316415116770784E-4</v>
      </c>
      <c r="O353">
        <v>5.4612392438491142E-4</v>
      </c>
      <c r="P353">
        <v>5.3573019985209136E-4</v>
      </c>
      <c r="Q353">
        <v>5.4958248556946643E-4</v>
      </c>
      <c r="R353">
        <v>8.3702895213644268E-4</v>
      </c>
      <c r="S353">
        <v>5.0965007069945223E-3</v>
      </c>
      <c r="T353">
        <v>6.2915586316492078E-3</v>
      </c>
      <c r="U353">
        <v>9.9531361502092075E-4</v>
      </c>
      <c r="V353">
        <v>2.8459191154615038E-3</v>
      </c>
      <c r="W353">
        <v>3.3814442685931034E-4</v>
      </c>
      <c r="X353">
        <v>2.4291649240926194E-3</v>
      </c>
      <c r="Y353">
        <v>2.8459191154615038E-3</v>
      </c>
      <c r="Z353">
        <v>2.3481487112255728E-3</v>
      </c>
      <c r="AA353">
        <v>4.1003364477372184E-3</v>
      </c>
      <c r="AC353">
        <v>3.0438142299040738E-3</v>
      </c>
      <c r="AD353">
        <v>8.5867965570314286E-3</v>
      </c>
      <c r="AE353">
        <v>5.2066845301657061E-3</v>
      </c>
      <c r="AF353">
        <v>4.2324710007359823E-3</v>
      </c>
      <c r="AG353">
        <v>2.4291786152537131E-3</v>
      </c>
      <c r="AH353">
        <v>2.9779477272640076E-3</v>
      </c>
      <c r="AI353">
        <v>4.6459938010239288E-3</v>
      </c>
      <c r="AJ353">
        <v>-3.7267080745342351E-3</v>
      </c>
      <c r="AK353">
        <v>0</v>
      </c>
      <c r="AL353">
        <v>-2.4696448521932535E-3</v>
      </c>
    </row>
    <row r="354" spans="1:38">
      <c r="A354" s="568">
        <v>44344</v>
      </c>
      <c r="B354">
        <v>1.360036470787751E-4</v>
      </c>
      <c r="C354">
        <v>2.4109805098548875E-4</v>
      </c>
      <c r="D354">
        <v>1.3509480376772132E-4</v>
      </c>
      <c r="E354">
        <v>1.917778655160518E-4</v>
      </c>
      <c r="F354">
        <v>3.3353339470121313E-4</v>
      </c>
      <c r="G354">
        <v>1.626423699241375E-4</v>
      </c>
      <c r="H354">
        <v>2.5591204208330609E-4</v>
      </c>
      <c r="I354">
        <v>3.0546251470164876E-4</v>
      </c>
      <c r="J354">
        <v>2.363921573177219E-3</v>
      </c>
      <c r="K354">
        <v>2.6603998362004777E-3</v>
      </c>
      <c r="L354">
        <v>7.1945568676867744E-4</v>
      </c>
      <c r="M354">
        <v>7.3770546686957594E-4</v>
      </c>
      <c r="N354">
        <v>7.4316415116770784E-4</v>
      </c>
      <c r="O354">
        <v>5.4612392438491142E-4</v>
      </c>
      <c r="P354">
        <v>5.3573019985209136E-4</v>
      </c>
      <c r="Q354">
        <v>5.4958248556946643E-4</v>
      </c>
      <c r="R354">
        <v>5.5252055044330284E-4</v>
      </c>
      <c r="S354">
        <v>9.826636856267168E-4</v>
      </c>
      <c r="T354">
        <v>2.2686921721226661E-4</v>
      </c>
      <c r="U354">
        <v>4.9632251241527037E-4</v>
      </c>
      <c r="V354">
        <v>2.0104474109932102E-3</v>
      </c>
      <c r="W354">
        <v>1.6140378761633212E-3</v>
      </c>
      <c r="X354">
        <v>-1.1381301462106697E-3</v>
      </c>
      <c r="Y354">
        <v>2.0104474109932102E-3</v>
      </c>
      <c r="Z354">
        <v>3.0197301851471181E-3</v>
      </c>
      <c r="AA354">
        <v>1.1404229957940881E-3</v>
      </c>
      <c r="AC354">
        <v>9.6070833182904103E-3</v>
      </c>
      <c r="AD354">
        <v>1.3268958911329953E-2</v>
      </c>
      <c r="AE354">
        <v>1.0125846302007302E-2</v>
      </c>
      <c r="AF354">
        <v>8.3999239530396785E-3</v>
      </c>
      <c r="AG354">
        <v>7.2973892327465872E-3</v>
      </c>
      <c r="AH354">
        <v>6.5312223207243392E-3</v>
      </c>
      <c r="AI354">
        <v>7.0309627598423852E-3</v>
      </c>
      <c r="AJ354">
        <v>-7.0656691604321642E-3</v>
      </c>
      <c r="AK354">
        <v>-2.8442976419853494E-3</v>
      </c>
      <c r="AL354">
        <v>-8.4943763960911856E-3</v>
      </c>
    </row>
    <row r="355" spans="1:38">
      <c r="A355" s="568">
        <v>44347</v>
      </c>
      <c r="B355">
        <v>1.360036470787751E-4</v>
      </c>
      <c r="C355">
        <v>2.2902005743019593E-4</v>
      </c>
      <c r="D355">
        <v>1.7859494384153685E-4</v>
      </c>
      <c r="E355">
        <v>1.917778655160518E-4</v>
      </c>
      <c r="F355">
        <v>1.2932206207971753E-4</v>
      </c>
      <c r="G355">
        <v>2.2739787422643154E-4</v>
      </c>
      <c r="H355">
        <v>2.5652341063775452E-4</v>
      </c>
      <c r="I355">
        <v>3.4404779549412901E-4</v>
      </c>
      <c r="J355">
        <v>-8.9195396493346735E-4</v>
      </c>
      <c r="K355">
        <v>-6.0336367080637832E-4</v>
      </c>
      <c r="L355">
        <v>7.1945568676867744E-4</v>
      </c>
      <c r="M355">
        <v>7.3770546686957594E-4</v>
      </c>
      <c r="N355">
        <v>7.4316415116770784E-4</v>
      </c>
      <c r="O355">
        <v>5.4612392438491142E-4</v>
      </c>
      <c r="P355">
        <v>5.3573019985209136E-4</v>
      </c>
      <c r="Q355">
        <v>5.4958248556946643E-4</v>
      </c>
      <c r="R355">
        <v>-3.6814362671000467E-5</v>
      </c>
      <c r="S355">
        <v>1.5747588609626995E-4</v>
      </c>
      <c r="T355">
        <v>8.6410612566645284E-4</v>
      </c>
      <c r="U355">
        <v>8.7292807437067133E-4</v>
      </c>
      <c r="V355">
        <v>1.4518152620539571E-3</v>
      </c>
      <c r="W355">
        <v>1.1795226816455617E-3</v>
      </c>
      <c r="X355">
        <v>1.4549388027007559E-3</v>
      </c>
      <c r="Y355">
        <v>1.4518152620539571E-3</v>
      </c>
      <c r="Z355">
        <v>9.3501478908053492E-4</v>
      </c>
      <c r="AA355">
        <v>3.8867770161288284E-4</v>
      </c>
      <c r="AC355">
        <v>5.2114754721137579E-3</v>
      </c>
      <c r="AD355">
        <v>1.4130291479934831E-2</v>
      </c>
      <c r="AE355">
        <v>9.131144554166859E-3</v>
      </c>
      <c r="AF355">
        <v>1.0096887835560286E-2</v>
      </c>
      <c r="AG355">
        <v>5.1481732811440306E-3</v>
      </c>
      <c r="AH355">
        <v>7.1920011771577919E-3</v>
      </c>
      <c r="AI355">
        <v>6.5348362908008717E-3</v>
      </c>
      <c r="AJ355">
        <v>-3.7672666387610354E-3</v>
      </c>
      <c r="AK355">
        <v>1.4446080235553937E-2</v>
      </c>
      <c r="AL355">
        <v>1.1548693796337162E-2</v>
      </c>
    </row>
    <row r="356" spans="1:38">
      <c r="A356" s="568">
        <v>44348</v>
      </c>
      <c r="B356">
        <v>1.360036470787751E-4</v>
      </c>
      <c r="C356">
        <v>1.6486161235618191E-4</v>
      </c>
      <c r="D356">
        <v>1.819534911056131E-4</v>
      </c>
      <c r="E356">
        <v>1.917778655160518E-4</v>
      </c>
      <c r="F356">
        <v>2.0671261844196209E-4</v>
      </c>
      <c r="G356">
        <v>1.5965215279734046E-4</v>
      </c>
      <c r="H356">
        <v>2.584876308255879E-4</v>
      </c>
      <c r="I356">
        <v>3.0381806666124334E-4</v>
      </c>
      <c r="J356">
        <v>1.4538348415533697E-3</v>
      </c>
      <c r="K356">
        <v>3.3832217635776374E-4</v>
      </c>
      <c r="L356">
        <v>5.7744226657474584E-4</v>
      </c>
      <c r="M356">
        <v>5.9568945682531016E-4</v>
      </c>
      <c r="N356">
        <v>6.0114736647420841E-4</v>
      </c>
      <c r="O356">
        <v>5.4612392438491142E-4</v>
      </c>
      <c r="P356">
        <v>5.3573019985209136E-4</v>
      </c>
      <c r="Q356">
        <v>5.4958248556946643E-4</v>
      </c>
      <c r="R356">
        <v>1.2807041579430134E-3</v>
      </c>
      <c r="S356">
        <v>6.7968446423469775E-3</v>
      </c>
      <c r="T356">
        <v>1.5369989063567235E-3</v>
      </c>
      <c r="U356">
        <v>2.0108377335543715E-3</v>
      </c>
      <c r="V356">
        <v>0</v>
      </c>
      <c r="W356">
        <v>1.2177576070784291E-3</v>
      </c>
      <c r="X356">
        <v>8.5653505040594879E-4</v>
      </c>
      <c r="Y356">
        <v>0</v>
      </c>
      <c r="Z356">
        <v>7.1016473069256403E-3</v>
      </c>
      <c r="AA356">
        <v>-5.561677076292737E-3</v>
      </c>
      <c r="AC356">
        <v>1.6252490874156589E-2</v>
      </c>
      <c r="AD356">
        <v>3.0210935339411993E-3</v>
      </c>
      <c r="AE356">
        <v>1.124838076224588E-2</v>
      </c>
      <c r="AF356">
        <v>4.4309785896357035E-4</v>
      </c>
      <c r="AG356">
        <v>5.4498277822025987E-3</v>
      </c>
      <c r="AH356">
        <v>6.2948975052956602E-3</v>
      </c>
      <c r="AI356">
        <v>-4.0650658790044591E-3</v>
      </c>
      <c r="AJ356">
        <v>-1.4705882352941124E-2</v>
      </c>
      <c r="AK356">
        <v>1.7687074829932037E-2</v>
      </c>
      <c r="AL356">
        <v>-9.1335531300581474E-3</v>
      </c>
    </row>
    <row r="357" spans="1:38">
      <c r="A357" s="568">
        <v>44349</v>
      </c>
      <c r="B357">
        <v>1.360036470787751E-4</v>
      </c>
      <c r="C357">
        <v>2.6512484603391506E-4</v>
      </c>
      <c r="D357">
        <v>1.3333295668660483E-4</v>
      </c>
      <c r="E357">
        <v>1.917778655160518E-4</v>
      </c>
      <c r="F357">
        <v>2.3393273466498776E-4</v>
      </c>
      <c r="G357">
        <v>8.0823390413797824E-4</v>
      </c>
      <c r="H357">
        <v>2.5639134926103146E-4</v>
      </c>
      <c r="I357">
        <v>3.0511280720468825E-4</v>
      </c>
      <c r="J357">
        <v>1.960024955810713E-3</v>
      </c>
      <c r="K357">
        <v>1.4790037792233868E-3</v>
      </c>
      <c r="L357">
        <v>5.7744226657474584E-4</v>
      </c>
      <c r="M357">
        <v>5.9568945682531016E-4</v>
      </c>
      <c r="N357">
        <v>6.0114736647420841E-4</v>
      </c>
      <c r="O357">
        <v>5.4612392438491142E-4</v>
      </c>
      <c r="P357">
        <v>5.3573019985209136E-4</v>
      </c>
      <c r="Q357">
        <v>5.4958248556946643E-4</v>
      </c>
      <c r="R357">
        <v>6.0638098447096667E-4</v>
      </c>
      <c r="S357">
        <v>3.1975494042564279E-3</v>
      </c>
      <c r="T357">
        <v>-1.4891896020508E-3</v>
      </c>
      <c r="U357">
        <v>9.3830321695520524E-4</v>
      </c>
      <c r="V357">
        <v>3.7264206671130395E-3</v>
      </c>
      <c r="W357">
        <v>-4.5875139353401817E-4</v>
      </c>
      <c r="X357">
        <v>-4.5580175137793777E-3</v>
      </c>
      <c r="Y357">
        <v>3.7264206671130395E-3</v>
      </c>
      <c r="Z357">
        <v>1.9213805992959188E-3</v>
      </c>
      <c r="AA357">
        <v>-1.0123361322842417E-3</v>
      </c>
      <c r="AC357">
        <v>1.0403217350052119E-2</v>
      </c>
      <c r="AD357">
        <v>1.063098159594511E-2</v>
      </c>
      <c r="AE357">
        <v>8.0708174020054368E-3</v>
      </c>
      <c r="AF357">
        <v>9.496802787851033E-3</v>
      </c>
      <c r="AG357">
        <v>-4.8217856220265087E-3</v>
      </c>
      <c r="AH357">
        <v>5.9608791901657465E-3</v>
      </c>
      <c r="AI357">
        <v>3.822584785962313E-3</v>
      </c>
      <c r="AJ357">
        <v>-6.8230277185500343E-3</v>
      </c>
      <c r="AK357">
        <v>-8.2887700534759468E-3</v>
      </c>
      <c r="AL357">
        <v>-2.5321187484965479E-2</v>
      </c>
    </row>
    <row r="358" spans="1:38">
      <c r="A358" s="568">
        <v>44351</v>
      </c>
      <c r="B358">
        <v>1.360036470787751E-4</v>
      </c>
      <c r="C358">
        <v>2.195304700070011E-4</v>
      </c>
      <c r="D358">
        <v>1.8472061148733232E-4</v>
      </c>
      <c r="E358">
        <v>1.917778655160518E-4</v>
      </c>
      <c r="F358">
        <v>2.7432309457542381E-4</v>
      </c>
      <c r="G358">
        <v>1.7930528398801826E-4</v>
      </c>
      <c r="H358">
        <v>2.5564930866472935E-4</v>
      </c>
      <c r="I358">
        <v>3.4241039648219562E-4</v>
      </c>
      <c r="J358">
        <v>3.2794731431144974E-3</v>
      </c>
      <c r="K358">
        <v>7.3564204949061462E-4</v>
      </c>
      <c r="L358">
        <v>5.7744226657474584E-4</v>
      </c>
      <c r="M358">
        <v>5.9568945682531016E-4</v>
      </c>
      <c r="N358">
        <v>6.0114736647420841E-4</v>
      </c>
      <c r="O358">
        <v>5.4612392438491142E-4</v>
      </c>
      <c r="P358">
        <v>5.3573019985209136E-4</v>
      </c>
      <c r="Q358">
        <v>5.4958248556946643E-4</v>
      </c>
      <c r="R358">
        <v>1.1047999763860172E-3</v>
      </c>
      <c r="S358">
        <v>7.4139319190136277E-4</v>
      </c>
      <c r="T358">
        <v>4.2191675953628938E-4</v>
      </c>
      <c r="U358">
        <v>-1.1617493585859284E-3</v>
      </c>
      <c r="V358">
        <v>5.9832958151262439E-4</v>
      </c>
      <c r="W358">
        <v>1.2352377930344716E-3</v>
      </c>
      <c r="X358">
        <v>-1.5733576695595719E-3</v>
      </c>
      <c r="Y358">
        <v>5.9832958151262439E-4</v>
      </c>
      <c r="Z358">
        <v>-3.2867463108698924E-4</v>
      </c>
      <c r="AA358">
        <v>1.9735792562745047E-3</v>
      </c>
      <c r="AC358">
        <v>4.045788380129034E-3</v>
      </c>
      <c r="AD358">
        <v>8.0083457497641675E-3</v>
      </c>
      <c r="AE358">
        <v>4.0246369272376459E-3</v>
      </c>
      <c r="AF358">
        <v>3.0121255128845448E-3</v>
      </c>
      <c r="AG358">
        <v>1.7789202000844107E-3</v>
      </c>
      <c r="AH358">
        <v>8.4423405661300244E-3</v>
      </c>
      <c r="AI358">
        <v>4.9769838567828018E-3</v>
      </c>
      <c r="AJ358">
        <v>-5.1094890510948732E-3</v>
      </c>
      <c r="AK358">
        <v>-1.6626224498966446E-2</v>
      </c>
      <c r="AL358">
        <v>-4.866794818250697E-3</v>
      </c>
    </row>
    <row r="359" spans="1:38">
      <c r="A359" s="568">
        <v>44354</v>
      </c>
      <c r="B359">
        <v>1.360036470787751E-4</v>
      </c>
      <c r="C359">
        <v>1.6689972904471162E-4</v>
      </c>
      <c r="D359">
        <v>1.9711188725879403E-4</v>
      </c>
      <c r="E359">
        <v>1.917778655160518E-4</v>
      </c>
      <c r="F359">
        <v>1.7448141223574964E-4</v>
      </c>
      <c r="G359">
        <v>1.3900505388053652E-4</v>
      </c>
      <c r="H359">
        <v>2.5490782073434026E-4</v>
      </c>
      <c r="I359">
        <v>3.8108978419448825E-4</v>
      </c>
      <c r="J359">
        <v>-1.2592381034082223E-3</v>
      </c>
      <c r="K359">
        <v>-9.7494322855073978E-4</v>
      </c>
      <c r="L359">
        <v>5.7744226657474584E-4</v>
      </c>
      <c r="M359">
        <v>5.9568945682531016E-4</v>
      </c>
      <c r="N359">
        <v>6.0114736647420841E-4</v>
      </c>
      <c r="O359">
        <v>5.4612392438491142E-4</v>
      </c>
      <c r="P359">
        <v>5.3573019985209136E-4</v>
      </c>
      <c r="Q359">
        <v>5.4958248556946643E-4</v>
      </c>
      <c r="R359">
        <v>3.7849088643282514E-4</v>
      </c>
      <c r="S359">
        <v>-3.7904813415290395E-4</v>
      </c>
      <c r="T359">
        <v>-3.941627036443407E-4</v>
      </c>
      <c r="U359">
        <v>8.120345286422026E-4</v>
      </c>
      <c r="V359">
        <v>3.1123941908517416E-4</v>
      </c>
      <c r="W359">
        <v>1.6598046554738843E-4</v>
      </c>
      <c r="X359">
        <v>1.1891283576479506E-3</v>
      </c>
      <c r="Y359">
        <v>3.1123941908517416E-4</v>
      </c>
      <c r="Z359">
        <v>2.5074168451633128E-3</v>
      </c>
      <c r="AA359">
        <v>-1.9741203049011835E-3</v>
      </c>
      <c r="AC359">
        <v>4.9989325712400667E-3</v>
      </c>
      <c r="AD359">
        <v>-1.2602637598815303E-3</v>
      </c>
      <c r="AE359">
        <v>2.2722383251523315E-3</v>
      </c>
      <c r="AF359">
        <v>-5.7695503335245535E-3</v>
      </c>
      <c r="AG359">
        <v>-1.537157954919266E-3</v>
      </c>
      <c r="AH359">
        <v>1.6620555689736971E-3</v>
      </c>
      <c r="AI359">
        <v>-2.6069855940273889E-3</v>
      </c>
      <c r="AJ359">
        <v>-1.0789348754909334E-3</v>
      </c>
      <c r="AK359">
        <v>-4.8437214403217466E-3</v>
      </c>
      <c r="AL359">
        <v>1.0144733364284786E-2</v>
      </c>
    </row>
    <row r="360" spans="1:38">
      <c r="A360" s="568">
        <v>44355</v>
      </c>
      <c r="B360">
        <v>1.360036470787751E-4</v>
      </c>
      <c r="C360">
        <v>1.8205243725510911E-4</v>
      </c>
      <c r="D360">
        <v>1.422991591362166E-4</v>
      </c>
      <c r="E360">
        <v>1.917778655160518E-4</v>
      </c>
      <c r="F360">
        <v>2.0389232200401786E-4</v>
      </c>
      <c r="G360">
        <v>7.0058616337576041E-5</v>
      </c>
      <c r="H360">
        <v>2.58222738066749E-4</v>
      </c>
      <c r="I360">
        <v>3.0112052522546229E-4</v>
      </c>
      <c r="J360">
        <v>-9.8568573419777206E-4</v>
      </c>
      <c r="K360">
        <v>2.6727651799784979E-4</v>
      </c>
      <c r="L360">
        <v>5.7744226657474584E-4</v>
      </c>
      <c r="M360">
        <v>5.9568945682531016E-4</v>
      </c>
      <c r="N360">
        <v>6.0114736647420841E-4</v>
      </c>
      <c r="O360">
        <v>5.4612392438491142E-4</v>
      </c>
      <c r="P360">
        <v>5.3573019985209136E-4</v>
      </c>
      <c r="Q360">
        <v>5.4958248556946643E-4</v>
      </c>
      <c r="R360">
        <v>7.2481551790914978E-4</v>
      </c>
      <c r="S360">
        <v>5.5580768694474258E-4</v>
      </c>
      <c r="T360">
        <v>-3.4456065252199686E-3</v>
      </c>
      <c r="U360">
        <v>-1.2815260137518658E-3</v>
      </c>
      <c r="V360">
        <v>-1.4601651750605349E-3</v>
      </c>
      <c r="W360">
        <v>-2.5728271583624895E-4</v>
      </c>
      <c r="X360">
        <v>-3.7849075700460144E-3</v>
      </c>
      <c r="Y360">
        <v>-1.4601651750605349E-3</v>
      </c>
      <c r="Z360">
        <v>-3.3896059077886953E-4</v>
      </c>
      <c r="AA360">
        <v>7.8398227655118724E-4</v>
      </c>
      <c r="AC360">
        <v>-7.5637575532625512E-3</v>
      </c>
      <c r="AD360">
        <v>-5.4755061084378331E-3</v>
      </c>
      <c r="AE360">
        <v>-7.0433660373574458E-3</v>
      </c>
      <c r="AF360">
        <v>-3.5891711757429778E-4</v>
      </c>
      <c r="AG360">
        <v>-2.2942181826490771E-4</v>
      </c>
      <c r="AH360">
        <v>-4.5251685418445931E-4</v>
      </c>
      <c r="AI360">
        <v>-5.7743559559361168E-3</v>
      </c>
      <c r="AJ360">
        <v>4.320400933210955E-5</v>
      </c>
      <c r="AK360">
        <v>-3.4897603085682904E-3</v>
      </c>
      <c r="AL360">
        <v>9.6624684688666473E-3</v>
      </c>
    </row>
    <row r="361" spans="1:38">
      <c r="A361" s="568">
        <v>44356</v>
      </c>
      <c r="B361">
        <v>1.360036470787751E-4</v>
      </c>
      <c r="C361">
        <v>1.5852755236189786E-4</v>
      </c>
      <c r="D361">
        <v>2.845578259331738E-4</v>
      </c>
      <c r="E361">
        <v>1.917778655160518E-4</v>
      </c>
      <c r="F361">
        <v>1.9111008599947965E-4</v>
      </c>
      <c r="G361">
        <v>3.7393406164043519E-4</v>
      </c>
      <c r="H361">
        <v>2.561286725575318E-4</v>
      </c>
      <c r="I361">
        <v>3.0345939038434189E-4</v>
      </c>
      <c r="J361">
        <v>8.6765113469278177E-5</v>
      </c>
      <c r="K361">
        <v>9.1773594393873559E-4</v>
      </c>
      <c r="L361">
        <v>5.7744226657474584E-4</v>
      </c>
      <c r="M361">
        <v>5.9568945682531016E-4</v>
      </c>
      <c r="N361">
        <v>6.0114736647420841E-4</v>
      </c>
      <c r="O361">
        <v>5.4612392438491142E-4</v>
      </c>
      <c r="P361">
        <v>5.3573019985209136E-4</v>
      </c>
      <c r="Q361">
        <v>5.4958248556946643E-4</v>
      </c>
      <c r="R361">
        <v>7.8920620762090721E-4</v>
      </c>
      <c r="S361">
        <v>-1.5389239520591236E-3</v>
      </c>
      <c r="T361">
        <v>-1.8630497731678686E-3</v>
      </c>
      <c r="U361">
        <v>-4.7450116380753915E-4</v>
      </c>
      <c r="V361">
        <v>-5.96206361006546E-4</v>
      </c>
      <c r="W361">
        <v>-1.8493472695391144E-4</v>
      </c>
      <c r="X361">
        <v>-1.1790546460808127E-3</v>
      </c>
      <c r="Y361">
        <v>-5.96206361006546E-4</v>
      </c>
      <c r="Z361">
        <v>1.0796676496871438E-3</v>
      </c>
      <c r="AA361">
        <v>8.8936411455153852E-4</v>
      </c>
      <c r="AC361">
        <v>9.2220252072805486E-4</v>
      </c>
      <c r="AD361">
        <v>1.1214708713518373E-3</v>
      </c>
      <c r="AE361">
        <v>-3.8746433413849868E-4</v>
      </c>
      <c r="AF361">
        <v>5.3657346290683083E-3</v>
      </c>
      <c r="AG361">
        <v>-2.7004464210355072E-3</v>
      </c>
      <c r="AH361">
        <v>-5.6767376635402655E-5</v>
      </c>
      <c r="AI361">
        <v>2.8220949566799547E-3</v>
      </c>
      <c r="AJ361">
        <v>2.2897135697930171E-3</v>
      </c>
      <c r="AK361">
        <v>-1.2902036678646978E-3</v>
      </c>
      <c r="AL361">
        <v>3.982075557383391E-3</v>
      </c>
    </row>
    <row r="362" spans="1:38">
      <c r="A362" s="568">
        <v>44357</v>
      </c>
      <c r="B362">
        <v>1.360036470787751E-4</v>
      </c>
      <c r="C362">
        <v>1.3304608173747567E-4</v>
      </c>
      <c r="D362">
        <v>1.744114179083045E-4</v>
      </c>
      <c r="E362">
        <v>1.917778655160518E-4</v>
      </c>
      <c r="F362">
        <v>1.8448482612298811E-4</v>
      </c>
      <c r="G362">
        <v>3.0433226259396484E-4</v>
      </c>
      <c r="H362">
        <v>2.5606308745862449E-4</v>
      </c>
      <c r="I362">
        <v>3.0326305038563817E-4</v>
      </c>
      <c r="J362">
        <v>-1.4131089576552291E-3</v>
      </c>
      <c r="K362">
        <v>-8.3350339616272695E-4</v>
      </c>
      <c r="L362">
        <v>5.7744226657474584E-4</v>
      </c>
      <c r="M362">
        <v>5.9568945682531016E-4</v>
      </c>
      <c r="N362">
        <v>6.0114736647420841E-4</v>
      </c>
      <c r="O362">
        <v>5.4612392438491142E-4</v>
      </c>
      <c r="P362">
        <v>5.3573019985209136E-4</v>
      </c>
      <c r="Q362">
        <v>5.4958248556946643E-4</v>
      </c>
      <c r="R362">
        <v>1.1087020498374844E-3</v>
      </c>
      <c r="S362">
        <v>1.5281230353192399E-3</v>
      </c>
      <c r="T362">
        <v>-2.1722392484069264E-3</v>
      </c>
      <c r="U362">
        <v>2.1663032628329582E-3</v>
      </c>
      <c r="V362">
        <v>6.0147201068416756E-4</v>
      </c>
      <c r="W362">
        <v>1.8636177249267138E-3</v>
      </c>
      <c r="X362">
        <v>-1.5833644027818394E-4</v>
      </c>
      <c r="Y362">
        <v>6.0147201068416756E-4</v>
      </c>
      <c r="Z362">
        <v>1.7078644332437776E-3</v>
      </c>
      <c r="AA362">
        <v>-5.7889048201242854E-4</v>
      </c>
      <c r="AC362">
        <v>1.3037808644351667E-3</v>
      </c>
      <c r="AD362">
        <v>4.6221664474133117E-3</v>
      </c>
      <c r="AE362">
        <v>5.257797701250233E-4</v>
      </c>
      <c r="AF362">
        <v>5.378837721536911E-4</v>
      </c>
      <c r="AG362">
        <v>3.555828256004645E-3</v>
      </c>
      <c r="AH362">
        <v>2.5281248097470677E-3</v>
      </c>
      <c r="AI362">
        <v>7.001377100243289E-3</v>
      </c>
      <c r="AJ362">
        <v>9.0517241379310942E-3</v>
      </c>
      <c r="AK362">
        <v>2.491464427424539E-3</v>
      </c>
      <c r="AL362">
        <v>1.9921930279596989E-2</v>
      </c>
    </row>
    <row r="363" spans="1:38">
      <c r="A363" s="568">
        <v>44358</v>
      </c>
      <c r="B363">
        <v>1.360036470787751E-4</v>
      </c>
      <c r="C363">
        <v>1.5540625028331867E-4</v>
      </c>
      <c r="D363">
        <v>2.0824139297137556E-4</v>
      </c>
      <c r="E363">
        <v>1.917778655160518E-4</v>
      </c>
      <c r="F363">
        <v>2.0597005748723696E-4</v>
      </c>
      <c r="G363">
        <v>2.2311537467523124E-4</v>
      </c>
      <c r="H363">
        <v>2.5532208069933837E-4</v>
      </c>
      <c r="I363">
        <v>3.0273526493984626E-4</v>
      </c>
      <c r="J363">
        <v>-9.8114433767126918E-4</v>
      </c>
      <c r="K363">
        <v>-9.4309849817275637E-4</v>
      </c>
      <c r="L363">
        <v>5.7744226657474584E-4</v>
      </c>
      <c r="M363">
        <v>5.9568945682531016E-4</v>
      </c>
      <c r="N363">
        <v>6.0114736647420841E-4</v>
      </c>
      <c r="O363">
        <v>5.4612392438491142E-4</v>
      </c>
      <c r="P363">
        <v>5.3573019985209136E-4</v>
      </c>
      <c r="Q363">
        <v>5.4958248556946643E-4</v>
      </c>
      <c r="R363">
        <v>3.0176571941442631E-4</v>
      </c>
      <c r="S363">
        <v>-4.0751978213859896E-4</v>
      </c>
      <c r="T363">
        <v>-2.8493781775527083E-3</v>
      </c>
      <c r="U363">
        <v>3.7595131084255939E-4</v>
      </c>
      <c r="V363">
        <v>-1.6168644606322502E-3</v>
      </c>
      <c r="W363">
        <v>-3.9983517225994358E-4</v>
      </c>
      <c r="X363">
        <v>2.0415866360354862E-3</v>
      </c>
      <c r="Y363">
        <v>-1.6168644606322502E-3</v>
      </c>
      <c r="Z363">
        <v>-2.2087060019639893E-3</v>
      </c>
      <c r="AA363">
        <v>6.8578417792752866E-4</v>
      </c>
      <c r="AC363">
        <v>-4.8828313441270366E-3</v>
      </c>
      <c r="AD363">
        <v>-5.7414688299570749E-3</v>
      </c>
      <c r="AE363">
        <v>-5.0027391682343492E-3</v>
      </c>
      <c r="AF363">
        <v>-2.1406782473292196E-3</v>
      </c>
      <c r="AG363">
        <v>-6.3695409417757753E-3</v>
      </c>
      <c r="AH363">
        <v>-1.2367081863227103E-3</v>
      </c>
      <c r="AI363">
        <v>7.4289852698328218E-4</v>
      </c>
      <c r="AJ363">
        <v>1.409653994019644E-2</v>
      </c>
      <c r="AK363">
        <v>2.7614138438880609E-4</v>
      </c>
      <c r="AL363">
        <v>9.4312309628388213E-3</v>
      </c>
    </row>
    <row r="364" spans="1:38">
      <c r="A364" s="568">
        <v>44361</v>
      </c>
      <c r="B364">
        <v>1.360036470787751E-4</v>
      </c>
      <c r="C364">
        <v>3.006443402753245E-4</v>
      </c>
      <c r="D364">
        <v>1.7773003203092053E-4</v>
      </c>
      <c r="E364">
        <v>1.917778655160518E-4</v>
      </c>
      <c r="F364">
        <v>4.9308473900522287E-4</v>
      </c>
      <c r="G364">
        <v>1.8877680449280732E-4</v>
      </c>
      <c r="H364">
        <v>2.5593219079977914E-4</v>
      </c>
      <c r="I364">
        <v>3.7149359162080842E-4</v>
      </c>
      <c r="J364">
        <v>7.6718971314204687E-4</v>
      </c>
      <c r="K364">
        <v>8.4534830217641854E-4</v>
      </c>
      <c r="L364">
        <v>5.7744226657474584E-4</v>
      </c>
      <c r="M364">
        <v>5.9568945682531016E-4</v>
      </c>
      <c r="N364">
        <v>6.0114736647420841E-4</v>
      </c>
      <c r="O364">
        <v>5.4612392438491142E-4</v>
      </c>
      <c r="P364">
        <v>5.3573019985209136E-4</v>
      </c>
      <c r="Q364">
        <v>5.4958248556946643E-4</v>
      </c>
      <c r="R364">
        <v>-5.3197901591683916E-4</v>
      </c>
      <c r="S364">
        <v>2.0825776104211879E-3</v>
      </c>
      <c r="T364">
        <v>2.29215025987628E-3</v>
      </c>
      <c r="U364">
        <v>1.3308910588563094E-3</v>
      </c>
      <c r="V364">
        <v>2.7523837609357837E-3</v>
      </c>
      <c r="W364">
        <v>1.7346102022672838E-3</v>
      </c>
      <c r="X364">
        <v>4.3229929398276301E-3</v>
      </c>
      <c r="Y364">
        <v>2.7523837609357837E-3</v>
      </c>
      <c r="Z364">
        <v>2.2499129779594007E-3</v>
      </c>
      <c r="AA364">
        <v>2.3659132889866097E-3</v>
      </c>
      <c r="AC364">
        <v>5.9249374019969547E-3</v>
      </c>
      <c r="AD364">
        <v>1.4820654431692226E-2</v>
      </c>
      <c r="AE364">
        <v>8.6089236451583062E-3</v>
      </c>
      <c r="AF364">
        <v>4.6390352560821135E-4</v>
      </c>
      <c r="AG364">
        <v>5.5979632420586345E-3</v>
      </c>
      <c r="AH364">
        <v>3.8494885225479614E-3</v>
      </c>
      <c r="AI364">
        <v>3.3215308199052718E-3</v>
      </c>
      <c r="AJ364">
        <v>-1.0530749789384952E-2</v>
      </c>
      <c r="AK364">
        <v>1.1962823226281394E-3</v>
      </c>
      <c r="AL364">
        <v>-1.2713453907394312E-2</v>
      </c>
    </row>
    <row r="365" spans="1:38">
      <c r="A365" s="568">
        <v>44362</v>
      </c>
      <c r="B365">
        <v>1.360036470787751E-4</v>
      </c>
      <c r="C365">
        <v>2.3804395141779899E-4</v>
      </c>
      <c r="D365">
        <v>1.3144044055679593E-4</v>
      </c>
      <c r="E365">
        <v>1.917778655160518E-4</v>
      </c>
      <c r="F365">
        <v>2.6463362505935173E-4</v>
      </c>
      <c r="G365">
        <v>1.6048650769029393E-4</v>
      </c>
      <c r="H365">
        <v>2.5654181631606932E-4</v>
      </c>
      <c r="I365">
        <v>2.9351697025248313E-4</v>
      </c>
      <c r="J365">
        <v>-5.7617635056872452E-4</v>
      </c>
      <c r="K365">
        <v>-4.074893953076586E-5</v>
      </c>
      <c r="L365">
        <v>5.7744226657474584E-4</v>
      </c>
      <c r="M365">
        <v>5.9568945682531016E-4</v>
      </c>
      <c r="N365">
        <v>6.0114736647420841E-4</v>
      </c>
      <c r="O365">
        <v>5.4612392438491142E-4</v>
      </c>
      <c r="P365">
        <v>5.3573019985209136E-4</v>
      </c>
      <c r="Q365">
        <v>5.4958248556946643E-4</v>
      </c>
      <c r="R365">
        <v>-5.6766630342419688E-4</v>
      </c>
      <c r="S365">
        <v>-7.0396719344989478E-4</v>
      </c>
      <c r="T365">
        <v>2.146346731010107E-3</v>
      </c>
      <c r="U365">
        <v>7.9973007520672823E-4</v>
      </c>
      <c r="V365">
        <v>-3.1859621605789812E-5</v>
      </c>
      <c r="W365">
        <v>1.5827705704651862E-4</v>
      </c>
      <c r="X365">
        <v>-4.2293887057798241E-4</v>
      </c>
      <c r="Y365">
        <v>-3.1859621605789812E-5</v>
      </c>
      <c r="Z365">
        <v>1.9243499035146439E-3</v>
      </c>
      <c r="AA365">
        <v>1.9142939687730731E-3</v>
      </c>
      <c r="AC365">
        <v>-8.9764097371625162E-4</v>
      </c>
      <c r="AD365">
        <v>-1.2824460012045291E-3</v>
      </c>
      <c r="AE365">
        <v>7.7842807681283155E-4</v>
      </c>
      <c r="AF365">
        <v>-5.1502509009487829E-3</v>
      </c>
      <c r="AG365">
        <v>2.9276314829258521E-3</v>
      </c>
      <c r="AH365">
        <v>-2.7380833303880525E-4</v>
      </c>
      <c r="AI365">
        <v>7.0136270485643415E-4</v>
      </c>
      <c r="AJ365">
        <v>-8.5142613878246287E-3</v>
      </c>
      <c r="AK365">
        <v>-7.9044117647059098E-3</v>
      </c>
      <c r="AL365">
        <v>7.8822814559713628E-3</v>
      </c>
    </row>
    <row r="366" spans="1:38">
      <c r="A366" s="568">
        <v>44363</v>
      </c>
      <c r="B366">
        <v>1.360036470787751E-4</v>
      </c>
      <c r="C366">
        <v>1.9409670333780937E-4</v>
      </c>
      <c r="D366">
        <v>1.3255126208533419E-4</v>
      </c>
      <c r="E366">
        <v>1.917778655160518E-4</v>
      </c>
      <c r="F366">
        <v>2.3472891004616692E-4</v>
      </c>
      <c r="G366">
        <v>1.8268419392786228E-4</v>
      </c>
      <c r="H366">
        <v>2.551261457053311E-4</v>
      </c>
      <c r="I366">
        <v>3.013620584872978E-4</v>
      </c>
      <c r="J366">
        <v>3.484969492939527E-5</v>
      </c>
      <c r="K366">
        <v>4.152241462742623E-4</v>
      </c>
      <c r="L366">
        <v>5.7744226657474584E-4</v>
      </c>
      <c r="M366">
        <v>5.9568945682531016E-4</v>
      </c>
      <c r="N366">
        <v>6.0114736647420841E-4</v>
      </c>
      <c r="O366">
        <v>5.4612392438491142E-4</v>
      </c>
      <c r="P366">
        <v>5.3573019985209136E-4</v>
      </c>
      <c r="Q366">
        <v>5.4958248556946643E-4</v>
      </c>
      <c r="R366">
        <v>-1.4145681304285063E-3</v>
      </c>
      <c r="S366">
        <v>2.9906114188360533E-4</v>
      </c>
      <c r="T366">
        <v>2.904643041556243E-3</v>
      </c>
      <c r="U366">
        <v>-5.032431312235186E-4</v>
      </c>
      <c r="V366">
        <v>-5.6613900550694929E-4</v>
      </c>
      <c r="W366">
        <v>-7.1851964962454939E-4</v>
      </c>
      <c r="X366">
        <v>6.1359928734281421E-3</v>
      </c>
      <c r="Y366">
        <v>-5.6613900550694929E-4</v>
      </c>
      <c r="Z366">
        <v>-1.2640505599849083E-3</v>
      </c>
      <c r="AA366">
        <v>1.3682843653162191E-3</v>
      </c>
      <c r="AC366">
        <v>-6.3923675627874932E-3</v>
      </c>
      <c r="AD366">
        <v>-4.794103081442902E-3</v>
      </c>
      <c r="AE366">
        <v>-4.4620336814125139E-3</v>
      </c>
      <c r="AF366">
        <v>1.1177468174581318E-3</v>
      </c>
      <c r="AG366">
        <v>-2.9342375258092357E-3</v>
      </c>
      <c r="AH366">
        <v>-3.8647959349158434E-5</v>
      </c>
      <c r="AI366">
        <v>1.0223468676744396E-3</v>
      </c>
      <c r="AJ366">
        <v>-4.293688278230734E-4</v>
      </c>
      <c r="AK366">
        <v>-1.4174541411895558E-2</v>
      </c>
      <c r="AL366">
        <v>-3.9745910603038448E-3</v>
      </c>
    </row>
    <row r="367" spans="1:38">
      <c r="A367" s="568">
        <v>44364</v>
      </c>
      <c r="B367">
        <v>1.6540434129188041E-4</v>
      </c>
      <c r="C367">
        <v>1.8133946662990397E-4</v>
      </c>
      <c r="D367">
        <v>1.4888891646092084E-4</v>
      </c>
      <c r="E367">
        <v>2.2046316435520019E-4</v>
      </c>
      <c r="F367">
        <v>2.6669473979734626E-4</v>
      </c>
      <c r="G367">
        <v>5.7422030457709994E-4</v>
      </c>
      <c r="H367">
        <v>2.5506107295680813E-4</v>
      </c>
      <c r="I367">
        <v>3.0090239041347111E-4</v>
      </c>
      <c r="J367">
        <v>-4.0373453128048631E-3</v>
      </c>
      <c r="K367">
        <v>-5.6096914166589018E-3</v>
      </c>
      <c r="L367">
        <v>5.7744226657474584E-4</v>
      </c>
      <c r="M367">
        <v>5.9568945682531016E-4</v>
      </c>
      <c r="N367">
        <v>6.0114736647420841E-4</v>
      </c>
      <c r="O367">
        <v>5.4612392438491142E-4</v>
      </c>
      <c r="P367">
        <v>5.3573019985209136E-4</v>
      </c>
      <c r="Q367">
        <v>5.4958248556946643E-4</v>
      </c>
      <c r="R367">
        <v>-8.393609793345691E-4</v>
      </c>
      <c r="S367">
        <v>-8.3507506200344306E-3</v>
      </c>
      <c r="T367">
        <v>-1.9946226781422105E-3</v>
      </c>
      <c r="U367">
        <v>-9.818896959734591E-5</v>
      </c>
      <c r="V367">
        <v>-2.8470117411647511E-3</v>
      </c>
      <c r="W367">
        <v>-7.468197647184649E-4</v>
      </c>
      <c r="X367">
        <v>1.2815601906372986E-3</v>
      </c>
      <c r="Y367">
        <v>-2.8470117411647511E-3</v>
      </c>
      <c r="Z367">
        <v>1.8389290909350819E-3</v>
      </c>
      <c r="AA367">
        <v>9.0571526850102835E-4</v>
      </c>
      <c r="AC367">
        <v>-9.3012126227637326E-3</v>
      </c>
      <c r="AD367">
        <v>-6.9350198883115777E-3</v>
      </c>
      <c r="AE367">
        <v>-7.9196496900502122E-3</v>
      </c>
      <c r="AF367">
        <v>-5.2790348567552936E-3</v>
      </c>
      <c r="AG367">
        <v>-5.9115169962659087E-3</v>
      </c>
      <c r="AH367">
        <v>-3.9755805420560453E-3</v>
      </c>
      <c r="AI367">
        <v>1.8501602134146644E-4</v>
      </c>
      <c r="AJ367">
        <v>-1.1168384879725157E-2</v>
      </c>
      <c r="AK367">
        <v>5.7325439338407058E-3</v>
      </c>
      <c r="AL367">
        <v>-7.3786688024339853E-3</v>
      </c>
    </row>
    <row r="368" spans="1:38">
      <c r="A368" s="568">
        <v>44365</v>
      </c>
      <c r="B368">
        <v>1.6540434129188041E-4</v>
      </c>
      <c r="C368">
        <v>2.1789615039824461E-4</v>
      </c>
      <c r="D368">
        <v>1.4661119500525288E-4</v>
      </c>
      <c r="E368">
        <v>2.2046316435520019E-4</v>
      </c>
      <c r="F368">
        <v>1.9952919879573372E-4</v>
      </c>
      <c r="G368">
        <v>2.1773786356038549E-4</v>
      </c>
      <c r="H368">
        <v>2.8400351867552409E-4</v>
      </c>
      <c r="I368">
        <v>3.2777409907969179E-4</v>
      </c>
      <c r="J368">
        <v>-1.6097041511464738E-3</v>
      </c>
      <c r="K368">
        <v>-2.3126905260105746E-3</v>
      </c>
      <c r="L368">
        <v>5.7744226657474584E-4</v>
      </c>
      <c r="M368">
        <v>5.9568945682531016E-4</v>
      </c>
      <c r="N368">
        <v>6.0114736647420841E-4</v>
      </c>
      <c r="O368">
        <v>5.4612392438491142E-4</v>
      </c>
      <c r="P368">
        <v>5.3573019985209136E-4</v>
      </c>
      <c r="Q368">
        <v>5.4958248556946643E-4</v>
      </c>
      <c r="R368">
        <v>-1.9358829780704578E-3</v>
      </c>
      <c r="S368">
        <v>2.2070616127067844E-4</v>
      </c>
      <c r="T368">
        <v>-8.306051127728864E-4</v>
      </c>
      <c r="U368">
        <v>-7.4904248408802498E-4</v>
      </c>
      <c r="V368">
        <v>-3.7871801492739277E-4</v>
      </c>
      <c r="W368">
        <v>-1.6471230676748938E-3</v>
      </c>
      <c r="X368">
        <v>9.5978458542211875E-4</v>
      </c>
      <c r="Y368">
        <v>-3.7871801492739277E-4</v>
      </c>
      <c r="Z368">
        <v>-2.1239577804844645E-3</v>
      </c>
      <c r="AA368">
        <v>1.1322231113899406E-3</v>
      </c>
      <c r="AC368">
        <v>2.7185503480398054E-3</v>
      </c>
      <c r="AD368">
        <v>8.2573097361064995E-3</v>
      </c>
      <c r="AE368">
        <v>3.573543174060223E-3</v>
      </c>
      <c r="AF368">
        <v>1.7896401156065611E-3</v>
      </c>
      <c r="AG368">
        <v>5.0578425120488824E-3</v>
      </c>
      <c r="AH368">
        <v>2.5662099336598576E-3</v>
      </c>
      <c r="AI368">
        <v>8.3752374383705419E-3</v>
      </c>
      <c r="AJ368">
        <v>-3.4752389226758718E-3</v>
      </c>
      <c r="AK368">
        <v>4.9523453560083031E-3</v>
      </c>
      <c r="AL368">
        <v>1.293361260691861E-2</v>
      </c>
    </row>
    <row r="369" spans="1:38">
      <c r="A369" s="568">
        <v>44368</v>
      </c>
      <c r="B369">
        <v>1.6540434129188041E-4</v>
      </c>
      <c r="C369">
        <v>2.315108400581245E-4</v>
      </c>
      <c r="D369">
        <v>1.5504680158184847E-4</v>
      </c>
      <c r="E369">
        <v>2.2046316435520019E-4</v>
      </c>
      <c r="F369">
        <v>2.3149538565681027E-4</v>
      </c>
      <c r="G369">
        <v>2.2060680135016497E-4</v>
      </c>
      <c r="H369">
        <v>2.8527168587477725E-4</v>
      </c>
      <c r="I369">
        <v>3.983593318315215E-4</v>
      </c>
      <c r="J369">
        <v>2.5206818573864087E-3</v>
      </c>
      <c r="K369">
        <v>4.637031227442856E-3</v>
      </c>
      <c r="L369">
        <v>5.7744226657474584E-4</v>
      </c>
      <c r="M369">
        <v>5.9568945682531016E-4</v>
      </c>
      <c r="N369">
        <v>6.0114736647420841E-4</v>
      </c>
      <c r="O369">
        <v>5.4612392438491142E-4</v>
      </c>
      <c r="P369">
        <v>5.3573019985209136E-4</v>
      </c>
      <c r="Q369">
        <v>5.4958248556946643E-4</v>
      </c>
      <c r="R369">
        <v>5.4866971710865187E-5</v>
      </c>
      <c r="S369">
        <v>4.3385352961835544E-3</v>
      </c>
      <c r="T369">
        <v>3.6903783174913052E-3</v>
      </c>
      <c r="U369">
        <v>6.1300876149328332E-4</v>
      </c>
      <c r="V369">
        <v>3.6213254740073975E-3</v>
      </c>
      <c r="W369">
        <v>2.219653823123835E-3</v>
      </c>
      <c r="X369">
        <v>8.9377968954162945E-4</v>
      </c>
      <c r="Y369">
        <v>3.6213254740073975E-3</v>
      </c>
      <c r="Z369">
        <v>2.049145305140998E-3</v>
      </c>
      <c r="AA369">
        <v>3.8688954927530439E-3</v>
      </c>
      <c r="AC369">
        <v>6.6945029938394462E-3</v>
      </c>
      <c r="AD369">
        <v>1.3740199277798126E-2</v>
      </c>
      <c r="AE369">
        <v>7.8043335824045101E-3</v>
      </c>
      <c r="AF369">
        <v>7.7917741619197844E-3</v>
      </c>
      <c r="AG369">
        <v>4.6763725455143401E-3</v>
      </c>
      <c r="AH369">
        <v>3.6438541570866789E-3</v>
      </c>
      <c r="AI369">
        <v>1.3986756474394957E-2</v>
      </c>
      <c r="AJ369">
        <v>2.6155187445509043E-3</v>
      </c>
      <c r="AK369">
        <v>-7.8103207810321651E-3</v>
      </c>
      <c r="AL369">
        <v>-1.8306548743799111E-2</v>
      </c>
    </row>
    <row r="370" spans="1:38">
      <c r="A370" s="568">
        <v>44369</v>
      </c>
      <c r="B370">
        <v>1.6540434129188041E-4</v>
      </c>
      <c r="C370">
        <v>2.1104332884380739E-4</v>
      </c>
      <c r="D370">
        <v>1.933556678859194E-4</v>
      </c>
      <c r="E370">
        <v>2.2046316435520019E-4</v>
      </c>
      <c r="F370">
        <v>2.2136006252426732E-4</v>
      </c>
      <c r="G370">
        <v>2.9580186147315501E-4</v>
      </c>
      <c r="H370">
        <v>2.8451612033264517E-4</v>
      </c>
      <c r="I370">
        <v>3.2689714122424718E-4</v>
      </c>
      <c r="J370">
        <v>-1.5425455620545758E-3</v>
      </c>
      <c r="K370">
        <v>-2.8910749488121334E-3</v>
      </c>
      <c r="L370">
        <v>5.7744226657474584E-4</v>
      </c>
      <c r="M370">
        <v>5.9568945682531016E-4</v>
      </c>
      <c r="N370">
        <v>6.0114736647420841E-4</v>
      </c>
      <c r="O370">
        <v>5.4612392438491142E-4</v>
      </c>
      <c r="P370">
        <v>5.3573019985209136E-4</v>
      </c>
      <c r="Q370">
        <v>5.4958248556946643E-4</v>
      </c>
      <c r="R370">
        <v>7.5000844060957306E-4</v>
      </c>
      <c r="S370">
        <v>-5.7278754057032977E-4</v>
      </c>
      <c r="T370">
        <v>-1.6712691664618751E-3</v>
      </c>
      <c r="U370">
        <v>-1.3420719779644319E-4</v>
      </c>
      <c r="V370">
        <v>0</v>
      </c>
      <c r="W370">
        <v>1.2065736310031827E-3</v>
      </c>
      <c r="X370">
        <v>-1.6269571826232898E-4</v>
      </c>
      <c r="Y370">
        <v>0</v>
      </c>
      <c r="Z370">
        <v>5.9795774353879061E-3</v>
      </c>
      <c r="AA370">
        <v>6.6184983546158094E-4</v>
      </c>
      <c r="AC370">
        <v>-3.8487614895793554E-3</v>
      </c>
      <c r="AD370">
        <v>-4.691488664786303E-3</v>
      </c>
      <c r="AE370">
        <v>-4.3950037145554788E-3</v>
      </c>
      <c r="AF370">
        <v>4.5560029882518727E-3</v>
      </c>
      <c r="AG370">
        <v>1.6344196680242451E-3</v>
      </c>
      <c r="AH370">
        <v>5.4025081062736291E-4</v>
      </c>
      <c r="AI370">
        <v>7.981056439652745E-3</v>
      </c>
      <c r="AJ370">
        <v>-4.3478260869478369E-5</v>
      </c>
      <c r="AK370">
        <v>-7.8718020804047217E-3</v>
      </c>
      <c r="AL370">
        <v>3.1449518486788008E-2</v>
      </c>
    </row>
    <row r="371" spans="1:38">
      <c r="A371" s="568">
        <v>44370</v>
      </c>
      <c r="B371">
        <v>1.6540434129188041E-4</v>
      </c>
      <c r="C371">
        <v>2.7223642685103577E-4</v>
      </c>
      <c r="D371">
        <v>1.538655767197028E-4</v>
      </c>
      <c r="E371">
        <v>2.2046316435520019E-4</v>
      </c>
      <c r="F371">
        <v>2.9975598810794146E-4</v>
      </c>
      <c r="G371">
        <v>8.8310001201663546E-4</v>
      </c>
      <c r="H371">
        <v>2.8510921098212627E-4</v>
      </c>
      <c r="I371">
        <v>3.2348887818423044E-4</v>
      </c>
      <c r="J371">
        <v>1.5948076602494421E-3</v>
      </c>
      <c r="K371">
        <v>1.4096604299218551E-3</v>
      </c>
      <c r="L371">
        <v>5.7744226657474584E-4</v>
      </c>
      <c r="M371">
        <v>5.9568945682531016E-4</v>
      </c>
      <c r="N371">
        <v>6.0114736647420841E-4</v>
      </c>
      <c r="O371">
        <v>5.4612392438491142E-4</v>
      </c>
      <c r="P371">
        <v>5.3573019985209136E-4</v>
      </c>
      <c r="Q371">
        <v>5.4958248556946643E-4</v>
      </c>
      <c r="R371">
        <v>1.4994951478772833E-3</v>
      </c>
      <c r="S371">
        <v>2.2490595933020163E-3</v>
      </c>
      <c r="T371">
        <v>-1.3846963505182996E-3</v>
      </c>
      <c r="U371">
        <v>1.5389409273174337E-3</v>
      </c>
      <c r="V371">
        <v>1.3236818947279794E-3</v>
      </c>
      <c r="W371">
        <v>4.3186689174068427E-4</v>
      </c>
      <c r="X371">
        <v>1.8327054112887708E-3</v>
      </c>
      <c r="Y371">
        <v>1.3236818947279794E-3</v>
      </c>
      <c r="Z371">
        <v>1.3766251578739563E-4</v>
      </c>
      <c r="AA371">
        <v>8.3373071064873905E-4</v>
      </c>
      <c r="AC371">
        <v>-2.6363028855506121E-3</v>
      </c>
      <c r="AD371">
        <v>6.6736022256130845E-4</v>
      </c>
      <c r="AE371">
        <v>-1.6465304976481798E-3</v>
      </c>
      <c r="AF371">
        <v>7.2138197282345384E-3</v>
      </c>
      <c r="AG371">
        <v>7.9653829846981772E-4</v>
      </c>
      <c r="AH371">
        <v>-7.3549710030118565E-4</v>
      </c>
      <c r="AI371">
        <v>1.0298706359869403E-2</v>
      </c>
      <c r="AJ371">
        <v>-8.6525501108744018E-3</v>
      </c>
      <c r="AK371">
        <v>1.7001983564749246E-2</v>
      </c>
      <c r="AL371">
        <v>-2.6580264047945112E-3</v>
      </c>
    </row>
    <row r="372" spans="1:38">
      <c r="A372" s="568">
        <v>44371</v>
      </c>
      <c r="B372">
        <v>1.6540434129188041E-4</v>
      </c>
      <c r="C372">
        <v>2.5084635655403531E-4</v>
      </c>
      <c r="D372">
        <v>1.6511237503169518E-4</v>
      </c>
      <c r="E372">
        <v>2.2046316435520019E-4</v>
      </c>
      <c r="F372">
        <v>2.5366477695909495E-4</v>
      </c>
      <c r="G372">
        <v>-2.3955687051935293E-5</v>
      </c>
      <c r="H372">
        <v>2.8368029702208197E-4</v>
      </c>
      <c r="I372">
        <v>3.259201989023186E-4</v>
      </c>
      <c r="J372">
        <v>2.2618834736094495E-3</v>
      </c>
      <c r="K372">
        <v>1.967554667484217E-3</v>
      </c>
      <c r="L372">
        <v>5.7744226657474584E-4</v>
      </c>
      <c r="M372">
        <v>5.9568945682531016E-4</v>
      </c>
      <c r="N372">
        <v>6.0114736647420841E-4</v>
      </c>
      <c r="O372">
        <v>5.4612392438491142E-4</v>
      </c>
      <c r="P372">
        <v>5.3573019985209136E-4</v>
      </c>
      <c r="Q372">
        <v>5.4958248556946643E-4</v>
      </c>
      <c r="R372">
        <v>4.7822971990174601E-4</v>
      </c>
      <c r="S372">
        <v>3.0823701705871009E-3</v>
      </c>
      <c r="T372">
        <v>1.5959186210450227E-3</v>
      </c>
      <c r="U372">
        <v>1.6777365220483897E-3</v>
      </c>
      <c r="V372">
        <v>2.4822946782443456E-3</v>
      </c>
      <c r="W372">
        <v>2.0535339260339125E-3</v>
      </c>
      <c r="X372">
        <v>-6.9625286233632178E-4</v>
      </c>
      <c r="Y372">
        <v>2.4822946782443456E-3</v>
      </c>
      <c r="Z372">
        <v>2.2513832039932069E-3</v>
      </c>
      <c r="AA372">
        <v>-1.1395522721601159E-3</v>
      </c>
      <c r="AC372">
        <v>8.4532981052882761E-3</v>
      </c>
      <c r="AD372">
        <v>1.0493625038773047E-2</v>
      </c>
      <c r="AE372">
        <v>8.0942436052973132E-3</v>
      </c>
      <c r="AF372">
        <v>4.6162659867816647E-3</v>
      </c>
      <c r="AG372">
        <v>7.266290336954917E-3</v>
      </c>
      <c r="AH372">
        <v>5.3243953244530573E-3</v>
      </c>
      <c r="AI372">
        <v>-1.0796439325401197E-3</v>
      </c>
      <c r="AJ372">
        <v>-5.7017543859649855E-3</v>
      </c>
      <c r="AK372">
        <v>6.6870994706045295E-3</v>
      </c>
      <c r="AL372">
        <v>-1.4503535040113036E-2</v>
      </c>
    </row>
    <row r="373" spans="1:38">
      <c r="A373" s="568">
        <v>44372</v>
      </c>
      <c r="B373">
        <v>1.6540434129188041E-4</v>
      </c>
      <c r="C373">
        <v>2.2743905794775365E-4</v>
      </c>
      <c r="D373">
        <v>1.915663478777585E-4</v>
      </c>
      <c r="E373">
        <v>2.2046316435520019E-4</v>
      </c>
      <c r="F373">
        <v>3.4338989776694362E-4</v>
      </c>
      <c r="G373">
        <v>2.3655633352337446E-4</v>
      </c>
      <c r="H373">
        <v>2.8427347917059365E-4</v>
      </c>
      <c r="I373">
        <v>3.2663828510326454E-4</v>
      </c>
      <c r="J373">
        <v>4.5235478180272182E-4</v>
      </c>
      <c r="K373">
        <v>1.156605927935761E-3</v>
      </c>
      <c r="L373">
        <v>5.7744226657474584E-4</v>
      </c>
      <c r="M373">
        <v>5.9568945682531016E-4</v>
      </c>
      <c r="N373">
        <v>6.0114736647420841E-4</v>
      </c>
      <c r="O373">
        <v>5.4612392438491142E-4</v>
      </c>
      <c r="P373">
        <v>5.3573019985209136E-4</v>
      </c>
      <c r="Q373">
        <v>5.4958248556946643E-4</v>
      </c>
      <c r="R373">
        <v>1.1429938863956046E-3</v>
      </c>
      <c r="S373">
        <v>7.3645428636970323E-4</v>
      </c>
      <c r="T373">
        <v>6.2539020708243243E-3</v>
      </c>
      <c r="U373">
        <v>1.6114750521989407E-3</v>
      </c>
      <c r="V373">
        <v>-1.2160964281441311E-3</v>
      </c>
      <c r="W373">
        <v>4.1307670158796661E-4</v>
      </c>
      <c r="X373">
        <v>5.3494615096114639E-3</v>
      </c>
      <c r="Y373">
        <v>-1.2160964281441311E-3</v>
      </c>
      <c r="Z373">
        <v>-3.9554319658381409E-3</v>
      </c>
      <c r="AA373">
        <v>-2.0254398409114138E-4</v>
      </c>
      <c r="AC373">
        <v>-1.7434537000818873E-2</v>
      </c>
      <c r="AD373">
        <v>-1.1640250785327044E-2</v>
      </c>
      <c r="AE373">
        <v>-1.6378513741303835E-2</v>
      </c>
      <c r="AF373">
        <v>-3.874972739165039E-3</v>
      </c>
      <c r="AG373">
        <v>-5.5809077632853477E-3</v>
      </c>
      <c r="AH373">
        <v>-6.1863699418643892E-3</v>
      </c>
      <c r="AI373">
        <v>-1.095634815550528E-3</v>
      </c>
      <c r="AJ373">
        <v>8.3811204234671699E-3</v>
      </c>
      <c r="AK373">
        <v>1.6514438601346937E-2</v>
      </c>
      <c r="AL373">
        <v>2.3485297423782692E-2</v>
      </c>
    </row>
    <row r="374" spans="1:38">
      <c r="A374" s="568">
        <v>44375</v>
      </c>
      <c r="B374">
        <v>1.6540434129188041E-4</v>
      </c>
      <c r="C374">
        <v>1.8483711796446478E-4</v>
      </c>
      <c r="D374">
        <v>1.5547701587781404E-4</v>
      </c>
      <c r="E374">
        <v>2.2046316435520019E-4</v>
      </c>
      <c r="F374">
        <v>1.7338739867667208E-4</v>
      </c>
      <c r="G374">
        <v>1.8822350169545032E-4</v>
      </c>
      <c r="H374">
        <v>2.8486613312073139E-4</v>
      </c>
      <c r="I374">
        <v>3.9474518564475147E-4</v>
      </c>
      <c r="J374">
        <v>2.0165445647852831E-3</v>
      </c>
      <c r="K374">
        <v>3.2530572526356938E-3</v>
      </c>
      <c r="L374">
        <v>5.7744226657474584E-4</v>
      </c>
      <c r="M374">
        <v>5.9568945682531016E-4</v>
      </c>
      <c r="N374">
        <v>6.0114736647420841E-4</v>
      </c>
      <c r="O374">
        <v>5.4612392438491142E-4</v>
      </c>
      <c r="P374">
        <v>5.3573019985209136E-4</v>
      </c>
      <c r="Q374">
        <v>5.4958248556946643E-4</v>
      </c>
      <c r="R374">
        <v>2.1800793596948864E-4</v>
      </c>
      <c r="S374">
        <v>4.828685574169711E-4</v>
      </c>
      <c r="T374">
        <v>-2.0058281000862044E-3</v>
      </c>
      <c r="U374">
        <v>1.8659966984020393E-3</v>
      </c>
      <c r="V374">
        <v>1.087995618678228E-3</v>
      </c>
      <c r="W374">
        <v>9.0938979557275701E-4</v>
      </c>
      <c r="X374">
        <v>-4.5629431087587102E-3</v>
      </c>
      <c r="Y374">
        <v>1.087995618678228E-3</v>
      </c>
      <c r="Z374">
        <v>-2.9641611499982012E-3</v>
      </c>
      <c r="AA374">
        <v>-2.9796888927302589E-4</v>
      </c>
      <c r="AC374">
        <v>1.3638691449437967E-3</v>
      </c>
      <c r="AD374">
        <v>3.0500060640237248E-3</v>
      </c>
      <c r="AE374">
        <v>2.2282468663239463E-3</v>
      </c>
      <c r="AF374">
        <v>7.6963423564146982E-3</v>
      </c>
      <c r="AG374">
        <v>5.0371752150955018E-3</v>
      </c>
      <c r="AH374">
        <v>2.7250273473051756E-3</v>
      </c>
      <c r="AI374">
        <v>9.2928881616869408E-3</v>
      </c>
      <c r="AJ374">
        <v>4.8118985126859304E-3</v>
      </c>
      <c r="AK374">
        <v>6.6255218732982346E-3</v>
      </c>
      <c r="AL374">
        <v>-2.1096508100264311E-2</v>
      </c>
    </row>
    <row r="375" spans="1:38">
      <c r="A375" s="568">
        <v>44376</v>
      </c>
      <c r="B375">
        <v>1.6540434129188041E-4</v>
      </c>
      <c r="C375">
        <v>3.2424200621394839E-4</v>
      </c>
      <c r="D375">
        <v>1.5207343682588359E-4</v>
      </c>
      <c r="E375">
        <v>2.2046316435520019E-4</v>
      </c>
      <c r="F375">
        <v>3.8874070338446032E-4</v>
      </c>
      <c r="G375">
        <v>2.6274962505579147E-4</v>
      </c>
      <c r="H375">
        <v>2.8478500751694114E-4</v>
      </c>
      <c r="I375">
        <v>3.3122615542935385E-4</v>
      </c>
      <c r="J375">
        <v>4.830596505238649E-4</v>
      </c>
      <c r="K375">
        <v>2.0476625259213677E-4</v>
      </c>
      <c r="L375">
        <v>5.7744226657474584E-4</v>
      </c>
      <c r="M375">
        <v>5.9568945682531016E-4</v>
      </c>
      <c r="N375">
        <v>6.0114736647420841E-4</v>
      </c>
      <c r="O375">
        <v>5.4612392438491142E-4</v>
      </c>
      <c r="P375">
        <v>5.3573019985209136E-4</v>
      </c>
      <c r="Q375">
        <v>5.4958248556946643E-4</v>
      </c>
      <c r="R375">
        <v>3.6026515515485968E-5</v>
      </c>
      <c r="S375">
        <v>5.4137120343566991E-4</v>
      </c>
      <c r="T375">
        <v>1.9837873923829186E-3</v>
      </c>
      <c r="U375">
        <v>-6.652312659484183E-4</v>
      </c>
      <c r="V375">
        <v>3.1749598245589539E-5</v>
      </c>
      <c r="W375">
        <v>-1.7474502985870277E-4</v>
      </c>
      <c r="X375">
        <v>-1.1870933044774157E-3</v>
      </c>
      <c r="Y375">
        <v>3.1749598245589539E-5</v>
      </c>
      <c r="Z375">
        <v>-1.9848633830328311E-3</v>
      </c>
      <c r="AA375">
        <v>-2.0648613838059049E-4</v>
      </c>
      <c r="AC375">
        <v>-7.983258464290266E-4</v>
      </c>
      <c r="AD375">
        <v>1.1768259998179431E-4</v>
      </c>
      <c r="AE375">
        <v>-3.3691673971891767E-4</v>
      </c>
      <c r="AF375">
        <v>6.1771390733222908E-4</v>
      </c>
      <c r="AG375">
        <v>-1.2717291029388234E-3</v>
      </c>
      <c r="AH375">
        <v>8.8187086797031355E-5</v>
      </c>
      <c r="AI375">
        <v>8.8430594946438124E-3</v>
      </c>
      <c r="AJ375">
        <v>0</v>
      </c>
      <c r="AK375">
        <v>-4.5983229645657486E-3</v>
      </c>
      <c r="AL375">
        <v>4.3736364299278296E-3</v>
      </c>
    </row>
    <row r="376" spans="1:38">
      <c r="A376" s="568">
        <v>44377</v>
      </c>
      <c r="B376">
        <v>1.6540434129188041E-4</v>
      </c>
      <c r="C376">
        <v>2.5581088309523103E-4</v>
      </c>
      <c r="D376">
        <v>1.5880810574597781E-4</v>
      </c>
      <c r="E376">
        <v>2.2046316435520019E-4</v>
      </c>
      <c r="F376">
        <v>4.1747130541192057E-4</v>
      </c>
      <c r="G376">
        <v>3.1544204273514787E-4</v>
      </c>
      <c r="H376">
        <v>2.8470392810664436E-4</v>
      </c>
      <c r="I376">
        <v>3.3079442165484529E-4</v>
      </c>
      <c r="J376">
        <v>-3.397958621095265E-4</v>
      </c>
      <c r="K376">
        <v>-2.3847581468894319E-4</v>
      </c>
      <c r="L376">
        <v>5.7744226657474584E-4</v>
      </c>
      <c r="M376">
        <v>5.9568945682531016E-4</v>
      </c>
      <c r="N376">
        <v>6.0114736647420841E-4</v>
      </c>
      <c r="O376">
        <v>5.4612392438491142E-4</v>
      </c>
      <c r="P376">
        <v>5.3573019985209136E-4</v>
      </c>
      <c r="Q376">
        <v>5.4958248556946643E-4</v>
      </c>
      <c r="R376">
        <v>2.2215550885551494E-5</v>
      </c>
      <c r="S376">
        <v>1.3577785980416479E-3</v>
      </c>
      <c r="T376">
        <v>3.5477039966469448E-4</v>
      </c>
      <c r="U376">
        <v>-7.6267750914182919E-4</v>
      </c>
      <c r="V376">
        <v>-8.4988533874530425E-4</v>
      </c>
      <c r="W376">
        <v>-2.5276087328052199E-4</v>
      </c>
      <c r="X376">
        <v>2.2039108866913626E-3</v>
      </c>
      <c r="Y376">
        <v>-8.4988533874530425E-4</v>
      </c>
      <c r="Z376">
        <v>-5.2802318105826807E-4</v>
      </c>
      <c r="AA376">
        <v>1.3287949005651445E-3</v>
      </c>
      <c r="AC376">
        <v>-4.1293534213834304E-3</v>
      </c>
      <c r="AD376">
        <v>-2.5117614940487476E-3</v>
      </c>
      <c r="AE376">
        <v>-1.4305540498912306E-3</v>
      </c>
      <c r="AF376">
        <v>2.8158778595810396E-4</v>
      </c>
      <c r="AG376">
        <v>-1.5034117659484814E-3</v>
      </c>
      <c r="AH376">
        <v>3.9827561583445359E-3</v>
      </c>
      <c r="AI376">
        <v>4.9296628722750313E-3</v>
      </c>
      <c r="AJ376">
        <v>1.2189812799303423E-2</v>
      </c>
      <c r="AK376">
        <v>-4.3478260869566077E-3</v>
      </c>
      <c r="AL376">
        <v>8.7821698703256512E-3</v>
      </c>
    </row>
    <row r="377" spans="1:38">
      <c r="A377" s="568">
        <v>44378</v>
      </c>
      <c r="B377">
        <v>1.6540434129188041E-4</v>
      </c>
      <c r="C377">
        <v>2.1807066791001972E-4</v>
      </c>
      <c r="D377">
        <v>1.5765676995060929E-4</v>
      </c>
      <c r="E377">
        <v>2.2046316435520019E-4</v>
      </c>
      <c r="F377">
        <v>6.5612750919319396E-5</v>
      </c>
      <c r="G377">
        <v>2.1792424063660221E-4</v>
      </c>
      <c r="H377">
        <v>2.8462289485031711E-4</v>
      </c>
      <c r="I377">
        <v>3.3173314402934473E-4</v>
      </c>
      <c r="J377">
        <v>-3.2653866048171221E-4</v>
      </c>
      <c r="K377">
        <v>-5.4253432147655101E-4</v>
      </c>
      <c r="L377">
        <v>7.6011540840892344E-4</v>
      </c>
      <c r="M377">
        <v>7.7836593000735199E-4</v>
      </c>
      <c r="N377">
        <v>7.8382483609429343E-4</v>
      </c>
      <c r="O377">
        <v>5.4612392438491142E-4</v>
      </c>
      <c r="P377">
        <v>5.3573019985209136E-4</v>
      </c>
      <c r="Q377">
        <v>5.4958248556946643E-4</v>
      </c>
      <c r="R377">
        <v>-2.9239818749160484E-4</v>
      </c>
      <c r="S377">
        <v>-1.4835526621516104E-3</v>
      </c>
      <c r="T377">
        <v>2.2260206055428888E-3</v>
      </c>
      <c r="U377">
        <v>-6.4088511871385201E-4</v>
      </c>
      <c r="V377">
        <v>-1.1414771741229401E-3</v>
      </c>
      <c r="W377">
        <v>2.9487003589334648E-4</v>
      </c>
      <c r="X377">
        <v>3.9727839158749667E-3</v>
      </c>
      <c r="Y377">
        <v>-1.1414771741229401E-3</v>
      </c>
      <c r="Z377">
        <v>-1.5499920869360695E-3</v>
      </c>
      <c r="AA377">
        <v>-1.3277997386207385E-3</v>
      </c>
      <c r="AC377">
        <v>-8.9546934953375068E-3</v>
      </c>
      <c r="AD377">
        <v>-1.3429314207649701E-2</v>
      </c>
      <c r="AE377">
        <v>-6.3934014249933391E-3</v>
      </c>
      <c r="AF377">
        <v>-6.6246048885640896E-3</v>
      </c>
      <c r="AG377">
        <v>-7.3793758182976177E-3</v>
      </c>
      <c r="AH377">
        <v>6.6138585613733092E-3</v>
      </c>
      <c r="AI377">
        <v>1.0868427348871279E-3</v>
      </c>
      <c r="AJ377">
        <v>1.5913978494623615E-2</v>
      </c>
      <c r="AK377">
        <v>-4.0938864628821126E-3</v>
      </c>
      <c r="AL377">
        <v>8.2228388399427921E-3</v>
      </c>
    </row>
    <row r="378" spans="1:38">
      <c r="A378" s="568">
        <v>44379</v>
      </c>
      <c r="B378">
        <v>1.6540434129188041E-4</v>
      </c>
      <c r="C378">
        <v>3.6946868655252096E-4</v>
      </c>
      <c r="D378">
        <v>1.7452105230564285E-4</v>
      </c>
      <c r="E378">
        <v>2.2046316435520019E-4</v>
      </c>
      <c r="F378">
        <v>3.381021925905614E-4</v>
      </c>
      <c r="G378">
        <v>1.6307915973134968E-4</v>
      </c>
      <c r="H378">
        <v>2.838692318041236E-4</v>
      </c>
      <c r="I378">
        <v>3.3159822214923196E-4</v>
      </c>
      <c r="J378">
        <v>1.5472811235899275E-3</v>
      </c>
      <c r="K378">
        <v>1.9895302361765399E-3</v>
      </c>
      <c r="L378">
        <v>7.6011540840892344E-4</v>
      </c>
      <c r="M378">
        <v>7.7836593000735199E-4</v>
      </c>
      <c r="N378">
        <v>7.8382483609429343E-4</v>
      </c>
      <c r="O378">
        <v>5.4612392438491142E-4</v>
      </c>
      <c r="P378">
        <v>5.3573019985209136E-4</v>
      </c>
      <c r="Q378">
        <v>5.4958248556946643E-4</v>
      </c>
      <c r="R378">
        <v>1.5651181646196832E-3</v>
      </c>
      <c r="S378">
        <v>1.6867360669035047E-3</v>
      </c>
      <c r="T378">
        <v>-1.6816733935035577E-3</v>
      </c>
      <c r="U378">
        <v>1.8678036126162922E-3</v>
      </c>
      <c r="V378">
        <v>2.7749772422500651E-3</v>
      </c>
      <c r="W378">
        <v>1.6000141584384675E-3</v>
      </c>
      <c r="X378">
        <v>-8.9596771172417711E-4</v>
      </c>
      <c r="Y378">
        <v>2.7749772422500651E-3</v>
      </c>
      <c r="Z378">
        <v>1.2198144422048696E-3</v>
      </c>
      <c r="AA378">
        <v>9.5569634732450837E-4</v>
      </c>
      <c r="AC378">
        <v>1.5560748678701719E-2</v>
      </c>
      <c r="AD378">
        <v>1.7160415719988498E-2</v>
      </c>
      <c r="AE378">
        <v>1.8749378416366147E-2</v>
      </c>
      <c r="AF378">
        <v>1.0583049797500799E-2</v>
      </c>
      <c r="AG378">
        <v>9.100422413497844E-3</v>
      </c>
      <c r="AH378">
        <v>1.0209804283453083E-2</v>
      </c>
      <c r="AI378">
        <v>1.147257700768467E-2</v>
      </c>
      <c r="AJ378">
        <v>8.0440304826419062E-3</v>
      </c>
      <c r="AK378">
        <v>-2.2745957796656557E-2</v>
      </c>
      <c r="AL378">
        <v>1.8277772755257438E-3</v>
      </c>
    </row>
    <row r="379" spans="1:38">
      <c r="A379" s="568">
        <v>44382</v>
      </c>
      <c r="B379">
        <v>1.6540434129188041E-4</v>
      </c>
      <c r="C379">
        <v>1.8231172918059535E-4</v>
      </c>
      <c r="D379">
        <v>1.6210739614996861E-4</v>
      </c>
      <c r="E379">
        <v>2.2046316435520019E-4</v>
      </c>
      <c r="F379">
        <v>1.6702637092791406E-4</v>
      </c>
      <c r="G379">
        <v>3.0011804893437244E-4</v>
      </c>
      <c r="H379">
        <v>2.8513364294546761E-4</v>
      </c>
      <c r="I379">
        <v>3.998849947903782E-4</v>
      </c>
      <c r="J379">
        <v>4.7402140114893854E-5</v>
      </c>
      <c r="K379">
        <v>1.7784906927165167E-5</v>
      </c>
      <c r="L379">
        <v>7.6011540840892344E-4</v>
      </c>
      <c r="M379">
        <v>7.7836593000735199E-4</v>
      </c>
      <c r="N379">
        <v>7.8382483609429343E-4</v>
      </c>
      <c r="O379">
        <v>5.4612392438491142E-4</v>
      </c>
      <c r="P379">
        <v>5.3573019985209136E-4</v>
      </c>
      <c r="Q379">
        <v>5.4958248556946643E-4</v>
      </c>
      <c r="R379">
        <v>-3.7777575231268123E-5</v>
      </c>
      <c r="S379">
        <v>-5.5217314262701045E-4</v>
      </c>
      <c r="T379">
        <v>5.373241498636272E-4</v>
      </c>
      <c r="U379">
        <v>1.0894421074190141E-3</v>
      </c>
      <c r="V379">
        <v>-3.2944024442016495E-4</v>
      </c>
      <c r="W379">
        <v>-2.4572032499137197E-4</v>
      </c>
      <c r="X379">
        <v>2.380670878135982E-3</v>
      </c>
      <c r="Y379">
        <v>-3.2944024442016495E-4</v>
      </c>
      <c r="Z379">
        <v>1.0725062127350249E-3</v>
      </c>
      <c r="AA379">
        <v>5.6741231820467419E-4</v>
      </c>
      <c r="AC379">
        <v>-5.4974998364305527E-3</v>
      </c>
      <c r="AD379">
        <v>-4.3329947695842641E-3</v>
      </c>
      <c r="AE379">
        <v>-3.6902064369174203E-3</v>
      </c>
      <c r="AF379">
        <v>-3.0555319855166685E-3</v>
      </c>
      <c r="AG379">
        <v>-4.4195153392015962E-3</v>
      </c>
      <c r="AH379">
        <v>4.7998348847988481E-4</v>
      </c>
      <c r="AI379">
        <v>-6.9330747713325369E-4</v>
      </c>
      <c r="AJ379">
        <v>4.61990760184805E-3</v>
      </c>
      <c r="AK379">
        <v>-1.1497476163768949E-2</v>
      </c>
      <c r="AL379">
        <v>1.3142470228612479E-2</v>
      </c>
    </row>
    <row r="380" spans="1:38">
      <c r="A380" s="568">
        <v>44383</v>
      </c>
      <c r="B380">
        <v>1.6540434129188041E-4</v>
      </c>
      <c r="C380">
        <v>2.0120640888032781E-4</v>
      </c>
      <c r="D380">
        <v>1.8684351517928022E-4</v>
      </c>
      <c r="E380">
        <v>2.2046316435520019E-4</v>
      </c>
      <c r="F380">
        <v>2.4088000328736925E-4</v>
      </c>
      <c r="G380">
        <v>2.1074177164526198E-4</v>
      </c>
      <c r="H380">
        <v>2.8438007161279977E-4</v>
      </c>
      <c r="I380">
        <v>3.214496436199088E-4</v>
      </c>
      <c r="J380">
        <v>-1.1699830006348666E-3</v>
      </c>
      <c r="K380">
        <v>-1.5894291102754865E-3</v>
      </c>
      <c r="L380">
        <v>7.6011540840892344E-4</v>
      </c>
      <c r="M380">
        <v>7.7836593000735199E-4</v>
      </c>
      <c r="N380">
        <v>7.8382483609429343E-4</v>
      </c>
      <c r="O380">
        <v>5.4612392438491142E-4</v>
      </c>
      <c r="P380">
        <v>5.3573019985209136E-4</v>
      </c>
      <c r="Q380">
        <v>5.4958248556946643E-4</v>
      </c>
      <c r="R380">
        <v>-1.3288614188233794E-3</v>
      </c>
      <c r="S380">
        <v>-1.2924557152064753E-2</v>
      </c>
      <c r="T380">
        <v>-8.8112595963708573E-3</v>
      </c>
      <c r="U380">
        <v>-2.5463372651904903E-3</v>
      </c>
      <c r="V380">
        <v>-6.2589863078572616E-3</v>
      </c>
      <c r="W380">
        <v>-2.985821490292806E-3</v>
      </c>
      <c r="X380">
        <v>-4.6244211609152153E-3</v>
      </c>
      <c r="Y380">
        <v>-6.2589863078572616E-3</v>
      </c>
      <c r="Z380">
        <v>-6.729151891046059E-3</v>
      </c>
      <c r="AA380">
        <v>-5.3538396555863343E-4</v>
      </c>
      <c r="AC380">
        <v>-1.4380470225153541E-2</v>
      </c>
      <c r="AD380">
        <v>-1.5369342233331307E-2</v>
      </c>
      <c r="AE380">
        <v>-1.4244643585835326E-2</v>
      </c>
      <c r="AF380">
        <v>-1.1931787607105671E-2</v>
      </c>
      <c r="AG380">
        <v>-1.2998200806865201E-2</v>
      </c>
      <c r="AH380">
        <v>-5.3834132011107982E-3</v>
      </c>
      <c r="AI380">
        <v>-6.5321459721734421E-3</v>
      </c>
      <c r="AJ380">
        <v>2.5083612040133874E-2</v>
      </c>
      <c r="AK380">
        <v>-6.8085106382979044E-3</v>
      </c>
      <c r="AL380">
        <v>1.8170033840149369E-2</v>
      </c>
    </row>
    <row r="381" spans="1:38">
      <c r="A381" s="568">
        <v>44384</v>
      </c>
      <c r="B381">
        <v>1.6540434129188041E-4</v>
      </c>
      <c r="C381">
        <v>2.8675747489192993E-4</v>
      </c>
      <c r="D381">
        <v>1.5248534227607635E-4</v>
      </c>
      <c r="E381">
        <v>2.2046316435520019E-4</v>
      </c>
      <c r="F381">
        <v>3.4265779194653234E-4</v>
      </c>
      <c r="G381">
        <v>2.6442660450465283E-4</v>
      </c>
      <c r="H381">
        <v>2.8429922257933171E-4</v>
      </c>
      <c r="I381">
        <v>3.2799310569164852E-4</v>
      </c>
      <c r="J381">
        <v>1.2563886743586217E-3</v>
      </c>
      <c r="K381">
        <v>1.285393552232561E-3</v>
      </c>
      <c r="L381">
        <v>7.6011540840892344E-4</v>
      </c>
      <c r="M381">
        <v>7.7836593000735199E-4</v>
      </c>
      <c r="N381">
        <v>7.8382483609429343E-4</v>
      </c>
      <c r="O381">
        <v>5.4612392438491142E-4</v>
      </c>
      <c r="P381">
        <v>5.3573019985209136E-4</v>
      </c>
      <c r="Q381">
        <v>5.4958248556946643E-4</v>
      </c>
      <c r="R381">
        <v>-6.8152736587578922E-4</v>
      </c>
      <c r="S381">
        <v>-1.3906947206274722E-3</v>
      </c>
      <c r="T381">
        <v>-2.8997893792975793E-3</v>
      </c>
      <c r="U381">
        <v>-3.4388387621087091E-4</v>
      </c>
      <c r="V381">
        <v>1.1226101545862566E-3</v>
      </c>
      <c r="W381">
        <v>5.4843057450737476E-5</v>
      </c>
      <c r="X381">
        <v>-7.8885430696039593E-3</v>
      </c>
      <c r="Y381">
        <v>1.1226101545862566E-3</v>
      </c>
      <c r="Z381">
        <v>2.4379732081896144E-3</v>
      </c>
      <c r="AA381">
        <v>-8.8275401533155495E-4</v>
      </c>
      <c r="AC381">
        <v>1.5378966749078682E-2</v>
      </c>
      <c r="AD381">
        <v>2.9876472803178622E-3</v>
      </c>
      <c r="AE381">
        <v>1.1035187567481897E-2</v>
      </c>
      <c r="AF381">
        <v>2.9621747726509273E-3</v>
      </c>
      <c r="AG381">
        <v>8.4881053932626127E-3</v>
      </c>
      <c r="AH381">
        <v>3.6619905851045242E-3</v>
      </c>
      <c r="AI381">
        <v>5.609567617024469E-3</v>
      </c>
      <c r="AJ381">
        <v>1.5293637846655717E-2</v>
      </c>
      <c r="AK381">
        <v>-7.5216604779587692E-3</v>
      </c>
      <c r="AL381">
        <v>2.2598471829193834E-3</v>
      </c>
    </row>
    <row r="382" spans="1:38">
      <c r="A382" s="568">
        <v>44385</v>
      </c>
      <c r="B382">
        <v>1.6540434129188041E-4</v>
      </c>
      <c r="C382">
        <v>1.9660381644936997E-4</v>
      </c>
      <c r="D382">
        <v>1.5527504780621371E-4</v>
      </c>
      <c r="E382">
        <v>2.2046316435520019E-4</v>
      </c>
      <c r="F382">
        <v>2.6739124450947394E-4</v>
      </c>
      <c r="G382">
        <v>2.4870153519063187E-4</v>
      </c>
      <c r="H382">
        <v>2.8421841950376781E-4</v>
      </c>
      <c r="I382">
        <v>3.3054584808578369E-4</v>
      </c>
      <c r="J382">
        <v>-3.7681024064950552E-4</v>
      </c>
      <c r="K382">
        <v>-2.469901412636144E-4</v>
      </c>
      <c r="L382">
        <v>7.6011540840892344E-4</v>
      </c>
      <c r="M382">
        <v>7.7836593000735199E-4</v>
      </c>
      <c r="N382">
        <v>7.8382483609429343E-4</v>
      </c>
      <c r="O382">
        <v>5.4612392438491142E-4</v>
      </c>
      <c r="P382">
        <v>5.3573019985209136E-4</v>
      </c>
      <c r="Q382">
        <v>5.4958248556946643E-4</v>
      </c>
      <c r="R382">
        <v>-7.0903149902479257E-4</v>
      </c>
      <c r="S382">
        <v>-4.7883042756773353E-3</v>
      </c>
      <c r="T382">
        <v>-3.5641196270397302E-3</v>
      </c>
      <c r="U382">
        <v>-5.3009081689007198E-3</v>
      </c>
      <c r="V382">
        <v>-4.7307775356771886E-3</v>
      </c>
      <c r="W382">
        <v>-3.3685085168259077E-3</v>
      </c>
      <c r="X382">
        <v>-8.2358096421822902E-3</v>
      </c>
      <c r="Y382">
        <v>-4.7307775356771886E-3</v>
      </c>
      <c r="Z382">
        <v>-4.6372267179555227E-3</v>
      </c>
      <c r="AA382">
        <v>4.8021907059947466E-4</v>
      </c>
      <c r="AC382">
        <v>-1.2525241360111461E-2</v>
      </c>
      <c r="AD382">
        <v>-1.6606268583003625E-2</v>
      </c>
      <c r="AE382">
        <v>-1.1274423830728852E-2</v>
      </c>
      <c r="AF382">
        <v>-5.3199314299756661E-3</v>
      </c>
      <c r="AG382">
        <v>-1.0927052104258483E-2</v>
      </c>
      <c r="AH382">
        <v>-7.1527215787302589E-3</v>
      </c>
      <c r="AI382">
        <v>-8.7943764429094795E-3</v>
      </c>
      <c r="AJ382">
        <v>-7.8328981723236879E-3</v>
      </c>
      <c r="AK382">
        <v>-3.0506523407521025E-2</v>
      </c>
      <c r="AL382">
        <v>3.6530025793632959E-3</v>
      </c>
    </row>
    <row r="383" spans="1:38">
      <c r="A383" s="568">
        <v>44386</v>
      </c>
      <c r="B383">
        <v>1.6540434129188041E-4</v>
      </c>
      <c r="C383">
        <v>3.3265144160199434E-4</v>
      </c>
      <c r="D383">
        <v>1.4625088664588226E-4</v>
      </c>
      <c r="E383">
        <v>2.2046316435520019E-4</v>
      </c>
      <c r="F383">
        <v>2.074785761989606E-4</v>
      </c>
      <c r="G383">
        <v>2.0534096440716354E-4</v>
      </c>
      <c r="H383">
        <v>2.8413766234636206E-4</v>
      </c>
      <c r="I383">
        <v>3.2752933862378875E-4</v>
      </c>
      <c r="J383">
        <v>3.0858220013341153E-4</v>
      </c>
      <c r="K383">
        <v>9.0274920341681941E-4</v>
      </c>
      <c r="L383">
        <v>7.6011540840892344E-4</v>
      </c>
      <c r="M383">
        <v>7.7836593000735199E-4</v>
      </c>
      <c r="N383">
        <v>7.8382483609429343E-4</v>
      </c>
      <c r="O383">
        <v>5.4612392438491142E-4</v>
      </c>
      <c r="P383">
        <v>5.3573019985209136E-4</v>
      </c>
      <c r="Q383">
        <v>5.4958248556946643E-4</v>
      </c>
      <c r="R383">
        <v>1.6872491825319358E-3</v>
      </c>
      <c r="S383">
        <v>1.4114340446935714E-4</v>
      </c>
      <c r="T383">
        <v>1.902310232599902E-4</v>
      </c>
      <c r="U383">
        <v>3.1498139295729199E-3</v>
      </c>
      <c r="V383">
        <v>1.8243856258135516E-3</v>
      </c>
      <c r="W383">
        <v>3.2820707782315051E-3</v>
      </c>
      <c r="X383">
        <v>6.1129559759729446E-3</v>
      </c>
      <c r="Y383">
        <v>1.8243856258135516E-3</v>
      </c>
      <c r="Z383">
        <v>3.6441199059857876E-3</v>
      </c>
      <c r="AA383">
        <v>-7.6427265745748763E-4</v>
      </c>
      <c r="AC383">
        <v>0</v>
      </c>
      <c r="AD383">
        <v>3.0837183193810347E-4</v>
      </c>
      <c r="AE383">
        <v>-7.5352668515549226E-5</v>
      </c>
      <c r="AF383">
        <v>2.5540270348860528E-3</v>
      </c>
      <c r="AG383">
        <v>1.4556114234729467E-3</v>
      </c>
      <c r="AH383">
        <v>-2.8272775986992738E-4</v>
      </c>
      <c r="AI383">
        <v>1.4215631458642797E-3</v>
      </c>
      <c r="AJ383">
        <v>0</v>
      </c>
      <c r="AK383">
        <v>1.0191965169206396E-2</v>
      </c>
      <c r="AL383">
        <v>-7.95148485468955E-3</v>
      </c>
    </row>
    <row r="384" spans="1:38">
      <c r="A384" s="568">
        <v>44389</v>
      </c>
      <c r="B384">
        <v>1.6540434129188041E-4</v>
      </c>
      <c r="C384">
        <v>2.5370661722390331E-4</v>
      </c>
      <c r="D384">
        <v>1.5129129085211801E-4</v>
      </c>
      <c r="E384">
        <v>2.2046316435520019E-4</v>
      </c>
      <c r="F384">
        <v>2.7468832264565535E-4</v>
      </c>
      <c r="G384">
        <v>2.1129566973177027E-4</v>
      </c>
      <c r="H384">
        <v>2.8405695106825668E-4</v>
      </c>
      <c r="I384">
        <v>3.9022001423583141E-4</v>
      </c>
      <c r="J384">
        <v>-1.2173627032051604E-3</v>
      </c>
      <c r="K384">
        <v>-1.4393040528833945E-3</v>
      </c>
      <c r="L384">
        <v>7.6011540840892344E-4</v>
      </c>
      <c r="M384">
        <v>7.7836593000735199E-4</v>
      </c>
      <c r="N384">
        <v>7.8382483609429343E-4</v>
      </c>
      <c r="O384">
        <v>5.4612392438491142E-4</v>
      </c>
      <c r="P384">
        <v>5.3573019985209136E-4</v>
      </c>
      <c r="Q384">
        <v>5.4958248556946643E-4</v>
      </c>
      <c r="R384">
        <v>9.5925967723742289E-4</v>
      </c>
      <c r="S384">
        <v>1.0307700225141492E-2</v>
      </c>
      <c r="T384">
        <v>2.833713684153194E-3</v>
      </c>
      <c r="U384">
        <v>-1.4391647501584837E-3</v>
      </c>
      <c r="V384">
        <v>3.1843998858143152E-3</v>
      </c>
      <c r="W384">
        <v>1.3029936722814828E-3</v>
      </c>
      <c r="X384">
        <v>2.06845646522269E-3</v>
      </c>
      <c r="Y384">
        <v>3.1843998858143152E-3</v>
      </c>
      <c r="Z384">
        <v>3.8113832528019476E-3</v>
      </c>
      <c r="AA384">
        <v>4.1175174803931291E-3</v>
      </c>
      <c r="AC384">
        <v>1.7269381413701268E-2</v>
      </c>
      <c r="AD384">
        <v>2.1238861324919478E-2</v>
      </c>
      <c r="AE384">
        <v>1.4646922347081537E-2</v>
      </c>
      <c r="AF384">
        <v>3.198049858483154E-3</v>
      </c>
      <c r="AG384">
        <v>9.0840176449278331E-3</v>
      </c>
      <c r="AH384">
        <v>5.516152636314553E-3</v>
      </c>
      <c r="AI384">
        <v>1.1154832034774076E-2</v>
      </c>
      <c r="AJ384">
        <v>0</v>
      </c>
      <c r="AK384">
        <v>5.9751199921638243E-3</v>
      </c>
      <c r="AL384">
        <v>-7.0700563785239812E-3</v>
      </c>
    </row>
    <row r="385" spans="1:38">
      <c r="A385" s="568">
        <v>44390</v>
      </c>
      <c r="B385">
        <v>1.6540434129188041E-4</v>
      </c>
      <c r="C385">
        <v>2.2155899311249172E-4</v>
      </c>
      <c r="D385">
        <v>1.6645147939375882E-4</v>
      </c>
      <c r="E385">
        <v>2.2046316435520019E-4</v>
      </c>
      <c r="F385">
        <v>2.2396885916031728E-4</v>
      </c>
      <c r="G385">
        <v>2.4975399325355419E-4</v>
      </c>
      <c r="H385">
        <v>2.8330494689376984E-4</v>
      </c>
      <c r="I385">
        <v>3.4053213963236573E-4</v>
      </c>
      <c r="J385">
        <v>1.879047709110182E-4</v>
      </c>
      <c r="K385">
        <v>8.4936338771379738E-5</v>
      </c>
      <c r="L385">
        <v>7.6011540840892344E-4</v>
      </c>
      <c r="M385">
        <v>7.7836593000735199E-4</v>
      </c>
      <c r="N385">
        <v>7.8382483609429343E-4</v>
      </c>
      <c r="O385">
        <v>5.4612392438491142E-4</v>
      </c>
      <c r="P385">
        <v>5.3573019985209136E-4</v>
      </c>
      <c r="Q385">
        <v>5.4958248556946643E-4</v>
      </c>
      <c r="R385">
        <v>-8.1740797113705188E-4</v>
      </c>
      <c r="S385">
        <v>8.996465195101333E-4</v>
      </c>
      <c r="T385">
        <v>2.4806316914185444E-3</v>
      </c>
      <c r="U385">
        <v>2.2204843912354555E-3</v>
      </c>
      <c r="V385">
        <v>2.2224947871949396E-3</v>
      </c>
      <c r="W385">
        <v>5.5271972407178183E-4</v>
      </c>
      <c r="X385">
        <v>4.7075202178894493E-3</v>
      </c>
      <c r="Y385">
        <v>2.2224947871949396E-3</v>
      </c>
      <c r="Z385">
        <v>2.1380742487919768E-3</v>
      </c>
      <c r="AA385">
        <v>1.9075989429628848E-3</v>
      </c>
      <c r="AC385">
        <v>4.4979447673920703E-3</v>
      </c>
      <c r="AD385">
        <v>6.7114276586794919E-3</v>
      </c>
      <c r="AE385">
        <v>7.1687746580766376E-3</v>
      </c>
      <c r="AF385">
        <v>4.5982960383739169E-3</v>
      </c>
      <c r="AG385">
        <v>8.8047934844390774E-3</v>
      </c>
      <c r="AH385">
        <v>4.7228630803506366E-3</v>
      </c>
      <c r="AI385">
        <v>-2.2859049786450036E-4</v>
      </c>
      <c r="AJ385">
        <v>-2.0242914979756721E-3</v>
      </c>
      <c r="AK385">
        <v>1.7234664070107097E-2</v>
      </c>
      <c r="AL385">
        <v>-6.4748449350734427E-3</v>
      </c>
    </row>
    <row r="386" spans="1:38">
      <c r="A386" s="568">
        <v>44391</v>
      </c>
      <c r="B386">
        <v>1.6540434129188041E-4</v>
      </c>
      <c r="C386">
        <v>3.0187071768761342E-4</v>
      </c>
      <c r="D386">
        <v>1.7541965779677149E-4</v>
      </c>
      <c r="E386">
        <v>2.2046316435520019E-4</v>
      </c>
      <c r="F386">
        <v>3.0947049554574946E-4</v>
      </c>
      <c r="G386">
        <v>2.76758729139015E-4</v>
      </c>
      <c r="H386">
        <v>2.8389585652988103E-4</v>
      </c>
      <c r="I386">
        <v>3.2590221018935495E-4</v>
      </c>
      <c r="J386">
        <v>1.9603960672891496E-3</v>
      </c>
      <c r="K386">
        <v>2.5486723444896331E-3</v>
      </c>
      <c r="L386">
        <v>7.6011540840892344E-4</v>
      </c>
      <c r="M386">
        <v>7.7836593000735199E-4</v>
      </c>
      <c r="N386">
        <v>7.8382483609429343E-4</v>
      </c>
      <c r="O386">
        <v>5.4612392438491142E-4</v>
      </c>
      <c r="P386">
        <v>5.3573019985209136E-4</v>
      </c>
      <c r="Q386">
        <v>5.4958248556946643E-4</v>
      </c>
      <c r="R386">
        <v>1.3420538826232065E-3</v>
      </c>
      <c r="S386">
        <v>-1.9153197974930425E-4</v>
      </c>
      <c r="T386">
        <v>-4.1189076647246692E-3</v>
      </c>
      <c r="U386">
        <v>-4.8468202039608776E-4</v>
      </c>
      <c r="V386">
        <v>5.384818727427465E-5</v>
      </c>
      <c r="W386">
        <v>1.1402186985913776E-3</v>
      </c>
      <c r="X386">
        <v>-8.1667684109273386E-3</v>
      </c>
      <c r="Y386">
        <v>5.384818727427465E-5</v>
      </c>
      <c r="Z386">
        <v>-3.628727570821666E-3</v>
      </c>
      <c r="AA386">
        <v>4.0307154025234215E-3</v>
      </c>
      <c r="AC386">
        <v>1.8629492881749865E-3</v>
      </c>
      <c r="AD386">
        <v>-5.8029853758569949E-3</v>
      </c>
      <c r="AE386">
        <v>2.4200742174911305E-3</v>
      </c>
      <c r="AF386">
        <v>2.0117305625693138E-3</v>
      </c>
      <c r="AG386">
        <v>3.4295423445438455E-3</v>
      </c>
      <c r="AH386">
        <v>2.6410672145706693E-2</v>
      </c>
      <c r="AI386">
        <v>-5.3825122317991969E-3</v>
      </c>
      <c r="AJ386">
        <v>-1.740365111561859E-2</v>
      </c>
      <c r="AK386">
        <v>-4.8817842442806514E-3</v>
      </c>
      <c r="AL386">
        <v>-9.8052541391868697E-3</v>
      </c>
    </row>
    <row r="387" spans="1:38">
      <c r="A387" s="568">
        <v>44392</v>
      </c>
      <c r="B387">
        <v>1.6540434129188041E-4</v>
      </c>
      <c r="C387">
        <v>1.3622360664333755E-4</v>
      </c>
      <c r="D387">
        <v>1.855074810106494E-4</v>
      </c>
      <c r="E387">
        <v>2.2046316435520019E-4</v>
      </c>
      <c r="F387">
        <v>2.6312126399430369E-4</v>
      </c>
      <c r="G387">
        <v>2.7162603433938948E-4</v>
      </c>
      <c r="H387">
        <v>2.8381528254728394E-4</v>
      </c>
      <c r="I387">
        <v>3.2873253492438081E-4</v>
      </c>
      <c r="J387">
        <v>6.2730283936285325E-4</v>
      </c>
      <c r="K387">
        <v>6.5863344179106775E-4</v>
      </c>
      <c r="L387">
        <v>7.6011540840892344E-4</v>
      </c>
      <c r="M387">
        <v>7.7836593000735199E-4</v>
      </c>
      <c r="N387">
        <v>7.8382483609429343E-4</v>
      </c>
      <c r="O387">
        <v>5.4612392438491142E-4</v>
      </c>
      <c r="P387">
        <v>5.3573019985209136E-4</v>
      </c>
      <c r="Q387">
        <v>5.4958248556946643E-4</v>
      </c>
      <c r="R387">
        <v>-2.0379551158411502E-5</v>
      </c>
      <c r="S387">
        <v>-5.7979624649415751E-3</v>
      </c>
      <c r="T387">
        <v>1.9593899688308269E-5</v>
      </c>
      <c r="U387">
        <v>-1.3959493140828227E-3</v>
      </c>
      <c r="V387">
        <v>-2.6114964584486033E-3</v>
      </c>
      <c r="W387">
        <v>-1.2968886272036739E-3</v>
      </c>
      <c r="X387">
        <v>-4.2401915326598649E-3</v>
      </c>
      <c r="Y387">
        <v>-2.6114964584486033E-3</v>
      </c>
      <c r="Z387">
        <v>-1.4099822143004426E-3</v>
      </c>
      <c r="AA387">
        <v>4.163928304244946E-3</v>
      </c>
      <c r="AC387">
        <v>-7.3098318769040382E-3</v>
      </c>
      <c r="AD387">
        <v>-9.4028074477151558E-3</v>
      </c>
      <c r="AE387">
        <v>-7.3823605025375993E-3</v>
      </c>
      <c r="AF387">
        <v>-3.4052775859064743E-3</v>
      </c>
      <c r="AG387">
        <v>-4.8375279649655045E-3</v>
      </c>
      <c r="AH387">
        <v>2.350662887471433E-4</v>
      </c>
      <c r="AI387">
        <v>-3.0730650543338012E-3</v>
      </c>
      <c r="AJ387">
        <v>3.7157838239543217E-4</v>
      </c>
      <c r="AK387">
        <v>1.2216237014236242E-2</v>
      </c>
      <c r="AL387">
        <v>2.1258324596949985E-2</v>
      </c>
    </row>
    <row r="388" spans="1:38">
      <c r="A388" s="568">
        <v>44393</v>
      </c>
      <c r="B388">
        <v>1.6540434129188041E-4</v>
      </c>
      <c r="C388">
        <v>3.5503272689951793E-4</v>
      </c>
      <c r="D388">
        <v>1.8603511398729289E-4</v>
      </c>
      <c r="E388">
        <v>2.2046316435520019E-4</v>
      </c>
      <c r="F388">
        <v>3.2150806038599988E-4</v>
      </c>
      <c r="G388">
        <v>1.9273565373723045E-4</v>
      </c>
      <c r="H388">
        <v>2.8373475428766781E-4</v>
      </c>
      <c r="I388">
        <v>3.2655969383288408E-4</v>
      </c>
      <c r="J388">
        <v>1.5786477369550411E-3</v>
      </c>
      <c r="K388">
        <v>1.8937873214139866E-3</v>
      </c>
      <c r="L388">
        <v>7.6011540840892344E-4</v>
      </c>
      <c r="M388">
        <v>7.7836593000735199E-4</v>
      </c>
      <c r="N388">
        <v>7.8382483609429343E-4</v>
      </c>
      <c r="O388">
        <v>5.4612392438491142E-4</v>
      </c>
      <c r="P388">
        <v>5.3573019985209136E-4</v>
      </c>
      <c r="Q388">
        <v>5.4958248556946643E-4</v>
      </c>
      <c r="R388">
        <v>-2.8172306622553656E-5</v>
      </c>
      <c r="S388">
        <v>-2.2945353797919621E-3</v>
      </c>
      <c r="T388">
        <v>-7.2426135502468014E-4</v>
      </c>
      <c r="U388">
        <v>-5.4971661858338461E-4</v>
      </c>
      <c r="V388">
        <v>-1.8011783730991215E-3</v>
      </c>
      <c r="W388">
        <v>-1.4495566989042308E-3</v>
      </c>
      <c r="X388">
        <v>-2.1266004398204919E-3</v>
      </c>
      <c r="Y388">
        <v>-1.8011783730991215E-3</v>
      </c>
      <c r="Z388">
        <v>-4.2919377105009593E-3</v>
      </c>
      <c r="AA388">
        <v>1.0832803183842277E-3</v>
      </c>
      <c r="AC388">
        <v>-1.1827450178037102E-2</v>
      </c>
      <c r="AD388">
        <v>-3.6603629623598311E-3</v>
      </c>
      <c r="AE388">
        <v>-1.0316387124153614E-2</v>
      </c>
      <c r="AF388">
        <v>-2.6575671613049412E-3</v>
      </c>
      <c r="AG388">
        <v>-2.8595807549356422E-3</v>
      </c>
      <c r="AH388">
        <v>2.8311616561984554E-3</v>
      </c>
      <c r="AI388">
        <v>2.1902416706931493E-3</v>
      </c>
      <c r="AJ388">
        <v>-3.7144036318613738E-3</v>
      </c>
      <c r="AK388">
        <v>-7.7924546232064351E-3</v>
      </c>
      <c r="AL388">
        <v>-9.8474949561810909E-3</v>
      </c>
    </row>
    <row r="389" spans="1:38">
      <c r="A389" s="568">
        <v>44396</v>
      </c>
      <c r="B389">
        <v>1.6540434129188041E-4</v>
      </c>
      <c r="C389">
        <v>2.8059021590509658E-4</v>
      </c>
      <c r="D389">
        <v>1.8431470612201295E-4</v>
      </c>
      <c r="E389">
        <v>2.2046316435520019E-4</v>
      </c>
      <c r="F389">
        <v>2.1281615518820018E-4</v>
      </c>
      <c r="G389">
        <v>2.2826210554227622E-4</v>
      </c>
      <c r="H389">
        <v>2.8365427171261892E-4</v>
      </c>
      <c r="I389">
        <v>3.8764748349762179E-4</v>
      </c>
      <c r="J389">
        <v>2.6862499246194105E-4</v>
      </c>
      <c r="K389">
        <v>7.6851220455087521E-4</v>
      </c>
      <c r="L389">
        <v>7.6011540840892344E-4</v>
      </c>
      <c r="M389">
        <v>7.7836593000735199E-4</v>
      </c>
      <c r="N389">
        <v>7.8382483609429343E-4</v>
      </c>
      <c r="O389">
        <v>5.4612392438491142E-4</v>
      </c>
      <c r="P389">
        <v>5.3573019985209136E-4</v>
      </c>
      <c r="Q389">
        <v>5.4958248556946643E-4</v>
      </c>
      <c r="R389">
        <v>-2.8376905730408408E-3</v>
      </c>
      <c r="S389">
        <v>-1.5636252835151243E-2</v>
      </c>
      <c r="T389">
        <v>-1.0331547846281652E-2</v>
      </c>
      <c r="U389">
        <v>-4.5263218658306847E-3</v>
      </c>
      <c r="V389">
        <v>-8.3633047099516133E-3</v>
      </c>
      <c r="W389">
        <v>-7.0168228729926563E-3</v>
      </c>
      <c r="X389">
        <v>-1.7105358150526828E-2</v>
      </c>
      <c r="Y389">
        <v>-8.3633047099516133E-3</v>
      </c>
      <c r="Z389">
        <v>-1.293439626125592E-2</v>
      </c>
      <c r="AA389">
        <v>-5.1650717477302877E-4</v>
      </c>
      <c r="AC389">
        <v>-1.2430031503586791E-2</v>
      </c>
      <c r="AD389">
        <v>-1.5153986006280595E-2</v>
      </c>
      <c r="AE389">
        <v>-1.2769676387976103E-2</v>
      </c>
      <c r="AF389">
        <v>-1.0221138604524116E-2</v>
      </c>
      <c r="AG389">
        <v>-1.1323424325311415E-2</v>
      </c>
      <c r="AH389">
        <v>-8.5138631353779415E-3</v>
      </c>
      <c r="AI389">
        <v>-1.245316086812065E-2</v>
      </c>
      <c r="AJ389">
        <v>3.7282518641259532E-3</v>
      </c>
      <c r="AK389">
        <v>-1.6856622928838161E-2</v>
      </c>
      <c r="AL389">
        <v>2.4284280346372311E-2</v>
      </c>
    </row>
    <row r="390" spans="1:38">
      <c r="A390" s="568">
        <v>44397</v>
      </c>
      <c r="B390">
        <v>1.6540434129188041E-4</v>
      </c>
      <c r="C390">
        <v>2.9938218601799349E-4</v>
      </c>
      <c r="D390">
        <v>1.6012198486103912E-4</v>
      </c>
      <c r="E390">
        <v>2.2046316435520019E-4</v>
      </c>
      <c r="F390">
        <v>2.5898749840336244E-4</v>
      </c>
      <c r="G390">
        <v>9.2350669809171393E-5</v>
      </c>
      <c r="H390">
        <v>2.8357383478283538E-4</v>
      </c>
      <c r="I390">
        <v>3.2756373250375503E-4</v>
      </c>
      <c r="J390">
        <v>1.2497668540185636E-3</v>
      </c>
      <c r="K390">
        <v>1.3724690138221529E-3</v>
      </c>
      <c r="L390">
        <v>7.6011540840892344E-4</v>
      </c>
      <c r="M390">
        <v>7.7836593000735199E-4</v>
      </c>
      <c r="N390">
        <v>7.8382483609429343E-4</v>
      </c>
      <c r="O390">
        <v>5.4612392438491142E-4</v>
      </c>
      <c r="P390">
        <v>5.3573019985209136E-4</v>
      </c>
      <c r="Q390">
        <v>5.4958248556946643E-4</v>
      </c>
      <c r="R390">
        <v>1.1794239217468583E-3</v>
      </c>
      <c r="S390">
        <v>5.0622756788505363E-3</v>
      </c>
      <c r="T390">
        <v>-1.5819900073035242E-3</v>
      </c>
      <c r="U390">
        <v>-3.2216366360782178E-4</v>
      </c>
      <c r="V390">
        <v>3.1137279206694402E-3</v>
      </c>
      <c r="W390">
        <v>4.0427275247385541E-3</v>
      </c>
      <c r="X390">
        <v>1.5344776123007442E-3</v>
      </c>
      <c r="Y390">
        <v>3.1137279206694402E-3</v>
      </c>
      <c r="Z390">
        <v>-1.7958017278740801E-4</v>
      </c>
      <c r="AA390">
        <v>5.9742932547846017E-4</v>
      </c>
      <c r="AC390">
        <v>8.0935204808376682E-3</v>
      </c>
      <c r="AD390">
        <v>1.1301223879695232E-2</v>
      </c>
      <c r="AE390">
        <v>8.8017460062603803E-3</v>
      </c>
      <c r="AF390">
        <v>2.913734674141466E-3</v>
      </c>
      <c r="AG390">
        <v>7.4043074268201892E-3</v>
      </c>
      <c r="AH390">
        <v>3.8429821399250663E-3</v>
      </c>
      <c r="AI390">
        <v>1.3607597467779842E-2</v>
      </c>
      <c r="AJ390">
        <v>1.6879900949236415E-2</v>
      </c>
      <c r="AK390">
        <v>-5.6502679006333878E-3</v>
      </c>
      <c r="AL390">
        <v>-1.6510009631283462E-2</v>
      </c>
    </row>
    <row r="391" spans="1:38">
      <c r="A391" s="568">
        <v>44398</v>
      </c>
      <c r="B391">
        <v>1.6540434129188041E-4</v>
      </c>
      <c r="C391">
        <v>1.968612235700995E-4</v>
      </c>
      <c r="D391">
        <v>1.7863382201110944E-4</v>
      </c>
      <c r="E391">
        <v>2.2046316435520019E-4</v>
      </c>
      <c r="F391">
        <v>2.1271578338022401E-4</v>
      </c>
      <c r="G391">
        <v>1.7523488538295773E-4</v>
      </c>
      <c r="H391">
        <v>2.8416364072603173E-4</v>
      </c>
      <c r="I391">
        <v>3.2777984932708115E-4</v>
      </c>
      <c r="J391">
        <v>2.5518471567798073E-4</v>
      </c>
      <c r="K391">
        <v>3.9825547556970875E-4</v>
      </c>
      <c r="L391">
        <v>7.6011540840892344E-4</v>
      </c>
      <c r="M391">
        <v>7.7836593000735199E-4</v>
      </c>
      <c r="N391">
        <v>7.8382483609429343E-4</v>
      </c>
      <c r="O391">
        <v>5.4612392438491142E-4</v>
      </c>
      <c r="P391">
        <v>5.3573019985209136E-4</v>
      </c>
      <c r="Q391">
        <v>5.4958248556946643E-4</v>
      </c>
      <c r="R391">
        <v>2.1062920973218269E-3</v>
      </c>
      <c r="S391">
        <v>9.5015958319843996E-3</v>
      </c>
      <c r="T391">
        <v>5.3109445705985525E-3</v>
      </c>
      <c r="U391">
        <v>1.9633661896167887E-3</v>
      </c>
      <c r="V391">
        <v>3.2103323769063774E-3</v>
      </c>
      <c r="W391">
        <v>2.2298798342532677E-3</v>
      </c>
      <c r="X391">
        <v>7.2483449155071877E-3</v>
      </c>
      <c r="Y391">
        <v>3.2103323769063774E-3</v>
      </c>
      <c r="Z391">
        <v>4.2870102470191629E-3</v>
      </c>
      <c r="AA391">
        <v>9.6445941002665236E-5</v>
      </c>
      <c r="AC391">
        <v>4.2096034684153683E-3</v>
      </c>
      <c r="AD391">
        <v>4.0415695871287571E-3</v>
      </c>
      <c r="AE391">
        <v>4.0970431006546182E-3</v>
      </c>
      <c r="AF391">
        <v>4.6622208713167357E-3</v>
      </c>
      <c r="AG391">
        <v>3.2155954747403737E-3</v>
      </c>
      <c r="AH391">
        <v>2.5608877548728426E-3</v>
      </c>
      <c r="AI391">
        <v>6.8645209508739757E-3</v>
      </c>
      <c r="AJ391">
        <v>-1.6234425098415883E-4</v>
      </c>
      <c r="AK391">
        <v>3.2330753404528068E-3</v>
      </c>
      <c r="AL391">
        <v>1.4342689651620777E-3</v>
      </c>
    </row>
    <row r="392" spans="1:38">
      <c r="A392" s="568">
        <v>44399</v>
      </c>
      <c r="B392">
        <v>1.6540434129188041E-4</v>
      </c>
      <c r="C392">
        <v>1.8795015475370214E-4</v>
      </c>
      <c r="D392">
        <v>2.1510859895212953E-4</v>
      </c>
      <c r="E392">
        <v>2.2046316435520019E-4</v>
      </c>
      <c r="F392">
        <v>2.414333646092448E-4</v>
      </c>
      <c r="G392">
        <v>2.1149848312296271E-4</v>
      </c>
      <c r="H392">
        <v>2.8542292843924955E-4</v>
      </c>
      <c r="I392">
        <v>3.2650658672128685E-4</v>
      </c>
      <c r="J392">
        <v>5.5393182581986444E-4</v>
      </c>
      <c r="K392">
        <v>6.4796357748764244E-4</v>
      </c>
      <c r="L392">
        <v>7.6011540840892344E-4</v>
      </c>
      <c r="M392">
        <v>7.7836593000735199E-4</v>
      </c>
      <c r="N392">
        <v>7.8382483609429343E-4</v>
      </c>
      <c r="O392">
        <v>5.4612392438491142E-4</v>
      </c>
      <c r="P392">
        <v>5.3573019985209136E-4</v>
      </c>
      <c r="Q392">
        <v>5.4958248556946643E-4</v>
      </c>
      <c r="R392">
        <v>3.5410552704195908E-4</v>
      </c>
      <c r="S392">
        <v>2.4483259559449078E-3</v>
      </c>
      <c r="T392">
        <v>-1.5214844901997315E-3</v>
      </c>
      <c r="U392">
        <v>1.391977527047672E-4</v>
      </c>
      <c r="V392">
        <v>1.8919518143520886E-3</v>
      </c>
      <c r="W392">
        <v>1.7227321378783245E-3</v>
      </c>
      <c r="X392">
        <v>1.9959959439765917E-3</v>
      </c>
      <c r="Y392">
        <v>1.8919518143520886E-3</v>
      </c>
      <c r="Z392">
        <v>3.1619403878724306E-3</v>
      </c>
      <c r="AA392">
        <v>5.7108930686151638E-3</v>
      </c>
      <c r="AC392">
        <v>1.7264456033845299E-3</v>
      </c>
      <c r="AD392">
        <v>1.8033877612410043E-2</v>
      </c>
      <c r="AE392">
        <v>6.1386542599422E-3</v>
      </c>
      <c r="AF392">
        <v>1.5753775469292242E-2</v>
      </c>
      <c r="AG392">
        <v>9.883589403606452E-3</v>
      </c>
      <c r="AH392">
        <v>2.4684973163356938E-2</v>
      </c>
      <c r="AI392">
        <v>3.0210399031527224E-3</v>
      </c>
      <c r="AJ392">
        <v>1.0229348487923673E-2</v>
      </c>
      <c r="AK392">
        <v>9.3749999999999112E-3</v>
      </c>
      <c r="AL392">
        <v>1.3566524002639468E-5</v>
      </c>
    </row>
    <row r="393" spans="1:38">
      <c r="A393" s="568">
        <v>44400</v>
      </c>
      <c r="B393">
        <v>1.6540434129188041E-4</v>
      </c>
      <c r="C393">
        <v>1.6878666886221971E-4</v>
      </c>
      <c r="D393">
        <v>2.0046280516528014E-4</v>
      </c>
      <c r="E393">
        <v>2.2046316435520019E-4</v>
      </c>
      <c r="F393">
        <v>2.3004701585871423E-4</v>
      </c>
      <c r="G393">
        <v>4.2085003289638045E-4</v>
      </c>
      <c r="H393">
        <v>2.8400185404975353E-4</v>
      </c>
      <c r="I393">
        <v>3.2477873370995169E-4</v>
      </c>
      <c r="J393">
        <v>-1.5716286945385294E-3</v>
      </c>
      <c r="K393">
        <v>-2.4447090744644795E-3</v>
      </c>
      <c r="L393">
        <v>7.6011540840892344E-4</v>
      </c>
      <c r="M393">
        <v>7.7836593000735199E-4</v>
      </c>
      <c r="N393">
        <v>7.8382483609429343E-4</v>
      </c>
      <c r="O393">
        <v>5.4612392438491142E-4</v>
      </c>
      <c r="P393">
        <v>5.3573019985209136E-4</v>
      </c>
      <c r="Q393">
        <v>5.4958248556946643E-4</v>
      </c>
      <c r="R393">
        <v>1.1805328869149978E-3</v>
      </c>
      <c r="S393">
        <v>-1.2103920052563E-3</v>
      </c>
      <c r="T393">
        <v>-2.1541212619903272E-3</v>
      </c>
      <c r="U393">
        <v>-4.097003827086998E-3</v>
      </c>
      <c r="V393">
        <v>-2.6309448288419635E-4</v>
      </c>
      <c r="W393">
        <v>6.0429864891859975E-3</v>
      </c>
      <c r="X393">
        <v>-5.9124763519580181E-4</v>
      </c>
      <c r="Y393">
        <v>-2.6309448288419635E-4</v>
      </c>
      <c r="Z393">
        <v>9.5634080593280935E-3</v>
      </c>
      <c r="AA393">
        <v>-1.0040455457331898E-3</v>
      </c>
      <c r="AC393">
        <v>-8.6714939579058958E-3</v>
      </c>
      <c r="AD393">
        <v>-8.5433282577257463E-3</v>
      </c>
      <c r="AE393">
        <v>-6.1012723174763694E-3</v>
      </c>
      <c r="AF393">
        <v>6.5907701481089376E-3</v>
      </c>
      <c r="AG393">
        <v>-9.4300432975302773E-4</v>
      </c>
      <c r="AH393">
        <v>2.142930137605692E-3</v>
      </c>
      <c r="AI393">
        <v>-1.3164395306902721E-3</v>
      </c>
      <c r="AJ393">
        <v>3.1341664322739327E-3</v>
      </c>
      <c r="AK393">
        <v>-2.7283281733746056E-2</v>
      </c>
      <c r="AL393">
        <v>2.1981677343323458E-3</v>
      </c>
    </row>
    <row r="394" spans="1:38">
      <c r="A394" s="568">
        <v>44403</v>
      </c>
      <c r="B394">
        <v>1.6540434129188041E-4</v>
      </c>
      <c r="C394">
        <v>2.9937114182376767E-4</v>
      </c>
      <c r="D394">
        <v>1.9144010114313659E-4</v>
      </c>
      <c r="E394">
        <v>2.2046316435520019E-4</v>
      </c>
      <c r="F394">
        <v>3.3279450244405595E-4</v>
      </c>
      <c r="G394">
        <v>2.8512280613202101E-4</v>
      </c>
      <c r="H394">
        <v>2.8325159437847525E-4</v>
      </c>
      <c r="I394">
        <v>3.855881331793487E-4</v>
      </c>
      <c r="J394">
        <v>-1.9442597426677644E-4</v>
      </c>
      <c r="K394">
        <v>-5.2812200623508776E-4</v>
      </c>
      <c r="L394">
        <v>7.6011540840892344E-4</v>
      </c>
      <c r="M394">
        <v>7.7836593000735199E-4</v>
      </c>
      <c r="N394">
        <v>7.8382483609429343E-4</v>
      </c>
      <c r="O394">
        <v>5.4612392438491142E-4</v>
      </c>
      <c r="P394">
        <v>5.3573019985209136E-4</v>
      </c>
      <c r="Q394">
        <v>5.4958248556946643E-4</v>
      </c>
      <c r="R394">
        <v>8.4651665872992332E-4</v>
      </c>
      <c r="S394">
        <v>2.5800701267348902E-3</v>
      </c>
      <c r="T394">
        <v>-1.5049845917473048E-3</v>
      </c>
      <c r="U394">
        <v>-6.1584753268428827E-4</v>
      </c>
      <c r="V394">
        <v>-5.9519271208663405E-4</v>
      </c>
      <c r="W394">
        <v>5.8686349786030156E-4</v>
      </c>
      <c r="X394">
        <v>-3.3914867064110954E-3</v>
      </c>
      <c r="Y394">
        <v>-5.9519271208663405E-4</v>
      </c>
      <c r="Z394">
        <v>4.2779054310331244E-3</v>
      </c>
      <c r="AA394">
        <v>-2.8568042752228351E-3</v>
      </c>
      <c r="AC394">
        <v>7.6054286837925478E-3</v>
      </c>
      <c r="AD394">
        <v>5.1053947428991719E-4</v>
      </c>
      <c r="AE394">
        <v>2.1625921926831104E-3</v>
      </c>
      <c r="AF394">
        <v>-1.0324731274722443E-2</v>
      </c>
      <c r="AG394">
        <v>-1.7401831828534053E-4</v>
      </c>
      <c r="AH394">
        <v>-5.1301850842083718E-3</v>
      </c>
      <c r="AI394">
        <v>-5.007775541994941E-3</v>
      </c>
      <c r="AJ394">
        <v>-2.6837572601643434E-3</v>
      </c>
      <c r="AK394">
        <v>-5.6097075790730089E-2</v>
      </c>
      <c r="AL394">
        <v>-2.1828896420523103E-2</v>
      </c>
    </row>
    <row r="395" spans="1:38">
      <c r="A395" s="568">
        <v>44404</v>
      </c>
      <c r="B395">
        <v>1.6540434129188041E-4</v>
      </c>
      <c r="C395">
        <v>2.4623073559215669E-4</v>
      </c>
      <c r="D395">
        <v>2.6886292312933158E-4</v>
      </c>
      <c r="E395">
        <v>2.2046316435520019E-4</v>
      </c>
      <c r="F395">
        <v>3.2310388747958108E-4</v>
      </c>
      <c r="G395">
        <v>3.7391841924372393E-4</v>
      </c>
      <c r="H395">
        <v>2.8384082153176671E-4</v>
      </c>
      <c r="I395">
        <v>3.2433240328910706E-4</v>
      </c>
      <c r="J395">
        <v>-2.149537952833902E-3</v>
      </c>
      <c r="K395">
        <v>-1.2386887062444396E-3</v>
      </c>
      <c r="L395">
        <v>7.6011540840892344E-4</v>
      </c>
      <c r="M395">
        <v>7.7836593000735199E-4</v>
      </c>
      <c r="N395">
        <v>7.8382483609429343E-4</v>
      </c>
      <c r="O395">
        <v>5.4612392438491142E-4</v>
      </c>
      <c r="P395">
        <v>5.3573019985209136E-4</v>
      </c>
      <c r="Q395">
        <v>5.4958248556946643E-4</v>
      </c>
      <c r="R395">
        <v>-9.9344220551345064E-4</v>
      </c>
      <c r="S395">
        <v>-3.2722696714455601E-3</v>
      </c>
      <c r="T395">
        <v>-1.3134068773178464E-3</v>
      </c>
      <c r="U395">
        <v>-2.2080335429741638E-3</v>
      </c>
      <c r="V395">
        <v>-4.9760181518841984E-3</v>
      </c>
      <c r="W395">
        <v>-1.4913091253496713E-3</v>
      </c>
      <c r="X395">
        <v>-3.9917615297103692E-3</v>
      </c>
      <c r="Y395">
        <v>-4.9760181518841984E-3</v>
      </c>
      <c r="Z395">
        <v>7.0463794479147523E-4</v>
      </c>
      <c r="AA395">
        <v>-3.1590856127693412E-3</v>
      </c>
      <c r="AC395">
        <v>-1.1045931450036517E-2</v>
      </c>
      <c r="AD395">
        <v>-2.3546300541212095E-2</v>
      </c>
      <c r="AE395">
        <v>-1.386223470240755E-2</v>
      </c>
      <c r="AF395">
        <v>-1.8800386799278757E-2</v>
      </c>
      <c r="AG395">
        <v>-1.2451897176724458E-2</v>
      </c>
      <c r="AH395">
        <v>-1.5655200825090199E-2</v>
      </c>
      <c r="AI395">
        <v>-1.7399309956715459E-2</v>
      </c>
      <c r="AJ395">
        <v>-3.2131094867049459E-4</v>
      </c>
      <c r="AK395">
        <v>-5.7744994731296129E-2</v>
      </c>
      <c r="AL395">
        <v>-1.1856626688652727E-2</v>
      </c>
    </row>
    <row r="396" spans="1:38">
      <c r="A396" s="568">
        <v>44405</v>
      </c>
      <c r="B396">
        <v>1.6540434129188041E-4</v>
      </c>
      <c r="C396">
        <v>1.6123127490663691E-4</v>
      </c>
      <c r="D396">
        <v>2.0033040488054432E-4</v>
      </c>
      <c r="E396">
        <v>2.2046316435520019E-4</v>
      </c>
      <c r="F396">
        <v>1.906654878489622E-4</v>
      </c>
      <c r="G396">
        <v>2.6279414166197057E-4</v>
      </c>
      <c r="H396">
        <v>2.8442952472174099E-4</v>
      </c>
      <c r="I396">
        <v>3.2458296644510831E-4</v>
      </c>
      <c r="J396">
        <v>8.9440347637270712E-4</v>
      </c>
      <c r="K396">
        <v>-7.4252477105329895E-4</v>
      </c>
      <c r="L396">
        <v>7.6011540840892344E-4</v>
      </c>
      <c r="M396">
        <v>7.7836593000735199E-4</v>
      </c>
      <c r="N396">
        <v>7.8382483609429343E-4</v>
      </c>
      <c r="O396">
        <v>5.4612392438491142E-4</v>
      </c>
      <c r="P396">
        <v>5.3573019985209136E-4</v>
      </c>
      <c r="Q396">
        <v>5.4958248556946643E-4</v>
      </c>
      <c r="R396">
        <v>9.9084011394667826E-4</v>
      </c>
      <c r="S396">
        <v>7.1184068885798979E-3</v>
      </c>
      <c r="T396">
        <v>-2.0183556114095058E-4</v>
      </c>
      <c r="U396">
        <v>2.7780757628161901E-3</v>
      </c>
      <c r="V396">
        <v>2.7551956708307124E-3</v>
      </c>
      <c r="W396">
        <v>2.3837128005932406E-4</v>
      </c>
      <c r="X396">
        <v>2.483662058381686E-3</v>
      </c>
      <c r="Y396">
        <v>2.7551956708307124E-3</v>
      </c>
      <c r="Z396">
        <v>2.2838131938598405E-3</v>
      </c>
      <c r="AA396">
        <v>-2.2578450587981136E-3</v>
      </c>
      <c r="AC396">
        <v>1.3430164005834744E-2</v>
      </c>
      <c r="AD396">
        <v>1.3548443208486249E-2</v>
      </c>
      <c r="AE396">
        <v>1.5252776654889777E-2</v>
      </c>
      <c r="AF396">
        <v>8.7437189512775682E-3</v>
      </c>
      <c r="AG396">
        <v>3.615830821302124E-3</v>
      </c>
      <c r="AH396">
        <v>2.3856737135810047E-2</v>
      </c>
      <c r="AI396">
        <v>1.6184312775690213E-2</v>
      </c>
      <c r="AJ396">
        <v>-1.6994777018883189E-2</v>
      </c>
      <c r="AK396">
        <v>3.2878550659807715E-2</v>
      </c>
      <c r="AL396">
        <v>-1.4478813416257119E-2</v>
      </c>
    </row>
    <row r="397" spans="1:38">
      <c r="A397" s="568">
        <v>44406</v>
      </c>
      <c r="B397">
        <v>1.6540434129188041E-4</v>
      </c>
      <c r="C397">
        <v>3.2768298560070797E-4</v>
      </c>
      <c r="D397">
        <v>1.4138137457475608E-4</v>
      </c>
      <c r="E397">
        <v>2.2046316435520019E-4</v>
      </c>
      <c r="F397">
        <v>3.6428445523806197E-4</v>
      </c>
      <c r="G397">
        <v>2.6179113139823684E-4</v>
      </c>
      <c r="H397">
        <v>2.8367959192965309E-4</v>
      </c>
      <c r="I397">
        <v>3.2361867291186286E-4</v>
      </c>
      <c r="J397">
        <v>9.9478997905833033E-4</v>
      </c>
      <c r="K397">
        <v>1.6131954051348263E-3</v>
      </c>
      <c r="L397">
        <v>7.6011540840892344E-4</v>
      </c>
      <c r="M397">
        <v>7.7836593000735199E-4</v>
      </c>
      <c r="N397">
        <v>7.8382483609429343E-4</v>
      </c>
      <c r="O397">
        <v>5.4612392438491142E-4</v>
      </c>
      <c r="P397">
        <v>5.3573019985209136E-4</v>
      </c>
      <c r="Q397">
        <v>5.4958248556946643E-4</v>
      </c>
      <c r="R397">
        <v>1.7477950823836519E-3</v>
      </c>
      <c r="S397">
        <v>4.3220225687565783E-3</v>
      </c>
      <c r="T397">
        <v>1.3486175872501338E-3</v>
      </c>
      <c r="U397">
        <v>9.4280849474293049E-4</v>
      </c>
      <c r="V397">
        <v>2.047153593247808E-3</v>
      </c>
      <c r="W397">
        <v>3.0325929440211397E-4</v>
      </c>
      <c r="X397">
        <v>5.3740010461973409E-3</v>
      </c>
      <c r="Y397">
        <v>2.047153593247808E-3</v>
      </c>
      <c r="Z397">
        <v>-1.8553083109783541E-3</v>
      </c>
      <c r="AA397">
        <v>4.7418649678721003E-3</v>
      </c>
      <c r="AC397">
        <v>-4.8323803214602723E-3</v>
      </c>
      <c r="AD397">
        <v>-2.6152925432465501E-3</v>
      </c>
      <c r="AE397">
        <v>-1.0813701583402002E-3</v>
      </c>
      <c r="AF397">
        <v>7.7143868594100606E-3</v>
      </c>
      <c r="AG397">
        <v>-1.9143751468053694E-3</v>
      </c>
      <c r="AH397">
        <v>2.9236190587824673E-3</v>
      </c>
      <c r="AI397">
        <v>1.1653941269227142E-2</v>
      </c>
      <c r="AJ397">
        <v>-6.9481342216037856E-4</v>
      </c>
      <c r="AK397">
        <v>3.9411000433087873E-2</v>
      </c>
      <c r="AL397">
        <v>5.5244565432919224E-3</v>
      </c>
    </row>
    <row r="398" spans="1:38">
      <c r="A398" s="568">
        <v>44407</v>
      </c>
      <c r="B398">
        <v>1.6540434129188041E-4</v>
      </c>
      <c r="C398">
        <v>2.8486997696686167E-4</v>
      </c>
      <c r="D398">
        <v>1.9184759895995995E-4</v>
      </c>
      <c r="E398">
        <v>2.2046316435520019E-4</v>
      </c>
      <c r="F398">
        <v>7.8660269428820762E-4</v>
      </c>
      <c r="G398">
        <v>2.8992105557024139E-4</v>
      </c>
      <c r="H398">
        <v>2.7423501807266604E-4</v>
      </c>
      <c r="I398">
        <v>3.2227581831345553E-4</v>
      </c>
      <c r="J398">
        <v>-1.9318405724797483E-3</v>
      </c>
      <c r="K398">
        <v>-1.5919527460396266E-3</v>
      </c>
      <c r="L398">
        <v>7.6011540840892344E-4</v>
      </c>
      <c r="M398">
        <v>7.7836593000735199E-4</v>
      </c>
      <c r="N398">
        <v>7.8382483609429343E-4</v>
      </c>
      <c r="O398">
        <v>5.4612392438491142E-4</v>
      </c>
      <c r="P398">
        <v>5.3573019985209136E-4</v>
      </c>
      <c r="Q398">
        <v>5.4958248556946643E-4</v>
      </c>
      <c r="R398">
        <v>-6.718822069957664E-4</v>
      </c>
      <c r="S398">
        <v>-5.5973049975684974E-3</v>
      </c>
      <c r="T398">
        <v>-3.5544242144452953E-3</v>
      </c>
      <c r="U398">
        <v>-5.9155191937059204E-3</v>
      </c>
      <c r="V398">
        <v>-8.5090986065951002E-3</v>
      </c>
      <c r="W398">
        <v>-1.0316493514638259E-3</v>
      </c>
      <c r="X398">
        <v>-3.0774801144691777E-3</v>
      </c>
      <c r="Y398">
        <v>-8.5090986065951002E-3</v>
      </c>
      <c r="Z398">
        <v>3.6711848391419721E-3</v>
      </c>
      <c r="AA398">
        <v>2.7038831100352212E-3</v>
      </c>
      <c r="AC398">
        <v>-3.0829757916689071E-2</v>
      </c>
      <c r="AD398">
        <v>-2.9543175113872722E-2</v>
      </c>
      <c r="AE398">
        <v>-2.5663387799984783E-2</v>
      </c>
      <c r="AF398">
        <v>-1.3102953113971694E-2</v>
      </c>
      <c r="AG398">
        <v>-2.1671090604739929E-2</v>
      </c>
      <c r="AH398">
        <v>8.2282698334614768E-3</v>
      </c>
      <c r="AI398">
        <v>-1.6098047447576702E-2</v>
      </c>
      <c r="AJ398">
        <v>2.3926380368098243E-2</v>
      </c>
      <c r="AK398">
        <v>-1.6354166666666559E-2</v>
      </c>
      <c r="AL398">
        <v>1.4961931278008711E-2</v>
      </c>
    </row>
    <row r="399" spans="1:38">
      <c r="A399" s="568">
        <v>44410</v>
      </c>
      <c r="B399">
        <v>1.6540434129188041E-4</v>
      </c>
      <c r="C399">
        <v>2.5926158176736713E-4</v>
      </c>
      <c r="D399">
        <v>1.8003294434620898E-4</v>
      </c>
      <c r="E399">
        <v>2.2046316435520019E-4</v>
      </c>
      <c r="F399">
        <v>2.1866713037432817E-4</v>
      </c>
      <c r="G399">
        <v>1.4963244837984391E-4</v>
      </c>
      <c r="H399">
        <v>2.8218402410451482E-4</v>
      </c>
      <c r="I399">
        <v>3.5508527142447122E-4</v>
      </c>
      <c r="J399">
        <v>-5.3255246556860314E-5</v>
      </c>
      <c r="K399">
        <v>-6.3894677567510882E-4</v>
      </c>
      <c r="L399">
        <v>7.1955579948501658E-4</v>
      </c>
      <c r="M399">
        <v>7.3780558141156583E-4</v>
      </c>
      <c r="N399">
        <v>7.4326426625570541E-4</v>
      </c>
      <c r="O399">
        <v>5.4612392438491142E-4</v>
      </c>
      <c r="P399">
        <v>5.3573019985209136E-4</v>
      </c>
      <c r="Q399">
        <v>5.4958248556946643E-4</v>
      </c>
      <c r="R399">
        <v>6.8248462618281103E-4</v>
      </c>
      <c r="S399">
        <v>-3.4259719088095553E-3</v>
      </c>
      <c r="T399">
        <v>-2.8735450207364455E-3</v>
      </c>
      <c r="U399">
        <v>-8.8067164390803754E-5</v>
      </c>
      <c r="V399">
        <v>4.9402453737967811E-4</v>
      </c>
      <c r="W399">
        <v>5.5023041931523409E-4</v>
      </c>
      <c r="X399">
        <v>-1.6369701497042088E-3</v>
      </c>
      <c r="Y399">
        <v>4.9402453737967811E-4</v>
      </c>
      <c r="Z399">
        <v>2.5387701395995776E-4</v>
      </c>
      <c r="AA399">
        <v>-8.4108852412434487E-4</v>
      </c>
      <c r="AC399">
        <v>5.8698305651385674E-3</v>
      </c>
      <c r="AD399">
        <v>2.7232371002658962E-3</v>
      </c>
      <c r="AE399">
        <v>5.7357870403866862E-3</v>
      </c>
      <c r="AF399">
        <v>8.3613365750925261E-3</v>
      </c>
      <c r="AG399">
        <v>5.3662321067791119E-3</v>
      </c>
      <c r="AH399">
        <v>1.1076448987803467E-3</v>
      </c>
      <c r="AI399">
        <v>6.1391835776576364E-3</v>
      </c>
      <c r="AJ399">
        <v>-5.3924505692031222E-3</v>
      </c>
      <c r="AK399">
        <v>1.4719898337392623E-2</v>
      </c>
      <c r="AL399">
        <v>-6.8942455630275346E-3</v>
      </c>
    </row>
    <row r="400" spans="1:38">
      <c r="A400" s="568">
        <v>44411</v>
      </c>
      <c r="B400">
        <v>1.6540434129188041E-4</v>
      </c>
      <c r="C400">
        <v>1.9518813743735208E-4</v>
      </c>
      <c r="D400">
        <v>2.1869224281778621E-4</v>
      </c>
      <c r="E400">
        <v>2.2046316435520019E-4</v>
      </c>
      <c r="F400">
        <v>1.9906093655119861E-4</v>
      </c>
      <c r="G400">
        <v>3.920847597465027E-4</v>
      </c>
      <c r="H400">
        <v>2.6405508389593102E-4</v>
      </c>
      <c r="I400">
        <v>3.2474644047564283E-4</v>
      </c>
      <c r="J400">
        <v>2.3447502915030505E-4</v>
      </c>
      <c r="K400">
        <v>1.4629270105017689E-3</v>
      </c>
      <c r="L400">
        <v>7.1955579948501658E-4</v>
      </c>
      <c r="M400">
        <v>7.3780558141156583E-4</v>
      </c>
      <c r="N400">
        <v>7.4326426625570541E-4</v>
      </c>
      <c r="O400">
        <v>5.4612392438491142E-4</v>
      </c>
      <c r="P400">
        <v>5.3573019985209136E-4</v>
      </c>
      <c r="Q400">
        <v>5.4958248556946643E-4</v>
      </c>
      <c r="R400">
        <v>8.353690481444076E-5</v>
      </c>
      <c r="S400">
        <v>8.2698148275550665E-4</v>
      </c>
      <c r="T400">
        <v>5.2372286201807228E-4</v>
      </c>
      <c r="U400">
        <v>1.9543632082785756E-4</v>
      </c>
      <c r="V400">
        <v>9.4289762364985208E-4</v>
      </c>
      <c r="W400">
        <v>1.4455560436463788E-3</v>
      </c>
      <c r="X400">
        <v>6.4683022820188896E-4</v>
      </c>
      <c r="Y400">
        <v>9.4289762364985208E-4</v>
      </c>
      <c r="Z400">
        <v>1.7799843046968356E-3</v>
      </c>
      <c r="AA400">
        <v>-2.1347140518804819E-3</v>
      </c>
      <c r="AC400">
        <v>8.6586425548258461E-3</v>
      </c>
      <c r="AD400">
        <v>3.8222459675580911E-3</v>
      </c>
      <c r="AE400">
        <v>5.277560979275675E-3</v>
      </c>
      <c r="AF400">
        <v>7.3236711959836498E-3</v>
      </c>
      <c r="AG400">
        <v>2.8859826780445186E-3</v>
      </c>
      <c r="AH400">
        <v>-1.9257041025398935E-3</v>
      </c>
      <c r="AI400">
        <v>3.8078170592470428E-4</v>
      </c>
      <c r="AJ400">
        <v>3.2128514056224411E-3</v>
      </c>
      <c r="AK400">
        <v>-7.9315383009809226E-3</v>
      </c>
      <c r="AL400">
        <v>1.6022861823263845E-2</v>
      </c>
    </row>
    <row r="401" spans="1:38">
      <c r="A401" s="568">
        <v>44412</v>
      </c>
      <c r="B401">
        <v>1.6540434129188041E-4</v>
      </c>
      <c r="C401">
        <v>2.1474601178361752E-4</v>
      </c>
      <c r="D401">
        <v>2.3097821516637751E-4</v>
      </c>
      <c r="E401">
        <v>2.2046316435520019E-4</v>
      </c>
      <c r="F401">
        <v>1.7599046783489669E-4</v>
      </c>
      <c r="G401">
        <v>1.5925407518291301E-4</v>
      </c>
      <c r="H401">
        <v>3.3950524462089682E-4</v>
      </c>
      <c r="I401">
        <v>3.2465335417586338E-4</v>
      </c>
      <c r="J401">
        <v>-1.3647779235907986E-3</v>
      </c>
      <c r="K401">
        <v>-6.9855420159858905E-4</v>
      </c>
      <c r="L401">
        <v>7.1955579948501658E-4</v>
      </c>
      <c r="M401">
        <v>7.3780558141156583E-4</v>
      </c>
      <c r="N401">
        <v>7.4326426625570541E-4</v>
      </c>
      <c r="O401">
        <v>5.4612392438491142E-4</v>
      </c>
      <c r="P401">
        <v>5.3573019985209136E-4</v>
      </c>
      <c r="Q401">
        <v>5.4958248556946643E-4</v>
      </c>
      <c r="R401">
        <v>-6.9210510928674474E-5</v>
      </c>
      <c r="S401">
        <v>-3.0816512505553728E-3</v>
      </c>
      <c r="T401">
        <v>-2.9691855197836459E-3</v>
      </c>
      <c r="U401">
        <v>-1.4302950503772838E-3</v>
      </c>
      <c r="V401">
        <v>-1.5890211282792999E-3</v>
      </c>
      <c r="W401">
        <v>-1.992603455971409E-3</v>
      </c>
      <c r="X401">
        <v>4.3698988082494505E-3</v>
      </c>
      <c r="Y401">
        <v>-1.5890211282792999E-3</v>
      </c>
      <c r="Z401">
        <v>-1.2349163160059184E-3</v>
      </c>
      <c r="AA401">
        <v>6.5340050767659363E-4</v>
      </c>
      <c r="AC401">
        <v>-1.436639764045855E-2</v>
      </c>
      <c r="AD401">
        <v>-1.7027959538014836E-2</v>
      </c>
      <c r="AE401">
        <v>-1.3306410406778935E-2</v>
      </c>
      <c r="AF401">
        <v>4.5604828413892129E-4</v>
      </c>
      <c r="AG401">
        <v>-7.1553555386663081E-3</v>
      </c>
      <c r="AH401">
        <v>-7.5751755812980548E-5</v>
      </c>
      <c r="AI401">
        <v>-5.9599256442316451E-3</v>
      </c>
      <c r="AJ401">
        <v>-4.2834267413931482E-3</v>
      </c>
      <c r="AK401">
        <v>9.9936881969282521E-3</v>
      </c>
      <c r="AL401">
        <v>-8.4509803984494924E-3</v>
      </c>
    </row>
    <row r="402" spans="1:38">
      <c r="A402" s="568">
        <v>44413</v>
      </c>
      <c r="B402">
        <v>2.0427892105048803E-4</v>
      </c>
      <c r="C402">
        <v>1.8937248869632661E-4</v>
      </c>
      <c r="D402">
        <v>2.1410995835502433E-4</v>
      </c>
      <c r="E402">
        <v>2.5839182445919207E-4</v>
      </c>
      <c r="F402">
        <v>2.9587264181696327E-4</v>
      </c>
      <c r="G402">
        <v>1.4197194365750399E-4</v>
      </c>
      <c r="H402">
        <v>2.9663222214271201E-4</v>
      </c>
      <c r="I402">
        <v>3.2461813412942853E-4</v>
      </c>
      <c r="J402">
        <v>-3.4177857851316329E-3</v>
      </c>
      <c r="K402">
        <v>-4.0772462669311782E-3</v>
      </c>
      <c r="L402">
        <v>7.1955579948501658E-4</v>
      </c>
      <c r="M402">
        <v>7.3780558141156583E-4</v>
      </c>
      <c r="N402">
        <v>7.4326426625570541E-4</v>
      </c>
      <c r="O402">
        <v>5.4612392438491142E-4</v>
      </c>
      <c r="P402">
        <v>5.3573019985209136E-4</v>
      </c>
      <c r="Q402">
        <v>5.4958248556946643E-4</v>
      </c>
      <c r="R402">
        <v>2.6612090003763633E-4</v>
      </c>
      <c r="S402">
        <v>5.56944289788186E-3</v>
      </c>
      <c r="T402">
        <v>-1.0704239917291858E-4</v>
      </c>
      <c r="U402">
        <v>3.7818476622550889E-3</v>
      </c>
      <c r="V402">
        <v>1.8522564754488435E-3</v>
      </c>
      <c r="W402">
        <v>2.9912927000010914E-3</v>
      </c>
      <c r="X402">
        <v>8.2915591345644746E-3</v>
      </c>
      <c r="Y402">
        <v>1.8522564754488435E-3</v>
      </c>
      <c r="Z402">
        <v>8.9693451285810522E-3</v>
      </c>
      <c r="AA402">
        <v>5.5935244364890835E-4</v>
      </c>
      <c r="AC402">
        <v>-1.3816775711834595E-3</v>
      </c>
      <c r="AD402">
        <v>-6.9591051362127843E-4</v>
      </c>
      <c r="AE402">
        <v>2.3264847872623839E-3</v>
      </c>
      <c r="AF402">
        <v>1.3015039164663289E-3</v>
      </c>
      <c r="AG402">
        <v>3.2000468612867206E-3</v>
      </c>
      <c r="AH402">
        <v>1.29062069151753E-3</v>
      </c>
      <c r="AI402">
        <v>6.4451855665537128E-3</v>
      </c>
      <c r="AJ402">
        <v>1.0332489044345472E-2</v>
      </c>
      <c r="AK402">
        <v>-1.218623060097912E-2</v>
      </c>
      <c r="AL402">
        <v>8.3384700315398685E-3</v>
      </c>
    </row>
    <row r="403" spans="1:38">
      <c r="A403" s="568">
        <v>44414</v>
      </c>
      <c r="B403">
        <v>2.0427892105048803E-4</v>
      </c>
      <c r="C403">
        <v>2.8437043145856933E-4</v>
      </c>
      <c r="D403">
        <v>2.1966789800242914E-4</v>
      </c>
      <c r="E403">
        <v>2.5839182445919207E-4</v>
      </c>
      <c r="F403">
        <v>2.4192704227465889E-4</v>
      </c>
      <c r="G403">
        <v>1.7664697186603462E-4</v>
      </c>
      <c r="H403">
        <v>3.2927098868795746E-4</v>
      </c>
      <c r="I403">
        <v>3.5993768536957127E-4</v>
      </c>
      <c r="J403">
        <v>1.1420015236025538E-3</v>
      </c>
      <c r="K403">
        <v>1.5388764355837026E-3</v>
      </c>
      <c r="L403">
        <v>7.1955579948501658E-4</v>
      </c>
      <c r="M403">
        <v>7.3780558141156583E-4</v>
      </c>
      <c r="N403">
        <v>7.4326426625570541E-4</v>
      </c>
      <c r="O403">
        <v>5.4612392438491142E-4</v>
      </c>
      <c r="P403">
        <v>5.3573019985209136E-4</v>
      </c>
      <c r="Q403">
        <v>5.4958248556946643E-4</v>
      </c>
      <c r="R403">
        <v>-1.8939665087069901E-3</v>
      </c>
      <c r="S403">
        <v>4.6067810208028082E-3</v>
      </c>
      <c r="T403">
        <v>8.8963898659926155E-3</v>
      </c>
      <c r="U403">
        <v>2.0426298279903055E-3</v>
      </c>
      <c r="V403">
        <v>2.3420190434648713E-3</v>
      </c>
      <c r="W403">
        <v>3.5254695958442106E-4</v>
      </c>
      <c r="X403">
        <v>3.7693980767385948E-3</v>
      </c>
      <c r="Y403">
        <v>2.3420190434648713E-3</v>
      </c>
      <c r="Z403">
        <v>-2.1700969184368368E-4</v>
      </c>
      <c r="AA403">
        <v>1.0665388969961498E-3</v>
      </c>
      <c r="AC403">
        <v>9.6802740573851409E-3</v>
      </c>
      <c r="AD403">
        <v>-3.8243171890749439E-3</v>
      </c>
      <c r="AE403">
        <v>7.6460473344841517E-3</v>
      </c>
      <c r="AF403">
        <v>6.8728390069678902E-3</v>
      </c>
      <c r="AG403">
        <v>3.6313367992357737E-3</v>
      </c>
      <c r="AH403">
        <v>4.0517444513301637E-3</v>
      </c>
      <c r="AI403">
        <v>-4.4801642616828508E-3</v>
      </c>
      <c r="AJ403">
        <v>8.7544767210505636E-3</v>
      </c>
      <c r="AK403">
        <v>-3.6904259805989881E-3</v>
      </c>
      <c r="AL403">
        <v>3.1949814989797876E-3</v>
      </c>
    </row>
    <row r="404" spans="1:38">
      <c r="A404" s="568">
        <v>44417</v>
      </c>
      <c r="B404">
        <v>2.0427892105048803E-4</v>
      </c>
      <c r="C404">
        <v>2.5119684968277767E-4</v>
      </c>
      <c r="D404">
        <v>2.2410168838216116E-4</v>
      </c>
      <c r="E404">
        <v>2.5839182445919207E-4</v>
      </c>
      <c r="F404">
        <v>3.5824333102918438E-4</v>
      </c>
      <c r="G404">
        <v>2.3163335833675802E-4</v>
      </c>
      <c r="H404">
        <v>3.311656228717208E-4</v>
      </c>
      <c r="I404">
        <v>4.221915740145743E-4</v>
      </c>
      <c r="J404">
        <v>-1.1304656153904302E-3</v>
      </c>
      <c r="K404">
        <v>-6.3113393406477591E-5</v>
      </c>
      <c r="L404">
        <v>7.1955579948501658E-4</v>
      </c>
      <c r="M404">
        <v>7.3780558141156583E-4</v>
      </c>
      <c r="N404">
        <v>7.4326426625570541E-4</v>
      </c>
      <c r="O404">
        <v>5.4612392438491142E-4</v>
      </c>
      <c r="P404">
        <v>5.3573019985209136E-4</v>
      </c>
      <c r="Q404">
        <v>5.4958248556946643E-4</v>
      </c>
      <c r="R404">
        <v>-1.5562983765846639E-3</v>
      </c>
      <c r="S404">
        <v>2.0645963201573192E-3</v>
      </c>
      <c r="T404">
        <v>-5.5072139961687139E-4</v>
      </c>
      <c r="U404">
        <v>7.5017596497972683E-4</v>
      </c>
      <c r="V404">
        <v>4.3763892563353224E-4</v>
      </c>
      <c r="W404">
        <v>-2.7996196908741666E-5</v>
      </c>
      <c r="X404">
        <v>3.0984817872421466E-3</v>
      </c>
      <c r="Y404">
        <v>4.3763892563353224E-4</v>
      </c>
      <c r="Z404">
        <v>1.7151003950484078E-3</v>
      </c>
      <c r="AA404">
        <v>-4.1519934519462787E-4</v>
      </c>
      <c r="AC404">
        <v>1.7019736771393124E-3</v>
      </c>
      <c r="AD404">
        <v>-3.9667854717084783E-3</v>
      </c>
      <c r="AE404">
        <v>3.3866025275708367E-3</v>
      </c>
      <c r="AF404">
        <v>1.7360719058272522E-3</v>
      </c>
      <c r="AG404">
        <v>1.6039267207730301E-3</v>
      </c>
      <c r="AH404">
        <v>4.7073173639262667E-3</v>
      </c>
      <c r="AI404">
        <v>-3.2350914424816857E-4</v>
      </c>
      <c r="AJ404">
        <v>-3.0374753451677394E-3</v>
      </c>
      <c r="AK404">
        <v>8.6781670017992418E-3</v>
      </c>
      <c r="AL404">
        <v>-8.436752565367911E-3</v>
      </c>
    </row>
    <row r="405" spans="1:38">
      <c r="A405" s="568">
        <v>44418</v>
      </c>
      <c r="B405">
        <v>2.0427892105048803E-4</v>
      </c>
      <c r="C405">
        <v>2.8020875021361746E-4</v>
      </c>
      <c r="D405">
        <v>1.8316208332014305E-4</v>
      </c>
      <c r="E405">
        <v>2.5839182445919207E-4</v>
      </c>
      <c r="F405">
        <v>3.0211886901621021E-4</v>
      </c>
      <c r="G405">
        <v>6.5940553001908597E-4</v>
      </c>
      <c r="H405">
        <v>3.3305834327834738E-4</v>
      </c>
      <c r="I405">
        <v>3.6055122187805821E-4</v>
      </c>
      <c r="J405">
        <v>1.5697325237773452E-3</v>
      </c>
      <c r="K405">
        <v>1.1644911407817649E-3</v>
      </c>
      <c r="L405">
        <v>7.1955579948501658E-4</v>
      </c>
      <c r="M405">
        <v>7.3780558141156583E-4</v>
      </c>
      <c r="N405">
        <v>7.4326426625570541E-4</v>
      </c>
      <c r="O405">
        <v>5.4612392438491142E-4</v>
      </c>
      <c r="P405">
        <v>5.3573019985209136E-4</v>
      </c>
      <c r="Q405">
        <v>5.4958248556946643E-4</v>
      </c>
      <c r="R405">
        <v>2.723577260104193E-4</v>
      </c>
      <c r="S405">
        <v>4.8176924479637062E-3</v>
      </c>
      <c r="T405">
        <v>2.7862548185166869E-3</v>
      </c>
      <c r="U405">
        <v>6.7383694185352283E-5</v>
      </c>
      <c r="V405">
        <v>6.6482131382539222E-4</v>
      </c>
      <c r="W405">
        <v>3.3047416455089795E-4</v>
      </c>
      <c r="X405">
        <v>2.6343014406984278E-3</v>
      </c>
      <c r="Y405">
        <v>6.6482131382539222E-4</v>
      </c>
      <c r="Z405">
        <v>-2.4673016076834919E-3</v>
      </c>
      <c r="AA405">
        <v>8.9136107390053176E-4</v>
      </c>
      <c r="AC405">
        <v>-6.6404984320357352E-3</v>
      </c>
      <c r="AD405">
        <v>-5.1095728102997784E-3</v>
      </c>
      <c r="AE405">
        <v>-9.578230502482743E-4</v>
      </c>
      <c r="AF405">
        <v>-1.0722462764475305E-3</v>
      </c>
      <c r="AG405">
        <v>-2.777569173263772E-3</v>
      </c>
      <c r="AH405">
        <v>-2.1060586864081188E-3</v>
      </c>
      <c r="AI405">
        <v>5.2140350517992928E-3</v>
      </c>
      <c r="AJ405">
        <v>-7.6366082380404654E-3</v>
      </c>
      <c r="AK405">
        <v>1.8046374986884883E-2</v>
      </c>
      <c r="AL405">
        <v>-5.9012278301278087E-3</v>
      </c>
    </row>
    <row r="406" spans="1:38">
      <c r="A406" s="568">
        <v>44419</v>
      </c>
      <c r="B406">
        <v>2.0427892105048803E-4</v>
      </c>
      <c r="C406">
        <v>3.1033611865760591E-4</v>
      </c>
      <c r="D406">
        <v>2.3521097023970761E-4</v>
      </c>
      <c r="E406">
        <v>2.5839182445919207E-4</v>
      </c>
      <c r="F406">
        <v>3.2936632782587516E-4</v>
      </c>
      <c r="G406">
        <v>3.926062205259484E-4</v>
      </c>
      <c r="H406">
        <v>3.3161299362460817E-4</v>
      </c>
      <c r="I406">
        <v>3.6409646762525227E-4</v>
      </c>
      <c r="J406">
        <v>-2.2380862124804501E-4</v>
      </c>
      <c r="K406">
        <v>2.7920543344084336E-4</v>
      </c>
      <c r="L406">
        <v>7.1955579948501658E-4</v>
      </c>
      <c r="M406">
        <v>7.3780558141156583E-4</v>
      </c>
      <c r="N406">
        <v>7.4326426625570541E-4</v>
      </c>
      <c r="O406">
        <v>5.4612392438491142E-4</v>
      </c>
      <c r="P406">
        <v>5.3573019985209136E-4</v>
      </c>
      <c r="Q406">
        <v>5.4958248556946643E-4</v>
      </c>
      <c r="R406">
        <v>1.1388035800201646E-3</v>
      </c>
      <c r="S406">
        <v>2.5384109847554903E-3</v>
      </c>
      <c r="T406">
        <v>-8.7629464957383885E-4</v>
      </c>
      <c r="U406">
        <v>-1.7783141112250878E-3</v>
      </c>
      <c r="V406">
        <v>-5.4088898438831023E-4</v>
      </c>
      <c r="W406">
        <v>1.1743871647151849E-4</v>
      </c>
      <c r="X406">
        <v>4.5732047242319496E-4</v>
      </c>
      <c r="Y406">
        <v>-5.4088898438831023E-4</v>
      </c>
      <c r="Z406">
        <v>1.9142610183144892E-3</v>
      </c>
      <c r="AA406">
        <v>7.611727701406501E-5</v>
      </c>
      <c r="AC406">
        <v>-1.1958023434387455E-3</v>
      </c>
      <c r="AD406">
        <v>4.0604153075867178E-3</v>
      </c>
      <c r="AE406">
        <v>-1.4333895263102248E-3</v>
      </c>
      <c r="AF406">
        <v>-3.0539434985433767E-3</v>
      </c>
      <c r="AG406">
        <v>-1.1804209980134095E-3</v>
      </c>
      <c r="AH406">
        <v>-3.1180117929811013E-3</v>
      </c>
      <c r="AI406">
        <v>-2.1030825422951871E-3</v>
      </c>
      <c r="AJ406">
        <v>9.1706539074960514E-3</v>
      </c>
      <c r="AK406">
        <v>-2.5765227249304745E-3</v>
      </c>
      <c r="AL406">
        <v>-5.6836695449824504E-3</v>
      </c>
    </row>
    <row r="407" spans="1:38">
      <c r="A407" s="568">
        <v>44420</v>
      </c>
      <c r="B407">
        <v>2.0427892105048803E-4</v>
      </c>
      <c r="C407">
        <v>1.6203886298993275E-4</v>
      </c>
      <c r="D407">
        <v>1.9540315478105974E-4</v>
      </c>
      <c r="E407">
        <v>2.5839182445919207E-4</v>
      </c>
      <c r="F407">
        <v>2.3338700945330082E-4</v>
      </c>
      <c r="G407">
        <v>1.8579544898922329E-4</v>
      </c>
      <c r="H407">
        <v>3.3217007107655405E-4</v>
      </c>
      <c r="I407">
        <v>3.6236119051658022E-4</v>
      </c>
      <c r="J407">
        <v>-1.2504608341675771E-3</v>
      </c>
      <c r="K407">
        <v>-1.651313326267001E-3</v>
      </c>
      <c r="L407">
        <v>7.1955579948501658E-4</v>
      </c>
      <c r="M407">
        <v>7.3780558141156583E-4</v>
      </c>
      <c r="N407">
        <v>7.4326426625570541E-4</v>
      </c>
      <c r="O407">
        <v>5.4612392438491142E-4</v>
      </c>
      <c r="P407">
        <v>5.3573019985209136E-4</v>
      </c>
      <c r="Q407">
        <v>5.4958248556946643E-4</v>
      </c>
      <c r="R407">
        <v>7.6331999366385794E-4</v>
      </c>
      <c r="S407">
        <v>-2.2033251437328927E-3</v>
      </c>
      <c r="T407">
        <v>3.6390171555389372E-4</v>
      </c>
      <c r="U407">
        <v>-3.1291438836877905E-4</v>
      </c>
      <c r="V407">
        <v>-1.1441421405095076E-3</v>
      </c>
      <c r="W407">
        <v>8.1154890611001562E-4</v>
      </c>
      <c r="X407">
        <v>4.2378825490607674E-4</v>
      </c>
      <c r="Y407">
        <v>-1.1441421405095076E-3</v>
      </c>
      <c r="Z407">
        <v>3.786076632921187E-3</v>
      </c>
      <c r="AA407">
        <v>8.2064366846346104E-4</v>
      </c>
      <c r="AC407">
        <v>-1.110438015755677E-2</v>
      </c>
      <c r="AD407">
        <v>-1.2644942429829609E-2</v>
      </c>
      <c r="AE407">
        <v>-1.2693400464924953E-2</v>
      </c>
      <c r="AF407">
        <v>-1.280909998882418E-3</v>
      </c>
      <c r="AG407">
        <v>-8.0908633228450322E-3</v>
      </c>
      <c r="AH407">
        <v>-4.7368388407561524E-3</v>
      </c>
      <c r="AI407">
        <v>-3.4893876626868048E-3</v>
      </c>
      <c r="AJ407">
        <v>7.1118135124457194E-3</v>
      </c>
      <c r="AK407">
        <v>-9.1961148997726783E-3</v>
      </c>
      <c r="AL407">
        <v>6.9296313491400419E-3</v>
      </c>
    </row>
    <row r="408" spans="1:38">
      <c r="A408" s="568">
        <v>44421</v>
      </c>
      <c r="B408">
        <v>2.0427892105048803E-4</v>
      </c>
      <c r="C408">
        <v>4.1886717066486057E-4</v>
      </c>
      <c r="D408">
        <v>2.0544111061360226E-4</v>
      </c>
      <c r="E408">
        <v>2.5839182445919207E-4</v>
      </c>
      <c r="F408">
        <v>6.0154693410585658E-4</v>
      </c>
      <c r="G408">
        <v>2.2728944533367823E-4</v>
      </c>
      <c r="H408">
        <v>3.327265574470939E-4</v>
      </c>
      <c r="I408">
        <v>3.6022146201086791E-4</v>
      </c>
      <c r="J408">
        <v>-2.7963966854043232E-3</v>
      </c>
      <c r="K408">
        <v>-3.7042650041418934E-4</v>
      </c>
      <c r="L408">
        <v>7.1955579948501658E-4</v>
      </c>
      <c r="M408">
        <v>7.3780558141156583E-4</v>
      </c>
      <c r="N408">
        <v>7.4326426625570541E-4</v>
      </c>
      <c r="O408">
        <v>5.4612392438491142E-4</v>
      </c>
      <c r="P408">
        <v>5.3573019985209136E-4</v>
      </c>
      <c r="Q408">
        <v>5.4958248556946643E-4</v>
      </c>
      <c r="R408">
        <v>1.0422689328599688E-3</v>
      </c>
      <c r="S408">
        <v>-2.2812440693124048E-3</v>
      </c>
      <c r="T408">
        <v>-4.9709156756705397E-3</v>
      </c>
      <c r="U408">
        <v>-3.1295626773960583E-3</v>
      </c>
      <c r="V408">
        <v>-1.615508885298933E-3</v>
      </c>
      <c r="W408">
        <v>4.7589806570469406E-4</v>
      </c>
      <c r="X408">
        <v>-3.4595867150271076E-3</v>
      </c>
      <c r="Y408">
        <v>-1.615508885298933E-3</v>
      </c>
      <c r="Z408">
        <v>2.0056416953484479E-3</v>
      </c>
      <c r="AA408">
        <v>-6.1474961129481809E-4</v>
      </c>
      <c r="AC408">
        <v>4.0825683436871429E-3</v>
      </c>
      <c r="AD408">
        <v>-3.944322737576611E-3</v>
      </c>
      <c r="AE408">
        <v>-2.2366023100017784E-4</v>
      </c>
      <c r="AF408">
        <v>-6.0877029962610463E-3</v>
      </c>
      <c r="AG408">
        <v>-8.4465703875158393E-4</v>
      </c>
      <c r="AH408">
        <v>-1.8972451960663772E-3</v>
      </c>
      <c r="AI408">
        <v>-1.5383645399602019E-2</v>
      </c>
      <c r="AJ408">
        <v>-3.923107100833878E-5</v>
      </c>
      <c r="AK408">
        <v>-1.2410053185942238E-2</v>
      </c>
      <c r="AL408">
        <v>-1.068534660698417E-2</v>
      </c>
    </row>
    <row r="409" spans="1:38">
      <c r="A409" s="568">
        <v>44424</v>
      </c>
      <c r="B409">
        <v>2.0427892105048803E-4</v>
      </c>
      <c r="C409">
        <v>2.7910759306259969E-4</v>
      </c>
      <c r="D409">
        <v>2.1099561386583865E-4</v>
      </c>
      <c r="E409">
        <v>2.5839182445919207E-4</v>
      </c>
      <c r="F409">
        <v>2.995090392348132E-4</v>
      </c>
      <c r="G409">
        <v>2.8299995969116587E-4</v>
      </c>
      <c r="H409">
        <v>3.3194932240343533E-4</v>
      </c>
      <c r="I409">
        <v>4.1326230136240483E-4</v>
      </c>
      <c r="J409">
        <v>-1.0622900212432507E-3</v>
      </c>
      <c r="K409">
        <v>-2.234303688951611E-4</v>
      </c>
      <c r="L409">
        <v>7.1955579948501658E-4</v>
      </c>
      <c r="M409">
        <v>7.3780558141156583E-4</v>
      </c>
      <c r="N409">
        <v>7.4326426625570541E-4</v>
      </c>
      <c r="O409">
        <v>5.4612392438491142E-4</v>
      </c>
      <c r="P409">
        <v>5.3573019985209136E-4</v>
      </c>
      <c r="Q409">
        <v>5.4958248556946643E-4</v>
      </c>
      <c r="R409">
        <v>7.45833624207215E-5</v>
      </c>
      <c r="S409">
        <v>-5.5617563801685366E-3</v>
      </c>
      <c r="T409">
        <v>-8.6301643772923597E-4</v>
      </c>
      <c r="U409">
        <v>-1.6759523376799201E-3</v>
      </c>
      <c r="V409">
        <v>-5.7836126020309742E-3</v>
      </c>
      <c r="W409">
        <v>-6.8172302755176162E-4</v>
      </c>
      <c r="X409">
        <v>-3.7271214248202345E-3</v>
      </c>
      <c r="Y409">
        <v>-5.7836126020309742E-3</v>
      </c>
      <c r="Z409">
        <v>-2.6942006202722579E-3</v>
      </c>
      <c r="AA409">
        <v>-1.6054924667522341E-3</v>
      </c>
      <c r="AC409">
        <v>-1.6615708318291955E-2</v>
      </c>
      <c r="AD409">
        <v>-2.7508045355754684E-2</v>
      </c>
      <c r="AE409">
        <v>-2.915995136605154E-2</v>
      </c>
      <c r="AF409">
        <v>-2.4628851191191958E-2</v>
      </c>
      <c r="AG409">
        <v>-1.9342953393895357E-2</v>
      </c>
      <c r="AH409">
        <v>-1.8767819570998601E-2</v>
      </c>
      <c r="AI409">
        <v>-3.8156330082862788E-2</v>
      </c>
      <c r="AJ409">
        <v>8.2780807407116797E-3</v>
      </c>
      <c r="AK409">
        <v>-1.7212249208025443E-2</v>
      </c>
      <c r="AL409">
        <v>5.9090327164301737E-3</v>
      </c>
    </row>
    <row r="410" spans="1:38">
      <c r="A410" s="568">
        <v>44425</v>
      </c>
      <c r="B410">
        <v>2.0427892105048803E-4</v>
      </c>
      <c r="C410">
        <v>2.6678433118720868E-4</v>
      </c>
      <c r="D410">
        <v>2.8816928014752108E-4</v>
      </c>
      <c r="E410">
        <v>2.5839182445919207E-4</v>
      </c>
      <c r="F410">
        <v>3.0895224889504469E-4</v>
      </c>
      <c r="G410">
        <v>3.5830315443585725E-4</v>
      </c>
      <c r="H410">
        <v>3.3250551232844039E-4</v>
      </c>
      <c r="I410">
        <v>3.5647088122314763E-4</v>
      </c>
      <c r="J410">
        <v>1.3154973444831075E-3</v>
      </c>
      <c r="K410">
        <v>1.4501321468063377E-3</v>
      </c>
      <c r="L410">
        <v>7.1955579948501658E-4</v>
      </c>
      <c r="M410">
        <v>7.3780558141156583E-4</v>
      </c>
      <c r="N410">
        <v>7.4326426625570541E-4</v>
      </c>
      <c r="O410">
        <v>5.4612392438491142E-4</v>
      </c>
      <c r="P410">
        <v>5.3573019985209136E-4</v>
      </c>
      <c r="Q410">
        <v>5.4958248556946643E-4</v>
      </c>
      <c r="R410">
        <v>-1.1055413095383271E-3</v>
      </c>
      <c r="S410">
        <v>-3.9921640847736528E-3</v>
      </c>
      <c r="T410">
        <v>1.2297827512131043E-3</v>
      </c>
      <c r="U410">
        <v>-1.8353025975681447E-3</v>
      </c>
      <c r="V410">
        <v>-3.5790837944269516E-3</v>
      </c>
      <c r="W410">
        <v>-2.3174653312451055E-3</v>
      </c>
      <c r="X410">
        <v>-1.2727108486719763E-3</v>
      </c>
      <c r="Y410">
        <v>-3.5790837944269516E-3</v>
      </c>
      <c r="Z410">
        <v>-1.7048410983029338E-3</v>
      </c>
      <c r="AA410">
        <v>-7.2860672258591164E-3</v>
      </c>
      <c r="AC410">
        <v>-1.0708337630054299E-2</v>
      </c>
      <c r="AD410">
        <v>-1.750854940099511E-2</v>
      </c>
      <c r="AE410">
        <v>-1.1449351198370428E-2</v>
      </c>
      <c r="AF410">
        <v>-1.5141155451331212E-2</v>
      </c>
      <c r="AG410">
        <v>-1.5411108256500605E-2</v>
      </c>
      <c r="AH410">
        <v>-1.1285215674412097E-2</v>
      </c>
      <c r="AI410">
        <v>-3.5293142653162746E-2</v>
      </c>
      <c r="AJ410">
        <v>-9.5330739299610556E-3</v>
      </c>
      <c r="AK410">
        <v>-2.6539164070054744E-2</v>
      </c>
      <c r="AL410">
        <v>-7.0160208808284219E-3</v>
      </c>
    </row>
    <row r="411" spans="1:38">
      <c r="A411" s="568">
        <v>44426</v>
      </c>
      <c r="B411">
        <v>2.0427892105048803E-4</v>
      </c>
      <c r="C411">
        <v>2.3052513244881112E-4</v>
      </c>
      <c r="D411">
        <v>2.198405848095053E-4</v>
      </c>
      <c r="E411">
        <v>2.5839182445919207E-4</v>
      </c>
      <c r="F411">
        <v>3.162208746496642E-4</v>
      </c>
      <c r="G411">
        <v>4.2813519955120505E-4</v>
      </c>
      <c r="H411">
        <v>3.3239498916226573E-4</v>
      </c>
      <c r="I411">
        <v>3.5156994804275143E-4</v>
      </c>
      <c r="J411">
        <v>-3.4079698480032894E-3</v>
      </c>
      <c r="K411">
        <v>-4.2728582979136842E-3</v>
      </c>
      <c r="L411">
        <v>7.1955579948501658E-4</v>
      </c>
      <c r="M411">
        <v>7.3780558141156583E-4</v>
      </c>
      <c r="N411">
        <v>7.4326426625570541E-4</v>
      </c>
      <c r="O411">
        <v>5.4612392438491142E-4</v>
      </c>
      <c r="P411">
        <v>5.3573019985209136E-4</v>
      </c>
      <c r="Q411">
        <v>5.4958248556946643E-4</v>
      </c>
      <c r="R411">
        <v>1.8694949198128086E-4</v>
      </c>
      <c r="S411">
        <v>-3.9983279298714258E-3</v>
      </c>
      <c r="T411">
        <v>-1.7117669060605634E-3</v>
      </c>
      <c r="U411">
        <v>6.5309966341242642E-5</v>
      </c>
      <c r="V411">
        <v>-1.2781902227203545E-3</v>
      </c>
      <c r="W411">
        <v>-4.1004376365209039E-3</v>
      </c>
      <c r="X411">
        <v>2.2459204505602681E-3</v>
      </c>
      <c r="Y411">
        <v>-1.2781902227203545E-3</v>
      </c>
      <c r="Z411">
        <v>2.3016444792482993E-3</v>
      </c>
      <c r="AA411">
        <v>6.4281233548630912E-3</v>
      </c>
      <c r="AC411">
        <v>-1.0696770528450306E-2</v>
      </c>
      <c r="AD411">
        <v>-2.8018376558651692E-3</v>
      </c>
      <c r="AE411">
        <v>-8.2019917894061711E-3</v>
      </c>
      <c r="AF411">
        <v>-2.3075004219538231E-3</v>
      </c>
      <c r="AG411">
        <v>-8.3569430517580479E-3</v>
      </c>
      <c r="AH411">
        <v>-4.2894133283608582E-3</v>
      </c>
      <c r="AI411">
        <v>1.5638686880472541E-3</v>
      </c>
      <c r="AJ411">
        <v>7.6605774896876255E-3</v>
      </c>
      <c r="AK411">
        <v>8.6092715231789185E-3</v>
      </c>
      <c r="AL411">
        <v>2.4385526710568151E-2</v>
      </c>
    </row>
    <row r="412" spans="1:38">
      <c r="A412" s="568">
        <v>44427</v>
      </c>
      <c r="B412">
        <v>2.0427892105048803E-4</v>
      </c>
      <c r="C412">
        <v>5.8245156084213434E-5</v>
      </c>
      <c r="D412">
        <v>1.7952498025786134E-4</v>
      </c>
      <c r="E412">
        <v>2.5839182445919207E-4</v>
      </c>
      <c r="F412">
        <v>3.0832614843911976E-4</v>
      </c>
      <c r="G412">
        <v>2.8613825229495404E-4</v>
      </c>
      <c r="H412">
        <v>3.3161863856578933E-4</v>
      </c>
      <c r="I412">
        <v>4.6732589269682379E-5</v>
      </c>
      <c r="J412">
        <v>1.1641253848564403E-3</v>
      </c>
      <c r="K412">
        <v>1.4013622221114019E-3</v>
      </c>
      <c r="L412">
        <v>7.1955579948501658E-4</v>
      </c>
      <c r="M412">
        <v>7.3780558141156583E-4</v>
      </c>
      <c r="N412">
        <v>7.4326426625570541E-4</v>
      </c>
      <c r="O412">
        <v>5.4612392438491142E-4</v>
      </c>
      <c r="P412">
        <v>5.3573019985209136E-4</v>
      </c>
      <c r="Q412">
        <v>5.4958248556946643E-4</v>
      </c>
      <c r="R412">
        <v>-1.8488416672539643E-3</v>
      </c>
      <c r="S412">
        <v>-6.5983499912815047E-3</v>
      </c>
      <c r="T412">
        <v>4.6705077375785997E-4</v>
      </c>
      <c r="U412">
        <v>-4.477068628633285E-4</v>
      </c>
      <c r="V412">
        <v>1.6379770232397561E-3</v>
      </c>
      <c r="W412">
        <v>6.6230355800511731E-4</v>
      </c>
      <c r="X412">
        <v>-3.4435490961717274E-3</v>
      </c>
      <c r="Y412">
        <v>1.6379770232397561E-3</v>
      </c>
      <c r="Z412">
        <v>-2.0103454914108809E-3</v>
      </c>
      <c r="AA412">
        <v>1.5205694941871073E-3</v>
      </c>
      <c r="AC412">
        <v>4.4758082423046464E-3</v>
      </c>
      <c r="AD412">
        <v>-5.1104430415072066E-4</v>
      </c>
      <c r="AE412">
        <v>8.8158402163323046E-3</v>
      </c>
      <c r="AF412">
        <v>8.462849710628495E-3</v>
      </c>
      <c r="AG412">
        <v>1.2663252542611803E-2</v>
      </c>
      <c r="AH412">
        <v>1.0619845671950401E-2</v>
      </c>
      <c r="AI412">
        <v>1.5746977783610783E-2</v>
      </c>
      <c r="AJ412">
        <v>1.516569200779716E-2</v>
      </c>
      <c r="AK412">
        <v>-2.8780914861019857E-2</v>
      </c>
      <c r="AL412">
        <v>3.5660249198983252E-3</v>
      </c>
    </row>
    <row r="413" spans="1:38">
      <c r="A413" s="568">
        <v>44428</v>
      </c>
      <c r="B413">
        <v>2.0427892105048803E-4</v>
      </c>
      <c r="C413">
        <v>8.0048139812305408E-4</v>
      </c>
      <c r="D413">
        <v>1.9514944589293926E-4</v>
      </c>
      <c r="E413">
        <v>2.5839182445919207E-4</v>
      </c>
      <c r="F413">
        <v>6.7533783125650615E-4</v>
      </c>
      <c r="G413">
        <v>3.3923295607740656E-4</v>
      </c>
      <c r="H413">
        <v>3.2551758294196986E-4</v>
      </c>
      <c r="I413">
        <v>6.5387206204903237E-4</v>
      </c>
      <c r="J413">
        <v>2.2526118817027818E-3</v>
      </c>
      <c r="K413">
        <v>2.541799312481885E-3</v>
      </c>
      <c r="L413">
        <v>7.1955579948501658E-4</v>
      </c>
      <c r="M413">
        <v>7.3780558141156583E-4</v>
      </c>
      <c r="N413">
        <v>7.4326426625570541E-4</v>
      </c>
      <c r="O413">
        <v>5.4612392438491142E-4</v>
      </c>
      <c r="P413">
        <v>5.3573019985209136E-4</v>
      </c>
      <c r="Q413">
        <v>5.4958248556946643E-4</v>
      </c>
      <c r="R413">
        <v>0</v>
      </c>
      <c r="S413">
        <v>-1.9738794341250809E-6</v>
      </c>
      <c r="T413">
        <v>-4.7228168765656164E-4</v>
      </c>
      <c r="U413">
        <v>6.1479383354212658E-4</v>
      </c>
      <c r="V413">
        <v>3.1280708729344298E-3</v>
      </c>
      <c r="W413">
        <v>3.4637612255095096E-3</v>
      </c>
      <c r="X413">
        <v>6.5467634648630479E-4</v>
      </c>
      <c r="Y413">
        <v>3.1280708729344298E-3</v>
      </c>
      <c r="Z413">
        <v>-2.2754322707551067E-3</v>
      </c>
      <c r="AA413">
        <v>1.0931840858683373E-3</v>
      </c>
      <c r="AC413">
        <v>7.5797580311951496E-3</v>
      </c>
      <c r="AD413">
        <v>6.6672430575578367E-3</v>
      </c>
      <c r="AE413">
        <v>1.0245405361339888E-2</v>
      </c>
      <c r="AF413">
        <v>1.1804569460176273E-2</v>
      </c>
      <c r="AG413">
        <v>1.2974591969310056E-2</v>
      </c>
      <c r="AH413">
        <v>5.299832314144437E-3</v>
      </c>
      <c r="AI413">
        <v>1.2057112872268183E-2</v>
      </c>
      <c r="AJ413">
        <v>-2.304235953761502E-3</v>
      </c>
      <c r="AK413">
        <v>-1.5211267605633738E-2</v>
      </c>
      <c r="AL413">
        <v>-1.325819055551325E-2</v>
      </c>
    </row>
    <row r="414" spans="1:38">
      <c r="A414" s="568">
        <v>44431</v>
      </c>
      <c r="B414">
        <v>2.0427892105048803E-4</v>
      </c>
      <c r="C414">
        <v>2.5018723496805784E-4</v>
      </c>
      <c r="D414">
        <v>2.0685159572031431E-4</v>
      </c>
      <c r="E414">
        <v>2.5839182445919207E-4</v>
      </c>
      <c r="F414">
        <v>2.1847143540054681E-4</v>
      </c>
      <c r="G414">
        <v>1.3958758837717689E-4</v>
      </c>
      <c r="H414">
        <v>3.3140082730409581E-4</v>
      </c>
      <c r="I414">
        <v>4.0816267844911991E-4</v>
      </c>
      <c r="J414">
        <v>-1.5428693314232245E-3</v>
      </c>
      <c r="K414">
        <v>-2.201163503958381E-3</v>
      </c>
      <c r="L414">
        <v>7.1955579948501658E-4</v>
      </c>
      <c r="M414">
        <v>7.3780558141156583E-4</v>
      </c>
      <c r="N414">
        <v>7.4326426625570541E-4</v>
      </c>
      <c r="O414">
        <v>5.4612392438491142E-4</v>
      </c>
      <c r="P414">
        <v>5.3573019985209136E-4</v>
      </c>
      <c r="Q414">
        <v>5.4958248556946643E-4</v>
      </c>
      <c r="R414">
        <v>1.7589349708579949E-3</v>
      </c>
      <c r="S414">
        <v>8.5498390919551692E-3</v>
      </c>
      <c r="T414">
        <v>-4.5561697242846311E-4</v>
      </c>
      <c r="U414">
        <v>-2.9471336142983251E-4</v>
      </c>
      <c r="V414">
        <v>-2.7668516219736539E-4</v>
      </c>
      <c r="W414">
        <v>2.2299319862499889E-3</v>
      </c>
      <c r="X414">
        <v>1.4461313683766797E-4</v>
      </c>
      <c r="Y414">
        <v>-2.7668516219736539E-4</v>
      </c>
      <c r="Z414">
        <v>2.9645821940267325E-3</v>
      </c>
      <c r="AA414">
        <v>1.8599032629622592E-3</v>
      </c>
      <c r="AC414">
        <v>-4.9223749684146334E-3</v>
      </c>
      <c r="AD414">
        <v>-8.1160225489806948E-4</v>
      </c>
      <c r="AE414">
        <v>-4.9064747184681679E-3</v>
      </c>
      <c r="AF414">
        <v>-3.6360164686932706E-3</v>
      </c>
      <c r="AG414">
        <v>-6.730040656653502E-3</v>
      </c>
      <c r="AH414">
        <v>-2.9532621447384555E-3</v>
      </c>
      <c r="AI414">
        <v>1.0700950301411938E-2</v>
      </c>
      <c r="AJ414">
        <v>1.2702567458331648E-2</v>
      </c>
      <c r="AK414">
        <v>1.5789473684210575E-2</v>
      </c>
      <c r="AL414">
        <v>8.7414183794509714E-3</v>
      </c>
    </row>
    <row r="415" spans="1:38">
      <c r="A415" s="568">
        <v>44432</v>
      </c>
      <c r="B415">
        <v>2.0427892105048803E-4</v>
      </c>
      <c r="C415">
        <v>2.993744247672403E-4</v>
      </c>
      <c r="D415">
        <v>1.9004053452809089E-4</v>
      </c>
      <c r="E415">
        <v>2.5839182445919207E-4</v>
      </c>
      <c r="F415">
        <v>2.7248899230980506E-4</v>
      </c>
      <c r="G415">
        <v>3.6369478592335192E-4</v>
      </c>
      <c r="H415">
        <v>3.2929530804093332E-4</v>
      </c>
      <c r="I415">
        <v>3.5528898713188539E-4</v>
      </c>
      <c r="J415">
        <v>2.7505458761460932E-3</v>
      </c>
      <c r="K415">
        <v>3.295944050665911E-3</v>
      </c>
      <c r="L415">
        <v>7.1955579948501658E-4</v>
      </c>
      <c r="M415">
        <v>7.3780558141156583E-4</v>
      </c>
      <c r="N415">
        <v>7.4326426625570541E-4</v>
      </c>
      <c r="O415">
        <v>5.4612392438491142E-4</v>
      </c>
      <c r="P415">
        <v>5.3573019985209136E-4</v>
      </c>
      <c r="Q415">
        <v>5.4958248556946643E-4</v>
      </c>
      <c r="R415">
        <v>1.7594299112639877E-3</v>
      </c>
      <c r="S415">
        <v>1.0560708981216527E-2</v>
      </c>
      <c r="T415">
        <v>6.7611915430743075E-4</v>
      </c>
      <c r="U415">
        <v>1.69211791558177E-3</v>
      </c>
      <c r="V415">
        <v>4.3334405473400839E-3</v>
      </c>
      <c r="W415">
        <v>1.8246183629986312E-3</v>
      </c>
      <c r="X415">
        <v>1.6036664594736294E-3</v>
      </c>
      <c r="Y415">
        <v>4.3334405473400839E-3</v>
      </c>
      <c r="Z415">
        <v>-2.3807777357476301E-3</v>
      </c>
      <c r="AA415">
        <v>-5.6976854863866055E-4</v>
      </c>
      <c r="AC415">
        <v>2.3316941012245795E-2</v>
      </c>
      <c r="AD415">
        <v>1.7222616814511982E-2</v>
      </c>
      <c r="AE415">
        <v>1.9576289305294647E-2</v>
      </c>
      <c r="AF415">
        <v>1.1393203946179042E-2</v>
      </c>
      <c r="AG415">
        <v>1.8406696132614142E-2</v>
      </c>
      <c r="AH415">
        <v>5.6747774889718272E-3</v>
      </c>
      <c r="AI415">
        <v>1.071170574865965E-2</v>
      </c>
      <c r="AJ415">
        <v>-2.0677334752366106E-2</v>
      </c>
      <c r="AK415">
        <v>4.8209056093714731E-2</v>
      </c>
      <c r="AL415">
        <v>-2.1920960398441047E-2</v>
      </c>
    </row>
    <row r="416" spans="1:38">
      <c r="A416" s="568">
        <v>44433</v>
      </c>
      <c r="B416">
        <v>2.0427892105048803E-4</v>
      </c>
      <c r="C416">
        <v>2.5909933530976481E-4</v>
      </c>
      <c r="D416">
        <v>2.4309389795207359E-4</v>
      </c>
      <c r="E416">
        <v>2.5839182445919207E-4</v>
      </c>
      <c r="F416">
        <v>1.7555618013953556E-4</v>
      </c>
      <c r="G416">
        <v>6.4166841218171733E-4</v>
      </c>
      <c r="H416">
        <v>3.358371489088352E-4</v>
      </c>
      <c r="I416">
        <v>3.5508799205552499E-4</v>
      </c>
      <c r="J416">
        <v>3.3530245166630834E-3</v>
      </c>
      <c r="K416">
        <v>3.2125101293918323E-3</v>
      </c>
      <c r="L416">
        <v>7.1955579948501658E-4</v>
      </c>
      <c r="M416">
        <v>7.3780558141156583E-4</v>
      </c>
      <c r="N416">
        <v>7.4326426625570541E-4</v>
      </c>
      <c r="O416">
        <v>5.4612392438491142E-4</v>
      </c>
      <c r="P416">
        <v>5.3573019985209136E-4</v>
      </c>
      <c r="Q416">
        <v>5.4958248556946643E-4</v>
      </c>
      <c r="R416">
        <v>4.0897796049965685E-4</v>
      </c>
      <c r="S416">
        <v>1.4475735014214397E-3</v>
      </c>
      <c r="T416">
        <v>3.0114219516559348E-3</v>
      </c>
      <c r="U416">
        <v>1.694169893379005E-3</v>
      </c>
      <c r="V416">
        <v>2.7432628691301808E-3</v>
      </c>
      <c r="W416">
        <v>1.9849763675041654E-3</v>
      </c>
      <c r="X416">
        <v>2.1670194815097688E-3</v>
      </c>
      <c r="Y416">
        <v>2.7432628691301808E-3</v>
      </c>
      <c r="Z416">
        <v>1.4007587987201475E-3</v>
      </c>
      <c r="AA416">
        <v>9.7764740627126479E-4</v>
      </c>
      <c r="AC416">
        <v>5.0491324611152688E-3</v>
      </c>
      <c r="AD416">
        <v>4.1000913939117645E-3</v>
      </c>
      <c r="AE416">
        <v>5.4748990363282513E-3</v>
      </c>
      <c r="AF416">
        <v>1.0730660303071238E-2</v>
      </c>
      <c r="AG416">
        <v>7.5578606836697038E-3</v>
      </c>
      <c r="AH416">
        <v>2.740399696802287E-3</v>
      </c>
      <c r="AI416">
        <v>1.3211971060931305E-2</v>
      </c>
      <c r="AJ416">
        <v>-1.1449640985833454E-2</v>
      </c>
      <c r="AK416">
        <v>7.5220287986232925E-4</v>
      </c>
      <c r="AL416">
        <v>1.9903286309563839E-3</v>
      </c>
    </row>
    <row r="417" spans="1:38">
      <c r="A417" s="568">
        <v>44434</v>
      </c>
      <c r="B417">
        <v>2.0427892105048803E-4</v>
      </c>
      <c r="C417">
        <v>2.358509553339605E-4</v>
      </c>
      <c r="D417">
        <v>1.8548864245215846E-4</v>
      </c>
      <c r="E417">
        <v>2.5839182445919207E-4</v>
      </c>
      <c r="F417">
        <v>2.1702890029473565E-4</v>
      </c>
      <c r="G417">
        <v>2.372687801348583E-4</v>
      </c>
      <c r="H417">
        <v>3.3107079463623457E-4</v>
      </c>
      <c r="I417">
        <v>3.5682278134929746E-4</v>
      </c>
      <c r="J417">
        <v>-6.0641197655031398E-5</v>
      </c>
      <c r="K417">
        <v>5.6055835664481357E-4</v>
      </c>
      <c r="L417">
        <v>7.1955579948501658E-4</v>
      </c>
      <c r="M417">
        <v>7.3780558141156583E-4</v>
      </c>
      <c r="N417">
        <v>7.4326426625570541E-4</v>
      </c>
      <c r="O417">
        <v>5.4612392438491142E-4</v>
      </c>
      <c r="P417">
        <v>5.3573019985209136E-4</v>
      </c>
      <c r="Q417">
        <v>5.4958248556946643E-4</v>
      </c>
      <c r="R417">
        <v>-7.2048427985538233E-4</v>
      </c>
      <c r="S417">
        <v>-4.2436877222280511E-3</v>
      </c>
      <c r="T417">
        <v>2.4401724797673552E-3</v>
      </c>
      <c r="U417">
        <v>-2.1774159653652481E-3</v>
      </c>
      <c r="V417">
        <v>-3.3893689188185805E-3</v>
      </c>
      <c r="W417">
        <v>-2.5508810346448474E-3</v>
      </c>
      <c r="X417">
        <v>1.179668942761003E-3</v>
      </c>
      <c r="Y417">
        <v>-3.3893689188185805E-3</v>
      </c>
      <c r="Z417">
        <v>-1.8766766109561406E-3</v>
      </c>
      <c r="AA417">
        <v>9.670297758594959E-4</v>
      </c>
      <c r="AC417">
        <v>-1.7329744124433444E-2</v>
      </c>
      <c r="AD417">
        <v>-1.8123612215902529E-2</v>
      </c>
      <c r="AE417">
        <v>-1.9694497388176635E-2</v>
      </c>
      <c r="AF417">
        <v>-1.2309909953361231E-2</v>
      </c>
      <c r="AG417">
        <v>-1.4946157134583804E-2</v>
      </c>
      <c r="AH417">
        <v>-7.6706532167268859E-3</v>
      </c>
      <c r="AI417">
        <v>-4.5239651774432454E-3</v>
      </c>
      <c r="AJ417">
        <v>2.9839026305458205E-3</v>
      </c>
      <c r="AK417">
        <v>-1.3744228497798772E-2</v>
      </c>
      <c r="AL417">
        <v>1.6729116889150131E-2</v>
      </c>
    </row>
    <row r="418" spans="1:38">
      <c r="A418" s="568">
        <v>44435</v>
      </c>
      <c r="B418">
        <v>2.0427892105048803E-4</v>
      </c>
      <c r="C418">
        <v>2.916858394057531E-4</v>
      </c>
      <c r="D418">
        <v>2.0053636495154237E-4</v>
      </c>
      <c r="E418">
        <v>2.5839182445919207E-4</v>
      </c>
      <c r="F418">
        <v>2.8959723508115154E-4</v>
      </c>
      <c r="G418">
        <v>3.6676987018924301E-4</v>
      </c>
      <c r="H418">
        <v>3.3428412688718545E-4</v>
      </c>
      <c r="I418">
        <v>3.5373226611157271E-4</v>
      </c>
      <c r="J418">
        <v>2.9548210534888764E-3</v>
      </c>
      <c r="K418">
        <v>2.7316290854082492E-3</v>
      </c>
      <c r="L418">
        <v>7.1955579948501658E-4</v>
      </c>
      <c r="M418">
        <v>7.3780558141156583E-4</v>
      </c>
      <c r="N418">
        <v>7.4326426625570541E-4</v>
      </c>
      <c r="O418">
        <v>5.4612392438491142E-4</v>
      </c>
      <c r="P418">
        <v>5.3573019985209136E-4</v>
      </c>
      <c r="Q418">
        <v>5.4958248556946643E-4</v>
      </c>
      <c r="R418">
        <v>3.070676854944665E-3</v>
      </c>
      <c r="S418">
        <v>4.8791579228428805E-3</v>
      </c>
      <c r="T418">
        <v>-3.4502072516543469E-3</v>
      </c>
      <c r="U418">
        <v>4.4353691048257815E-3</v>
      </c>
      <c r="V418">
        <v>3.6269597382627694E-3</v>
      </c>
      <c r="W418">
        <v>3.0503719438081944E-3</v>
      </c>
      <c r="X418">
        <v>-3.6553532846581582E-3</v>
      </c>
      <c r="Y418">
        <v>3.6269597382627694E-3</v>
      </c>
      <c r="Z418">
        <v>1.5483008609427085E-3</v>
      </c>
      <c r="AA418">
        <v>-1.5481330300048946E-4</v>
      </c>
      <c r="AC418">
        <v>1.6455228038617653E-2</v>
      </c>
      <c r="AD418">
        <v>1.5223967450355147E-2</v>
      </c>
      <c r="AE418">
        <v>1.8833445138678462E-2</v>
      </c>
      <c r="AF418">
        <v>1.6190763673230801E-2</v>
      </c>
      <c r="AG418">
        <v>1.3588019792749373E-2</v>
      </c>
      <c r="AH418">
        <v>2.3771039369619995E-3</v>
      </c>
      <c r="AI418">
        <v>2.4062935993056866E-2</v>
      </c>
      <c r="AJ418">
        <v>-3.9145071635604545E-5</v>
      </c>
      <c r="AK418">
        <v>-3.1573217201958936E-3</v>
      </c>
      <c r="AL418">
        <v>-8.5089354172208642E-3</v>
      </c>
    </row>
    <row r="419" spans="1:38">
      <c r="A419" s="568">
        <v>44438</v>
      </c>
      <c r="B419">
        <v>2.0427892105048803E-4</v>
      </c>
      <c r="C419">
        <v>2.6863961456990992E-4</v>
      </c>
      <c r="D419">
        <v>2.105488903458852E-4</v>
      </c>
      <c r="E419">
        <v>2.5839182445919207E-4</v>
      </c>
      <c r="F419">
        <v>3.3402067557730675E-4</v>
      </c>
      <c r="G419">
        <v>2.4714491496102831E-4</v>
      </c>
      <c r="H419">
        <v>3.3284370098263238E-4</v>
      </c>
      <c r="I419">
        <v>3.9044058275616855E-4</v>
      </c>
      <c r="J419">
        <v>6.6390851305841991E-4</v>
      </c>
      <c r="K419">
        <v>1.022163151658706E-3</v>
      </c>
      <c r="L419">
        <v>7.1955579948501658E-4</v>
      </c>
      <c r="M419">
        <v>7.3780558141156583E-4</v>
      </c>
      <c r="N419">
        <v>7.4326426625570541E-4</v>
      </c>
      <c r="O419">
        <v>5.4612392438491142E-4</v>
      </c>
      <c r="P419">
        <v>5.3573019985209136E-4</v>
      </c>
      <c r="Q419">
        <v>5.4958248556946643E-4</v>
      </c>
      <c r="R419">
        <v>1.3287926477041356E-3</v>
      </c>
      <c r="S419">
        <v>-6.2891798690400957E-4</v>
      </c>
      <c r="T419">
        <v>-1.2373086364315666E-3</v>
      </c>
      <c r="U419">
        <v>-5.5686403681443064E-4</v>
      </c>
      <c r="V419">
        <v>-1.0123737317482284E-3</v>
      </c>
      <c r="W419">
        <v>1.2019125754676452E-3</v>
      </c>
      <c r="X419">
        <v>-2.2322435197982271E-3</v>
      </c>
      <c r="Y419">
        <v>-1.0123737317482284E-3</v>
      </c>
      <c r="Z419">
        <v>-1.212260070394322E-3</v>
      </c>
      <c r="AA419">
        <v>9.1066954348728579E-4</v>
      </c>
      <c r="AC419">
        <v>-7.7697932342042364E-3</v>
      </c>
      <c r="AD419">
        <v>-8.5134435336042813E-3</v>
      </c>
      <c r="AE419">
        <v>-7.4850443417733281E-3</v>
      </c>
      <c r="AF419">
        <v>-9.3453392759036413E-3</v>
      </c>
      <c r="AG419">
        <v>1.0647567440136285E-4</v>
      </c>
      <c r="AH419">
        <v>-1.0960005286493324E-3</v>
      </c>
      <c r="AI419">
        <v>5.1885100680235663E-3</v>
      </c>
      <c r="AJ419">
        <v>2.15306322176545E-3</v>
      </c>
      <c r="AK419">
        <v>7.2083879423328057E-3</v>
      </c>
      <c r="AL419">
        <v>1.6979744848669265E-2</v>
      </c>
    </row>
    <row r="420" spans="1:38">
      <c r="A420" s="568">
        <v>44439</v>
      </c>
      <c r="B420">
        <v>2.0427892105048803E-4</v>
      </c>
      <c r="C420">
        <v>3.2321439998206358E-4</v>
      </c>
      <c r="D420">
        <v>1.8537802879503573E-4</v>
      </c>
      <c r="E420">
        <v>2.5839182445919207E-4</v>
      </c>
      <c r="F420">
        <v>3.9092855683420247E-4</v>
      </c>
      <c r="G420">
        <v>3.2851764066443856E-4</v>
      </c>
      <c r="H420">
        <v>3.1745778741210096E-4</v>
      </c>
      <c r="I420">
        <v>3.0462777440565247E-4</v>
      </c>
      <c r="J420">
        <v>-1.325194676060848E-3</v>
      </c>
      <c r="K420">
        <v>-1.8183292003092211E-3</v>
      </c>
      <c r="L420">
        <v>7.1955579948501658E-4</v>
      </c>
      <c r="M420">
        <v>7.3780558141156583E-4</v>
      </c>
      <c r="N420">
        <v>7.4326426625570541E-4</v>
      </c>
      <c r="O420">
        <v>5.4612392438491142E-4</v>
      </c>
      <c r="P420">
        <v>5.3573019985209136E-4</v>
      </c>
      <c r="Q420">
        <v>5.4958248556946643E-4</v>
      </c>
      <c r="R420">
        <v>5.8603038926796636E-4</v>
      </c>
      <c r="S420">
        <v>-3.9315994805333432E-4</v>
      </c>
      <c r="T420">
        <v>3.2022693288231707E-3</v>
      </c>
      <c r="U420">
        <v>-5.5982178765745516E-4</v>
      </c>
      <c r="V420">
        <v>-7.0368094511297219E-4</v>
      </c>
      <c r="W420">
        <v>2.6998296652913645E-4</v>
      </c>
      <c r="X420">
        <v>3.3809260709207756E-3</v>
      </c>
      <c r="Y420">
        <v>-7.0368094511297219E-4</v>
      </c>
      <c r="Z420">
        <v>-3.4534624600346397E-4</v>
      </c>
      <c r="AA420">
        <v>2.4257931646269881E-3</v>
      </c>
      <c r="AC420">
        <v>-8.0084376176507988E-3</v>
      </c>
      <c r="AD420">
        <v>-8.9395641868245113E-3</v>
      </c>
      <c r="AE420">
        <v>-1.0349265157541532E-2</v>
      </c>
      <c r="AF420">
        <v>-1.3322521228944839E-2</v>
      </c>
      <c r="AG420">
        <v>-8.721403655808202E-3</v>
      </c>
      <c r="AH420">
        <v>-4.3026775880602441E-3</v>
      </c>
      <c r="AI420">
        <v>-6.7595829603661617E-3</v>
      </c>
      <c r="AJ420">
        <v>-7.8125E-3</v>
      </c>
      <c r="AK420">
        <v>2.4181305573628409E-2</v>
      </c>
      <c r="AL420">
        <v>1.9351654424180076E-3</v>
      </c>
    </row>
    <row r="421" spans="1:38">
      <c r="A421" s="568">
        <v>44440</v>
      </c>
      <c r="B421">
        <v>2.0427892105048803E-4</v>
      </c>
      <c r="C421">
        <v>3.1891170933406876E-4</v>
      </c>
      <c r="D421">
        <v>2.1660645788701416E-4</v>
      </c>
      <c r="E421">
        <v>2.5839182445919207E-4</v>
      </c>
      <c r="F421">
        <v>2.970759607685558E-4</v>
      </c>
      <c r="G421">
        <v>2.1325308588804326E-4</v>
      </c>
      <c r="H421">
        <v>3.4789767559217921E-4</v>
      </c>
      <c r="I421">
        <v>3.3413035177742856E-4</v>
      </c>
      <c r="J421">
        <v>1.0783891904757592E-3</v>
      </c>
      <c r="K421">
        <v>8.2167527565624177E-4</v>
      </c>
      <c r="L421">
        <v>8.7512531469458033E-4</v>
      </c>
      <c r="M421">
        <v>8.9337793368948759E-4</v>
      </c>
      <c r="N421">
        <v>8.9883746712815515E-4</v>
      </c>
      <c r="O421">
        <v>5.4612392438491142E-4</v>
      </c>
      <c r="P421">
        <v>5.3573019985209136E-4</v>
      </c>
      <c r="Q421">
        <v>5.4958248556946643E-4</v>
      </c>
      <c r="R421">
        <v>1.0176833610253677E-3</v>
      </c>
      <c r="S421">
        <v>2.1950092255880183E-3</v>
      </c>
      <c r="T421">
        <v>-1.264686706943019E-3</v>
      </c>
      <c r="U421">
        <v>5.3025826671257992E-3</v>
      </c>
      <c r="V421">
        <v>1.135608517559783E-3</v>
      </c>
      <c r="W421">
        <v>6.0143603076223684E-4</v>
      </c>
      <c r="X421">
        <v>2.7764999455479611E-3</v>
      </c>
      <c r="Y421">
        <v>1.135608517559783E-3</v>
      </c>
      <c r="Z421">
        <v>1.9600650861115732E-3</v>
      </c>
      <c r="AA421">
        <v>-1.6669805984428354E-3</v>
      </c>
      <c r="AC421">
        <v>5.1739743290659668E-3</v>
      </c>
      <c r="AD421">
        <v>4.266636191672557E-3</v>
      </c>
      <c r="AE421">
        <v>4.675183081663592E-3</v>
      </c>
      <c r="AF421">
        <v>-3.2539949392217382E-3</v>
      </c>
      <c r="AG421">
        <v>1.1105908853237256E-3</v>
      </c>
      <c r="AH421">
        <v>1.0398596563363505E-3</v>
      </c>
      <c r="AI421">
        <v>-5.3449550683410951E-3</v>
      </c>
      <c r="AJ421">
        <v>9.8031496062993551E-3</v>
      </c>
      <c r="AK421">
        <v>9.2112228692429188E-3</v>
      </c>
      <c r="AL421">
        <v>7.6779895527194775E-3</v>
      </c>
    </row>
    <row r="422" spans="1:38">
      <c r="A422" s="568">
        <v>44441</v>
      </c>
      <c r="B422">
        <v>2.0427892105048803E-4</v>
      </c>
      <c r="C422">
        <v>2.3062282987407201E-4</v>
      </c>
      <c r="D422">
        <v>2.165595496901318E-4</v>
      </c>
      <c r="E422">
        <v>2.5839182445919207E-4</v>
      </c>
      <c r="F422">
        <v>2.0676907563443869E-4</v>
      </c>
      <c r="G422">
        <v>2.0106405433573116E-4</v>
      </c>
      <c r="H422">
        <v>3.3184798176688624E-4</v>
      </c>
      <c r="I422">
        <v>3.3631108190657066E-4</v>
      </c>
      <c r="J422">
        <v>-1.6230262803802464E-3</v>
      </c>
      <c r="K422">
        <v>-2.4911120556295741E-3</v>
      </c>
      <c r="L422">
        <v>8.7512531469458033E-4</v>
      </c>
      <c r="M422">
        <v>8.9337793368948759E-4</v>
      </c>
      <c r="N422">
        <v>8.9883746712815515E-4</v>
      </c>
      <c r="O422">
        <v>5.4612392438491142E-4</v>
      </c>
      <c r="P422">
        <v>5.3573019985209136E-4</v>
      </c>
      <c r="Q422">
        <v>5.4958248556946643E-4</v>
      </c>
      <c r="R422">
        <v>1.1138676222570698E-3</v>
      </c>
      <c r="S422">
        <v>1.5136865621367956E-3</v>
      </c>
      <c r="T422">
        <v>-6.3533019016337455E-4</v>
      </c>
      <c r="U422">
        <v>2.8873115671879113E-4</v>
      </c>
      <c r="V422">
        <v>-1.7014805605226613E-3</v>
      </c>
      <c r="W422">
        <v>1.0871656148316866E-3</v>
      </c>
      <c r="X422">
        <v>1.0040406165963134E-3</v>
      </c>
      <c r="Y422">
        <v>-1.7014805605226613E-3</v>
      </c>
      <c r="Z422">
        <v>2.9412369031267538E-3</v>
      </c>
      <c r="AA422">
        <v>-8.3136353479451586E-5</v>
      </c>
      <c r="AC422">
        <v>-2.2769013263470361E-2</v>
      </c>
      <c r="AD422">
        <v>-2.0326450398888696E-2</v>
      </c>
      <c r="AE422">
        <v>-1.9328836967335006E-2</v>
      </c>
      <c r="AF422">
        <v>-1.0618981229859381E-2</v>
      </c>
      <c r="AG422">
        <v>-1.61839342878074E-2</v>
      </c>
      <c r="AH422">
        <v>-1.9730464683272997E-3</v>
      </c>
      <c r="AI422">
        <v>-1.217240205695469E-2</v>
      </c>
      <c r="AJ422">
        <v>-5.0294358454521237E-3</v>
      </c>
      <c r="AK422">
        <v>6.8191355434326084E-3</v>
      </c>
      <c r="AL422">
        <v>9.1748232474511138E-3</v>
      </c>
    </row>
    <row r="423" spans="1:38">
      <c r="A423" s="568">
        <v>44442</v>
      </c>
      <c r="B423">
        <v>2.0427892105048803E-4</v>
      </c>
      <c r="C423">
        <v>2.7788440683473858E-4</v>
      </c>
      <c r="D423">
        <v>1.8191527770272664E-4</v>
      </c>
      <c r="E423">
        <v>2.5839182445919207E-4</v>
      </c>
      <c r="F423">
        <v>2.9174738991821769E-4</v>
      </c>
      <c r="G423">
        <v>1.9620425854993684E-4</v>
      </c>
      <c r="H423">
        <v>3.2443966152118087E-4</v>
      </c>
      <c r="I423">
        <v>3.3484733617616946E-4</v>
      </c>
      <c r="J423">
        <v>4.3965177485949525E-5</v>
      </c>
      <c r="K423">
        <v>3.4907082885582419E-4</v>
      </c>
      <c r="L423">
        <v>8.7512531469458033E-4</v>
      </c>
      <c r="M423">
        <v>8.9337793368948759E-4</v>
      </c>
      <c r="N423">
        <v>8.9883746712815515E-4</v>
      </c>
      <c r="O423">
        <v>5.4612392438491142E-4</v>
      </c>
      <c r="P423">
        <v>5.3573019985209136E-4</v>
      </c>
      <c r="Q423">
        <v>5.4958248556946643E-4</v>
      </c>
      <c r="R423">
        <v>7.1767190077642873E-4</v>
      </c>
      <c r="S423">
        <v>3.5929185066856384E-3</v>
      </c>
      <c r="T423">
        <v>1.0947834124661604E-3</v>
      </c>
      <c r="U423">
        <v>1.831109577048684E-3</v>
      </c>
      <c r="V423">
        <v>9.4770504045116333E-4</v>
      </c>
      <c r="W423">
        <v>-7.784253163511945E-5</v>
      </c>
      <c r="X423">
        <v>2.5318911606901917E-3</v>
      </c>
      <c r="Y423">
        <v>9.4770504045116333E-4</v>
      </c>
      <c r="Z423">
        <v>-1.9907179776225137E-3</v>
      </c>
      <c r="AA423">
        <v>-1.1840758504084725E-3</v>
      </c>
      <c r="AC423">
        <v>2.1954611822647685E-3</v>
      </c>
      <c r="AD423">
        <v>-2.9114398737317693E-3</v>
      </c>
      <c r="AE423">
        <v>2.6793115520180599E-3</v>
      </c>
      <c r="AF423">
        <v>1.731987941144153E-3</v>
      </c>
      <c r="AG423">
        <v>5.6206677345005396E-4</v>
      </c>
      <c r="AH423">
        <v>1.816689531919824E-3</v>
      </c>
      <c r="AI423">
        <v>4.3073773312478636E-3</v>
      </c>
      <c r="AJ423">
        <v>5.0940438871474036E-3</v>
      </c>
      <c r="AK423">
        <v>-6.9813483380223307E-3</v>
      </c>
      <c r="AL423">
        <v>2.3270099673220468E-3</v>
      </c>
    </row>
    <row r="424" spans="1:38">
      <c r="A424" s="568">
        <v>44445</v>
      </c>
      <c r="B424">
        <v>2.0427892105048803E-4</v>
      </c>
      <c r="C424">
        <v>3.0147963475113393E-4</v>
      </c>
      <c r="D424">
        <v>2.2205249030737839E-4</v>
      </c>
      <c r="E424">
        <v>2.5839182445919207E-4</v>
      </c>
      <c r="F424">
        <v>2.9036793889236634E-4</v>
      </c>
      <c r="G424">
        <v>2.5667415345953515E-4</v>
      </c>
      <c r="H424">
        <v>3.3295682239797841E-4</v>
      </c>
      <c r="I424">
        <v>3.8702859308803461E-4</v>
      </c>
      <c r="J424">
        <v>9.4215675653130937E-4</v>
      </c>
      <c r="K424">
        <v>1.3922560754286994E-3</v>
      </c>
      <c r="L424">
        <v>8.7512531469458033E-4</v>
      </c>
      <c r="M424">
        <v>8.9337793368948759E-4</v>
      </c>
      <c r="N424">
        <v>8.9883746712815515E-4</v>
      </c>
      <c r="O424">
        <v>5.4612392438491142E-4</v>
      </c>
      <c r="P424">
        <v>5.3573019985209136E-4</v>
      </c>
      <c r="Q424">
        <v>5.4958248556946643E-4</v>
      </c>
      <c r="R424">
        <v>-3.6686260285523353E-5</v>
      </c>
      <c r="S424">
        <v>2.4817394256118064E-3</v>
      </c>
      <c r="T424">
        <v>-1.2128220564771031E-3</v>
      </c>
      <c r="U424">
        <v>1.3147079324560274E-4</v>
      </c>
      <c r="V424">
        <v>9.0715087703641117E-4</v>
      </c>
      <c r="W424">
        <v>1.1954930565043487E-3</v>
      </c>
      <c r="X424">
        <v>-1.5253663120807781E-3</v>
      </c>
      <c r="Y424">
        <v>9.0715087703641117E-4</v>
      </c>
      <c r="Z424">
        <v>1.1568093790430556E-3</v>
      </c>
      <c r="AA424">
        <v>2.8738379432742267E-3</v>
      </c>
      <c r="AC424">
        <v>7.9993507406448394E-3</v>
      </c>
      <c r="AD424">
        <v>9.2595405660402808E-3</v>
      </c>
      <c r="AE424">
        <v>9.4437967323028893E-3</v>
      </c>
      <c r="AF424">
        <v>5.2532604599211385E-3</v>
      </c>
      <c r="AG424">
        <v>5.616327663660492E-3</v>
      </c>
      <c r="AH424">
        <v>1.2921995195085412E-3</v>
      </c>
      <c r="AI424">
        <v>2.6902384781937183E-3</v>
      </c>
      <c r="AJ424">
        <v>-9.746588693957392E-4</v>
      </c>
      <c r="AK424">
        <v>1.2172088142707205E-2</v>
      </c>
      <c r="AL424">
        <v>3.7599116456958903E-3</v>
      </c>
    </row>
    <row r="425" spans="1:38">
      <c r="A425" s="568">
        <v>44447</v>
      </c>
      <c r="B425">
        <v>2.0427892105048803E-4</v>
      </c>
      <c r="C425">
        <v>2.1150908411282643E-4</v>
      </c>
      <c r="D425">
        <v>2.2590777273334695E-4</v>
      </c>
      <c r="E425">
        <v>2.5839182445919207E-4</v>
      </c>
      <c r="F425">
        <v>1.6390458682669085E-4</v>
      </c>
      <c r="G425">
        <v>1.8073746257751822E-4</v>
      </c>
      <c r="H425">
        <v>3.3218295921311203E-4</v>
      </c>
      <c r="I425">
        <v>3.6063416569254159E-4</v>
      </c>
      <c r="J425">
        <v>-1.6569174363957329E-3</v>
      </c>
      <c r="K425">
        <v>-2.6359787671490498E-3</v>
      </c>
      <c r="L425">
        <v>8.7512531469458033E-4</v>
      </c>
      <c r="M425">
        <v>8.9337793368948759E-4</v>
      </c>
      <c r="N425">
        <v>8.9883746712815515E-4</v>
      </c>
      <c r="O425">
        <v>5.4612392438491142E-4</v>
      </c>
      <c r="P425">
        <v>5.3573019985209136E-4</v>
      </c>
      <c r="Q425">
        <v>5.4958248556946643E-4</v>
      </c>
      <c r="R425">
        <v>-6.0593723815693945E-4</v>
      </c>
      <c r="S425">
        <v>-2.3748347556937777E-3</v>
      </c>
      <c r="T425">
        <v>4.9506910228072076E-3</v>
      </c>
      <c r="U425">
        <v>9.0886160781500358E-4</v>
      </c>
      <c r="V425">
        <v>-4.308775787651653E-3</v>
      </c>
      <c r="W425">
        <v>-3.3608921779462175E-3</v>
      </c>
      <c r="X425">
        <v>4.9516648373719718E-3</v>
      </c>
      <c r="Y425">
        <v>-4.308775787651653E-3</v>
      </c>
      <c r="Z425">
        <v>-1.8108490411526956E-3</v>
      </c>
      <c r="AA425">
        <v>-3.5546755344395553E-4</v>
      </c>
      <c r="AC425">
        <v>-3.7803018496100349E-2</v>
      </c>
      <c r="AD425">
        <v>-3.1916845966237117E-2</v>
      </c>
      <c r="AE425">
        <v>-3.6169736028558108E-2</v>
      </c>
      <c r="AF425">
        <v>-1.1770738967519789E-2</v>
      </c>
      <c r="AG425">
        <v>-2.7889687123695439E-2</v>
      </c>
      <c r="AH425">
        <v>-4.1490762821104754E-3</v>
      </c>
      <c r="AI425">
        <v>-1.9171193266457776E-2</v>
      </c>
      <c r="AJ425">
        <v>2.0487804878048799E-2</v>
      </c>
      <c r="AK425">
        <v>9.6413020941323868E-3</v>
      </c>
      <c r="AL425">
        <v>1.854982920495174E-2</v>
      </c>
    </row>
    <row r="426" spans="1:38">
      <c r="A426" s="568">
        <v>44448</v>
      </c>
      <c r="B426">
        <v>2.0427892105048803E-4</v>
      </c>
      <c r="C426">
        <v>1.9516063013957918E-4</v>
      </c>
      <c r="D426">
        <v>2.8943124251323837E-4</v>
      </c>
      <c r="E426">
        <v>2.5839182445919207E-4</v>
      </c>
      <c r="F426">
        <v>9.4445321334291066E-5</v>
      </c>
      <c r="G426">
        <v>3.4547868433554285E-4</v>
      </c>
      <c r="H426">
        <v>3.3803802728948895E-4</v>
      </c>
      <c r="I426">
        <v>3.3509101766093785E-4</v>
      </c>
      <c r="J426">
        <v>2.2417250135520206E-3</v>
      </c>
      <c r="K426">
        <v>2.5899514222063047E-3</v>
      </c>
      <c r="L426">
        <v>8.7512531469458033E-4</v>
      </c>
      <c r="M426">
        <v>8.9337793368948759E-4</v>
      </c>
      <c r="N426">
        <v>8.9883746712815515E-4</v>
      </c>
      <c r="O426">
        <v>5.4612392438491142E-4</v>
      </c>
      <c r="P426">
        <v>5.3573019985209136E-4</v>
      </c>
      <c r="Q426">
        <v>5.4958248556946643E-4</v>
      </c>
      <c r="R426">
        <v>1.1403737299575667E-3</v>
      </c>
      <c r="S426">
        <v>-2.5046051361582444E-3</v>
      </c>
      <c r="T426">
        <v>1.747674586975112E-3</v>
      </c>
      <c r="U426">
        <v>5.3460957223752104E-3</v>
      </c>
      <c r="V426">
        <v>1.5618510421875342E-3</v>
      </c>
      <c r="W426">
        <v>1.8064131759591984E-3</v>
      </c>
      <c r="X426">
        <v>-2.8509603223627611E-3</v>
      </c>
      <c r="Y426">
        <v>1.5618510421875342E-3</v>
      </c>
      <c r="Z426">
        <v>1.5687175333988002E-2</v>
      </c>
      <c r="AA426">
        <v>3.2176316011311989E-4</v>
      </c>
      <c r="AC426">
        <v>1.71763620415466E-2</v>
      </c>
      <c r="AD426">
        <v>1.1617463895665425E-2</v>
      </c>
      <c r="AE426">
        <v>1.6035492310942034E-2</v>
      </c>
      <c r="AF426">
        <v>-1.1522699763262256E-3</v>
      </c>
      <c r="AG426">
        <v>1.226880503819805E-2</v>
      </c>
      <c r="AH426">
        <v>5.4765872902817758E-3</v>
      </c>
      <c r="AI426">
        <v>-9.9338603219004673E-3</v>
      </c>
      <c r="AJ426">
        <v>-2.1032504780114758E-2</v>
      </c>
      <c r="AK426">
        <v>-2.4951227025362011E-2</v>
      </c>
      <c r="AL426">
        <v>-2.9607507971751712E-3</v>
      </c>
    </row>
    <row r="427" spans="1:38">
      <c r="A427" s="568">
        <v>44449</v>
      </c>
      <c r="B427">
        <v>2.0427892105048803E-4</v>
      </c>
      <c r="C427">
        <v>6.0245470148689861E-4</v>
      </c>
      <c r="D427">
        <v>2.3861412026926487E-4</v>
      </c>
      <c r="E427">
        <v>2.5839182445919207E-4</v>
      </c>
      <c r="F427">
        <v>6.9727699749155825E-4</v>
      </c>
      <c r="G427">
        <v>3.1323076376099657E-4</v>
      </c>
      <c r="H427">
        <v>3.4057417891153463E-4</v>
      </c>
      <c r="I427">
        <v>3.4331139831778046E-4</v>
      </c>
      <c r="J427">
        <v>5.1996278216148717E-4</v>
      </c>
      <c r="K427">
        <v>-6.9173267195465904E-5</v>
      </c>
      <c r="L427">
        <v>8.7512531469458033E-4</v>
      </c>
      <c r="M427">
        <v>8.9337793368948759E-4</v>
      </c>
      <c r="N427">
        <v>8.9883746712815515E-4</v>
      </c>
      <c r="O427">
        <v>5.4612392438491142E-4</v>
      </c>
      <c r="P427">
        <v>5.3573019985209136E-4</v>
      </c>
      <c r="Q427">
        <v>5.4958248556946643E-4</v>
      </c>
      <c r="R427">
        <v>5.3346076461124881E-4</v>
      </c>
      <c r="S427">
        <v>2.7599653710126404E-3</v>
      </c>
      <c r="T427">
        <v>-2.4507044975174974E-4</v>
      </c>
      <c r="U427">
        <v>-3.2561555765752148E-3</v>
      </c>
      <c r="V427">
        <v>-5.8353922749332376E-4</v>
      </c>
      <c r="W427">
        <v>-1.8761317376683184E-3</v>
      </c>
      <c r="X427">
        <v>4.1434261018278296E-3</v>
      </c>
      <c r="Y427">
        <v>-5.8353922749332376E-4</v>
      </c>
      <c r="Z427">
        <v>-3.7046719659843408E-3</v>
      </c>
      <c r="AA427">
        <v>-1.8690838913185681E-3</v>
      </c>
      <c r="AC427">
        <v>-9.3179783853900577E-3</v>
      </c>
      <c r="AD427">
        <v>-7.3507745701696381E-3</v>
      </c>
      <c r="AE427">
        <v>-7.0534949182960993E-3</v>
      </c>
      <c r="AF427">
        <v>6.1012316352915263E-4</v>
      </c>
      <c r="AG427">
        <v>-4.2120980707184286E-3</v>
      </c>
      <c r="AH427">
        <v>-1.3823074206298358E-4</v>
      </c>
      <c r="AI427">
        <v>-2.0046567438104512E-3</v>
      </c>
      <c r="AJ427">
        <v>0</v>
      </c>
      <c r="AK427">
        <v>1.3900589721988377E-2</v>
      </c>
      <c r="AL427">
        <v>9.2921596639681248E-3</v>
      </c>
    </row>
    <row r="428" spans="1:38">
      <c r="A428" s="568">
        <v>44452</v>
      </c>
      <c r="B428">
        <v>2.0427892105048803E-4</v>
      </c>
      <c r="C428">
        <v>2.8325660882400072E-4</v>
      </c>
      <c r="D428">
        <v>2.2852441783416388E-4</v>
      </c>
      <c r="E428">
        <v>2.5839182445919207E-4</v>
      </c>
      <c r="F428">
        <v>3.11552254164571E-4</v>
      </c>
      <c r="G428">
        <v>5.0667700137174698E-4</v>
      </c>
      <c r="H428">
        <v>3.1926238466484236E-4</v>
      </c>
      <c r="I428">
        <v>3.7618816976259239E-4</v>
      </c>
      <c r="J428">
        <v>1.0032590904196503E-3</v>
      </c>
      <c r="K428">
        <v>1.4362724081764533E-3</v>
      </c>
      <c r="L428">
        <v>8.7512531469458033E-4</v>
      </c>
      <c r="M428">
        <v>8.9337793368948759E-4</v>
      </c>
      <c r="N428">
        <v>8.9883746712815515E-4</v>
      </c>
      <c r="O428">
        <v>5.4612392438491142E-4</v>
      </c>
      <c r="P428">
        <v>5.3573019985209136E-4</v>
      </c>
      <c r="Q428">
        <v>5.4958248556946643E-4</v>
      </c>
      <c r="R428">
        <v>6.7799695935799598E-4</v>
      </c>
      <c r="S428">
        <v>3.3020462859623123E-3</v>
      </c>
      <c r="T428">
        <v>-1.2759124554152512E-3</v>
      </c>
      <c r="U428">
        <v>1.6467806439253163E-3</v>
      </c>
      <c r="V428">
        <v>2.6311866428143649E-3</v>
      </c>
      <c r="W428">
        <v>1.0126692783638536E-3</v>
      </c>
      <c r="X428">
        <v>-2.7197013733716302E-3</v>
      </c>
      <c r="Y428">
        <v>2.6311866428143649E-3</v>
      </c>
      <c r="Z428">
        <v>1.2030926908652706E-3</v>
      </c>
      <c r="AA428">
        <v>1.7745708356613488E-3</v>
      </c>
      <c r="AC428">
        <v>1.8530627523440701E-2</v>
      </c>
      <c r="AD428">
        <v>1.4124907904712103E-2</v>
      </c>
      <c r="AE428">
        <v>1.6055741396226786E-2</v>
      </c>
      <c r="AF428">
        <v>1.0134548768119922E-2</v>
      </c>
      <c r="AG428">
        <v>1.3448857879518439E-2</v>
      </c>
      <c r="AH428">
        <v>2.9691144025025817E-3</v>
      </c>
      <c r="AI428">
        <v>7.0476122719043133E-3</v>
      </c>
      <c r="AJ428">
        <v>-1.2304687500000022E-2</v>
      </c>
      <c r="AK428">
        <v>-1.5787287079351842E-2</v>
      </c>
      <c r="AL428">
        <v>-1.2069391942258201E-2</v>
      </c>
    </row>
    <row r="429" spans="1:38">
      <c r="A429" s="568">
        <v>44453</v>
      </c>
      <c r="B429">
        <v>2.0427892105048803E-4</v>
      </c>
      <c r="C429">
        <v>2.9830538964392694E-4</v>
      </c>
      <c r="D429">
        <v>1.805487679495954E-4</v>
      </c>
      <c r="E429">
        <v>2.5839182445919207E-4</v>
      </c>
      <c r="F429">
        <v>3.0154723888276003E-4</v>
      </c>
      <c r="G429">
        <v>2.7319318051355346E-4</v>
      </c>
      <c r="H429">
        <v>3.3174150384174261E-4</v>
      </c>
      <c r="I429">
        <v>3.2816299563487306E-4</v>
      </c>
      <c r="J429">
        <v>2.5413324154632821E-3</v>
      </c>
      <c r="K429">
        <v>3.3597691932394369E-3</v>
      </c>
      <c r="L429">
        <v>8.7512531469458033E-4</v>
      </c>
      <c r="M429">
        <v>8.9337793368948759E-4</v>
      </c>
      <c r="N429">
        <v>8.9883746712815515E-4</v>
      </c>
      <c r="O429">
        <v>5.4612392438491142E-4</v>
      </c>
      <c r="P429">
        <v>5.3573019985209136E-4</v>
      </c>
      <c r="Q429">
        <v>5.4958248556946643E-4</v>
      </c>
      <c r="R429">
        <v>8.1517164383981822E-5</v>
      </c>
      <c r="S429">
        <v>-3.925798649125456E-3</v>
      </c>
      <c r="T429">
        <v>-2.5576732373613353E-3</v>
      </c>
      <c r="U429">
        <v>-1.8104472082158818E-3</v>
      </c>
      <c r="V429">
        <v>-2.1063639449969696E-4</v>
      </c>
      <c r="W429">
        <v>-4.2902243278775121E-3</v>
      </c>
      <c r="X429">
        <v>-6.1944838632799204E-4</v>
      </c>
      <c r="Y429">
        <v>-2.1063639449969696E-4</v>
      </c>
      <c r="Z429">
        <v>-7.6277386610635878E-3</v>
      </c>
      <c r="AA429">
        <v>3.9006406232118263E-3</v>
      </c>
      <c r="AC429">
        <v>-1.9172067696805462E-3</v>
      </c>
      <c r="AD429">
        <v>1.9941913648777732E-3</v>
      </c>
      <c r="AE429">
        <v>6.3659997509390998E-4</v>
      </c>
      <c r="AF429">
        <v>9.1459164390950143E-3</v>
      </c>
      <c r="AG429">
        <v>7.7288083661897211E-4</v>
      </c>
      <c r="AH429">
        <v>2.5435684269676795E-3</v>
      </c>
      <c r="AI429">
        <v>3.4859983194250876E-3</v>
      </c>
      <c r="AJ429">
        <v>4.5481510777141132E-3</v>
      </c>
      <c r="AK429">
        <v>-1.4457577036724456E-2</v>
      </c>
      <c r="AL429">
        <v>2.0089432565578713E-2</v>
      </c>
    </row>
    <row r="430" spans="1:38">
      <c r="A430" s="568">
        <v>44454</v>
      </c>
      <c r="B430">
        <v>2.0427892105048803E-4</v>
      </c>
      <c r="C430">
        <v>3.5405269783450599E-4</v>
      </c>
      <c r="D430">
        <v>1.8831625765458604E-4</v>
      </c>
      <c r="E430">
        <v>2.5839182445919207E-4</v>
      </c>
      <c r="F430">
        <v>3.0791611417613218E-4</v>
      </c>
      <c r="G430">
        <v>5.7083907609900564E-4</v>
      </c>
      <c r="H430">
        <v>3.3229342701091014E-4</v>
      </c>
      <c r="I430">
        <v>3.2745557533520042E-4</v>
      </c>
      <c r="J430">
        <v>9.0733168238288364E-4</v>
      </c>
      <c r="K430">
        <v>7.1753180307454478E-4</v>
      </c>
      <c r="L430">
        <v>8.7512531469458033E-4</v>
      </c>
      <c r="M430">
        <v>8.9337793368948759E-4</v>
      </c>
      <c r="N430">
        <v>8.9883746712815515E-4</v>
      </c>
      <c r="O430">
        <v>5.4612392438491142E-4</v>
      </c>
      <c r="P430">
        <v>5.3573019985209136E-4</v>
      </c>
      <c r="Q430">
        <v>5.4958248556946643E-4</v>
      </c>
      <c r="R430">
        <v>2.7052042104314111E-4</v>
      </c>
      <c r="S430">
        <v>6.3648080265032991E-3</v>
      </c>
      <c r="T430">
        <v>-4.4113277707369392E-5</v>
      </c>
      <c r="U430">
        <v>1.7590726663370138E-3</v>
      </c>
      <c r="V430">
        <v>1.8911697492156598E-3</v>
      </c>
      <c r="W430">
        <v>2.2559004579132402E-3</v>
      </c>
      <c r="X430">
        <v>3.896788325090883E-3</v>
      </c>
      <c r="Y430">
        <v>1.8911697492156598E-3</v>
      </c>
      <c r="Z430">
        <v>1.4924261242839076E-3</v>
      </c>
      <c r="AA430">
        <v>2.2302716787812038E-3</v>
      </c>
      <c r="AC430">
        <v>-9.6230393125183999E-3</v>
      </c>
      <c r="AD430">
        <v>-3.8459420687637635E-3</v>
      </c>
      <c r="AE430">
        <v>-3.1495540281707424E-3</v>
      </c>
      <c r="AF430">
        <v>5.2565160054829363E-4</v>
      </c>
      <c r="AG430">
        <v>7.9747653972472854E-4</v>
      </c>
      <c r="AH430">
        <v>6.3844614300698765E-3</v>
      </c>
      <c r="AI430">
        <v>-1.3960309756673173E-3</v>
      </c>
      <c r="AJ430">
        <v>6.4960629921260171E-3</v>
      </c>
      <c r="AK430">
        <v>-1.7560766677374495E-2</v>
      </c>
      <c r="AL430">
        <v>-7.4888580037781871E-3</v>
      </c>
    </row>
    <row r="431" spans="1:38">
      <c r="A431" s="568">
        <v>44455</v>
      </c>
      <c r="B431">
        <v>2.0427892105048803E-4</v>
      </c>
      <c r="C431">
        <v>2.7204074335673845E-4</v>
      </c>
      <c r="D431">
        <v>1.9663645818202014E-4</v>
      </c>
      <c r="E431">
        <v>2.5839182445919207E-4</v>
      </c>
      <c r="F431">
        <v>3.1729275659819756E-4</v>
      </c>
      <c r="G431">
        <v>3.4811300750225982E-4</v>
      </c>
      <c r="H431">
        <v>3.3152132555591685E-4</v>
      </c>
      <c r="I431">
        <v>3.5030804010127703E-4</v>
      </c>
      <c r="J431">
        <v>-7.0631451240643628E-5</v>
      </c>
      <c r="K431">
        <v>-1.4569896614857747E-5</v>
      </c>
      <c r="L431">
        <v>8.7512531469458033E-4</v>
      </c>
      <c r="M431">
        <v>8.9337793368948759E-4</v>
      </c>
      <c r="N431">
        <v>8.9883746712815515E-4</v>
      </c>
      <c r="O431">
        <v>5.4612392438491142E-4</v>
      </c>
      <c r="P431">
        <v>5.3573019985209136E-4</v>
      </c>
      <c r="Q431">
        <v>5.4958248556946643E-4</v>
      </c>
      <c r="R431">
        <v>2.7221874813609936E-4</v>
      </c>
      <c r="S431">
        <v>-6.4744478495137869E-4</v>
      </c>
      <c r="T431">
        <v>4.3516601419779644E-3</v>
      </c>
      <c r="U431">
        <v>2.878236777224874E-3</v>
      </c>
      <c r="V431">
        <v>-1.6822647241465649E-4</v>
      </c>
      <c r="W431">
        <v>-7.4608686723254269E-4</v>
      </c>
      <c r="X431">
        <v>4.456830072185225E-3</v>
      </c>
      <c r="Y431">
        <v>-1.6822647241465649E-4</v>
      </c>
      <c r="Z431">
        <v>2.2241079871587743E-4</v>
      </c>
      <c r="AA431">
        <v>4.6380964107228806E-4</v>
      </c>
      <c r="AC431">
        <v>-1.1022353582669009E-2</v>
      </c>
      <c r="AD431">
        <v>-8.2994336241514199E-3</v>
      </c>
      <c r="AE431">
        <v>-8.3390785434865888E-3</v>
      </c>
      <c r="AF431">
        <v>-9.6482156578407974E-3</v>
      </c>
      <c r="AG431">
        <v>-8.0177545355440971E-3</v>
      </c>
      <c r="AH431">
        <v>5.4554913091851009E-3</v>
      </c>
      <c r="AI431">
        <v>2.2287463188457313E-3</v>
      </c>
      <c r="AJ431">
        <v>2.7381185214161441E-3</v>
      </c>
      <c r="AK431">
        <v>-1.5476839237057227E-2</v>
      </c>
      <c r="AL431">
        <v>3.7990234220310892E-3</v>
      </c>
    </row>
    <row r="432" spans="1:38">
      <c r="A432" s="568">
        <v>44456</v>
      </c>
      <c r="B432">
        <v>2.0427892105048803E-4</v>
      </c>
      <c r="C432">
        <v>2.2807109492628541E-4</v>
      </c>
      <c r="D432">
        <v>2.238875794744466E-4</v>
      </c>
      <c r="E432">
        <v>2.5839182445919207E-4</v>
      </c>
      <c r="F432">
        <v>3.1288828597042517E-4</v>
      </c>
      <c r="G432">
        <v>2.2786721827894318E-4</v>
      </c>
      <c r="H432">
        <v>3.3141145559079099E-4</v>
      </c>
      <c r="I432">
        <v>3.3053402552973843E-4</v>
      </c>
      <c r="J432">
        <v>8.4070364641863904E-5</v>
      </c>
      <c r="K432">
        <v>-5.0883875213569851E-5</v>
      </c>
      <c r="L432">
        <v>8.7512531469458033E-4</v>
      </c>
      <c r="M432">
        <v>8.9337793368948759E-4</v>
      </c>
      <c r="N432">
        <v>8.9883746712815515E-4</v>
      </c>
      <c r="O432">
        <v>5.4612392438491142E-4</v>
      </c>
      <c r="P432">
        <v>5.3573019985209136E-4</v>
      </c>
      <c r="Q432">
        <v>5.4958248556946643E-4</v>
      </c>
      <c r="R432">
        <v>-4.9942383255241474E-4</v>
      </c>
      <c r="S432">
        <v>-5.0512468609680283E-3</v>
      </c>
      <c r="T432">
        <v>6.2793819365034587E-3</v>
      </c>
      <c r="U432">
        <v>-1.7317281878675983E-3</v>
      </c>
      <c r="V432">
        <v>-1.949775948969279E-3</v>
      </c>
      <c r="W432">
        <v>-3.6474047837683488E-3</v>
      </c>
      <c r="X432">
        <v>4.4874248574346964E-3</v>
      </c>
      <c r="Y432">
        <v>-1.949775948969279E-3</v>
      </c>
      <c r="Z432">
        <v>-2.6514227270703072E-3</v>
      </c>
      <c r="AA432">
        <v>-3.758058952391341E-3</v>
      </c>
      <c r="AC432">
        <v>-2.0694449668296144E-2</v>
      </c>
      <c r="AD432">
        <v>-1.7484703623328324E-2</v>
      </c>
      <c r="AE432">
        <v>-1.8894025587375296E-2</v>
      </c>
      <c r="AF432">
        <v>-1.194622606935225E-2</v>
      </c>
      <c r="AG432">
        <v>-1.0388657510332133E-2</v>
      </c>
      <c r="AH432">
        <v>-4.2594668564474025E-3</v>
      </c>
      <c r="AI432">
        <v>-9.1068063562986801E-3</v>
      </c>
      <c r="AJ432">
        <v>-7.1386775892334775E-3</v>
      </c>
      <c r="AK432">
        <v>1.4945200929923796E-2</v>
      </c>
      <c r="AL432">
        <v>-2.284964322703642E-3</v>
      </c>
    </row>
    <row r="433" spans="1:38">
      <c r="A433" s="568">
        <v>44459</v>
      </c>
      <c r="B433">
        <v>2.0427892105048803E-4</v>
      </c>
      <c r="C433">
        <v>2.8711119159119391E-4</v>
      </c>
      <c r="D433">
        <v>2.0267869969359253E-4</v>
      </c>
      <c r="E433">
        <v>2.5839182445919207E-4</v>
      </c>
      <c r="F433">
        <v>3.1408116201414593E-4</v>
      </c>
      <c r="G433">
        <v>3.989077429304988E-4</v>
      </c>
      <c r="H433">
        <v>3.3064037767083221E-4</v>
      </c>
      <c r="I433">
        <v>3.807655948608879E-4</v>
      </c>
      <c r="J433">
        <v>7.5570304475536254E-4</v>
      </c>
      <c r="K433">
        <v>6.1921653400176524E-4</v>
      </c>
      <c r="L433">
        <v>8.7512531469458033E-4</v>
      </c>
      <c r="M433">
        <v>8.9337793368948759E-4</v>
      </c>
      <c r="N433">
        <v>8.9883746712815515E-4</v>
      </c>
      <c r="O433">
        <v>5.4612392438491142E-4</v>
      </c>
      <c r="P433">
        <v>5.3573019985209136E-4</v>
      </c>
      <c r="Q433">
        <v>5.4958248556946643E-4</v>
      </c>
      <c r="R433">
        <v>-2.6519308300839706E-3</v>
      </c>
      <c r="S433">
        <v>-5.2860257166117419E-3</v>
      </c>
      <c r="T433">
        <v>-5.9177535056104125E-3</v>
      </c>
      <c r="U433">
        <v>-3.9396855951235876E-3</v>
      </c>
      <c r="V433">
        <v>-6.5350889153884539E-3</v>
      </c>
      <c r="W433">
        <v>-7.2244132392901284E-3</v>
      </c>
      <c r="X433">
        <v>-4.295229494156505E-3</v>
      </c>
      <c r="Y433">
        <v>-6.5350889153884539E-3</v>
      </c>
      <c r="Z433">
        <v>-6.5332060791710722E-3</v>
      </c>
      <c r="AA433">
        <v>-2.9121053764619154E-3</v>
      </c>
      <c r="AC433">
        <v>-2.3291858164668278E-2</v>
      </c>
      <c r="AD433">
        <v>-2.5663677341713709E-2</v>
      </c>
      <c r="AE433">
        <v>-2.4553967567933155E-2</v>
      </c>
      <c r="AF433">
        <v>-2.7499109887025086E-2</v>
      </c>
      <c r="AG433">
        <v>-1.748467093768713E-2</v>
      </c>
      <c r="AH433">
        <v>-4.9060184792999451E-3</v>
      </c>
      <c r="AI433">
        <v>-1.8266226696731613E-2</v>
      </c>
      <c r="AJ433">
        <v>-8.2115354392582329E-3</v>
      </c>
      <c r="AK433">
        <v>-2.7159685863874405E-2</v>
      </c>
      <c r="AL433">
        <v>4.7829257051230645E-3</v>
      </c>
    </row>
    <row r="434" spans="1:38">
      <c r="A434" s="568">
        <v>44460</v>
      </c>
      <c r="B434">
        <v>2.0427892105048803E-4</v>
      </c>
      <c r="C434">
        <v>2.9484970666970867E-4</v>
      </c>
      <c r="D434">
        <v>2.3937961710385203E-4</v>
      </c>
      <c r="E434">
        <v>2.5839182445919207E-4</v>
      </c>
      <c r="F434">
        <v>3.2516548600636241E-4</v>
      </c>
      <c r="G434">
        <v>2.3769779984550432E-4</v>
      </c>
      <c r="H434">
        <v>3.3185321510886823E-4</v>
      </c>
      <c r="I434">
        <v>3.3845801544241105E-4</v>
      </c>
      <c r="J434">
        <v>1.9196123468996351E-3</v>
      </c>
      <c r="K434">
        <v>2.7612876571609934E-3</v>
      </c>
      <c r="L434">
        <v>8.7512531469458033E-4</v>
      </c>
      <c r="M434">
        <v>8.9337793368948759E-4</v>
      </c>
      <c r="N434">
        <v>8.9883746712815515E-4</v>
      </c>
      <c r="O434">
        <v>5.4612392438491142E-4</v>
      </c>
      <c r="P434">
        <v>5.3573019985209136E-4</v>
      </c>
      <c r="Q434">
        <v>5.4958248556946643E-4</v>
      </c>
      <c r="R434">
        <v>1.3277145307162286E-3</v>
      </c>
      <c r="S434">
        <v>1.7996335964869381E-3</v>
      </c>
      <c r="T434">
        <v>-6.7514304523552671E-4</v>
      </c>
      <c r="U434">
        <v>6.0735879961670847E-4</v>
      </c>
      <c r="V434">
        <v>2.6926196269261293E-3</v>
      </c>
      <c r="W434">
        <v>1.6632793237247867E-4</v>
      </c>
      <c r="X434">
        <v>3.2457468620528118E-4</v>
      </c>
      <c r="Y434">
        <v>2.6926196269261293E-3</v>
      </c>
      <c r="Z434">
        <v>-1.5468319566144251E-3</v>
      </c>
      <c r="AA434">
        <v>-9.8930165421173832E-4</v>
      </c>
      <c r="AC434">
        <v>1.2917509082286172E-2</v>
      </c>
      <c r="AD434">
        <v>8.669955030191856E-3</v>
      </c>
      <c r="AE434">
        <v>1.3003622555165961E-2</v>
      </c>
      <c r="AF434">
        <v>7.442760073735899E-3</v>
      </c>
      <c r="AG434">
        <v>1.1047632127889617E-2</v>
      </c>
      <c r="AH434">
        <v>3.600057131256218E-3</v>
      </c>
      <c r="AI434">
        <v>7.0088537838506326E-3</v>
      </c>
      <c r="AJ434">
        <v>-9.9433506318583609E-3</v>
      </c>
      <c r="AK434">
        <v>-1.121201928466764E-4</v>
      </c>
      <c r="AL434">
        <v>-2.0928462192594699E-2</v>
      </c>
    </row>
    <row r="435" spans="1:38">
      <c r="A435" s="568">
        <v>44461</v>
      </c>
      <c r="B435">
        <v>2.0427892105048803E-4</v>
      </c>
      <c r="C435">
        <v>3.5251885644860259E-4</v>
      </c>
      <c r="D435">
        <v>2.6102830682228628E-4</v>
      </c>
      <c r="E435">
        <v>2.5839182445919207E-4</v>
      </c>
      <c r="F435">
        <v>3.6031759545185338E-4</v>
      </c>
      <c r="G435">
        <v>3.1750135023478343E-4</v>
      </c>
      <c r="H435">
        <v>3.3174312508621462E-4</v>
      </c>
      <c r="I435">
        <v>3.3850127801993146E-4</v>
      </c>
      <c r="J435">
        <v>-2.2714286344005519E-4</v>
      </c>
      <c r="K435">
        <v>-2.6391771018985377E-4</v>
      </c>
      <c r="L435">
        <v>8.7512531469458033E-4</v>
      </c>
      <c r="M435">
        <v>8.9337793368948759E-4</v>
      </c>
      <c r="N435">
        <v>8.9883746712815515E-4</v>
      </c>
      <c r="O435">
        <v>5.4612392438491142E-4</v>
      </c>
      <c r="P435">
        <v>5.3573019985209136E-4</v>
      </c>
      <c r="Q435">
        <v>5.4958248556946643E-4</v>
      </c>
      <c r="R435">
        <v>9.4212524055836688E-4</v>
      </c>
      <c r="S435">
        <v>6.593034740523418E-3</v>
      </c>
      <c r="T435">
        <v>3.061696079354137E-3</v>
      </c>
      <c r="U435">
        <v>1.693166286128811E-3</v>
      </c>
      <c r="V435">
        <v>2.45642153885961E-3</v>
      </c>
      <c r="W435">
        <v>1.3978062728903229E-3</v>
      </c>
      <c r="X435">
        <v>8.7674490394773485E-4</v>
      </c>
      <c r="Y435">
        <v>2.45642153885961E-3</v>
      </c>
      <c r="Z435">
        <v>6.2602703632341772E-5</v>
      </c>
      <c r="AA435">
        <v>6.0020911419864653E-3</v>
      </c>
      <c r="AC435">
        <v>1.8435872813475473E-2</v>
      </c>
      <c r="AD435">
        <v>1.7879355494542448E-2</v>
      </c>
      <c r="AE435">
        <v>1.838982366434383E-2</v>
      </c>
      <c r="AF435">
        <v>1.1523945923576751E-2</v>
      </c>
      <c r="AG435">
        <v>9.5156446684181439E-3</v>
      </c>
      <c r="AH435">
        <v>4.5854163296430439E-3</v>
      </c>
      <c r="AI435">
        <v>1.7356851995616429E-2</v>
      </c>
      <c r="AJ435">
        <v>1.2363956466069137E-2</v>
      </c>
      <c r="AK435">
        <v>3.2518501906255715E-3</v>
      </c>
      <c r="AL435">
        <v>1.3959475278156885E-2</v>
      </c>
    </row>
    <row r="436" spans="1:38">
      <c r="A436" s="568">
        <v>44462</v>
      </c>
      <c r="B436">
        <v>2.4278699229167143E-4</v>
      </c>
      <c r="C436">
        <v>3.4656935632004782E-4</v>
      </c>
      <c r="D436">
        <v>2.0865686739823808E-4</v>
      </c>
      <c r="E436">
        <v>2.95962894151236E-4</v>
      </c>
      <c r="F436">
        <v>3.6190708701755447E-4</v>
      </c>
      <c r="G436">
        <v>2.9395778766150293E-4</v>
      </c>
      <c r="H436">
        <v>3.3097248436120275E-4</v>
      </c>
      <c r="I436">
        <v>3.3825554655075862E-4</v>
      </c>
      <c r="J436">
        <v>-3.3292461958989161E-4</v>
      </c>
      <c r="K436">
        <v>-7.9740923150251053E-4</v>
      </c>
      <c r="L436">
        <v>8.7512531469458033E-4</v>
      </c>
      <c r="M436">
        <v>8.9337793368948759E-4</v>
      </c>
      <c r="N436">
        <v>8.9883746712815515E-4</v>
      </c>
      <c r="O436">
        <v>5.4612392438491142E-4</v>
      </c>
      <c r="P436">
        <v>5.3573019985209136E-4</v>
      </c>
      <c r="Q436">
        <v>5.4958248556946643E-4</v>
      </c>
      <c r="R436">
        <v>1.1817181118090048E-6</v>
      </c>
      <c r="S436">
        <v>7.9504640907688273E-3</v>
      </c>
      <c r="T436">
        <v>7.5164586418645651E-3</v>
      </c>
      <c r="U436">
        <v>6.805174871872488E-3</v>
      </c>
      <c r="V436">
        <v>5.4072707682149002E-3</v>
      </c>
      <c r="W436">
        <v>5.5343173468380691E-3</v>
      </c>
      <c r="X436">
        <v>6.1686145296544481E-3</v>
      </c>
      <c r="Y436">
        <v>5.4072707682149002E-3</v>
      </c>
      <c r="Z436">
        <v>3.5620971145982061E-3</v>
      </c>
      <c r="AA436">
        <v>5.3899955935172716E-3</v>
      </c>
      <c r="AC436">
        <v>1.5871426907255515E-2</v>
      </c>
      <c r="AD436">
        <v>1.544455447151849E-2</v>
      </c>
      <c r="AE436">
        <v>1.2877760462766119E-2</v>
      </c>
      <c r="AF436">
        <v>9.9383158519474879E-3</v>
      </c>
      <c r="AG436">
        <v>1.1142025903161601E-2</v>
      </c>
      <c r="AH436">
        <v>8.004269551073806E-3</v>
      </c>
      <c r="AI436">
        <v>2.2196538061245219E-2</v>
      </c>
      <c r="AJ436">
        <v>1.6560610252559282E-2</v>
      </c>
      <c r="AK436">
        <v>1.0618084274058415E-2</v>
      </c>
      <c r="AL436">
        <v>1.4577885697197646E-2</v>
      </c>
    </row>
    <row r="437" spans="1:38">
      <c r="A437" s="568">
        <v>44463</v>
      </c>
      <c r="B437">
        <v>2.4278699229167143E-4</v>
      </c>
      <c r="C437">
        <v>2.9803700961861246E-4</v>
      </c>
      <c r="D437">
        <v>2.5701163339242328E-4</v>
      </c>
      <c r="E437">
        <v>2.95962894151236E-4</v>
      </c>
      <c r="F437">
        <v>2.9818604918951941E-4</v>
      </c>
      <c r="G437">
        <v>3.36037565346059E-4</v>
      </c>
      <c r="H437">
        <v>3.6652485566857074E-4</v>
      </c>
      <c r="I437">
        <v>3.7788612117028997E-4</v>
      </c>
      <c r="J437">
        <v>5.8270401645477143E-4</v>
      </c>
      <c r="K437">
        <v>7.6532957277763991E-4</v>
      </c>
      <c r="L437">
        <v>8.7512531469458033E-4</v>
      </c>
      <c r="M437">
        <v>8.9337793368948759E-4</v>
      </c>
      <c r="N437">
        <v>8.9883746712815515E-4</v>
      </c>
      <c r="O437">
        <v>5.4612392438491142E-4</v>
      </c>
      <c r="P437">
        <v>5.3573019985209136E-4</v>
      </c>
      <c r="Q437">
        <v>5.4958248556946643E-4</v>
      </c>
      <c r="R437">
        <v>-2.4816051021803176E-4</v>
      </c>
      <c r="S437">
        <v>1.5020975349901988E-3</v>
      </c>
      <c r="T437">
        <v>5.827378836820607E-3</v>
      </c>
      <c r="U437">
        <v>2.1979975761343695E-3</v>
      </c>
      <c r="V437">
        <v>1.28404890250855E-3</v>
      </c>
      <c r="W437">
        <v>1.4512713026875179E-3</v>
      </c>
      <c r="X437">
        <v>3.1239635740962779E-3</v>
      </c>
      <c r="Y437">
        <v>1.28404890250855E-3</v>
      </c>
      <c r="Z437">
        <v>2.099260449082152E-4</v>
      </c>
      <c r="AA437">
        <v>3.4695878708210781E-3</v>
      </c>
      <c r="AC437">
        <v>-6.8530608509090873E-3</v>
      </c>
      <c r="AD437">
        <v>-3.7777394099454131E-3</v>
      </c>
      <c r="AE437">
        <v>-4.690402798769755E-3</v>
      </c>
      <c r="AF437">
        <v>-4.2304854809707138E-3</v>
      </c>
      <c r="AG437">
        <v>2.0424082636254504E-3</v>
      </c>
      <c r="AH437">
        <v>-9.6467005468503508E-5</v>
      </c>
      <c r="AI437">
        <v>-9.1635147403845707E-4</v>
      </c>
      <c r="AJ437">
        <v>6.9984447900466318E-3</v>
      </c>
      <c r="AK437">
        <v>-1.4156160141561624E-2</v>
      </c>
      <c r="AL437">
        <v>6.8735159227295561E-4</v>
      </c>
    </row>
    <row r="438" spans="1:38">
      <c r="A438" s="568">
        <v>44466</v>
      </c>
      <c r="B438">
        <v>2.4278699229167143E-4</v>
      </c>
      <c r="C438">
        <v>3.6375034520075289E-4</v>
      </c>
      <c r="D438">
        <v>8.8929871649545689E-4</v>
      </c>
      <c r="E438">
        <v>2.95962894151236E-4</v>
      </c>
      <c r="F438">
        <v>2.9981530002998191E-4</v>
      </c>
      <c r="G438">
        <v>3.1922990788535444E-4</v>
      </c>
      <c r="H438">
        <v>3.6573040124054934E-4</v>
      </c>
      <c r="I438">
        <v>4.1968035900841194E-4</v>
      </c>
      <c r="J438">
        <v>-4.0129402847166595E-4</v>
      </c>
      <c r="K438">
        <v>4.2436797390132952E-5</v>
      </c>
      <c r="L438">
        <v>8.7512531469458033E-4</v>
      </c>
      <c r="M438">
        <v>8.9337793368948759E-4</v>
      </c>
      <c r="N438">
        <v>8.9883746712815515E-4</v>
      </c>
      <c r="O438">
        <v>5.4612392438491142E-4</v>
      </c>
      <c r="P438">
        <v>5.3573019985209136E-4</v>
      </c>
      <c r="Q438">
        <v>5.4958248556946643E-4</v>
      </c>
      <c r="R438">
        <v>-1.133547631754106E-3</v>
      </c>
      <c r="S438">
        <v>4.9631745552416451E-3</v>
      </c>
      <c r="T438">
        <v>3.1228673803807006E-3</v>
      </c>
      <c r="U438">
        <v>2.1198875935857231E-3</v>
      </c>
      <c r="V438">
        <v>5.5241942444816949E-4</v>
      </c>
      <c r="W438">
        <v>-1.0524960483457857E-3</v>
      </c>
      <c r="X438">
        <v>1.2554253568428653E-3</v>
      </c>
      <c r="Y438">
        <v>5.5241942444816949E-4</v>
      </c>
      <c r="Z438">
        <v>1.5335410447014919E-3</v>
      </c>
      <c r="AA438">
        <v>-1.2552785193103988E-3</v>
      </c>
      <c r="AC438">
        <v>2.6512440075785459E-3</v>
      </c>
      <c r="AD438">
        <v>-3.4563570202411631E-3</v>
      </c>
      <c r="AE438">
        <v>8.203660549888081E-4</v>
      </c>
      <c r="AF438">
        <v>2.7921869756681872E-3</v>
      </c>
      <c r="AG438">
        <v>-5.0695718787463484E-5</v>
      </c>
      <c r="AH438">
        <v>-1.4398353534843533E-3</v>
      </c>
      <c r="AI438">
        <v>-1.5404875350856218E-3</v>
      </c>
      <c r="AJ438">
        <v>1.5444015444014969E-3</v>
      </c>
      <c r="AK438">
        <v>1.6827462418667061E-3</v>
      </c>
      <c r="AL438">
        <v>-1.1688327370166229E-3</v>
      </c>
    </row>
    <row r="439" spans="1:38">
      <c r="A439" s="568">
        <v>44467</v>
      </c>
      <c r="B439">
        <v>2.4278699229167143E-4</v>
      </c>
      <c r="C439">
        <v>3.2727262741327756E-4</v>
      </c>
      <c r="D439">
        <v>2.4949365013671176E-4</v>
      </c>
      <c r="E439">
        <v>2.95962894151236E-4</v>
      </c>
      <c r="F439">
        <v>3.534011966688233E-4</v>
      </c>
      <c r="G439">
        <v>3.8330402537467556E-4</v>
      </c>
      <c r="H439">
        <v>3.6757645689289298E-4</v>
      </c>
      <c r="I439">
        <v>3.6614058109907255E-4</v>
      </c>
      <c r="J439">
        <v>1.0285828616618531E-3</v>
      </c>
      <c r="K439">
        <v>6.0684416614598113E-4</v>
      </c>
      <c r="L439">
        <v>8.7512531469458033E-4</v>
      </c>
      <c r="M439">
        <v>8.9337793368948759E-4</v>
      </c>
      <c r="N439">
        <v>8.9883746712815515E-4</v>
      </c>
      <c r="O439">
        <v>5.4612392438491142E-4</v>
      </c>
      <c r="P439">
        <v>5.3573019985209136E-4</v>
      </c>
      <c r="Q439">
        <v>5.4958248556946643E-4</v>
      </c>
      <c r="R439">
        <v>-1.6188247545285694E-3</v>
      </c>
      <c r="S439">
        <v>-5.2473251848972335E-4</v>
      </c>
      <c r="T439">
        <v>7.9552464279424306E-3</v>
      </c>
      <c r="U439">
        <v>1.4289447231452534E-4</v>
      </c>
      <c r="V439">
        <v>-5.220439078856276E-3</v>
      </c>
      <c r="W439">
        <v>-8.7222695122592953E-3</v>
      </c>
      <c r="X439">
        <v>2.2313643950213624E-3</v>
      </c>
      <c r="Y439">
        <v>-5.220439078856276E-3</v>
      </c>
      <c r="Z439">
        <v>-2.1548732971011786E-3</v>
      </c>
      <c r="AA439">
        <v>-2.6280683380798253E-3</v>
      </c>
      <c r="AC439">
        <v>-3.0454906944269111E-2</v>
      </c>
      <c r="AD439">
        <v>-2.7915517010756452E-2</v>
      </c>
      <c r="AE439">
        <v>-2.6922488862263561E-2</v>
      </c>
      <c r="AF439">
        <v>-1.7075585560389794E-2</v>
      </c>
      <c r="AG439">
        <v>-1.9832121368455025E-2</v>
      </c>
      <c r="AH439">
        <v>-1.3888801271401463E-2</v>
      </c>
      <c r="AI439">
        <v>-1.7052152464688941E-2</v>
      </c>
      <c r="AJ439">
        <v>-1.1757902852736923E-2</v>
      </c>
      <c r="AK439">
        <v>1.0191510807481263E-2</v>
      </c>
      <c r="AL439">
        <v>-8.8698450794404415E-3</v>
      </c>
    </row>
    <row r="440" spans="1:38">
      <c r="A440" s="568">
        <v>44468</v>
      </c>
      <c r="B440">
        <v>2.4278699229167143E-4</v>
      </c>
      <c r="C440">
        <v>3.3698473856191846E-4</v>
      </c>
      <c r="D440">
        <v>2.4832036549193859E-4</v>
      </c>
      <c r="E440">
        <v>2.95962894151236E-4</v>
      </c>
      <c r="F440">
        <v>3.4898380466175105E-4</v>
      </c>
      <c r="G440">
        <v>3.0066361677150155E-4</v>
      </c>
      <c r="H440">
        <v>3.6876075277336717E-4</v>
      </c>
      <c r="I440">
        <v>3.8885593623838588E-4</v>
      </c>
      <c r="J440">
        <v>8.0890893343843473E-4</v>
      </c>
      <c r="K440">
        <v>1.4305459847925306E-3</v>
      </c>
      <c r="L440">
        <v>8.7512531469458033E-4</v>
      </c>
      <c r="M440">
        <v>8.9337793368948759E-4</v>
      </c>
      <c r="N440">
        <v>8.9883746712815515E-4</v>
      </c>
      <c r="O440">
        <v>5.4612392438491142E-4</v>
      </c>
      <c r="P440">
        <v>5.3573019985209136E-4</v>
      </c>
      <c r="Q440">
        <v>5.4958248556946643E-4</v>
      </c>
      <c r="R440">
        <v>9.3458553176262171E-4</v>
      </c>
      <c r="S440">
        <v>-1.1983802429738066E-4</v>
      </c>
      <c r="T440">
        <v>2.6687138094001472E-3</v>
      </c>
      <c r="U440">
        <v>1.0950539292680084E-3</v>
      </c>
      <c r="V440">
        <v>5.9217780200460091E-4</v>
      </c>
      <c r="W440">
        <v>7.3089991429498014E-4</v>
      </c>
      <c r="X440">
        <v>-4.2785559999503064E-4</v>
      </c>
      <c r="Y440">
        <v>5.9217780200460091E-4</v>
      </c>
      <c r="Z440">
        <v>-6.2903705203665172E-4</v>
      </c>
      <c r="AA440">
        <v>2.4386944989742698E-3</v>
      </c>
      <c r="AC440">
        <v>8.9261318052356042E-3</v>
      </c>
      <c r="AD440">
        <v>3.753256462953658E-3</v>
      </c>
      <c r="AE440">
        <v>6.5164306012075457E-3</v>
      </c>
      <c r="AF440">
        <v>8.3762454244462603E-5</v>
      </c>
      <c r="AG440">
        <v>8.8901765870634808E-3</v>
      </c>
      <c r="AH440">
        <v>-7.7215358707205528E-4</v>
      </c>
      <c r="AI440">
        <v>-1.0192108385653764E-4</v>
      </c>
      <c r="AJ440">
        <v>1.8334308562510948E-3</v>
      </c>
      <c r="AK440">
        <v>-7.2062084257207282E-3</v>
      </c>
      <c r="AL440">
        <v>-1.2334642162365794E-2</v>
      </c>
    </row>
    <row r="441" spans="1:38">
      <c r="A441" s="568">
        <v>44469</v>
      </c>
      <c r="B441">
        <v>2.4278699229167143E-4</v>
      </c>
      <c r="C441">
        <v>3.1623293085036863E-4</v>
      </c>
      <c r="D441">
        <v>2.382617224490069E-4</v>
      </c>
      <c r="E441">
        <v>2.95962894151236E-4</v>
      </c>
      <c r="F441">
        <v>2.9479487511774316E-4</v>
      </c>
      <c r="G441">
        <v>7.432323104996641E-4</v>
      </c>
      <c r="H441">
        <v>3.6994369074538902E-4</v>
      </c>
      <c r="I441">
        <v>3.7780193567571452E-4</v>
      </c>
      <c r="J441">
        <v>-4.1849750334177482E-4</v>
      </c>
      <c r="K441">
        <v>-2.929129293336441E-4</v>
      </c>
      <c r="L441">
        <v>8.7512531469458033E-4</v>
      </c>
      <c r="M441">
        <v>8.9337793368948759E-4</v>
      </c>
      <c r="N441">
        <v>8.9883746712815515E-4</v>
      </c>
      <c r="O441">
        <v>5.4612392438491142E-4</v>
      </c>
      <c r="P441">
        <v>5.3573019985209136E-4</v>
      </c>
      <c r="Q441">
        <v>5.4958248556946643E-4</v>
      </c>
      <c r="R441">
        <v>8.1470446832243582E-4</v>
      </c>
      <c r="S441">
        <v>3.4422248910472852E-3</v>
      </c>
      <c r="T441">
        <v>-1.198601249955189E-3</v>
      </c>
      <c r="U441">
        <v>-1.9340178352542647E-3</v>
      </c>
      <c r="V441">
        <v>2.3772143999756246E-4</v>
      </c>
      <c r="W441">
        <v>-3.3339193954492474E-3</v>
      </c>
      <c r="X441">
        <v>2.5803538427953132E-3</v>
      </c>
      <c r="Y441">
        <v>2.3772143999756246E-4</v>
      </c>
      <c r="Z441">
        <v>5.8880823007445571E-4</v>
      </c>
      <c r="AA441">
        <v>2.401800169788304E-3</v>
      </c>
      <c r="AC441">
        <v>-1.1496142946387788E-3</v>
      </c>
      <c r="AD441">
        <v>-1.6045670749524898E-3</v>
      </c>
      <c r="AE441">
        <v>2.4536624473381341E-3</v>
      </c>
      <c r="AF441">
        <v>3.8817336691157056E-3</v>
      </c>
      <c r="AG441">
        <v>3.6977505912141329E-3</v>
      </c>
      <c r="AH441">
        <v>7.0218369039813933E-3</v>
      </c>
      <c r="AI441">
        <v>2.8299103084707955E-3</v>
      </c>
      <c r="AJ441">
        <v>-7.0866754925628106E-3</v>
      </c>
      <c r="AK441">
        <v>1.2283640424344267E-3</v>
      </c>
      <c r="AL441">
        <v>1.2046546844538097E-2</v>
      </c>
    </row>
    <row r="442" spans="1:38">
      <c r="A442" s="568">
        <v>44470</v>
      </c>
      <c r="B442">
        <v>2.4278699229167143E-4</v>
      </c>
      <c r="C442">
        <v>3.201062290680845E-4</v>
      </c>
      <c r="D442">
        <v>2.4320227432994557E-4</v>
      </c>
      <c r="E442">
        <v>2.95962894151236E-4</v>
      </c>
      <c r="F442">
        <v>5.1348685889740509E-4</v>
      </c>
      <c r="G442">
        <v>3.5108357114865818E-4</v>
      </c>
      <c r="H442">
        <v>3.6717011380305031E-4</v>
      </c>
      <c r="I442">
        <v>3.7869174499549629E-4</v>
      </c>
      <c r="J442">
        <v>1.8530735921988839E-3</v>
      </c>
      <c r="K442">
        <v>2.447658534186381E-3</v>
      </c>
      <c r="L442">
        <v>9.4711079299569789E-4</v>
      </c>
      <c r="M442">
        <v>9.6536472476516089E-4</v>
      </c>
      <c r="N442">
        <v>9.7082465086728575E-4</v>
      </c>
      <c r="O442">
        <v>5.4612392438491142E-4</v>
      </c>
      <c r="P442">
        <v>5.3573019985209136E-4</v>
      </c>
      <c r="Q442">
        <v>5.4958248556946643E-4</v>
      </c>
      <c r="R442">
        <v>3.3898666060871996E-4</v>
      </c>
      <c r="S442">
        <v>5.8842582294582613E-4</v>
      </c>
      <c r="T442">
        <v>-2.5078299774370372E-3</v>
      </c>
      <c r="U442">
        <v>5.6865569078548006E-3</v>
      </c>
      <c r="V442">
        <v>2.6613522144927071E-3</v>
      </c>
      <c r="W442">
        <v>2.6200287132513989E-3</v>
      </c>
      <c r="X442">
        <v>-3.0604492488615076E-3</v>
      </c>
      <c r="Y442">
        <v>2.6613522144927071E-3</v>
      </c>
      <c r="Z442">
        <v>-4.1317633000372833E-3</v>
      </c>
      <c r="AA442">
        <v>2.9828925505683834E-3</v>
      </c>
      <c r="AC442">
        <v>1.7305420570179475E-2</v>
      </c>
      <c r="AD442">
        <v>2.0969153907797633E-2</v>
      </c>
      <c r="AE442">
        <v>1.5510136650744188E-2</v>
      </c>
      <c r="AF442">
        <v>1.1026911647851856E-2</v>
      </c>
      <c r="AG442">
        <v>1.0709774569779951E-2</v>
      </c>
      <c r="AH442">
        <v>9.1509438370933616E-3</v>
      </c>
      <c r="AI442">
        <v>7.3224104163682746E-3</v>
      </c>
      <c r="AJ442">
        <v>-3.9215686274509665E-3</v>
      </c>
      <c r="AK442">
        <v>-1.7845192951148059E-3</v>
      </c>
      <c r="AL442">
        <v>-2.1934358986667735E-2</v>
      </c>
    </row>
    <row r="443" spans="1:38">
      <c r="A443" s="568">
        <v>44473</v>
      </c>
      <c r="B443">
        <v>2.4278699229167143E-4</v>
      </c>
      <c r="C443">
        <v>3.5424723468535646E-4</v>
      </c>
      <c r="D443">
        <v>2.4203289871049805E-4</v>
      </c>
      <c r="E443">
        <v>2.95962894151236E-4</v>
      </c>
      <c r="F443">
        <v>3.8759723159542681E-4</v>
      </c>
      <c r="G443">
        <v>3.54918208196775E-4</v>
      </c>
      <c r="H443">
        <v>3.6703534939186433E-4</v>
      </c>
      <c r="I443">
        <v>4.2114433530082707E-4</v>
      </c>
      <c r="J443">
        <v>-5.3691617583617735E-5</v>
      </c>
      <c r="K443">
        <v>-4.5276058757481863E-5</v>
      </c>
      <c r="L443">
        <v>9.4711079299569789E-4</v>
      </c>
      <c r="M443">
        <v>9.6536472476516089E-4</v>
      </c>
      <c r="N443">
        <v>9.7082465086728575E-4</v>
      </c>
      <c r="O443">
        <v>5.4612392438491142E-4</v>
      </c>
      <c r="P443">
        <v>5.3573019985209136E-4</v>
      </c>
      <c r="Q443">
        <v>5.4958248556946643E-4</v>
      </c>
      <c r="R443">
        <v>-3.9328052137765912E-4</v>
      </c>
      <c r="S443">
        <v>3.6020931294395986E-3</v>
      </c>
      <c r="T443">
        <v>3.1832340803465975E-3</v>
      </c>
      <c r="U443">
        <v>1.1548202462563495E-4</v>
      </c>
      <c r="V443">
        <v>-4.1727879902717646E-3</v>
      </c>
      <c r="W443">
        <v>-4.2675150425339758E-3</v>
      </c>
      <c r="X443">
        <v>-1.0057915413325125E-3</v>
      </c>
      <c r="Y443">
        <v>-4.1727879902717646E-3</v>
      </c>
      <c r="Z443">
        <v>8.5942694468310599E-4</v>
      </c>
      <c r="AA443">
        <v>-3.0929087188240612E-3</v>
      </c>
      <c r="AC443">
        <v>-2.2201576550642699E-2</v>
      </c>
      <c r="AD443">
        <v>-2.9581998705632384E-2</v>
      </c>
      <c r="AE443">
        <v>-2.084570871699476E-2</v>
      </c>
      <c r="AF443">
        <v>-1.6986562242213732E-2</v>
      </c>
      <c r="AG443">
        <v>-2.0042111321280753E-2</v>
      </c>
      <c r="AH443">
        <v>-1.3352381927048795E-2</v>
      </c>
      <c r="AI443">
        <v>-1.3864558568312368E-2</v>
      </c>
      <c r="AJ443">
        <v>7.0866141732284227E-4</v>
      </c>
      <c r="AK443">
        <v>-2.1340782122905022E-2</v>
      </c>
      <c r="AL443">
        <v>2.4006789601190848E-2</v>
      </c>
    </row>
    <row r="444" spans="1:38">
      <c r="A444" s="568">
        <v>44474</v>
      </c>
      <c r="B444">
        <v>2.4278699229167143E-4</v>
      </c>
      <c r="C444">
        <v>3.7539281572107619E-4</v>
      </c>
      <c r="D444">
        <v>2.6805872206470127E-4</v>
      </c>
      <c r="E444">
        <v>2.95962894151236E-4</v>
      </c>
      <c r="F444">
        <v>2.7558457789256252E-4</v>
      </c>
      <c r="G444">
        <v>3.7558664711268008E-4</v>
      </c>
      <c r="H444">
        <v>3.6690068387112973E-4</v>
      </c>
      <c r="I444">
        <v>3.7422669369835404E-4</v>
      </c>
      <c r="J444">
        <v>6.808772940125607E-6</v>
      </c>
      <c r="K444">
        <v>2.8067261232056495E-5</v>
      </c>
      <c r="L444">
        <v>9.4711079299569789E-4</v>
      </c>
      <c r="M444">
        <v>9.6536472476516089E-4</v>
      </c>
      <c r="N444">
        <v>9.7082465086728575E-4</v>
      </c>
      <c r="O444">
        <v>5.4612392438491142E-4</v>
      </c>
      <c r="P444">
        <v>5.3573019985209136E-4</v>
      </c>
      <c r="Q444">
        <v>5.4958248556946643E-4</v>
      </c>
      <c r="R444">
        <v>7.2829893979542426E-4</v>
      </c>
      <c r="S444">
        <v>4.4796377484270788E-3</v>
      </c>
      <c r="T444">
        <v>3.187819329452557E-3</v>
      </c>
      <c r="U444">
        <v>4.9162024432363172E-3</v>
      </c>
      <c r="V444">
        <v>1.4356024447392812E-3</v>
      </c>
      <c r="W444">
        <v>3.6323487410414579E-3</v>
      </c>
      <c r="X444">
        <v>1.7815484194059206E-3</v>
      </c>
      <c r="Y444">
        <v>1.4356024447392812E-3</v>
      </c>
      <c r="Z444">
        <v>1.9155175782306078E-3</v>
      </c>
      <c r="AA444">
        <v>-2.0869074764695572E-4</v>
      </c>
      <c r="AC444">
        <v>5.847286274893726E-4</v>
      </c>
      <c r="AD444">
        <v>-5.690778212029679E-3</v>
      </c>
      <c r="AE444">
        <v>-2.4178471115050559E-3</v>
      </c>
      <c r="AF444">
        <v>-2.3329961196535409E-3</v>
      </c>
      <c r="AG444">
        <v>2.4225907340413855E-5</v>
      </c>
      <c r="AH444">
        <v>-3.5821337587949031E-3</v>
      </c>
      <c r="AI444">
        <v>-1.3923331827783936E-2</v>
      </c>
      <c r="AJ444">
        <v>1.7782673695805995E-2</v>
      </c>
      <c r="AK444">
        <v>1.0275145564562216E-3</v>
      </c>
      <c r="AL444">
        <v>-3.2332489560416011E-4</v>
      </c>
    </row>
    <row r="445" spans="1:38">
      <c r="A445" s="568">
        <v>44475</v>
      </c>
      <c r="B445">
        <v>2.4278699229167143E-4</v>
      </c>
      <c r="C445">
        <v>4.1717666117579988E-4</v>
      </c>
      <c r="D445">
        <v>2.7741913648293703E-4</v>
      </c>
      <c r="E445">
        <v>2.95962894151236E-4</v>
      </c>
      <c r="F445">
        <v>3.6206035910391066E-4</v>
      </c>
      <c r="G445">
        <v>3.2117985216340017E-4</v>
      </c>
      <c r="H445">
        <v>3.700584521153516E-4</v>
      </c>
      <c r="I445">
        <v>4.4415310677092812E-4</v>
      </c>
      <c r="J445">
        <v>1.98280460411282E-3</v>
      </c>
      <c r="K445">
        <v>3.5468037227670557E-3</v>
      </c>
      <c r="L445">
        <v>9.4711079299569789E-4</v>
      </c>
      <c r="M445">
        <v>9.6536472476516089E-4</v>
      </c>
      <c r="N445">
        <v>9.7082465086728575E-4</v>
      </c>
      <c r="O445">
        <v>5.4612392438491142E-4</v>
      </c>
      <c r="P445">
        <v>5.3573019985209136E-4</v>
      </c>
      <c r="Q445">
        <v>5.4958248556946643E-4</v>
      </c>
      <c r="R445">
        <v>-1.3733608202564085E-3</v>
      </c>
      <c r="S445">
        <v>-2.0959773731991094E-3</v>
      </c>
      <c r="T445">
        <v>2.5805437445385326E-3</v>
      </c>
      <c r="U445">
        <v>1.224086726497875E-3</v>
      </c>
      <c r="V445">
        <v>-7.8238349665993301E-4</v>
      </c>
      <c r="W445">
        <v>1.3066112870177005E-3</v>
      </c>
      <c r="X445">
        <v>-7.6517511896845303E-4</v>
      </c>
      <c r="Y445">
        <v>-7.8238349665993301E-4</v>
      </c>
      <c r="Z445">
        <v>-5.0812990276842829E-3</v>
      </c>
      <c r="AA445">
        <v>-1.3391284649098001E-3</v>
      </c>
      <c r="AC445">
        <v>9.227971917560307E-4</v>
      </c>
      <c r="AD445">
        <v>-2.9961333503067955E-3</v>
      </c>
      <c r="AE445">
        <v>-7.2357884444524956E-3</v>
      </c>
      <c r="AF445">
        <v>-1.5405977931826853E-2</v>
      </c>
      <c r="AG445">
        <v>3.0347075873571328E-5</v>
      </c>
      <c r="AH445">
        <v>-3.2611683584303774E-3</v>
      </c>
      <c r="AI445">
        <v>-1.3213095445813616E-2</v>
      </c>
      <c r="AJ445">
        <v>5.1797448782373579E-3</v>
      </c>
      <c r="AK445">
        <v>-5.2463503649635701E-3</v>
      </c>
      <c r="AL445">
        <v>-9.3308545467877257E-3</v>
      </c>
    </row>
    <row r="446" spans="1:38">
      <c r="A446" s="568">
        <v>44476</v>
      </c>
      <c r="B446">
        <v>2.4278699229167143E-4</v>
      </c>
      <c r="C446">
        <v>3.5499202010780273E-4</v>
      </c>
      <c r="D446">
        <v>2.4239707969764268E-4</v>
      </c>
      <c r="E446">
        <v>2.95962894151236E-4</v>
      </c>
      <c r="F446">
        <v>2.96396554604339E-4</v>
      </c>
      <c r="G446">
        <v>4.3922781598415561E-4</v>
      </c>
      <c r="H446">
        <v>3.672886658534491E-4</v>
      </c>
      <c r="I446">
        <v>3.3030018824575791E-4</v>
      </c>
      <c r="J446">
        <v>-1.1861587063133339E-4</v>
      </c>
      <c r="K446">
        <v>-8.423129650156902E-4</v>
      </c>
      <c r="L446">
        <v>9.4711079299569789E-4</v>
      </c>
      <c r="M446">
        <v>9.6536472476516089E-4</v>
      </c>
      <c r="N446">
        <v>9.7082465086728575E-4</v>
      </c>
      <c r="O446">
        <v>5.4612392438491142E-4</v>
      </c>
      <c r="P446">
        <v>5.3573019985209136E-4</v>
      </c>
      <c r="Q446">
        <v>5.4958248556946643E-4</v>
      </c>
      <c r="R446">
        <v>2.5000769618765961E-3</v>
      </c>
      <c r="S446">
        <v>3.7672389640064363E-3</v>
      </c>
      <c r="T446">
        <v>3.1795189317909145E-3</v>
      </c>
      <c r="U446">
        <v>5.7808433404638038E-5</v>
      </c>
      <c r="V446">
        <v>2.9213683600195495E-3</v>
      </c>
      <c r="W446">
        <v>3.8533440158712295E-3</v>
      </c>
      <c r="X446">
        <v>1.6767028136526196E-3</v>
      </c>
      <c r="Y446">
        <v>2.9213683600195495E-3</v>
      </c>
      <c r="Z446">
        <v>4.0737934256287467E-3</v>
      </c>
      <c r="AA446">
        <v>-1.3663205404602641E-3</v>
      </c>
      <c r="AC446">
        <v>2.3390105442699927E-4</v>
      </c>
      <c r="AD446">
        <v>8.3745309241667343E-4</v>
      </c>
      <c r="AE446">
        <v>4.6211520799888106E-4</v>
      </c>
      <c r="AF446">
        <v>-5.5276883909461949E-3</v>
      </c>
      <c r="AG446">
        <v>-4.6110248689305022E-3</v>
      </c>
      <c r="AH446">
        <v>9.5187089727399865E-4</v>
      </c>
      <c r="AI446">
        <v>3.3370243767516516E-3</v>
      </c>
      <c r="AJ446">
        <v>1.407475772957989E-2</v>
      </c>
      <c r="AK446">
        <v>3.7262095849575738E-2</v>
      </c>
      <c r="AL446">
        <v>2.4217567680302254E-2</v>
      </c>
    </row>
    <row r="447" spans="1:38">
      <c r="A447" s="568">
        <v>44477</v>
      </c>
      <c r="B447">
        <v>2.4278699229167143E-4</v>
      </c>
      <c r="C447">
        <v>4.054201637841981E-4</v>
      </c>
      <c r="D447">
        <v>2.2459273850095052E-4</v>
      </c>
      <c r="E447">
        <v>2.95962894151236E-4</v>
      </c>
      <c r="F447">
        <v>5.4465997716879322E-4</v>
      </c>
      <c r="G447">
        <v>3.4630182188966074E-4</v>
      </c>
      <c r="H447">
        <v>3.6583785092636489E-4</v>
      </c>
      <c r="I447">
        <v>3.8468992180762385E-4</v>
      </c>
      <c r="J447">
        <v>1.4785299590927004E-3</v>
      </c>
      <c r="K447">
        <v>2.187783860070347E-3</v>
      </c>
      <c r="L447">
        <v>9.4711079299569789E-4</v>
      </c>
      <c r="M447">
        <v>9.6536472476516089E-4</v>
      </c>
      <c r="N447">
        <v>9.7082465086728575E-4</v>
      </c>
      <c r="O447">
        <v>5.4612392438491142E-4</v>
      </c>
      <c r="P447">
        <v>5.3573019985209136E-4</v>
      </c>
      <c r="Q447">
        <v>5.4958248556946643E-4</v>
      </c>
      <c r="R447">
        <v>-1.0186781278290757E-3</v>
      </c>
      <c r="S447">
        <v>7.6736607148109037E-4</v>
      </c>
      <c r="T447">
        <v>3.6838565842427506E-3</v>
      </c>
      <c r="U447">
        <v>4.1374479385616336E-3</v>
      </c>
      <c r="V447">
        <v>3.2785103160661855E-3</v>
      </c>
      <c r="W447">
        <v>-5.8440299461093304E-4</v>
      </c>
      <c r="X447">
        <v>3.2064322694049796E-3</v>
      </c>
      <c r="Y447">
        <v>3.2785103160661855E-3</v>
      </c>
      <c r="Z447">
        <v>-2.6315696917533771E-3</v>
      </c>
      <c r="AA447">
        <v>-1.2796539375090621E-3</v>
      </c>
      <c r="AC447">
        <v>2.0326095399728628E-2</v>
      </c>
      <c r="AD447">
        <v>1.7256559885078904E-2</v>
      </c>
      <c r="AE447">
        <v>1.6566207953134793E-2</v>
      </c>
      <c r="AF447">
        <v>5.7953021750276612E-3</v>
      </c>
      <c r="AG447">
        <v>1.9972138304241716E-2</v>
      </c>
      <c r="AH447">
        <v>-2.9025184712405672E-3</v>
      </c>
      <c r="AI447">
        <v>4.8500034291347749E-3</v>
      </c>
      <c r="AJ447">
        <v>-2.6166097838452584E-3</v>
      </c>
      <c r="AK447">
        <v>8.8427102907040478E-3</v>
      </c>
      <c r="AL447">
        <v>2.8593757251369478E-3</v>
      </c>
    </row>
    <row r="448" spans="1:38">
      <c r="A448" s="568">
        <v>44480</v>
      </c>
      <c r="B448">
        <v>2.4278699229167143E-4</v>
      </c>
      <c r="C448">
        <v>2.9214084993811618E-4</v>
      </c>
      <c r="D448">
        <v>2.1899805341218936E-4</v>
      </c>
      <c r="E448">
        <v>2.95962894151236E-4</v>
      </c>
      <c r="F448">
        <v>3.3808738403395822E-4</v>
      </c>
      <c r="G448">
        <v>2.4603907409170844E-4</v>
      </c>
      <c r="H448">
        <v>3.6504632141842741E-4</v>
      </c>
      <c r="I448">
        <v>4.0504807471131166E-4</v>
      </c>
      <c r="J448">
        <v>-2.119988788454874E-4</v>
      </c>
      <c r="K448">
        <v>-5.7019142852143823E-4</v>
      </c>
      <c r="L448">
        <v>9.4711079299569789E-4</v>
      </c>
      <c r="M448">
        <v>9.6536472476516089E-4</v>
      </c>
      <c r="N448">
        <v>9.7082465086728575E-4</v>
      </c>
      <c r="O448">
        <v>5.4612392438491142E-4</v>
      </c>
      <c r="P448">
        <v>5.3573019985209136E-4</v>
      </c>
      <c r="Q448">
        <v>5.4958248556946643E-4</v>
      </c>
      <c r="R448">
        <v>-6.9281634573659101E-4</v>
      </c>
      <c r="S448">
        <v>2.4274860643360707E-3</v>
      </c>
      <c r="T448">
        <v>6.4178074268610441E-3</v>
      </c>
      <c r="U448">
        <v>-1.5495930830687898E-3</v>
      </c>
      <c r="V448">
        <v>-4.358704110479783E-4</v>
      </c>
      <c r="W448">
        <v>-1.8991803102509364E-3</v>
      </c>
      <c r="X448">
        <v>2.1507091361132602E-3</v>
      </c>
      <c r="Y448">
        <v>-4.358704110479783E-4</v>
      </c>
      <c r="Z448">
        <v>2.0702567405508354E-3</v>
      </c>
      <c r="AA448">
        <v>-3.4422887368017463E-3</v>
      </c>
      <c r="AC448">
        <v>-5.7848221977219172E-3</v>
      </c>
      <c r="AD448">
        <v>-1.04146577513623E-2</v>
      </c>
      <c r="AE448">
        <v>-5.5585915233745675E-3</v>
      </c>
      <c r="AF448">
        <v>-1.0765022801950908E-2</v>
      </c>
      <c r="AG448">
        <v>6.9700673487615994E-4</v>
      </c>
      <c r="AH448">
        <v>-1.1369335729467744E-2</v>
      </c>
      <c r="AI448">
        <v>-1.1309160985561673E-2</v>
      </c>
      <c r="AJ448">
        <v>2.0531538724763987E-3</v>
      </c>
      <c r="AK448">
        <v>1.7968664402322698E-2</v>
      </c>
      <c r="AL448">
        <v>8.195038937298893E-3</v>
      </c>
    </row>
    <row r="449" spans="1:38">
      <c r="A449" s="568">
        <v>44482</v>
      </c>
      <c r="B449">
        <v>2.4278699229167143E-4</v>
      </c>
      <c r="C449">
        <v>3.3203998500552778E-4</v>
      </c>
      <c r="D449">
        <v>2.4389378647327042E-4</v>
      </c>
      <c r="E449">
        <v>2.95962894151236E-4</v>
      </c>
      <c r="F449">
        <v>2.7422882234762191E-4</v>
      </c>
      <c r="G449">
        <v>3.4067754140498785E-4</v>
      </c>
      <c r="H449">
        <v>3.6622811343201001E-4</v>
      </c>
      <c r="I449">
        <v>3.9441607993917494E-4</v>
      </c>
      <c r="J449">
        <v>7.4808170354723202E-4</v>
      </c>
      <c r="K449">
        <v>8.608932079152698E-4</v>
      </c>
      <c r="L449">
        <v>9.4711079299569789E-4</v>
      </c>
      <c r="M449">
        <v>9.6536472476516089E-4</v>
      </c>
      <c r="N449">
        <v>9.7082465086728575E-4</v>
      </c>
      <c r="O449">
        <v>5.4612392438491142E-4</v>
      </c>
      <c r="P449">
        <v>5.3573019985209136E-4</v>
      </c>
      <c r="Q449">
        <v>5.4958248556946643E-4</v>
      </c>
      <c r="R449">
        <v>-3.3126803488259249E-4</v>
      </c>
      <c r="S449">
        <v>-7.6072704192486906E-4</v>
      </c>
      <c r="T449">
        <v>-1.3565286926945919E-2</v>
      </c>
      <c r="U449">
        <v>1.5246016533181361E-3</v>
      </c>
      <c r="V449">
        <v>-6.2822272096818566E-4</v>
      </c>
      <c r="W449">
        <v>-1.4936325973028408E-3</v>
      </c>
      <c r="X449">
        <v>-5.0873781262581463E-3</v>
      </c>
      <c r="Y449">
        <v>-6.2822272096818566E-4</v>
      </c>
      <c r="Z449">
        <v>-4.0369428026032494E-4</v>
      </c>
      <c r="AA449">
        <v>2.2460565496267293E-3</v>
      </c>
      <c r="AC449">
        <v>1.1369535947787002E-2</v>
      </c>
      <c r="AD449">
        <v>1.03198015953887E-2</v>
      </c>
      <c r="AE449">
        <v>1.1287214661502398E-2</v>
      </c>
      <c r="AF449">
        <v>3.7825580598107589E-3</v>
      </c>
      <c r="AG449">
        <v>6.9761671901518163E-3</v>
      </c>
      <c r="AH449">
        <v>6.1020149495050191E-4</v>
      </c>
      <c r="AI449">
        <v>3.6249503692136198E-3</v>
      </c>
      <c r="AJ449">
        <v>-7.5507493834187089E-3</v>
      </c>
      <c r="AK449">
        <v>-9.2562695081261914E-3</v>
      </c>
      <c r="AL449">
        <v>-1.5103061372715332E-2</v>
      </c>
    </row>
    <row r="450" spans="1:38">
      <c r="A450" s="568">
        <v>44483</v>
      </c>
      <c r="B450">
        <v>2.4278699229167143E-4</v>
      </c>
      <c r="C450">
        <v>4.9918100663992604E-4</v>
      </c>
      <c r="D450">
        <v>2.5824270824559292E-4</v>
      </c>
      <c r="E450">
        <v>2.95962894151236E-4</v>
      </c>
      <c r="F450">
        <v>6.2187113068046251E-4</v>
      </c>
      <c r="G450">
        <v>3.1310724786348665E-4</v>
      </c>
      <c r="H450">
        <v>3.6609403950271791E-4</v>
      </c>
      <c r="I450">
        <v>3.9977418416681232E-4</v>
      </c>
      <c r="J450">
        <v>-8.2333073771034826E-5</v>
      </c>
      <c r="K450">
        <v>4.5588717609912344E-4</v>
      </c>
      <c r="L450">
        <v>9.4711079299569789E-4</v>
      </c>
      <c r="M450">
        <v>9.6536472476516089E-4</v>
      </c>
      <c r="N450">
        <v>9.7082465086728575E-4</v>
      </c>
      <c r="O450">
        <v>5.4612392438491142E-4</v>
      </c>
      <c r="P450">
        <v>5.3573019985209136E-4</v>
      </c>
      <c r="Q450">
        <v>5.4958248556946643E-4</v>
      </c>
      <c r="R450">
        <v>2.6385958102010942E-3</v>
      </c>
      <c r="S450">
        <v>2.0029267458319122E-3</v>
      </c>
      <c r="T450">
        <v>-2.7889369134102004E-3</v>
      </c>
      <c r="U450">
        <v>1.7615956840790759E-3</v>
      </c>
      <c r="V450">
        <v>1.1315117391261786E-3</v>
      </c>
      <c r="W450">
        <v>6.8638445935333969E-3</v>
      </c>
      <c r="X450">
        <v>-2.1284769260738745E-3</v>
      </c>
      <c r="Y450">
        <v>1.1315117391261786E-3</v>
      </c>
      <c r="Z450">
        <v>3.8054624845220708E-3</v>
      </c>
      <c r="AA450">
        <v>1.3523456614916718E-4</v>
      </c>
      <c r="AC450">
        <v>-2.3836570185143957E-3</v>
      </c>
      <c r="AD450">
        <v>-4.1400756456622112E-4</v>
      </c>
      <c r="AE450">
        <v>1.5974448474631586E-3</v>
      </c>
      <c r="AF450">
        <v>1.0477133056510546E-2</v>
      </c>
      <c r="AG450">
        <v>-1.7138268564715897E-3</v>
      </c>
      <c r="AH450">
        <v>3.0108633344902991E-3</v>
      </c>
      <c r="AI450">
        <v>3.1583213752959249E-3</v>
      </c>
      <c r="AJ450">
        <v>1.5904572564612529E-2</v>
      </c>
      <c r="AK450">
        <v>-2.1727322107550906E-3</v>
      </c>
      <c r="AL450">
        <v>1.4263414072003266E-2</v>
      </c>
    </row>
    <row r="451" spans="1:38">
      <c r="A451" s="568">
        <v>44484</v>
      </c>
      <c r="B451">
        <v>2.4278699229167143E-4</v>
      </c>
      <c r="C451">
        <v>3.4997836110139957E-4</v>
      </c>
      <c r="D451">
        <v>2.6537837193973957E-4</v>
      </c>
      <c r="E451">
        <v>2.95962894151236E-4</v>
      </c>
      <c r="F451">
        <v>3.6972779912791687E-4</v>
      </c>
      <c r="G451">
        <v>3.0447262669919262E-4</v>
      </c>
      <c r="H451">
        <v>3.6596006370448464E-4</v>
      </c>
      <c r="I451">
        <v>3.8184604136537459E-4</v>
      </c>
      <c r="J451">
        <v>-1.0906810776578624E-3</v>
      </c>
      <c r="K451">
        <v>-1.0637755123756865E-3</v>
      </c>
      <c r="L451">
        <v>9.4711079299569789E-4</v>
      </c>
      <c r="M451">
        <v>9.6536472476516089E-4</v>
      </c>
      <c r="N451">
        <v>9.7082465086728575E-4</v>
      </c>
      <c r="O451">
        <v>5.4612392438491142E-4</v>
      </c>
      <c r="P451">
        <v>5.3573019985209136E-4</v>
      </c>
      <c r="Q451">
        <v>5.4958248556946643E-4</v>
      </c>
      <c r="R451">
        <v>7.1058733820716924E-4</v>
      </c>
      <c r="S451">
        <v>1.852184752648256E-3</v>
      </c>
      <c r="T451">
        <v>4.6793467619177243E-3</v>
      </c>
      <c r="U451">
        <v>1.8087142724356742E-3</v>
      </c>
      <c r="V451">
        <v>3.3636124113849419E-3</v>
      </c>
      <c r="W451">
        <v>4.9721869493961623E-3</v>
      </c>
      <c r="X451">
        <v>7.1193892111698354E-4</v>
      </c>
      <c r="Y451">
        <v>3.3636124113849419E-3</v>
      </c>
      <c r="Z451">
        <v>8.5876368591986108E-4</v>
      </c>
      <c r="AA451">
        <v>1.558079091678044E-3</v>
      </c>
      <c r="AC451">
        <v>1.2921357050392102E-2</v>
      </c>
      <c r="AD451">
        <v>1.5113785655952228E-2</v>
      </c>
      <c r="AE451">
        <v>9.1162356164944391E-3</v>
      </c>
      <c r="AF451">
        <v>-2.0957887932453456E-3</v>
      </c>
      <c r="AG451">
        <v>7.5301111599728188E-3</v>
      </c>
      <c r="AH451">
        <v>5.8950458940898454E-3</v>
      </c>
      <c r="AI451">
        <v>-3.1617927735144713E-3</v>
      </c>
      <c r="AJ451">
        <v>1.0537407797681642E-3</v>
      </c>
      <c r="AK451">
        <v>1.3826891671203212E-2</v>
      </c>
      <c r="AL451">
        <v>-6.4594142863525494E-3</v>
      </c>
    </row>
    <row r="452" spans="1:38">
      <c r="A452" s="568">
        <v>44487</v>
      </c>
      <c r="B452">
        <v>2.4278699229167143E-4</v>
      </c>
      <c r="C452">
        <v>2.6502029285979667E-4</v>
      </c>
      <c r="D452">
        <v>2.924480281636388E-4</v>
      </c>
      <c r="E452">
        <v>2.95962894151236E-4</v>
      </c>
      <c r="F452">
        <v>3.2600930429693697E-4</v>
      </c>
      <c r="G452">
        <v>2.9180833441322385E-4</v>
      </c>
      <c r="H452">
        <v>3.5728805232704275E-4</v>
      </c>
      <c r="I452">
        <v>4.3014859641354874E-4</v>
      </c>
      <c r="J452">
        <v>-2.2545699092013649E-4</v>
      </c>
      <c r="K452">
        <v>-5.2338494406134473E-4</v>
      </c>
      <c r="L452">
        <v>9.4711079299569789E-4</v>
      </c>
      <c r="M452">
        <v>9.6536472476516089E-4</v>
      </c>
      <c r="N452">
        <v>9.7082465086728575E-4</v>
      </c>
      <c r="O452">
        <v>5.4612392438491142E-4</v>
      </c>
      <c r="P452">
        <v>5.3573019985209136E-4</v>
      </c>
      <c r="Q452">
        <v>5.4958248556946643E-4</v>
      </c>
      <c r="R452">
        <v>-1.1948734855449228E-3</v>
      </c>
      <c r="S452">
        <v>4.5070990923012921E-4</v>
      </c>
      <c r="T452">
        <v>7.5820555583678839E-3</v>
      </c>
      <c r="U452">
        <v>1.9231016512757382E-3</v>
      </c>
      <c r="V452">
        <v>8.0495340841335583E-4</v>
      </c>
      <c r="W452">
        <v>2.405752382388826E-3</v>
      </c>
      <c r="X452">
        <v>-7.9383591458304092E-4</v>
      </c>
      <c r="Y452">
        <v>8.0495340841335583E-4</v>
      </c>
      <c r="Z452">
        <v>3.3607720038955069E-3</v>
      </c>
      <c r="AA452">
        <v>-2.0645684045936807E-3</v>
      </c>
      <c r="AC452">
        <v>-1.9172599537070623E-3</v>
      </c>
      <c r="AD452">
        <v>-2.8028585202793943E-3</v>
      </c>
      <c r="AE452">
        <v>-3.4741180552355644E-5</v>
      </c>
      <c r="AF452">
        <v>4.9567375358841037E-3</v>
      </c>
      <c r="AG452">
        <v>2.2327893257636511E-3</v>
      </c>
      <c r="AH452">
        <v>-2.4802239521326541E-3</v>
      </c>
      <c r="AI452">
        <v>-4.6645328556038645E-4</v>
      </c>
      <c r="AJ452">
        <v>1.4285714285714235E-2</v>
      </c>
      <c r="AK452">
        <v>5.5841924398625231E-3</v>
      </c>
      <c r="AL452">
        <v>1.4219252137821714E-2</v>
      </c>
    </row>
    <row r="453" spans="1:38">
      <c r="A453" s="568">
        <v>44488</v>
      </c>
      <c r="B453">
        <v>2.4278699229167143E-4</v>
      </c>
      <c r="C453">
        <v>2.3536269900747975E-4</v>
      </c>
      <c r="D453">
        <v>2.9236252731901224E-4</v>
      </c>
      <c r="E453">
        <v>2.95962894151236E-4</v>
      </c>
      <c r="F453">
        <v>4.1004840706881929E-4</v>
      </c>
      <c r="G453">
        <v>4.5235444479740927E-4</v>
      </c>
      <c r="H453">
        <v>3.6963479688134626E-4</v>
      </c>
      <c r="I453">
        <v>3.8481652121946652E-4</v>
      </c>
      <c r="J453">
        <v>-3.7361395001944686E-3</v>
      </c>
      <c r="K453">
        <v>-4.965870468472966E-3</v>
      </c>
      <c r="L453">
        <v>9.4711079299569789E-4</v>
      </c>
      <c r="M453">
        <v>9.6536472476516089E-4</v>
      </c>
      <c r="N453">
        <v>9.7082465086728575E-4</v>
      </c>
      <c r="O453">
        <v>5.4612392438491142E-4</v>
      </c>
      <c r="P453">
        <v>5.3573019985209136E-4</v>
      </c>
      <c r="Q453">
        <v>5.4958248556946643E-4</v>
      </c>
      <c r="R453">
        <v>9.7664611222225695E-4</v>
      </c>
      <c r="S453">
        <v>1.4898376996965723E-3</v>
      </c>
      <c r="T453">
        <v>1.0428114959957213E-3</v>
      </c>
      <c r="U453">
        <v>-4.731051604981662E-3</v>
      </c>
      <c r="V453">
        <v>-4.0779294025331536E-3</v>
      </c>
      <c r="W453">
        <v>5.8761857459153077E-3</v>
      </c>
      <c r="X453">
        <v>8.9660471282138055E-4</v>
      </c>
      <c r="Y453">
        <v>-4.0779294025331536E-3</v>
      </c>
      <c r="Z453">
        <v>1.0154566137143828E-2</v>
      </c>
      <c r="AA453">
        <v>-9.8081249511772217E-4</v>
      </c>
      <c r="AC453">
        <v>-3.2819013638074157E-2</v>
      </c>
      <c r="AD453">
        <v>-3.3904006623238003E-2</v>
      </c>
      <c r="AE453">
        <v>-3.384072868871435E-2</v>
      </c>
      <c r="AF453">
        <v>-1.4128381429357684E-2</v>
      </c>
      <c r="AG453">
        <v>-2.4945602111885679E-2</v>
      </c>
      <c r="AH453">
        <v>-1.4715814149040329E-2</v>
      </c>
      <c r="AI453">
        <v>-2.4070481631221052E-2</v>
      </c>
      <c r="AJ453">
        <v>1.5604151223128193E-2</v>
      </c>
      <c r="AK453">
        <v>1.665954720205054E-2</v>
      </c>
      <c r="AL453">
        <v>2.3267741970251388E-2</v>
      </c>
    </row>
    <row r="454" spans="1:38">
      <c r="A454" s="568">
        <v>44489</v>
      </c>
      <c r="B454">
        <v>2.4278699229167143E-4</v>
      </c>
      <c r="C454">
        <v>4.4084580802095097E-4</v>
      </c>
      <c r="D454">
        <v>2.5961732738077892E-4</v>
      </c>
      <c r="E454">
        <v>2.95962894151236E-4</v>
      </c>
      <c r="F454">
        <v>2.1091758971558683E-4</v>
      </c>
      <c r="G454">
        <v>2.3657407725807822E-4</v>
      </c>
      <c r="H454">
        <v>3.6556040344226659E-4</v>
      </c>
      <c r="I454">
        <v>3.8484750606793128E-4</v>
      </c>
      <c r="J454">
        <v>-7.8917382949417192E-4</v>
      </c>
      <c r="K454">
        <v>-1.1360918701168732E-3</v>
      </c>
      <c r="L454">
        <v>9.4711079299569789E-4</v>
      </c>
      <c r="M454">
        <v>9.6536472476516089E-4</v>
      </c>
      <c r="N454">
        <v>9.7082465086728575E-4</v>
      </c>
      <c r="O454">
        <v>5.4612392438491142E-4</v>
      </c>
      <c r="P454">
        <v>5.3573019985209136E-4</v>
      </c>
      <c r="Q454">
        <v>5.4958248556946643E-4</v>
      </c>
      <c r="R454">
        <v>4.6307083804020266E-4</v>
      </c>
      <c r="S454">
        <v>-1.2640027570282042E-3</v>
      </c>
      <c r="T454">
        <v>-2.5427996968210298E-3</v>
      </c>
      <c r="U454">
        <v>-1.8917798459416879E-5</v>
      </c>
      <c r="V454">
        <v>-5.8353974718194923E-4</v>
      </c>
      <c r="W454">
        <v>1.8986851212572375E-3</v>
      </c>
      <c r="X454">
        <v>-1.4978059245174258E-4</v>
      </c>
      <c r="Y454">
        <v>-5.8353974718194923E-4</v>
      </c>
      <c r="Z454">
        <v>-1.5627214863832561E-3</v>
      </c>
      <c r="AA454">
        <v>3.8745643746529446E-4</v>
      </c>
      <c r="AC454">
        <v>1.0270820028341898E-3</v>
      </c>
      <c r="AD454">
        <v>3.8675917013875072E-4</v>
      </c>
      <c r="AE454">
        <v>6.3195997246690006E-4</v>
      </c>
      <c r="AF454">
        <v>1.9490905313284124E-3</v>
      </c>
      <c r="AG454">
        <v>-2.6492737390948484E-3</v>
      </c>
      <c r="AH454">
        <v>4.7511133182864818E-4</v>
      </c>
      <c r="AI454">
        <v>-5.8753503405439833E-3</v>
      </c>
      <c r="AJ454">
        <v>3.5765118061386048E-3</v>
      </c>
      <c r="AK454">
        <v>1.2920168067226845E-2</v>
      </c>
      <c r="AL454">
        <v>-1.9203281230764535E-2</v>
      </c>
    </row>
    <row r="455" spans="1:38">
      <c r="A455" s="568">
        <v>44490</v>
      </c>
      <c r="B455">
        <v>2.4278699229167143E-4</v>
      </c>
      <c r="C455">
        <v>2.1423081933513721E-4</v>
      </c>
      <c r="D455">
        <v>2.6563746905039487E-4</v>
      </c>
      <c r="E455">
        <v>2.95962894151236E-4</v>
      </c>
      <c r="F455">
        <v>2.6978098650198845E-4</v>
      </c>
      <c r="G455">
        <v>3.5294371097860378E-4</v>
      </c>
      <c r="H455">
        <v>3.6542681786722042E-4</v>
      </c>
      <c r="I455">
        <v>3.8243340556487482E-4</v>
      </c>
      <c r="J455">
        <v>-3.1042610785131375E-3</v>
      </c>
      <c r="K455">
        <v>-3.6483096661691361E-3</v>
      </c>
      <c r="L455">
        <v>9.4711079299569789E-4</v>
      </c>
      <c r="M455">
        <v>9.6536472476516089E-4</v>
      </c>
      <c r="N455">
        <v>9.7082465086728575E-4</v>
      </c>
      <c r="O455">
        <v>5.4612392438491142E-4</v>
      </c>
      <c r="P455">
        <v>5.3573019985209136E-4</v>
      </c>
      <c r="Q455">
        <v>5.4958248556946643E-4</v>
      </c>
      <c r="R455">
        <v>1.0613270125414687E-4</v>
      </c>
      <c r="S455">
        <v>-1.6116945559710993E-3</v>
      </c>
      <c r="T455">
        <v>9.5217544584786928E-3</v>
      </c>
      <c r="U455">
        <v>1.3210278319284452E-3</v>
      </c>
      <c r="V455">
        <v>-2.5104396348899494E-3</v>
      </c>
      <c r="W455">
        <v>1.8642505344976801E-3</v>
      </c>
      <c r="X455">
        <v>2.2954168635767047E-3</v>
      </c>
      <c r="Y455">
        <v>-2.5104396348899494E-3</v>
      </c>
      <c r="Z455">
        <v>1.5633865592485696E-2</v>
      </c>
      <c r="AA455">
        <v>-5.6648850768917791E-3</v>
      </c>
      <c r="AC455">
        <v>-2.7543265000957273E-2</v>
      </c>
      <c r="AD455">
        <v>-2.7945452647757607E-2</v>
      </c>
      <c r="AE455">
        <v>-2.9434960644604824E-2</v>
      </c>
      <c r="AF455">
        <v>-1.7188601091447375E-2</v>
      </c>
      <c r="AG455">
        <v>-2.1022370310786354E-2</v>
      </c>
      <c r="AH455">
        <v>-9.9749721167738947E-3</v>
      </c>
      <c r="AI455">
        <v>-2.4587472269401611E-2</v>
      </c>
      <c r="AJ455">
        <v>1.8218844321611583E-2</v>
      </c>
      <c r="AK455">
        <v>-3.3184693560096568E-3</v>
      </c>
      <c r="AL455">
        <v>2.329996041588478E-2</v>
      </c>
    </row>
    <row r="456" spans="1:38">
      <c r="A456" s="568">
        <v>44491</v>
      </c>
      <c r="B456">
        <v>2.4278699229167143E-4</v>
      </c>
      <c r="C456">
        <v>3.7042884709026502E-4</v>
      </c>
      <c r="D456">
        <v>2.8825076599470201E-4</v>
      </c>
      <c r="E456">
        <v>2.95962894151236E-4</v>
      </c>
      <c r="F456">
        <v>2.2916663999450471E-4</v>
      </c>
      <c r="G456">
        <v>2.3359379331466812E-4</v>
      </c>
      <c r="H456">
        <v>3.5873510134432074E-4</v>
      </c>
      <c r="I456">
        <v>3.8219368932623787E-4</v>
      </c>
      <c r="J456">
        <v>-2.5755916215388641E-3</v>
      </c>
      <c r="K456">
        <v>-2.8274255955458294E-3</v>
      </c>
      <c r="L456">
        <v>9.4711079299569789E-4</v>
      </c>
      <c r="M456">
        <v>9.6536472476516089E-4</v>
      </c>
      <c r="N456">
        <v>9.7082465086728575E-4</v>
      </c>
      <c r="O456">
        <v>5.4612392438491142E-4</v>
      </c>
      <c r="P456">
        <v>5.3573019985209136E-4</v>
      </c>
      <c r="Q456">
        <v>5.4958248556946643E-4</v>
      </c>
      <c r="R456">
        <v>-1.6655170177516387E-3</v>
      </c>
      <c r="S456">
        <v>-2.9198106832648563E-3</v>
      </c>
      <c r="T456">
        <v>-4.0948867728308747E-3</v>
      </c>
      <c r="U456">
        <v>-3.625489006086724E-3</v>
      </c>
      <c r="V456">
        <v>-3.8776346922344551E-3</v>
      </c>
      <c r="W456">
        <v>-1.0319075981014558E-3</v>
      </c>
      <c r="X456">
        <v>-3.2106934461936243E-3</v>
      </c>
      <c r="Y456">
        <v>-3.8776346922344551E-3</v>
      </c>
      <c r="Z456">
        <v>5.6112352315724756E-3</v>
      </c>
      <c r="AA456">
        <v>-2.9992292371439078E-3</v>
      </c>
      <c r="AC456">
        <v>-1.3355268635515949E-2</v>
      </c>
      <c r="AD456">
        <v>-2.3536925621858495E-2</v>
      </c>
      <c r="AE456">
        <v>-1.737957568370474E-2</v>
      </c>
      <c r="AF456">
        <v>-1.500950456846073E-2</v>
      </c>
      <c r="AG456">
        <v>-1.1489544764600512E-2</v>
      </c>
      <c r="AH456">
        <v>-4.5429919454483825E-3</v>
      </c>
      <c r="AI456">
        <v>-2.0123717102425775E-2</v>
      </c>
      <c r="AJ456">
        <v>-4.0000000000000036E-3</v>
      </c>
      <c r="AK456">
        <v>3.9538029341379399E-3</v>
      </c>
      <c r="AL456">
        <v>-1.3268782210049457E-2</v>
      </c>
    </row>
    <row r="457" spans="1:38">
      <c r="A457" s="568">
        <v>44494</v>
      </c>
      <c r="B457">
        <v>2.4278699229167143E-4</v>
      </c>
      <c r="C457">
        <v>1.980301632440451E-4</v>
      </c>
      <c r="D457">
        <v>3.1637605608469954E-4</v>
      </c>
      <c r="E457">
        <v>2.95962894151236E-4</v>
      </c>
      <c r="F457">
        <v>2.837260699459776E-4</v>
      </c>
      <c r="G457">
        <v>-2.363794582949108E-5</v>
      </c>
      <c r="H457">
        <v>3.6909585937383582E-4</v>
      </c>
      <c r="I457">
        <v>4.187043952770253E-4</v>
      </c>
      <c r="J457">
        <v>-3.8691945253682691E-3</v>
      </c>
      <c r="K457">
        <v>-4.3368105970240656E-3</v>
      </c>
      <c r="L457">
        <v>9.4711079299569789E-4</v>
      </c>
      <c r="M457">
        <v>9.6536472476516089E-4</v>
      </c>
      <c r="N457">
        <v>9.7082465086728575E-4</v>
      </c>
      <c r="O457">
        <v>5.4612392438491142E-4</v>
      </c>
      <c r="P457">
        <v>5.3573019985209136E-4</v>
      </c>
      <c r="Q457">
        <v>5.4958248556946643E-4</v>
      </c>
      <c r="R457">
        <v>1.6180990879000046E-3</v>
      </c>
      <c r="S457">
        <v>-6.6602133236171035E-5</v>
      </c>
      <c r="T457">
        <v>-4.297072010740477E-3</v>
      </c>
      <c r="U457">
        <v>1.5703585649462504E-4</v>
      </c>
      <c r="V457">
        <v>2.4546509436769171E-3</v>
      </c>
      <c r="W457">
        <v>2.5405419138064822E-3</v>
      </c>
      <c r="X457">
        <v>-3.0868350197436056E-3</v>
      </c>
      <c r="Y457">
        <v>2.4546509436769171E-3</v>
      </c>
      <c r="Z457">
        <v>2.5760019877620888E-3</v>
      </c>
      <c r="AA457">
        <v>4.694853395388332E-4</v>
      </c>
      <c r="AC457">
        <v>2.2751240919476112E-2</v>
      </c>
      <c r="AD457">
        <v>2.5575335806016453E-2</v>
      </c>
      <c r="AE457">
        <v>2.64578046420334E-2</v>
      </c>
      <c r="AF457">
        <v>1.7078097282771543E-2</v>
      </c>
      <c r="AG457">
        <v>2.4463296432301718E-2</v>
      </c>
      <c r="AH457">
        <v>1.4318427309945259E-2</v>
      </c>
      <c r="AI457">
        <v>1.3322681632511157E-2</v>
      </c>
      <c r="AJ457">
        <v>-8.5341365461847341E-3</v>
      </c>
      <c r="AK457">
        <v>6.2182609596850291E-4</v>
      </c>
      <c r="AL457">
        <v>-2.4100738865060589E-2</v>
      </c>
    </row>
    <row r="458" spans="1:38">
      <c r="A458" s="568">
        <v>44495</v>
      </c>
      <c r="B458">
        <v>2.4278699229167143E-4</v>
      </c>
      <c r="C458">
        <v>1.9285877495156534E-4</v>
      </c>
      <c r="D458">
        <v>2.8254726031451405E-4</v>
      </c>
      <c r="E458">
        <v>2.95962894151236E-4</v>
      </c>
      <c r="F458">
        <v>2.281960780130543E-4</v>
      </c>
      <c r="G458">
        <v>-1.1461926065348127E-4</v>
      </c>
      <c r="H458">
        <v>3.5912949108474201E-4</v>
      </c>
      <c r="I458">
        <v>3.795359745690785E-4</v>
      </c>
      <c r="J458">
        <v>-1.4612813202400377E-3</v>
      </c>
      <c r="K458">
        <v>-2.9358522057015835E-3</v>
      </c>
      <c r="L458">
        <v>9.4711079299569789E-4</v>
      </c>
      <c r="M458">
        <v>9.6536472476516089E-4</v>
      </c>
      <c r="N458">
        <v>9.7082465086728575E-4</v>
      </c>
      <c r="O458">
        <v>5.4612392438491142E-4</v>
      </c>
      <c r="P458">
        <v>5.3573019985209136E-4</v>
      </c>
      <c r="Q458">
        <v>5.4958248556946643E-4</v>
      </c>
      <c r="R458">
        <v>9.5219284410852367E-4</v>
      </c>
      <c r="S458">
        <v>-1.791496529199077E-3</v>
      </c>
      <c r="T458">
        <v>2.0661256921794546E-5</v>
      </c>
      <c r="U458">
        <v>-1.1870634842936489E-4</v>
      </c>
      <c r="V458">
        <v>-3.759528673826229E-3</v>
      </c>
      <c r="W458">
        <v>4.7662720473784503E-4</v>
      </c>
      <c r="X458">
        <v>-2.4939678567174051E-3</v>
      </c>
      <c r="Y458">
        <v>-3.759528673826229E-3</v>
      </c>
      <c r="Z458">
        <v>6.1027985189994194E-3</v>
      </c>
      <c r="AA458">
        <v>-3.2942860079733238E-3</v>
      </c>
      <c r="AC458">
        <v>-2.1110513726083635E-2</v>
      </c>
      <c r="AD458">
        <v>-2.5842319081419318E-2</v>
      </c>
      <c r="AE458">
        <v>-1.9100638382892332E-2</v>
      </c>
      <c r="AF458">
        <v>-1.2940955374566743E-2</v>
      </c>
      <c r="AG458">
        <v>-1.8819009250007457E-2</v>
      </c>
      <c r="AH458">
        <v>-2.116934853434993E-2</v>
      </c>
      <c r="AI458">
        <v>-2.4682663650819947E-2</v>
      </c>
      <c r="AJ458">
        <v>5.3526220614827924E-3</v>
      </c>
      <c r="AK458">
        <v>-1.3360952874158394E-2</v>
      </c>
      <c r="AL458">
        <v>1.4347496905673385E-2</v>
      </c>
    </row>
    <row r="459" spans="1:38">
      <c r="A459" s="568">
        <v>44496</v>
      </c>
      <c r="B459">
        <v>2.4278699229167143E-4</v>
      </c>
      <c r="C459">
        <v>3.9286960187623343E-4</v>
      </c>
      <c r="D459">
        <v>2.3603444444564303E-4</v>
      </c>
      <c r="E459">
        <v>2.95962894151236E-4</v>
      </c>
      <c r="F459">
        <v>2.7889006869918909E-4</v>
      </c>
      <c r="G459">
        <v>5.5456057809188941E-4</v>
      </c>
      <c r="H459">
        <v>3.6882722115216815E-4</v>
      </c>
      <c r="I459">
        <v>3.996007965361148E-4</v>
      </c>
      <c r="J459">
        <v>1.0937008680536042E-3</v>
      </c>
      <c r="K459">
        <v>2.0084055664402189E-3</v>
      </c>
      <c r="L459">
        <v>9.4711079299569789E-4</v>
      </c>
      <c r="M459">
        <v>9.6536472476516089E-4</v>
      </c>
      <c r="N459">
        <v>9.7082465086728575E-4</v>
      </c>
      <c r="O459">
        <v>5.4612392438491142E-4</v>
      </c>
      <c r="P459">
        <v>5.3573019985209136E-4</v>
      </c>
      <c r="Q459">
        <v>5.4958248556946643E-4</v>
      </c>
      <c r="R459">
        <v>-7.357012428580445E-4</v>
      </c>
      <c r="S459">
        <v>-3.7544465403580585E-3</v>
      </c>
      <c r="T459">
        <v>-9.6161125015085114E-3</v>
      </c>
      <c r="U459">
        <v>-3.2682948083961882E-4</v>
      </c>
      <c r="V459">
        <v>-3.5875129721490984E-3</v>
      </c>
      <c r="W459">
        <v>-1.2470474239093532E-3</v>
      </c>
      <c r="X459">
        <v>-1.1839995469353881E-2</v>
      </c>
      <c r="Y459">
        <v>-3.5875129721490984E-3</v>
      </c>
      <c r="Z459">
        <v>-3.1194412519635062E-3</v>
      </c>
      <c r="AA459">
        <v>-1.077281987879708E-3</v>
      </c>
      <c r="AC459">
        <v>-5.3025981227305952E-4</v>
      </c>
      <c r="AD459">
        <v>-1.4615010481064949E-3</v>
      </c>
      <c r="AE459">
        <v>-3.5239246643623545E-3</v>
      </c>
      <c r="AF459">
        <v>-1.6356421052699188E-2</v>
      </c>
      <c r="AG459">
        <v>2.8463789154153929E-3</v>
      </c>
      <c r="AH459">
        <v>-6.410343288984599E-3</v>
      </c>
      <c r="AI459">
        <v>-2.5092220431603973E-3</v>
      </c>
      <c r="AJ459">
        <v>-1.0000719476221387E-2</v>
      </c>
      <c r="AK459">
        <v>-1.8580726432920525E-2</v>
      </c>
      <c r="AL459">
        <v>5.3261230647807523E-3</v>
      </c>
    </row>
    <row r="460" spans="1:38">
      <c r="A460" s="568">
        <v>44497</v>
      </c>
      <c r="B460">
        <v>2.9987684899053231E-4</v>
      </c>
      <c r="C460">
        <v>1.7900822212824075E-4</v>
      </c>
      <c r="D460">
        <v>2.9787480968335167E-4</v>
      </c>
      <c r="E460">
        <v>3.5166360612159941E-4</v>
      </c>
      <c r="F460">
        <v>9.2937436904749759E-5</v>
      </c>
      <c r="G460">
        <v>-3.9425976104290328E-4</v>
      </c>
      <c r="H460">
        <v>3.6803636880389234E-4</v>
      </c>
      <c r="I460">
        <v>3.856058841169574E-4</v>
      </c>
      <c r="J460">
        <v>-3.4494404799246814E-3</v>
      </c>
      <c r="K460">
        <v>-8.444129652179555E-3</v>
      </c>
      <c r="L460">
        <v>9.4711079299569789E-4</v>
      </c>
      <c r="M460">
        <v>9.6536472476516089E-4</v>
      </c>
      <c r="N460">
        <v>9.7082465086728575E-4</v>
      </c>
      <c r="O460">
        <v>5.4612392438491142E-4</v>
      </c>
      <c r="P460">
        <v>5.3573019985209136E-4</v>
      </c>
      <c r="Q460">
        <v>5.4958248556946643E-4</v>
      </c>
      <c r="R460">
        <v>-1.341624367576788E-3</v>
      </c>
      <c r="S460">
        <v>1.7358815532071414E-3</v>
      </c>
      <c r="T460">
        <v>5.0916662849167516E-3</v>
      </c>
      <c r="U460">
        <v>3.2599183332704396E-3</v>
      </c>
      <c r="V460">
        <v>-2.4916467542568377E-4</v>
      </c>
      <c r="W460">
        <v>4.1817998358575359E-3</v>
      </c>
      <c r="X460">
        <v>2.7142074800872162E-3</v>
      </c>
      <c r="Y460">
        <v>-2.4916467542568377E-4</v>
      </c>
      <c r="Z460">
        <v>9.9836808458986237E-3</v>
      </c>
      <c r="AA460">
        <v>-2.7554214329436055E-3</v>
      </c>
      <c r="AC460">
        <v>-6.1876722284326391E-3</v>
      </c>
      <c r="AD460">
        <v>-7.1639329353793135E-3</v>
      </c>
      <c r="AE460">
        <v>-7.3127504979294544E-3</v>
      </c>
      <c r="AF460">
        <v>-1.4629818547943207E-3</v>
      </c>
      <c r="AG460">
        <v>-1.2158058329982735E-2</v>
      </c>
      <c r="AH460">
        <v>-7.9178964961040821E-3</v>
      </c>
      <c r="AI460">
        <v>-2.1568332473671514E-3</v>
      </c>
      <c r="AJ460">
        <v>2.4345930232558155E-2</v>
      </c>
      <c r="AK460">
        <v>-2.8880094127713418E-3</v>
      </c>
      <c r="AL460">
        <v>7.4933009690099084E-3</v>
      </c>
    </row>
    <row r="461" spans="1:38">
      <c r="A461" s="568">
        <v>44498</v>
      </c>
      <c r="B461">
        <v>2.9987684899053231E-4</v>
      </c>
      <c r="C461">
        <v>5.3793710905103431E-4</v>
      </c>
      <c r="D461">
        <v>2.8894644490895516E-4</v>
      </c>
      <c r="E461">
        <v>3.5166360612159941E-4</v>
      </c>
      <c r="F461">
        <v>4.7572725311839648E-4</v>
      </c>
      <c r="G461">
        <v>2.8639770324789815E-4</v>
      </c>
      <c r="H461">
        <v>4.0717865126982389E-4</v>
      </c>
      <c r="I461">
        <v>4.3847496106663719E-4</v>
      </c>
      <c r="J461">
        <v>5.4976305308691575E-3</v>
      </c>
      <c r="K461">
        <v>6.7446193759412854E-3</v>
      </c>
      <c r="L461">
        <v>9.4711079299569789E-4</v>
      </c>
      <c r="M461">
        <v>9.6536472476516089E-4</v>
      </c>
      <c r="N461">
        <v>9.7082465086728575E-4</v>
      </c>
      <c r="O461">
        <v>5.4612392438491142E-4</v>
      </c>
      <c r="P461">
        <v>5.3573019985209136E-4</v>
      </c>
      <c r="Q461">
        <v>5.4958248556946643E-4</v>
      </c>
      <c r="R461">
        <v>-2.0529166113300024E-3</v>
      </c>
      <c r="S461">
        <v>1.4748902915224793E-3</v>
      </c>
      <c r="T461">
        <v>6.4411177880316917E-3</v>
      </c>
      <c r="U461">
        <v>1.9442092581862802E-3</v>
      </c>
      <c r="V461">
        <v>-6.5546641544600437E-4</v>
      </c>
      <c r="W461">
        <v>1.142384897736104E-3</v>
      </c>
      <c r="X461">
        <v>1.4086425016437421E-3</v>
      </c>
      <c r="Y461">
        <v>-6.5546641544600437E-4</v>
      </c>
      <c r="Z461">
        <v>-2.3480850718827773E-3</v>
      </c>
      <c r="AA461">
        <v>-4.6306416265305961E-3</v>
      </c>
      <c r="AC461">
        <v>-2.0852853073308975E-2</v>
      </c>
      <c r="AD461">
        <v>-1.7882483045966291E-2</v>
      </c>
      <c r="AE461">
        <v>-1.7824800521971662E-2</v>
      </c>
      <c r="AF461">
        <v>-9.2263716339048285E-3</v>
      </c>
      <c r="AG461">
        <v>-1.0512750345289534E-2</v>
      </c>
      <c r="AH461">
        <v>-4.1351909388739339E-3</v>
      </c>
      <c r="AI461">
        <v>-1.4881395174330625E-2</v>
      </c>
      <c r="AJ461">
        <v>3.9020929407591609E-3</v>
      </c>
      <c r="AK461">
        <v>-8.7963956232567364E-3</v>
      </c>
      <c r="AL461">
        <v>-4.471267666518397E-3</v>
      </c>
    </row>
    <row r="462" spans="1:38">
      <c r="A462" s="568">
        <v>44501</v>
      </c>
      <c r="B462">
        <v>2.9987684899053231E-4</v>
      </c>
      <c r="C462">
        <v>2.9301630519862343E-4</v>
      </c>
      <c r="D462">
        <v>3.0543255712234263E-4</v>
      </c>
      <c r="E462">
        <v>3.5166360612159941E-4</v>
      </c>
      <c r="F462">
        <v>3.4767818293834907E-4</v>
      </c>
      <c r="G462">
        <v>2.9520009950512183E-4</v>
      </c>
      <c r="H462">
        <v>4.2402632627647208E-4</v>
      </c>
      <c r="I462">
        <v>4.5935124814344697E-4</v>
      </c>
      <c r="J462">
        <v>-8.5290986941533031E-4</v>
      </c>
      <c r="K462">
        <v>-1.7750702445037403E-3</v>
      </c>
      <c r="L462">
        <v>7.9866927313587688E-4</v>
      </c>
      <c r="M462">
        <v>8.1692049782788878E-4</v>
      </c>
      <c r="N462">
        <v>8.223796142170503E-4</v>
      </c>
      <c r="O462">
        <v>5.4612392438491142E-4</v>
      </c>
      <c r="P462">
        <v>5.3573019985209136E-4</v>
      </c>
      <c r="Q462">
        <v>5.4958248556946643E-4</v>
      </c>
      <c r="R462">
        <v>4.069327620501717E-4</v>
      </c>
      <c r="S462">
        <v>4.9877095311137154E-3</v>
      </c>
      <c r="T462">
        <v>3.6087584614998836E-3</v>
      </c>
      <c r="U462">
        <v>9.4753689313420431E-4</v>
      </c>
      <c r="V462">
        <v>3.4016828853453696E-3</v>
      </c>
      <c r="W462">
        <v>1.6998140241366588E-3</v>
      </c>
      <c r="X462">
        <v>5.8955879573896475E-3</v>
      </c>
      <c r="Y462">
        <v>3.4016828853453696E-3</v>
      </c>
      <c r="Z462">
        <v>3.6029593313038344E-3</v>
      </c>
      <c r="AA462">
        <v>-1.5951067693457111E-3</v>
      </c>
      <c r="AC462">
        <v>1.9808076678894171E-2</v>
      </c>
      <c r="AD462">
        <v>1.3163429909099911E-2</v>
      </c>
      <c r="AE462">
        <v>1.4838821063444252E-2</v>
      </c>
      <c r="AF462">
        <v>-9.3887342123877282E-4</v>
      </c>
      <c r="AG462">
        <v>1.6992385735664195E-2</v>
      </c>
      <c r="AH462">
        <v>1.0611891340787105E-2</v>
      </c>
      <c r="AI462">
        <v>3.5338101447293102E-3</v>
      </c>
      <c r="AJ462">
        <v>3.5335689045936647E-3</v>
      </c>
      <c r="AK462">
        <v>-3.8961038961038419E-3</v>
      </c>
      <c r="AL462">
        <v>1.0636224637588843E-2</v>
      </c>
    </row>
    <row r="463" spans="1:38">
      <c r="A463" s="568">
        <v>44503</v>
      </c>
      <c r="B463">
        <v>2.9987684899053231E-4</v>
      </c>
      <c r="C463">
        <v>3.8230155098473162E-4</v>
      </c>
      <c r="D463">
        <v>2.9374413339966488E-4</v>
      </c>
      <c r="E463">
        <v>3.5166360612159941E-4</v>
      </c>
      <c r="F463">
        <v>3.5437219473100079E-4</v>
      </c>
      <c r="G463">
        <v>3.4858675859283927E-4</v>
      </c>
      <c r="H463">
        <v>4.1599759296984118E-4</v>
      </c>
      <c r="I463">
        <v>4.5742948487559332E-4</v>
      </c>
      <c r="J463">
        <v>8.5006587422440383E-3</v>
      </c>
      <c r="K463">
        <v>9.266657930189881E-3</v>
      </c>
      <c r="L463">
        <v>7.9866927313587688E-4</v>
      </c>
      <c r="M463">
        <v>8.1692049782788878E-4</v>
      </c>
      <c r="N463">
        <v>8.223796142170503E-4</v>
      </c>
      <c r="O463">
        <v>5.4612392438491142E-4</v>
      </c>
      <c r="P463">
        <v>5.3573019985209136E-4</v>
      </c>
      <c r="Q463">
        <v>5.4958248556946643E-4</v>
      </c>
      <c r="R463">
        <v>1.2522282035136723E-3</v>
      </c>
      <c r="S463">
        <v>-2.648209085811204E-3</v>
      </c>
      <c r="T463">
        <v>4.4986417406511769E-4</v>
      </c>
      <c r="U463">
        <v>2.0008473054347053E-3</v>
      </c>
      <c r="V463">
        <v>4.1606394559852156E-3</v>
      </c>
      <c r="W463">
        <v>6.048827848719851E-3</v>
      </c>
      <c r="X463">
        <v>1.0328673929300702E-3</v>
      </c>
      <c r="Y463">
        <v>4.1606394559852156E-3</v>
      </c>
      <c r="Z463">
        <v>-2.6383370522026217E-3</v>
      </c>
      <c r="AA463">
        <v>3.2332867975310986E-3</v>
      </c>
      <c r="AC463">
        <v>6.2548045558319387E-4</v>
      </c>
      <c r="AD463">
        <v>1.6127065555076925E-2</v>
      </c>
      <c r="AE463">
        <v>6.4046946673510519E-3</v>
      </c>
      <c r="AF463">
        <v>7.3740210464630085E-3</v>
      </c>
      <c r="AG463">
        <v>8.9644293385024998E-3</v>
      </c>
      <c r="AH463">
        <v>6.3633311867832276E-3</v>
      </c>
      <c r="AI463">
        <v>1.2701683646803463E-2</v>
      </c>
      <c r="AJ463">
        <v>-2.4647887323943074E-3</v>
      </c>
      <c r="AK463">
        <v>-7.6053889613212355E-3</v>
      </c>
      <c r="AL463">
        <v>-1.3253145571254121E-2</v>
      </c>
    </row>
    <row r="464" spans="1:38">
      <c r="A464" s="568">
        <v>44504</v>
      </c>
      <c r="B464">
        <v>2.9987684899053231E-4</v>
      </c>
      <c r="C464">
        <v>3.1858239125082122E-4</v>
      </c>
      <c r="D464">
        <v>2.7820219558938319E-4</v>
      </c>
      <c r="E464">
        <v>3.5166360612159941E-4</v>
      </c>
      <c r="F464">
        <v>2.763294255498927E-4</v>
      </c>
      <c r="G464">
        <v>2.7038782804456041E-4</v>
      </c>
      <c r="H464">
        <v>4.1124792496316509E-4</v>
      </c>
      <c r="I464">
        <v>4.3592099076117385E-4</v>
      </c>
      <c r="J464">
        <v>7.116752756508582E-4</v>
      </c>
      <c r="K464">
        <v>-3.1305029141743823E-3</v>
      </c>
      <c r="L464">
        <v>7.9866927313587688E-4</v>
      </c>
      <c r="M464">
        <v>8.1692049782788878E-4</v>
      </c>
      <c r="N464">
        <v>8.223796142170503E-4</v>
      </c>
      <c r="O464">
        <v>5.4612392438491142E-4</v>
      </c>
      <c r="P464">
        <v>5.3573019985209136E-4</v>
      </c>
      <c r="Q464">
        <v>5.4958248556946643E-4</v>
      </c>
      <c r="R464">
        <v>2.3271290337247841E-3</v>
      </c>
      <c r="S464">
        <v>-2.7018250960985091E-3</v>
      </c>
      <c r="T464">
        <v>-4.2436893009897281E-3</v>
      </c>
      <c r="U464">
        <v>1.0186985630560308E-3</v>
      </c>
      <c r="V464">
        <v>-2.7177141499347135E-3</v>
      </c>
      <c r="W464">
        <v>2.248081461396767E-3</v>
      </c>
      <c r="X464">
        <v>-4.0973242213645511E-3</v>
      </c>
      <c r="Y464">
        <v>-2.7177141499347135E-3</v>
      </c>
      <c r="Z464">
        <v>1.3696997859724558E-3</v>
      </c>
      <c r="AA464">
        <v>-1.2252978166606976E-3</v>
      </c>
      <c r="AC464">
        <v>-2.0875356287744951E-2</v>
      </c>
      <c r="AD464">
        <v>-1.0994971132331277E-2</v>
      </c>
      <c r="AE464">
        <v>-1.4951145806566868E-2</v>
      </c>
      <c r="AF464">
        <v>-6.2551050657180252E-3</v>
      </c>
      <c r="AG464">
        <v>-1.2950286301660063E-2</v>
      </c>
      <c r="AH464">
        <v>-1.6274810888581626E-2</v>
      </c>
      <c r="AI464">
        <v>-3.8779374566700886E-3</v>
      </c>
      <c r="AJ464">
        <v>9.1775503000350867E-3</v>
      </c>
      <c r="AK464">
        <v>8.211079483249506E-3</v>
      </c>
      <c r="AL464">
        <v>2.3153615064803956E-2</v>
      </c>
    </row>
    <row r="465" spans="1:38">
      <c r="A465" s="568">
        <v>44505</v>
      </c>
      <c r="B465">
        <v>2.9987684899053231E-4</v>
      </c>
      <c r="C465">
        <v>3.0597006193922027E-4</v>
      </c>
      <c r="D465">
        <v>3.0682023865757913E-4</v>
      </c>
      <c r="E465">
        <v>3.5166360612159941E-4</v>
      </c>
      <c r="F465">
        <v>4.8184668166384448E-4</v>
      </c>
      <c r="G465">
        <v>2.5713758105094797E-4</v>
      </c>
      <c r="H465">
        <v>4.130395001697984E-4</v>
      </c>
      <c r="I465">
        <v>4.3568179594366541E-4</v>
      </c>
      <c r="J465">
        <v>3.0456479434715078E-4</v>
      </c>
      <c r="K465">
        <v>2.2242429026526622E-3</v>
      </c>
      <c r="L465">
        <v>7.9866927313587688E-4</v>
      </c>
      <c r="M465">
        <v>8.1692049782788878E-4</v>
      </c>
      <c r="N465">
        <v>8.223796142170503E-4</v>
      </c>
      <c r="O465">
        <v>5.4612392438491142E-4</v>
      </c>
      <c r="P465">
        <v>5.3573019985209136E-4</v>
      </c>
      <c r="Q465">
        <v>5.4958248556946643E-4</v>
      </c>
      <c r="R465">
        <v>1.9193563970298921E-3</v>
      </c>
      <c r="S465">
        <v>-5.9336927771214132E-4</v>
      </c>
      <c r="T465">
        <v>-9.5760350728484323E-3</v>
      </c>
      <c r="U465">
        <v>-5.2010760550835755E-5</v>
      </c>
      <c r="V465">
        <v>1.8639028288633952E-3</v>
      </c>
      <c r="W465">
        <v>4.0115377543676889E-3</v>
      </c>
      <c r="X465">
        <v>-7.5079834556919245E-3</v>
      </c>
      <c r="Y465">
        <v>1.8639028288633952E-3</v>
      </c>
      <c r="Z465">
        <v>-7.60459900584598E-4</v>
      </c>
      <c r="AA465">
        <v>4.4304927583291853E-3</v>
      </c>
      <c r="AC465">
        <v>1.3655463302211457E-2</v>
      </c>
      <c r="AD465">
        <v>1.6439132694033853E-2</v>
      </c>
      <c r="AE465">
        <v>1.6854994530135725E-2</v>
      </c>
      <c r="AF465">
        <v>1.484416425699453E-2</v>
      </c>
      <c r="AG465">
        <v>1.5191541424565358E-2</v>
      </c>
      <c r="AH465">
        <v>2.5364017258269422E-2</v>
      </c>
      <c r="AI465">
        <v>8.6414203378069043E-3</v>
      </c>
      <c r="AJ465">
        <v>-1.0318293109478849E-2</v>
      </c>
      <c r="AK465">
        <v>-1.8351612552937269E-2</v>
      </c>
      <c r="AL465">
        <v>-2.1495607977042308E-2</v>
      </c>
    </row>
    <row r="466" spans="1:38">
      <c r="A466" s="568">
        <v>44508</v>
      </c>
      <c r="B466">
        <v>2.9987684899053231E-4</v>
      </c>
      <c r="C466">
        <v>3.2456878182718363E-4</v>
      </c>
      <c r="D466">
        <v>3.1003612306990114E-4</v>
      </c>
      <c r="E466">
        <v>3.5166360612159941E-4</v>
      </c>
      <c r="F466">
        <v>4.1439278905497368E-4</v>
      </c>
      <c r="G466">
        <v>2.7765549348024443E-4</v>
      </c>
      <c r="H466">
        <v>4.1286896897752001E-4</v>
      </c>
      <c r="I466">
        <v>4.6810539822672581E-4</v>
      </c>
      <c r="J466">
        <v>7.8085692315799093E-4</v>
      </c>
      <c r="K466">
        <v>4.1393514428222922E-4</v>
      </c>
      <c r="L466">
        <v>7.9866927313587688E-4</v>
      </c>
      <c r="M466">
        <v>8.1692049782788878E-4</v>
      </c>
      <c r="N466">
        <v>8.223796142170503E-4</v>
      </c>
      <c r="O466">
        <v>5.4612392438491142E-4</v>
      </c>
      <c r="P466">
        <v>5.3573019985209136E-4</v>
      </c>
      <c r="Q466">
        <v>5.4958248556946643E-4</v>
      </c>
      <c r="R466">
        <v>6.5737560136946982E-4</v>
      </c>
      <c r="S466">
        <v>2.5861407158789262E-4</v>
      </c>
      <c r="T466">
        <v>-3.2409142292700865E-3</v>
      </c>
      <c r="U466">
        <v>5.6294220076491541E-4</v>
      </c>
      <c r="V466">
        <v>-1.8331851095831908E-4</v>
      </c>
      <c r="W466">
        <v>1.7307347260020478E-4</v>
      </c>
      <c r="X466">
        <v>2.550726243591539E-3</v>
      </c>
      <c r="Y466">
        <v>-1.8331851095831908E-4</v>
      </c>
      <c r="Z466">
        <v>1.5008378823033741E-3</v>
      </c>
      <c r="AA466">
        <v>-3.4679959531814797E-3</v>
      </c>
      <c r="AC466">
        <v>-4.1116447981537352E-4</v>
      </c>
      <c r="AD466">
        <v>-6.8976271624680008E-3</v>
      </c>
      <c r="AE466">
        <v>-1.5155548541218034E-3</v>
      </c>
      <c r="AF466">
        <v>-1.7423481699976318E-3</v>
      </c>
      <c r="AG466">
        <v>-4.4109317890207445E-3</v>
      </c>
      <c r="AH466">
        <v>-2.9457683037086291E-3</v>
      </c>
      <c r="AI466">
        <v>-7.8342884981985605E-4</v>
      </c>
      <c r="AJ466">
        <v>3.6048771867822627E-3</v>
      </c>
      <c r="AK466">
        <v>-2.7654867256636795E-3</v>
      </c>
      <c r="AL466">
        <v>1.5912332514058436E-2</v>
      </c>
    </row>
    <row r="467" spans="1:38">
      <c r="A467" s="568">
        <v>44509</v>
      </c>
      <c r="B467">
        <v>2.9987684899053231E-4</v>
      </c>
      <c r="C467">
        <v>3.8833443460761785E-4</v>
      </c>
      <c r="D467">
        <v>2.8953472596793262E-4</v>
      </c>
      <c r="E467">
        <v>3.5166360612159941E-4</v>
      </c>
      <c r="F467">
        <v>4.0529029289348983E-4</v>
      </c>
      <c r="G467">
        <v>2.978823464421243E-4</v>
      </c>
      <c r="H467">
        <v>4.1335158262056915E-4</v>
      </c>
      <c r="I467">
        <v>4.313354525598001E-4</v>
      </c>
      <c r="J467">
        <v>2.843747472257796E-3</v>
      </c>
      <c r="K467">
        <v>3.3639549269388613E-3</v>
      </c>
      <c r="L467">
        <v>7.9866927313587688E-4</v>
      </c>
      <c r="M467">
        <v>8.1692049782788878E-4</v>
      </c>
      <c r="N467">
        <v>8.223796142170503E-4</v>
      </c>
      <c r="O467">
        <v>5.4612392438491142E-4</v>
      </c>
      <c r="P467">
        <v>5.3573019985209136E-4</v>
      </c>
      <c r="Q467">
        <v>5.4958248556946643E-4</v>
      </c>
      <c r="R467">
        <v>1.1852017252118596E-3</v>
      </c>
      <c r="S467">
        <v>-2.8848098339046002E-3</v>
      </c>
      <c r="T467">
        <v>-7.4156823361308799E-3</v>
      </c>
      <c r="U467">
        <v>-3.1691961555612158E-3</v>
      </c>
      <c r="V467">
        <v>-8.1517362702709928E-4</v>
      </c>
      <c r="W467">
        <v>-1.3938735184140238E-3</v>
      </c>
      <c r="X467">
        <v>-5.1737822305673031E-3</v>
      </c>
      <c r="Y467">
        <v>-8.1517362702709928E-4</v>
      </c>
      <c r="Z467">
        <v>-1.4032738290266078E-3</v>
      </c>
      <c r="AA467">
        <v>3.799754193567928E-3</v>
      </c>
      <c r="AC467">
        <v>7.1954749867653156E-3</v>
      </c>
      <c r="AD467">
        <v>1.1749304151856377E-2</v>
      </c>
      <c r="AE467">
        <v>4.900181334058118E-3</v>
      </c>
      <c r="AF467">
        <v>7.0852765474826995E-3</v>
      </c>
      <c r="AG467">
        <v>1.0356487852133833E-2</v>
      </c>
      <c r="AH467">
        <v>-4.5227945543174775E-3</v>
      </c>
      <c r="AI467">
        <v>-1.7981769661112867E-4</v>
      </c>
      <c r="AJ467">
        <v>-1.3980350036975842E-2</v>
      </c>
      <c r="AK467">
        <v>7.7648363838034307E-4</v>
      </c>
      <c r="AL467">
        <v>-1.07208607453676E-2</v>
      </c>
    </row>
    <row r="468" spans="1:38">
      <c r="A468" s="568">
        <v>44510</v>
      </c>
      <c r="B468">
        <v>2.9987684899053231E-4</v>
      </c>
      <c r="C468">
        <v>3.9611224311819626E-4</v>
      </c>
      <c r="D468">
        <v>2.982722812425731E-4</v>
      </c>
      <c r="E468">
        <v>3.5166360612159941E-4</v>
      </c>
      <c r="F468">
        <v>3.2095509434371117E-4</v>
      </c>
      <c r="G468">
        <v>3.4268669293080478E-4</v>
      </c>
      <c r="H468">
        <v>4.1318079368579674E-4</v>
      </c>
      <c r="I468">
        <v>4.7169616528530689E-4</v>
      </c>
      <c r="J468">
        <v>1.2342966620075835E-3</v>
      </c>
      <c r="K468">
        <v>1.4441269954208469E-3</v>
      </c>
      <c r="L468">
        <v>7.9866927313587688E-4</v>
      </c>
      <c r="M468">
        <v>8.1692049782788878E-4</v>
      </c>
      <c r="N468">
        <v>8.223796142170503E-4</v>
      </c>
      <c r="O468">
        <v>5.4612392438491142E-4</v>
      </c>
      <c r="P468">
        <v>5.3573019985209136E-4</v>
      </c>
      <c r="Q468">
        <v>5.4958248556946643E-4</v>
      </c>
      <c r="R468">
        <v>-1.1051526642513743E-3</v>
      </c>
      <c r="S468">
        <v>3.237798571079864E-3</v>
      </c>
      <c r="T468">
        <v>1.2767602107265352E-2</v>
      </c>
      <c r="U468">
        <v>5.1457993137500324E-3</v>
      </c>
      <c r="V468">
        <v>3.06497448334353E-3</v>
      </c>
      <c r="W468">
        <v>-2.6745250823501099E-3</v>
      </c>
      <c r="X468">
        <v>1.2213999743990733E-2</v>
      </c>
      <c r="Y468">
        <v>3.06497448334353E-3</v>
      </c>
      <c r="Z468">
        <v>1.9209082149496126E-4</v>
      </c>
      <c r="AA468">
        <v>-1.9502485621665233E-3</v>
      </c>
      <c r="AC468">
        <v>4.0975000919125648E-3</v>
      </c>
      <c r="AD468">
        <v>9.5607704121403181E-4</v>
      </c>
      <c r="AE468">
        <v>1.4269481650068805E-3</v>
      </c>
      <c r="AF468">
        <v>4.7131813500829178E-3</v>
      </c>
      <c r="AG468">
        <v>7.6328647236365565E-3</v>
      </c>
      <c r="AH468">
        <v>-8.9039119765166319E-4</v>
      </c>
      <c r="AI468">
        <v>7.1910287453398336E-3</v>
      </c>
      <c r="AJ468">
        <v>-5.5000000000000604E-3</v>
      </c>
      <c r="AK468">
        <v>1.2081578363999146E-2</v>
      </c>
      <c r="AL468">
        <v>3.6248569527406183E-3</v>
      </c>
    </row>
    <row r="469" spans="1:38">
      <c r="A469" s="568">
        <v>44511</v>
      </c>
      <c r="B469">
        <v>2.9987684899053231E-4</v>
      </c>
      <c r="C469">
        <v>5.2407440876578448E-4</v>
      </c>
      <c r="D469">
        <v>2.8715992768635346E-4</v>
      </c>
      <c r="E469">
        <v>3.5166360612159941E-4</v>
      </c>
      <c r="F469">
        <v>5.4056144445513432E-4</v>
      </c>
      <c r="G469">
        <v>4.1651235205431014E-4</v>
      </c>
      <c r="H469">
        <v>4.1170521645494951E-4</v>
      </c>
      <c r="I469">
        <v>4.3981754449373689E-4</v>
      </c>
      <c r="J469">
        <v>1.9282614925957287E-3</v>
      </c>
      <c r="K469">
        <v>2.9762217199835739E-3</v>
      </c>
      <c r="L469">
        <v>7.9866927313587688E-4</v>
      </c>
      <c r="M469">
        <v>8.1692049782788878E-4</v>
      </c>
      <c r="N469">
        <v>8.223796142170503E-4</v>
      </c>
      <c r="O469">
        <v>5.4612392438491142E-4</v>
      </c>
      <c r="P469">
        <v>5.3573019985209136E-4</v>
      </c>
      <c r="Q469">
        <v>5.4958248556946643E-4</v>
      </c>
      <c r="R469">
        <v>2.3326129848388888E-4</v>
      </c>
      <c r="S469">
        <v>4.8490271139132179E-3</v>
      </c>
      <c r="T469">
        <v>3.6067949841160907E-3</v>
      </c>
      <c r="U469">
        <v>-8.3027299299487378E-4</v>
      </c>
      <c r="V469">
        <v>4.2051708026165091E-3</v>
      </c>
      <c r="W469">
        <v>1.6243211405635449E-3</v>
      </c>
      <c r="X469">
        <v>1.6047213973597874E-3</v>
      </c>
      <c r="Y469">
        <v>4.2051708026165091E-3</v>
      </c>
      <c r="Z469">
        <v>-1.3167026559032236E-3</v>
      </c>
      <c r="AA469">
        <v>5.4448054736817575E-3</v>
      </c>
      <c r="AC469">
        <v>1.5355272573640777E-2</v>
      </c>
      <c r="AD469">
        <v>2.2519770038208931E-2</v>
      </c>
      <c r="AE469">
        <v>1.6177843691825178E-2</v>
      </c>
      <c r="AF469">
        <v>1.0117002603654557E-2</v>
      </c>
      <c r="AG469">
        <v>1.6447612540633427E-2</v>
      </c>
      <c r="AH469">
        <v>8.5788472115877479E-3</v>
      </c>
      <c r="AI469">
        <v>2.5977512727582308E-2</v>
      </c>
      <c r="AJ469">
        <v>-1.6375781081663487E-2</v>
      </c>
      <c r="AK469">
        <v>1.8946446172379838E-2</v>
      </c>
      <c r="AL469">
        <v>-1.6892677661264566E-2</v>
      </c>
    </row>
    <row r="470" spans="1:38">
      <c r="A470" s="568">
        <v>44512</v>
      </c>
      <c r="B470">
        <v>2.9987684899053231E-4</v>
      </c>
      <c r="C470">
        <v>3.5100563967538356E-4</v>
      </c>
      <c r="D470">
        <v>3.2840342487294727E-4</v>
      </c>
      <c r="E470">
        <v>3.5166360612159941E-4</v>
      </c>
      <c r="F470">
        <v>2.9561910328013141E-4</v>
      </c>
      <c r="G470">
        <v>3.1885514739582455E-4</v>
      </c>
      <c r="H470">
        <v>4.1023139268037134E-4</v>
      </c>
      <c r="I470">
        <v>4.3434166249789463E-4</v>
      </c>
      <c r="J470">
        <v>2.9841161155728102E-3</v>
      </c>
      <c r="K470">
        <v>3.4544971584953288E-3</v>
      </c>
      <c r="L470">
        <v>7.9866927313587688E-4</v>
      </c>
      <c r="M470">
        <v>8.1692049782788878E-4</v>
      </c>
      <c r="N470">
        <v>8.223796142170503E-4</v>
      </c>
      <c r="O470">
        <v>5.4612392438491142E-4</v>
      </c>
      <c r="P470">
        <v>5.3573019985209136E-4</v>
      </c>
      <c r="Q470">
        <v>5.4958248556946643E-4</v>
      </c>
      <c r="R470">
        <v>-5.8801034569255783E-4</v>
      </c>
      <c r="S470">
        <v>1.4062845352851294E-3</v>
      </c>
      <c r="T470">
        <v>3.2479294618743548E-3</v>
      </c>
      <c r="U470">
        <v>1.6810724491678197E-3</v>
      </c>
      <c r="V470">
        <v>-7.4100880594185625E-4</v>
      </c>
      <c r="W470">
        <v>2.270467896751116E-3</v>
      </c>
      <c r="X470">
        <v>-4.174156937398199E-3</v>
      </c>
      <c r="Y470">
        <v>-7.4100880594185625E-4</v>
      </c>
      <c r="Z470">
        <v>7.4987840455298382E-4</v>
      </c>
      <c r="AA470">
        <v>-4.2447952806388134E-3</v>
      </c>
      <c r="AC470">
        <v>-1.1711825502136897E-2</v>
      </c>
      <c r="AD470">
        <v>-1.9919030048991204E-2</v>
      </c>
      <c r="AE470">
        <v>-1.5914058585349999E-2</v>
      </c>
      <c r="AF470">
        <v>-6.1414161512540755E-4</v>
      </c>
      <c r="AG470">
        <v>-6.4302028841543013E-3</v>
      </c>
      <c r="AH470">
        <v>-1.3511306131988143E-2</v>
      </c>
      <c r="AI470">
        <v>8.0242070534808363E-4</v>
      </c>
      <c r="AJ470">
        <v>1.5407082876962575E-2</v>
      </c>
      <c r="AK470">
        <v>6.7712811693894093E-3</v>
      </c>
      <c r="AL470">
        <v>1.5153081666038348E-2</v>
      </c>
    </row>
    <row r="471" spans="1:38">
      <c r="A471" s="568">
        <v>44516</v>
      </c>
      <c r="B471">
        <v>2.9987684899053231E-4</v>
      </c>
      <c r="C471">
        <v>3.303455078711437E-4</v>
      </c>
      <c r="D471">
        <v>2.8918657050613916E-4</v>
      </c>
      <c r="E471">
        <v>3.5166360612159941E-4</v>
      </c>
      <c r="F471">
        <v>2.7472562468222606E-4</v>
      </c>
      <c r="G471">
        <v>3.1126417368532167E-4</v>
      </c>
      <c r="H471">
        <v>4.1462667301206402E-4</v>
      </c>
      <c r="I471">
        <v>4.8079553240998329E-4</v>
      </c>
      <c r="J471">
        <v>-7.5566746324262635E-4</v>
      </c>
      <c r="K471">
        <v>-8.2665560493988544E-4</v>
      </c>
      <c r="L471">
        <v>7.9866927313587688E-4</v>
      </c>
      <c r="M471">
        <v>8.1692049782788878E-4</v>
      </c>
      <c r="N471">
        <v>8.223796142170503E-4</v>
      </c>
      <c r="O471">
        <v>5.4612392438491142E-4</v>
      </c>
      <c r="P471">
        <v>5.3573019985209136E-4</v>
      </c>
      <c r="Q471">
        <v>5.4958248556946643E-4</v>
      </c>
      <c r="R471">
        <v>-1.1890557498456245E-3</v>
      </c>
      <c r="S471">
        <v>1.2331677910424332E-3</v>
      </c>
      <c r="T471">
        <v>6.4439345591085218E-3</v>
      </c>
      <c r="U471">
        <v>2.4319732923334669E-3</v>
      </c>
      <c r="V471">
        <v>-1.8058546151533683E-3</v>
      </c>
      <c r="W471">
        <v>1.0675606582990493E-3</v>
      </c>
      <c r="X471">
        <v>8.8028015738066401E-3</v>
      </c>
      <c r="Y471">
        <v>-1.8058546151533683E-3</v>
      </c>
      <c r="Z471">
        <v>1.773151648150284E-3</v>
      </c>
      <c r="AA471">
        <v>-5.0682809560974595E-3</v>
      </c>
      <c r="AC471">
        <v>-1.8158540019075575E-2</v>
      </c>
      <c r="AD471">
        <v>-2.2920578477538367E-2</v>
      </c>
      <c r="AE471">
        <v>-1.9120222961518718E-2</v>
      </c>
      <c r="AF471">
        <v>-1.795426108794429E-2</v>
      </c>
      <c r="AG471">
        <v>-1.6793297508309046E-2</v>
      </c>
      <c r="AH471">
        <v>-1.1691518422545344E-2</v>
      </c>
      <c r="AI471">
        <v>-2.3176863562392569E-2</v>
      </c>
      <c r="AJ471">
        <v>1.0391198044009675E-2</v>
      </c>
      <c r="AK471">
        <v>1.0355503362869722E-2</v>
      </c>
      <c r="AL471">
        <v>1.6408155389902701E-2</v>
      </c>
    </row>
    <row r="472" spans="1:38">
      <c r="A472" s="568">
        <v>44517</v>
      </c>
      <c r="B472">
        <v>2.9987684899053231E-4</v>
      </c>
      <c r="C472">
        <v>5.8435281846502818E-4</v>
      </c>
      <c r="D472">
        <v>2.857989319160481E-4</v>
      </c>
      <c r="E472">
        <v>3.5166360612159941E-4</v>
      </c>
      <c r="F472">
        <v>4.6779673679941958E-4</v>
      </c>
      <c r="G472">
        <v>3.1764997091499048E-4</v>
      </c>
      <c r="H472">
        <v>4.0989321923223798E-4</v>
      </c>
      <c r="I472">
        <v>4.3895617846390067E-4</v>
      </c>
      <c r="J472">
        <v>1.5925321020926475E-4</v>
      </c>
      <c r="K472">
        <v>8.3971647022740292E-4</v>
      </c>
      <c r="L472">
        <v>7.9866927313587688E-4</v>
      </c>
      <c r="M472">
        <v>8.1692049782788878E-4</v>
      </c>
      <c r="N472">
        <v>8.223796142170503E-4</v>
      </c>
      <c r="O472">
        <v>5.4612392438491142E-4</v>
      </c>
      <c r="P472">
        <v>5.3573019985209136E-4</v>
      </c>
      <c r="Q472">
        <v>5.4958248556946643E-4</v>
      </c>
      <c r="R472">
        <v>-3.3542690723975532E-5</v>
      </c>
      <c r="S472">
        <v>-9.2854758215710209E-4</v>
      </c>
      <c r="T472">
        <v>-6.1145171966225931E-4</v>
      </c>
      <c r="U472">
        <v>-8.2122515015947695E-4</v>
      </c>
      <c r="V472">
        <v>-3.5096465919159936E-3</v>
      </c>
      <c r="W472">
        <v>-1.3476996316428291E-3</v>
      </c>
      <c r="X472">
        <v>-1.9847784473349117E-3</v>
      </c>
      <c r="Y472">
        <v>-3.5096465919159936E-3</v>
      </c>
      <c r="Z472">
        <v>-8.8167052257892564E-6</v>
      </c>
      <c r="AA472">
        <v>-6.7048586433287038E-3</v>
      </c>
      <c r="AC472">
        <v>-1.3938304461740159E-2</v>
      </c>
      <c r="AD472">
        <v>-2.3578751790080177E-2</v>
      </c>
      <c r="AE472">
        <v>-1.5227901396288268E-2</v>
      </c>
      <c r="AF472">
        <v>-1.226214607618803E-2</v>
      </c>
      <c r="AG472">
        <v>-1.0010982253793488E-2</v>
      </c>
      <c r="AH472">
        <v>-1.3128342585487673E-2</v>
      </c>
      <c r="AI472">
        <v>-2.2290608909615317E-3</v>
      </c>
      <c r="AJ472">
        <v>6.9392548307889435E-3</v>
      </c>
      <c r="AK472">
        <v>-3.0642434488589165E-3</v>
      </c>
      <c r="AL472">
        <v>-3.4606923367013209E-3</v>
      </c>
    </row>
    <row r="473" spans="1:38">
      <c r="A473" s="568">
        <v>44518</v>
      </c>
      <c r="B473">
        <v>2.9987684899053231E-4</v>
      </c>
      <c r="C473">
        <v>2.3104239711346786E-4</v>
      </c>
      <c r="D473">
        <v>3.1544508310288322E-4</v>
      </c>
      <c r="E473">
        <v>3.5166360612159941E-4</v>
      </c>
      <c r="F473">
        <v>3.9629569599108905E-4</v>
      </c>
      <c r="G473">
        <v>3.0951681604585168E-4</v>
      </c>
      <c r="H473">
        <v>4.1037666715526555E-4</v>
      </c>
      <c r="I473">
        <v>4.4736497522523955E-4</v>
      </c>
      <c r="J473">
        <v>9.9932152858062118E-4</v>
      </c>
      <c r="K473">
        <v>-1.9794586793320246E-4</v>
      </c>
      <c r="L473">
        <v>7.9866927313587688E-4</v>
      </c>
      <c r="M473">
        <v>8.1692049782788878E-4</v>
      </c>
      <c r="N473">
        <v>8.223796142170503E-4</v>
      </c>
      <c r="O473">
        <v>5.4612392438491142E-4</v>
      </c>
      <c r="P473">
        <v>5.3573019985209136E-4</v>
      </c>
      <c r="Q473">
        <v>5.4958248556946643E-4</v>
      </c>
      <c r="R473">
        <v>2.8012028694668345E-4</v>
      </c>
      <c r="S473">
        <v>2.3045050400249956E-4</v>
      </c>
      <c r="T473">
        <v>-5.5983277337956494E-4</v>
      </c>
      <c r="U473">
        <v>9.7945577952951446E-4</v>
      </c>
      <c r="V473">
        <v>7.6780756265826255E-5</v>
      </c>
      <c r="W473">
        <v>2.2146078349363219E-3</v>
      </c>
      <c r="X473">
        <v>-5.8724169657142777E-4</v>
      </c>
      <c r="Y473">
        <v>7.6780756265826255E-5</v>
      </c>
      <c r="Z473">
        <v>1.0563459152796995E-3</v>
      </c>
      <c r="AA473">
        <v>2.70489516700545E-3</v>
      </c>
      <c r="AC473">
        <v>-5.0748699956142396E-3</v>
      </c>
      <c r="AD473">
        <v>2.130537366960894E-3</v>
      </c>
      <c r="AE473">
        <v>2.9707352866914505E-4</v>
      </c>
      <c r="AF473">
        <v>1.6005812879680281E-3</v>
      </c>
      <c r="AG473">
        <v>-1.4517971876616409E-3</v>
      </c>
      <c r="AH473">
        <v>5.1874665443651935E-4</v>
      </c>
      <c r="AI473">
        <v>4.8586812746216346E-3</v>
      </c>
      <c r="AJ473">
        <v>6.0785976816513099E-3</v>
      </c>
      <c r="AK473">
        <v>-1.9607843137254832E-2</v>
      </c>
      <c r="AL473">
        <v>3.3374431318939912E-3</v>
      </c>
    </row>
    <row r="474" spans="1:38">
      <c r="A474" s="568">
        <v>44519</v>
      </c>
      <c r="B474">
        <v>2.9987684899053231E-4</v>
      </c>
      <c r="C474">
        <v>3.1426754765195852E-4</v>
      </c>
      <c r="D474">
        <v>3.4286267771910239E-4</v>
      </c>
      <c r="E474">
        <v>3.5166360612159941E-4</v>
      </c>
      <c r="F474">
        <v>3.5839101520096506E-4</v>
      </c>
      <c r="G474">
        <v>3.0193873134809479E-4</v>
      </c>
      <c r="H474">
        <v>4.1085945155794334E-4</v>
      </c>
      <c r="I474">
        <v>4.4160407821935976E-4</v>
      </c>
      <c r="J474">
        <v>2.1757924825851482E-3</v>
      </c>
      <c r="K474">
        <v>3.2755847831531515E-3</v>
      </c>
      <c r="L474">
        <v>7.9866927313587688E-4</v>
      </c>
      <c r="M474">
        <v>8.1692049782788878E-4</v>
      </c>
      <c r="N474">
        <v>8.223796142170503E-4</v>
      </c>
      <c r="O474">
        <v>5.4612392438491142E-4</v>
      </c>
      <c r="P474">
        <v>5.3573019985209136E-4</v>
      </c>
      <c r="Q474">
        <v>5.4958248556946643E-4</v>
      </c>
      <c r="R474">
        <v>-5.277259072825613E-4</v>
      </c>
      <c r="S474">
        <v>-3.014628796331742E-4</v>
      </c>
      <c r="T474">
        <v>2.2960440993795572E-3</v>
      </c>
      <c r="U474">
        <v>-1.094108173720798E-3</v>
      </c>
      <c r="V474">
        <v>1.1887720480063813E-4</v>
      </c>
      <c r="W474">
        <v>-2.1130424907589429E-6</v>
      </c>
      <c r="X474">
        <v>-3.7736319408917529E-3</v>
      </c>
      <c r="Y474">
        <v>1.1887720480063813E-4</v>
      </c>
      <c r="Z474">
        <v>-1.637238974285582E-3</v>
      </c>
      <c r="AA474">
        <v>2.5945264775604215E-3</v>
      </c>
      <c r="AC474">
        <v>5.9459512233221989E-3</v>
      </c>
      <c r="AD474">
        <v>1.3863607931252853E-2</v>
      </c>
      <c r="AE474">
        <v>3.019554385782941E-3</v>
      </c>
      <c r="AF474">
        <v>4.8251049298171367E-3</v>
      </c>
      <c r="AG474">
        <v>4.8760443628266259E-3</v>
      </c>
      <c r="AH474">
        <v>1.3858721934429941E-3</v>
      </c>
      <c r="AI474">
        <v>9.0030648542436253E-3</v>
      </c>
      <c r="AJ474">
        <v>6.0769987354223343E-3</v>
      </c>
      <c r="AK474">
        <v>-8.6486486486486713E-3</v>
      </c>
      <c r="AL474">
        <v>6.9632444581191333E-3</v>
      </c>
    </row>
    <row r="475" spans="1:38">
      <c r="A475" s="568">
        <v>44522</v>
      </c>
      <c r="B475">
        <v>2.9987684899053231E-4</v>
      </c>
      <c r="C475">
        <v>3.1370120025719928E-4</v>
      </c>
      <c r="D475">
        <v>3.119366091994813E-4</v>
      </c>
      <c r="E475">
        <v>3.5166360612159941E-4</v>
      </c>
      <c r="F475">
        <v>2.5269173939701517E-4</v>
      </c>
      <c r="G475">
        <v>3.1981796829660958E-4</v>
      </c>
      <c r="H475">
        <v>4.1069071539601154E-4</v>
      </c>
      <c r="I475">
        <v>4.6954835549994911E-4</v>
      </c>
      <c r="J475">
        <v>-1.4939789477343979E-3</v>
      </c>
      <c r="K475">
        <v>-2.6341859949478019E-3</v>
      </c>
      <c r="L475">
        <v>7.9866927313587688E-4</v>
      </c>
      <c r="M475">
        <v>8.1692049782788878E-4</v>
      </c>
      <c r="N475">
        <v>8.223796142170503E-4</v>
      </c>
      <c r="O475">
        <v>5.4612392438491142E-4</v>
      </c>
      <c r="P475">
        <v>5.3573019985209136E-4</v>
      </c>
      <c r="Q475">
        <v>5.4958248556946643E-4</v>
      </c>
      <c r="R475">
        <v>-2.423994127788931E-3</v>
      </c>
      <c r="S475">
        <v>2.9303295587352896E-3</v>
      </c>
      <c r="T475">
        <v>1.0619292551512505E-2</v>
      </c>
      <c r="U475">
        <v>2.6815046719439461E-3</v>
      </c>
      <c r="V475">
        <v>-1.0400519035427269E-3</v>
      </c>
      <c r="W475">
        <v>-2.0316946478105002E-3</v>
      </c>
      <c r="X475">
        <v>8.750797145640421E-3</v>
      </c>
      <c r="Y475">
        <v>-1.0400519035427269E-3</v>
      </c>
      <c r="Z475">
        <v>3.7021079865342532E-3</v>
      </c>
      <c r="AA475">
        <v>-1.9745100264091375E-3</v>
      </c>
      <c r="AC475">
        <v>-8.857668004529029E-3</v>
      </c>
      <c r="AD475">
        <v>-1.9865118964455197E-2</v>
      </c>
      <c r="AE475">
        <v>-1.4337173201269593E-2</v>
      </c>
      <c r="AF475">
        <v>-1.8820284576547164E-2</v>
      </c>
      <c r="AG475">
        <v>-6.7531796961189938E-3</v>
      </c>
      <c r="AH475">
        <v>-1.8147551334605216E-2</v>
      </c>
      <c r="AI475">
        <v>-2.690046271150448E-2</v>
      </c>
      <c r="AJ475">
        <v>-2.5138787053525791E-3</v>
      </c>
      <c r="AK475">
        <v>-4.6892039258452645E-3</v>
      </c>
      <c r="AL475">
        <v>-4.3918582375703785E-3</v>
      </c>
    </row>
    <row r="476" spans="1:38">
      <c r="A476" s="568">
        <v>44523</v>
      </c>
      <c r="B476">
        <v>2.9987684899053231E-4</v>
      </c>
      <c r="C476">
        <v>3.2348763940226455E-4</v>
      </c>
      <c r="D476">
        <v>2.9204001223170906E-4</v>
      </c>
      <c r="E476">
        <v>3.5166360612159941E-4</v>
      </c>
      <c r="F476">
        <v>2.7254990142844271E-4</v>
      </c>
      <c r="G476">
        <v>3.3056744889115031E-4</v>
      </c>
      <c r="H476">
        <v>4.1442565613603044E-4</v>
      </c>
      <c r="I476">
        <v>4.3511197182199979E-4</v>
      </c>
      <c r="J476">
        <v>1.5494858396201128E-3</v>
      </c>
      <c r="K476">
        <v>2.2543338931722001E-3</v>
      </c>
      <c r="L476">
        <v>7.9866927313587688E-4</v>
      </c>
      <c r="M476">
        <v>8.1692049782788878E-4</v>
      </c>
      <c r="N476">
        <v>8.223796142170503E-4</v>
      </c>
      <c r="O476">
        <v>5.4612392438491142E-4</v>
      </c>
      <c r="P476">
        <v>5.3573019985209136E-4</v>
      </c>
      <c r="Q476">
        <v>5.4958248556946643E-4</v>
      </c>
      <c r="R476">
        <v>-2.3348838252206239E-3</v>
      </c>
      <c r="S476">
        <v>3.0818440840747474E-3</v>
      </c>
      <c r="T476">
        <v>5.2215417904695194E-3</v>
      </c>
      <c r="U476">
        <v>4.0803305075320928E-4</v>
      </c>
      <c r="V476">
        <v>2.8606416364653775E-3</v>
      </c>
      <c r="W476">
        <v>1.6012450010718382E-3</v>
      </c>
      <c r="X476">
        <v>5.4273034918816965E-3</v>
      </c>
      <c r="Y476">
        <v>2.8606416364653775E-3</v>
      </c>
      <c r="Z476">
        <v>-1.8909052209892252E-4</v>
      </c>
      <c r="AA476">
        <v>-2.3207193386931557E-3</v>
      </c>
      <c r="AC476">
        <v>1.4996224627376042E-2</v>
      </c>
      <c r="AD476">
        <v>2.6964689929469543E-3</v>
      </c>
      <c r="AE476">
        <v>7.7866721138852846E-3</v>
      </c>
      <c r="AF476">
        <v>7.0500191614630836E-4</v>
      </c>
      <c r="AG476">
        <v>1.7166781408307852E-2</v>
      </c>
      <c r="AH476">
        <v>7.0298956448791028E-3</v>
      </c>
      <c r="AI476">
        <v>-8.3315021999118555E-3</v>
      </c>
      <c r="AJ476">
        <v>-8.4007140606956465E-4</v>
      </c>
      <c r="AK476">
        <v>-9.7512873890653884E-3</v>
      </c>
      <c r="AL476">
        <v>-1.8479513593968155E-2</v>
      </c>
    </row>
    <row r="477" spans="1:38">
      <c r="A477" s="568">
        <v>44524</v>
      </c>
      <c r="B477">
        <v>2.9987684899053231E-4</v>
      </c>
      <c r="C477">
        <v>3.406992300687417E-4</v>
      </c>
      <c r="D477">
        <v>3.0679990653048606E-4</v>
      </c>
      <c r="E477">
        <v>3.5166360612159941E-4</v>
      </c>
      <c r="F477">
        <v>3.2502148447099977E-4</v>
      </c>
      <c r="G477">
        <v>3.2790570536778141E-4</v>
      </c>
      <c r="H477">
        <v>4.1230301800609936E-4</v>
      </c>
      <c r="I477">
        <v>4.3946813545314711E-4</v>
      </c>
      <c r="J477">
        <v>1.7640220145176411E-3</v>
      </c>
      <c r="K477">
        <v>3.1048547696528317E-3</v>
      </c>
      <c r="L477">
        <v>7.9866927313587688E-4</v>
      </c>
      <c r="M477">
        <v>8.1692049782788878E-4</v>
      </c>
      <c r="N477">
        <v>8.223796142170503E-4</v>
      </c>
      <c r="O477">
        <v>5.4612392438491142E-4</v>
      </c>
      <c r="P477">
        <v>5.3573019985209136E-4</v>
      </c>
      <c r="Q477">
        <v>5.4958248556946643E-4</v>
      </c>
      <c r="R477">
        <v>-5.4708671886372073E-4</v>
      </c>
      <c r="S477">
        <v>3.7046488341374584E-3</v>
      </c>
      <c r="T477">
        <v>-1.1727297259955805E-4</v>
      </c>
      <c r="U477">
        <v>1.399030481465946E-3</v>
      </c>
      <c r="V477">
        <v>7.1682815898754804E-4</v>
      </c>
      <c r="W477">
        <v>1.0844634231415018E-3</v>
      </c>
      <c r="X477">
        <v>1.4731340111850955E-4</v>
      </c>
      <c r="Y477">
        <v>7.1682815898754804E-4</v>
      </c>
      <c r="Z477">
        <v>-2.1426392335346378E-3</v>
      </c>
      <c r="AA477">
        <v>1.4653981633987456E-3</v>
      </c>
      <c r="AC477">
        <v>8.3004176787695449E-3</v>
      </c>
      <c r="AD477">
        <v>3.8383697911306136E-3</v>
      </c>
      <c r="AE477">
        <v>4.4377538805688843E-3</v>
      </c>
      <c r="AF477">
        <v>-4.0605165506306662E-3</v>
      </c>
      <c r="AG477">
        <v>1.098955007220237E-3</v>
      </c>
      <c r="AH477">
        <v>2.8762987329802314E-3</v>
      </c>
      <c r="AI477">
        <v>-7.0910840349336368E-4</v>
      </c>
      <c r="AJ477">
        <v>2.6624627780695853E-3</v>
      </c>
      <c r="AK477">
        <v>-5.5321973888022846E-4</v>
      </c>
      <c r="AL477">
        <v>-2.4143715769139318E-3</v>
      </c>
    </row>
    <row r="478" spans="1:38">
      <c r="A478" s="568">
        <v>44525</v>
      </c>
      <c r="B478">
        <v>2.9987684899053231E-4</v>
      </c>
      <c r="C478">
        <v>1.8704131146396463E-4</v>
      </c>
      <c r="D478">
        <v>2.9791137741130846E-4</v>
      </c>
      <c r="E478">
        <v>3.5166360612159941E-4</v>
      </c>
      <c r="F478">
        <v>2.7111624914066823E-4</v>
      </c>
      <c r="G478">
        <v>2.9644915336568545E-4</v>
      </c>
      <c r="H478">
        <v>4.1148304208826758E-4</v>
      </c>
      <c r="I478">
        <v>4.428303768300168E-4</v>
      </c>
      <c r="J478">
        <v>9.3597839694314899E-6</v>
      </c>
      <c r="K478">
        <v>-4.0956203596898E-4</v>
      </c>
      <c r="L478">
        <v>7.9866927313587688E-4</v>
      </c>
      <c r="M478">
        <v>8.1692049782788878E-4</v>
      </c>
      <c r="N478">
        <v>8.223796142170503E-4</v>
      </c>
      <c r="O478">
        <v>5.4612392438491142E-4</v>
      </c>
      <c r="P478">
        <v>5.3573019985209136E-4</v>
      </c>
      <c r="Q478">
        <v>5.4958248556946643E-4</v>
      </c>
      <c r="R478">
        <v>-3.3730824470112886E-5</v>
      </c>
      <c r="S478">
        <v>3.2554009057579325E-3</v>
      </c>
      <c r="T478">
        <v>-1.173800296597638E-3</v>
      </c>
      <c r="U478">
        <v>8.1398559496315137E-4</v>
      </c>
      <c r="V478">
        <v>2.5836729652957136E-3</v>
      </c>
      <c r="W478">
        <v>1.6698060216489008E-3</v>
      </c>
      <c r="X478">
        <v>-1.703227693761189E-5</v>
      </c>
      <c r="Y478">
        <v>2.5836729652957136E-3</v>
      </c>
      <c r="Z478">
        <v>-6.4264811979608538E-4</v>
      </c>
      <c r="AA478">
        <v>2.1597563354402993E-3</v>
      </c>
      <c r="AC478">
        <v>1.2410372218356169E-2</v>
      </c>
      <c r="AD478">
        <v>1.3464187083397583E-2</v>
      </c>
      <c r="AE478">
        <v>1.3175538412324661E-2</v>
      </c>
      <c r="AF478">
        <v>6.6171468954807633E-3</v>
      </c>
      <c r="AG478">
        <v>1.5925114556434306E-2</v>
      </c>
      <c r="AH478">
        <v>2.331101290306492E-2</v>
      </c>
      <c r="AI478">
        <v>1.0783079787550998E-2</v>
      </c>
      <c r="AJ478">
        <v>-2.4806959924530414E-3</v>
      </c>
      <c r="AK478">
        <v>4.5389128750137342E-3</v>
      </c>
      <c r="AL478">
        <v>3.6708844385267003E-3</v>
      </c>
    </row>
    <row r="479" spans="1:38">
      <c r="A479" s="568">
        <v>44526</v>
      </c>
      <c r="B479">
        <v>2.9987684899053231E-4</v>
      </c>
      <c r="C479">
        <v>3.1602805035535475E-4</v>
      </c>
      <c r="D479">
        <v>2.9507521120963887E-4</v>
      </c>
      <c r="E479">
        <v>3.5166360612159941E-4</v>
      </c>
      <c r="F479">
        <v>3.1762824028436221E-4</v>
      </c>
      <c r="G479">
        <v>2.1846738117092812E-4</v>
      </c>
      <c r="H479">
        <v>3.7102713436443224E-4</v>
      </c>
      <c r="I479">
        <v>4.3687982496454225E-4</v>
      </c>
      <c r="J479">
        <v>1.5267366533708859E-3</v>
      </c>
      <c r="K479">
        <v>2.2545245286922366E-3</v>
      </c>
      <c r="L479">
        <v>7.9866927313587688E-4</v>
      </c>
      <c r="M479">
        <v>8.1692049782788878E-4</v>
      </c>
      <c r="N479">
        <v>8.223796142170503E-4</v>
      </c>
      <c r="O479">
        <v>5.4612392438491142E-4</v>
      </c>
      <c r="P479">
        <v>5.3573019985209136E-4</v>
      </c>
      <c r="Q479">
        <v>5.4958248556946643E-4</v>
      </c>
      <c r="R479">
        <v>-4.1685603908646618E-3</v>
      </c>
      <c r="S479">
        <v>-7.1947805968831657E-3</v>
      </c>
      <c r="T479">
        <v>-1.3404725121440642E-2</v>
      </c>
      <c r="U479">
        <v>-4.406451880899942E-3</v>
      </c>
      <c r="V479">
        <v>-1.2323353765496536E-2</v>
      </c>
      <c r="W479">
        <v>-7.9825234070922679E-3</v>
      </c>
      <c r="X479">
        <v>-1.7539878913139573E-2</v>
      </c>
      <c r="Y479">
        <v>-1.2323353765496536E-2</v>
      </c>
      <c r="Z479">
        <v>-1.5323635710373096E-2</v>
      </c>
      <c r="AA479">
        <v>-4.4321282524745209E-3</v>
      </c>
      <c r="AC479">
        <v>-3.3899892497253448E-2</v>
      </c>
      <c r="AD479">
        <v>-4.0564287004647759E-2</v>
      </c>
      <c r="AE479">
        <v>-3.6099961250921631E-2</v>
      </c>
      <c r="AF479">
        <v>-2.7158849286614606E-2</v>
      </c>
      <c r="AG479">
        <v>-2.0252467144023067E-2</v>
      </c>
      <c r="AH479">
        <v>-3.8232837630461258E-2</v>
      </c>
      <c r="AI479">
        <v>-2.1119622715093933E-2</v>
      </c>
      <c r="AJ479">
        <v>-2.2241681260945834E-2</v>
      </c>
      <c r="AK479">
        <v>-2.4796120784659426E-2</v>
      </c>
      <c r="AL479">
        <v>-7.0156104003152864E-3</v>
      </c>
    </row>
    <row r="480" spans="1:38">
      <c r="A480" s="568">
        <v>44529</v>
      </c>
      <c r="B480">
        <v>2.9987684899053231E-4</v>
      </c>
      <c r="C480">
        <v>3.5406303676999151E-4</v>
      </c>
      <c r="D480">
        <v>3.5156876575181961E-4</v>
      </c>
      <c r="E480">
        <v>3.5166360612159941E-4</v>
      </c>
      <c r="F480">
        <v>3.293817403127175E-4</v>
      </c>
      <c r="G480">
        <v>4.7473031137568178E-4</v>
      </c>
      <c r="H480">
        <v>4.4558706420483318E-4</v>
      </c>
      <c r="I480">
        <v>4.6681399531789403E-4</v>
      </c>
      <c r="J480">
        <v>1.8216788620257773E-3</v>
      </c>
      <c r="K480">
        <v>2.0311473815648462E-3</v>
      </c>
      <c r="L480">
        <v>7.9866927313587688E-4</v>
      </c>
      <c r="M480">
        <v>8.1692049782788878E-4</v>
      </c>
      <c r="N480">
        <v>8.223796142170503E-4</v>
      </c>
      <c r="O480">
        <v>5.4612392438491142E-4</v>
      </c>
      <c r="P480">
        <v>5.3573019985209136E-4</v>
      </c>
      <c r="Q480">
        <v>5.4958248556946643E-4</v>
      </c>
      <c r="R480">
        <v>2.1756079935915107E-3</v>
      </c>
      <c r="S480">
        <v>2.3426875208183429E-3</v>
      </c>
      <c r="T480">
        <v>-4.8022923127621908E-4</v>
      </c>
      <c r="U480">
        <v>1.3468174239745778E-3</v>
      </c>
      <c r="V480">
        <v>2.412108936526991E-3</v>
      </c>
      <c r="W480">
        <v>3.1701438013780336E-3</v>
      </c>
      <c r="X480">
        <v>3.2049670981384448E-3</v>
      </c>
      <c r="Y480">
        <v>2.412108936526991E-3</v>
      </c>
      <c r="Z480">
        <v>2.2045607864507044E-3</v>
      </c>
      <c r="AA480">
        <v>3.9552507135298676E-3</v>
      </c>
      <c r="AC480">
        <v>5.7693741192159642E-3</v>
      </c>
      <c r="AD480">
        <v>5.1887566618369352E-3</v>
      </c>
      <c r="AE480">
        <v>5.8705140750681117E-3</v>
      </c>
      <c r="AF480">
        <v>9.820691745310306E-5</v>
      </c>
      <c r="AG480">
        <v>6.1976801055922959E-3</v>
      </c>
      <c r="AH480">
        <v>4.3255595382327705E-3</v>
      </c>
      <c r="AI480">
        <v>5.9791922065397518E-3</v>
      </c>
      <c r="AJ480">
        <v>1.7374171592333898E-2</v>
      </c>
      <c r="AK480">
        <v>-4.7462990168380959E-3</v>
      </c>
      <c r="AL480">
        <v>3.485713097373333E-3</v>
      </c>
    </row>
    <row r="481" spans="1:38">
      <c r="A481" s="568">
        <v>44530</v>
      </c>
      <c r="B481">
        <v>2.9987684899053231E-4</v>
      </c>
      <c r="C481">
        <v>3.3337494544238844E-4</v>
      </c>
      <c r="D481">
        <v>3.5803480625484774E-4</v>
      </c>
      <c r="E481">
        <v>3.5166360612159941E-4</v>
      </c>
      <c r="F481">
        <v>3.2546420972923151E-4</v>
      </c>
      <c r="G481">
        <v>3.9074744286660135E-4</v>
      </c>
      <c r="H481">
        <v>4.122766239804676E-4</v>
      </c>
      <c r="I481">
        <v>4.352523406361275E-4</v>
      </c>
      <c r="J481">
        <v>1.4318299599311857E-3</v>
      </c>
      <c r="K481">
        <v>1.7147722519372799E-3</v>
      </c>
      <c r="L481">
        <v>7.9866927313587688E-4</v>
      </c>
      <c r="M481">
        <v>8.1692049782788878E-4</v>
      </c>
      <c r="N481">
        <v>8.223796142170503E-4</v>
      </c>
      <c r="O481">
        <v>5.4612392438491142E-4</v>
      </c>
      <c r="P481">
        <v>5.3573019985209136E-4</v>
      </c>
      <c r="Q481">
        <v>5.4958248556946643E-4</v>
      </c>
      <c r="R481">
        <v>-8.1178409270821206E-4</v>
      </c>
      <c r="S481">
        <v>-7.0149004670344572E-3</v>
      </c>
      <c r="T481">
        <v>-5.9397890194295977E-3</v>
      </c>
      <c r="U481">
        <v>-2.1886340179937402E-3</v>
      </c>
      <c r="V481">
        <v>-7.1019581397547826E-3</v>
      </c>
      <c r="W481">
        <v>-6.2175090137992495E-3</v>
      </c>
      <c r="X481">
        <v>-1.1585558058630263E-2</v>
      </c>
      <c r="Y481">
        <v>-7.1019581397547826E-3</v>
      </c>
      <c r="Z481">
        <v>-2.1400770224923038E-3</v>
      </c>
      <c r="AA481">
        <v>-2.4906052720997662E-3</v>
      </c>
      <c r="AC481">
        <v>-8.7398577801103272E-3</v>
      </c>
      <c r="AD481">
        <v>-2.1256167609217669E-2</v>
      </c>
      <c r="AE481">
        <v>-1.432047577828699E-2</v>
      </c>
      <c r="AF481">
        <v>-2.2040979573687336E-2</v>
      </c>
      <c r="AG481">
        <v>-1.5644791813561376E-2</v>
      </c>
      <c r="AH481">
        <v>-4.227274391999658E-3</v>
      </c>
      <c r="AI481">
        <v>-2.6240860380944642E-2</v>
      </c>
      <c r="AJ481">
        <v>-1.2147887323943674E-2</v>
      </c>
      <c r="AK481">
        <v>-1.1695242420801444E-2</v>
      </c>
      <c r="AL481">
        <v>1.1224280635288686E-2</v>
      </c>
    </row>
    <row r="482" spans="1:38">
      <c r="A482" s="568">
        <v>44531</v>
      </c>
      <c r="B482">
        <v>2.9987684899053231E-4</v>
      </c>
      <c r="C482">
        <v>3.2814819314919141E-4</v>
      </c>
      <c r="D482">
        <v>2.986215104101575E-4</v>
      </c>
      <c r="E482">
        <v>3.5166360612159941E-4</v>
      </c>
      <c r="F482">
        <v>2.8304904321796442E-4</v>
      </c>
      <c r="G482">
        <v>8.8903093807646272E-4</v>
      </c>
      <c r="H482">
        <v>4.127557089759204E-4</v>
      </c>
      <c r="I482">
        <v>4.3763387032580425E-4</v>
      </c>
      <c r="J482">
        <v>-1.042359388817915E-3</v>
      </c>
      <c r="K482">
        <v>-1.8048109359601883E-3</v>
      </c>
      <c r="L482">
        <v>6.419847682783697E-4</v>
      </c>
      <c r="M482">
        <v>6.6023313556851093E-4</v>
      </c>
      <c r="N482">
        <v>6.6569139728134274E-4</v>
      </c>
      <c r="O482">
        <v>5.4612392438491142E-4</v>
      </c>
      <c r="P482">
        <v>5.3573019985209136E-4</v>
      </c>
      <c r="Q482">
        <v>5.4958248556946643E-4</v>
      </c>
      <c r="R482">
        <v>6.1600911551051851E-4</v>
      </c>
      <c r="S482">
        <v>8.2730590205826182E-4</v>
      </c>
      <c r="T482">
        <v>1.4435462565696167E-3</v>
      </c>
      <c r="U482">
        <v>2.0432715522016309E-3</v>
      </c>
      <c r="V482">
        <v>-2.6465701102987849E-3</v>
      </c>
      <c r="W482">
        <v>-3.9488914326643032E-3</v>
      </c>
      <c r="X482">
        <v>-1.9182409432242364E-3</v>
      </c>
      <c r="Y482">
        <v>-2.6465701102987849E-3</v>
      </c>
      <c r="Z482">
        <v>1.0979803500714702E-3</v>
      </c>
      <c r="AA482">
        <v>-2.5755308773178776E-4</v>
      </c>
      <c r="AC482">
        <v>-1.1194377300006941E-2</v>
      </c>
      <c r="AD482">
        <v>-1.2017828449784607E-2</v>
      </c>
      <c r="AE482">
        <v>-1.2313627046945053E-2</v>
      </c>
      <c r="AF482">
        <v>-1.5193116887671332E-2</v>
      </c>
      <c r="AG482">
        <v>-7.4166852473191991E-3</v>
      </c>
      <c r="AH482">
        <v>5.2846921275739867E-3</v>
      </c>
      <c r="AI482">
        <v>-3.806223637513706E-3</v>
      </c>
      <c r="AJ482">
        <v>-5.5248618784530246E-3</v>
      </c>
      <c r="AK482">
        <v>2.9871323529411242E-3</v>
      </c>
      <c r="AL482">
        <v>-3.8665105721600312E-3</v>
      </c>
    </row>
    <row r="483" spans="1:38">
      <c r="A483" s="568">
        <v>44532</v>
      </c>
      <c r="B483">
        <v>2.9987684899053231E-4</v>
      </c>
      <c r="C483">
        <v>3.5729959294417135E-4</v>
      </c>
      <c r="D483">
        <v>3.2212958938626635E-4</v>
      </c>
      <c r="E483">
        <v>3.5166360612159941E-4</v>
      </c>
      <c r="F483">
        <v>3.7137030991662989E-4</v>
      </c>
      <c r="G483">
        <v>3.6778952946403543E-4</v>
      </c>
      <c r="H483">
        <v>4.1323413119309649E-4</v>
      </c>
      <c r="I483">
        <v>4.3706208647309452E-4</v>
      </c>
      <c r="J483">
        <v>1.6873680432414329E-3</v>
      </c>
      <c r="K483">
        <v>3.1322828176565398E-3</v>
      </c>
      <c r="L483">
        <v>6.419847682783697E-4</v>
      </c>
      <c r="M483">
        <v>6.6023313556851093E-4</v>
      </c>
      <c r="N483">
        <v>6.6569139728134274E-4</v>
      </c>
      <c r="O483">
        <v>5.4612392438491142E-4</v>
      </c>
      <c r="P483">
        <v>5.3573019985209136E-4</v>
      </c>
      <c r="Q483">
        <v>5.4958248556946643E-4</v>
      </c>
      <c r="R483">
        <v>3.1255967991983269E-4</v>
      </c>
      <c r="S483">
        <v>4.795037284546888E-3</v>
      </c>
      <c r="T483">
        <v>-2.3209538585811096E-4</v>
      </c>
      <c r="U483">
        <v>1.1941316436809846E-3</v>
      </c>
      <c r="V483">
        <v>5.5006772190546727E-3</v>
      </c>
      <c r="W483">
        <v>4.0886731661697873E-3</v>
      </c>
      <c r="X483">
        <v>-6.3596284671896264E-4</v>
      </c>
      <c r="Y483">
        <v>5.5006772190546727E-3</v>
      </c>
      <c r="Z483">
        <v>-2.3185044594896675E-3</v>
      </c>
      <c r="AA483">
        <v>3.0868305082287772E-3</v>
      </c>
      <c r="AC483">
        <v>3.6632952142589215E-2</v>
      </c>
      <c r="AD483">
        <v>2.8183115406628101E-2</v>
      </c>
      <c r="AE483">
        <v>3.4907926808733114E-2</v>
      </c>
      <c r="AF483">
        <v>1.8249864733138832E-2</v>
      </c>
      <c r="AG483">
        <v>2.4968714913154111E-2</v>
      </c>
      <c r="AH483">
        <v>2.4991928139039832E-2</v>
      </c>
      <c r="AI483">
        <v>2.425591754738754E-2</v>
      </c>
      <c r="AJ483">
        <v>7.1684587813620748E-3</v>
      </c>
      <c r="AK483">
        <v>3.4364261168384758E-4</v>
      </c>
      <c r="AL483">
        <v>-4.6203416563033173E-3</v>
      </c>
    </row>
    <row r="484" spans="1:38">
      <c r="A484" s="568">
        <v>44533</v>
      </c>
      <c r="B484">
        <v>2.9987684899053231E-4</v>
      </c>
      <c r="C484">
        <v>3.4042821452406891E-4</v>
      </c>
      <c r="D484">
        <v>4.1199560025995119E-4</v>
      </c>
      <c r="E484">
        <v>3.5166360612159941E-4</v>
      </c>
      <c r="F484">
        <v>2.0083759848965599E-4</v>
      </c>
      <c r="G484">
        <v>3.750164853648652E-4</v>
      </c>
      <c r="H484">
        <v>4.0917273184737368E-4</v>
      </c>
      <c r="I484">
        <v>4.3667688816939609E-4</v>
      </c>
      <c r="J484">
        <v>3.6864072533870917E-3</v>
      </c>
      <c r="K484">
        <v>5.0616020996225863E-3</v>
      </c>
      <c r="L484">
        <v>6.419847682783697E-4</v>
      </c>
      <c r="M484">
        <v>6.6023313556851093E-4</v>
      </c>
      <c r="N484">
        <v>6.6569139728134274E-4</v>
      </c>
      <c r="O484">
        <v>5.4612392438491142E-4</v>
      </c>
      <c r="P484">
        <v>5.3573019985209136E-4</v>
      </c>
      <c r="Q484">
        <v>5.4958248556946643E-4</v>
      </c>
      <c r="R484">
        <v>9.0892651213536624E-4</v>
      </c>
      <c r="S484">
        <v>-2.1323146417417949E-3</v>
      </c>
      <c r="T484">
        <v>-1.5168503752207574E-3</v>
      </c>
      <c r="U484">
        <v>-2.2312470465766232E-3</v>
      </c>
      <c r="V484">
        <v>2.5740990653266849E-4</v>
      </c>
      <c r="W484">
        <v>-1.3656892814439825E-3</v>
      </c>
      <c r="X484">
        <v>-6.5912398849360399E-3</v>
      </c>
      <c r="Y484">
        <v>2.5740990653266849E-4</v>
      </c>
      <c r="Z484">
        <v>-3.4581011378910231E-3</v>
      </c>
      <c r="AA484">
        <v>9.3655017056613055E-3</v>
      </c>
      <c r="AC484">
        <v>5.7765073194937511E-3</v>
      </c>
      <c r="AD484">
        <v>2.2229269138001495E-2</v>
      </c>
      <c r="AE484">
        <v>7.1616015820288315E-3</v>
      </c>
      <c r="AF484">
        <v>1.1698404889509018E-2</v>
      </c>
      <c r="AG484">
        <v>1.3065390268031551E-2</v>
      </c>
      <c r="AH484">
        <v>2.6030069481322471E-2</v>
      </c>
      <c r="AI484">
        <v>4.8195082366242481E-3</v>
      </c>
      <c r="AJ484">
        <v>-6.7615658362988329E-3</v>
      </c>
      <c r="AK484">
        <v>-1.6603687163632252E-2</v>
      </c>
      <c r="AL484">
        <v>4.3716079695821364E-4</v>
      </c>
    </row>
    <row r="485" spans="1:38">
      <c r="A485" s="568">
        <v>44536</v>
      </c>
      <c r="B485">
        <v>2.9987684899053231E-4</v>
      </c>
      <c r="C485">
        <v>3.520925688949017E-4</v>
      </c>
      <c r="D485">
        <v>2.9776495322941798E-4</v>
      </c>
      <c r="E485">
        <v>3.5166360612159941E-4</v>
      </c>
      <c r="F485">
        <v>4.2991752516319259E-4</v>
      </c>
      <c r="G485">
        <v>3.0082746177662045E-4</v>
      </c>
      <c r="H485">
        <v>4.1289449411352486E-4</v>
      </c>
      <c r="I485">
        <v>4.5548501387604468E-4</v>
      </c>
      <c r="J485">
        <v>-1.0689764697856541E-3</v>
      </c>
      <c r="K485">
        <v>-1.9476953641913708E-3</v>
      </c>
      <c r="L485">
        <v>6.419847682783697E-4</v>
      </c>
      <c r="M485">
        <v>6.6023313556851093E-4</v>
      </c>
      <c r="N485">
        <v>6.6569139728134274E-4</v>
      </c>
      <c r="O485">
        <v>5.4612392438491142E-4</v>
      </c>
      <c r="P485">
        <v>5.3573019985209136E-4</v>
      </c>
      <c r="Q485">
        <v>5.4958248556946643E-4</v>
      </c>
      <c r="R485">
        <v>8.1154502771707548E-4</v>
      </c>
      <c r="S485">
        <v>4.8628780179815756E-3</v>
      </c>
      <c r="T485">
        <v>1.1195306113065406E-3</v>
      </c>
      <c r="U485">
        <v>-3.0330513365872669E-4</v>
      </c>
      <c r="V485">
        <v>4.2624105855693095E-3</v>
      </c>
      <c r="W485">
        <v>2.6870919806099014E-3</v>
      </c>
      <c r="X485">
        <v>9.4629641830903388E-3</v>
      </c>
      <c r="Y485">
        <v>4.2624105855693095E-3</v>
      </c>
      <c r="Z485">
        <v>6.0624063953904628E-3</v>
      </c>
      <c r="AA485">
        <v>1.4062658320441734E-3</v>
      </c>
      <c r="AC485">
        <v>1.7028507460143727E-2</v>
      </c>
      <c r="AD485">
        <v>1.2721293314649884E-2</v>
      </c>
      <c r="AE485">
        <v>1.2534399549724906E-2</v>
      </c>
      <c r="AF485">
        <v>-8.2971559904887471E-4</v>
      </c>
      <c r="AG485">
        <v>1.1373444211546957E-2</v>
      </c>
      <c r="AH485">
        <v>-2.6825544632380627E-3</v>
      </c>
      <c r="AI485">
        <v>6.6483197989803955E-3</v>
      </c>
      <c r="AJ485">
        <v>1.762809029021839E-2</v>
      </c>
      <c r="AK485">
        <v>-1.932929669306005E-2</v>
      </c>
      <c r="AL485">
        <v>-5.253224126042455E-3</v>
      </c>
    </row>
    <row r="486" spans="1:38">
      <c r="A486" s="568">
        <v>44537</v>
      </c>
      <c r="B486">
        <v>2.9987684899053231E-4</v>
      </c>
      <c r="C486">
        <v>3.4364915345430624E-4</v>
      </c>
      <c r="D486">
        <v>3.782627215509482E-4</v>
      </c>
      <c r="E486">
        <v>3.5166360612159941E-4</v>
      </c>
      <c r="F486">
        <v>3.5874447041250868E-4</v>
      </c>
      <c r="G486">
        <v>3.3252737151689971E-4</v>
      </c>
      <c r="H486">
        <v>4.1661159359440703E-4</v>
      </c>
      <c r="I486">
        <v>4.333254580457524E-4</v>
      </c>
      <c r="J486">
        <v>4.6145671595931859E-4</v>
      </c>
      <c r="K486">
        <v>-6.0289439886562768E-4</v>
      </c>
      <c r="L486">
        <v>6.419847682783697E-4</v>
      </c>
      <c r="M486">
        <v>6.6023313556851093E-4</v>
      </c>
      <c r="N486">
        <v>6.6569139728134274E-4</v>
      </c>
      <c r="O486">
        <v>5.4612392438491142E-4</v>
      </c>
      <c r="P486">
        <v>5.3573019985209136E-4</v>
      </c>
      <c r="Q486">
        <v>5.4958248556946643E-4</v>
      </c>
      <c r="R486">
        <v>2.5380169848263634E-3</v>
      </c>
      <c r="S486">
        <v>2.7016772307257853E-3</v>
      </c>
      <c r="T486">
        <v>-8.6542536204026188E-4</v>
      </c>
      <c r="U486">
        <v>1.6909985794422155E-3</v>
      </c>
      <c r="V486">
        <v>3.0252594234592145E-3</v>
      </c>
      <c r="W486">
        <v>6.6145836936408742E-3</v>
      </c>
      <c r="X486">
        <v>9.3158654031966215E-4</v>
      </c>
      <c r="Y486">
        <v>3.0252594234592145E-3</v>
      </c>
      <c r="Z486">
        <v>1.7583019785183396E-3</v>
      </c>
      <c r="AA486">
        <v>-2.7416745641446472E-3</v>
      </c>
      <c r="AC486">
        <v>6.5394664944520287E-3</v>
      </c>
      <c r="AD486">
        <v>4.2896766502031891E-3</v>
      </c>
      <c r="AE486">
        <v>5.0931702693275405E-3</v>
      </c>
      <c r="AF486">
        <v>6.9984974573622516E-4</v>
      </c>
      <c r="AG486">
        <v>1.2325652201479187E-3</v>
      </c>
      <c r="AH486">
        <v>-1.0612646067245324E-2</v>
      </c>
      <c r="AI486">
        <v>-1.3939770051971667E-3</v>
      </c>
      <c r="AJ486">
        <v>1.0809097950848612E-2</v>
      </c>
      <c r="AK486">
        <v>3.1940156732367608E-2</v>
      </c>
      <c r="AL486">
        <v>-5.0072611358098484E-3</v>
      </c>
    </row>
    <row r="487" spans="1:38">
      <c r="A487" s="568">
        <v>44538</v>
      </c>
      <c r="B487">
        <v>2.9987684899053231E-4</v>
      </c>
      <c r="C487">
        <v>3.3854281396172858E-4</v>
      </c>
      <c r="D487">
        <v>3.2879973301458421E-4</v>
      </c>
      <c r="E487">
        <v>3.5166360612159941E-4</v>
      </c>
      <c r="F487">
        <v>3.4763347351307594E-4</v>
      </c>
      <c r="G487">
        <v>1.393771756119655E-4</v>
      </c>
      <c r="H487">
        <v>4.1190455990003372E-4</v>
      </c>
      <c r="I487">
        <v>4.2366034975560574E-4</v>
      </c>
      <c r="J487">
        <v>2.1120025324119496E-3</v>
      </c>
      <c r="K487">
        <v>1.8257389938911572E-3</v>
      </c>
      <c r="L487">
        <v>6.419847682783697E-4</v>
      </c>
      <c r="M487">
        <v>6.6023313556851093E-4</v>
      </c>
      <c r="N487">
        <v>6.6569139728134274E-4</v>
      </c>
      <c r="O487">
        <v>5.4612392438491142E-4</v>
      </c>
      <c r="P487">
        <v>5.3573019985209136E-4</v>
      </c>
      <c r="Q487">
        <v>5.4958248556946643E-4</v>
      </c>
      <c r="R487">
        <v>1.545050289408989E-3</v>
      </c>
      <c r="S487">
        <v>-1.7125972479375973E-3</v>
      </c>
      <c r="T487">
        <v>-2.3032411783668882E-3</v>
      </c>
      <c r="U487">
        <v>-2.7037263229741093E-3</v>
      </c>
      <c r="V487">
        <v>2.3117086056576586E-3</v>
      </c>
      <c r="W487">
        <v>1.4696467719843564E-3</v>
      </c>
      <c r="X487">
        <v>-1.6943069130318511E-3</v>
      </c>
      <c r="Y487">
        <v>2.3117086056576586E-3</v>
      </c>
      <c r="Z487">
        <v>-2.9279324368554072E-3</v>
      </c>
      <c r="AA487">
        <v>3.1923343154001138E-3</v>
      </c>
      <c r="AC487">
        <v>5.0006661542594255E-3</v>
      </c>
      <c r="AD487">
        <v>9.3242510231408282E-3</v>
      </c>
      <c r="AE487">
        <v>1.0615251281187454E-2</v>
      </c>
      <c r="AF487">
        <v>1.4832854006645801E-2</v>
      </c>
      <c r="AG487">
        <v>1.4293642198792478E-2</v>
      </c>
      <c r="AH487">
        <v>-4.5918218231923991E-3</v>
      </c>
      <c r="AI487">
        <v>1.8384963912046359E-2</v>
      </c>
      <c r="AJ487">
        <v>-1.0763175310878004E-2</v>
      </c>
      <c r="AK487">
        <v>4.8325854332067486E-3</v>
      </c>
      <c r="AL487">
        <v>-8.3598443284889079E-3</v>
      </c>
    </row>
    <row r="488" spans="1:38">
      <c r="A488" s="568">
        <v>44539</v>
      </c>
      <c r="B488">
        <v>3.5617980482955942E-4</v>
      </c>
      <c r="C488">
        <v>2.8929036404856667E-4</v>
      </c>
      <c r="D488">
        <v>3.0403978483839467E-4</v>
      </c>
      <c r="E488">
        <v>4.0659656457719962E-4</v>
      </c>
      <c r="F488">
        <v>4.0029405567532095E-4</v>
      </c>
      <c r="G488">
        <v>2.3659042511448014E-4</v>
      </c>
      <c r="H488">
        <v>4.1238234641016724E-4</v>
      </c>
      <c r="I488">
        <v>4.2712060453342637E-4</v>
      </c>
      <c r="J488">
        <v>-9.749308897759601E-4</v>
      </c>
      <c r="K488">
        <v>-9.4635899649353483E-4</v>
      </c>
      <c r="L488">
        <v>6.419847682783697E-4</v>
      </c>
      <c r="M488">
        <v>6.6023313556851093E-4</v>
      </c>
      <c r="N488">
        <v>6.6569139728134274E-4</v>
      </c>
      <c r="O488">
        <v>5.4612392438491142E-4</v>
      </c>
      <c r="P488">
        <v>5.3573019985209136E-4</v>
      </c>
      <c r="Q488">
        <v>5.4958248556946643E-4</v>
      </c>
      <c r="R488">
        <v>-1.1783687109211405E-3</v>
      </c>
      <c r="S488">
        <v>-5.040902890159904E-4</v>
      </c>
      <c r="T488">
        <v>2.8458753419613458E-5</v>
      </c>
      <c r="U488">
        <v>-3.6334767378065624E-4</v>
      </c>
      <c r="V488">
        <v>-3.3853258004884479E-3</v>
      </c>
      <c r="W488">
        <v>-3.11604098625895E-3</v>
      </c>
      <c r="X488">
        <v>-2.3482523637472497E-3</v>
      </c>
      <c r="Y488">
        <v>-3.3853258004884479E-3</v>
      </c>
      <c r="Z488">
        <v>3.2420611593719784E-3</v>
      </c>
      <c r="AA488">
        <v>-4.7942540031076231E-4</v>
      </c>
      <c r="AC488">
        <v>-1.669162452878481E-2</v>
      </c>
      <c r="AD488">
        <v>-1.2605434327864207E-2</v>
      </c>
      <c r="AE488">
        <v>-1.3631626237847527E-2</v>
      </c>
      <c r="AF488">
        <v>-1.4603853039624082E-2</v>
      </c>
      <c r="AG488">
        <v>-1.0983985357607251E-2</v>
      </c>
      <c r="AH488">
        <v>-2.3473161077089966E-3</v>
      </c>
      <c r="AI488">
        <v>-4.8132653972401407E-3</v>
      </c>
      <c r="AJ488">
        <v>-3.0985915492957039E-3</v>
      </c>
      <c r="AK488">
        <v>1.145081873353937E-2</v>
      </c>
      <c r="AL488">
        <v>1.8672493010506885E-2</v>
      </c>
    </row>
    <row r="489" spans="1:38">
      <c r="A489" s="568">
        <v>44540</v>
      </c>
      <c r="B489">
        <v>3.5617980482955942E-4</v>
      </c>
      <c r="C489">
        <v>3.6410251679241945E-4</v>
      </c>
      <c r="D489">
        <v>3.5159317712074589E-4</v>
      </c>
      <c r="E489">
        <v>4.0659656457719962E-4</v>
      </c>
      <c r="F489">
        <v>2.8279504492423335E-4</v>
      </c>
      <c r="G489">
        <v>3.6932414860779694E-4</v>
      </c>
      <c r="H489">
        <v>4.6398157016036556E-4</v>
      </c>
      <c r="I489">
        <v>4.9728762982548247E-4</v>
      </c>
      <c r="J489">
        <v>2.3533258583108285E-3</v>
      </c>
      <c r="K489">
        <v>1.6099481574876062E-3</v>
      </c>
      <c r="L489">
        <v>6.419847682783697E-4</v>
      </c>
      <c r="M489">
        <v>6.6023313556851093E-4</v>
      </c>
      <c r="N489">
        <v>6.6569139728134274E-4</v>
      </c>
      <c r="O489">
        <v>5.4612392438491142E-4</v>
      </c>
      <c r="P489">
        <v>5.3573019985209136E-4</v>
      </c>
      <c r="Q489">
        <v>5.4958248556946643E-4</v>
      </c>
      <c r="R489">
        <v>4.8630381949155144E-4</v>
      </c>
      <c r="S489">
        <v>2.4239761721300823E-4</v>
      </c>
      <c r="T489">
        <v>1.112809535619208E-3</v>
      </c>
      <c r="U489">
        <v>-7.7439978096482953E-4</v>
      </c>
      <c r="V489">
        <v>2.5798986415181968E-3</v>
      </c>
      <c r="W489">
        <v>3.9566044369887532E-3</v>
      </c>
      <c r="X489">
        <v>-2.172074965447246E-3</v>
      </c>
      <c r="Y489">
        <v>2.5798986415181968E-3</v>
      </c>
      <c r="Z489">
        <v>-1.8737979818636008E-3</v>
      </c>
      <c r="AA489">
        <v>4.3202820455183755E-3</v>
      </c>
      <c r="AC489">
        <v>1.3802642626052686E-2</v>
      </c>
      <c r="AD489">
        <v>1.5101968980738123E-2</v>
      </c>
      <c r="AE489">
        <v>1.3163958153534772E-2</v>
      </c>
      <c r="AF489">
        <v>1.5513531963990301E-2</v>
      </c>
      <c r="AG489">
        <v>1.7308795606866489E-2</v>
      </c>
      <c r="AH489">
        <v>3.3258912674560825E-3</v>
      </c>
      <c r="AI489">
        <v>1.689030619680576E-2</v>
      </c>
      <c r="AJ489">
        <v>1.4481491946877645E-2</v>
      </c>
      <c r="AK489">
        <v>-9.8494282803125444E-3</v>
      </c>
      <c r="AL489">
        <v>-1.1151560688725803E-3</v>
      </c>
    </row>
    <row r="490" spans="1:38">
      <c r="A490" s="568">
        <v>44543</v>
      </c>
      <c r="B490">
        <v>3.5617980482955942E-4</v>
      </c>
      <c r="C490">
        <v>3.5759064165530319E-4</v>
      </c>
      <c r="D490">
        <v>3.2902372474574726E-4</v>
      </c>
      <c r="E490">
        <v>4.0659656457719962E-4</v>
      </c>
      <c r="F490">
        <v>4.0339646319220712E-4</v>
      </c>
      <c r="G490">
        <v>2.5504716194912902E-4</v>
      </c>
      <c r="H490">
        <v>4.6506002120261236E-4</v>
      </c>
      <c r="I490">
        <v>4.45824402313999E-4</v>
      </c>
      <c r="J490">
        <v>-1.6155895649190288E-3</v>
      </c>
      <c r="K490">
        <v>-1.3775680401668655E-3</v>
      </c>
      <c r="L490">
        <v>6.419847682783697E-4</v>
      </c>
      <c r="M490">
        <v>6.6023313556851093E-4</v>
      </c>
      <c r="N490">
        <v>6.6569139728134274E-4</v>
      </c>
      <c r="O490">
        <v>5.4612392438491142E-4</v>
      </c>
      <c r="P490">
        <v>5.3573019985209136E-4</v>
      </c>
      <c r="Q490">
        <v>5.4958248556946643E-4</v>
      </c>
      <c r="R490">
        <v>4.6424159911451213E-4</v>
      </c>
      <c r="S490">
        <v>-2.8709454215665176E-3</v>
      </c>
      <c r="T490">
        <v>-1.1967392524414588E-3</v>
      </c>
      <c r="U490">
        <v>-3.417430931396126E-5</v>
      </c>
      <c r="V490">
        <v>-2.3404529333675983E-3</v>
      </c>
      <c r="W490">
        <v>-3.1514377940463634E-3</v>
      </c>
      <c r="X490">
        <v>-4.3815039021646296E-3</v>
      </c>
      <c r="Y490">
        <v>-2.3404529333675983E-3</v>
      </c>
      <c r="Z490">
        <v>1.1448461028729096E-3</v>
      </c>
      <c r="AA490">
        <v>1.4558890002693836E-3</v>
      </c>
      <c r="AC490">
        <v>-3.4801946652109894E-3</v>
      </c>
      <c r="AD490">
        <v>-3.8646237020834029E-3</v>
      </c>
      <c r="AE490">
        <v>-3.8633056501006235E-3</v>
      </c>
      <c r="AF490">
        <v>-2.1320591112881093E-3</v>
      </c>
      <c r="AG490">
        <v>7.255972520712195E-4</v>
      </c>
      <c r="AH490">
        <v>2.9631030370218525E-3</v>
      </c>
      <c r="AI490">
        <v>-2.1934343065465045E-3</v>
      </c>
      <c r="AJ490">
        <v>2.7156883225400996E-3</v>
      </c>
      <c r="AK490">
        <v>-5.4882231877428911E-3</v>
      </c>
      <c r="AL490">
        <v>1.7594787415117441E-2</v>
      </c>
    </row>
    <row r="491" spans="1:38">
      <c r="A491" s="568">
        <v>44544</v>
      </c>
      <c r="B491">
        <v>3.5617980482955942E-4</v>
      </c>
      <c r="C491">
        <v>3.7310102160525993E-4</v>
      </c>
      <c r="D491">
        <v>3.2836822336923532E-4</v>
      </c>
      <c r="E491">
        <v>4.0659656457719962E-4</v>
      </c>
      <c r="F491">
        <v>3.7708265407121466E-4</v>
      </c>
      <c r="G491">
        <v>2.8409961918685056E-4</v>
      </c>
      <c r="H491">
        <v>4.6355081215132543E-4</v>
      </c>
      <c r="I491">
        <v>4.9441973870245626E-4</v>
      </c>
      <c r="J491">
        <v>2.3385471904013855E-4</v>
      </c>
      <c r="K491">
        <v>-4.3959328510645435E-6</v>
      </c>
      <c r="L491">
        <v>6.419847682783697E-4</v>
      </c>
      <c r="M491">
        <v>6.6023313556851093E-4</v>
      </c>
      <c r="N491">
        <v>6.6569139728134274E-4</v>
      </c>
      <c r="O491">
        <v>5.4612392438491142E-4</v>
      </c>
      <c r="P491">
        <v>5.3573019985209136E-4</v>
      </c>
      <c r="Q491">
        <v>5.4958248556946643E-4</v>
      </c>
      <c r="R491">
        <v>-5.7664244336019799E-4</v>
      </c>
      <c r="S491">
        <v>1.4858514370432729E-3</v>
      </c>
      <c r="T491">
        <v>6.6412400090545276E-3</v>
      </c>
      <c r="U491">
        <v>1.7644332520818651E-3</v>
      </c>
      <c r="V491">
        <v>-2.2565742273902289E-3</v>
      </c>
      <c r="W491">
        <v>-3.0841514615196353E-3</v>
      </c>
      <c r="X491">
        <v>2.5567925956668791E-3</v>
      </c>
      <c r="Y491">
        <v>-2.2565742273902289E-3</v>
      </c>
      <c r="Z491">
        <v>5.4486313269741515E-4</v>
      </c>
      <c r="AA491">
        <v>-1.2015821464981258E-3</v>
      </c>
      <c r="AC491">
        <v>-5.8053708900042134E-3</v>
      </c>
      <c r="AD491">
        <v>-1.2545889848976643E-2</v>
      </c>
      <c r="AE491">
        <v>-8.3996092035570902E-3</v>
      </c>
      <c r="AF491">
        <v>-1.5352376325910688E-2</v>
      </c>
      <c r="AG491">
        <v>-1.3285644562882504E-2</v>
      </c>
      <c r="AH491">
        <v>-5.5492645920097727E-3</v>
      </c>
      <c r="AI491">
        <v>-1.1810698742194758E-2</v>
      </c>
      <c r="AJ491">
        <v>-4.6180555555555003E-3</v>
      </c>
      <c r="AK491">
        <v>-1.3911243964129794E-2</v>
      </c>
      <c r="AL491">
        <v>-2.1837718100665704E-3</v>
      </c>
    </row>
    <row r="492" spans="1:38">
      <c r="A492" s="568">
        <v>44545</v>
      </c>
      <c r="B492">
        <v>3.5617980482955942E-4</v>
      </c>
      <c r="C492">
        <v>3.1741579578814516E-4</v>
      </c>
      <c r="D492">
        <v>3.4029664895340872E-4</v>
      </c>
      <c r="E492">
        <v>4.0659656457719962E-4</v>
      </c>
      <c r="F492">
        <v>3.1706853276114444E-4</v>
      </c>
      <c r="G492">
        <v>3.6508946686963917E-4</v>
      </c>
      <c r="H492">
        <v>4.5816631372552763E-4</v>
      </c>
      <c r="I492">
        <v>4.8996108730325894E-4</v>
      </c>
      <c r="J492">
        <v>1.9877634260123678E-4</v>
      </c>
      <c r="K492">
        <v>1.3664893379150556E-3</v>
      </c>
      <c r="L492">
        <v>6.419847682783697E-4</v>
      </c>
      <c r="M492">
        <v>6.6023313556851093E-4</v>
      </c>
      <c r="N492">
        <v>6.6569139728134274E-4</v>
      </c>
      <c r="O492">
        <v>5.4612392438491142E-4</v>
      </c>
      <c r="P492">
        <v>5.3573019985209136E-4</v>
      </c>
      <c r="Q492">
        <v>5.4958248556946643E-4</v>
      </c>
      <c r="R492">
        <v>7.5337144043796656E-4</v>
      </c>
      <c r="S492">
        <v>3.8198880319528783E-4</v>
      </c>
      <c r="T492">
        <v>3.0786159552329551E-3</v>
      </c>
      <c r="U492">
        <v>9.2393650374966718E-4</v>
      </c>
      <c r="V492">
        <v>3.0628442900719755E-3</v>
      </c>
      <c r="W492">
        <v>4.6185135413416845E-3</v>
      </c>
      <c r="X492">
        <v>1.9601891542675443E-3</v>
      </c>
      <c r="Y492">
        <v>3.0628442900719755E-3</v>
      </c>
      <c r="Z492">
        <v>2.6900326981023071E-3</v>
      </c>
      <c r="AA492">
        <v>-1.0861872297083242E-3</v>
      </c>
      <c r="AC492">
        <v>6.287565595777922E-3</v>
      </c>
      <c r="AD492">
        <v>7.1712685715064062E-3</v>
      </c>
      <c r="AE492">
        <v>4.5459065495327966E-3</v>
      </c>
      <c r="AF492">
        <v>6.8878149955335921E-3</v>
      </c>
      <c r="AG492">
        <v>1.0572452002232557E-2</v>
      </c>
      <c r="AH492">
        <v>-3.9812205290490343E-4</v>
      </c>
      <c r="AI492">
        <v>3.6236976847707769E-3</v>
      </c>
      <c r="AJ492">
        <v>1.4685875745630739E-2</v>
      </c>
      <c r="AK492">
        <v>-1.3641133263378791E-2</v>
      </c>
      <c r="AL492">
        <v>6.4537653629681557E-4</v>
      </c>
    </row>
    <row r="493" spans="1:38">
      <c r="A493" s="568">
        <v>44546</v>
      </c>
      <c r="B493">
        <v>3.5617980482955942E-4</v>
      </c>
      <c r="C493">
        <v>3.5430868468644405E-4</v>
      </c>
      <c r="D493">
        <v>3.3197716740884786E-4</v>
      </c>
      <c r="E493">
        <v>4.0659656457719962E-4</v>
      </c>
      <c r="F493">
        <v>3.823005388035039E-4</v>
      </c>
      <c r="G493">
        <v>3.0694033246736474E-4</v>
      </c>
      <c r="H493">
        <v>4.702289524101122E-4</v>
      </c>
      <c r="I493">
        <v>4.9004715834310986E-4</v>
      </c>
      <c r="J493">
        <v>-1.6152313394441897E-3</v>
      </c>
      <c r="K493">
        <v>-2.2569639739310476E-3</v>
      </c>
      <c r="L493">
        <v>6.419847682783697E-4</v>
      </c>
      <c r="M493">
        <v>6.6023313556851093E-4</v>
      </c>
      <c r="N493">
        <v>6.6569139728134274E-4</v>
      </c>
      <c r="O493">
        <v>5.4612392438491142E-4</v>
      </c>
      <c r="P493">
        <v>5.3573019985209136E-4</v>
      </c>
      <c r="Q493">
        <v>5.4958248556946643E-4</v>
      </c>
      <c r="R493">
        <v>1.2291283976411105E-3</v>
      </c>
      <c r="S493">
        <v>4.6668938295857387E-5</v>
      </c>
      <c r="T493">
        <v>-4.9052250716561385E-3</v>
      </c>
      <c r="U493">
        <v>2.5803031673232724E-4</v>
      </c>
      <c r="V493">
        <v>-2.5549120043656393E-3</v>
      </c>
      <c r="W493">
        <v>-3.698111532930537E-3</v>
      </c>
      <c r="X493">
        <v>-1.1171116627657351E-2</v>
      </c>
      <c r="Y493">
        <v>-2.5549120043656393E-3</v>
      </c>
      <c r="Z493">
        <v>2.9151629845491911E-4</v>
      </c>
      <c r="AA493">
        <v>7.6055579182332522E-4</v>
      </c>
      <c r="AC493">
        <v>8.332310973406587E-3</v>
      </c>
      <c r="AD493">
        <v>-3.1351538981058136E-3</v>
      </c>
      <c r="AE493">
        <v>2.8874776605110064E-3</v>
      </c>
      <c r="AF493">
        <v>-6.8260598099217917E-3</v>
      </c>
      <c r="AG493">
        <v>1.1621059251580856E-3</v>
      </c>
      <c r="AH493">
        <v>5.68752480378798E-3</v>
      </c>
      <c r="AI493">
        <v>3.9976601912870002E-3</v>
      </c>
      <c r="AJ493">
        <v>-1.8220572057204842E-3</v>
      </c>
      <c r="AK493">
        <v>2.6004728132387189E-3</v>
      </c>
      <c r="AL493">
        <v>3.2286278662243539E-3</v>
      </c>
    </row>
    <row r="494" spans="1:38">
      <c r="A494" s="568">
        <v>44547</v>
      </c>
      <c r="B494">
        <v>3.5617980482955942E-4</v>
      </c>
      <c r="C494">
        <v>3.518259723185313E-4</v>
      </c>
      <c r="D494">
        <v>3.8435337328857067E-4</v>
      </c>
      <c r="E494">
        <v>4.0659656457719962E-4</v>
      </c>
      <c r="F494">
        <v>3.497113406754071E-4</v>
      </c>
      <c r="G494">
        <v>3.0050260782976679E-4</v>
      </c>
      <c r="H494">
        <v>4.6096932681694014E-4</v>
      </c>
      <c r="I494">
        <v>4.6627487847650251E-4</v>
      </c>
      <c r="J494">
        <v>-1.1371872977327113E-3</v>
      </c>
      <c r="K494">
        <v>-1.2566850778725769E-3</v>
      </c>
      <c r="L494">
        <v>6.419847682783697E-4</v>
      </c>
      <c r="M494">
        <v>6.6023313556851093E-4</v>
      </c>
      <c r="N494">
        <v>6.6569139728134274E-4</v>
      </c>
      <c r="O494">
        <v>5.4612392438491142E-4</v>
      </c>
      <c r="P494">
        <v>5.3573019985209136E-4</v>
      </c>
      <c r="Q494">
        <v>5.4958248556946643E-4</v>
      </c>
      <c r="R494">
        <v>1.2187877007230341E-4</v>
      </c>
      <c r="S494">
        <v>9.9922568500332432E-5</v>
      </c>
      <c r="T494">
        <v>1.2365593998548974E-3</v>
      </c>
      <c r="U494">
        <v>-2.231264505697661E-4</v>
      </c>
      <c r="V494">
        <v>-8.952662795468358E-4</v>
      </c>
      <c r="W494">
        <v>-1.6056352068926083E-3</v>
      </c>
      <c r="X494">
        <v>1.420646210872567E-3</v>
      </c>
      <c r="Y494">
        <v>-8.952662795468358E-4</v>
      </c>
      <c r="Z494">
        <v>6.4730459672834861E-4</v>
      </c>
      <c r="AA494">
        <v>-5.9334164072200046E-4</v>
      </c>
      <c r="AC494">
        <v>-1.0392394905282987E-2</v>
      </c>
      <c r="AD494">
        <v>-7.9726226167484704E-3</v>
      </c>
      <c r="AE494">
        <v>-8.4550620280438027E-3</v>
      </c>
      <c r="AF494">
        <v>-3.1561576187820739E-3</v>
      </c>
      <c r="AG494">
        <v>1.2715428484209035E-3</v>
      </c>
      <c r="AH494">
        <v>-2.1255075954116132E-2</v>
      </c>
      <c r="AI494">
        <v>-1.1762660750025411E-3</v>
      </c>
      <c r="AJ494">
        <v>-1.2433270191148704E-2</v>
      </c>
      <c r="AK494">
        <v>-1.6741334590898216E-2</v>
      </c>
      <c r="AL494">
        <v>-1.3116768205212237E-2</v>
      </c>
    </row>
    <row r="495" spans="1:38">
      <c r="A495" s="568">
        <v>44550</v>
      </c>
      <c r="B495">
        <v>3.5617980482955942E-4</v>
      </c>
      <c r="C495">
        <v>4.0805296935286783E-4</v>
      </c>
      <c r="D495">
        <v>3.5797259624126276E-4</v>
      </c>
      <c r="E495">
        <v>4.0659656457719962E-4</v>
      </c>
      <c r="F495">
        <v>5.6734517836631859E-4</v>
      </c>
      <c r="G495">
        <v>4.1093798043556617E-4</v>
      </c>
      <c r="H495">
        <v>4.6269288550004894E-4</v>
      </c>
      <c r="I495">
        <v>4.7897750890291135E-4</v>
      </c>
      <c r="J495">
        <v>7.5316389185609012E-4</v>
      </c>
      <c r="K495">
        <v>1.0185809944913693E-3</v>
      </c>
      <c r="L495">
        <v>6.419847682783697E-4</v>
      </c>
      <c r="M495">
        <v>6.6023313556851093E-4</v>
      </c>
      <c r="N495">
        <v>6.6569139728134274E-4</v>
      </c>
      <c r="O495">
        <v>5.4612392438491142E-4</v>
      </c>
      <c r="P495">
        <v>5.3573019985209136E-4</v>
      </c>
      <c r="Q495">
        <v>5.4958248556946643E-4</v>
      </c>
      <c r="R495">
        <v>-1.601303649558794E-4</v>
      </c>
      <c r="S495">
        <v>-5.5038182093571919E-3</v>
      </c>
      <c r="T495">
        <v>-1.4424720438657168E-3</v>
      </c>
      <c r="U495">
        <v>-3.3998732005128263E-3</v>
      </c>
      <c r="V495">
        <v>-5.3340966509440868E-3</v>
      </c>
      <c r="W495">
        <v>-3.3582426453796499E-3</v>
      </c>
      <c r="X495">
        <v>-2.1890954440719756E-3</v>
      </c>
      <c r="Y495">
        <v>-5.3340966509440868E-3</v>
      </c>
      <c r="Z495">
        <v>-5.0448446656907731E-3</v>
      </c>
      <c r="AA495">
        <v>-3.3932306909325582E-3</v>
      </c>
      <c r="AC495">
        <v>-2.0342990745570777E-2</v>
      </c>
      <c r="AD495">
        <v>-2.2391728013113399E-2</v>
      </c>
      <c r="AE495">
        <v>-2.3685326784087857E-2</v>
      </c>
      <c r="AF495">
        <v>-2.466681883971511E-2</v>
      </c>
      <c r="AG495">
        <v>-2.1563609746762191E-2</v>
      </c>
      <c r="AH495">
        <v>-5.4728911702734973E-3</v>
      </c>
      <c r="AI495">
        <v>-2.0623757384406693E-2</v>
      </c>
      <c r="AJ495">
        <v>-1.778614772965037E-3</v>
      </c>
      <c r="AK495">
        <v>-2.6019184652278149E-2</v>
      </c>
      <c r="AL495">
        <v>-1.1334574101073747E-2</v>
      </c>
    </row>
    <row r="496" spans="1:38">
      <c r="A496" s="568">
        <v>44551</v>
      </c>
      <c r="B496">
        <v>3.5617980482955942E-4</v>
      </c>
      <c r="C496">
        <v>3.834035450469564E-4</v>
      </c>
      <c r="D496">
        <v>3.9280945627306885E-4</v>
      </c>
      <c r="E496">
        <v>4.0659656457719962E-4</v>
      </c>
      <c r="F496">
        <v>3.1108415142000467E-4</v>
      </c>
      <c r="G496">
        <v>3.8151908165917625E-4</v>
      </c>
      <c r="H496">
        <v>4.6376893857558166E-4</v>
      </c>
      <c r="I496">
        <v>4.7647980197895734E-4</v>
      </c>
      <c r="J496">
        <v>1.8414716658972097E-3</v>
      </c>
      <c r="K496">
        <v>1.3835256141725427E-3</v>
      </c>
      <c r="L496">
        <v>6.419847682783697E-4</v>
      </c>
      <c r="M496">
        <v>6.6023313556851093E-4</v>
      </c>
      <c r="N496">
        <v>6.6569139728134274E-4</v>
      </c>
      <c r="O496">
        <v>5.4612392438491142E-4</v>
      </c>
      <c r="P496">
        <v>5.3573019985209136E-4</v>
      </c>
      <c r="Q496">
        <v>5.4958248556946643E-4</v>
      </c>
      <c r="R496">
        <v>2.7344283608030651E-3</v>
      </c>
      <c r="S496">
        <v>5.2401891074058682E-3</v>
      </c>
      <c r="T496">
        <v>4.194726856826092E-3</v>
      </c>
      <c r="U496">
        <v>2.6568012727796742E-3</v>
      </c>
      <c r="V496">
        <v>4.7971532386414939E-3</v>
      </c>
      <c r="W496">
        <v>2.9741429155341059E-3</v>
      </c>
      <c r="X496">
        <v>5.881051905732182E-3</v>
      </c>
      <c r="Y496">
        <v>4.7971532386414939E-3</v>
      </c>
      <c r="Z496">
        <v>2.2516702161727853E-3</v>
      </c>
      <c r="AA496">
        <v>3.8981329222151917E-3</v>
      </c>
      <c r="AC496">
        <v>4.5715197651339246E-3</v>
      </c>
      <c r="AD496">
        <v>7.8322251120264141E-3</v>
      </c>
      <c r="AE496">
        <v>5.0191588838768286E-3</v>
      </c>
      <c r="AF496">
        <v>1.7640990563440928E-2</v>
      </c>
      <c r="AG496">
        <v>8.7155462354493451E-5</v>
      </c>
      <c r="AH496">
        <v>-9.5320353619843257E-4</v>
      </c>
      <c r="AI496">
        <v>1.2546058511224256E-2</v>
      </c>
      <c r="AJ496">
        <v>1.7713027984487928E-2</v>
      </c>
      <c r="AK496">
        <v>1.8958512864704957E-2</v>
      </c>
      <c r="AL496">
        <v>2.0082840704439997E-2</v>
      </c>
    </row>
    <row r="497" spans="1:38">
      <c r="A497" s="568">
        <v>44552</v>
      </c>
      <c r="B497">
        <v>3.5617980482955942E-4</v>
      </c>
      <c r="C497">
        <v>2.6331063710571811E-4</v>
      </c>
      <c r="D497">
        <v>3.5551953637202871E-4</v>
      </c>
      <c r="E497">
        <v>4.0659656457719962E-4</v>
      </c>
      <c r="F497">
        <v>3.6569425939969591E-4</v>
      </c>
      <c r="G497">
        <v>4.1731122845112267E-4</v>
      </c>
      <c r="H497">
        <v>4.6742227895757438E-4</v>
      </c>
      <c r="I497">
        <v>4.8851798612559172E-4</v>
      </c>
      <c r="J497">
        <v>8.1595465811012957E-4</v>
      </c>
      <c r="K497">
        <v>4.3436679876363016E-4</v>
      </c>
      <c r="L497">
        <v>6.419847682783697E-4</v>
      </c>
      <c r="M497">
        <v>6.6023313556851093E-4</v>
      </c>
      <c r="N497">
        <v>6.6569139728134274E-4</v>
      </c>
      <c r="O497">
        <v>5.4612392438491142E-4</v>
      </c>
      <c r="P497">
        <v>5.3573019985209136E-4</v>
      </c>
      <c r="Q497">
        <v>5.4958248556946643E-4</v>
      </c>
      <c r="R497">
        <v>1.3928459859964271E-3</v>
      </c>
      <c r="S497">
        <v>1.651248042947584E-3</v>
      </c>
      <c r="T497">
        <v>7.2488653734925634E-4</v>
      </c>
      <c r="U497">
        <v>-1.1850139458524644E-4</v>
      </c>
      <c r="V497">
        <v>5.4292467044714243E-4</v>
      </c>
      <c r="W497">
        <v>2.3941494765389315E-3</v>
      </c>
      <c r="X497">
        <v>-1.4029396753887369E-3</v>
      </c>
      <c r="Y497">
        <v>5.4292467044714243E-4</v>
      </c>
      <c r="Z497">
        <v>-1.7583958764325613E-3</v>
      </c>
      <c r="AA497">
        <v>8.6474554351156918E-4</v>
      </c>
      <c r="AC497">
        <v>-2.4280596338119853E-3</v>
      </c>
      <c r="AD497">
        <v>-5.2981683411371661E-3</v>
      </c>
      <c r="AE497">
        <v>-7.1070153553587367E-4</v>
      </c>
      <c r="AF497">
        <v>5.7239486639124593E-3</v>
      </c>
      <c r="AG497">
        <v>2.8169725720832428E-3</v>
      </c>
      <c r="AH497">
        <v>-3.079545639923631E-3</v>
      </c>
      <c r="AI497">
        <v>2.6307978182811276E-3</v>
      </c>
      <c r="AJ497">
        <v>-3.7075180226570081E-3</v>
      </c>
      <c r="AK497">
        <v>4.1077685151624799E-3</v>
      </c>
      <c r="AL497">
        <v>-7.3387519551515457E-3</v>
      </c>
    </row>
    <row r="498" spans="1:38">
      <c r="A498" s="568">
        <v>44553</v>
      </c>
      <c r="B498">
        <v>3.5617980482955942E-4</v>
      </c>
      <c r="C498">
        <v>3.5049627498473512E-4</v>
      </c>
      <c r="D498">
        <v>3.3410235105435504E-4</v>
      </c>
      <c r="E498">
        <v>4.0659656457719962E-4</v>
      </c>
      <c r="F498">
        <v>3.0203969340036885E-4</v>
      </c>
      <c r="G498">
        <v>3.207703265459827E-4</v>
      </c>
      <c r="H498">
        <v>4.581820290827654E-4</v>
      </c>
      <c r="I498">
        <v>4.8360056556218112E-4</v>
      </c>
      <c r="J498">
        <v>-1.1659008817688221E-4</v>
      </c>
      <c r="K498">
        <v>-4.8107492371574079E-4</v>
      </c>
      <c r="L498">
        <v>6.419847682783697E-4</v>
      </c>
      <c r="M498">
        <v>6.6023313556851093E-4</v>
      </c>
      <c r="N498">
        <v>6.6569139728134274E-4</v>
      </c>
      <c r="O498">
        <v>5.4612392438491142E-4</v>
      </c>
      <c r="P498">
        <v>5.3573019985209136E-4</v>
      </c>
      <c r="Q498">
        <v>5.4958248556946643E-4</v>
      </c>
      <c r="R498">
        <v>2.0417976263076287E-3</v>
      </c>
      <c r="S498">
        <v>3.0586992978569594E-3</v>
      </c>
      <c r="T498">
        <v>4.2240503310431166E-3</v>
      </c>
      <c r="U498">
        <v>1.1350924901201154E-3</v>
      </c>
      <c r="V498">
        <v>1.060368839095327E-3</v>
      </c>
      <c r="W498">
        <v>9.2812762046312614E-4</v>
      </c>
      <c r="X498">
        <v>2.9461498835321454E-3</v>
      </c>
      <c r="Y498">
        <v>1.060368839095327E-3</v>
      </c>
      <c r="Z498">
        <v>3.6007172466534509E-3</v>
      </c>
      <c r="AA498">
        <v>7.6373066095603015E-4</v>
      </c>
      <c r="AC498">
        <v>-3.348418318926738E-3</v>
      </c>
      <c r="AD498">
        <v>-4.6926390039981891E-3</v>
      </c>
      <c r="AE498">
        <v>-4.2399454069165232E-3</v>
      </c>
      <c r="AF498">
        <v>-1.6747225426055889E-3</v>
      </c>
      <c r="AG498">
        <v>-3.4456926933521537E-3</v>
      </c>
      <c r="AH498">
        <v>-1.0514574391503384E-2</v>
      </c>
      <c r="AI498">
        <v>1.1754584109047173E-3</v>
      </c>
      <c r="AJ498">
        <v>8.1662187306179579E-3</v>
      </c>
      <c r="AK498">
        <v>6.1364456744075202E-3</v>
      </c>
      <c r="AL498">
        <v>9.0930368898778369E-4</v>
      </c>
    </row>
    <row r="499" spans="1:38">
      <c r="A499" s="568">
        <v>44554</v>
      </c>
      <c r="B499">
        <v>3.5617980482955942E-4</v>
      </c>
      <c r="C499">
        <v>3.7640921415005302E-4</v>
      </c>
      <c r="D499">
        <v>3.2362176964895184E-4</v>
      </c>
      <c r="E499">
        <v>4.0659656457719962E-4</v>
      </c>
      <c r="F499">
        <v>3.8016913321015089E-4</v>
      </c>
      <c r="G499">
        <v>3.8299183378920354E-4</v>
      </c>
      <c r="H499">
        <v>4.579721944533155E-4</v>
      </c>
      <c r="I499">
        <v>4.7962634497422663E-4</v>
      </c>
      <c r="J499">
        <v>3.4854910441040055E-4</v>
      </c>
      <c r="K499">
        <v>2.9158745325785773E-4</v>
      </c>
      <c r="L499">
        <v>6.419847682783697E-4</v>
      </c>
      <c r="M499">
        <v>6.6023313556851093E-4</v>
      </c>
      <c r="N499">
        <v>6.6569139728134274E-4</v>
      </c>
      <c r="O499">
        <v>5.4612392438491142E-4</v>
      </c>
      <c r="P499">
        <v>5.3573019985209136E-4</v>
      </c>
      <c r="Q499">
        <v>5.4958248556946643E-4</v>
      </c>
      <c r="R499">
        <v>-3.2185538510809408E-5</v>
      </c>
      <c r="S499">
        <v>2.3437982867413609E-4</v>
      </c>
      <c r="T499">
        <v>1.9013905758025196E-4</v>
      </c>
      <c r="U499">
        <v>-1.9056836022435242E-5</v>
      </c>
      <c r="V499">
        <v>3.7297381972445365E-5</v>
      </c>
      <c r="W499">
        <v>1.6416491689819068E-5</v>
      </c>
      <c r="X499">
        <v>-4.6892087648486847E-4</v>
      </c>
      <c r="Y499">
        <v>3.7297381972445365E-5</v>
      </c>
      <c r="Z499">
        <v>2.9754001516346662E-4</v>
      </c>
      <c r="AA499">
        <v>2.0524404886046455E-4</v>
      </c>
      <c r="AC499">
        <v>0</v>
      </c>
      <c r="AD499">
        <v>-5.9388732078113904E-5</v>
      </c>
      <c r="AE499">
        <v>-7.8878035986496009E-5</v>
      </c>
      <c r="AF499">
        <v>-5.5006736589979788E-5</v>
      </c>
      <c r="AG499">
        <v>4.2072253572111862E-4</v>
      </c>
      <c r="AH499">
        <v>1.054324251385852E-3</v>
      </c>
      <c r="AI499">
        <v>5.0783031910972554E-5</v>
      </c>
      <c r="AJ499">
        <v>0</v>
      </c>
      <c r="AK499">
        <v>-2.7505381487682445E-3</v>
      </c>
      <c r="AL499">
        <v>-3.9236099802053559E-5</v>
      </c>
    </row>
    <row r="500" spans="1:38">
      <c r="A500" s="568">
        <v>44557</v>
      </c>
      <c r="B500">
        <v>3.5617980482955942E-4</v>
      </c>
      <c r="C500">
        <v>4.8861671685140884E-4</v>
      </c>
      <c r="D500">
        <v>3.3661051217714899E-4</v>
      </c>
      <c r="E500">
        <v>4.0659656457719962E-4</v>
      </c>
      <c r="F500">
        <v>3.2411395190745651E-4</v>
      </c>
      <c r="G500">
        <v>3.5752714909609296E-4</v>
      </c>
      <c r="H500">
        <v>4.5518723518500614E-4</v>
      </c>
      <c r="I500">
        <v>4.8175301990815989E-4</v>
      </c>
      <c r="J500">
        <v>-1.6399564023772406E-5</v>
      </c>
      <c r="K500">
        <v>6.6268654209955535E-4</v>
      </c>
      <c r="L500">
        <v>6.419847682783697E-4</v>
      </c>
      <c r="M500">
        <v>6.6023313556851093E-4</v>
      </c>
      <c r="N500">
        <v>6.6569139728134274E-4</v>
      </c>
      <c r="O500">
        <v>5.4612392438491142E-4</v>
      </c>
      <c r="P500">
        <v>5.3573019985209136E-4</v>
      </c>
      <c r="Q500">
        <v>5.4958248556946643E-4</v>
      </c>
      <c r="R500">
        <v>1.5186211037419017E-3</v>
      </c>
      <c r="S500">
        <v>1.0765018766274448E-3</v>
      </c>
      <c r="T500">
        <v>-1.1944813465569748E-3</v>
      </c>
      <c r="U500">
        <v>1.7892423177761074E-3</v>
      </c>
      <c r="V500">
        <v>2.6853113469322842E-3</v>
      </c>
      <c r="W500">
        <v>4.3492397700457541E-3</v>
      </c>
      <c r="X500">
        <v>3.1950225626482531E-3</v>
      </c>
      <c r="Y500">
        <v>2.6853113469322842E-3</v>
      </c>
      <c r="Z500">
        <v>1.4485431729107656E-3</v>
      </c>
      <c r="AA500">
        <v>2.7792824804131477E-3</v>
      </c>
      <c r="AC500">
        <v>6.3215907665190585E-3</v>
      </c>
      <c r="AD500">
        <v>2.9904127862261376E-3</v>
      </c>
      <c r="AE500">
        <v>7.6134805768739433E-3</v>
      </c>
      <c r="AF500">
        <v>1.2692938716087676E-2</v>
      </c>
      <c r="AG500">
        <v>8.8195541435098779E-3</v>
      </c>
      <c r="AH500">
        <v>1.2118071120264418E-2</v>
      </c>
      <c r="AI500">
        <v>-5.2956061395870169E-4</v>
      </c>
      <c r="AJ500">
        <v>6.7329710516423891E-3</v>
      </c>
      <c r="AK500">
        <v>-1.3191030099531931E-3</v>
      </c>
      <c r="AL500">
        <v>1.8859304682363742E-3</v>
      </c>
    </row>
    <row r="501" spans="1:38">
      <c r="A501" s="568">
        <v>44558</v>
      </c>
      <c r="B501">
        <v>3.5617980482955942E-4</v>
      </c>
      <c r="C501">
        <v>3.7238449943788332E-4</v>
      </c>
      <c r="D501">
        <v>3.2831659754939402E-4</v>
      </c>
      <c r="E501">
        <v>4.0659656457719962E-4</v>
      </c>
      <c r="F501">
        <v>3.5804878540779406E-4</v>
      </c>
      <c r="G501">
        <v>3.64992071952841E-4</v>
      </c>
      <c r="H501">
        <v>4.7750390304734935E-4</v>
      </c>
      <c r="I501">
        <v>2.8752670698661831E-4</v>
      </c>
      <c r="J501">
        <v>1.7846382344033351E-4</v>
      </c>
      <c r="K501">
        <v>2.5958951639126759E-4</v>
      </c>
      <c r="L501">
        <v>6.419847682783697E-4</v>
      </c>
      <c r="M501">
        <v>6.6023313556851093E-4</v>
      </c>
      <c r="N501">
        <v>6.6569139728134274E-4</v>
      </c>
      <c r="O501">
        <v>5.4612392438491142E-4</v>
      </c>
      <c r="P501">
        <v>5.3573019985209136E-4</v>
      </c>
      <c r="Q501">
        <v>5.4958248556946643E-4</v>
      </c>
      <c r="R501">
        <v>9.7990980388962257E-4</v>
      </c>
      <c r="S501">
        <v>1.1932586726688399E-3</v>
      </c>
      <c r="T501">
        <v>2.5717748411639985E-3</v>
      </c>
      <c r="U501">
        <v>-6.4983121889605755E-4</v>
      </c>
      <c r="V501">
        <v>1.9837924159604725E-5</v>
      </c>
      <c r="W501">
        <v>1.7030574362708606E-4</v>
      </c>
      <c r="X501">
        <v>8.7707484822674431E-5</v>
      </c>
      <c r="Y501">
        <v>1.9837924159604725E-5</v>
      </c>
      <c r="Z501">
        <v>-1.5991605607645898E-4</v>
      </c>
      <c r="AA501">
        <v>1.1858214640581011E-3</v>
      </c>
      <c r="AC501">
        <v>-6.5390926384878423E-3</v>
      </c>
      <c r="AD501">
        <v>-5.576221181945118E-3</v>
      </c>
      <c r="AE501">
        <v>-7.3918290803322018E-3</v>
      </c>
      <c r="AF501">
        <v>-3.3171354946519571E-3</v>
      </c>
      <c r="AG501">
        <v>-7.5724572456981054E-4</v>
      </c>
      <c r="AH501">
        <v>-3.5868506249034926E-3</v>
      </c>
      <c r="AI501">
        <v>5.9923399487660234E-4</v>
      </c>
      <c r="AJ501">
        <v>-1.7992938620315924E-3</v>
      </c>
      <c r="AK501">
        <v>-1.8011527377522762E-3</v>
      </c>
      <c r="AL501">
        <v>2.63984784301452E-3</v>
      </c>
    </row>
    <row r="502" spans="1:38">
      <c r="A502" s="568">
        <v>44559</v>
      </c>
      <c r="B502">
        <v>3.5617980482955942E-4</v>
      </c>
      <c r="C502">
        <v>3.71420371205744E-4</v>
      </c>
      <c r="D502">
        <v>3.3366081524466296E-4</v>
      </c>
      <c r="E502">
        <v>4.0659656457719962E-4</v>
      </c>
      <c r="F502">
        <v>2.4869602624089104E-4</v>
      </c>
      <c r="G502">
        <v>3.5717861243744764E-4</v>
      </c>
      <c r="H502">
        <v>4.6762756519758142E-4</v>
      </c>
      <c r="I502">
        <v>4.5191367988439701E-4</v>
      </c>
      <c r="J502">
        <v>-1.676268386923585E-3</v>
      </c>
      <c r="K502">
        <v>-2.3346290107547629E-3</v>
      </c>
      <c r="L502">
        <v>6.419847682783697E-4</v>
      </c>
      <c r="M502">
        <v>6.6023313556851093E-4</v>
      </c>
      <c r="N502">
        <v>6.6569139728134274E-4</v>
      </c>
      <c r="O502">
        <v>5.4612392438491142E-4</v>
      </c>
      <c r="P502">
        <v>5.3573019985209136E-4</v>
      </c>
      <c r="Q502">
        <v>5.4958248556946643E-4</v>
      </c>
      <c r="R502">
        <v>7.7405390007001529E-4</v>
      </c>
      <c r="S502">
        <v>3.3031995909604817E-4</v>
      </c>
      <c r="T502">
        <v>2.8024457275512837E-3</v>
      </c>
      <c r="U502">
        <v>-6.2710656715203594E-4</v>
      </c>
      <c r="V502">
        <v>-5.6784931411746342E-4</v>
      </c>
      <c r="W502">
        <v>-1.022714812284331E-4</v>
      </c>
      <c r="X502">
        <v>4.5397749162003898E-3</v>
      </c>
      <c r="Y502">
        <v>-5.6784931411746342E-4</v>
      </c>
      <c r="Z502">
        <v>3.202675107870645E-3</v>
      </c>
      <c r="AA502">
        <v>-1.2912081825654509E-3</v>
      </c>
      <c r="AC502">
        <v>-7.2181947370583144E-3</v>
      </c>
      <c r="AD502">
        <v>-7.6011913466065284E-3</v>
      </c>
      <c r="AE502">
        <v>-8.3377131025953455E-3</v>
      </c>
      <c r="AF502">
        <v>-1.0223505948696809E-2</v>
      </c>
      <c r="AG502">
        <v>-8.2904310133864456E-3</v>
      </c>
      <c r="AH502">
        <v>-5.6786559260553204E-3</v>
      </c>
      <c r="AI502">
        <v>-3.3309764577561518E-3</v>
      </c>
      <c r="AJ502">
        <v>1.2651770227527948E-2</v>
      </c>
      <c r="AK502">
        <v>-1.6239624684229459E-2</v>
      </c>
      <c r="AL502">
        <v>3.2609492756023872E-3</v>
      </c>
    </row>
    <row r="503" spans="1:38">
      <c r="A503" s="568">
        <v>44560</v>
      </c>
      <c r="B503">
        <v>3.5617980482955942E-4</v>
      </c>
      <c r="C503">
        <v>3.7679785765809548E-4</v>
      </c>
      <c r="D503">
        <v>3.3845466288062731E-4</v>
      </c>
      <c r="E503">
        <v>4.0659656457719962E-4</v>
      </c>
      <c r="F503">
        <v>4.5526936490758452E-4</v>
      </c>
      <c r="G503">
        <v>3.7159325803015619E-4</v>
      </c>
      <c r="H503">
        <v>4.3076206953518437E-4</v>
      </c>
      <c r="I503">
        <v>4.6234581498461047E-4</v>
      </c>
      <c r="J503">
        <v>1.2878444331092531E-3</v>
      </c>
      <c r="K503">
        <v>2.3411578275978062E-3</v>
      </c>
      <c r="L503">
        <v>6.419847682783697E-4</v>
      </c>
      <c r="M503">
        <v>6.6023313556851093E-4</v>
      </c>
      <c r="N503">
        <v>6.6569139728134274E-4</v>
      </c>
      <c r="O503">
        <v>5.4612392438491142E-4</v>
      </c>
      <c r="P503">
        <v>5.3573019985209136E-4</v>
      </c>
      <c r="Q503">
        <v>5.4958248556946643E-4</v>
      </c>
      <c r="R503">
        <v>-1.0312736054036709E-3</v>
      </c>
      <c r="S503">
        <v>8.6291784370740032E-4</v>
      </c>
      <c r="T503">
        <v>1.735424318902723E-3</v>
      </c>
      <c r="U503">
        <v>2.5790283623023935E-3</v>
      </c>
      <c r="V503">
        <v>2.5902686287206933E-3</v>
      </c>
      <c r="W503">
        <v>-2.4937813633862937E-4</v>
      </c>
      <c r="X503">
        <v>1.6386538104804504E-3</v>
      </c>
      <c r="Y503">
        <v>2.5902686287206933E-3</v>
      </c>
      <c r="Z503">
        <v>-1.1603035892330249E-3</v>
      </c>
      <c r="AA503">
        <v>5.2540695472569343E-3</v>
      </c>
      <c r="AC503">
        <v>6.8698392157933164E-3</v>
      </c>
      <c r="AD503">
        <v>1.0935543008586901E-2</v>
      </c>
      <c r="AE503">
        <v>1.039296388498534E-2</v>
      </c>
      <c r="AF503">
        <v>1.9301413112808419E-2</v>
      </c>
      <c r="AG503">
        <v>8.3806219964863704E-3</v>
      </c>
      <c r="AH503">
        <v>1.4491730372877543E-2</v>
      </c>
      <c r="AI503">
        <v>1.4201327588027945E-2</v>
      </c>
      <c r="AJ503">
        <v>-1.4072208228379512E-2</v>
      </c>
      <c r="AK503">
        <v>1.1494252873563093E-2</v>
      </c>
      <c r="AL503">
        <v>-2.0170068467564639E-2</v>
      </c>
    </row>
    <row r="504" spans="1:38">
      <c r="A504" s="568">
        <v>44561</v>
      </c>
      <c r="B504">
        <v>3.5617980482955942E-4</v>
      </c>
      <c r="C504">
        <v>3.7965248212401548E-4</v>
      </c>
      <c r="D504">
        <v>3.3888498123868516E-4</v>
      </c>
      <c r="E504">
        <v>4.0659656457719962E-4</v>
      </c>
      <c r="F504">
        <v>3.832765485127787E-4</v>
      </c>
      <c r="G504">
        <v>3.8310270574526406E-4</v>
      </c>
      <c r="H504">
        <v>4.9355645341142562E-4</v>
      </c>
      <c r="I504">
        <v>4.7202811788027432E-4</v>
      </c>
      <c r="J504">
        <v>4.5567563902682018E-4</v>
      </c>
      <c r="K504">
        <v>4.53385851739041E-4</v>
      </c>
      <c r="L504">
        <v>6.419847682783697E-4</v>
      </c>
      <c r="M504">
        <v>6.6023313556851093E-4</v>
      </c>
      <c r="N504">
        <v>6.6569139728134274E-4</v>
      </c>
      <c r="O504">
        <v>5.4612392438491142E-4</v>
      </c>
      <c r="P504">
        <v>5.3573019985209136E-4</v>
      </c>
      <c r="Q504">
        <v>5.4958248556946643E-4</v>
      </c>
      <c r="R504">
        <v>1.1619644088549652E-3</v>
      </c>
      <c r="S504">
        <v>3.2359311107121869E-4</v>
      </c>
      <c r="T504">
        <v>3.0670916027752959E-4</v>
      </c>
      <c r="U504">
        <v>-1.5358370593143711E-4</v>
      </c>
      <c r="V504">
        <v>-2.1777272940992631E-4</v>
      </c>
      <c r="W504">
        <v>-6.1595416204129894E-4</v>
      </c>
      <c r="X504">
        <v>1.5401442633744544E-4</v>
      </c>
      <c r="Y504">
        <v>-2.1777272940992631E-4</v>
      </c>
      <c r="Z504">
        <v>-1.3634485542027841E-3</v>
      </c>
      <c r="AA504">
        <v>4.6175820399629863E-4</v>
      </c>
      <c r="AC504">
        <v>0</v>
      </c>
      <c r="AD504">
        <v>1.1745631201209861E-4</v>
      </c>
      <c r="AE504">
        <v>3.344558341789039E-5</v>
      </c>
      <c r="AF504">
        <v>5.3092567500678811E-4</v>
      </c>
      <c r="AG504">
        <v>6.0630090278834814E-4</v>
      </c>
      <c r="AH504">
        <v>6.8161661602794688E-4</v>
      </c>
      <c r="AI504">
        <v>-9.8594222612269355E-5</v>
      </c>
      <c r="AJ504">
        <v>0</v>
      </c>
      <c r="AK504">
        <v>1.8979690522243908E-2</v>
      </c>
      <c r="AL504">
        <v>-3.3803823728417726E-5</v>
      </c>
    </row>
    <row r="505" spans="1:38">
      <c r="A505" s="568">
        <v>44564</v>
      </c>
      <c r="B505">
        <v>3.5617980482955942E-4</v>
      </c>
      <c r="C505">
        <v>3.7262568815665809E-4</v>
      </c>
      <c r="D505">
        <v>3.2569865902565276E-4</v>
      </c>
      <c r="E505">
        <v>4.0659656457719962E-4</v>
      </c>
      <c r="F505">
        <v>4.9601238772045697E-4</v>
      </c>
      <c r="G505">
        <v>4.4198338532397408E-4</v>
      </c>
      <c r="H505">
        <v>4.6248091463318985E-4</v>
      </c>
      <c r="I505">
        <v>4.7344275220551069E-4</v>
      </c>
      <c r="J505">
        <v>-7.4243737566037638E-5</v>
      </c>
      <c r="K505">
        <v>1.0379712438457478E-3</v>
      </c>
      <c r="L505">
        <v>5.8219264998005116E-4</v>
      </c>
      <c r="M505">
        <v>6.0043992686176217E-4</v>
      </c>
      <c r="N505">
        <v>6.0589786242282173E-4</v>
      </c>
      <c r="O505">
        <v>5.4612392438491142E-4</v>
      </c>
      <c r="P505">
        <v>5.3573019985209136E-4</v>
      </c>
      <c r="Q505">
        <v>5.4958248556946643E-4</v>
      </c>
      <c r="R505">
        <v>-5.5347960203133706E-4</v>
      </c>
      <c r="S505">
        <v>2.1720803552540691E-3</v>
      </c>
      <c r="T505">
        <v>4.552442846845528E-3</v>
      </c>
      <c r="U505">
        <v>4.452331460074177E-3</v>
      </c>
      <c r="V505">
        <v>1.8564218582528547E-4</v>
      </c>
      <c r="W505">
        <v>1.9566487272022481E-3</v>
      </c>
      <c r="X505">
        <v>9.8822936755109669E-3</v>
      </c>
      <c r="Y505">
        <v>1.8564218582528547E-4</v>
      </c>
      <c r="Z505">
        <v>2.82037688702097E-3</v>
      </c>
      <c r="AA505">
        <v>-1.1416312991388011E-3</v>
      </c>
      <c r="AC505">
        <v>-8.5940567687606828E-3</v>
      </c>
      <c r="AD505">
        <v>-1.3260236843245288E-2</v>
      </c>
      <c r="AE505">
        <v>-9.7322510269169937E-3</v>
      </c>
      <c r="AF505">
        <v>-1.0546878359903977E-2</v>
      </c>
      <c r="AG505">
        <v>-1.4171788781740968E-2</v>
      </c>
      <c r="AH505">
        <v>-1.4546603164826255E-2</v>
      </c>
      <c r="AI505">
        <v>-1.4735102810199852E-2</v>
      </c>
      <c r="AJ505">
        <v>1.171821774083659E-2</v>
      </c>
      <c r="AK505">
        <v>-6.1691778384150853E-3</v>
      </c>
      <c r="AL505">
        <v>2.0971520979477853E-2</v>
      </c>
    </row>
    <row r="506" spans="1:38">
      <c r="A506" s="568">
        <v>44565</v>
      </c>
      <c r="B506">
        <v>3.5617980482955942E-4</v>
      </c>
      <c r="C506">
        <v>3.5645563828423654E-4</v>
      </c>
      <c r="D506">
        <v>3.3484859126753364E-4</v>
      </c>
      <c r="E506">
        <v>4.0659656457719962E-4</v>
      </c>
      <c r="F506">
        <v>4.005558288844302E-4</v>
      </c>
      <c r="G506">
        <v>3.8468134644586982E-4</v>
      </c>
      <c r="H506">
        <v>4.6355120025731722E-4</v>
      </c>
      <c r="I506">
        <v>4.7453227474036908E-4</v>
      </c>
      <c r="J506">
        <v>-1.6869631434459631E-3</v>
      </c>
      <c r="K506">
        <v>-1.3716637406051557E-3</v>
      </c>
      <c r="L506">
        <v>5.8219264998005116E-4</v>
      </c>
      <c r="M506">
        <v>6.0043992686176217E-4</v>
      </c>
      <c r="N506">
        <v>6.0589786242282173E-4</v>
      </c>
      <c r="O506">
        <v>5.4612392438491142E-4</v>
      </c>
      <c r="P506">
        <v>5.3573019985209136E-4</v>
      </c>
      <c r="Q506">
        <v>5.4958248556946643E-4</v>
      </c>
      <c r="R506">
        <v>-1.5172222228576615E-5</v>
      </c>
      <c r="S506">
        <v>2.3925105816509085E-3</v>
      </c>
      <c r="T506">
        <v>7.7065145832733162E-3</v>
      </c>
      <c r="U506">
        <v>8.292531515632362E-4</v>
      </c>
      <c r="V506">
        <v>-6.8551121318161101E-4</v>
      </c>
      <c r="W506">
        <v>-6.5673575470626133E-4</v>
      </c>
      <c r="X506">
        <v>3.6605453415206046E-3</v>
      </c>
      <c r="Y506">
        <v>-6.8551121318161101E-4</v>
      </c>
      <c r="Z506">
        <v>5.3489578135683669E-3</v>
      </c>
      <c r="AA506">
        <v>-3.9655465263939149E-3</v>
      </c>
      <c r="AC506">
        <v>-3.9255557964422705E-3</v>
      </c>
      <c r="AD506">
        <v>-1.4022878886351453E-2</v>
      </c>
      <c r="AE506">
        <v>-4.4093124436427322E-3</v>
      </c>
      <c r="AF506">
        <v>-1.0109401461050216E-2</v>
      </c>
      <c r="AG506">
        <v>-7.7190645678988368E-3</v>
      </c>
      <c r="AH506">
        <v>-1.4557192851766265E-3</v>
      </c>
      <c r="AI506">
        <v>-9.4137474001698696E-3</v>
      </c>
      <c r="AJ506">
        <v>-1.5151515151514694E-3</v>
      </c>
      <c r="AK506">
        <v>-1.0266205085352698E-2</v>
      </c>
      <c r="AL506">
        <v>-3.5837841442891705E-3</v>
      </c>
    </row>
    <row r="507" spans="1:38">
      <c r="A507" s="568">
        <v>44566</v>
      </c>
      <c r="B507">
        <v>3.5617980482955942E-4</v>
      </c>
      <c r="C507">
        <v>3.7896280540428151E-4</v>
      </c>
      <c r="D507">
        <v>3.4181223622486989E-4</v>
      </c>
      <c r="E507">
        <v>4.0659656457719962E-4</v>
      </c>
      <c r="F507">
        <v>3.6937004169979026E-4</v>
      </c>
      <c r="G507">
        <v>3.5621646887040725E-4</v>
      </c>
      <c r="H507">
        <v>4.6397816029775107E-4</v>
      </c>
      <c r="I507">
        <v>4.6542420612882829E-4</v>
      </c>
      <c r="J507">
        <v>-1.8675382069578417E-3</v>
      </c>
      <c r="K507">
        <v>-2.5973273575682354E-3</v>
      </c>
      <c r="L507">
        <v>5.8219264998005116E-4</v>
      </c>
      <c r="M507">
        <v>6.0043992686176217E-4</v>
      </c>
      <c r="N507">
        <v>6.0589786242282173E-4</v>
      </c>
      <c r="O507">
        <v>5.4612392438491142E-4</v>
      </c>
      <c r="P507">
        <v>5.3573019985209136E-4</v>
      </c>
      <c r="Q507">
        <v>5.4958248556946643E-4</v>
      </c>
      <c r="R507">
        <v>-9.1559914847538781E-4</v>
      </c>
      <c r="S507">
        <v>7.1268779373645508E-4</v>
      </c>
      <c r="T507">
        <v>1.4468332769530523E-3</v>
      </c>
      <c r="U507">
        <v>1.5146148271665272E-3</v>
      </c>
      <c r="V507">
        <v>-5.7775983714751789E-3</v>
      </c>
      <c r="W507">
        <v>-7.1271299968695967E-3</v>
      </c>
      <c r="X507">
        <v>1.756122132056781E-3</v>
      </c>
      <c r="Y507">
        <v>-5.7775983714751789E-3</v>
      </c>
      <c r="Z507">
        <v>-3.9562743607246542E-4</v>
      </c>
      <c r="AA507">
        <v>-6.329618174881313E-3</v>
      </c>
      <c r="AC507">
        <v>-2.4228691020816151E-2</v>
      </c>
      <c r="AD507">
        <v>-2.9055150374546423E-2</v>
      </c>
      <c r="AE507">
        <v>-3.0962053980997939E-2</v>
      </c>
      <c r="AF507">
        <v>-1.9667358662297962E-2</v>
      </c>
      <c r="AG507">
        <v>-2.3816552274517622E-2</v>
      </c>
      <c r="AH507">
        <v>-2.3274405475994797E-2</v>
      </c>
      <c r="AI507">
        <v>-1.8148178361968137E-2</v>
      </c>
      <c r="AJ507">
        <v>-9.9477322542572688E-3</v>
      </c>
      <c r="AK507">
        <v>-2.5690507779519867E-2</v>
      </c>
      <c r="AL507">
        <v>-7.2725111139280152E-3</v>
      </c>
    </row>
    <row r="508" spans="1:38">
      <c r="A508" s="568">
        <v>44567</v>
      </c>
      <c r="B508">
        <v>3.5617980482955942E-4</v>
      </c>
      <c r="C508">
        <v>3.9158607421385661E-4</v>
      </c>
      <c r="D508">
        <v>3.280929150430989E-4</v>
      </c>
      <c r="E508">
        <v>4.0659656457719962E-4</v>
      </c>
      <c r="F508">
        <v>3.8515974070674197E-4</v>
      </c>
      <c r="G508">
        <v>4.0891709719703684E-4</v>
      </c>
      <c r="H508">
        <v>4.6312154182270859E-4</v>
      </c>
      <c r="I508">
        <v>4.8772137921870851E-4</v>
      </c>
      <c r="J508">
        <v>-1.4311220911951139E-3</v>
      </c>
      <c r="K508">
        <v>-9.3800316906922365E-4</v>
      </c>
      <c r="L508">
        <v>5.8219264998005116E-4</v>
      </c>
      <c r="M508">
        <v>6.0043992686176217E-4</v>
      </c>
      <c r="N508">
        <v>6.0589786242282173E-4</v>
      </c>
      <c r="O508">
        <v>5.4612392438491142E-4</v>
      </c>
      <c r="P508">
        <v>5.3573019985209136E-4</v>
      </c>
      <c r="Q508">
        <v>5.4958248556946643E-4</v>
      </c>
      <c r="R508">
        <v>-1.5367425147321256E-3</v>
      </c>
      <c r="S508">
        <v>2.5279383347054374E-3</v>
      </c>
      <c r="T508">
        <v>6.6151947499351049E-3</v>
      </c>
      <c r="U508">
        <v>2.470086810868688E-3</v>
      </c>
      <c r="V508">
        <v>1.4322436657467907E-3</v>
      </c>
      <c r="W508">
        <v>5.4935897503938236E-4</v>
      </c>
      <c r="X508">
        <v>4.4334516237143351E-3</v>
      </c>
      <c r="Y508">
        <v>1.4322436657467907E-3</v>
      </c>
      <c r="Z508">
        <v>-2.022022927849032E-3</v>
      </c>
      <c r="AA508">
        <v>-1.3418732259813382E-3</v>
      </c>
      <c r="AC508">
        <v>5.4988018490849111E-3</v>
      </c>
      <c r="AD508">
        <v>4.6053569847515075E-3</v>
      </c>
      <c r="AE508">
        <v>6.627794247611174E-3</v>
      </c>
      <c r="AF508">
        <v>6.2280257433355857E-4</v>
      </c>
      <c r="AG508">
        <v>3.5595919824031874E-3</v>
      </c>
      <c r="AH508">
        <v>3.9585461121851573E-3</v>
      </c>
      <c r="AI508">
        <v>2.264460853922623E-3</v>
      </c>
      <c r="AJ508">
        <v>-7.8337874659401008E-3</v>
      </c>
      <c r="AK508">
        <v>8.4179252290170758E-3</v>
      </c>
      <c r="AL508">
        <v>-1.403468711763789E-2</v>
      </c>
    </row>
    <row r="509" spans="1:38">
      <c r="A509" s="568">
        <v>44568</v>
      </c>
      <c r="B509">
        <v>3.5617980482955942E-4</v>
      </c>
      <c r="C509">
        <v>4.0392577746661829E-4</v>
      </c>
      <c r="D509">
        <v>3.6007673659521622E-4</v>
      </c>
      <c r="E509">
        <v>4.0659656457719962E-4</v>
      </c>
      <c r="F509">
        <v>4.7215223495178371E-4</v>
      </c>
      <c r="G509">
        <v>3.6216182947690356E-4</v>
      </c>
      <c r="H509">
        <v>4.6290715954522277E-4</v>
      </c>
      <c r="I509">
        <v>4.7679184988269618E-4</v>
      </c>
      <c r="J509">
        <v>-1.321199883412616E-3</v>
      </c>
      <c r="K509">
        <v>-1.5933805768129083E-3</v>
      </c>
      <c r="L509">
        <v>5.8219264998005116E-4</v>
      </c>
      <c r="M509">
        <v>6.0043992686176217E-4</v>
      </c>
      <c r="N509">
        <v>6.0589786242282173E-4</v>
      </c>
      <c r="O509">
        <v>5.4612392438491142E-4</v>
      </c>
      <c r="P509">
        <v>5.3573019985209136E-4</v>
      </c>
      <c r="Q509">
        <v>5.4958248556946643E-4</v>
      </c>
      <c r="R509">
        <v>5.5574015228376794E-5</v>
      </c>
      <c r="S509">
        <v>1.6761196356871455E-3</v>
      </c>
      <c r="T509">
        <v>-1.6512549270305543E-3</v>
      </c>
      <c r="U509">
        <v>-7.4251360283406065E-4</v>
      </c>
      <c r="V509">
        <v>5.3725596515796781E-4</v>
      </c>
      <c r="W509">
        <v>-1.3453231189215487E-3</v>
      </c>
      <c r="X509">
        <v>2.4269344825997852E-3</v>
      </c>
      <c r="Y509">
        <v>5.3725596515796781E-4</v>
      </c>
      <c r="Z509">
        <v>-1.6149780624987731E-3</v>
      </c>
      <c r="AA509">
        <v>2.0968957925524556E-3</v>
      </c>
      <c r="AC509">
        <v>1.1406144383107497E-2</v>
      </c>
      <c r="AD509">
        <v>1.0700529511554979E-2</v>
      </c>
      <c r="AE509">
        <v>1.0193898415566949E-2</v>
      </c>
      <c r="AF509">
        <v>1.791636718155476E-2</v>
      </c>
      <c r="AG509">
        <v>3.8073528496831432E-3</v>
      </c>
      <c r="AH509">
        <v>1.487625695145689E-2</v>
      </c>
      <c r="AI509">
        <v>1.1291799079557796E-2</v>
      </c>
      <c r="AJ509">
        <v>-1.1500171644353019E-2</v>
      </c>
      <c r="AK509">
        <v>1.7309108765038106E-2</v>
      </c>
      <c r="AL509">
        <v>-1.5466867025692665E-2</v>
      </c>
    </row>
    <row r="510" spans="1:38">
      <c r="A510" s="568">
        <v>44571</v>
      </c>
      <c r="B510">
        <v>3.5617980482955942E-4</v>
      </c>
      <c r="C510">
        <v>4.0764259831882477E-4</v>
      </c>
      <c r="D510">
        <v>3.2732352123976405E-4</v>
      </c>
      <c r="E510">
        <v>4.0659656457719962E-4</v>
      </c>
      <c r="F510">
        <v>2.964738456048277E-4</v>
      </c>
      <c r="G510">
        <v>4.2319489989806058E-4</v>
      </c>
      <c r="H510">
        <v>4.6461552264442929E-4</v>
      </c>
      <c r="I510">
        <v>4.5776354447846224E-4</v>
      </c>
      <c r="J510">
        <v>3.1047047065335676E-4</v>
      </c>
      <c r="K510">
        <v>7.2761278414246178E-4</v>
      </c>
      <c r="L510">
        <v>5.8219264998005116E-4</v>
      </c>
      <c r="M510">
        <v>6.0043992686176217E-4</v>
      </c>
      <c r="N510">
        <v>6.0589786242282173E-4</v>
      </c>
      <c r="O510">
        <v>5.4612392438491142E-4</v>
      </c>
      <c r="P510">
        <v>5.3573019985209136E-4</v>
      </c>
      <c r="Q510">
        <v>5.4958248556946643E-4</v>
      </c>
      <c r="R510">
        <v>-1.0739812825418804E-3</v>
      </c>
      <c r="S510">
        <v>2.4919256431965575E-3</v>
      </c>
      <c r="T510">
        <v>5.6385643366232419E-3</v>
      </c>
      <c r="U510">
        <v>3.3244260950680005E-3</v>
      </c>
      <c r="V510">
        <v>-4.3007117305016163E-4</v>
      </c>
      <c r="W510">
        <v>-1.3248248484870606E-3</v>
      </c>
      <c r="X510">
        <v>2.1730378644166937E-3</v>
      </c>
      <c r="Y510">
        <v>-4.3007117305016163E-4</v>
      </c>
      <c r="Z510">
        <v>1.1467492479089181E-3</v>
      </c>
      <c r="AA510">
        <v>4.843098438431781E-4</v>
      </c>
      <c r="AC510">
        <v>-7.5377141256667279E-3</v>
      </c>
      <c r="AD510">
        <v>-1.0206849593671019E-2</v>
      </c>
      <c r="AE510">
        <v>-5.9171361148401269E-3</v>
      </c>
      <c r="AF510">
        <v>-7.4655217919411543E-3</v>
      </c>
      <c r="AG510">
        <v>-5.9335980496449947E-3</v>
      </c>
      <c r="AH510">
        <v>-1.0181594428463669E-2</v>
      </c>
      <c r="AI510">
        <v>-6.0189026504863241E-3</v>
      </c>
      <c r="AJ510">
        <v>1.7364125716268219E-4</v>
      </c>
      <c r="AK510">
        <v>1.0015687220948477E-2</v>
      </c>
      <c r="AL510">
        <v>8.7305743944963154E-3</v>
      </c>
    </row>
    <row r="511" spans="1:38">
      <c r="A511" s="568">
        <v>44572</v>
      </c>
      <c r="B511">
        <v>3.5617980482955942E-4</v>
      </c>
      <c r="C511">
        <v>3.1685620619614774E-4</v>
      </c>
      <c r="D511">
        <v>3.7776645988252255E-4</v>
      </c>
      <c r="E511">
        <v>4.0659656457719962E-4</v>
      </c>
      <c r="F511">
        <v>4.6174255696529443E-4</v>
      </c>
      <c r="G511">
        <v>4.1374158717943921E-4</v>
      </c>
      <c r="H511">
        <v>4.6311865253612083E-4</v>
      </c>
      <c r="I511">
        <v>4.664580833684262E-4</v>
      </c>
      <c r="J511">
        <v>-1.3253287436201244E-3</v>
      </c>
      <c r="K511">
        <v>-1.8144955292798137E-4</v>
      </c>
      <c r="L511">
        <v>5.8219264998005116E-4</v>
      </c>
      <c r="M511">
        <v>6.0043992686176217E-4</v>
      </c>
      <c r="N511">
        <v>6.0589786242282173E-4</v>
      </c>
      <c r="O511">
        <v>5.4612392438491142E-4</v>
      </c>
      <c r="P511">
        <v>5.3573019985209136E-4</v>
      </c>
      <c r="Q511">
        <v>5.4958248556946643E-4</v>
      </c>
      <c r="R511">
        <v>2.5689659311900481E-3</v>
      </c>
      <c r="S511">
        <v>3.3608051983380349E-5</v>
      </c>
      <c r="T511">
        <v>-8.9943135754637638E-3</v>
      </c>
      <c r="U511">
        <v>-2.9364243178957583E-3</v>
      </c>
      <c r="V511">
        <v>2.9297215023651457E-3</v>
      </c>
      <c r="W511">
        <v>1.4021134892785447E-3</v>
      </c>
      <c r="X511">
        <v>-2.4713796596387283E-4</v>
      </c>
      <c r="Y511">
        <v>2.9297215023651457E-3</v>
      </c>
      <c r="Z511">
        <v>-4.3926672060423666E-4</v>
      </c>
      <c r="AA511">
        <v>1.1815021452752372E-3</v>
      </c>
      <c r="AC511">
        <v>1.7987899381236128E-2</v>
      </c>
      <c r="AD511">
        <v>1.8797069827409807E-2</v>
      </c>
      <c r="AE511">
        <v>1.9935151252220784E-2</v>
      </c>
      <c r="AF511">
        <v>2.0008932943180291E-2</v>
      </c>
      <c r="AG511">
        <v>1.7261198245521969E-2</v>
      </c>
      <c r="AH511">
        <v>6.314149469345276E-3</v>
      </c>
      <c r="AI511">
        <v>1.156976141787136E-2</v>
      </c>
      <c r="AJ511">
        <v>-3.8194444444444864E-3</v>
      </c>
      <c r="AK511">
        <v>4.3010752688172893E-3</v>
      </c>
      <c r="AL511">
        <v>-2.5527852640635951E-2</v>
      </c>
    </row>
    <row r="512" spans="1:38">
      <c r="A512" s="568">
        <v>44573</v>
      </c>
      <c r="B512">
        <v>3.5617980482955942E-4</v>
      </c>
      <c r="C512">
        <v>3.8035037601713562E-4</v>
      </c>
      <c r="D512">
        <v>3.6730027775710994E-4</v>
      </c>
      <c r="E512">
        <v>4.0659656457719962E-4</v>
      </c>
      <c r="F512">
        <v>5.4939996987291018E-4</v>
      </c>
      <c r="G512">
        <v>4.2788118439718303E-4</v>
      </c>
      <c r="H512">
        <v>4.6290427293294023E-4</v>
      </c>
      <c r="I512">
        <v>5.1825509799918734E-4</v>
      </c>
      <c r="J512">
        <v>2.9459023132423212E-3</v>
      </c>
      <c r="K512">
        <v>2.9731077363861491E-3</v>
      </c>
      <c r="L512">
        <v>5.8219264998005116E-4</v>
      </c>
      <c r="M512">
        <v>6.0043992686176217E-4</v>
      </c>
      <c r="N512">
        <v>6.0589786242282173E-4</v>
      </c>
      <c r="O512">
        <v>5.4612392438491142E-4</v>
      </c>
      <c r="P512">
        <v>5.3573019985209136E-4</v>
      </c>
      <c r="Q512">
        <v>5.4958248556946643E-4</v>
      </c>
      <c r="R512">
        <v>3.2124704598679443E-5</v>
      </c>
      <c r="S512">
        <v>1.2622227711722722E-3</v>
      </c>
      <c r="T512">
        <v>-5.2140031662627484E-3</v>
      </c>
      <c r="U512">
        <v>5.8111955084605427E-4</v>
      </c>
      <c r="V512">
        <v>2.5120020631645978E-3</v>
      </c>
      <c r="W512">
        <v>2.1464368139674228E-3</v>
      </c>
      <c r="X512">
        <v>-1.7598194926013999E-3</v>
      </c>
      <c r="Y512">
        <v>2.5120020631645978E-3</v>
      </c>
      <c r="Z512">
        <v>-1.2603419331308485E-3</v>
      </c>
      <c r="AA512">
        <v>1.0989855916163638E-3</v>
      </c>
      <c r="AC512">
        <v>1.837250664826362E-2</v>
      </c>
      <c r="AD512">
        <v>2.2684889004072284E-2</v>
      </c>
      <c r="AE512">
        <v>1.9143713665443762E-2</v>
      </c>
      <c r="AF512">
        <v>1.5861072534866016E-2</v>
      </c>
      <c r="AG512">
        <v>1.8023017162575705E-2</v>
      </c>
      <c r="AH512">
        <v>1.9574440829188688E-2</v>
      </c>
      <c r="AI512">
        <v>1.7553100786433129E-2</v>
      </c>
      <c r="AJ512">
        <v>-5.5071453468106268E-3</v>
      </c>
      <c r="AK512">
        <v>3.0811325243873533E-2</v>
      </c>
      <c r="AL512">
        <v>-7.4700861766724413E-3</v>
      </c>
    </row>
    <row r="513" spans="1:38">
      <c r="A513" s="568">
        <v>44574</v>
      </c>
      <c r="B513">
        <v>3.5617980482955942E-4</v>
      </c>
      <c r="C513">
        <v>4.6557023432214351E-4</v>
      </c>
      <c r="D513">
        <v>3.601045443781814E-4</v>
      </c>
      <c r="E513">
        <v>4.0659656457719962E-4</v>
      </c>
      <c r="F513">
        <v>4.6211242672589137E-4</v>
      </c>
      <c r="G513">
        <v>3.8136571028357658E-4</v>
      </c>
      <c r="H513">
        <v>4.575704226479349E-4</v>
      </c>
      <c r="I513">
        <v>4.7653004508885211E-4</v>
      </c>
      <c r="J513">
        <v>6.4888399638229899E-4</v>
      </c>
      <c r="K513">
        <v>-8.0645354623831711E-4</v>
      </c>
      <c r="L513">
        <v>5.8219264998005116E-4</v>
      </c>
      <c r="M513">
        <v>6.0043992686176217E-4</v>
      </c>
      <c r="N513">
        <v>6.0589786242282173E-4</v>
      </c>
      <c r="O513">
        <v>5.4612392438491142E-4</v>
      </c>
      <c r="P513">
        <v>5.3573019985209136E-4</v>
      </c>
      <c r="Q513">
        <v>5.4958248556946643E-4</v>
      </c>
      <c r="R513">
        <v>-1.6120242995132372E-4</v>
      </c>
      <c r="S513">
        <v>-1.661412318112454E-3</v>
      </c>
      <c r="T513">
        <v>-3.8757771994909485E-3</v>
      </c>
      <c r="U513">
        <v>-1.9070792392550384E-4</v>
      </c>
      <c r="V513">
        <v>-2.755536426756855E-3</v>
      </c>
      <c r="W513">
        <v>-1.5333683857918778E-3</v>
      </c>
      <c r="X513">
        <v>-5.4511634949604426E-3</v>
      </c>
      <c r="Y513">
        <v>-2.755536426756855E-3</v>
      </c>
      <c r="Z513">
        <v>-8.4391878674661136E-4</v>
      </c>
      <c r="AA513">
        <v>3.6105696795427633E-3</v>
      </c>
      <c r="AC513">
        <v>-1.4775892964097315E-3</v>
      </c>
      <c r="AD513">
        <v>-7.6821656795925675E-3</v>
      </c>
      <c r="AE513">
        <v>1.7580715905296529E-7</v>
      </c>
      <c r="AF513">
        <v>-5.6561269868793396E-3</v>
      </c>
      <c r="AG513">
        <v>-6.6219449847317868E-3</v>
      </c>
      <c r="AH513">
        <v>7.0833040606772535E-3</v>
      </c>
      <c r="AI513">
        <v>1.4035379981192087E-3</v>
      </c>
      <c r="AJ513">
        <v>-1.1636057759708329E-2</v>
      </c>
      <c r="AK513">
        <v>-1.2117714945181879E-2</v>
      </c>
      <c r="AL513">
        <v>-2.3205033390764074E-3</v>
      </c>
    </row>
    <row r="514" spans="1:38">
      <c r="A514" s="568">
        <v>44575</v>
      </c>
      <c r="B514">
        <v>3.5617980482955942E-4</v>
      </c>
      <c r="C514">
        <v>3.9479464385649976E-4</v>
      </c>
      <c r="D514">
        <v>3.8875119109338385E-4</v>
      </c>
      <c r="E514">
        <v>4.0659656457719962E-4</v>
      </c>
      <c r="F514">
        <v>3.243743045391323E-4</v>
      </c>
      <c r="G514">
        <v>3.713278428252309E-4</v>
      </c>
      <c r="H514">
        <v>4.6695613682712356E-4</v>
      </c>
      <c r="I514">
        <v>4.7639038806912559E-4</v>
      </c>
      <c r="J514">
        <v>1.4674191754699972E-3</v>
      </c>
      <c r="K514">
        <v>2.9489281139571943E-4</v>
      </c>
      <c r="L514">
        <v>5.8219264998005116E-4</v>
      </c>
      <c r="M514">
        <v>6.0043992686176217E-4</v>
      </c>
      <c r="N514">
        <v>6.0589786242282173E-4</v>
      </c>
      <c r="O514">
        <v>5.4612392438491142E-4</v>
      </c>
      <c r="P514">
        <v>5.3573019985209136E-4</v>
      </c>
      <c r="Q514">
        <v>5.4958248556946643E-4</v>
      </c>
      <c r="R514">
        <v>-7.973796876725725E-4</v>
      </c>
      <c r="S514">
        <v>3.7343958005506828E-3</v>
      </c>
      <c r="T514">
        <v>6.5261261124169856E-3</v>
      </c>
      <c r="U514">
        <v>2.2536141639655227E-3</v>
      </c>
      <c r="V514">
        <v>2.9938263183872937E-3</v>
      </c>
      <c r="W514">
        <v>8.9181299743135156E-4</v>
      </c>
      <c r="X514">
        <v>3.5377128877067676E-3</v>
      </c>
      <c r="Y514">
        <v>2.9938263183872937E-3</v>
      </c>
      <c r="Z514">
        <v>4.1716997917506937E-4</v>
      </c>
      <c r="AA514">
        <v>-6.8445156761454129E-4</v>
      </c>
      <c r="AC514">
        <v>1.3250228609061887E-2</v>
      </c>
      <c r="AD514">
        <v>1.1603655675811009E-2</v>
      </c>
      <c r="AE514">
        <v>1.3276602717116726E-2</v>
      </c>
      <c r="AF514">
        <v>8.8051451945936332E-3</v>
      </c>
      <c r="AG514">
        <v>7.6968146719442743E-3</v>
      </c>
      <c r="AH514">
        <v>1.6413959932058297E-2</v>
      </c>
      <c r="AI514">
        <v>8.4479006377948807E-3</v>
      </c>
      <c r="AJ514">
        <v>-6.0283687943262221E-3</v>
      </c>
      <c r="AK514">
        <v>-5.2570093457942058E-3</v>
      </c>
      <c r="AL514">
        <v>4.921768193864029E-4</v>
      </c>
    </row>
    <row r="515" spans="1:38">
      <c r="A515" s="568">
        <v>44578</v>
      </c>
      <c r="B515">
        <v>3.5617980482955942E-4</v>
      </c>
      <c r="C515">
        <v>3.7294728439252189E-4</v>
      </c>
      <c r="D515">
        <v>3.4138195104405078E-4</v>
      </c>
      <c r="E515">
        <v>4.0659656457719962E-4</v>
      </c>
      <c r="F515">
        <v>4.3960195129777446E-4</v>
      </c>
      <c r="G515">
        <v>3.9977766356713573E-4</v>
      </c>
      <c r="H515">
        <v>4.6290198625875689E-4</v>
      </c>
      <c r="I515">
        <v>4.7744330924581746E-4</v>
      </c>
      <c r="J515">
        <v>-3.1186480217519907E-3</v>
      </c>
      <c r="K515">
        <v>-2.052865708688234E-3</v>
      </c>
      <c r="L515">
        <v>5.8219264998005116E-4</v>
      </c>
      <c r="M515">
        <v>6.0043992686176217E-4</v>
      </c>
      <c r="N515">
        <v>6.0589786242282173E-4</v>
      </c>
      <c r="O515">
        <v>5.4612392438491142E-4</v>
      </c>
      <c r="P515">
        <v>5.3573019985209136E-4</v>
      </c>
      <c r="Q515">
        <v>5.4958248556946643E-4</v>
      </c>
      <c r="R515">
        <v>-3.5077626788004856E-5</v>
      </c>
      <c r="S515">
        <v>6.8363635109447429E-4</v>
      </c>
      <c r="T515">
        <v>3.9892976641737743E-3</v>
      </c>
      <c r="U515">
        <v>3.8979720101850468E-4</v>
      </c>
      <c r="V515">
        <v>1.0139228924010979E-4</v>
      </c>
      <c r="W515">
        <v>6.1628770983346293E-4</v>
      </c>
      <c r="X515">
        <v>-3.873741258336727E-4</v>
      </c>
      <c r="Y515">
        <v>1.0139228924010979E-4</v>
      </c>
      <c r="Z515">
        <v>2.9780645260073513E-3</v>
      </c>
      <c r="AA515">
        <v>1.6319295683799862E-3</v>
      </c>
      <c r="AC515">
        <v>-5.1803184186262063E-3</v>
      </c>
      <c r="AD515">
        <v>-6.5318334831367952E-3</v>
      </c>
      <c r="AE515">
        <v>-4.9766034746347998E-3</v>
      </c>
      <c r="AF515">
        <v>9.5489821509264772E-4</v>
      </c>
      <c r="AG515">
        <v>-2.4462444717795462E-3</v>
      </c>
      <c r="AH515">
        <v>3.5079503891459751E-3</v>
      </c>
      <c r="AI515">
        <v>6.5896401251097636E-4</v>
      </c>
      <c r="AJ515">
        <v>2.4973242953978403E-3</v>
      </c>
      <c r="AK515">
        <v>-6.9289489136817872E-3</v>
      </c>
      <c r="AL515">
        <v>-9.5866399849720008E-4</v>
      </c>
    </row>
    <row r="516" spans="1:38">
      <c r="A516" s="568">
        <v>44579</v>
      </c>
      <c r="B516">
        <v>3.5617980482955942E-4</v>
      </c>
      <c r="C516">
        <v>3.8681704260179472E-4</v>
      </c>
      <c r="D516">
        <v>3.5265904923131863E-4</v>
      </c>
      <c r="E516">
        <v>4.0659656457719962E-4</v>
      </c>
      <c r="F516">
        <v>3.8636228836752551E-4</v>
      </c>
      <c r="G516">
        <v>3.8272378198311863E-4</v>
      </c>
      <c r="H516">
        <v>4.6843945116537E-4</v>
      </c>
      <c r="I516">
        <v>4.6451148040471679E-4</v>
      </c>
      <c r="J516">
        <v>4.5534499442623222E-4</v>
      </c>
      <c r="K516">
        <v>1.7448227925842552E-4</v>
      </c>
      <c r="L516">
        <v>5.8219264998005116E-4</v>
      </c>
      <c r="M516">
        <v>6.0043992686176217E-4</v>
      </c>
      <c r="N516">
        <v>6.0589786242282173E-4</v>
      </c>
      <c r="O516">
        <v>5.4612392438491142E-4</v>
      </c>
      <c r="P516">
        <v>5.3573019985209136E-4</v>
      </c>
      <c r="Q516">
        <v>5.4958248556946643E-4</v>
      </c>
      <c r="R516">
        <v>-3.4564367364501303E-3</v>
      </c>
      <c r="S516">
        <v>2.0740323016397166E-3</v>
      </c>
      <c r="T516">
        <v>9.0840281131827627E-3</v>
      </c>
      <c r="U516">
        <v>4.1539135057993004E-3</v>
      </c>
      <c r="V516">
        <v>0</v>
      </c>
      <c r="W516">
        <v>-1.7258148724322853E-3</v>
      </c>
      <c r="X516">
        <v>5.6115839555073155E-3</v>
      </c>
      <c r="Y516">
        <v>0</v>
      </c>
      <c r="Z516">
        <v>-1.8390666414791479E-4</v>
      </c>
      <c r="AA516">
        <v>-2.7633124179688995E-3</v>
      </c>
      <c r="AC516">
        <v>2.7618624761889254E-3</v>
      </c>
      <c r="AD516">
        <v>-8.3593616727462017E-4</v>
      </c>
      <c r="AE516">
        <v>4.6462122659272076E-3</v>
      </c>
      <c r="AF516">
        <v>-9.4186951650226947E-3</v>
      </c>
      <c r="AG516">
        <v>-6.7740933367148592E-3</v>
      </c>
      <c r="AH516">
        <v>1.0912581174744806E-2</v>
      </c>
      <c r="AI516">
        <v>5.5986012435615962E-5</v>
      </c>
      <c r="AJ516">
        <v>-1.0889679715302525E-2</v>
      </c>
      <c r="AK516">
        <v>-4.3755912961211951E-3</v>
      </c>
      <c r="AL516">
        <v>1.5079356411885181E-2</v>
      </c>
    </row>
    <row r="517" spans="1:38">
      <c r="A517" s="568">
        <v>44580</v>
      </c>
      <c r="B517">
        <v>3.5617980482955942E-4</v>
      </c>
      <c r="C517">
        <v>4.0238777382373137E-4</v>
      </c>
      <c r="D517">
        <v>3.6338194696794446E-4</v>
      </c>
      <c r="E517">
        <v>4.0659656457719962E-4</v>
      </c>
      <c r="F517">
        <v>3.7702746204582027E-4</v>
      </c>
      <c r="G517">
        <v>2.6391460090002816E-4</v>
      </c>
      <c r="H517">
        <v>2.6764560655578862E-4</v>
      </c>
      <c r="I517">
        <v>4.6570002714063641E-4</v>
      </c>
      <c r="J517">
        <v>3.3666334848205803E-3</v>
      </c>
      <c r="K517">
        <v>2.8623634583471169E-3</v>
      </c>
      <c r="L517">
        <v>5.8219264998005116E-4</v>
      </c>
      <c r="M517">
        <v>6.0043992686176217E-4</v>
      </c>
      <c r="N517">
        <v>6.0589786242282173E-4</v>
      </c>
      <c r="O517">
        <v>5.4612392438491142E-4</v>
      </c>
      <c r="P517">
        <v>5.3573019985209136E-4</v>
      </c>
      <c r="Q517">
        <v>5.4958248556946643E-4</v>
      </c>
      <c r="R517">
        <v>1.3065261774576342E-3</v>
      </c>
      <c r="S517">
        <v>-1.2091284968229754E-4</v>
      </c>
      <c r="T517">
        <v>-4.6094513950596383E-3</v>
      </c>
      <c r="U517">
        <v>-3.061335689258371E-4</v>
      </c>
      <c r="V517">
        <v>1.59985757063974E-3</v>
      </c>
      <c r="W517">
        <v>2.544880531849758E-3</v>
      </c>
      <c r="X517">
        <v>2.311542443123038E-4</v>
      </c>
      <c r="Y517">
        <v>1.59985757063974E-3</v>
      </c>
      <c r="Z517">
        <v>-2.3449430559839834E-3</v>
      </c>
      <c r="AA517">
        <v>3.7373701435203799E-3</v>
      </c>
      <c r="AC517">
        <v>1.2616851255572659E-2</v>
      </c>
      <c r="AD517">
        <v>1.3106951392059418E-2</v>
      </c>
      <c r="AE517">
        <v>1.0701320412695781E-2</v>
      </c>
      <c r="AF517">
        <v>5.5989824087194773E-3</v>
      </c>
      <c r="AG517">
        <v>1.9241094086128285E-2</v>
      </c>
      <c r="AH517">
        <v>7.8627251160225953E-3</v>
      </c>
      <c r="AI517">
        <v>8.2573447854279447E-3</v>
      </c>
      <c r="AJ517">
        <v>-2.9286896452471733E-2</v>
      </c>
      <c r="AK517">
        <v>-1.6629053331749244E-3</v>
      </c>
      <c r="AL517">
        <v>-2.7753989730038509E-2</v>
      </c>
    </row>
    <row r="518" spans="1:38">
      <c r="A518" s="568">
        <v>44581</v>
      </c>
      <c r="B518">
        <v>3.5617980482955942E-4</v>
      </c>
      <c r="C518">
        <v>3.7428903250757983E-4</v>
      </c>
      <c r="D518">
        <v>3.5782830747210781E-4</v>
      </c>
      <c r="E518">
        <v>4.0659656457719962E-4</v>
      </c>
      <c r="F518">
        <v>3.8857173384787558E-4</v>
      </c>
      <c r="G518">
        <v>3.6406654245535464E-4</v>
      </c>
      <c r="H518">
        <v>6.7053148241091876E-4</v>
      </c>
      <c r="I518">
        <v>4.7212133443608195E-4</v>
      </c>
      <c r="J518">
        <v>2.9431630791620922E-3</v>
      </c>
      <c r="K518">
        <v>2.3583645948221932E-3</v>
      </c>
      <c r="L518">
        <v>5.8219264998005116E-4</v>
      </c>
      <c r="M518">
        <v>6.0043992686176217E-4</v>
      </c>
      <c r="N518">
        <v>6.0589786242282173E-4</v>
      </c>
      <c r="O518">
        <v>5.4612392438491142E-4</v>
      </c>
      <c r="P518">
        <v>5.3573019985209136E-4</v>
      </c>
      <c r="Q518">
        <v>5.4958248556946643E-4</v>
      </c>
      <c r="R518">
        <v>6.9137370682481603E-5</v>
      </c>
      <c r="S518">
        <v>2.8174513159426873E-3</v>
      </c>
      <c r="T518">
        <v>-1.0837163097053848E-3</v>
      </c>
      <c r="U518">
        <v>1.1726867679873187E-3</v>
      </c>
      <c r="V518">
        <v>3.3822316804013042E-3</v>
      </c>
      <c r="W518">
        <v>3.0998071160512897E-3</v>
      </c>
      <c r="X518">
        <v>3.0817910224294476E-3</v>
      </c>
      <c r="Y518">
        <v>3.3822316804013042E-3</v>
      </c>
      <c r="Z518">
        <v>-2.6646777038481506E-3</v>
      </c>
      <c r="AA518">
        <v>4.1233814293326621E-3</v>
      </c>
      <c r="AC518">
        <v>1.007763198423306E-2</v>
      </c>
      <c r="AD518">
        <v>1.8615746044229109E-2</v>
      </c>
      <c r="AE518">
        <v>6.653486028615152E-3</v>
      </c>
      <c r="AF518">
        <v>1.2955010303717263E-2</v>
      </c>
      <c r="AG518">
        <v>1.3535136584398311E-2</v>
      </c>
      <c r="AH518">
        <v>-2.429303188424381E-3</v>
      </c>
      <c r="AI518">
        <v>1.038065961340684E-2</v>
      </c>
      <c r="AJ518">
        <v>-1.6679021497405522E-2</v>
      </c>
      <c r="AK518">
        <v>3.4146341463414664E-2</v>
      </c>
      <c r="AL518">
        <v>-5.216604216840004E-3</v>
      </c>
    </row>
    <row r="519" spans="1:38">
      <c r="A519" s="568">
        <v>44582</v>
      </c>
      <c r="B519">
        <v>3.5617980482955942E-4</v>
      </c>
      <c r="C519">
        <v>3.627089444875331E-4</v>
      </c>
      <c r="D519">
        <v>3.3818938605612026E-4</v>
      </c>
      <c r="E519">
        <v>4.0659656457719962E-4</v>
      </c>
      <c r="F519">
        <v>3.8508313915763814E-4</v>
      </c>
      <c r="G519">
        <v>3.8440196991196274E-4</v>
      </c>
      <c r="H519">
        <v>4.6395213188232809E-4</v>
      </c>
      <c r="I519">
        <v>4.7043652642608791E-4</v>
      </c>
      <c r="J519">
        <v>-9.0439100728001431E-4</v>
      </c>
      <c r="K519">
        <v>-1.6799935790866583E-3</v>
      </c>
      <c r="L519">
        <v>5.8219264998005116E-4</v>
      </c>
      <c r="M519">
        <v>6.0043992686176217E-4</v>
      </c>
      <c r="N519">
        <v>6.0589786242282173E-4</v>
      </c>
      <c r="O519">
        <v>5.4612392438491142E-4</v>
      </c>
      <c r="P519">
        <v>5.3573019985209136E-4</v>
      </c>
      <c r="Q519">
        <v>5.4958248556946643E-4</v>
      </c>
      <c r="R519">
        <v>2.6774232291360001E-4</v>
      </c>
      <c r="S519">
        <v>-5.5339077434006789E-3</v>
      </c>
      <c r="T519">
        <v>-3.8901008778714496E-3</v>
      </c>
      <c r="U519">
        <v>-3.2853414272564496E-3</v>
      </c>
      <c r="V519">
        <v>-3.4028167350675931E-3</v>
      </c>
      <c r="W519">
        <v>-9.3820863922788877E-4</v>
      </c>
      <c r="X519">
        <v>-5.3016452670306968E-3</v>
      </c>
      <c r="Y519">
        <v>-3.4028167350675931E-3</v>
      </c>
      <c r="Z519">
        <v>-7.2138284146576748E-3</v>
      </c>
      <c r="AA519">
        <v>1.0384646385031004E-3</v>
      </c>
      <c r="AC519">
        <v>-1.4693590831845738E-3</v>
      </c>
      <c r="AD519">
        <v>-3.3484956512147557E-3</v>
      </c>
      <c r="AE519">
        <v>-4.7108184886128779E-3</v>
      </c>
      <c r="AF519">
        <v>-9.7775645025834912E-3</v>
      </c>
      <c r="AG519">
        <v>-4.4820330740135139E-3</v>
      </c>
      <c r="AH519">
        <v>7.6433312591672742E-3</v>
      </c>
      <c r="AI519">
        <v>-9.7404507205790525E-3</v>
      </c>
      <c r="AJ519">
        <v>-1.62080663399925E-2</v>
      </c>
      <c r="AK519">
        <v>-5.7524160147262027E-3</v>
      </c>
      <c r="AL519">
        <v>5.1119660752747542E-3</v>
      </c>
    </row>
    <row r="520" spans="1:38">
      <c r="A520" s="568">
        <v>44585</v>
      </c>
      <c r="B520">
        <v>3.5617980482955942E-4</v>
      </c>
      <c r="C520">
        <v>4.1435269897482918E-4</v>
      </c>
      <c r="D520">
        <v>3.7329120398066351E-4</v>
      </c>
      <c r="E520">
        <v>4.0659656457719962E-4</v>
      </c>
      <c r="F520">
        <v>3.8910538291636598E-4</v>
      </c>
      <c r="G520">
        <v>4.0390668669720853E-4</v>
      </c>
      <c r="H520">
        <v>4.630991025700304E-4</v>
      </c>
      <c r="I520">
        <v>4.6996075835337159E-4</v>
      </c>
      <c r="J520">
        <v>1.1270995064969203E-3</v>
      </c>
      <c r="K520">
        <v>1.5449754292999884E-3</v>
      </c>
      <c r="L520">
        <v>5.8219264998005116E-4</v>
      </c>
      <c r="M520">
        <v>6.0043992686176217E-4</v>
      </c>
      <c r="N520">
        <v>6.0589786242282173E-4</v>
      </c>
      <c r="O520">
        <v>5.4612392438491142E-4</v>
      </c>
      <c r="P520">
        <v>5.3573019985209136E-4</v>
      </c>
      <c r="Q520">
        <v>5.4958248556946643E-4</v>
      </c>
      <c r="R520">
        <v>-2.065808324381746E-3</v>
      </c>
      <c r="S520">
        <v>7.4148270006380024E-4</v>
      </c>
      <c r="T520">
        <v>-2.6105923342303328E-3</v>
      </c>
      <c r="U520">
        <v>-1.1237404873246648E-3</v>
      </c>
      <c r="V520">
        <v>-2.3627004406917562E-3</v>
      </c>
      <c r="W520">
        <v>-1.3037334232435249E-3</v>
      </c>
      <c r="X520">
        <v>-6.5917600972642543E-4</v>
      </c>
      <c r="Y520">
        <v>-2.3627004406917562E-3</v>
      </c>
      <c r="Z520">
        <v>-7.138000949157175E-3</v>
      </c>
      <c r="AA520">
        <v>9.6178139538394269E-4</v>
      </c>
      <c r="AC520">
        <v>-9.2211722822705955E-3</v>
      </c>
      <c r="AD520">
        <v>-6.9514451155481272E-3</v>
      </c>
      <c r="AE520">
        <v>-7.5905187204399205E-3</v>
      </c>
      <c r="AF520">
        <v>-9.4537278779688316E-3</v>
      </c>
      <c r="AG520">
        <v>-4.1841456303109981E-3</v>
      </c>
      <c r="AH520">
        <v>-1.8891063761041771E-3</v>
      </c>
      <c r="AI520">
        <v>-4.3549398182640697E-3</v>
      </c>
      <c r="AJ520">
        <v>4.9808429118773923E-3</v>
      </c>
      <c r="AK520">
        <v>-1.8745660726683711E-2</v>
      </c>
      <c r="AL520">
        <v>6.1003728062525298E-4</v>
      </c>
    </row>
    <row r="521" spans="1:38">
      <c r="A521" s="568">
        <v>44586</v>
      </c>
      <c r="B521">
        <v>3.5617980482955942E-4</v>
      </c>
      <c r="C521">
        <v>4.5161040804542196E-4</v>
      </c>
      <c r="D521">
        <v>3.769430030766685E-4</v>
      </c>
      <c r="E521">
        <v>4.0659656457719962E-4</v>
      </c>
      <c r="F521">
        <v>4.7191422500381108E-4</v>
      </c>
      <c r="G521">
        <v>4.8662721502834572E-4</v>
      </c>
      <c r="H521">
        <v>4.7563638682124321E-4</v>
      </c>
      <c r="I521">
        <v>4.6155545452686297E-4</v>
      </c>
      <c r="J521">
        <v>-7.9572127289218031E-4</v>
      </c>
      <c r="K521">
        <v>-6.9039519138391903E-4</v>
      </c>
      <c r="L521">
        <v>5.8219264998005116E-4</v>
      </c>
      <c r="M521">
        <v>6.0043992686176217E-4</v>
      </c>
      <c r="N521">
        <v>6.0589786242282173E-4</v>
      </c>
      <c r="O521">
        <v>5.4612392438491142E-4</v>
      </c>
      <c r="P521">
        <v>5.3573019985209136E-4</v>
      </c>
      <c r="Q521">
        <v>5.4958248556946643E-4</v>
      </c>
      <c r="R521">
        <v>-7.2191783635822127E-5</v>
      </c>
      <c r="S521">
        <v>1.1517675084105061E-3</v>
      </c>
      <c r="T521">
        <v>6.7861893100396031E-4</v>
      </c>
      <c r="U521">
        <v>1.5244759454435819E-3</v>
      </c>
      <c r="V521">
        <v>3.1676268535565377E-3</v>
      </c>
      <c r="W521">
        <v>1.689075670272544E-3</v>
      </c>
      <c r="X521">
        <v>4.1929691545623538E-3</v>
      </c>
      <c r="Y521">
        <v>3.1676268535565377E-3</v>
      </c>
      <c r="Z521">
        <v>3.4699924105319191E-3</v>
      </c>
      <c r="AA521">
        <v>3.5478730087974419E-3</v>
      </c>
      <c r="AC521">
        <v>2.0999821099527249E-2</v>
      </c>
      <c r="AD521">
        <v>2.1290112987744969E-2</v>
      </c>
      <c r="AE521">
        <v>2.2399528845477246E-2</v>
      </c>
      <c r="AF521">
        <v>1.3307176177391522E-2</v>
      </c>
      <c r="AG521">
        <v>1.6528495516928476E-2</v>
      </c>
      <c r="AH521">
        <v>8.8154924707810611E-3</v>
      </c>
      <c r="AI521">
        <v>2.066214235537811E-2</v>
      </c>
      <c r="AJ521">
        <v>-1.3343499809378545E-2</v>
      </c>
      <c r="AK521">
        <v>-1.8985849056603721E-2</v>
      </c>
      <c r="AL521">
        <v>-2.8531581085646684E-2</v>
      </c>
    </row>
    <row r="522" spans="1:38">
      <c r="A522" s="568">
        <v>44587</v>
      </c>
      <c r="B522">
        <v>3.5617980482955942E-4</v>
      </c>
      <c r="C522">
        <v>4.0709003668282229E-4</v>
      </c>
      <c r="D522">
        <v>3.8167339693107039E-4</v>
      </c>
      <c r="E522">
        <v>4.0659656457719962E-4</v>
      </c>
      <c r="F522">
        <v>3.9835441292090934E-4</v>
      </c>
      <c r="G522">
        <v>3.8974002000613517E-4</v>
      </c>
      <c r="H522">
        <v>4.8560673119757425E-4</v>
      </c>
      <c r="I522">
        <v>4.6657564289920295E-4</v>
      </c>
      <c r="J522">
        <v>-5.427783259707164E-4</v>
      </c>
      <c r="K522">
        <v>-1.201846797674877E-4</v>
      </c>
      <c r="L522">
        <v>5.8219264998005116E-4</v>
      </c>
      <c r="M522">
        <v>6.0043992686176217E-4</v>
      </c>
      <c r="N522">
        <v>6.0589786242282173E-4</v>
      </c>
      <c r="O522">
        <v>5.4612392438491142E-4</v>
      </c>
      <c r="P522">
        <v>5.3573019985209136E-4</v>
      </c>
      <c r="Q522">
        <v>5.4958248556946643E-4</v>
      </c>
      <c r="R522">
        <v>-1.4398311412056053E-3</v>
      </c>
      <c r="S522">
        <v>4.5603232150099871E-3</v>
      </c>
      <c r="T522">
        <v>4.6179521702749415E-3</v>
      </c>
      <c r="U522">
        <v>4.1387489291138113E-3</v>
      </c>
      <c r="V522">
        <v>3.7842158236467416E-3</v>
      </c>
      <c r="W522">
        <v>1.3301757068078235E-3</v>
      </c>
      <c r="X522">
        <v>6.7045905619549373E-3</v>
      </c>
      <c r="Y522">
        <v>3.7842158236467416E-3</v>
      </c>
      <c r="Z522">
        <v>6.4983122132731275E-3</v>
      </c>
      <c r="AA522">
        <v>4.8045403333543124E-3</v>
      </c>
      <c r="AC522">
        <v>9.8491185918592183E-3</v>
      </c>
      <c r="AD522">
        <v>1.463780576617224E-2</v>
      </c>
      <c r="AE522">
        <v>1.0381307312086197E-2</v>
      </c>
      <c r="AF522">
        <v>8.3405834372394239E-3</v>
      </c>
      <c r="AG522">
        <v>1.0908323091444627E-2</v>
      </c>
      <c r="AH522">
        <v>5.6403825427437937E-3</v>
      </c>
      <c r="AI522">
        <v>1.6690177856834243E-2</v>
      </c>
      <c r="AJ522">
        <v>-8.5007727975270342E-3</v>
      </c>
      <c r="AK522">
        <v>-1.6828945786753202E-3</v>
      </c>
      <c r="AL522">
        <v>-4.8185283656168032E-3</v>
      </c>
    </row>
    <row r="523" spans="1:38">
      <c r="A523" s="568">
        <v>44588</v>
      </c>
      <c r="B523">
        <v>3.5617980482955942E-4</v>
      </c>
      <c r="C523">
        <v>3.8967955749291683E-4</v>
      </c>
      <c r="D523">
        <v>3.9613948006156363E-4</v>
      </c>
      <c r="E523">
        <v>4.0659656457719962E-4</v>
      </c>
      <c r="F523">
        <v>4.4109763752442355E-4</v>
      </c>
      <c r="G523">
        <v>3.666448705210712E-4</v>
      </c>
      <c r="H523">
        <v>4.6626193601895238E-4</v>
      </c>
      <c r="I523">
        <v>4.56522610302601E-4</v>
      </c>
      <c r="J523">
        <v>-1.23738279793284E-3</v>
      </c>
      <c r="K523">
        <v>-2.1387521251631236E-3</v>
      </c>
      <c r="L523">
        <v>5.8219264998005116E-4</v>
      </c>
      <c r="M523">
        <v>6.0043992686176217E-4</v>
      </c>
      <c r="N523">
        <v>6.0589786242282173E-4</v>
      </c>
      <c r="O523">
        <v>5.4612392438491142E-4</v>
      </c>
      <c r="P523">
        <v>5.3573019985209136E-4</v>
      </c>
      <c r="Q523">
        <v>5.4958248556946643E-4</v>
      </c>
      <c r="R523">
        <v>9.5813648918863237E-5</v>
      </c>
      <c r="S523">
        <v>2.7696578945564099E-3</v>
      </c>
      <c r="T523">
        <v>7.3478353500027183E-3</v>
      </c>
      <c r="U523">
        <v>2.939063798687247E-3</v>
      </c>
      <c r="V523">
        <v>2.165140500661078E-3</v>
      </c>
      <c r="W523">
        <v>2.7976772367832581E-3</v>
      </c>
      <c r="X523">
        <v>2.2256543468526235E-3</v>
      </c>
      <c r="Y523">
        <v>2.165140500661078E-3</v>
      </c>
      <c r="Z523">
        <v>2.4046057448499081E-3</v>
      </c>
      <c r="AA523">
        <v>1.2071039858538857E-3</v>
      </c>
      <c r="AC523">
        <v>1.1883185768823079E-2</v>
      </c>
      <c r="AD523">
        <v>7.9709191678460911E-3</v>
      </c>
      <c r="AE523">
        <v>8.7452628502633356E-3</v>
      </c>
      <c r="AF523">
        <v>3.7236930529505052E-3</v>
      </c>
      <c r="AG523">
        <v>7.1682507932997463E-3</v>
      </c>
      <c r="AH523">
        <v>1.1355944635016879E-2</v>
      </c>
      <c r="AI523">
        <v>3.848703491847516E-3</v>
      </c>
      <c r="AJ523">
        <v>-9.9376461418551054E-3</v>
      </c>
      <c r="AK523">
        <v>-3.1788079470198682E-2</v>
      </c>
      <c r="AL523">
        <v>-4.9272926664493122E-3</v>
      </c>
    </row>
    <row r="524" spans="1:38">
      <c r="A524" s="568">
        <v>44589</v>
      </c>
      <c r="B524">
        <v>3.5617980482955942E-4</v>
      </c>
      <c r="C524">
        <v>3.8935237876902562E-4</v>
      </c>
      <c r="D524">
        <v>4.0950661215233275E-4</v>
      </c>
      <c r="E524">
        <v>4.0659656457719962E-4</v>
      </c>
      <c r="F524">
        <v>2.627100014653827E-4</v>
      </c>
      <c r="G524">
        <v>3.9867310838781478E-4</v>
      </c>
      <c r="H524">
        <v>4.7050134815518341E-4</v>
      </c>
      <c r="I524">
        <v>4.5104817254415508E-4</v>
      </c>
      <c r="J524">
        <v>9.9894373568076844E-4</v>
      </c>
      <c r="K524">
        <v>7.7930672520176714E-4</v>
      </c>
      <c r="L524">
        <v>5.8219264998005116E-4</v>
      </c>
      <c r="M524">
        <v>6.0043992686176217E-4</v>
      </c>
      <c r="N524">
        <v>6.0589786242282173E-4</v>
      </c>
      <c r="O524">
        <v>5.4612392438491142E-4</v>
      </c>
      <c r="P524">
        <v>5.3573019985209136E-4</v>
      </c>
      <c r="Q524">
        <v>5.4958248556946643E-4</v>
      </c>
      <c r="R524">
        <v>1.0632532846825971E-3</v>
      </c>
      <c r="S524">
        <v>3.255019584736063E-3</v>
      </c>
      <c r="T524">
        <v>7.2747871839684564E-4</v>
      </c>
      <c r="U524">
        <v>-6.7862214476743787E-4</v>
      </c>
      <c r="V524">
        <v>5.6157318966221226E-4</v>
      </c>
      <c r="W524">
        <v>3.6826521829791403E-6</v>
      </c>
      <c r="X524">
        <v>-4.0551607988970062E-4</v>
      </c>
      <c r="Y524">
        <v>5.6157318966221226E-4</v>
      </c>
      <c r="Z524">
        <v>1.8534287230034252E-3</v>
      </c>
      <c r="AA524">
        <v>8.8531056700369426E-4</v>
      </c>
      <c r="AC524">
        <v>-6.2298172524777318E-3</v>
      </c>
      <c r="AD524">
        <v>-1.072881392664371E-3</v>
      </c>
      <c r="AE524">
        <v>-3.287153301705481E-3</v>
      </c>
      <c r="AF524">
        <v>5.2670223652802051E-3</v>
      </c>
      <c r="AG524">
        <v>-1.248680611535713E-3</v>
      </c>
      <c r="AH524">
        <v>-7.9787142652248955E-3</v>
      </c>
      <c r="AI524">
        <v>-2.2928694849075892E-3</v>
      </c>
      <c r="AJ524">
        <v>1.9681165124975308E-2</v>
      </c>
      <c r="AK524">
        <v>-7.959209053600258E-3</v>
      </c>
      <c r="AL524">
        <v>-4.0290375580244175E-3</v>
      </c>
    </row>
    <row r="525" spans="1:38">
      <c r="A525" s="568">
        <v>44592</v>
      </c>
      <c r="B525">
        <v>3.5617980482955942E-4</v>
      </c>
      <c r="C525">
        <v>3.7281264768584954E-4</v>
      </c>
      <c r="D525">
        <v>3.6824286509173909E-4</v>
      </c>
      <c r="E525">
        <v>4.0659656457719962E-4</v>
      </c>
      <c r="F525">
        <v>5.0488674595294825E-4</v>
      </c>
      <c r="G525">
        <v>3.3152801908786778E-4</v>
      </c>
      <c r="H525">
        <v>4.7091645432995044E-4</v>
      </c>
      <c r="I525">
        <v>4.4725836119630102E-4</v>
      </c>
      <c r="J525">
        <v>5.3841031642276604E-4</v>
      </c>
      <c r="K525">
        <v>-5.1550409774070438E-4</v>
      </c>
      <c r="L525">
        <v>5.8219264998005116E-4</v>
      </c>
      <c r="M525">
        <v>6.0043992686176217E-4</v>
      </c>
      <c r="N525">
        <v>6.0589786242282173E-4</v>
      </c>
      <c r="O525">
        <v>5.4612392438491142E-4</v>
      </c>
      <c r="P525">
        <v>5.3573019985209136E-4</v>
      </c>
      <c r="Q525">
        <v>5.4958248556946643E-4</v>
      </c>
      <c r="R525">
        <v>2.2692698587534199E-3</v>
      </c>
      <c r="S525">
        <v>-4.4018089672559491E-4</v>
      </c>
      <c r="T525">
        <v>-4.0348600281668867E-3</v>
      </c>
      <c r="U525">
        <v>2.8422590534407099E-3</v>
      </c>
      <c r="V525">
        <v>2.6665882376009087E-3</v>
      </c>
      <c r="W525">
        <v>1.9133938092739111E-3</v>
      </c>
      <c r="X525">
        <v>-6.8187219415893896E-4</v>
      </c>
      <c r="Y525">
        <v>2.6665882376009087E-3</v>
      </c>
      <c r="Z525">
        <v>2.7987423646134157E-3</v>
      </c>
      <c r="AA525">
        <v>4.4715494455624949E-3</v>
      </c>
      <c r="AC525">
        <v>2.0856919974157062E-3</v>
      </c>
      <c r="AD525">
        <v>1.2376301356930242E-2</v>
      </c>
      <c r="AE525">
        <v>2.9881993562983489E-3</v>
      </c>
      <c r="AF525">
        <v>1.6989829903356624E-2</v>
      </c>
      <c r="AG525">
        <v>9.9647862234224505E-3</v>
      </c>
      <c r="AH525">
        <v>-5.2734433321691698E-3</v>
      </c>
      <c r="AI525">
        <v>7.4978189851138133E-3</v>
      </c>
      <c r="AJ525">
        <v>5.2113491603935636E-3</v>
      </c>
      <c r="AK525">
        <v>2.5698884292340463E-2</v>
      </c>
      <c r="AL525">
        <v>-3.9036582092125682E-3</v>
      </c>
    </row>
    <row r="526" spans="1:38">
      <c r="A526" s="568">
        <v>44593</v>
      </c>
      <c r="B526">
        <v>3.5617980482955942E-4</v>
      </c>
      <c r="C526">
        <v>3.5821941815616931E-4</v>
      </c>
      <c r="D526">
        <v>3.8270187523914423E-4</v>
      </c>
      <c r="E526">
        <v>4.0659656457719962E-4</v>
      </c>
      <c r="F526">
        <v>4.0395518302371869E-4</v>
      </c>
      <c r="G526">
        <v>3.9354785630552058E-4</v>
      </c>
      <c r="H526">
        <v>4.6306190781519874E-4</v>
      </c>
      <c r="I526">
        <v>4.4791485846817913E-4</v>
      </c>
      <c r="J526">
        <v>1.8863215007873801E-3</v>
      </c>
      <c r="K526">
        <v>2.1414029041937344E-3</v>
      </c>
      <c r="L526">
        <v>8.5486808203527609E-4</v>
      </c>
      <c r="M526">
        <v>8.731203316059144E-4</v>
      </c>
      <c r="N526">
        <v>8.7857975454630477E-4</v>
      </c>
      <c r="O526">
        <v>5.4612392438491142E-4</v>
      </c>
      <c r="P526">
        <v>5.3573019985209136E-4</v>
      </c>
      <c r="Q526">
        <v>5.4958248556946643E-4</v>
      </c>
      <c r="R526">
        <v>1.6970737925412482E-3</v>
      </c>
      <c r="S526">
        <v>1.8246811723576783E-4</v>
      </c>
      <c r="T526">
        <v>1.1884244886779527E-3</v>
      </c>
      <c r="U526">
        <v>1.6134026704648363E-3</v>
      </c>
      <c r="V526">
        <v>1.3639696895624276E-3</v>
      </c>
      <c r="W526">
        <v>1.4061817387507336E-3</v>
      </c>
      <c r="X526">
        <v>-3.5349208505230933E-4</v>
      </c>
      <c r="Y526">
        <v>1.3639696895624276E-3</v>
      </c>
      <c r="Z526">
        <v>9.1907016788628226E-4</v>
      </c>
      <c r="AA526">
        <v>1.4917240896592521E-3</v>
      </c>
      <c r="AC526">
        <v>9.6733194814395684E-3</v>
      </c>
      <c r="AD526">
        <v>6.0781183031188846E-4</v>
      </c>
      <c r="AE526">
        <v>8.833771993451256E-3</v>
      </c>
      <c r="AF526">
        <v>3.3508698365645184E-3</v>
      </c>
      <c r="AG526">
        <v>9.414599127148815E-4</v>
      </c>
      <c r="AH526">
        <v>-2.1370909776000646E-3</v>
      </c>
      <c r="AI526">
        <v>-3.0590212382149984E-3</v>
      </c>
      <c r="AJ526">
        <v>-1.4976958525345641E-3</v>
      </c>
      <c r="AK526">
        <v>1.7110730872647029E-3</v>
      </c>
      <c r="AL526">
        <v>3.186703994660478E-3</v>
      </c>
    </row>
    <row r="527" spans="1:38">
      <c r="A527" s="568">
        <v>44594</v>
      </c>
      <c r="B527">
        <v>3.5617980482955942E-4</v>
      </c>
      <c r="C527">
        <v>3.8426973783445284E-4</v>
      </c>
      <c r="D527">
        <v>4.4577438304838068E-4</v>
      </c>
      <c r="E527">
        <v>4.0659656457719962E-4</v>
      </c>
      <c r="F527">
        <v>3.7385074165086074E-4</v>
      </c>
      <c r="G527">
        <v>4.1308058695732619E-4</v>
      </c>
      <c r="H527">
        <v>4.6348336037516091E-4</v>
      </c>
      <c r="I527">
        <v>4.5318279897443858E-4</v>
      </c>
      <c r="J527">
        <v>2.8135436969145555E-3</v>
      </c>
      <c r="K527">
        <v>2.1723780041944529E-3</v>
      </c>
      <c r="L527">
        <v>8.5486808203527609E-4</v>
      </c>
      <c r="M527">
        <v>8.731203316059144E-4</v>
      </c>
      <c r="N527">
        <v>8.7857975454630477E-4</v>
      </c>
      <c r="O527">
        <v>5.4612392438491142E-4</v>
      </c>
      <c r="P527">
        <v>5.3573019985209136E-4</v>
      </c>
      <c r="Q527">
        <v>5.4958248556946643E-4</v>
      </c>
      <c r="R527">
        <v>9.0236398310361565E-4</v>
      </c>
      <c r="S527">
        <v>1.0202982337625954E-4</v>
      </c>
      <c r="T527">
        <v>1.1310898111764889E-3</v>
      </c>
      <c r="U527">
        <v>-2.6252387532688104E-4</v>
      </c>
      <c r="V527">
        <v>-8.7878181312217585E-4</v>
      </c>
      <c r="W527">
        <v>7.162610126441038E-4</v>
      </c>
      <c r="X527">
        <v>-2.977734603120008E-3</v>
      </c>
      <c r="Y527">
        <v>-8.7878181312217585E-4</v>
      </c>
      <c r="Z527">
        <v>-1.6806670484843522E-3</v>
      </c>
      <c r="AA527">
        <v>9.1901182410158988E-4</v>
      </c>
      <c r="AC527">
        <v>-1.1781064293903132E-2</v>
      </c>
      <c r="AD527">
        <v>-9.3815876398960496E-3</v>
      </c>
      <c r="AE527">
        <v>-1.0466224052397277E-2</v>
      </c>
      <c r="AF527">
        <v>3.9245176660394065E-3</v>
      </c>
      <c r="AG527">
        <v>-2.1040264987219892E-3</v>
      </c>
      <c r="AH527">
        <v>-5.6651811881303082E-4</v>
      </c>
      <c r="AI527">
        <v>2.190524140666561E-3</v>
      </c>
      <c r="AJ527">
        <v>7.6535517864697589E-3</v>
      </c>
      <c r="AK527">
        <v>-2.8062469497314169E-3</v>
      </c>
      <c r="AL527">
        <v>5.7418061774727747E-3</v>
      </c>
    </row>
    <row r="528" spans="1:38">
      <c r="A528" s="568">
        <v>44595</v>
      </c>
      <c r="B528">
        <v>4.1171729924501242E-4</v>
      </c>
      <c r="C528">
        <v>3.9222787383730306E-4</v>
      </c>
      <c r="D528">
        <v>3.3053619776435283E-4</v>
      </c>
      <c r="E528">
        <v>4.6078268727711702E-4</v>
      </c>
      <c r="F528">
        <v>3.3712974964283937E-4</v>
      </c>
      <c r="G528">
        <v>5.0289864445485222E-4</v>
      </c>
      <c r="H528">
        <v>4.6390412817465254E-4</v>
      </c>
      <c r="I528">
        <v>4.5076960012679912E-4</v>
      </c>
      <c r="J528">
        <v>4.1445256409848863E-3</v>
      </c>
      <c r="K528">
        <v>4.181875233416843E-3</v>
      </c>
      <c r="L528">
        <v>8.5486808203527609E-4</v>
      </c>
      <c r="M528">
        <v>8.731203316059144E-4</v>
      </c>
      <c r="N528">
        <v>8.7857975454630477E-4</v>
      </c>
      <c r="O528">
        <v>5.4612392438491142E-4</v>
      </c>
      <c r="P528">
        <v>5.3573019985209136E-4</v>
      </c>
      <c r="Q528">
        <v>5.4958248556946643E-4</v>
      </c>
      <c r="R528">
        <v>-1.5728929544678305E-3</v>
      </c>
      <c r="S528">
        <v>4.6554138662924238E-4</v>
      </c>
      <c r="T528">
        <v>1.3336501644322318E-2</v>
      </c>
      <c r="U528">
        <v>1.3428496592746697E-3</v>
      </c>
      <c r="V528">
        <v>3.5670831521295021E-4</v>
      </c>
      <c r="W528">
        <v>-1.687195964143462E-3</v>
      </c>
      <c r="X528">
        <v>2.3139259590896355E-3</v>
      </c>
      <c r="Y528">
        <v>3.5670831521295021E-4</v>
      </c>
      <c r="Z528">
        <v>-7.7581087973338514E-3</v>
      </c>
      <c r="AA528">
        <v>3.7974539208929237E-4</v>
      </c>
      <c r="AC528">
        <v>-1.7732797256269084E-3</v>
      </c>
      <c r="AD528">
        <v>-4.3284798005464031E-3</v>
      </c>
      <c r="AE528">
        <v>-1.95857285424339E-3</v>
      </c>
      <c r="AF528">
        <v>-2.1778312059803184E-2</v>
      </c>
      <c r="AG528">
        <v>-1.5879523645764837E-2</v>
      </c>
      <c r="AH528">
        <v>1.3304141064542918E-3</v>
      </c>
      <c r="AI528">
        <v>-4.7419325131072831E-3</v>
      </c>
      <c r="AJ528">
        <v>-5.7251908396946938E-3</v>
      </c>
      <c r="AK528">
        <v>-3.1812064113545535E-3</v>
      </c>
      <c r="AL528">
        <v>-2.167067780532661E-3</v>
      </c>
    </row>
    <row r="529" spans="1:38">
      <c r="A529" s="568">
        <v>44596</v>
      </c>
      <c r="B529">
        <v>4.1171729924501242E-4</v>
      </c>
      <c r="C529">
        <v>4.3801363131423798E-4</v>
      </c>
      <c r="D529">
        <v>4.0277537066391034E-4</v>
      </c>
      <c r="E529">
        <v>4.6078268727711702E-4</v>
      </c>
      <c r="F529">
        <v>5.0490086281929081E-4</v>
      </c>
      <c r="G529">
        <v>4.3416014197106279E-4</v>
      </c>
      <c r="H529">
        <v>4.9036701938787175E-4</v>
      </c>
      <c r="I529">
        <v>5.0175488002945912E-4</v>
      </c>
      <c r="J529">
        <v>-1.6062506659043629E-3</v>
      </c>
      <c r="K529">
        <v>-4.6841036249478663E-4</v>
      </c>
      <c r="L529">
        <v>8.5486808203527609E-4</v>
      </c>
      <c r="M529">
        <v>8.731203316059144E-4</v>
      </c>
      <c r="N529">
        <v>8.7857975454630477E-4</v>
      </c>
      <c r="O529">
        <v>5.4612392438491142E-4</v>
      </c>
      <c r="P529">
        <v>5.3573019985209136E-4</v>
      </c>
      <c r="Q529">
        <v>5.4958248556946643E-4</v>
      </c>
      <c r="R529">
        <v>-4.2509263789176632E-3</v>
      </c>
      <c r="S529">
        <v>4.0239294157682348E-3</v>
      </c>
      <c r="T529">
        <v>7.4534098279253058E-3</v>
      </c>
      <c r="U529">
        <v>6.6529589574477743E-3</v>
      </c>
      <c r="V529">
        <v>4.2105880169205356E-3</v>
      </c>
      <c r="W529">
        <v>4.0219979089599622E-3</v>
      </c>
      <c r="X529">
        <v>8.1091788843379309E-3</v>
      </c>
      <c r="Y529">
        <v>4.2105880169205356E-3</v>
      </c>
      <c r="Z529">
        <v>2.5445065529061672E-3</v>
      </c>
      <c r="AA529">
        <v>-1.4594481928564829E-3</v>
      </c>
      <c r="AC529">
        <v>4.9151294129401446E-3</v>
      </c>
      <c r="AD529">
        <v>3.9609819417396608E-4</v>
      </c>
      <c r="AE529">
        <v>3.6466865066024923E-3</v>
      </c>
      <c r="AF529">
        <v>1.4482867880323935E-2</v>
      </c>
      <c r="AG529">
        <v>1.3714001367479689E-3</v>
      </c>
      <c r="AH529">
        <v>-5.9487413994578908E-3</v>
      </c>
      <c r="AI529">
        <v>3.7723816960486545E-3</v>
      </c>
      <c r="AJ529">
        <v>-1.1516314779270731E-3</v>
      </c>
      <c r="AK529">
        <v>2.3321468025039982E-2</v>
      </c>
      <c r="AL529">
        <v>5.402522715642899E-3</v>
      </c>
    </row>
    <row r="530" spans="1:38">
      <c r="A530" s="568">
        <v>44599</v>
      </c>
      <c r="B530">
        <v>4.1171729924501242E-4</v>
      </c>
      <c r="C530">
        <v>4.5921092993994606E-4</v>
      </c>
      <c r="D530">
        <v>4.4578888711988007E-4</v>
      </c>
      <c r="E530">
        <v>4.6078268727711702E-4</v>
      </c>
      <c r="F530">
        <v>4.2656091389536854E-4</v>
      </c>
      <c r="G530">
        <v>4.7722591258070324E-4</v>
      </c>
      <c r="H530">
        <v>5.3964724846555789E-4</v>
      </c>
      <c r="I530">
        <v>5.011327382768993E-4</v>
      </c>
      <c r="J530">
        <v>1.509794977434753E-3</v>
      </c>
      <c r="K530">
        <v>1.2739886760186891E-3</v>
      </c>
      <c r="L530">
        <v>8.5486808203527609E-4</v>
      </c>
      <c r="M530">
        <v>8.731203316059144E-4</v>
      </c>
      <c r="N530">
        <v>8.7857975454630477E-4</v>
      </c>
      <c r="O530">
        <v>5.4612392438491142E-4</v>
      </c>
      <c r="P530">
        <v>5.3573019985209136E-4</v>
      </c>
      <c r="Q530">
        <v>5.4958248556946643E-4</v>
      </c>
      <c r="R530">
        <v>3.3792917004604739E-4</v>
      </c>
      <c r="S530">
        <v>-6.4512564523222515E-5</v>
      </c>
      <c r="T530">
        <v>1.7390263977608011E-3</v>
      </c>
      <c r="U530">
        <v>1.8671054120380504E-3</v>
      </c>
      <c r="V530">
        <v>-8.7069032609543573E-4</v>
      </c>
      <c r="W530">
        <v>-1.3711913891480965E-3</v>
      </c>
      <c r="X530">
        <v>-2.2724650394037038E-3</v>
      </c>
      <c r="Y530">
        <v>-8.7069032609543573E-4</v>
      </c>
      <c r="Z530">
        <v>1.8886795435315573E-3</v>
      </c>
      <c r="AA530">
        <v>-2.3045963256135282E-3</v>
      </c>
      <c r="AC530">
        <v>-2.2142646252027998E-3</v>
      </c>
      <c r="AD530">
        <v>-2.9483320373807631E-3</v>
      </c>
      <c r="AE530">
        <v>-1.5065468425975448E-3</v>
      </c>
      <c r="AF530">
        <v>-1.291102893063889E-3</v>
      </c>
      <c r="AG530">
        <v>-8.1493872413187507E-3</v>
      </c>
      <c r="AH530">
        <v>-3.161428507026276E-3</v>
      </c>
      <c r="AI530">
        <v>4.4368316712102285E-3</v>
      </c>
      <c r="AJ530">
        <v>-9.2236740968485442E-3</v>
      </c>
      <c r="AK530">
        <v>-1.9191555715486475E-3</v>
      </c>
      <c r="AL530">
        <v>-1.327060451377593E-2</v>
      </c>
    </row>
    <row r="531" spans="1:38">
      <c r="A531" s="568">
        <v>44600</v>
      </c>
      <c r="B531">
        <v>4.1171729924501242E-4</v>
      </c>
      <c r="C531">
        <v>4.2018935388665746E-4</v>
      </c>
      <c r="D531">
        <v>4.4828752546899331E-4</v>
      </c>
      <c r="E531">
        <v>4.6078268727711702E-4</v>
      </c>
      <c r="F531">
        <v>4.3592793488489434E-4</v>
      </c>
      <c r="G531">
        <v>4.7628367248297998E-4</v>
      </c>
      <c r="H531">
        <v>5.215891590675259E-4</v>
      </c>
      <c r="I531">
        <v>5.0250639164839406E-4</v>
      </c>
      <c r="J531">
        <v>-1.5653370119184107E-3</v>
      </c>
      <c r="K531">
        <v>-9.1278177570830454E-4</v>
      </c>
      <c r="L531">
        <v>8.5486808203527609E-4</v>
      </c>
      <c r="M531">
        <v>8.731203316059144E-4</v>
      </c>
      <c r="N531">
        <v>8.7857975454630477E-4</v>
      </c>
      <c r="O531">
        <v>5.4612392438491142E-4</v>
      </c>
      <c r="P531">
        <v>5.3573019985209136E-4</v>
      </c>
      <c r="Q531">
        <v>5.4958248556946643E-4</v>
      </c>
      <c r="R531">
        <v>1.0592703783234292E-3</v>
      </c>
      <c r="S531">
        <v>2.6042838845568017E-3</v>
      </c>
      <c r="T531">
        <v>-1.4549888351501616E-3</v>
      </c>
      <c r="U531">
        <v>2.8514304919851075E-3</v>
      </c>
      <c r="V531">
        <v>2.8967162435189486E-4</v>
      </c>
      <c r="W531">
        <v>1.6761659875454971E-3</v>
      </c>
      <c r="X531">
        <v>1.9699377229587256E-3</v>
      </c>
      <c r="Y531">
        <v>2.8967162435189486E-4</v>
      </c>
      <c r="Z531">
        <v>3.811542836751336E-3</v>
      </c>
      <c r="AA531">
        <v>-1.7351317378269115E-3</v>
      </c>
      <c r="AC531">
        <v>2.1256040372727991E-3</v>
      </c>
      <c r="AD531">
        <v>-5.4724929243460396E-3</v>
      </c>
      <c r="AE531">
        <v>-1.5832937025606064E-4</v>
      </c>
      <c r="AF531">
        <v>2.8516358954318033E-3</v>
      </c>
      <c r="AG531">
        <v>2.9053976620867505E-3</v>
      </c>
      <c r="AH531">
        <v>-7.5195952445612502E-3</v>
      </c>
      <c r="AI531">
        <v>-4.9515552157335385E-3</v>
      </c>
      <c r="AJ531">
        <v>8.5337470907680402E-3</v>
      </c>
      <c r="AK531">
        <v>-9.0133397428193707E-3</v>
      </c>
      <c r="AL531">
        <v>-6.2573470767236516E-3</v>
      </c>
    </row>
    <row r="532" spans="1:38">
      <c r="A532" s="568">
        <v>44601</v>
      </c>
      <c r="B532">
        <v>4.1171729924501242E-4</v>
      </c>
      <c r="C532">
        <v>4.9194086363324452E-4</v>
      </c>
      <c r="D532">
        <v>4.3352788166628464E-4</v>
      </c>
      <c r="E532">
        <v>4.6078268727711702E-4</v>
      </c>
      <c r="F532">
        <v>5.1832070730628566E-4</v>
      </c>
      <c r="G532">
        <v>4.335582282717354E-4</v>
      </c>
      <c r="H532">
        <v>5.1560939258932237E-4</v>
      </c>
      <c r="I532">
        <v>5.0025762170347043E-4</v>
      </c>
      <c r="J532">
        <v>-2.0914729234569052E-3</v>
      </c>
      <c r="K532">
        <v>-1.9876418864880341E-3</v>
      </c>
      <c r="L532">
        <v>8.5486808203527609E-4</v>
      </c>
      <c r="M532">
        <v>8.731203316059144E-4</v>
      </c>
      <c r="N532">
        <v>8.7857975454630477E-4</v>
      </c>
      <c r="O532">
        <v>5.4612392438491142E-4</v>
      </c>
      <c r="P532">
        <v>5.3573019985209136E-4</v>
      </c>
      <c r="Q532">
        <v>5.4958248556946643E-4</v>
      </c>
      <c r="R532">
        <v>2.0482206303353845E-3</v>
      </c>
      <c r="S532">
        <v>1.5232333590122771E-3</v>
      </c>
      <c r="T532">
        <v>-5.0702288098875004E-3</v>
      </c>
      <c r="U532">
        <v>3.4635951270960419E-3</v>
      </c>
      <c r="V532">
        <v>1.012340331298045E-3</v>
      </c>
      <c r="W532">
        <v>1.1387426483422391E-3</v>
      </c>
      <c r="X532">
        <v>-2.3446915277092195E-4</v>
      </c>
      <c r="Y532">
        <v>1.012340331298045E-3</v>
      </c>
      <c r="Z532">
        <v>6.8369750231156434E-3</v>
      </c>
      <c r="AA532">
        <v>-8.5371503491493694E-4</v>
      </c>
      <c r="AC532">
        <v>2.0219280246012161E-3</v>
      </c>
      <c r="AD532">
        <v>5.892281606608929E-3</v>
      </c>
      <c r="AE532">
        <v>2.8101062851435543E-3</v>
      </c>
      <c r="AF532">
        <v>8.1391126260139668E-3</v>
      </c>
      <c r="AG532">
        <v>9.8186840218839055E-3</v>
      </c>
      <c r="AH532">
        <v>-7.7160242124184597E-3</v>
      </c>
      <c r="AI532">
        <v>-2.2974093675746099E-3</v>
      </c>
      <c r="AJ532">
        <v>7.692307692307665E-3</v>
      </c>
      <c r="AK532">
        <v>2.6315789473684292E-2</v>
      </c>
      <c r="AL532">
        <v>4.5271306196676964E-3</v>
      </c>
    </row>
    <row r="533" spans="1:38">
      <c r="A533" s="568">
        <v>44602</v>
      </c>
      <c r="B533">
        <v>4.1171729924501242E-4</v>
      </c>
      <c r="C533">
        <v>4.348755098022572E-4</v>
      </c>
      <c r="D533">
        <v>4.4034675825010972E-4</v>
      </c>
      <c r="E533">
        <v>4.6078268727711702E-4</v>
      </c>
      <c r="F533">
        <v>4.3800089093370964E-4</v>
      </c>
      <c r="G533">
        <v>4.9539512781437978E-4</v>
      </c>
      <c r="H533">
        <v>5.153436765492625E-4</v>
      </c>
      <c r="I533">
        <v>4.9802151678268736E-4</v>
      </c>
      <c r="J533">
        <v>-8.6986609263128845E-4</v>
      </c>
      <c r="K533">
        <v>-2.6006528281263819E-4</v>
      </c>
      <c r="L533">
        <v>8.5486808203527609E-4</v>
      </c>
      <c r="M533">
        <v>8.731203316059144E-4</v>
      </c>
      <c r="N533">
        <v>8.7857975454630477E-4</v>
      </c>
      <c r="O533">
        <v>5.4612392438491142E-4</v>
      </c>
      <c r="P533">
        <v>5.3573019985209136E-4</v>
      </c>
      <c r="Q533">
        <v>5.4958248556946643E-4</v>
      </c>
      <c r="R533">
        <v>-3.7495431671867863E-3</v>
      </c>
      <c r="S533">
        <v>1.5480074276810196E-3</v>
      </c>
      <c r="T533">
        <v>3.4383583786212757E-3</v>
      </c>
      <c r="U533">
        <v>6.1109688190710276E-3</v>
      </c>
      <c r="V533">
        <v>3.5882288589870193E-3</v>
      </c>
      <c r="W533">
        <v>4.9950592292189455E-3</v>
      </c>
      <c r="X533">
        <v>7.5413669773498615E-3</v>
      </c>
      <c r="Y533">
        <v>3.5882288589870193E-3</v>
      </c>
      <c r="Z533">
        <v>2.3829527990488764E-3</v>
      </c>
      <c r="AA533">
        <v>8.1475449544532452E-4</v>
      </c>
      <c r="AC533">
        <v>8.0594771236599527E-3</v>
      </c>
      <c r="AD533">
        <v>7.1691633194226334E-4</v>
      </c>
      <c r="AE533">
        <v>6.5557366794832816E-3</v>
      </c>
      <c r="AF533">
        <v>-4.6335351979117645E-3</v>
      </c>
      <c r="AG533">
        <v>9.8599914590513649E-4</v>
      </c>
      <c r="AH533">
        <v>7.9771277247779881E-3</v>
      </c>
      <c r="AI533">
        <v>9.9461936784821514E-3</v>
      </c>
      <c r="AJ533">
        <v>-1.5267175572519109E-2</v>
      </c>
      <c r="AK533">
        <v>8.2712985938793171E-3</v>
      </c>
      <c r="AL533">
        <v>1.0210970323356827E-2</v>
      </c>
    </row>
    <row r="534" spans="1:38">
      <c r="A534" s="568">
        <v>44603</v>
      </c>
      <c r="B534">
        <v>4.1171729924501242E-4</v>
      </c>
      <c r="C534">
        <v>4.29912351410211E-4</v>
      </c>
      <c r="D534">
        <v>4.3692048101107162E-4</v>
      </c>
      <c r="E534">
        <v>4.6078268727711702E-4</v>
      </c>
      <c r="F534">
        <v>4.9875415110212096E-4</v>
      </c>
      <c r="G534">
        <v>4.7623940882446369E-4</v>
      </c>
      <c r="H534">
        <v>5.1824599705652119E-4</v>
      </c>
      <c r="I534">
        <v>5.0047696721300383E-4</v>
      </c>
      <c r="J534">
        <v>3.1802066615682634E-6</v>
      </c>
      <c r="K534">
        <v>1.0766611116883595E-3</v>
      </c>
      <c r="L534">
        <v>8.5486808203527609E-4</v>
      </c>
      <c r="M534">
        <v>8.731203316059144E-4</v>
      </c>
      <c r="N534">
        <v>8.7857975454630477E-4</v>
      </c>
      <c r="O534">
        <v>5.4612392438491142E-4</v>
      </c>
      <c r="P534">
        <v>5.3573019985209136E-4</v>
      </c>
      <c r="Q534">
        <v>5.4958248556946643E-4</v>
      </c>
      <c r="R534">
        <v>-2.3985806046533664E-4</v>
      </c>
      <c r="S534">
        <v>-2.5967600078850017E-3</v>
      </c>
      <c r="T534">
        <v>6.3551711678755396E-4</v>
      </c>
      <c r="U534">
        <v>-5.3958686842342507E-3</v>
      </c>
      <c r="V534">
        <v>-1.3492530660987878E-3</v>
      </c>
      <c r="W534">
        <v>-2.0672511066033294E-4</v>
      </c>
      <c r="X534">
        <v>-2.9290192029053363E-3</v>
      </c>
      <c r="Y534">
        <v>-1.3492530660987878E-3</v>
      </c>
      <c r="Z534">
        <v>2.0385557259356979E-3</v>
      </c>
      <c r="AA534">
        <v>-2.1349781810344748E-3</v>
      </c>
      <c r="AC534">
        <v>1.8045693233623705E-3</v>
      </c>
      <c r="AD534">
        <v>-2.4512539078954676E-3</v>
      </c>
      <c r="AE534">
        <v>1.9766172277899674E-3</v>
      </c>
      <c r="AF534">
        <v>-4.2230894524115659E-3</v>
      </c>
      <c r="AG534">
        <v>3.9955330211016715E-4</v>
      </c>
      <c r="AH534">
        <v>5.3915503904935491E-3</v>
      </c>
      <c r="AI534">
        <v>-4.0891906692102076E-3</v>
      </c>
      <c r="AJ534">
        <v>-1.9379844961240345E-2</v>
      </c>
      <c r="AK534">
        <v>-8.3206375249031961E-3</v>
      </c>
      <c r="AL534">
        <v>-1.011841421729176E-2</v>
      </c>
    </row>
    <row r="535" spans="1:38">
      <c r="A535" s="568">
        <v>44606</v>
      </c>
      <c r="B535">
        <v>4.1171729924501242E-4</v>
      </c>
      <c r="C535">
        <v>4.4452601861455499E-4</v>
      </c>
      <c r="D535">
        <v>6.187452342076849E-4</v>
      </c>
      <c r="E535">
        <v>4.6078268727711702E-4</v>
      </c>
      <c r="F535">
        <v>4.0526882624969396E-4</v>
      </c>
      <c r="G535">
        <v>5.5901848835526735E-4</v>
      </c>
      <c r="H535">
        <v>5.1291176207990397E-4</v>
      </c>
      <c r="I535">
        <v>5.0124549331220791E-4</v>
      </c>
      <c r="J535">
        <v>1.5687574813076921E-3</v>
      </c>
      <c r="K535">
        <v>1.4969115390868204E-3</v>
      </c>
      <c r="L535">
        <v>8.5486808203527609E-4</v>
      </c>
      <c r="M535">
        <v>8.731203316059144E-4</v>
      </c>
      <c r="N535">
        <v>8.7857975454630477E-4</v>
      </c>
      <c r="O535">
        <v>5.4612392438491142E-4</v>
      </c>
      <c r="P535">
        <v>5.3573019985209136E-4</v>
      </c>
      <c r="Q535">
        <v>5.4958248556946643E-4</v>
      </c>
      <c r="R535">
        <v>-3.0777408887932012E-3</v>
      </c>
      <c r="S535">
        <v>3.5683705626889939E-3</v>
      </c>
      <c r="T535">
        <v>2.7312117831150839E-3</v>
      </c>
      <c r="U535">
        <v>8.3224936956551865E-3</v>
      </c>
      <c r="V535">
        <v>2.5638910989074226E-3</v>
      </c>
      <c r="W535">
        <v>2.0458588243117415E-3</v>
      </c>
      <c r="X535">
        <v>1.0907159338866546E-3</v>
      </c>
      <c r="Y535">
        <v>2.5638910989074226E-3</v>
      </c>
      <c r="Z535">
        <v>-1.8475267625250869E-4</v>
      </c>
      <c r="AA535">
        <v>-2.9948158135295611E-4</v>
      </c>
      <c r="AC535">
        <v>2.8778131296922638E-3</v>
      </c>
      <c r="AD535">
        <v>5.7553660416156394E-3</v>
      </c>
      <c r="AE535">
        <v>4.4895404569740283E-3</v>
      </c>
      <c r="AF535">
        <v>8.7205706024893193E-3</v>
      </c>
      <c r="AG535">
        <v>1.6679972607254179E-3</v>
      </c>
      <c r="AH535">
        <v>1.1863670102383317E-3</v>
      </c>
      <c r="AI535">
        <v>5.1386831959658874E-3</v>
      </c>
      <c r="AJ535">
        <v>-1.1857707509881465E-2</v>
      </c>
      <c r="AK535">
        <v>-1.6899078232096465E-2</v>
      </c>
      <c r="AL535">
        <v>-2.5340400283902054E-2</v>
      </c>
    </row>
    <row r="536" spans="1:38">
      <c r="A536" s="568">
        <v>44607</v>
      </c>
      <c r="B536">
        <v>4.1171729924501242E-4</v>
      </c>
      <c r="C536">
        <v>4.6116460520817526E-4</v>
      </c>
      <c r="D536">
        <v>4.9458246530242889E-4</v>
      </c>
      <c r="E536">
        <v>4.6078268727711702E-4</v>
      </c>
      <c r="F536">
        <v>4.6516617782099701E-4</v>
      </c>
      <c r="G536">
        <v>4.9499405517039463E-4</v>
      </c>
      <c r="H536">
        <v>5.2024361578184575E-4</v>
      </c>
      <c r="I536">
        <v>4.9922148319225812E-4</v>
      </c>
      <c r="J536">
        <v>2.798283913055144E-3</v>
      </c>
      <c r="K536">
        <v>2.5276148822301892E-3</v>
      </c>
      <c r="L536">
        <v>8.5486808203527609E-4</v>
      </c>
      <c r="M536">
        <v>8.731203316059144E-4</v>
      </c>
      <c r="N536">
        <v>8.7857975454630477E-4</v>
      </c>
      <c r="O536">
        <v>5.4612392438491142E-4</v>
      </c>
      <c r="P536">
        <v>5.3573019985209136E-4</v>
      </c>
      <c r="Q536">
        <v>5.4958248556946643E-4</v>
      </c>
      <c r="R536">
        <v>2.1411331135967604E-3</v>
      </c>
      <c r="S536">
        <v>1.095820814178694E-4</v>
      </c>
      <c r="T536">
        <v>-1.8704572121097662E-3</v>
      </c>
      <c r="U536">
        <v>3.8820659041416405E-4</v>
      </c>
      <c r="V536">
        <v>2.6226589019189284E-3</v>
      </c>
      <c r="W536">
        <v>4.5261255432138547E-4</v>
      </c>
      <c r="X536">
        <v>2.7594943155768714E-3</v>
      </c>
      <c r="Y536">
        <v>2.6226589019189284E-3</v>
      </c>
      <c r="Z536">
        <v>4.3866166078143642E-4</v>
      </c>
      <c r="AA536">
        <v>2.8210958815895193E-3</v>
      </c>
      <c r="AC536">
        <v>8.1562476432008868E-3</v>
      </c>
      <c r="AD536">
        <v>1.3652521754456526E-2</v>
      </c>
      <c r="AE536">
        <v>1.1198657155066183E-2</v>
      </c>
      <c r="AF536">
        <v>-9.7261794726970496E-3</v>
      </c>
      <c r="AG536">
        <v>9.0104651137272729E-3</v>
      </c>
      <c r="AH536">
        <v>-5.3200441887044647E-3</v>
      </c>
      <c r="AI536">
        <v>-4.1075660702607486E-3</v>
      </c>
      <c r="AJ536">
        <v>5.6000000000000494E-3</v>
      </c>
      <c r="AK536">
        <v>3.7264094242097645E-3</v>
      </c>
      <c r="AL536">
        <v>8.9118151740981144E-3</v>
      </c>
    </row>
    <row r="537" spans="1:38">
      <c r="A537" s="568">
        <v>44608</v>
      </c>
      <c r="B537">
        <v>4.1171729924501242E-4</v>
      </c>
      <c r="C537">
        <v>4.6565333415427013E-4</v>
      </c>
      <c r="D537">
        <v>4.8519352874487609E-4</v>
      </c>
      <c r="E537">
        <v>4.6078268727711702E-4</v>
      </c>
      <c r="F537">
        <v>4.8689321554062914E-4</v>
      </c>
      <c r="G537">
        <v>4.7390823868243004E-4</v>
      </c>
      <c r="H537">
        <v>5.1617767898415323E-4</v>
      </c>
      <c r="I537">
        <v>5.0164846955236264E-4</v>
      </c>
      <c r="J537">
        <v>-1.999803186047977E-6</v>
      </c>
      <c r="K537">
        <v>-3.4367943777602328E-4</v>
      </c>
      <c r="L537">
        <v>8.5486808203527609E-4</v>
      </c>
      <c r="M537">
        <v>8.731203316059144E-4</v>
      </c>
      <c r="N537">
        <v>8.7857975454630477E-4</v>
      </c>
      <c r="O537">
        <v>5.4612392438491142E-4</v>
      </c>
      <c r="P537">
        <v>5.3573019985209136E-4</v>
      </c>
      <c r="Q537">
        <v>5.4958248556946643E-4</v>
      </c>
      <c r="R537">
        <v>2.0388535804130026E-3</v>
      </c>
      <c r="S537">
        <v>-2.9650660018754049E-4</v>
      </c>
      <c r="T537">
        <v>-9.7919821271286178E-4</v>
      </c>
      <c r="U537">
        <v>-1.9567619796548863E-3</v>
      </c>
      <c r="V537">
        <v>2.823325008143307E-4</v>
      </c>
      <c r="W537">
        <v>4.5603534273741531E-5</v>
      </c>
      <c r="X537">
        <v>-7.1684469380173255E-4</v>
      </c>
      <c r="Y537">
        <v>2.823325008143307E-4</v>
      </c>
      <c r="Z537">
        <v>1.4069331128532259E-3</v>
      </c>
      <c r="AA537">
        <v>-2.5509076516483375E-4</v>
      </c>
      <c r="AC537">
        <v>3.0721552845303091E-3</v>
      </c>
      <c r="AD537">
        <v>2.3120920062225103E-4</v>
      </c>
      <c r="AE537">
        <v>3.2540554242663777E-3</v>
      </c>
      <c r="AF537">
        <v>3.4711535075881983E-3</v>
      </c>
      <c r="AG537">
        <v>7.6456890700615787E-4</v>
      </c>
      <c r="AH537">
        <v>-1.5478171175786759E-4</v>
      </c>
      <c r="AI537">
        <v>-8.1255806640478934E-4</v>
      </c>
      <c r="AJ537">
        <v>-6.6030230708035154E-3</v>
      </c>
      <c r="AK537">
        <v>1.2574850299401197E-2</v>
      </c>
      <c r="AL537">
        <v>7.1518708414353149E-3</v>
      </c>
    </row>
    <row r="538" spans="1:38">
      <c r="A538" s="568">
        <v>44609</v>
      </c>
      <c r="B538">
        <v>4.1171729924501242E-4</v>
      </c>
      <c r="C538">
        <v>4.5104037172905009E-4</v>
      </c>
      <c r="D538">
        <v>5.4571242084477944E-4</v>
      </c>
      <c r="E538">
        <v>4.6078268727711702E-4</v>
      </c>
      <c r="F538">
        <v>5.5452329618566054E-4</v>
      </c>
      <c r="G538">
        <v>5.303904939921722E-4</v>
      </c>
      <c r="H538">
        <v>5.2096933172407489E-4</v>
      </c>
      <c r="I538">
        <v>5.2768346806186806E-4</v>
      </c>
      <c r="J538">
        <v>-4.235424967775625E-4</v>
      </c>
      <c r="K538">
        <v>-1.2946411364098687E-3</v>
      </c>
      <c r="L538">
        <v>8.5486808203527609E-4</v>
      </c>
      <c r="M538">
        <v>8.731203316059144E-4</v>
      </c>
      <c r="N538">
        <v>8.7857975454630477E-4</v>
      </c>
      <c r="O538">
        <v>5.4612392438491142E-4</v>
      </c>
      <c r="P538">
        <v>5.3573019985209136E-4</v>
      </c>
      <c r="Q538">
        <v>5.4958248556946643E-4</v>
      </c>
      <c r="R538">
        <v>-2.878191415001119E-5</v>
      </c>
      <c r="S538">
        <v>-4.881041347586601E-3</v>
      </c>
      <c r="T538">
        <v>-4.5897364687014219E-3</v>
      </c>
      <c r="U538">
        <v>-1.7538765241664755E-3</v>
      </c>
      <c r="V538">
        <v>-3.1868031129831387E-3</v>
      </c>
      <c r="W538">
        <v>-7.6952454783307811E-4</v>
      </c>
      <c r="X538">
        <v>-3.139759188273139E-3</v>
      </c>
      <c r="Y538">
        <v>-3.1868031129831387E-3</v>
      </c>
      <c r="Z538">
        <v>-2.4029974293241496E-3</v>
      </c>
      <c r="AA538">
        <v>-1.5015307481989204E-3</v>
      </c>
      <c r="AC538">
        <v>-1.4346730079930814E-2</v>
      </c>
      <c r="AD538">
        <v>-1.1605475384496078E-2</v>
      </c>
      <c r="AE538">
        <v>-1.3281619299511216E-2</v>
      </c>
      <c r="AF538">
        <v>-5.4400962590150925E-3</v>
      </c>
      <c r="AG538">
        <v>-7.809743801703628E-3</v>
      </c>
      <c r="AH538">
        <v>6.5394841225576705E-3</v>
      </c>
      <c r="AI538">
        <v>-1.6601963385164398E-3</v>
      </c>
      <c r="AJ538">
        <v>-1.2132617922639533E-2</v>
      </c>
      <c r="AK538">
        <v>2.9568302779421352E-3</v>
      </c>
      <c r="AL538">
        <v>3.6663888778254439E-3</v>
      </c>
    </row>
    <row r="539" spans="1:38">
      <c r="A539" s="568">
        <v>44610</v>
      </c>
      <c r="B539">
        <v>4.1171729924501242E-4</v>
      </c>
      <c r="C539">
        <v>4.9120962403059742E-4</v>
      </c>
      <c r="D539">
        <v>5.6905837765164335E-4</v>
      </c>
      <c r="E539">
        <v>4.6078268727711702E-4</v>
      </c>
      <c r="F539">
        <v>4.9259046334926282E-4</v>
      </c>
      <c r="G539">
        <v>4.5403623801743009E-4</v>
      </c>
      <c r="H539">
        <v>5.1564274299176205E-4</v>
      </c>
      <c r="I539">
        <v>5.119167745422093E-4</v>
      </c>
      <c r="J539">
        <v>-7.0656449768491392E-4</v>
      </c>
      <c r="K539">
        <v>7.2418275044006108E-5</v>
      </c>
      <c r="L539">
        <v>8.5486808203527609E-4</v>
      </c>
      <c r="M539">
        <v>8.731203316059144E-4</v>
      </c>
      <c r="N539">
        <v>8.7857975454630477E-4</v>
      </c>
      <c r="O539">
        <v>5.4612392438491142E-4</v>
      </c>
      <c r="P539">
        <v>5.3573019985209136E-4</v>
      </c>
      <c r="Q539">
        <v>5.4958248556946643E-4</v>
      </c>
      <c r="R539">
        <v>-9.3984465542762408E-5</v>
      </c>
      <c r="S539">
        <v>-5.3630642754198821E-4</v>
      </c>
      <c r="T539">
        <v>-1.9841406817716623E-3</v>
      </c>
      <c r="U539">
        <v>-1.5645299680194791E-3</v>
      </c>
      <c r="V539">
        <v>-1.6892505100424282E-3</v>
      </c>
      <c r="W539">
        <v>-7.4678028790464701E-5</v>
      </c>
      <c r="X539">
        <v>-4.9285628555216787E-3</v>
      </c>
      <c r="Y539">
        <v>-1.6892505100424282E-3</v>
      </c>
      <c r="Z539">
        <v>-1.692660246395139E-4</v>
      </c>
      <c r="AA539">
        <v>-5.5294748564915785E-4</v>
      </c>
      <c r="AC539">
        <v>-5.7133681345860055E-3</v>
      </c>
      <c r="AD539">
        <v>-7.2713582780330466E-3</v>
      </c>
      <c r="AE539">
        <v>-8.554111080799176E-3</v>
      </c>
      <c r="AF539">
        <v>-1.170961275029514E-2</v>
      </c>
      <c r="AG539">
        <v>-3.8866736503423427E-3</v>
      </c>
      <c r="AH539">
        <v>-4.1964035468716743E-3</v>
      </c>
      <c r="AI539">
        <v>-4.5394431554834913E-4</v>
      </c>
      <c r="AJ539">
        <v>-1.341656195533214E-2</v>
      </c>
      <c r="AK539">
        <v>-1.7688679245283057E-2</v>
      </c>
      <c r="AL539">
        <v>-6.5480520912025719E-3</v>
      </c>
    </row>
    <row r="540" spans="1:38">
      <c r="A540" s="568">
        <v>44613</v>
      </c>
      <c r="B540">
        <v>4.1171729924501242E-4</v>
      </c>
      <c r="C540">
        <v>4.8274859920915958E-4</v>
      </c>
      <c r="D540">
        <v>6.1330978911167122E-4</v>
      </c>
      <c r="E540">
        <v>4.6078268727711702E-4</v>
      </c>
      <c r="F540">
        <v>4.1339037569354531E-4</v>
      </c>
      <c r="G540">
        <v>4.5729860852095072E-4</v>
      </c>
      <c r="H540">
        <v>5.1537699258563663E-4</v>
      </c>
      <c r="I540">
        <v>5.1243767664055362E-4</v>
      </c>
      <c r="J540">
        <v>7.3868009254240974E-4</v>
      </c>
      <c r="K540">
        <v>8.9335945606228151E-4</v>
      </c>
      <c r="L540">
        <v>8.5486808203527609E-4</v>
      </c>
      <c r="M540">
        <v>8.731203316059144E-4</v>
      </c>
      <c r="N540">
        <v>8.7857975454630477E-4</v>
      </c>
      <c r="O540">
        <v>5.4612392438491142E-4</v>
      </c>
      <c r="P540">
        <v>5.3573019985209136E-4</v>
      </c>
      <c r="Q540">
        <v>5.4958248556946643E-4</v>
      </c>
      <c r="R540">
        <v>-3.2897654808294874E-5</v>
      </c>
      <c r="S540">
        <v>9.7693511648055953E-4</v>
      </c>
      <c r="T540">
        <v>2.3386167836667582E-3</v>
      </c>
      <c r="U540">
        <v>1.2941660132732569E-3</v>
      </c>
      <c r="V540">
        <v>-1.5175647207412712E-3</v>
      </c>
      <c r="W540">
        <v>-1.8670901503647919E-5</v>
      </c>
      <c r="X540">
        <v>-3.4875051197057472E-3</v>
      </c>
      <c r="Y540">
        <v>-1.5175647207412712E-3</v>
      </c>
      <c r="Z540">
        <v>-9.8498723186457582E-5</v>
      </c>
      <c r="AA540">
        <v>-2.0688410962084181E-3</v>
      </c>
      <c r="AC540">
        <v>-1.0228131947375929E-2</v>
      </c>
      <c r="AD540">
        <v>-2.1041578233285896E-2</v>
      </c>
      <c r="AE540">
        <v>-1.1168768725833278E-2</v>
      </c>
      <c r="AF540">
        <v>-5.6942763811982378E-3</v>
      </c>
      <c r="AG540">
        <v>-5.7885712953104074E-3</v>
      </c>
      <c r="AH540">
        <v>-8.8841088824438419E-3</v>
      </c>
      <c r="AI540">
        <v>-1.031241769968827E-2</v>
      </c>
      <c r="AJ540">
        <v>-2.4239934264585039E-2</v>
      </c>
      <c r="AK540">
        <v>-1.4045618247298886E-2</v>
      </c>
      <c r="AL540">
        <v>-9.7722683228600449E-3</v>
      </c>
    </row>
    <row r="541" spans="1:38">
      <c r="A541" s="568">
        <v>44614</v>
      </c>
      <c r="B541">
        <v>4.1171729924501242E-4</v>
      </c>
      <c r="C541">
        <v>4.712903220511766E-4</v>
      </c>
      <c r="D541">
        <v>6.1883778721205651E-4</v>
      </c>
      <c r="E541">
        <v>4.6078268727711702E-4</v>
      </c>
      <c r="F541">
        <v>5.7726771792476761E-4</v>
      </c>
      <c r="G541">
        <v>4.4402226031614589E-4</v>
      </c>
      <c r="H541">
        <v>5.2710553410317829E-4</v>
      </c>
      <c r="I541">
        <v>5.1912941440046545E-4</v>
      </c>
      <c r="J541">
        <v>-1.2068567267341512E-3</v>
      </c>
      <c r="K541">
        <v>7.7573679407749729E-4</v>
      </c>
      <c r="L541">
        <v>8.5486808203527609E-4</v>
      </c>
      <c r="M541">
        <v>8.731203316059144E-4</v>
      </c>
      <c r="N541">
        <v>8.7857975454630477E-4</v>
      </c>
      <c r="O541">
        <v>5.4612392438491142E-4</v>
      </c>
      <c r="P541">
        <v>5.3573019985209136E-4</v>
      </c>
      <c r="Q541">
        <v>5.4958248556946643E-4</v>
      </c>
      <c r="R541">
        <v>-3.1606286713670162E-3</v>
      </c>
      <c r="S541">
        <v>2.1665477424361868E-3</v>
      </c>
      <c r="T541">
        <v>3.377832667720071E-3</v>
      </c>
      <c r="U541">
        <v>2.6423969015578752E-3</v>
      </c>
      <c r="V541">
        <v>2.4036302099896822E-3</v>
      </c>
      <c r="W541">
        <v>3.6331140844501064E-3</v>
      </c>
      <c r="X541">
        <v>-5.5748610269445997E-4</v>
      </c>
      <c r="Y541">
        <v>2.4036302099896822E-3</v>
      </c>
      <c r="Z541">
        <v>3.9578601791290247E-3</v>
      </c>
      <c r="AA541">
        <v>-3.8298710690889415E-3</v>
      </c>
      <c r="AC541">
        <v>1.0440786464659402E-2</v>
      </c>
      <c r="AD541">
        <v>1.386211981702079E-2</v>
      </c>
      <c r="AE541">
        <v>9.6094806990820736E-3</v>
      </c>
      <c r="AF541">
        <v>4.8588199298018608E-3</v>
      </c>
      <c r="AG541">
        <v>4.7844945953041673E-3</v>
      </c>
      <c r="AH541">
        <v>3.8206601923638228E-3</v>
      </c>
      <c r="AI541">
        <v>8.274220820803091E-3</v>
      </c>
      <c r="AJ541">
        <v>-4.631578947368431E-3</v>
      </c>
      <c r="AK541">
        <v>-2.0211859247534325E-2</v>
      </c>
      <c r="AL541">
        <v>-2.2778657421392512E-2</v>
      </c>
    </row>
    <row r="542" spans="1:38">
      <c r="A542" s="568">
        <v>44615</v>
      </c>
      <c r="B542">
        <v>4.1171729924501242E-4</v>
      </c>
      <c r="C542">
        <v>4.7437466524735683E-4</v>
      </c>
      <c r="D542">
        <v>4.4734737489160459E-4</v>
      </c>
      <c r="E542">
        <v>4.6078268727711702E-4</v>
      </c>
      <c r="F542">
        <v>4.5964802442211017E-4</v>
      </c>
      <c r="G542">
        <v>5.3578897058392805E-4</v>
      </c>
      <c r="H542">
        <v>5.179947986002631E-4</v>
      </c>
      <c r="I542">
        <v>5.2638341959476698E-4</v>
      </c>
      <c r="J542">
        <v>3.12302437619838E-3</v>
      </c>
      <c r="K542">
        <v>1.5156322595548666E-3</v>
      </c>
      <c r="L542">
        <v>8.5486808203527609E-4</v>
      </c>
      <c r="M542">
        <v>8.731203316059144E-4</v>
      </c>
      <c r="N542">
        <v>8.7857975454630477E-4</v>
      </c>
      <c r="O542">
        <v>5.4612392438491142E-4</v>
      </c>
      <c r="P542">
        <v>5.3573019985209136E-4</v>
      </c>
      <c r="Q542">
        <v>5.4958248556946643E-4</v>
      </c>
      <c r="R542">
        <v>-3.9362027518647924E-3</v>
      </c>
      <c r="S542">
        <v>2.1217163580966591E-4</v>
      </c>
      <c r="T542">
        <v>6.870007627690633E-3</v>
      </c>
      <c r="U542">
        <v>-1.2617243363244324E-4</v>
      </c>
      <c r="V542">
        <v>9.4703621263025894E-4</v>
      </c>
      <c r="W542">
        <v>1.315692239637789E-3</v>
      </c>
      <c r="X542">
        <v>1.9022848067873355E-4</v>
      </c>
      <c r="Y542">
        <v>9.4703621263025894E-4</v>
      </c>
      <c r="Z542">
        <v>1.1875831868410902E-3</v>
      </c>
      <c r="AA542">
        <v>-3.1078011125966754E-3</v>
      </c>
      <c r="AC542">
        <v>-7.8321897604609614E-3</v>
      </c>
      <c r="AD542">
        <v>-1.1941142402416949E-2</v>
      </c>
      <c r="AE542">
        <v>-7.0386719010057108E-3</v>
      </c>
      <c r="AF542">
        <v>-5.9405574578454967E-3</v>
      </c>
      <c r="AG542">
        <v>-2.4241911321547516E-3</v>
      </c>
      <c r="AH542">
        <v>-6.9031472948838379E-3</v>
      </c>
      <c r="AI542">
        <v>-1.5662210617027106E-2</v>
      </c>
      <c r="AJ542">
        <v>-1.8612521150592198E-2</v>
      </c>
      <c r="AK542">
        <v>3.1067478563440165E-3</v>
      </c>
      <c r="AL542">
        <v>-3.0740057378061403E-3</v>
      </c>
    </row>
    <row r="543" spans="1:38">
      <c r="A543" s="568">
        <v>44616</v>
      </c>
      <c r="B543">
        <v>4.1171729924501242E-4</v>
      </c>
      <c r="C543">
        <v>4.2015501332093308E-4</v>
      </c>
      <c r="D543">
        <v>3.6458056882082701E-4</v>
      </c>
      <c r="E543">
        <v>4.6078268727711702E-4</v>
      </c>
      <c r="F543">
        <v>4.9080899274334122E-4</v>
      </c>
      <c r="G543">
        <v>4.4758380673770581E-4</v>
      </c>
      <c r="H543">
        <v>5.0574512589718346E-4</v>
      </c>
      <c r="I543">
        <v>5.2242545255420936E-4</v>
      </c>
      <c r="J543">
        <v>-4.5659536108100252E-4</v>
      </c>
      <c r="K543">
        <v>4.5702260683100349E-4</v>
      </c>
      <c r="L543">
        <v>8.5486808203527609E-4</v>
      </c>
      <c r="M543">
        <v>8.731203316059144E-4</v>
      </c>
      <c r="N543">
        <v>8.7857975454630477E-4</v>
      </c>
      <c r="O543">
        <v>5.4612392438491142E-4</v>
      </c>
      <c r="P543">
        <v>5.3573019985209136E-4</v>
      </c>
      <c r="Q543">
        <v>5.4958248556946643E-4</v>
      </c>
      <c r="R543">
        <v>-5.3693967460567427E-3</v>
      </c>
      <c r="S543">
        <v>-7.170477584983459E-5</v>
      </c>
      <c r="T543">
        <v>1.524734516728854E-3</v>
      </c>
      <c r="U543">
        <v>-3.4266328378588229E-3</v>
      </c>
      <c r="V543">
        <v>-3.1215366671666356E-4</v>
      </c>
      <c r="W543">
        <v>-3.6616538908749163E-3</v>
      </c>
      <c r="X543">
        <v>5.3480067110982521E-3</v>
      </c>
      <c r="Y543">
        <v>-3.1215366671666356E-4</v>
      </c>
      <c r="Z543">
        <v>-5.8380517242759833E-3</v>
      </c>
      <c r="AA543">
        <v>3.862602836822937E-3</v>
      </c>
      <c r="AC543">
        <v>-3.7117120881340337E-3</v>
      </c>
      <c r="AD543">
        <v>1.9806340714467741E-3</v>
      </c>
      <c r="AE543">
        <v>-5.3042323360771304E-3</v>
      </c>
      <c r="AF543">
        <v>-4.133318767838845E-3</v>
      </c>
      <c r="AG543">
        <v>-6.848348556254269E-5</v>
      </c>
      <c r="AH543">
        <v>4.2368905759881947E-4</v>
      </c>
      <c r="AI543">
        <v>-8.3819874923085624E-4</v>
      </c>
      <c r="AJ543">
        <v>2.5862068965517349E-2</v>
      </c>
      <c r="AK543">
        <v>-2.874132804757179E-2</v>
      </c>
      <c r="AL543">
        <v>-4.3280065907537191E-3</v>
      </c>
    </row>
    <row r="544" spans="1:38">
      <c r="A544" s="568">
        <v>44617</v>
      </c>
      <c r="B544">
        <v>4.1171729924501242E-4</v>
      </c>
      <c r="C544">
        <v>4.533188621893558E-4</v>
      </c>
      <c r="D544">
        <v>3.8213413068777236E-4</v>
      </c>
      <c r="E544">
        <v>4.6078268727711702E-4</v>
      </c>
      <c r="F544">
        <v>4.2290363573371792E-4</v>
      </c>
      <c r="G544">
        <v>4.8644086046412127E-4</v>
      </c>
      <c r="H544">
        <v>5.1494376902283534E-4</v>
      </c>
      <c r="I544">
        <v>5.3719982909483655E-4</v>
      </c>
      <c r="J544">
        <v>6.1520369684897602E-4</v>
      </c>
      <c r="K544">
        <v>4.6334627896493785E-4</v>
      </c>
      <c r="L544">
        <v>8.5486808203527609E-4</v>
      </c>
      <c r="M544">
        <v>8.731203316059144E-4</v>
      </c>
      <c r="N544">
        <v>8.7857975454630477E-4</v>
      </c>
      <c r="O544">
        <v>5.4612392438491142E-4</v>
      </c>
      <c r="P544">
        <v>5.3573019985209136E-4</v>
      </c>
      <c r="Q544">
        <v>5.4958248556946643E-4</v>
      </c>
      <c r="R544">
        <v>7.9366637339914892E-3</v>
      </c>
      <c r="S544">
        <v>2.2550950416229121E-3</v>
      </c>
      <c r="T544">
        <v>3.9792276321004572E-4</v>
      </c>
      <c r="U544">
        <v>1.1749788636019609E-3</v>
      </c>
      <c r="V544">
        <v>2.1881785108284202E-3</v>
      </c>
      <c r="W544">
        <v>8.1738195357394794E-4</v>
      </c>
      <c r="X544">
        <v>-4.3555734848221839E-4</v>
      </c>
      <c r="Y544">
        <v>2.1881785108284202E-3</v>
      </c>
      <c r="Z544">
        <v>2.4663758422183157E-3</v>
      </c>
      <c r="AA544">
        <v>-2.6631062325677135E-4</v>
      </c>
      <c r="AC544">
        <v>1.3890528046532458E-2</v>
      </c>
      <c r="AD544">
        <v>-8.9735680543889806E-4</v>
      </c>
      <c r="AE544">
        <v>1.4536713968632542E-2</v>
      </c>
      <c r="AF544">
        <v>2.5312531700784069E-2</v>
      </c>
      <c r="AG544">
        <v>1.0663377259929385E-2</v>
      </c>
      <c r="AH544">
        <v>2.3444616466399282E-3</v>
      </c>
      <c r="AI544">
        <v>7.1714269534093322E-3</v>
      </c>
      <c r="AJ544">
        <v>3.1512605042016917E-2</v>
      </c>
      <c r="AK544">
        <v>1.913265306122236E-3</v>
      </c>
      <c r="AL544">
        <v>2.7339360118372236E-2</v>
      </c>
    </row>
    <row r="545" spans="1:38">
      <c r="A545" s="568">
        <v>44622</v>
      </c>
      <c r="B545">
        <v>4.1171729924501242E-4</v>
      </c>
      <c r="C545">
        <v>3.9214001329956893E-4</v>
      </c>
      <c r="D545">
        <v>4.2377648603042495E-4</v>
      </c>
      <c r="E545">
        <v>4.6078268727711702E-4</v>
      </c>
      <c r="F545">
        <v>3.8313307172499478E-4</v>
      </c>
      <c r="G545">
        <v>4.0502241996520638E-4</v>
      </c>
      <c r="H545">
        <v>5.2160831751058012E-4</v>
      </c>
      <c r="I545">
        <v>5.367724006288821E-4</v>
      </c>
      <c r="J545">
        <v>-8.3094188331422902E-4</v>
      </c>
      <c r="K545">
        <v>-9.3329286330567918E-4</v>
      </c>
      <c r="L545">
        <v>1.0566013164510224E-3</v>
      </c>
      <c r="M545">
        <v>1.0748572449621463E-3</v>
      </c>
      <c r="N545">
        <v>1.0803177683085252E-3</v>
      </c>
      <c r="O545">
        <v>5.4612392438491142E-4</v>
      </c>
      <c r="P545">
        <v>5.3573019985209136E-4</v>
      </c>
      <c r="Q545">
        <v>5.4958248556946643E-4</v>
      </c>
      <c r="R545">
        <v>-2.0411933184647513E-2</v>
      </c>
      <c r="S545">
        <v>-5.6496149922249383E-3</v>
      </c>
      <c r="T545">
        <v>-5.5748153929500166E-3</v>
      </c>
      <c r="U545">
        <v>-6.1781248058997429E-3</v>
      </c>
      <c r="V545">
        <v>-7.3424099045249491E-4</v>
      </c>
      <c r="W545">
        <v>7.6599321371384477E-5</v>
      </c>
      <c r="X545">
        <v>-4.9428222857982318E-3</v>
      </c>
      <c r="Y545">
        <v>-7.3424099045249491E-4</v>
      </c>
      <c r="Z545">
        <v>5.6548312025084257E-3</v>
      </c>
      <c r="AA545">
        <v>1.3305830530050411E-3</v>
      </c>
      <c r="AC545">
        <v>1.7956824852039865E-2</v>
      </c>
      <c r="AD545">
        <v>1.1716841929935606E-2</v>
      </c>
      <c r="AE545">
        <v>1.8964281762570367E-2</v>
      </c>
      <c r="AF545">
        <v>1.5192816359766104E-2</v>
      </c>
      <c r="AG545">
        <v>9.3349659732282486E-3</v>
      </c>
      <c r="AH545">
        <v>1.4310603814364775E-3</v>
      </c>
      <c r="AI545">
        <v>1.5858120227883798E-2</v>
      </c>
      <c r="AJ545">
        <v>-7.7393075356415597E-3</v>
      </c>
      <c r="AK545">
        <v>-3.8192234245703061E-3</v>
      </c>
      <c r="AL545">
        <v>-1.9395959837277488E-2</v>
      </c>
    </row>
    <row r="546" spans="1:38">
      <c r="A546" s="568">
        <v>44623</v>
      </c>
      <c r="B546">
        <v>4.1171729924501242E-4</v>
      </c>
      <c r="C546">
        <v>4.5531823561528739E-4</v>
      </c>
      <c r="D546">
        <v>3.7700666348561285E-4</v>
      </c>
      <c r="E546">
        <v>4.6078268727711702E-4</v>
      </c>
      <c r="F546">
        <v>4.2215070945239574E-4</v>
      </c>
      <c r="G546">
        <v>3.8729831797046366E-4</v>
      </c>
      <c r="H546">
        <v>5.2448455068732081E-4</v>
      </c>
      <c r="I546">
        <v>5.3784598222250679E-4</v>
      </c>
      <c r="J546">
        <v>-4.679756386251066E-4</v>
      </c>
      <c r="K546">
        <v>-4.165429041194102E-4</v>
      </c>
      <c r="L546">
        <v>1.0566013164510224E-3</v>
      </c>
      <c r="M546">
        <v>1.0748572449621463E-3</v>
      </c>
      <c r="N546">
        <v>1.0803177683085252E-3</v>
      </c>
      <c r="O546">
        <v>5.4612392438491142E-4</v>
      </c>
      <c r="P546">
        <v>5.3573019985209136E-4</v>
      </c>
      <c r="Q546">
        <v>5.4958248556946643E-4</v>
      </c>
      <c r="R546">
        <v>1.8929820492041838E-3</v>
      </c>
      <c r="S546">
        <v>4.6412334979089032E-3</v>
      </c>
      <c r="T546">
        <v>3.0316510952035358E-3</v>
      </c>
      <c r="U546">
        <v>2.2228494761828976E-3</v>
      </c>
      <c r="V546">
        <v>5.1482975570960043E-4</v>
      </c>
      <c r="W546">
        <v>5.3004740513797888E-3</v>
      </c>
      <c r="X546">
        <v>-3.0750201195031135E-3</v>
      </c>
      <c r="Y546">
        <v>5.1482975570960043E-4</v>
      </c>
      <c r="Z546">
        <v>7.424980966258321E-3</v>
      </c>
      <c r="AA546">
        <v>-1.2905213353047174E-3</v>
      </c>
      <c r="AC546">
        <v>-6.9981309086308841E-5</v>
      </c>
      <c r="AD546">
        <v>-7.6895097404233725E-3</v>
      </c>
      <c r="AE546">
        <v>-4.4905960874441764E-4</v>
      </c>
      <c r="AF546">
        <v>3.6315524239964869E-3</v>
      </c>
      <c r="AG546">
        <v>2.8968759251706278E-3</v>
      </c>
      <c r="AH546">
        <v>-2.7224992605312526E-4</v>
      </c>
      <c r="AI546">
        <v>1.3406523792960368E-3</v>
      </c>
      <c r="AJ546">
        <v>-1.7241379310344751E-2</v>
      </c>
      <c r="AK546">
        <v>-9.329073482428174E-3</v>
      </c>
      <c r="AL546">
        <v>-7.3722622722078857E-3</v>
      </c>
    </row>
    <row r="547" spans="1:38">
      <c r="A547" s="568">
        <v>44624</v>
      </c>
      <c r="B547">
        <v>4.1171729924501242E-4</v>
      </c>
      <c r="C547">
        <v>4.5746751829311982E-4</v>
      </c>
      <c r="D547">
        <v>3.5652246064743487E-4</v>
      </c>
      <c r="E547">
        <v>4.6078268727711702E-4</v>
      </c>
      <c r="F547">
        <v>4.3268672080332138E-4</v>
      </c>
      <c r="G547">
        <v>4.5869148104249469E-4</v>
      </c>
      <c r="H547">
        <v>5.1351145552169797E-4</v>
      </c>
      <c r="I547">
        <v>5.3723996238219662E-4</v>
      </c>
      <c r="J547">
        <v>-1.5719215758397409E-3</v>
      </c>
      <c r="K547">
        <v>-2.0847126655643144E-3</v>
      </c>
      <c r="L547">
        <v>1.0566013164510224E-3</v>
      </c>
      <c r="M547">
        <v>1.0748572449621463E-3</v>
      </c>
      <c r="N547">
        <v>1.0803177683085252E-3</v>
      </c>
      <c r="O547">
        <v>5.4612392438491142E-4</v>
      </c>
      <c r="P547">
        <v>5.3573019985209136E-4</v>
      </c>
      <c r="Q547">
        <v>5.4958248556946643E-4</v>
      </c>
      <c r="R547">
        <v>-5.5455432702108398E-3</v>
      </c>
      <c r="S547">
        <v>7.6780280721939764E-3</v>
      </c>
      <c r="T547">
        <v>6.2225659895949192E-3</v>
      </c>
      <c r="U547">
        <v>-1.9165387723558691E-3</v>
      </c>
      <c r="V547">
        <v>-2.6767034995240913E-3</v>
      </c>
      <c r="W547">
        <v>-6.9445802930423461E-4</v>
      </c>
      <c r="X547">
        <v>-2.7978760075183517E-3</v>
      </c>
      <c r="Y547">
        <v>-2.6767034995240913E-3</v>
      </c>
      <c r="Z547">
        <v>7.8980371569392638E-4</v>
      </c>
      <c r="AA547">
        <v>-3.1621045511572854E-3</v>
      </c>
      <c r="AC547">
        <v>-6.006744204321568E-3</v>
      </c>
      <c r="AD547">
        <v>-1.5585155042657561E-2</v>
      </c>
      <c r="AE547">
        <v>-7.3062764510907208E-3</v>
      </c>
      <c r="AF547">
        <v>-5.7726712671646307E-3</v>
      </c>
      <c r="AG547">
        <v>-1.2541237710758213E-2</v>
      </c>
      <c r="AH547">
        <v>-1.1176812404867231E-4</v>
      </c>
      <c r="AI547">
        <v>-1.3619991484446814E-2</v>
      </c>
      <c r="AJ547">
        <v>-1.2531328320802837E-3</v>
      </c>
      <c r="AK547">
        <v>-3.0572755417956565E-2</v>
      </c>
      <c r="AL547">
        <v>-1.4569785385576406E-4</v>
      </c>
    </row>
    <row r="548" spans="1:38">
      <c r="A548" s="568">
        <v>44627</v>
      </c>
      <c r="B548">
        <v>4.1171729924501242E-4</v>
      </c>
      <c r="C548">
        <v>4.509524088591732E-4</v>
      </c>
      <c r="D548">
        <v>3.5157924366036042E-4</v>
      </c>
      <c r="E548">
        <v>4.6078268727711702E-4</v>
      </c>
      <c r="F548">
        <v>4.4856385423863721E-4</v>
      </c>
      <c r="G548">
        <v>3.397404025329287E-4</v>
      </c>
      <c r="H548">
        <v>5.2142464030180413E-4</v>
      </c>
      <c r="I548">
        <v>5.3461958224376716E-4</v>
      </c>
      <c r="J548">
        <v>-1.1847182771471676E-3</v>
      </c>
      <c r="K548">
        <v>-6.9324006635107516E-4</v>
      </c>
      <c r="L548">
        <v>1.0566013164510224E-3</v>
      </c>
      <c r="M548">
        <v>1.0748572449621463E-3</v>
      </c>
      <c r="N548">
        <v>1.0803177683085252E-3</v>
      </c>
      <c r="O548">
        <v>5.4612392438491142E-4</v>
      </c>
      <c r="P548">
        <v>5.3573019985209136E-4</v>
      </c>
      <c r="Q548">
        <v>5.4958248556946643E-4</v>
      </c>
      <c r="R548">
        <v>-8.3495844255578877E-3</v>
      </c>
      <c r="S548">
        <v>1.4899117100803938E-3</v>
      </c>
      <c r="T548">
        <v>5.9738617715296982E-3</v>
      </c>
      <c r="U548">
        <v>2.900984568397158E-3</v>
      </c>
      <c r="V548">
        <v>-1.6907522151762278E-3</v>
      </c>
      <c r="W548">
        <v>3.9537949476939893E-3</v>
      </c>
      <c r="X548">
        <v>3.038307850265376E-3</v>
      </c>
      <c r="Y548">
        <v>-1.6907522151762278E-3</v>
      </c>
      <c r="Z548">
        <v>1.6331488415251005E-3</v>
      </c>
      <c r="AA548">
        <v>2.285127269707754E-4</v>
      </c>
      <c r="AC548">
        <v>-2.5161395037361367E-2</v>
      </c>
      <c r="AD548">
        <v>-3.9688316918267685E-2</v>
      </c>
      <c r="AE548">
        <v>-2.8355197272150523E-2</v>
      </c>
      <c r="AF548">
        <v>-1.4502470125993372E-2</v>
      </c>
      <c r="AG548">
        <v>-2.3790361350238376E-2</v>
      </c>
      <c r="AH548">
        <v>-1.1689833941024297E-3</v>
      </c>
      <c r="AI548">
        <v>-8.0033471708190751E-3</v>
      </c>
      <c r="AJ548">
        <v>-2.1329987452948562E-2</v>
      </c>
      <c r="AK548">
        <v>-3.7791084497671323E-2</v>
      </c>
      <c r="AL548">
        <v>-3.1480996738968092E-2</v>
      </c>
    </row>
    <row r="549" spans="1:38">
      <c r="A549" s="568">
        <v>44628</v>
      </c>
      <c r="B549">
        <v>4.1171729924501242E-4</v>
      </c>
      <c r="C549">
        <v>4.4258734799096366E-4</v>
      </c>
      <c r="D549">
        <v>3.889014897013876E-4</v>
      </c>
      <c r="E549">
        <v>4.6078268727711702E-4</v>
      </c>
      <c r="F549">
        <v>4.9776909689680515E-4</v>
      </c>
      <c r="G549">
        <v>5.0004779021817214E-4</v>
      </c>
      <c r="H549">
        <v>5.1738098351417072E-4</v>
      </c>
      <c r="I549">
        <v>5.3562118882166665E-4</v>
      </c>
      <c r="J549">
        <v>-3.3175709734245551E-4</v>
      </c>
      <c r="K549">
        <v>1.7346826417321548E-3</v>
      </c>
      <c r="L549">
        <v>1.0566013164510224E-3</v>
      </c>
      <c r="M549">
        <v>1.0748572449621463E-3</v>
      </c>
      <c r="N549">
        <v>1.0803177683085252E-3</v>
      </c>
      <c r="O549">
        <v>5.4612392438491142E-4</v>
      </c>
      <c r="P549">
        <v>5.3573019985209136E-4</v>
      </c>
      <c r="Q549">
        <v>5.4958248556946643E-4</v>
      </c>
      <c r="R549">
        <v>-3.0123292073369612E-4</v>
      </c>
      <c r="S549">
        <v>4.8087486916292832E-3</v>
      </c>
      <c r="T549">
        <v>3.1340809636288824E-3</v>
      </c>
      <c r="U549">
        <v>3.0596205342747762E-3</v>
      </c>
      <c r="V549">
        <v>4.4936622862357112E-3</v>
      </c>
      <c r="W549">
        <v>4.7833386698192815E-3</v>
      </c>
      <c r="X549">
        <v>5.5196323488859722E-3</v>
      </c>
      <c r="Y549">
        <v>4.4936622862357112E-3</v>
      </c>
      <c r="Z549">
        <v>4.8646906091676101E-4</v>
      </c>
      <c r="AA549">
        <v>3.315404246515774E-3</v>
      </c>
      <c r="AC549">
        <v>-3.4949180713638173E-3</v>
      </c>
      <c r="AD549">
        <v>1.162257068692707E-2</v>
      </c>
      <c r="AE549">
        <v>1.0952167295548154E-3</v>
      </c>
      <c r="AF549">
        <v>-7.8169089210807785E-3</v>
      </c>
      <c r="AG549">
        <v>6.2424871648008029E-3</v>
      </c>
      <c r="AH549">
        <v>-3.3507042359778305E-3</v>
      </c>
      <c r="AI549">
        <v>4.7702097752997386E-3</v>
      </c>
      <c r="AJ549">
        <v>-1.538461538461533E-2</v>
      </c>
      <c r="AK549">
        <v>-2.0190844973032918E-2</v>
      </c>
      <c r="AL549">
        <v>-3.03253525672742E-2</v>
      </c>
    </row>
    <row r="550" spans="1:38">
      <c r="A550" s="568">
        <v>44629</v>
      </c>
      <c r="B550">
        <v>4.1171729924501242E-4</v>
      </c>
      <c r="C550">
        <v>4.4238329381673935E-4</v>
      </c>
      <c r="D550">
        <v>3.7591673150294547E-4</v>
      </c>
      <c r="E550">
        <v>4.6078268727711702E-4</v>
      </c>
      <c r="F550">
        <v>4.2838695234581614E-4</v>
      </c>
      <c r="G550">
        <v>5.4468671040575067E-4</v>
      </c>
      <c r="H550">
        <v>5.1397180192358505E-4</v>
      </c>
      <c r="I550">
        <v>5.7291215304466903E-4</v>
      </c>
      <c r="J550">
        <v>3.4424955276883829E-3</v>
      </c>
      <c r="K550">
        <v>2.7390145836230229E-3</v>
      </c>
      <c r="L550">
        <v>1.0566013164510224E-3</v>
      </c>
      <c r="M550">
        <v>1.0748572449621463E-3</v>
      </c>
      <c r="N550">
        <v>1.0803177683085252E-3</v>
      </c>
      <c r="O550">
        <v>5.4612392438491142E-4</v>
      </c>
      <c r="P550">
        <v>5.3573019985209136E-4</v>
      </c>
      <c r="Q550">
        <v>5.4958248556946643E-4</v>
      </c>
      <c r="R550">
        <v>4.4137210852777109E-3</v>
      </c>
      <c r="S550">
        <v>-6.9355830675960073E-3</v>
      </c>
      <c r="T550">
        <v>2.9803181954961566E-3</v>
      </c>
      <c r="U550">
        <v>3.1145731345683103E-3</v>
      </c>
      <c r="V550">
        <v>5.5871184672020568E-3</v>
      </c>
      <c r="W550">
        <v>1.392116108407393E-3</v>
      </c>
      <c r="X550">
        <v>5.4187730424586356E-3</v>
      </c>
      <c r="Y550">
        <v>5.5871184672020568E-3</v>
      </c>
      <c r="Z550">
        <v>6.569955250324E-4</v>
      </c>
      <c r="AA550">
        <v>3.9716271519218971E-4</v>
      </c>
      <c r="AC550">
        <v>2.4251855495490471E-2</v>
      </c>
      <c r="AD550">
        <v>3.7325151067953088E-2</v>
      </c>
      <c r="AE550">
        <v>2.0574312437933617E-2</v>
      </c>
      <c r="AF550">
        <v>2.4530770367208854E-2</v>
      </c>
      <c r="AG550">
        <v>2.6041670098273073E-2</v>
      </c>
      <c r="AH550">
        <v>-1.5333535478077032E-3</v>
      </c>
      <c r="AI550">
        <v>1.8125316513291301E-2</v>
      </c>
      <c r="AJ550">
        <v>1.5625E-2</v>
      </c>
      <c r="AK550">
        <v>1.2702893436837837E-3</v>
      </c>
      <c r="AL550">
        <v>1.3858743053032363E-3</v>
      </c>
    </row>
    <row r="551" spans="1:38">
      <c r="A551" s="568">
        <v>44630</v>
      </c>
      <c r="B551">
        <v>4.1171729924501242E-4</v>
      </c>
      <c r="C551">
        <v>5.0706938212297104E-4</v>
      </c>
      <c r="D551">
        <v>3.7149922118806522E-4</v>
      </c>
      <c r="E551">
        <v>4.6078268727711702E-4</v>
      </c>
      <c r="F551">
        <v>6.0754715894573152E-4</v>
      </c>
      <c r="G551">
        <v>3.7758662768161422E-4</v>
      </c>
      <c r="H551">
        <v>5.149637798340656E-4</v>
      </c>
      <c r="I551">
        <v>5.3531570022835595E-4</v>
      </c>
      <c r="J551">
        <v>5.83771064489369E-4</v>
      </c>
      <c r="K551">
        <v>4.7750086058928609E-4</v>
      </c>
      <c r="L551">
        <v>1.0566013164510224E-3</v>
      </c>
      <c r="M551">
        <v>1.0748572449621463E-3</v>
      </c>
      <c r="N551">
        <v>1.0803177683085252E-3</v>
      </c>
      <c r="O551">
        <v>5.4612392438491142E-4</v>
      </c>
      <c r="P551">
        <v>5.3573019985209136E-4</v>
      </c>
      <c r="Q551">
        <v>5.4958248556946643E-4</v>
      </c>
      <c r="R551">
        <v>-2.1564746770600385E-3</v>
      </c>
      <c r="S551">
        <v>8.8462809857723368E-3</v>
      </c>
      <c r="T551">
        <v>6.0491033423781815E-3</v>
      </c>
      <c r="U551">
        <v>3.3834513590802473E-3</v>
      </c>
      <c r="V551">
        <v>2.8657149514412783E-3</v>
      </c>
      <c r="W551">
        <v>3.9354458370051137E-3</v>
      </c>
      <c r="X551">
        <v>3.82230436249964E-3</v>
      </c>
      <c r="Y551">
        <v>2.8657149514412783E-3</v>
      </c>
      <c r="Z551">
        <v>4.1872240146247908E-3</v>
      </c>
      <c r="AA551">
        <v>-5.3255801880469633E-3</v>
      </c>
      <c r="AC551">
        <v>-2.0826101133674113E-3</v>
      </c>
      <c r="AD551">
        <v>-8.6412116991574361E-3</v>
      </c>
      <c r="AE551">
        <v>-7.8307726315851589E-4</v>
      </c>
      <c r="AF551">
        <v>-7.1430986203441238E-3</v>
      </c>
      <c r="AG551">
        <v>-3.2112490217062195E-4</v>
      </c>
      <c r="AH551">
        <v>3.980038962038801E-3</v>
      </c>
      <c r="AI551">
        <v>7.2453584720455488E-4</v>
      </c>
      <c r="AJ551">
        <v>-2.564102564102555E-3</v>
      </c>
      <c r="AK551">
        <v>-1.1277135607555833E-3</v>
      </c>
      <c r="AL551">
        <v>2.8305789362536471E-2</v>
      </c>
    </row>
    <row r="552" spans="1:38">
      <c r="A552" s="568">
        <v>44631</v>
      </c>
      <c r="B552">
        <v>4.1171729924501242E-4</v>
      </c>
      <c r="C552">
        <v>5.178996360002408E-4</v>
      </c>
      <c r="D552">
        <v>4.0342122572711858E-4</v>
      </c>
      <c r="E552">
        <v>4.6078268727711702E-4</v>
      </c>
      <c r="F552">
        <v>6.433540905808055E-4</v>
      </c>
      <c r="G552">
        <v>4.0504255423612356E-4</v>
      </c>
      <c r="H552">
        <v>5.1281568450223247E-4</v>
      </c>
      <c r="I552">
        <v>5.3403818287178773E-4</v>
      </c>
      <c r="J552">
        <v>9.6664218993702811E-4</v>
      </c>
      <c r="K552">
        <v>1.0718583968010176E-3</v>
      </c>
      <c r="L552">
        <v>1.0566013164510224E-3</v>
      </c>
      <c r="M552">
        <v>1.0748572449621463E-3</v>
      </c>
      <c r="N552">
        <v>1.0803177683085252E-3</v>
      </c>
      <c r="O552">
        <v>5.4612392438491142E-4</v>
      </c>
      <c r="P552">
        <v>5.3573019985209136E-4</v>
      </c>
      <c r="Q552">
        <v>5.4958248556946643E-4</v>
      </c>
      <c r="R552">
        <v>9.2750490226500837E-4</v>
      </c>
      <c r="S552">
        <v>2.4253295881715431E-3</v>
      </c>
      <c r="T552">
        <v>2.018225632094417E-3</v>
      </c>
      <c r="U552">
        <v>2.2664345157208388E-4</v>
      </c>
      <c r="V552">
        <v>-2.8000402400991664E-3</v>
      </c>
      <c r="W552">
        <v>2.3595292726401595E-3</v>
      </c>
      <c r="X552">
        <v>5.2577424336930356E-4</v>
      </c>
      <c r="Y552">
        <v>-2.8000402400991664E-3</v>
      </c>
      <c r="Z552">
        <v>3.3448408948995034E-3</v>
      </c>
      <c r="AA552">
        <v>-1.7143708297500115E-3</v>
      </c>
      <c r="AC552">
        <v>-1.7156486892451417E-2</v>
      </c>
      <c r="AD552">
        <v>-2.9293380374783795E-2</v>
      </c>
      <c r="AE552">
        <v>-1.9223782307448034E-2</v>
      </c>
      <c r="AF552">
        <v>-2.5313403875075635E-2</v>
      </c>
      <c r="AG552">
        <v>-1.7235754901165024E-2</v>
      </c>
      <c r="AH552">
        <v>-1.0492165016893207E-3</v>
      </c>
      <c r="AI552">
        <v>-1.0734532062504076E-2</v>
      </c>
      <c r="AJ552">
        <v>-2.1422450728370013E-4</v>
      </c>
      <c r="AK552">
        <v>-3.5280835450183456E-2</v>
      </c>
      <c r="AL552">
        <v>-1.9773361217925167E-3</v>
      </c>
    </row>
    <row r="553" spans="1:38">
      <c r="A553" s="568">
        <v>44634</v>
      </c>
      <c r="B553">
        <v>4.1171729924501242E-4</v>
      </c>
      <c r="C553">
        <v>4.2845183360884498E-4</v>
      </c>
      <c r="D553">
        <v>4.1714559182337574E-4</v>
      </c>
      <c r="E553">
        <v>4.6078268727711702E-4</v>
      </c>
      <c r="F553">
        <v>5.1846060746996159E-4</v>
      </c>
      <c r="G553">
        <v>4.0859223220279794E-4</v>
      </c>
      <c r="H553">
        <v>5.144349183365815E-4</v>
      </c>
      <c r="I553">
        <v>5.5406393248191854E-4</v>
      </c>
      <c r="J553">
        <v>-1.125246831018778E-3</v>
      </c>
      <c r="K553">
        <v>-4.3965573829107818E-4</v>
      </c>
      <c r="L553">
        <v>1.0566013164510224E-3</v>
      </c>
      <c r="M553">
        <v>1.0748572449621463E-3</v>
      </c>
      <c r="N553">
        <v>1.0803177683085252E-3</v>
      </c>
      <c r="O553">
        <v>5.4612392438491142E-4</v>
      </c>
      <c r="P553">
        <v>5.3573019985209136E-4</v>
      </c>
      <c r="Q553">
        <v>5.4958248556946643E-4</v>
      </c>
      <c r="R553">
        <v>-5.6401332326426745E-3</v>
      </c>
      <c r="S553">
        <v>-2.0588261900427174E-3</v>
      </c>
      <c r="T553">
        <v>-1.5700953041475341E-4</v>
      </c>
      <c r="U553">
        <v>4.0579732706371718E-3</v>
      </c>
      <c r="V553">
        <v>-3.9152104725881376E-4</v>
      </c>
      <c r="W553">
        <v>6.5222084491738386E-3</v>
      </c>
      <c r="X553">
        <v>5.5655251508510695E-3</v>
      </c>
      <c r="Y553">
        <v>-3.9152104725881376E-4</v>
      </c>
      <c r="Z553">
        <v>4.1364803135288675E-3</v>
      </c>
      <c r="AA553">
        <v>2.8334681533448425E-4</v>
      </c>
      <c r="AC553">
        <v>-1.5982462929360119E-2</v>
      </c>
      <c r="AD553">
        <v>-1.6633715264260052E-2</v>
      </c>
      <c r="AE553">
        <v>-1.4974331916739914E-2</v>
      </c>
      <c r="AF553">
        <v>-1.3733929668154121E-2</v>
      </c>
      <c r="AG553">
        <v>-1.1604215063920731E-2</v>
      </c>
      <c r="AH553">
        <v>4.4255379598734379E-6</v>
      </c>
      <c r="AI553">
        <v>-8.7315312861965255E-3</v>
      </c>
      <c r="AJ553">
        <v>4.4996785943862694E-3</v>
      </c>
      <c r="AK553">
        <v>-7.6360444704505537E-2</v>
      </c>
      <c r="AL553">
        <v>-4.7847815444207464E-3</v>
      </c>
    </row>
    <row r="554" spans="1:38">
      <c r="A554" s="568">
        <v>44635</v>
      </c>
      <c r="B554">
        <v>4.1171729924501242E-4</v>
      </c>
      <c r="C554">
        <v>4.4837793159713257E-4</v>
      </c>
      <c r="D554">
        <v>4.4900532773373136E-4</v>
      </c>
      <c r="E554">
        <v>4.6078268727711702E-4</v>
      </c>
      <c r="F554">
        <v>4.2375125801141778E-4</v>
      </c>
      <c r="G554">
        <v>4.7559766788318747E-4</v>
      </c>
      <c r="H554">
        <v>5.2357596742402812E-4</v>
      </c>
      <c r="I554">
        <v>5.478011445987363E-4</v>
      </c>
      <c r="J554">
        <v>2.1052960993468428E-3</v>
      </c>
      <c r="K554">
        <v>2.0593727260758143E-3</v>
      </c>
      <c r="L554">
        <v>1.0566013164510224E-3</v>
      </c>
      <c r="M554">
        <v>1.0748572449621463E-3</v>
      </c>
      <c r="N554">
        <v>1.0803177683085252E-3</v>
      </c>
      <c r="O554">
        <v>5.4612392438491142E-4</v>
      </c>
      <c r="P554">
        <v>5.3573019985209136E-4</v>
      </c>
      <c r="Q554">
        <v>5.4958248556946643E-4</v>
      </c>
      <c r="R554">
        <v>-5.7785229728402054E-4</v>
      </c>
      <c r="S554">
        <v>-1.2940970991591749E-3</v>
      </c>
      <c r="T554">
        <v>-5.2019009326298438E-4</v>
      </c>
      <c r="U554">
        <v>6.1644660594728506E-4</v>
      </c>
      <c r="V554">
        <v>3.724511127878305E-4</v>
      </c>
      <c r="W554">
        <v>-2.5381042913648066E-3</v>
      </c>
      <c r="X554">
        <v>2.1483349422544151E-3</v>
      </c>
      <c r="Y554">
        <v>3.724511127878305E-4</v>
      </c>
      <c r="Z554">
        <v>-5.6342986725227417E-3</v>
      </c>
      <c r="AA554">
        <v>4.7231880930369563E-3</v>
      </c>
      <c r="AC554">
        <v>-8.8087052189430581E-3</v>
      </c>
      <c r="AD554">
        <v>7.685283488142014E-3</v>
      </c>
      <c r="AE554">
        <v>-5.6327640411251156E-3</v>
      </c>
      <c r="AF554">
        <v>9.5151137898896732E-3</v>
      </c>
      <c r="AG554">
        <v>7.4963720499110487E-4</v>
      </c>
      <c r="AH554">
        <v>-1.1649833524919329E-3</v>
      </c>
      <c r="AI554">
        <v>-1.0467220909557984E-3</v>
      </c>
      <c r="AJ554">
        <v>2.4530716723549562E-2</v>
      </c>
      <c r="AK554">
        <v>-6.1133987963256198E-2</v>
      </c>
      <c r="AL554">
        <v>-2.4393026205870472E-2</v>
      </c>
    </row>
    <row r="555" spans="1:38">
      <c r="A555" s="568">
        <v>44636</v>
      </c>
      <c r="B555">
        <v>4.1171729924501242E-4</v>
      </c>
      <c r="C555">
        <v>4.293038545508665E-4</v>
      </c>
      <c r="D555">
        <v>3.8529887345450931E-4</v>
      </c>
      <c r="E555">
        <v>4.6078268727711702E-4</v>
      </c>
      <c r="F555">
        <v>5.1263676299240224E-4</v>
      </c>
      <c r="G555">
        <v>6.4587281879879832E-4</v>
      </c>
      <c r="H555">
        <v>5.1515476264341054E-4</v>
      </c>
      <c r="I555">
        <v>5.3775936372879585E-4</v>
      </c>
      <c r="J555">
        <v>-1.7474746333800972E-4</v>
      </c>
      <c r="K555">
        <v>-1.6391747415078761E-4</v>
      </c>
      <c r="L555">
        <v>1.0566013164510224E-3</v>
      </c>
      <c r="M555">
        <v>1.0748572449621463E-3</v>
      </c>
      <c r="N555">
        <v>1.0803177683085252E-3</v>
      </c>
      <c r="O555">
        <v>5.4612392438491142E-4</v>
      </c>
      <c r="P555">
        <v>5.3573019985209136E-4</v>
      </c>
      <c r="Q555">
        <v>5.4958248556946643E-4</v>
      </c>
      <c r="R555">
        <v>7.4680880874635758E-3</v>
      </c>
      <c r="S555">
        <v>5.0053999104104907E-3</v>
      </c>
      <c r="T555">
        <v>3.0527201372687607E-4</v>
      </c>
      <c r="U555">
        <v>5.2959653074315938E-3</v>
      </c>
      <c r="V555">
        <v>4.1074469694968307E-3</v>
      </c>
      <c r="W555">
        <v>4.8332052050212848E-3</v>
      </c>
      <c r="X555">
        <v>2.6739404063385042E-3</v>
      </c>
      <c r="Y555">
        <v>4.1074469694968307E-3</v>
      </c>
      <c r="Z555">
        <v>4.842797993272141E-3</v>
      </c>
      <c r="AA555">
        <v>-4.3073956630449439E-3</v>
      </c>
      <c r="AC555">
        <v>1.9760864836686709E-2</v>
      </c>
      <c r="AD555">
        <v>2.2983750860218422E-2</v>
      </c>
      <c r="AE555">
        <v>1.4382568547382402E-2</v>
      </c>
      <c r="AF555">
        <v>1.5057639942630319E-2</v>
      </c>
      <c r="AG555">
        <v>1.1301772520729392E-2</v>
      </c>
      <c r="AH555">
        <v>-2.3440407275443498E-4</v>
      </c>
      <c r="AI555">
        <v>5.9586419157375836E-3</v>
      </c>
      <c r="AJ555">
        <v>1.1867582760774598E-2</v>
      </c>
      <c r="AK555">
        <v>0.14439946018893401</v>
      </c>
      <c r="AL555">
        <v>9.8598642452094598E-3</v>
      </c>
    </row>
    <row r="556" spans="1:38">
      <c r="A556" s="568">
        <v>44637</v>
      </c>
      <c r="B556">
        <v>4.4832723359127799E-4</v>
      </c>
      <c r="C556">
        <v>4.6354768588918738E-4</v>
      </c>
      <c r="D556">
        <v>5.2331387309867416E-4</v>
      </c>
      <c r="E556">
        <v>4.9650180668270316E-4</v>
      </c>
      <c r="F556">
        <v>3.9751041157298772E-4</v>
      </c>
      <c r="G556">
        <v>5.4816521800327145E-4</v>
      </c>
      <c r="H556">
        <v>5.1802144621304613E-4</v>
      </c>
      <c r="I556">
        <v>5.1426700607692943E-4</v>
      </c>
      <c r="J556">
        <v>3.8991112239379344E-3</v>
      </c>
      <c r="K556">
        <v>4.4527771785138892E-3</v>
      </c>
      <c r="L556">
        <v>1.0566013164510224E-3</v>
      </c>
      <c r="M556">
        <v>1.0748572449621463E-3</v>
      </c>
      <c r="N556">
        <v>1.0803177683085252E-3</v>
      </c>
      <c r="O556">
        <v>5.4612392438491142E-4</v>
      </c>
      <c r="P556">
        <v>5.3573019985209136E-4</v>
      </c>
      <c r="Q556">
        <v>5.4958248556946643E-4</v>
      </c>
      <c r="R556">
        <v>8.0595058868826452E-3</v>
      </c>
      <c r="S556">
        <v>7.7738921779109127E-3</v>
      </c>
      <c r="T556">
        <v>6.4804891088867667E-3</v>
      </c>
      <c r="U556">
        <v>-5.2883314475837828E-4</v>
      </c>
      <c r="V556">
        <v>4.0930370526304216E-3</v>
      </c>
      <c r="W556">
        <v>-7.8968704883097818E-4</v>
      </c>
      <c r="X556">
        <v>2.0850803335206169E-3</v>
      </c>
      <c r="Y556">
        <v>4.0930370526304216E-3</v>
      </c>
      <c r="Z556">
        <v>-2.5278294682219427E-3</v>
      </c>
      <c r="AA556">
        <v>3.8612740119794431E-3</v>
      </c>
      <c r="AC556">
        <v>1.7674890199053328E-2</v>
      </c>
      <c r="AD556">
        <v>1.1817161566889611E-2</v>
      </c>
      <c r="AE556">
        <v>1.6130791760743834E-2</v>
      </c>
      <c r="AF556">
        <v>1.0003315762848075E-2</v>
      </c>
      <c r="AG556">
        <v>1.2341112783428088E-2</v>
      </c>
      <c r="AH556">
        <v>1.1898293465266274E-2</v>
      </c>
      <c r="AI556">
        <v>1.3086540178028461E-2</v>
      </c>
      <c r="AJ556">
        <v>-1.6460905349794386E-3</v>
      </c>
      <c r="AK556">
        <v>5.984669811320753E-2</v>
      </c>
      <c r="AL556">
        <v>1.249224926983783E-2</v>
      </c>
    </row>
    <row r="557" spans="1:38">
      <c r="A557" s="568">
        <v>44638</v>
      </c>
      <c r="B557">
        <v>4.4832723359127799E-4</v>
      </c>
      <c r="C557">
        <v>4.8325094003853764E-4</v>
      </c>
      <c r="D557">
        <v>3.9081390060546894E-4</v>
      </c>
      <c r="E557">
        <v>4.9650180668270316E-4</v>
      </c>
      <c r="F557">
        <v>4.1990600502495035E-4</v>
      </c>
      <c r="G557">
        <v>5.6621823923319603E-4</v>
      </c>
      <c r="H557">
        <v>5.3528297374416667E-4</v>
      </c>
      <c r="I557">
        <v>5.7443542249413504E-4</v>
      </c>
      <c r="J557">
        <v>3.3952648665718232E-3</v>
      </c>
      <c r="K557">
        <v>3.3149698083989598E-3</v>
      </c>
      <c r="L557">
        <v>1.0566013164510224E-3</v>
      </c>
      <c r="M557">
        <v>1.0748572449621463E-3</v>
      </c>
      <c r="N557">
        <v>1.0803177683085252E-3</v>
      </c>
      <c r="O557">
        <v>5.4612392438491142E-4</v>
      </c>
      <c r="P557">
        <v>5.3573019985209136E-4</v>
      </c>
      <c r="Q557">
        <v>5.4958248556946643E-4</v>
      </c>
      <c r="R557">
        <v>4.3195425261055576E-4</v>
      </c>
      <c r="S557">
        <v>3.0227372370037475E-3</v>
      </c>
      <c r="T557">
        <v>6.7734415271978321E-3</v>
      </c>
      <c r="U557">
        <v>2.3474880628304717E-3</v>
      </c>
      <c r="V557">
        <v>4.4718371936778301E-3</v>
      </c>
      <c r="W557">
        <v>1.3066276538518107E-3</v>
      </c>
      <c r="X557">
        <v>5.490706962034686E-4</v>
      </c>
      <c r="Y557">
        <v>4.4718371936778301E-3</v>
      </c>
      <c r="Z557">
        <v>1.1496404894801859E-3</v>
      </c>
      <c r="AA557">
        <v>1.9176165759786645E-3</v>
      </c>
      <c r="AC557">
        <v>1.9761695484810993E-2</v>
      </c>
      <c r="AD557">
        <v>2.3924166665632907E-2</v>
      </c>
      <c r="AE557">
        <v>1.8879483809010944E-2</v>
      </c>
      <c r="AF557">
        <v>1.1463709916794906E-2</v>
      </c>
      <c r="AG557">
        <v>1.8472535853468308E-2</v>
      </c>
      <c r="AH557">
        <v>2.3162246704226508E-2</v>
      </c>
      <c r="AI557">
        <v>1.0230528010624962E-2</v>
      </c>
      <c r="AJ557">
        <v>7.831821929101368E-3</v>
      </c>
      <c r="AK557">
        <v>-1.2517385257302394E-3</v>
      </c>
      <c r="AL557">
        <v>-8.4019116654229231E-3</v>
      </c>
    </row>
    <row r="558" spans="1:38">
      <c r="A558" s="568">
        <v>44641</v>
      </c>
      <c r="B558">
        <v>4.4832723359127799E-4</v>
      </c>
      <c r="C558">
        <v>4.496750474409783E-4</v>
      </c>
      <c r="D558">
        <v>4.8286366935879066E-4</v>
      </c>
      <c r="E558">
        <v>4.9650180668270316E-4</v>
      </c>
      <c r="F558">
        <v>4.2505835842199247E-4</v>
      </c>
      <c r="G558">
        <v>4.4261199101924831E-4</v>
      </c>
      <c r="H558">
        <v>5.7566885525117684E-4</v>
      </c>
      <c r="I558">
        <v>5.7335622006582376E-4</v>
      </c>
      <c r="J558">
        <v>8.9270266494612116E-4</v>
      </c>
      <c r="K558">
        <v>7.8381042717201588E-4</v>
      </c>
      <c r="L558">
        <v>1.0566013164510224E-3</v>
      </c>
      <c r="M558">
        <v>1.0748572449621463E-3</v>
      </c>
      <c r="N558">
        <v>1.0803177683085252E-3</v>
      </c>
      <c r="O558">
        <v>5.4612392438491142E-4</v>
      </c>
      <c r="P558">
        <v>5.3573019985209136E-4</v>
      </c>
      <c r="Q558">
        <v>5.4958248556946643E-4</v>
      </c>
      <c r="R558">
        <v>-2.853159823318463E-3</v>
      </c>
      <c r="S558">
        <v>1.0684360173828455E-2</v>
      </c>
      <c r="T558">
        <v>9.4273800084954118E-3</v>
      </c>
      <c r="U558">
        <v>7.374847580096322E-3</v>
      </c>
      <c r="V558">
        <v>5.6473322818211269E-3</v>
      </c>
      <c r="W558">
        <v>9.633030056399372E-3</v>
      </c>
      <c r="X558">
        <v>4.8355969808950849E-3</v>
      </c>
      <c r="Y558">
        <v>5.6473322818211269E-3</v>
      </c>
      <c r="Z558">
        <v>5.0545901261034309E-3</v>
      </c>
      <c r="AA558">
        <v>8.730405423338361E-4</v>
      </c>
      <c r="AC558">
        <v>7.3160466776300837E-3</v>
      </c>
      <c r="AD558">
        <v>-1.7313638524371067E-3</v>
      </c>
      <c r="AE558">
        <v>7.1526639906149825E-3</v>
      </c>
      <c r="AF558">
        <v>5.2990623909290324E-3</v>
      </c>
      <c r="AG558">
        <v>8.892204566879558E-3</v>
      </c>
      <c r="AH558">
        <v>1.7927699137523234E-3</v>
      </c>
      <c r="AI558">
        <v>1.2426585903706489E-2</v>
      </c>
      <c r="AJ558">
        <v>-1.2883435582822123E-2</v>
      </c>
      <c r="AK558">
        <v>-1.4900431694750083E-2</v>
      </c>
      <c r="AL558">
        <v>-4.6518358566660645E-4</v>
      </c>
    </row>
    <row r="559" spans="1:38">
      <c r="A559" s="568">
        <v>44642</v>
      </c>
      <c r="B559">
        <v>4.4832723359127799E-4</v>
      </c>
      <c r="C559">
        <v>4.727191203766079E-4</v>
      </c>
      <c r="D559">
        <v>4.8582685386611146E-4</v>
      </c>
      <c r="E559">
        <v>4.9650180668270316E-4</v>
      </c>
      <c r="F559">
        <v>4.3594015164494238E-4</v>
      </c>
      <c r="G559">
        <v>4.9230809372136086E-4</v>
      </c>
      <c r="H559">
        <v>5.5720200792830354E-4</v>
      </c>
      <c r="I559">
        <v>5.7146208853531277E-4</v>
      </c>
      <c r="J559">
        <v>3.0462416215377708E-3</v>
      </c>
      <c r="K559">
        <v>2.7403725569616899E-3</v>
      </c>
      <c r="L559">
        <v>1.0566013164510224E-3</v>
      </c>
      <c r="M559">
        <v>1.0748572449621463E-3</v>
      </c>
      <c r="N559">
        <v>1.0803177683085252E-3</v>
      </c>
      <c r="O559">
        <v>5.4612392438491142E-4</v>
      </c>
      <c r="P559">
        <v>5.3573019985209136E-4</v>
      </c>
      <c r="Q559">
        <v>5.4958248556946643E-4</v>
      </c>
      <c r="R559">
        <v>-5.8820794056568815E-4</v>
      </c>
      <c r="S559">
        <v>8.4529953878331732E-4</v>
      </c>
      <c r="T559">
        <v>1.1125285004235819E-2</v>
      </c>
      <c r="U559">
        <v>1.5219673448383375E-3</v>
      </c>
      <c r="V559">
        <v>4.7075915810526059E-3</v>
      </c>
      <c r="W559">
        <v>2.0657673898178963E-3</v>
      </c>
      <c r="X559">
        <v>3.1206893059809726E-3</v>
      </c>
      <c r="Y559">
        <v>4.7075915810526059E-3</v>
      </c>
      <c r="Z559">
        <v>4.2372250220614749E-3</v>
      </c>
      <c r="AA559">
        <v>1.024221509073886E-3</v>
      </c>
      <c r="AC559">
        <v>9.6243340660067123E-3</v>
      </c>
      <c r="AD559">
        <v>1.7687821765549172E-2</v>
      </c>
      <c r="AE559">
        <v>1.2387549872137749E-2</v>
      </c>
      <c r="AF559">
        <v>1.5916757471216458E-2</v>
      </c>
      <c r="AG559">
        <v>1.0328331468310026E-2</v>
      </c>
      <c r="AH559">
        <v>-2.2773158923207193E-3</v>
      </c>
      <c r="AI559">
        <v>1.6131861659343993E-2</v>
      </c>
      <c r="AJ559">
        <v>5.3863683447277211E-3</v>
      </c>
      <c r="AK559">
        <v>3.9298840825558345E-2</v>
      </c>
      <c r="AL559">
        <v>-5.4756360159076145E-3</v>
      </c>
    </row>
    <row r="560" spans="1:38">
      <c r="A560" s="568">
        <v>44643</v>
      </c>
      <c r="B560">
        <v>4.4832723359127799E-4</v>
      </c>
      <c r="C560">
        <v>4.6555889883892476E-4</v>
      </c>
      <c r="D560">
        <v>4.6216330764115021E-4</v>
      </c>
      <c r="E560">
        <v>4.9650180668270316E-4</v>
      </c>
      <c r="F560">
        <v>4.599130301594645E-4</v>
      </c>
      <c r="G560">
        <v>5.3770418199583503E-4</v>
      </c>
      <c r="H560">
        <v>5.3064091922760959E-4</v>
      </c>
      <c r="I560">
        <v>5.6827908618184431E-4</v>
      </c>
      <c r="J560">
        <v>2.3034534140471408E-3</v>
      </c>
      <c r="K560">
        <v>2.4648153709612153E-3</v>
      </c>
      <c r="L560">
        <v>1.0566013164510224E-3</v>
      </c>
      <c r="M560">
        <v>1.0748572449621463E-3</v>
      </c>
      <c r="N560">
        <v>1.0803177683085252E-3</v>
      </c>
      <c r="O560">
        <v>5.4612392438491142E-4</v>
      </c>
      <c r="P560">
        <v>5.3573019985209136E-4</v>
      </c>
      <c r="Q560">
        <v>5.4958248556946643E-4</v>
      </c>
      <c r="R560">
        <v>1.462925621622535E-3</v>
      </c>
      <c r="S560">
        <v>5.1842055648476659E-3</v>
      </c>
      <c r="T560">
        <v>3.6341585738295379E-3</v>
      </c>
      <c r="U560">
        <v>-8.743749472268636E-4</v>
      </c>
      <c r="V560">
        <v>1.4601213168323746E-3</v>
      </c>
      <c r="W560">
        <v>1.1265346553313016E-4</v>
      </c>
      <c r="X560">
        <v>-8.2170829614736096E-4</v>
      </c>
      <c r="Y560">
        <v>1.4601213168323746E-3</v>
      </c>
      <c r="Z560">
        <v>3.5576136720434359E-3</v>
      </c>
      <c r="AA560">
        <v>1.0270963235514685E-3</v>
      </c>
      <c r="AC560">
        <v>1.5766705288982052E-3</v>
      </c>
      <c r="AD560">
        <v>4.8610650700173785E-3</v>
      </c>
      <c r="AE560">
        <v>5.0192758418412531E-3</v>
      </c>
      <c r="AF560">
        <v>7.6757719991893403E-4</v>
      </c>
      <c r="AG560">
        <v>5.472545255089889E-3</v>
      </c>
      <c r="AH560">
        <v>1.370196384825384E-3</v>
      </c>
      <c r="AI560">
        <v>9.8011877481101184E-3</v>
      </c>
      <c r="AJ560">
        <v>-2.8229960848959346E-2</v>
      </c>
      <c r="AK560">
        <v>1.23775843307945E-2</v>
      </c>
      <c r="AL560">
        <v>-2.6661064014129598E-3</v>
      </c>
    </row>
    <row r="561" spans="1:38">
      <c r="A561" s="568">
        <v>44644</v>
      </c>
      <c r="B561">
        <v>4.4832723359127799E-4</v>
      </c>
      <c r="C561">
        <v>6.910879613846177E-4</v>
      </c>
      <c r="D561">
        <v>4.7844801893770494E-4</v>
      </c>
      <c r="E561">
        <v>4.9650180668270316E-4</v>
      </c>
      <c r="F561">
        <v>6.1443643161829264E-4</v>
      </c>
      <c r="G561">
        <v>6.9609491194677631E-4</v>
      </c>
      <c r="H561">
        <v>5.5284823035472996E-4</v>
      </c>
      <c r="I561">
        <v>5.8298842822135377E-4</v>
      </c>
      <c r="J561">
        <v>8.2313980149215649E-3</v>
      </c>
      <c r="K561">
        <v>6.777265273797406E-3</v>
      </c>
      <c r="L561">
        <v>1.0566013164510224E-3</v>
      </c>
      <c r="M561">
        <v>1.0748572449621463E-3</v>
      </c>
      <c r="N561">
        <v>1.0803177683085252E-3</v>
      </c>
      <c r="O561">
        <v>5.4612392438491142E-4</v>
      </c>
      <c r="P561">
        <v>5.3573019985209136E-4</v>
      </c>
      <c r="Q561">
        <v>5.4958248556946643E-4</v>
      </c>
      <c r="R561">
        <v>1.1584940542697097E-4</v>
      </c>
      <c r="S561">
        <v>-1.6498898165437925E-3</v>
      </c>
      <c r="T561">
        <v>1.2714554152385427E-2</v>
      </c>
      <c r="U561">
        <v>1.7244182614508663E-3</v>
      </c>
      <c r="V561">
        <v>4.2263029342684E-3</v>
      </c>
      <c r="W561">
        <v>2.0741781689272987E-3</v>
      </c>
      <c r="X561">
        <v>8.4689301521212457E-4</v>
      </c>
      <c r="Y561">
        <v>4.2263029342684E-3</v>
      </c>
      <c r="Z561">
        <v>-6.5756818461393252E-4</v>
      </c>
      <c r="AA561">
        <v>-1.9469952413693203E-3</v>
      </c>
      <c r="AC561">
        <v>1.3584251099165057E-2</v>
      </c>
      <c r="AD561">
        <v>1.921159549894047E-2</v>
      </c>
      <c r="AE561">
        <v>1.5786793292377643E-2</v>
      </c>
      <c r="AF561">
        <v>1.4843349055930322E-2</v>
      </c>
      <c r="AG561">
        <v>2.0197619339624051E-2</v>
      </c>
      <c r="AH561">
        <v>6.5121956951144089E-3</v>
      </c>
      <c r="AI561">
        <v>1.526650822510045E-2</v>
      </c>
      <c r="AJ561">
        <v>7.2094995759117708E-3</v>
      </c>
      <c r="AK561">
        <v>-1.49133413945991E-2</v>
      </c>
      <c r="AL561">
        <v>-4.4899672719254102E-3</v>
      </c>
    </row>
    <row r="562" spans="1:38">
      <c r="A562" s="568">
        <v>44645</v>
      </c>
      <c r="B562">
        <v>4.4832723359127799E-4</v>
      </c>
      <c r="C562">
        <v>5.0870381848366897E-4</v>
      </c>
      <c r="D562">
        <v>4.6066500664143639E-4</v>
      </c>
      <c r="E562">
        <v>4.9650180668270316E-4</v>
      </c>
      <c r="F562">
        <v>4.3160052201174359E-4</v>
      </c>
      <c r="G562">
        <v>6.3190138431368226E-4</v>
      </c>
      <c r="H562">
        <v>5.4817236337223463E-4</v>
      </c>
      <c r="I562">
        <v>5.8288769760728165E-4</v>
      </c>
      <c r="J562">
        <v>4.4795411878160163E-3</v>
      </c>
      <c r="K562">
        <v>4.3261380936814309E-3</v>
      </c>
      <c r="L562">
        <v>1.0566013164510224E-3</v>
      </c>
      <c r="M562">
        <v>1.0748572449621463E-3</v>
      </c>
      <c r="N562">
        <v>1.0803177683085252E-3</v>
      </c>
      <c r="O562">
        <v>5.4612392438491142E-4</v>
      </c>
      <c r="P562">
        <v>5.3573019985209136E-4</v>
      </c>
      <c r="Q562">
        <v>5.4958248556946643E-4</v>
      </c>
      <c r="R562">
        <v>-3.5432538811088765E-3</v>
      </c>
      <c r="S562">
        <v>3.8898036688927995E-3</v>
      </c>
      <c r="T562">
        <v>1.0200403795013857E-2</v>
      </c>
      <c r="U562">
        <v>5.7360731970257373E-3</v>
      </c>
      <c r="V562">
        <v>5.104839443812903E-3</v>
      </c>
      <c r="W562">
        <v>8.2428955411313343E-3</v>
      </c>
      <c r="X562">
        <v>4.6347984700016998E-3</v>
      </c>
      <c r="Y562">
        <v>5.104839443812903E-3</v>
      </c>
      <c r="Z562">
        <v>4.2619890055608511E-3</v>
      </c>
      <c r="AA562">
        <v>-8.1818541868350358E-4</v>
      </c>
      <c r="AC562">
        <v>2.3703746510683743E-4</v>
      </c>
      <c r="AD562">
        <v>6.1791453843278443E-3</v>
      </c>
      <c r="AE562">
        <v>3.15268728817375E-3</v>
      </c>
      <c r="AF562">
        <v>1.5657594382393336E-2</v>
      </c>
      <c r="AG562">
        <v>2.4113090191109077E-3</v>
      </c>
      <c r="AH562">
        <v>-1.4210845467322986E-2</v>
      </c>
      <c r="AI562">
        <v>1.4332981887376972E-2</v>
      </c>
      <c r="AJ562">
        <v>-8.6315789473684346E-3</v>
      </c>
      <c r="AK562">
        <v>-3.3415166393889639E-2</v>
      </c>
      <c r="AL562">
        <v>-2.1386955876363078E-2</v>
      </c>
    </row>
    <row r="563" spans="1:38">
      <c r="A563" s="568">
        <v>44648</v>
      </c>
      <c r="B563">
        <v>4.4832723359127799E-4</v>
      </c>
      <c r="C563">
        <v>5.0516302623804243E-4</v>
      </c>
      <c r="D563">
        <v>4.5726268731161035E-4</v>
      </c>
      <c r="E563">
        <v>4.9650180668270316E-4</v>
      </c>
      <c r="F563">
        <v>5.7699109977948915E-4</v>
      </c>
      <c r="G563">
        <v>4.7980458867669107E-4</v>
      </c>
      <c r="H563">
        <v>5.4600003494398308E-4</v>
      </c>
      <c r="I563">
        <v>6.0936431253422185E-4</v>
      </c>
      <c r="J563">
        <v>3.3987498265219962E-4</v>
      </c>
      <c r="K563">
        <v>-5.645322409690845E-4</v>
      </c>
      <c r="L563">
        <v>1.0566013164510224E-3</v>
      </c>
      <c r="M563">
        <v>1.0748572449621463E-3</v>
      </c>
      <c r="N563">
        <v>1.0803177683085252E-3</v>
      </c>
      <c r="O563">
        <v>5.4612392438491142E-4</v>
      </c>
      <c r="P563">
        <v>5.3573019985209136E-4</v>
      </c>
      <c r="Q563">
        <v>5.4958248556946643E-4</v>
      </c>
      <c r="R563">
        <v>1.0002161484048422E-3</v>
      </c>
      <c r="S563">
        <v>-4.4253628682708879E-3</v>
      </c>
      <c r="T563">
        <v>1.0434994081758298E-3</v>
      </c>
      <c r="U563">
        <v>-4.9867650833812505E-5</v>
      </c>
      <c r="V563">
        <v>-1.1309695218808535E-3</v>
      </c>
      <c r="W563">
        <v>1.0633167033549107E-3</v>
      </c>
      <c r="X563">
        <v>-4.974911901962642E-4</v>
      </c>
      <c r="Y563">
        <v>-1.1309695218808535E-3</v>
      </c>
      <c r="Z563">
        <v>1.1901139659296067E-3</v>
      </c>
      <c r="AA563">
        <v>6.327184537613384E-5</v>
      </c>
      <c r="AC563">
        <v>-2.8833283661315878E-3</v>
      </c>
      <c r="AD563">
        <v>-4.9454047587804695E-3</v>
      </c>
      <c r="AE563">
        <v>-3.7104320193344087E-3</v>
      </c>
      <c r="AF563">
        <v>-1.4151736080243449E-3</v>
      </c>
      <c r="AG563">
        <v>-3.8530187241778702E-3</v>
      </c>
      <c r="AH563">
        <v>-1.0378928023691003E-2</v>
      </c>
      <c r="AI563">
        <v>-4.6872532694325342E-3</v>
      </c>
      <c r="AJ563">
        <v>1.2104480781482296E-2</v>
      </c>
      <c r="AK563">
        <v>1.2981515450825487E-2</v>
      </c>
      <c r="AL563">
        <v>2.9370235444812209E-3</v>
      </c>
    </row>
    <row r="564" spans="1:38">
      <c r="A564" s="568">
        <v>44649</v>
      </c>
      <c r="B564">
        <v>4.4832723359127799E-4</v>
      </c>
      <c r="C564">
        <v>4.6236824938605814E-4</v>
      </c>
      <c r="D564">
        <v>4.4695599582689205E-4</v>
      </c>
      <c r="E564">
        <v>4.9650180668270316E-4</v>
      </c>
      <c r="F564">
        <v>6.1180551695727559E-4</v>
      </c>
      <c r="G564">
        <v>4.3667999443064431E-4</v>
      </c>
      <c r="H564">
        <v>5.4196012445739683E-4</v>
      </c>
      <c r="I564">
        <v>5.9542596095218947E-4</v>
      </c>
      <c r="J564">
        <v>-5.0656524575731776E-4</v>
      </c>
      <c r="K564">
        <v>2.8014613993776472E-4</v>
      </c>
      <c r="L564">
        <v>1.0566013164510224E-3</v>
      </c>
      <c r="M564">
        <v>1.0748572449621463E-3</v>
      </c>
      <c r="N564">
        <v>1.0803177683085252E-3</v>
      </c>
      <c r="O564">
        <v>5.4612392438491142E-4</v>
      </c>
      <c r="P564">
        <v>5.3573019985209136E-4</v>
      </c>
      <c r="Q564">
        <v>5.4958248556946643E-4</v>
      </c>
      <c r="R564">
        <v>8.2973697978885319E-3</v>
      </c>
      <c r="S564">
        <v>-3.4083367531227982E-3</v>
      </c>
      <c r="T564">
        <v>-6.4236160456736524E-3</v>
      </c>
      <c r="U564">
        <v>-1.8197339712221483E-3</v>
      </c>
      <c r="V564">
        <v>5.2543842721863854E-4</v>
      </c>
      <c r="W564">
        <v>1.9379398080787702E-4</v>
      </c>
      <c r="X564">
        <v>-3.0814007010453448E-3</v>
      </c>
      <c r="Y564">
        <v>5.2543842721863854E-4</v>
      </c>
      <c r="Z564">
        <v>1.1533981004345772E-3</v>
      </c>
      <c r="AA564">
        <v>-9.188290936472665E-4</v>
      </c>
      <c r="AC564">
        <v>1.074965356434987E-2</v>
      </c>
      <c r="AD564">
        <v>1.5931670113489282E-2</v>
      </c>
      <c r="AE564">
        <v>1.2602370355909942E-2</v>
      </c>
      <c r="AF564">
        <v>4.7889436550478948E-3</v>
      </c>
      <c r="AG564">
        <v>6.7310437953918001E-3</v>
      </c>
      <c r="AH564">
        <v>-6.0963158917993754E-3</v>
      </c>
      <c r="AI564">
        <v>1.9594264708755471E-3</v>
      </c>
      <c r="AJ564">
        <v>9.8615190935795738E-3</v>
      </c>
      <c r="AK564">
        <v>1.4486697311603125E-2</v>
      </c>
      <c r="AL564">
        <v>8.0736622417261206E-3</v>
      </c>
    </row>
    <row r="565" spans="1:38">
      <c r="A565" s="568">
        <v>44650</v>
      </c>
      <c r="B565">
        <v>4.4832723359127799E-4</v>
      </c>
      <c r="C565">
        <v>3.7116311928864221E-4</v>
      </c>
      <c r="D565">
        <v>4.5472462068207875E-4</v>
      </c>
      <c r="E565">
        <v>4.9650180668270316E-4</v>
      </c>
      <c r="F565">
        <v>5.0442072691314621E-4</v>
      </c>
      <c r="G565">
        <v>4.0204819658185009E-4</v>
      </c>
      <c r="H565">
        <v>5.5787292714359893E-4</v>
      </c>
      <c r="I565">
        <v>5.9071823513190402E-4</v>
      </c>
      <c r="J565">
        <v>-1.369115407865884E-3</v>
      </c>
      <c r="K565">
        <v>-1.9327601769658642E-3</v>
      </c>
      <c r="L565">
        <v>1.0566013164510224E-3</v>
      </c>
      <c r="M565">
        <v>1.0748572449621463E-3</v>
      </c>
      <c r="N565">
        <v>1.0803177683085252E-3</v>
      </c>
      <c r="O565">
        <v>5.4612392438491142E-4</v>
      </c>
      <c r="P565">
        <v>5.3573019985209136E-4</v>
      </c>
      <c r="Q565">
        <v>5.4958248556946643E-4</v>
      </c>
      <c r="R565">
        <v>2.010182284121198E-3</v>
      </c>
      <c r="S565">
        <v>5.8941474224500912E-3</v>
      </c>
      <c r="T565">
        <v>-4.2527062456462206E-3</v>
      </c>
      <c r="U565">
        <v>-2.4674857890316648E-3</v>
      </c>
      <c r="V565">
        <v>-1.9914347392662179E-3</v>
      </c>
      <c r="W565">
        <v>-1.424477666995938E-3</v>
      </c>
      <c r="X565">
        <v>-2.4186820503275808E-3</v>
      </c>
      <c r="Y565">
        <v>-1.9914347392662179E-3</v>
      </c>
      <c r="Z565">
        <v>-4.1205068562477631E-4</v>
      </c>
      <c r="AA565">
        <v>-8.0105259813545437E-4</v>
      </c>
      <c r="AC565">
        <v>2.0463416944849211E-3</v>
      </c>
      <c r="AD565">
        <v>-9.7199888647543364E-3</v>
      </c>
      <c r="AE565">
        <v>-8.8622429445572859E-4</v>
      </c>
      <c r="AF565">
        <v>-6.0576050102315593E-3</v>
      </c>
      <c r="AG565">
        <v>-5.6761387229573579E-3</v>
      </c>
      <c r="AH565">
        <v>2.6966584261058912E-3</v>
      </c>
      <c r="AI565">
        <v>-4.8208543065673126E-3</v>
      </c>
      <c r="AJ565">
        <v>-3.739871182214527E-4</v>
      </c>
      <c r="AK565">
        <v>1.4829053961279648E-2</v>
      </c>
      <c r="AL565">
        <v>2.2151535065522143E-2</v>
      </c>
    </row>
    <row r="566" spans="1:38">
      <c r="A566" s="568">
        <v>44651</v>
      </c>
      <c r="B566">
        <v>4.4832723359127799E-4</v>
      </c>
      <c r="C566">
        <v>5.2483403315983779E-4</v>
      </c>
      <c r="D566">
        <v>4.5717283469448589E-4</v>
      </c>
      <c r="E566">
        <v>4.9650180668270316E-4</v>
      </c>
      <c r="F566">
        <v>3.82105072363359E-4</v>
      </c>
      <c r="G566">
        <v>6.6413168953260993E-4</v>
      </c>
      <c r="H566">
        <v>5.6316864595951088E-4</v>
      </c>
      <c r="I566">
        <v>5.9061820811123766E-4</v>
      </c>
      <c r="J566">
        <v>3.2281053129024073E-4</v>
      </c>
      <c r="K566">
        <v>-2.7779780599324067E-4</v>
      </c>
      <c r="L566">
        <v>1.0566013164510224E-3</v>
      </c>
      <c r="M566">
        <v>1.0748572449621463E-3</v>
      </c>
      <c r="N566">
        <v>1.0803177683085252E-3</v>
      </c>
      <c r="O566">
        <v>5.4612392438491142E-4</v>
      </c>
      <c r="P566">
        <v>5.3573019985209136E-4</v>
      </c>
      <c r="Q566">
        <v>5.4958248556946643E-4</v>
      </c>
      <c r="R566">
        <v>9.5787504998945394E-6</v>
      </c>
      <c r="S566">
        <v>-1.9036076675114089E-3</v>
      </c>
      <c r="T566">
        <v>-2.9462527197325894E-3</v>
      </c>
      <c r="U566">
        <v>-3.8933584672273813E-4</v>
      </c>
      <c r="V566">
        <v>-1.7555869108655253E-3</v>
      </c>
      <c r="W566">
        <v>-4.2146877446902486E-4</v>
      </c>
      <c r="X566">
        <v>-1.300373648429165E-3</v>
      </c>
      <c r="Y566">
        <v>-1.7555869108655253E-3</v>
      </c>
      <c r="Z566">
        <v>-7.6900499503673725E-4</v>
      </c>
      <c r="AA566">
        <v>-2.7191766745537915E-4</v>
      </c>
      <c r="AC566">
        <v>-2.1663938128597682E-3</v>
      </c>
      <c r="AD566">
        <v>-6.2302717693093479E-3</v>
      </c>
      <c r="AE566">
        <v>-2.6891705803532284E-3</v>
      </c>
      <c r="AF566">
        <v>8.7798559824605604E-3</v>
      </c>
      <c r="AG566">
        <v>-4.7670529237753279E-4</v>
      </c>
      <c r="AH566">
        <v>-2.0592520785234214E-4</v>
      </c>
      <c r="AI566">
        <v>5.0088528670764187E-3</v>
      </c>
      <c r="AJ566">
        <v>-2.0410708347189832E-2</v>
      </c>
      <c r="AK566">
        <v>-1.7183060478960899E-2</v>
      </c>
      <c r="AL566">
        <v>-6.8429004937294868E-3</v>
      </c>
    </row>
    <row r="567" spans="1:38">
      <c r="A567" s="568">
        <v>44652</v>
      </c>
      <c r="B567">
        <v>4.4832723359127799E-4</v>
      </c>
      <c r="C567">
        <v>4.6822730477402708E-4</v>
      </c>
      <c r="D567">
        <v>4.2352753857799463E-4</v>
      </c>
      <c r="E567">
        <v>4.9650180668270316E-4</v>
      </c>
      <c r="F567">
        <v>5.9293440913044115E-4</v>
      </c>
      <c r="G567">
        <v>5.4046662684403834E-4</v>
      </c>
      <c r="H567">
        <v>5.6160641850144799E-4</v>
      </c>
      <c r="I567">
        <v>5.9291801377558961E-4</v>
      </c>
      <c r="J567">
        <v>4.6032850745678644E-3</v>
      </c>
      <c r="K567">
        <v>4.2448212150667519E-3</v>
      </c>
      <c r="L567">
        <v>8.8091419321534303E-4</v>
      </c>
      <c r="M567">
        <v>8.9916691778002544E-4</v>
      </c>
      <c r="N567">
        <v>9.0462648279565627E-4</v>
      </c>
      <c r="O567">
        <v>5.4612392438491142E-4</v>
      </c>
      <c r="P567">
        <v>5.3573019985209136E-4</v>
      </c>
      <c r="Q567">
        <v>5.4958248556946643E-4</v>
      </c>
      <c r="R567">
        <v>-1.2176869933786527E-3</v>
      </c>
      <c r="S567">
        <v>3.3606939694512672E-3</v>
      </c>
      <c r="T567">
        <v>1.0369672952649456E-2</v>
      </c>
      <c r="U567">
        <v>3.9724623114303359E-3</v>
      </c>
      <c r="V567">
        <v>6.6241848054262586E-3</v>
      </c>
      <c r="W567">
        <v>6.2681828903916603E-3</v>
      </c>
      <c r="X567">
        <v>6.6824250371895211E-3</v>
      </c>
      <c r="Y567">
        <v>6.6241848054262586E-3</v>
      </c>
      <c r="Z567">
        <v>5.7073776573826063E-3</v>
      </c>
      <c r="AA567">
        <v>4.820834453677536E-3</v>
      </c>
      <c r="AC567">
        <v>1.3091084001122244E-2</v>
      </c>
      <c r="AD567">
        <v>2.05901592666069E-2</v>
      </c>
      <c r="AE567">
        <v>1.4243379151418711E-2</v>
      </c>
      <c r="AF567">
        <v>1.608743839103699E-2</v>
      </c>
      <c r="AG567">
        <v>1.2487987023049651E-2</v>
      </c>
      <c r="AH567">
        <v>1.7573052868145256E-2</v>
      </c>
      <c r="AI567">
        <v>2.3937350087807951E-2</v>
      </c>
      <c r="AJ567">
        <v>-1.5531508593252696E-2</v>
      </c>
      <c r="AK567">
        <v>9.498898678414136E-3</v>
      </c>
      <c r="AL567">
        <v>-2.2921863944738829E-2</v>
      </c>
    </row>
    <row r="568" spans="1:38">
      <c r="A568" s="568">
        <v>44655</v>
      </c>
      <c r="B568">
        <v>4.4832723359127799E-4</v>
      </c>
      <c r="C568">
        <v>4.4529950054750245E-4</v>
      </c>
      <c r="D568">
        <v>4.1486005369839596E-4</v>
      </c>
      <c r="E568">
        <v>4.9650180668270316E-4</v>
      </c>
      <c r="F568">
        <v>5.1468672014465255E-4</v>
      </c>
      <c r="G568">
        <v>4.774554702380307E-4</v>
      </c>
      <c r="H568">
        <v>5.544461792064137E-4</v>
      </c>
      <c r="I568">
        <v>5.9271796405413468E-4</v>
      </c>
      <c r="J568">
        <v>7.7343038392618801E-4</v>
      </c>
      <c r="K568">
        <v>4.5557674659257863E-4</v>
      </c>
      <c r="L568">
        <v>8.8091419321534303E-4</v>
      </c>
      <c r="M568">
        <v>8.9916691778002544E-4</v>
      </c>
      <c r="N568">
        <v>9.0462648279565627E-4</v>
      </c>
      <c r="O568">
        <v>5.4612392438491142E-4</v>
      </c>
      <c r="P568">
        <v>5.3573019985209136E-4</v>
      </c>
      <c r="Q568">
        <v>5.4958248556946643E-4</v>
      </c>
      <c r="R568">
        <v>2.2519309543702626E-3</v>
      </c>
      <c r="S568">
        <v>2.9555532190468359E-3</v>
      </c>
      <c r="T568">
        <v>2.6546238357585406E-3</v>
      </c>
      <c r="U568">
        <v>9.6660207678689325E-4</v>
      </c>
      <c r="V568">
        <v>1.2790449797484005E-3</v>
      </c>
      <c r="W568">
        <v>2.4042370832690896E-3</v>
      </c>
      <c r="X568">
        <v>5.6147457294364322E-4</v>
      </c>
      <c r="Y568">
        <v>1.2790449797484005E-3</v>
      </c>
      <c r="Z568">
        <v>2.583361272307183E-3</v>
      </c>
      <c r="AA568">
        <v>6.784234342669393E-4</v>
      </c>
      <c r="AC568">
        <v>-2.3907184452762742E-3</v>
      </c>
      <c r="AD568">
        <v>-2.9745521931345831E-4</v>
      </c>
      <c r="AE568">
        <v>-4.1720954603574611E-4</v>
      </c>
      <c r="AF568">
        <v>-6.1499053577218632E-4</v>
      </c>
      <c r="AG568">
        <v>1.755126503680815E-3</v>
      </c>
      <c r="AH568">
        <v>-4.3553954596047273E-3</v>
      </c>
      <c r="AI568">
        <v>-1.7133200660170989E-3</v>
      </c>
      <c r="AJ568">
        <v>-4.784688995215336E-3</v>
      </c>
      <c r="AK568">
        <v>3.109232237828996E-2</v>
      </c>
      <c r="AL568">
        <v>4.3945094221120584E-4</v>
      </c>
    </row>
    <row r="569" spans="1:38">
      <c r="A569" s="568">
        <v>44656</v>
      </c>
      <c r="B569">
        <v>4.4832723359127799E-4</v>
      </c>
      <c r="C569">
        <v>4.1171624509184213E-4</v>
      </c>
      <c r="D569">
        <v>3.8393110451773182E-4</v>
      </c>
      <c r="E569">
        <v>4.9650180668270316E-4</v>
      </c>
      <c r="F569">
        <v>5.6292925393730542E-4</v>
      </c>
      <c r="G569">
        <v>4.3452876381389061E-4</v>
      </c>
      <c r="H569">
        <v>5.5662665588651628E-4</v>
      </c>
      <c r="I569">
        <v>5.9271006266348181E-4</v>
      </c>
      <c r="J569">
        <v>-2.0838276023911195E-3</v>
      </c>
      <c r="K569">
        <v>-2.245992754398074E-3</v>
      </c>
      <c r="L569">
        <v>8.8091419321534303E-4</v>
      </c>
      <c r="M569">
        <v>8.9916691778002544E-4</v>
      </c>
      <c r="N569">
        <v>9.0462648279565627E-4</v>
      </c>
      <c r="O569">
        <v>5.4612392438491142E-4</v>
      </c>
      <c r="P569">
        <v>5.3573019985209136E-4</v>
      </c>
      <c r="Q569">
        <v>5.4958248556946643E-4</v>
      </c>
      <c r="R569">
        <v>-6.0175718840285164E-3</v>
      </c>
      <c r="S569">
        <v>7.6930956222209801E-4</v>
      </c>
      <c r="T569">
        <v>1.1887550617579734E-3</v>
      </c>
      <c r="U569">
        <v>2.0691297026034228E-3</v>
      </c>
      <c r="V569">
        <v>-3.1935277836914189E-4</v>
      </c>
      <c r="W569">
        <v>1.6954453905810851E-3</v>
      </c>
      <c r="X569">
        <v>8.3547943416566461E-3</v>
      </c>
      <c r="Y569">
        <v>-3.1935277836914189E-4</v>
      </c>
      <c r="Z569">
        <v>-1.3308822357749328E-4</v>
      </c>
      <c r="AA569">
        <v>-2.9876225531688672E-4</v>
      </c>
      <c r="AC569">
        <v>-1.9742494012385148E-2</v>
      </c>
      <c r="AD569">
        <v>-2.2926599041019902E-2</v>
      </c>
      <c r="AE569">
        <v>-1.9855581728794092E-2</v>
      </c>
      <c r="AF569">
        <v>-1.3619173467077528E-2</v>
      </c>
      <c r="AG569">
        <v>-1.2322923729664148E-2</v>
      </c>
      <c r="AH569">
        <v>-6.4676257641939072E-3</v>
      </c>
      <c r="AI569">
        <v>-7.9548105367791555E-3</v>
      </c>
      <c r="AJ569">
        <v>-1.645876645876676E-3</v>
      </c>
      <c r="AK569">
        <v>-4.8935326015078218E-3</v>
      </c>
      <c r="AL569">
        <v>1.7725754652115455E-2</v>
      </c>
    </row>
    <row r="570" spans="1:38">
      <c r="A570" s="568">
        <v>44657</v>
      </c>
      <c r="B570">
        <v>4.4832723359127799E-4</v>
      </c>
      <c r="C570">
        <v>4.7447790233867693E-4</v>
      </c>
      <c r="D570">
        <v>4.0763772085461447E-4</v>
      </c>
      <c r="E570">
        <v>4.9650180668270316E-4</v>
      </c>
      <c r="F570">
        <v>6.5427642567894573E-4</v>
      </c>
      <c r="G570">
        <v>4.7202490005848752E-4</v>
      </c>
      <c r="H570">
        <v>5.5818174472199722E-4</v>
      </c>
      <c r="I570">
        <v>5.8979743557419084E-4</v>
      </c>
      <c r="J570">
        <v>8.8225522686746771E-4</v>
      </c>
      <c r="K570">
        <v>1.1391000610803115E-3</v>
      </c>
      <c r="L570">
        <v>8.8091419321534303E-4</v>
      </c>
      <c r="M570">
        <v>8.9916691778002544E-4</v>
      </c>
      <c r="N570">
        <v>9.0462648279565627E-4</v>
      </c>
      <c r="O570">
        <v>5.4612392438491142E-4</v>
      </c>
      <c r="P570">
        <v>5.3573019985209136E-4</v>
      </c>
      <c r="Q570">
        <v>5.4958248556946643E-4</v>
      </c>
      <c r="R570">
        <v>-1.821254710323128E-3</v>
      </c>
      <c r="S570">
        <v>-1.5755337621454757E-3</v>
      </c>
      <c r="T570">
        <v>1.5803654902020181E-3</v>
      </c>
      <c r="U570">
        <v>5.3029749563537898E-4</v>
      </c>
      <c r="V570">
        <v>-2.3912811989277305E-3</v>
      </c>
      <c r="W570">
        <v>-1.7115442418864646E-3</v>
      </c>
      <c r="X570">
        <v>4.5622279293722201E-4</v>
      </c>
      <c r="Y570">
        <v>-2.3912811989277305E-3</v>
      </c>
      <c r="Z570">
        <v>-3.1256327021312869E-3</v>
      </c>
      <c r="AA570">
        <v>7.4341477631678643E-4</v>
      </c>
      <c r="AC570">
        <v>-5.5297066118012994E-3</v>
      </c>
      <c r="AD570">
        <v>-2.119310507691774E-2</v>
      </c>
      <c r="AE570">
        <v>-6.5014743279717679E-3</v>
      </c>
      <c r="AF570">
        <v>-1.2420210735124226E-2</v>
      </c>
      <c r="AG570">
        <v>-7.4715470097600489E-3</v>
      </c>
      <c r="AH570">
        <v>-1.015302144299568E-3</v>
      </c>
      <c r="AI570">
        <v>-6.5070176296504467E-3</v>
      </c>
      <c r="AJ570">
        <v>4.3383947939261702E-3</v>
      </c>
      <c r="AK570">
        <v>-2.020202020202011E-2</v>
      </c>
      <c r="AL570">
        <v>-5.6255508640806751E-3</v>
      </c>
    </row>
    <row r="571" spans="1:38">
      <c r="A571" s="568">
        <v>44658</v>
      </c>
      <c r="B571">
        <v>4.4832723359127799E-4</v>
      </c>
      <c r="C571">
        <v>4.1037875898464193E-4</v>
      </c>
      <c r="D571">
        <v>3.6667147084012974E-4</v>
      </c>
      <c r="E571">
        <v>4.9650180668270316E-4</v>
      </c>
      <c r="F571">
        <v>5.0850369632104986E-4</v>
      </c>
      <c r="G571">
        <v>4.9422725571335313E-4</v>
      </c>
      <c r="H571">
        <v>5.5911282461940104E-4</v>
      </c>
      <c r="I571">
        <v>6.0172751572018512E-4</v>
      </c>
      <c r="J571">
        <v>1.2913545086428169E-3</v>
      </c>
      <c r="K571">
        <v>2.873295726653069E-3</v>
      </c>
      <c r="L571">
        <v>8.8091419321534303E-4</v>
      </c>
      <c r="M571">
        <v>8.9916691778002544E-4</v>
      </c>
      <c r="N571">
        <v>9.0462648279565627E-4</v>
      </c>
      <c r="O571">
        <v>5.4612392438491142E-4</v>
      </c>
      <c r="P571">
        <v>5.3573019985209136E-4</v>
      </c>
      <c r="Q571">
        <v>5.4958248556946643E-4</v>
      </c>
      <c r="R571">
        <v>-1.1814246293280206E-3</v>
      </c>
      <c r="S571">
        <v>1.789088403886252E-3</v>
      </c>
      <c r="T571">
        <v>-1.0317914172464082E-4</v>
      </c>
      <c r="U571">
        <v>-8.6916259782188199E-4</v>
      </c>
      <c r="V571">
        <v>1.2716003833366241E-3</v>
      </c>
      <c r="W571">
        <v>-6.0852055449911457E-4</v>
      </c>
      <c r="X571">
        <v>2.2312681839817827E-3</v>
      </c>
      <c r="Y571">
        <v>1.2716003833366241E-3</v>
      </c>
      <c r="Z571">
        <v>-1.098133308475191E-3</v>
      </c>
      <c r="AA571">
        <v>3.4055103563239708E-3</v>
      </c>
      <c r="AC571">
        <v>5.365660769151015E-3</v>
      </c>
      <c r="AD571">
        <v>3.9873301838391217E-3</v>
      </c>
      <c r="AE571">
        <v>5.8026602429088747E-3</v>
      </c>
      <c r="AF571">
        <v>7.0044263398001405E-3</v>
      </c>
      <c r="AG571">
        <v>1.0058764639762741E-2</v>
      </c>
      <c r="AH571">
        <v>5.3982175709945679E-3</v>
      </c>
      <c r="AI571">
        <v>4.999898702028327E-3</v>
      </c>
      <c r="AJ571">
        <v>6.4794816414686096E-3</v>
      </c>
      <c r="AK571">
        <v>-1.9940314704286477E-2</v>
      </c>
      <c r="AL571">
        <v>-1.0569677427881174E-2</v>
      </c>
    </row>
    <row r="572" spans="1:38">
      <c r="A572" s="568">
        <v>44659</v>
      </c>
      <c r="B572">
        <v>4.4832723359127799E-4</v>
      </c>
      <c r="C572">
        <v>4.3913116294413967E-4</v>
      </c>
      <c r="D572">
        <v>4.1579711219630333E-4</v>
      </c>
      <c r="E572">
        <v>4.9650180668270316E-4</v>
      </c>
      <c r="F572">
        <v>4.0000406921736342E-4</v>
      </c>
      <c r="G572">
        <v>3.6291386298570316E-4</v>
      </c>
      <c r="H572">
        <v>5.4948705228441419E-4</v>
      </c>
      <c r="I572">
        <v>5.9120412974089653E-4</v>
      </c>
      <c r="J572">
        <v>-8.8638423564102453E-5</v>
      </c>
      <c r="K572">
        <v>-5.0103796714406901E-4</v>
      </c>
      <c r="L572">
        <v>8.8091419321534303E-4</v>
      </c>
      <c r="M572">
        <v>8.9916691778002544E-4</v>
      </c>
      <c r="N572">
        <v>9.0462648279565627E-4</v>
      </c>
      <c r="O572">
        <v>5.4612392438491142E-4</v>
      </c>
      <c r="P572">
        <v>5.3573019985209136E-4</v>
      </c>
      <c r="Q572">
        <v>5.4958248556946643E-4</v>
      </c>
      <c r="R572">
        <v>-2.177358130754925E-3</v>
      </c>
      <c r="S572">
        <v>4.1958000648687488E-3</v>
      </c>
      <c r="T572">
        <v>6.857197455421904E-3</v>
      </c>
      <c r="U572">
        <v>1.1117766775123883E-3</v>
      </c>
      <c r="V572">
        <v>2.95480195874398E-3</v>
      </c>
      <c r="W572">
        <v>3.5880210796237488E-3</v>
      </c>
      <c r="X572">
        <v>1.8215987291392288E-3</v>
      </c>
      <c r="Y572">
        <v>2.95480195874398E-3</v>
      </c>
      <c r="Z572">
        <v>5.0936637230698523E-3</v>
      </c>
      <c r="AA572">
        <v>3.6592849578820363E-4</v>
      </c>
      <c r="AC572">
        <v>-4.5419011540430709E-3</v>
      </c>
      <c r="AD572">
        <v>-5.5339718910797364E-3</v>
      </c>
      <c r="AE572">
        <v>-1.0843126886129761E-3</v>
      </c>
      <c r="AF572">
        <v>-1.4047811011259626E-3</v>
      </c>
      <c r="AG572">
        <v>5.3674955311955319E-3</v>
      </c>
      <c r="AH572">
        <v>8.7209197713085107E-3</v>
      </c>
      <c r="AI572">
        <v>3.2345669242572761E-3</v>
      </c>
      <c r="AJ572">
        <v>-8.4549356223175831E-3</v>
      </c>
      <c r="AK572">
        <v>-1.1072664359861317E-3</v>
      </c>
      <c r="AL572">
        <v>-6.4662310666294687E-3</v>
      </c>
    </row>
    <row r="573" spans="1:38">
      <c r="A573" s="568">
        <v>44662</v>
      </c>
      <c r="B573">
        <v>4.4832723359127799E-4</v>
      </c>
      <c r="C573">
        <v>4.6542044077102496E-4</v>
      </c>
      <c r="D573">
        <v>4.0185839653728017E-4</v>
      </c>
      <c r="E573">
        <v>4.9650180668270316E-4</v>
      </c>
      <c r="F573">
        <v>5.348881290632157E-4</v>
      </c>
      <c r="G573">
        <v>4.0050455171325439E-4</v>
      </c>
      <c r="H573">
        <v>5.5849350720271751E-4</v>
      </c>
      <c r="I573">
        <v>6.8117464603068001E-4</v>
      </c>
      <c r="J573">
        <v>-3.6629449197138619E-3</v>
      </c>
      <c r="K573">
        <v>-3.6500512917400085E-3</v>
      </c>
      <c r="L573">
        <v>8.8091419321534303E-4</v>
      </c>
      <c r="M573">
        <v>8.9916691778002544E-4</v>
      </c>
      <c r="N573">
        <v>9.0462648279565627E-4</v>
      </c>
      <c r="O573">
        <v>5.4612392438491142E-4</v>
      </c>
      <c r="P573">
        <v>5.3573019985209136E-4</v>
      </c>
      <c r="Q573">
        <v>5.4958248556946643E-4</v>
      </c>
      <c r="R573">
        <v>-2.4645497947922701E-3</v>
      </c>
      <c r="S573">
        <v>-3.184729768267669E-3</v>
      </c>
      <c r="T573">
        <v>-4.8192930485202456E-3</v>
      </c>
      <c r="U573">
        <v>-1.2933947504130128E-3</v>
      </c>
      <c r="V573">
        <v>-2.0611124461615837E-3</v>
      </c>
      <c r="W573">
        <v>8.7533942476314408E-4</v>
      </c>
      <c r="X573">
        <v>4.6360023829761232E-4</v>
      </c>
      <c r="Y573">
        <v>-2.0611124461615837E-3</v>
      </c>
      <c r="Z573">
        <v>6.559924178490828E-4</v>
      </c>
      <c r="AA573">
        <v>-2.0662875354495736E-3</v>
      </c>
      <c r="AC573">
        <v>-1.1573561897820328E-2</v>
      </c>
      <c r="AD573">
        <v>-1.1753705148764615E-2</v>
      </c>
      <c r="AE573">
        <v>-1.031730997365754E-2</v>
      </c>
      <c r="AF573">
        <v>-9.43646125972053E-3</v>
      </c>
      <c r="AG573">
        <v>-6.8542297565749033E-3</v>
      </c>
      <c r="AH573">
        <v>-6.2986291580657827E-3</v>
      </c>
      <c r="AI573">
        <v>-6.8915446993728091E-3</v>
      </c>
      <c r="AJ573">
        <v>-2.1339220014716775E-2</v>
      </c>
      <c r="AK573">
        <v>-3.630317306359987E-2</v>
      </c>
      <c r="AL573">
        <v>-2.1406652802762993E-2</v>
      </c>
    </row>
    <row r="574" spans="1:38">
      <c r="A574" s="568">
        <v>44663</v>
      </c>
      <c r="B574">
        <v>4.4832723359127799E-4</v>
      </c>
      <c r="C574">
        <v>4.3385993522848665E-4</v>
      </c>
      <c r="D574">
        <v>4.3874412273403607E-4</v>
      </c>
      <c r="E574">
        <v>4.9650180668270316E-4</v>
      </c>
      <c r="F574">
        <v>4.5654619349022596E-4</v>
      </c>
      <c r="G574">
        <v>4.1880413964312524E-4</v>
      </c>
      <c r="H574">
        <v>5.5942217023541296E-4</v>
      </c>
      <c r="I574">
        <v>5.982676458002878E-4</v>
      </c>
      <c r="J574">
        <v>8.5664033764132341E-4</v>
      </c>
      <c r="K574">
        <v>1.7395220491909225E-3</v>
      </c>
      <c r="L574">
        <v>8.8091419321534303E-4</v>
      </c>
      <c r="M574">
        <v>8.9916691778002544E-4</v>
      </c>
      <c r="N574">
        <v>9.0462648279565627E-4</v>
      </c>
      <c r="O574">
        <v>5.4612392438491142E-4</v>
      </c>
      <c r="P574">
        <v>5.3573019985209136E-4</v>
      </c>
      <c r="Q574">
        <v>5.4958248556946643E-4</v>
      </c>
      <c r="R574">
        <v>4.3919773052878419E-3</v>
      </c>
      <c r="S574">
        <v>1.4236391472179921E-3</v>
      </c>
      <c r="T574">
        <v>-5.4571357208255122E-4</v>
      </c>
      <c r="U574">
        <v>-4.2265331002108164E-3</v>
      </c>
      <c r="V574">
        <v>-7.5483231608497459E-4</v>
      </c>
      <c r="W574">
        <v>-2.4446329701732772E-3</v>
      </c>
      <c r="X574">
        <v>-3.9788014122232873E-3</v>
      </c>
      <c r="Y574">
        <v>-7.5483231608497459E-4</v>
      </c>
      <c r="Z574">
        <v>-6.9187044384144691E-4</v>
      </c>
      <c r="AA574">
        <v>2.2688470713996267E-3</v>
      </c>
      <c r="AC574">
        <v>-6.8915806669098689E-3</v>
      </c>
      <c r="AD574">
        <v>-2.2071977600868209E-3</v>
      </c>
      <c r="AE574">
        <v>-3.1883962527935461E-3</v>
      </c>
      <c r="AF574">
        <v>3.2152997842083142E-3</v>
      </c>
      <c r="AG574">
        <v>1.2143792049659208E-3</v>
      </c>
      <c r="AH574">
        <v>2.7362101167893726E-4</v>
      </c>
      <c r="AI574">
        <v>-2.2980584464953324E-3</v>
      </c>
      <c r="AJ574">
        <v>-7.0765148164528835E-3</v>
      </c>
      <c r="AK574">
        <v>1.1933860531991414E-2</v>
      </c>
      <c r="AL574">
        <v>-7.1492386393535723E-3</v>
      </c>
    </row>
    <row r="575" spans="1:38">
      <c r="A575" s="568">
        <v>44664</v>
      </c>
      <c r="B575">
        <v>4.4832723359127799E-4</v>
      </c>
      <c r="C575">
        <v>5.7274479553681701E-4</v>
      </c>
      <c r="D575">
        <v>3.6607694069723529E-4</v>
      </c>
      <c r="E575">
        <v>4.9650180668270316E-4</v>
      </c>
      <c r="F575">
        <v>5.6158407344319983E-4</v>
      </c>
      <c r="G575">
        <v>3.3406352156650776E-4</v>
      </c>
      <c r="H575">
        <v>5.5601011603689798E-4</v>
      </c>
      <c r="I575">
        <v>5.9402617572179572E-4</v>
      </c>
      <c r="J575">
        <v>2.5227076825402595E-3</v>
      </c>
      <c r="K575">
        <v>1.6413062427069747E-3</v>
      </c>
      <c r="L575">
        <v>8.8091419321534303E-4</v>
      </c>
      <c r="M575">
        <v>8.9916691778002544E-4</v>
      </c>
      <c r="N575">
        <v>9.0462648279565627E-4</v>
      </c>
      <c r="O575">
        <v>5.4612392438491142E-4</v>
      </c>
      <c r="P575">
        <v>5.3573019985209136E-4</v>
      </c>
      <c r="Q575">
        <v>5.4958248556946643E-4</v>
      </c>
      <c r="R575">
        <v>2.2455428690437707E-4</v>
      </c>
      <c r="S575">
        <v>3.5015233302297943E-3</v>
      </c>
      <c r="T575">
        <v>-1.2170006983102111E-3</v>
      </c>
      <c r="U575">
        <v>-7.9853682909236667E-4</v>
      </c>
      <c r="V575">
        <v>1.2281083886755972E-3</v>
      </c>
      <c r="W575">
        <v>-1.5349847596204391E-3</v>
      </c>
      <c r="X575">
        <v>-1.4840824673002517E-3</v>
      </c>
      <c r="Y575">
        <v>1.2281083886755972E-3</v>
      </c>
      <c r="Z575">
        <v>-6.6969727485244324E-4</v>
      </c>
      <c r="AA575">
        <v>5.2300749765010757E-3</v>
      </c>
      <c r="AC575">
        <v>5.4680772256778809E-3</v>
      </c>
      <c r="AD575">
        <v>1.0032698105892468E-2</v>
      </c>
      <c r="AE575">
        <v>7.9336680960186978E-3</v>
      </c>
      <c r="AF575">
        <v>4.1623298700186329E-3</v>
      </c>
      <c r="AG575">
        <v>1.0107416051903018E-2</v>
      </c>
      <c r="AH575">
        <v>6.4055229647217438E-3</v>
      </c>
      <c r="AI575">
        <v>1.3895101112533004E-2</v>
      </c>
      <c r="AJ575">
        <v>1.2917594654788367E-2</v>
      </c>
      <c r="AK575">
        <v>6.6780335322533801E-3</v>
      </c>
      <c r="AL575">
        <v>8.2273245474115964E-3</v>
      </c>
    </row>
    <row r="576" spans="1:38">
      <c r="A576" s="568">
        <v>44665</v>
      </c>
      <c r="B576">
        <v>4.4832723359127799E-4</v>
      </c>
      <c r="C576">
        <v>4.2804030986554054E-4</v>
      </c>
      <c r="D576">
        <v>3.9449922131340465E-4</v>
      </c>
      <c r="E576">
        <v>4.9650180668270316E-4</v>
      </c>
      <c r="F576">
        <v>5.4339924249013905E-4</v>
      </c>
      <c r="G576">
        <v>4.4847475310061391E-4</v>
      </c>
      <c r="H576">
        <v>5.5446211908605214E-4</v>
      </c>
      <c r="I576">
        <v>5.9329913727834693E-4</v>
      </c>
      <c r="J576">
        <v>1.86985770992254E-3</v>
      </c>
      <c r="K576">
        <v>9.2602057298551976E-4</v>
      </c>
      <c r="L576">
        <v>8.8091419321534303E-4</v>
      </c>
      <c r="M576">
        <v>8.9916691778002544E-4</v>
      </c>
      <c r="N576">
        <v>9.0462648279565627E-4</v>
      </c>
      <c r="O576">
        <v>5.4612392438491142E-4</v>
      </c>
      <c r="P576">
        <v>5.3573019985209136E-4</v>
      </c>
      <c r="Q576">
        <v>5.4958248556946643E-4</v>
      </c>
      <c r="R576">
        <v>-2.6626642212642659E-3</v>
      </c>
      <c r="S576">
        <v>2.3637625089723002E-3</v>
      </c>
      <c r="T576">
        <v>1.2585088754923923E-3</v>
      </c>
      <c r="U576">
        <v>2.6963799983181769E-3</v>
      </c>
      <c r="V576">
        <v>2.4555183203420761E-3</v>
      </c>
      <c r="W576">
        <v>3.0040346158344278E-3</v>
      </c>
      <c r="X576">
        <v>8.2506921054930071E-3</v>
      </c>
      <c r="Y576">
        <v>2.4555183203420761E-3</v>
      </c>
      <c r="Z576">
        <v>6.2817777947343778E-4</v>
      </c>
      <c r="AA576">
        <v>-3.7275457959180525E-3</v>
      </c>
      <c r="AC576">
        <v>-5.140776880264819E-3</v>
      </c>
      <c r="AD576">
        <v>-1.0333184049591604E-2</v>
      </c>
      <c r="AE576">
        <v>-4.0106662927746894E-3</v>
      </c>
      <c r="AF576">
        <v>-5.8898546871943847E-4</v>
      </c>
      <c r="AG576">
        <v>-6.2509851838032926E-3</v>
      </c>
      <c r="AH576">
        <v>-3.2112002087002489E-3</v>
      </c>
      <c r="AI576">
        <v>-3.1262283889843534E-3</v>
      </c>
      <c r="AJ576">
        <v>-9.674582233949014E-3</v>
      </c>
      <c r="AK576">
        <v>5.7868736767821005E-3</v>
      </c>
      <c r="AL576">
        <v>6.3270596937672341E-3</v>
      </c>
    </row>
    <row r="577" spans="1:38">
      <c r="A577" s="568">
        <v>44669</v>
      </c>
      <c r="B577">
        <v>4.4832723359127799E-4</v>
      </c>
      <c r="C577">
        <v>4.4873680182644371E-4</v>
      </c>
      <c r="D577">
        <v>4.2658891154290224E-4</v>
      </c>
      <c r="E577">
        <v>4.9650180668270316E-4</v>
      </c>
      <c r="F577">
        <v>6.4255143658753511E-4</v>
      </c>
      <c r="G577">
        <v>5.5016204701519023E-4</v>
      </c>
      <c r="H577">
        <v>5.5415486120735657E-4</v>
      </c>
      <c r="I577">
        <v>5.9462594538151059E-4</v>
      </c>
      <c r="J577">
        <v>3.1782806146365417E-3</v>
      </c>
      <c r="K577">
        <v>2.9781076281463204E-3</v>
      </c>
      <c r="L577">
        <v>8.8091419321534303E-4</v>
      </c>
      <c r="M577">
        <v>8.9916691778002544E-4</v>
      </c>
      <c r="N577">
        <v>9.0462648279565627E-4</v>
      </c>
      <c r="O577">
        <v>5.4612392438491142E-4</v>
      </c>
      <c r="P577">
        <v>5.3573019985209136E-4</v>
      </c>
      <c r="Q577">
        <v>5.4958248556946643E-4</v>
      </c>
      <c r="R577">
        <v>-7.5397485741934833E-4</v>
      </c>
      <c r="S577">
        <v>1.6039000365426492E-3</v>
      </c>
      <c r="T577">
        <v>3.7653266701678234E-3</v>
      </c>
      <c r="U577">
        <v>1.5394523617182632E-3</v>
      </c>
      <c r="V577">
        <v>8.4266614952377417E-4</v>
      </c>
      <c r="W577">
        <v>8.9049531068963184E-4</v>
      </c>
      <c r="X577">
        <v>-2.8789871757076702E-3</v>
      </c>
      <c r="Y577">
        <v>8.4266614952377417E-4</v>
      </c>
      <c r="Z577">
        <v>1.8716872593385059E-3</v>
      </c>
      <c r="AA577">
        <v>-2.0691943902925169E-3</v>
      </c>
      <c r="AC577">
        <v>-4.2550623975687873E-3</v>
      </c>
      <c r="AD577">
        <v>-5.5742251318336988E-3</v>
      </c>
      <c r="AE577">
        <v>-1.3068156262353581E-3</v>
      </c>
      <c r="AF577">
        <v>-6.0039018880231332E-4</v>
      </c>
      <c r="AG577">
        <v>-1.3273150739420148E-3</v>
      </c>
      <c r="AH577">
        <v>9.7308256234063251E-3</v>
      </c>
      <c r="AI577">
        <v>2.0810333086429544E-4</v>
      </c>
      <c r="AJ577">
        <v>-7.5044404973356738E-3</v>
      </c>
      <c r="AK577">
        <v>-2.806623631770977E-3</v>
      </c>
      <c r="AL577">
        <v>-8.8546808942540078E-3</v>
      </c>
    </row>
    <row r="578" spans="1:38">
      <c r="A578" s="568">
        <v>44670</v>
      </c>
      <c r="B578">
        <v>4.4832723359127799E-4</v>
      </c>
      <c r="C578">
        <v>4.4210575760383897E-4</v>
      </c>
      <c r="D578">
        <v>3.8255102353534909E-4</v>
      </c>
      <c r="E578">
        <v>4.9650180668270316E-4</v>
      </c>
      <c r="F578">
        <v>4.1132581994407502E-4</v>
      </c>
      <c r="G578">
        <v>4.9379063085108754E-4</v>
      </c>
      <c r="H578">
        <v>5.5446676819514984E-4</v>
      </c>
      <c r="I578">
        <v>5.9309264497642289E-4</v>
      </c>
      <c r="J578">
        <v>-2.5986694331292526E-5</v>
      </c>
      <c r="K578">
        <v>1.715660757184434E-4</v>
      </c>
      <c r="L578">
        <v>8.8091419321534303E-4</v>
      </c>
      <c r="M578">
        <v>8.9916691778002544E-4</v>
      </c>
      <c r="N578">
        <v>9.0462648279565627E-4</v>
      </c>
      <c r="O578">
        <v>5.4612392438491142E-4</v>
      </c>
      <c r="P578">
        <v>5.3573019985209136E-4</v>
      </c>
      <c r="Q578">
        <v>5.4958248556946643E-4</v>
      </c>
      <c r="R578">
        <v>-2.0765092843401112E-3</v>
      </c>
      <c r="S578">
        <v>-5.1649374047602059E-4</v>
      </c>
      <c r="T578">
        <v>1.7689362899562244E-3</v>
      </c>
      <c r="U578">
        <v>2.2062679001755292E-3</v>
      </c>
      <c r="V578">
        <v>1.9007459966691176E-3</v>
      </c>
      <c r="W578">
        <v>1.7852306384018579E-3</v>
      </c>
      <c r="X578">
        <v>6.5952047772361855E-3</v>
      </c>
      <c r="Y578">
        <v>1.9007459966691176E-3</v>
      </c>
      <c r="Z578">
        <v>3.8169741849425343E-4</v>
      </c>
      <c r="AA578">
        <v>4.6359350747935402E-3</v>
      </c>
      <c r="AC578">
        <v>-5.4508167494689008E-3</v>
      </c>
      <c r="AD578">
        <v>1.547412152934613E-2</v>
      </c>
      <c r="AE578">
        <v>-2.4041126310215821E-3</v>
      </c>
      <c r="AF578">
        <v>-5.7819505533118765E-3</v>
      </c>
      <c r="AG578">
        <v>1.4883984865792232E-3</v>
      </c>
      <c r="AH578">
        <v>-1.1805819568697307E-2</v>
      </c>
      <c r="AI578">
        <v>-6.5409665842682818E-3</v>
      </c>
      <c r="AJ578">
        <v>1.6285624804259324E-2</v>
      </c>
      <c r="AK578">
        <v>-2.2938361947649755E-2</v>
      </c>
      <c r="AL578">
        <v>-1.3023656964503472E-2</v>
      </c>
    </row>
    <row r="579" spans="1:38">
      <c r="A579" s="568">
        <v>44671</v>
      </c>
      <c r="B579">
        <v>4.4832723359127799E-4</v>
      </c>
      <c r="C579">
        <v>4.7738475069425412E-4</v>
      </c>
      <c r="D579">
        <v>2.4718980056870343E-4</v>
      </c>
      <c r="E579">
        <v>4.9650180668270316E-4</v>
      </c>
      <c r="F579">
        <v>5.3239521484949037E-4</v>
      </c>
      <c r="G579">
        <v>5.5674606801359161E-4</v>
      </c>
      <c r="H579">
        <v>5.5725191311828404E-4</v>
      </c>
      <c r="I579">
        <v>5.9200140505510923E-4</v>
      </c>
      <c r="J579">
        <v>1.1031798835299256E-3</v>
      </c>
      <c r="K579">
        <v>1.4883081230363526E-3</v>
      </c>
      <c r="L579">
        <v>8.8091419321534303E-4</v>
      </c>
      <c r="M579">
        <v>8.9916691778002544E-4</v>
      </c>
      <c r="N579">
        <v>9.0462648279565627E-4</v>
      </c>
      <c r="O579">
        <v>5.4612392438491142E-4</v>
      </c>
      <c r="P579">
        <v>5.3573019985209136E-4</v>
      </c>
      <c r="Q579">
        <v>5.4958248556946643E-4</v>
      </c>
      <c r="R579">
        <v>3.298137022877734E-3</v>
      </c>
      <c r="S579">
        <v>2.258579906149194E-3</v>
      </c>
      <c r="T579">
        <v>-1.0703791096714488E-3</v>
      </c>
      <c r="U579">
        <v>1.4400133681566896E-3</v>
      </c>
      <c r="V579">
        <v>8.7719702167432523E-4</v>
      </c>
      <c r="W579">
        <v>1.8440672973125682E-3</v>
      </c>
      <c r="X579">
        <v>-2.5744342844569168E-3</v>
      </c>
      <c r="Y579">
        <v>8.7719702167432523E-4</v>
      </c>
      <c r="Z579">
        <v>3.2697085481472321E-3</v>
      </c>
      <c r="AA579">
        <v>-5.1138232329239752E-4</v>
      </c>
      <c r="AC579">
        <v>-6.1959038268624145E-3</v>
      </c>
      <c r="AD579">
        <v>-4.6307513749754836E-3</v>
      </c>
      <c r="AE579">
        <v>1.2521976821755487E-4</v>
      </c>
      <c r="AF579">
        <v>5.7428179087870568E-3</v>
      </c>
      <c r="AG579">
        <v>-1.3762900118823307E-3</v>
      </c>
      <c r="AH579">
        <v>1.2740779231195543E-2</v>
      </c>
      <c r="AI579">
        <v>9.6599868023012903E-3</v>
      </c>
      <c r="AJ579">
        <v>-7.2639225181598821E-3</v>
      </c>
      <c r="AK579">
        <v>-1.5411205530750482E-2</v>
      </c>
      <c r="AL579">
        <v>-5.3640350361545686E-3</v>
      </c>
    </row>
    <row r="580" spans="1:38">
      <c r="A580" s="568">
        <v>44673</v>
      </c>
      <c r="B580">
        <v>4.4832723359127799E-4</v>
      </c>
      <c r="C580">
        <v>4.8942662067053E-4</v>
      </c>
      <c r="D580">
        <v>4.0290429042899589E-4</v>
      </c>
      <c r="E580">
        <v>4.9650180668270316E-4</v>
      </c>
      <c r="F580">
        <v>4.5794856872838352E-4</v>
      </c>
      <c r="G580">
        <v>4.8053480697340945E-4</v>
      </c>
      <c r="H580">
        <v>5.5199645931058861E-4</v>
      </c>
      <c r="I580">
        <v>5.8562954156204938E-4</v>
      </c>
      <c r="J580">
        <v>1.9396941788918376E-4</v>
      </c>
      <c r="K580">
        <v>-3.0329059068190389E-5</v>
      </c>
      <c r="L580">
        <v>8.8091419321534303E-4</v>
      </c>
      <c r="M580">
        <v>8.9916691778002544E-4</v>
      </c>
      <c r="N580">
        <v>9.0462648279565627E-4</v>
      </c>
      <c r="O580">
        <v>5.4612392438491142E-4</v>
      </c>
      <c r="P580">
        <v>5.3573019985209136E-4</v>
      </c>
      <c r="Q580">
        <v>5.4958248556946643E-4</v>
      </c>
      <c r="R580">
        <v>-9.2443455198130131E-3</v>
      </c>
      <c r="S580">
        <v>-2.8583136119993968E-3</v>
      </c>
      <c r="T580">
        <v>5.3794937479429983E-3</v>
      </c>
      <c r="U580">
        <v>6.2886605063756651E-3</v>
      </c>
      <c r="V580">
        <v>-1.8517709140846161E-3</v>
      </c>
      <c r="W580">
        <v>4.9784255330262983E-3</v>
      </c>
      <c r="X580">
        <v>1.0407914289774389E-2</v>
      </c>
      <c r="Y580">
        <v>-1.8517709140846161E-3</v>
      </c>
      <c r="Z580">
        <v>-9.4693416874758185E-3</v>
      </c>
      <c r="AA580">
        <v>-3.0581497810059366E-3</v>
      </c>
      <c r="AC580">
        <v>-2.8565349160225462E-2</v>
      </c>
      <c r="AD580">
        <v>-2.9073047755737047E-2</v>
      </c>
      <c r="AE580">
        <v>-3.0786268223589985E-2</v>
      </c>
      <c r="AF580">
        <v>-3.5925486545732355E-2</v>
      </c>
      <c r="AG580">
        <v>-2.0040841985874192E-2</v>
      </c>
      <c r="AH580">
        <v>-2.8916129676391567E-2</v>
      </c>
      <c r="AI580">
        <v>-1.4704183358221878E-2</v>
      </c>
      <c r="AJ580">
        <v>-6.6518847006651338E-3</v>
      </c>
      <c r="AK580">
        <v>-2.8818022235225227E-2</v>
      </c>
      <c r="AL580">
        <v>2.9880841830336458E-2</v>
      </c>
    </row>
    <row r="581" spans="1:38">
      <c r="A581" s="568">
        <v>44676</v>
      </c>
      <c r="B581">
        <v>4.4832723359127799E-4</v>
      </c>
      <c r="C581">
        <v>4.6835444727322262E-4</v>
      </c>
      <c r="D581">
        <v>4.3757947293054933E-4</v>
      </c>
      <c r="E581">
        <v>4.9650180668270316E-4</v>
      </c>
      <c r="F581">
        <v>6.0883330848859885E-4</v>
      </c>
      <c r="G581">
        <v>5.4771050295276957E-4</v>
      </c>
      <c r="H581">
        <v>5.5601650009839965E-4</v>
      </c>
      <c r="I581">
        <v>5.7781634176778951E-4</v>
      </c>
      <c r="J581">
        <v>1.2578732225922984E-3</v>
      </c>
      <c r="K581">
        <v>1.4272165780344626E-3</v>
      </c>
      <c r="L581">
        <v>8.8091419321534303E-4</v>
      </c>
      <c r="M581">
        <v>8.9916691778002544E-4</v>
      </c>
      <c r="N581">
        <v>9.0462648279565627E-4</v>
      </c>
      <c r="O581">
        <v>5.4612392438491142E-4</v>
      </c>
      <c r="P581">
        <v>5.3573019985209136E-4</v>
      </c>
      <c r="Q581">
        <v>5.4958248556946643E-4</v>
      </c>
      <c r="R581">
        <v>1.8314448084977286E-5</v>
      </c>
      <c r="S581">
        <v>-3.964397341518211E-3</v>
      </c>
      <c r="T581">
        <v>7.8844159731916719E-4</v>
      </c>
      <c r="U581">
        <v>-4.6971845130701073E-3</v>
      </c>
      <c r="V581">
        <v>-1.6316597298081659E-3</v>
      </c>
      <c r="W581">
        <v>-3.1530074840615541E-3</v>
      </c>
      <c r="X581">
        <v>4.1718022240222474E-4</v>
      </c>
      <c r="Y581">
        <v>-1.6316597298081659E-3</v>
      </c>
      <c r="Z581">
        <v>-3.8329093811138026E-3</v>
      </c>
      <c r="AA581">
        <v>2.819433951095629E-4</v>
      </c>
      <c r="AC581">
        <v>-3.5341087498270696E-3</v>
      </c>
      <c r="AD581">
        <v>2.8186620998795764E-3</v>
      </c>
      <c r="AE581">
        <v>-3.2654790776063258E-3</v>
      </c>
      <c r="AF581">
        <v>-3.1482073233795038E-3</v>
      </c>
      <c r="AG581">
        <v>-7.9558604139318145E-4</v>
      </c>
      <c r="AH581">
        <v>1.8065315897692891E-3</v>
      </c>
      <c r="AI581">
        <v>-9.3752609075614668E-4</v>
      </c>
      <c r="AJ581">
        <v>1.9955357142857233E-2</v>
      </c>
      <c r="AK581">
        <v>-4.1120650700406713E-2</v>
      </c>
      <c r="AL581">
        <v>-2.5898353446985434E-2</v>
      </c>
    </row>
    <row r="582" spans="1:38">
      <c r="A582" s="568">
        <v>44677</v>
      </c>
      <c r="B582">
        <v>4.4832723359127799E-4</v>
      </c>
      <c r="C582">
        <v>4.3842988368547609E-4</v>
      </c>
      <c r="D582">
        <v>5.2338839111887303E-4</v>
      </c>
      <c r="E582">
        <v>4.9650180668270316E-4</v>
      </c>
      <c r="F582">
        <v>4.5584110172658399E-4</v>
      </c>
      <c r="G582">
        <v>3.7144790952936546E-4</v>
      </c>
      <c r="H582">
        <v>5.5509006475218392E-4</v>
      </c>
      <c r="I582">
        <v>5.7695226034115699E-4</v>
      </c>
      <c r="J582">
        <v>-9.4627989516038458E-4</v>
      </c>
      <c r="K582">
        <v>-1.1747959979185874E-3</v>
      </c>
      <c r="L582">
        <v>8.8091419321534303E-4</v>
      </c>
      <c r="M582">
        <v>8.9916691778002544E-4</v>
      </c>
      <c r="N582">
        <v>9.0462648279565627E-4</v>
      </c>
      <c r="O582">
        <v>5.4612392438491142E-4</v>
      </c>
      <c r="P582">
        <v>5.3573019985209136E-4</v>
      </c>
      <c r="Q582">
        <v>5.4958248556946643E-4</v>
      </c>
      <c r="R582">
        <v>8.967810505098317E-4</v>
      </c>
      <c r="S582">
        <v>-6.2409762746151731E-4</v>
      </c>
      <c r="T582">
        <v>-2.4258563982013648E-3</v>
      </c>
      <c r="U582">
        <v>-3.210807373654867E-3</v>
      </c>
      <c r="V582">
        <v>-1.8397713789745085E-3</v>
      </c>
      <c r="W582">
        <v>2.6879540267172874E-3</v>
      </c>
      <c r="X582">
        <v>1.0657078592397617E-3</v>
      </c>
      <c r="Y582">
        <v>-1.8397713789745085E-3</v>
      </c>
      <c r="Z582">
        <v>-4.0757451119881605E-3</v>
      </c>
      <c r="AA582">
        <v>7.4190545916952289E-4</v>
      </c>
      <c r="AC582">
        <v>-2.2334472753522516E-2</v>
      </c>
      <c r="AD582">
        <v>-1.7957544094328037E-2</v>
      </c>
      <c r="AE582">
        <v>-1.5538991634168497E-2</v>
      </c>
      <c r="AF582">
        <v>-7.2563679522074098E-3</v>
      </c>
      <c r="AG582">
        <v>-5.4251901485266041E-3</v>
      </c>
      <c r="AH582">
        <v>-1.0088362631011871E-2</v>
      </c>
      <c r="AI582">
        <v>-7.2065421830782572E-3</v>
      </c>
      <c r="AJ582">
        <v>-4.6833282269006515E-3</v>
      </c>
      <c r="AK582">
        <v>5.0267043669494083E-3</v>
      </c>
      <c r="AL582">
        <v>2.498270794902524E-2</v>
      </c>
    </row>
    <row r="583" spans="1:38">
      <c r="A583" s="568">
        <v>44678</v>
      </c>
      <c r="B583">
        <v>4.4832723359127799E-4</v>
      </c>
      <c r="C583">
        <v>4.5091307132616443E-4</v>
      </c>
      <c r="D583">
        <v>4.8461927065601706E-4</v>
      </c>
      <c r="E583">
        <v>4.9650180668270316E-4</v>
      </c>
      <c r="F583">
        <v>3.884618730740641E-4</v>
      </c>
      <c r="G583">
        <v>6.567186024386551E-4</v>
      </c>
      <c r="H583">
        <v>5.5910188243313286E-4</v>
      </c>
      <c r="I583">
        <v>5.77010738590511E-4</v>
      </c>
      <c r="J583">
        <v>2.5102411223252297E-3</v>
      </c>
      <c r="K583">
        <v>3.0522551662961472E-3</v>
      </c>
      <c r="L583">
        <v>8.8091419321534303E-4</v>
      </c>
      <c r="M583">
        <v>8.9916691778002544E-4</v>
      </c>
      <c r="N583">
        <v>9.0462648279565627E-4</v>
      </c>
      <c r="O583">
        <v>5.4612392438491142E-4</v>
      </c>
      <c r="P583">
        <v>5.3573019985209136E-4</v>
      </c>
      <c r="Q583">
        <v>5.4958248556946643E-4</v>
      </c>
      <c r="R583">
        <v>-3.0453478088500185E-3</v>
      </c>
      <c r="S583">
        <v>2.9437492589152736E-3</v>
      </c>
      <c r="T583">
        <v>6.2636241245614954E-3</v>
      </c>
      <c r="U583">
        <v>1.9810410843639215E-3</v>
      </c>
      <c r="V583">
        <v>1.5078317056305135E-3</v>
      </c>
      <c r="W583">
        <v>-5.1660253669649769E-4</v>
      </c>
      <c r="X583">
        <v>1.1241581127325873E-3</v>
      </c>
      <c r="Y583">
        <v>1.5078317056305135E-3</v>
      </c>
      <c r="Z583">
        <v>1.4485776497317193E-3</v>
      </c>
      <c r="AA583">
        <v>4.1430060927694079E-4</v>
      </c>
      <c r="AC583">
        <v>1.0502541010375177E-2</v>
      </c>
      <c r="AD583">
        <v>3.9459927064040556E-3</v>
      </c>
      <c r="AE583">
        <v>1.0046370618712608E-2</v>
      </c>
      <c r="AF583">
        <v>4.9617748811205953E-3</v>
      </c>
      <c r="AG583">
        <v>2.0484055387359756E-3</v>
      </c>
      <c r="AH583">
        <v>3.2216371038373826E-3</v>
      </c>
      <c r="AI583">
        <v>9.1433075542646236E-4</v>
      </c>
      <c r="AJ583">
        <v>-1.7590149516271136E-3</v>
      </c>
      <c r="AK583">
        <v>1.3754298218193295E-2</v>
      </c>
      <c r="AL583">
        <v>-2.2993233489493892E-2</v>
      </c>
    </row>
    <row r="584" spans="1:38">
      <c r="A584" s="568">
        <v>44679</v>
      </c>
      <c r="B584">
        <v>4.4832723359127799E-4</v>
      </c>
      <c r="C584">
        <v>4.5812144106016639E-4</v>
      </c>
      <c r="D584">
        <v>5.9032717302320847E-4</v>
      </c>
      <c r="E584">
        <v>4.9650180668270316E-4</v>
      </c>
      <c r="F584">
        <v>4.4979360864316753E-4</v>
      </c>
      <c r="G584">
        <v>4.5447350811222975E-4</v>
      </c>
      <c r="H584">
        <v>5.5323857349565131E-4</v>
      </c>
      <c r="I584">
        <v>5.9161767604209992E-4</v>
      </c>
      <c r="J584">
        <v>1.9035078862579269E-3</v>
      </c>
      <c r="K584">
        <v>2.0281347099631031E-3</v>
      </c>
      <c r="L584">
        <v>8.8091419321534303E-4</v>
      </c>
      <c r="M584">
        <v>8.9916691778002544E-4</v>
      </c>
      <c r="N584">
        <v>9.0462648279565627E-4</v>
      </c>
      <c r="O584">
        <v>5.4612392438491142E-4</v>
      </c>
      <c r="P584">
        <v>5.3573019985209136E-4</v>
      </c>
      <c r="Q584">
        <v>5.4958248556946643E-4</v>
      </c>
      <c r="R584">
        <v>5.5550219417233038E-4</v>
      </c>
      <c r="S584">
        <v>2.1562258355583008E-3</v>
      </c>
      <c r="T584">
        <v>4.5342638024685744E-3</v>
      </c>
      <c r="U584">
        <v>2.1766653545396419E-3</v>
      </c>
      <c r="V584">
        <v>3.6646107592233079E-3</v>
      </c>
      <c r="W584">
        <v>1.1642811828171951E-3</v>
      </c>
      <c r="X584">
        <v>2.5446825069652679E-3</v>
      </c>
      <c r="Y584">
        <v>3.6646107592233079E-3</v>
      </c>
      <c r="Z584">
        <v>4.4389464114795718E-3</v>
      </c>
      <c r="AA584">
        <v>5.5077619004364475E-3</v>
      </c>
      <c r="AC584">
        <v>5.208992059122064E-3</v>
      </c>
      <c r="AD584">
        <v>1.4374696677430077E-2</v>
      </c>
      <c r="AE584">
        <v>9.9663134335459258E-3</v>
      </c>
      <c r="AF584">
        <v>8.332182596642923E-3</v>
      </c>
      <c r="AG584">
        <v>1.5332639762615674E-2</v>
      </c>
      <c r="AH584">
        <v>1.4816635759247854E-2</v>
      </c>
      <c r="AI584">
        <v>7.5487900966162425E-3</v>
      </c>
      <c r="AJ584">
        <v>2.2026431718061623E-2</v>
      </c>
      <c r="AK584">
        <v>1.6959605303731085E-2</v>
      </c>
      <c r="AL584">
        <v>4.9568330480740386E-3</v>
      </c>
    </row>
    <row r="585" spans="1:38">
      <c r="A585" s="568">
        <v>44680</v>
      </c>
      <c r="B585">
        <v>4.4832723359127799E-4</v>
      </c>
      <c r="C585">
        <v>4.9648794947110275E-4</v>
      </c>
      <c r="D585">
        <v>4.8883965374546534E-4</v>
      </c>
      <c r="E585">
        <v>4.9650180668270316E-4</v>
      </c>
      <c r="F585">
        <v>5.280272924612639E-4</v>
      </c>
      <c r="G585">
        <v>5.0239151589259734E-4</v>
      </c>
      <c r="H585">
        <v>6.5094414640332054E-4</v>
      </c>
      <c r="I585">
        <v>5.8147056123503127E-4</v>
      </c>
      <c r="J585">
        <v>-1.6894124783084496E-4</v>
      </c>
      <c r="K585">
        <v>-5.8640023340128522E-4</v>
      </c>
      <c r="L585">
        <v>8.8091419321534303E-4</v>
      </c>
      <c r="M585">
        <v>8.9916691778002544E-4</v>
      </c>
      <c r="N585">
        <v>9.0462648279565627E-4</v>
      </c>
      <c r="O585">
        <v>5.4612392438491142E-4</v>
      </c>
      <c r="P585">
        <v>5.3573019985209136E-4</v>
      </c>
      <c r="Q585">
        <v>5.4958248556946643E-4</v>
      </c>
      <c r="R585">
        <v>-2.2586848388683745E-3</v>
      </c>
      <c r="S585">
        <v>5.9040446424774018E-4</v>
      </c>
      <c r="T585">
        <v>-1.3233344723594387E-3</v>
      </c>
      <c r="U585">
        <v>3.725590249004318E-3</v>
      </c>
      <c r="V585">
        <v>-1.656512856378356E-4</v>
      </c>
      <c r="W585">
        <v>5.4215406644417818E-3</v>
      </c>
      <c r="X585">
        <v>4.5846636122837126E-4</v>
      </c>
      <c r="Y585">
        <v>-1.656512856378356E-4</v>
      </c>
      <c r="Z585">
        <v>1.0749902745421647E-3</v>
      </c>
      <c r="AA585">
        <v>5.6522199868358491E-3</v>
      </c>
      <c r="AC585">
        <v>-1.8584690158577666E-2</v>
      </c>
      <c r="AD585">
        <v>-2.0233279087179645E-2</v>
      </c>
      <c r="AE585">
        <v>-1.6559039724422742E-2</v>
      </c>
      <c r="AF585">
        <v>-8.3422631939874536E-3</v>
      </c>
      <c r="AG585">
        <v>-9.8468121640066242E-3</v>
      </c>
      <c r="AH585">
        <v>-1.9400123688337989E-2</v>
      </c>
      <c r="AI585">
        <v>-1.8848842893484097E-3</v>
      </c>
      <c r="AJ585">
        <v>-3.4051724137931005E-2</v>
      </c>
      <c r="AK585">
        <v>5.7913887204366299E-2</v>
      </c>
      <c r="AL585">
        <v>6.4167631323277519E-3</v>
      </c>
    </row>
    <row r="586" spans="1:38">
      <c r="A586" s="568">
        <v>44683</v>
      </c>
      <c r="B586">
        <v>4.4832723359127799E-4</v>
      </c>
      <c r="C586">
        <v>4.7076414065427841E-4</v>
      </c>
      <c r="D586">
        <v>4.5648372743456456E-4</v>
      </c>
      <c r="E586">
        <v>4.9650180668270316E-4</v>
      </c>
      <c r="F586">
        <v>5.5765168833099565E-4</v>
      </c>
      <c r="G586">
        <v>4.9561569725731225E-4</v>
      </c>
      <c r="H586">
        <v>5.5503706920712048E-4</v>
      </c>
      <c r="I586">
        <v>5.8149140082486284E-4</v>
      </c>
      <c r="J586">
        <v>-9.4859115952272699E-4</v>
      </c>
      <c r="K586">
        <v>2.9756949528847443E-4</v>
      </c>
      <c r="L586">
        <v>5.3884267250192686E-4</v>
      </c>
      <c r="M586">
        <v>5.5708915882468624E-4</v>
      </c>
      <c r="N586">
        <v>5.6254685792223036E-4</v>
      </c>
      <c r="O586">
        <v>5.4612392438491142E-4</v>
      </c>
      <c r="P586">
        <v>5.3573019985209136E-4</v>
      </c>
      <c r="Q586">
        <v>5.4958248556946643E-4</v>
      </c>
      <c r="R586">
        <v>-3.6696325648636341E-3</v>
      </c>
      <c r="S586">
        <v>-4.0821962029122805E-3</v>
      </c>
      <c r="T586">
        <v>1.0526663661802882E-3</v>
      </c>
      <c r="U586">
        <v>2.4950454683181356E-3</v>
      </c>
      <c r="V586">
        <v>-1.6590883988071292E-3</v>
      </c>
      <c r="W586">
        <v>-1.2825151078355024E-4</v>
      </c>
      <c r="X586">
        <v>5.1076412077846189E-3</v>
      </c>
      <c r="Y586">
        <v>-1.6590883988071292E-3</v>
      </c>
      <c r="Z586">
        <v>-3.2907074874582998E-3</v>
      </c>
      <c r="AA586">
        <v>-2.7880599068826895E-3</v>
      </c>
      <c r="AC586">
        <v>-1.147167270321825E-2</v>
      </c>
      <c r="AD586">
        <v>-1.2538152289844673E-2</v>
      </c>
      <c r="AE586">
        <v>-1.1569672813879439E-2</v>
      </c>
      <c r="AF586">
        <v>-1.5169283192507654E-2</v>
      </c>
      <c r="AG586">
        <v>-5.5960396955929692E-3</v>
      </c>
      <c r="AH586">
        <v>2.8398186666271918E-3</v>
      </c>
      <c r="AI586">
        <v>-8.4361347945997034E-3</v>
      </c>
      <c r="AJ586">
        <v>2.7219991075412731E-2</v>
      </c>
      <c r="AK586">
        <v>1.4330753797648921E-3</v>
      </c>
      <c r="AL586">
        <v>1.2968851401591763E-2</v>
      </c>
    </row>
    <row r="587" spans="1:38">
      <c r="A587" s="568">
        <v>44684</v>
      </c>
      <c r="B587">
        <v>4.4832723359127799E-4</v>
      </c>
      <c r="C587">
        <v>4.8440335774424526E-4</v>
      </c>
      <c r="D587">
        <v>4.5417036809358713E-4</v>
      </c>
      <c r="E587">
        <v>4.9650180668270316E-4</v>
      </c>
      <c r="F587">
        <v>4.4264174733643635E-4</v>
      </c>
      <c r="G587">
        <v>5.3683939738702335E-4</v>
      </c>
      <c r="H587">
        <v>5.5842326390087571E-4</v>
      </c>
      <c r="I587">
        <v>5.8098272210238555E-4</v>
      </c>
      <c r="J587">
        <v>1.2650047207209969E-3</v>
      </c>
      <c r="K587">
        <v>5.1373922212061274E-4</v>
      </c>
      <c r="L587">
        <v>5.3884267250192686E-4</v>
      </c>
      <c r="M587">
        <v>5.5708915882468624E-4</v>
      </c>
      <c r="N587">
        <v>5.6254685792223036E-4</v>
      </c>
      <c r="O587">
        <v>5.4612392438491142E-4</v>
      </c>
      <c r="P587">
        <v>5.3573019985209136E-4</v>
      </c>
      <c r="Q587">
        <v>5.4958248556946643E-4</v>
      </c>
      <c r="R587">
        <v>3.2458206291983149E-3</v>
      </c>
      <c r="S587">
        <v>3.2008561393874757E-3</v>
      </c>
      <c r="T587">
        <v>-2.2050227887970841E-4</v>
      </c>
      <c r="U587">
        <v>1.1359638628807289E-3</v>
      </c>
      <c r="V587">
        <v>1.3091931636144416E-3</v>
      </c>
      <c r="W587">
        <v>1.1941364311640612E-3</v>
      </c>
      <c r="X587">
        <v>-1.5658765739745562E-3</v>
      </c>
      <c r="Y587">
        <v>1.3091931636144416E-3</v>
      </c>
      <c r="Z587">
        <v>4.0813391188674331E-3</v>
      </c>
      <c r="AA587">
        <v>2.5110061754014534E-3</v>
      </c>
      <c r="AC587">
        <v>-1.0366786373119385E-3</v>
      </c>
      <c r="AD587">
        <v>-2.4889698903461932E-3</v>
      </c>
      <c r="AE587">
        <v>-1.8753985631322356E-3</v>
      </c>
      <c r="AF587">
        <v>3.6590638024245337E-3</v>
      </c>
      <c r="AG587">
        <v>5.3697051694034936E-3</v>
      </c>
      <c r="AH587">
        <v>5.955294599173433E-3</v>
      </c>
      <c r="AI587">
        <v>-3.4363085287181239E-4</v>
      </c>
      <c r="AJ587">
        <v>-1.4986967854039968E-2</v>
      </c>
      <c r="AK587">
        <v>-3.0051516886089313E-3</v>
      </c>
      <c r="AL587">
        <v>-2.291835045058721E-2</v>
      </c>
    </row>
    <row r="588" spans="1:38">
      <c r="A588" s="568">
        <v>44685</v>
      </c>
      <c r="B588">
        <v>4.4832723359127799E-4</v>
      </c>
      <c r="C588">
        <v>4.6334723734631211E-4</v>
      </c>
      <c r="D588">
        <v>5.0025486170413025E-4</v>
      </c>
      <c r="E588">
        <v>4.9650180668270316E-4</v>
      </c>
      <c r="F588">
        <v>4.1499487917295852E-4</v>
      </c>
      <c r="G588">
        <v>4.887613562072346E-4</v>
      </c>
      <c r="H588">
        <v>5.5626558728150144E-4</v>
      </c>
      <c r="I588">
        <v>5.7937562667209619E-4</v>
      </c>
      <c r="J588">
        <v>4.3935840089994738E-3</v>
      </c>
      <c r="K588">
        <v>4.66643649400722E-3</v>
      </c>
      <c r="L588">
        <v>5.3884267250192686E-4</v>
      </c>
      <c r="M588">
        <v>5.5708915882468624E-4</v>
      </c>
      <c r="N588">
        <v>5.6254685792223036E-4</v>
      </c>
      <c r="O588">
        <v>5.4612392438491142E-4</v>
      </c>
      <c r="P588">
        <v>5.3573019985209136E-4</v>
      </c>
      <c r="Q588">
        <v>5.4958248556946643E-4</v>
      </c>
      <c r="R588">
        <v>5.6466347038122144E-3</v>
      </c>
      <c r="S588">
        <v>1.0405541881234326E-2</v>
      </c>
      <c r="T588">
        <v>1.5354861976839773E-2</v>
      </c>
      <c r="U588">
        <v>-3.0335426302611213E-3</v>
      </c>
      <c r="V588">
        <v>5.4071722721864557E-3</v>
      </c>
      <c r="W588">
        <v>-3.8391468689989994E-3</v>
      </c>
      <c r="X588">
        <v>-1.759603920559738E-3</v>
      </c>
      <c r="Y588">
        <v>5.4071722721864557E-3</v>
      </c>
      <c r="Z588">
        <v>1.7426146652612662E-3</v>
      </c>
      <c r="AA588">
        <v>1.8279222536232709E-4</v>
      </c>
      <c r="AC588">
        <v>1.7043861389047787E-2</v>
      </c>
      <c r="AD588">
        <v>2.5163133088850653E-2</v>
      </c>
      <c r="AE588">
        <v>2.0005857277120009E-2</v>
      </c>
      <c r="AF588">
        <v>2.2445605651745693E-2</v>
      </c>
      <c r="AG588">
        <v>1.7535674336993878E-2</v>
      </c>
      <c r="AH588">
        <v>2.8888596123790133E-2</v>
      </c>
      <c r="AI588">
        <v>8.3361479524217685E-3</v>
      </c>
      <c r="AJ588">
        <v>1.8743109151047488E-2</v>
      </c>
      <c r="AK588">
        <v>-1.2487440792306681E-2</v>
      </c>
      <c r="AL588">
        <v>-1.8686714770211887E-2</v>
      </c>
    </row>
    <row r="589" spans="1:38">
      <c r="A589" s="568">
        <v>44686</v>
      </c>
      <c r="B589">
        <v>4.8461201601320274E-4</v>
      </c>
      <c r="C589">
        <v>4.7897469482438559E-4</v>
      </c>
      <c r="D589">
        <v>5.4784955903897092E-4</v>
      </c>
      <c r="E589">
        <v>5.3190368595634752E-4</v>
      </c>
      <c r="F589">
        <v>5.5242443305880684E-4</v>
      </c>
      <c r="G589">
        <v>5.8700873843142709E-4</v>
      </c>
      <c r="H589">
        <v>5.5718631978440847E-4</v>
      </c>
      <c r="I589">
        <v>5.8277910476811634E-4</v>
      </c>
      <c r="J589">
        <v>-1.9859883178837689E-3</v>
      </c>
      <c r="K589">
        <v>-2.1499194952445677E-3</v>
      </c>
      <c r="L589">
        <v>5.3884267250192686E-4</v>
      </c>
      <c r="M589">
        <v>5.5708915882468624E-4</v>
      </c>
      <c r="N589">
        <v>5.6254685792223036E-4</v>
      </c>
      <c r="O589">
        <v>5.4612392438491142E-4</v>
      </c>
      <c r="P589">
        <v>5.3573019985209136E-4</v>
      </c>
      <c r="Q589">
        <v>5.4958248556946643E-4</v>
      </c>
      <c r="R589">
        <v>-6.2709188121466974E-3</v>
      </c>
      <c r="S589">
        <v>-4.8789400108389946E-3</v>
      </c>
      <c r="T589">
        <v>-1.4360145908927091E-3</v>
      </c>
      <c r="U589">
        <v>3.167451814901856E-3</v>
      </c>
      <c r="V589">
        <v>-3.2625717765790707E-3</v>
      </c>
      <c r="W589">
        <v>4.4734720515970938E-3</v>
      </c>
      <c r="X589">
        <v>3.1173565438284978E-3</v>
      </c>
      <c r="Y589">
        <v>-3.2625717765790707E-3</v>
      </c>
      <c r="Z589">
        <v>-1.998373511028495E-3</v>
      </c>
      <c r="AA589">
        <v>-2.4650253104285813E-4</v>
      </c>
      <c r="AC589">
        <v>-2.8054689638736918E-2</v>
      </c>
      <c r="AD589">
        <v>-3.2686126971396057E-2</v>
      </c>
      <c r="AE589">
        <v>-2.9516259673074474E-2</v>
      </c>
      <c r="AF589">
        <v>-2.2529145436321785E-2</v>
      </c>
      <c r="AG589">
        <v>-1.8214026469568045E-2</v>
      </c>
      <c r="AH589">
        <v>-2.8511443642377898E-2</v>
      </c>
      <c r="AI589">
        <v>-1.7690885810509704E-2</v>
      </c>
      <c r="AJ589">
        <v>-1.2987012987012991E-2</v>
      </c>
      <c r="AK589">
        <v>-1.2645348837209136E-2</v>
      </c>
      <c r="AL589">
        <v>2.918187687819862E-2</v>
      </c>
    </row>
    <row r="590" spans="1:38">
      <c r="A590" s="568">
        <v>44687</v>
      </c>
      <c r="B590">
        <v>4.8461201601320274E-4</v>
      </c>
      <c r="C590">
        <v>5.554461072263539E-4</v>
      </c>
      <c r="D590">
        <v>5.1496985849897037E-4</v>
      </c>
      <c r="E590">
        <v>5.3190368595634752E-4</v>
      </c>
      <c r="F590">
        <v>7.3683140716651607E-4</v>
      </c>
      <c r="G590">
        <v>5.4352599949925029E-4</v>
      </c>
      <c r="H590">
        <v>5.9252593683933874E-4</v>
      </c>
      <c r="I590">
        <v>6.2143480437448773E-4</v>
      </c>
      <c r="J590">
        <v>-1.0556075512919705E-3</v>
      </c>
      <c r="K590">
        <v>-3.3044180588537309E-4</v>
      </c>
      <c r="L590">
        <v>5.3884267250192686E-4</v>
      </c>
      <c r="M590">
        <v>5.5708915882468624E-4</v>
      </c>
      <c r="N590">
        <v>5.6254685792223036E-4</v>
      </c>
      <c r="O590">
        <v>5.4612392438491142E-4</v>
      </c>
      <c r="P590">
        <v>5.3573019985209136E-4</v>
      </c>
      <c r="Q590">
        <v>5.4958248556946643E-4</v>
      </c>
      <c r="R590">
        <v>-3.3294805347783285E-3</v>
      </c>
      <c r="S590">
        <v>-2.2467250019394536E-3</v>
      </c>
      <c r="T590">
        <v>5.8976462690862874E-4</v>
      </c>
      <c r="U590">
        <v>-1.7693696448695118E-3</v>
      </c>
      <c r="V590">
        <v>-8.7286693143617811E-5</v>
      </c>
      <c r="W590">
        <v>1.6100043857103508E-4</v>
      </c>
      <c r="X590">
        <v>1.4181593682398574E-3</v>
      </c>
      <c r="Y590">
        <v>-8.7286693143617811E-5</v>
      </c>
      <c r="Z590">
        <v>1.5292665986139653E-3</v>
      </c>
      <c r="AA590">
        <v>-6.3658618313323645E-3</v>
      </c>
      <c r="AC590">
        <v>-1.6092427091458639E-3</v>
      </c>
      <c r="AD590">
        <v>-1.0022301379230325E-2</v>
      </c>
      <c r="AE590">
        <v>-4.3397043126517376E-3</v>
      </c>
      <c r="AF590">
        <v>-1.3403333695115149E-2</v>
      </c>
      <c r="AG590">
        <v>-4.2627439199072192E-3</v>
      </c>
      <c r="AH590">
        <v>3.3694563708970282E-3</v>
      </c>
      <c r="AI590">
        <v>-1.0291889025596412E-2</v>
      </c>
      <c r="AJ590">
        <v>5.043859649122906E-3</v>
      </c>
      <c r="AK590">
        <v>-4.2985426174002694E-2</v>
      </c>
      <c r="AL590">
        <v>-1.8877374807175662E-2</v>
      </c>
    </row>
    <row r="591" spans="1:38">
      <c r="A591" s="568">
        <v>44690</v>
      </c>
      <c r="B591">
        <v>4.8461201601320274E-4</v>
      </c>
      <c r="C591">
        <v>5.9578722499420422E-4</v>
      </c>
      <c r="D591">
        <v>4.6743599278165071E-4</v>
      </c>
      <c r="E591">
        <v>5.3190368595634752E-4</v>
      </c>
      <c r="F591">
        <v>6.2505969501436276E-4</v>
      </c>
      <c r="G591">
        <v>5.8695291971333496E-4</v>
      </c>
      <c r="H591">
        <v>5.872607419266096E-4</v>
      </c>
      <c r="I591">
        <v>6.1473291316183065E-4</v>
      </c>
      <c r="J591">
        <v>7.193422746931688E-4</v>
      </c>
      <c r="K591">
        <v>1.3272601037495058E-4</v>
      </c>
      <c r="L591">
        <v>5.3884267250192686E-4</v>
      </c>
      <c r="M591">
        <v>5.5708915882468624E-4</v>
      </c>
      <c r="N591">
        <v>5.6254685792223036E-4</v>
      </c>
      <c r="O591">
        <v>5.4612392438491142E-4</v>
      </c>
      <c r="P591">
        <v>5.3573019985209136E-4</v>
      </c>
      <c r="Q591">
        <v>5.4958248556946643E-4</v>
      </c>
      <c r="R591">
        <v>-2.3538724710798764E-3</v>
      </c>
      <c r="S591">
        <v>-1.0732053553338172E-2</v>
      </c>
      <c r="T591">
        <v>7.104024844733825E-3</v>
      </c>
      <c r="U591">
        <v>-1.1077382618832621E-3</v>
      </c>
      <c r="V591">
        <v>-5.3479252668793276E-3</v>
      </c>
      <c r="W591">
        <v>7.9770756995811709E-4</v>
      </c>
      <c r="X591">
        <v>-2.4198613182566664E-3</v>
      </c>
      <c r="Y591">
        <v>-5.3479252668793276E-3</v>
      </c>
      <c r="Z591">
        <v>-6.5097040456710831E-3</v>
      </c>
      <c r="AA591">
        <v>-8.3369862966007346E-3</v>
      </c>
      <c r="AC591">
        <v>-1.7926616637527815E-2</v>
      </c>
      <c r="AD591">
        <v>-2.9466341852096067E-2</v>
      </c>
      <c r="AE591">
        <v>-2.3736597038245599E-2</v>
      </c>
      <c r="AF591">
        <v>-2.1487618019825683E-2</v>
      </c>
      <c r="AG591">
        <v>-1.0674312980032297E-2</v>
      </c>
      <c r="AH591">
        <v>-1.7397311634471335E-2</v>
      </c>
      <c r="AI591">
        <v>-1.9102707612853931E-2</v>
      </c>
      <c r="AJ591">
        <v>-1.8110408029674896E-2</v>
      </c>
      <c r="AK591">
        <v>-9.9984617751116556E-3</v>
      </c>
      <c r="AL591">
        <v>1.2442604206907459E-2</v>
      </c>
    </row>
    <row r="592" spans="1:38">
      <c r="A592" s="568">
        <v>44691</v>
      </c>
      <c r="B592">
        <v>4.8461201601320274E-4</v>
      </c>
      <c r="C592">
        <v>4.6418349259980118E-4</v>
      </c>
      <c r="D592">
        <v>5.0239015924247177E-4</v>
      </c>
      <c r="E592">
        <v>5.3190368595634752E-4</v>
      </c>
      <c r="F592">
        <v>5.1713430267819049E-4</v>
      </c>
      <c r="G592">
        <v>4.9063229576029599E-4</v>
      </c>
      <c r="H592">
        <v>5.9059964281615862E-4</v>
      </c>
      <c r="I592">
        <v>6.1412886320821869E-4</v>
      </c>
      <c r="J592">
        <v>-1.3713046351098157E-3</v>
      </c>
      <c r="K592">
        <v>-8.2046798776436169E-4</v>
      </c>
      <c r="L592">
        <v>5.3884267250192686E-4</v>
      </c>
      <c r="M592">
        <v>5.5708915882468624E-4</v>
      </c>
      <c r="N592">
        <v>5.6254685792223036E-4</v>
      </c>
      <c r="O592">
        <v>5.4612392438491142E-4</v>
      </c>
      <c r="P592">
        <v>5.3573019985209136E-4</v>
      </c>
      <c r="Q592">
        <v>5.4958248556946643E-4</v>
      </c>
      <c r="R592">
        <v>9.9399469252503536E-4</v>
      </c>
      <c r="S592">
        <v>2.1631454871116063E-3</v>
      </c>
      <c r="T592">
        <v>-1.1210516747350852E-4</v>
      </c>
      <c r="U592">
        <v>1.4315285674870726E-3</v>
      </c>
      <c r="V592">
        <v>9.3768548735373436E-4</v>
      </c>
      <c r="W592">
        <v>9.7844135723779146E-5</v>
      </c>
      <c r="X592">
        <v>-3.097138569509994E-4</v>
      </c>
      <c r="Y592">
        <v>9.3768548735373436E-4</v>
      </c>
      <c r="Z592">
        <v>-5.6106786747567305E-4</v>
      </c>
      <c r="AA592">
        <v>2.3936696118118661E-3</v>
      </c>
      <c r="AC592">
        <v>-1.3567067589914661E-3</v>
      </c>
      <c r="AD592">
        <v>1.4519924856656763E-2</v>
      </c>
      <c r="AE592">
        <v>2.3532652057489667E-3</v>
      </c>
      <c r="AF592">
        <v>1.1818708470327621E-2</v>
      </c>
      <c r="AG592">
        <v>5.5600866168326046E-3</v>
      </c>
      <c r="AH592">
        <v>1.3402449194455102E-2</v>
      </c>
      <c r="AI592">
        <v>3.3161382289925712E-3</v>
      </c>
      <c r="AJ592">
        <v>-2.2222222222222365E-3</v>
      </c>
      <c r="AK592">
        <v>-1.3517712865133591E-2</v>
      </c>
      <c r="AL592">
        <v>-3.37885126713805E-2</v>
      </c>
    </row>
    <row r="593" spans="1:38">
      <c r="A593" s="568">
        <v>44692</v>
      </c>
      <c r="B593">
        <v>4.8461201601320274E-4</v>
      </c>
      <c r="C593">
        <v>5.901967119841256E-4</v>
      </c>
      <c r="D593">
        <v>4.8429809045935635E-4</v>
      </c>
      <c r="E593">
        <v>5.3190368595634752E-4</v>
      </c>
      <c r="F593">
        <v>5.7443086259634235E-4</v>
      </c>
      <c r="G593">
        <v>5.5599100674141866E-4</v>
      </c>
      <c r="H593">
        <v>5.8841034105094892E-4</v>
      </c>
      <c r="I593">
        <v>6.1437106865569469E-4</v>
      </c>
      <c r="J593">
        <v>2.3660761619699322E-3</v>
      </c>
      <c r="K593">
        <v>3.0203883959736277E-3</v>
      </c>
      <c r="L593">
        <v>5.3884267250192686E-4</v>
      </c>
      <c r="M593">
        <v>5.5708915882468624E-4</v>
      </c>
      <c r="N593">
        <v>5.6254685792223036E-4</v>
      </c>
      <c r="O593">
        <v>5.4612392438491142E-4</v>
      </c>
      <c r="P593">
        <v>5.3573019985209136E-4</v>
      </c>
      <c r="Q593">
        <v>5.4958248556946643E-4</v>
      </c>
      <c r="R593">
        <v>3.0745637176825547E-3</v>
      </c>
      <c r="S593">
        <v>8.5751639950293335E-3</v>
      </c>
      <c r="T593">
        <v>-5.0383094604012912E-3</v>
      </c>
      <c r="U593">
        <v>1.9692934758153147E-3</v>
      </c>
      <c r="V593">
        <v>1.3959809592811734E-3</v>
      </c>
      <c r="W593">
        <v>3.16411294594654E-3</v>
      </c>
      <c r="X593">
        <v>-1.5378684586172531E-3</v>
      </c>
      <c r="Y593">
        <v>1.3959809592811734E-3</v>
      </c>
      <c r="Z593">
        <v>3.1016515257922261E-3</v>
      </c>
      <c r="AA593">
        <v>-1.9140995952939832E-3</v>
      </c>
      <c r="AC593">
        <v>1.2481434864572538E-2</v>
      </c>
      <c r="AD593">
        <v>1.1427510132064889E-3</v>
      </c>
      <c r="AE593">
        <v>9.0248520798839049E-3</v>
      </c>
      <c r="AF593">
        <v>4.5987167971617282E-3</v>
      </c>
      <c r="AG593">
        <v>4.4265892299792942E-3</v>
      </c>
      <c r="AH593">
        <v>-1.198327776604402E-2</v>
      </c>
      <c r="AI593">
        <v>3.405105400281716E-3</v>
      </c>
      <c r="AJ593">
        <v>-1.2249443207126953E-2</v>
      </c>
      <c r="AK593">
        <v>1.1655378799811045E-2</v>
      </c>
      <c r="AL593">
        <v>2.6734428162986656E-3</v>
      </c>
    </row>
    <row r="594" spans="1:38">
      <c r="A594" s="568">
        <v>44693</v>
      </c>
      <c r="B594">
        <v>4.8461201601320274E-4</v>
      </c>
      <c r="C594">
        <v>5.1297720253695722E-4</v>
      </c>
      <c r="D594">
        <v>4.861614433593342E-4</v>
      </c>
      <c r="E594">
        <v>5.3190368595634752E-4</v>
      </c>
      <c r="F594">
        <v>5.2019109881817904E-4</v>
      </c>
      <c r="G594">
        <v>4.5668819559296914E-4</v>
      </c>
      <c r="H594">
        <v>5.8622470066360677E-4</v>
      </c>
      <c r="I594">
        <v>6.462436239287328E-4</v>
      </c>
      <c r="J594">
        <v>2.2737071320573232E-3</v>
      </c>
      <c r="K594">
        <v>1.1227737262140547E-3</v>
      </c>
      <c r="L594">
        <v>5.3884267250192686E-4</v>
      </c>
      <c r="M594">
        <v>5.5708915882468624E-4</v>
      </c>
      <c r="N594">
        <v>5.6254685792223036E-4</v>
      </c>
      <c r="O594">
        <v>5.4612392438491142E-4</v>
      </c>
      <c r="P594">
        <v>5.3573019985209136E-4</v>
      </c>
      <c r="Q594">
        <v>5.4958248556946643E-4</v>
      </c>
      <c r="R594">
        <v>-3.6870165399560673E-4</v>
      </c>
      <c r="S594">
        <v>-6.5415997105155999E-4</v>
      </c>
      <c r="T594">
        <v>-2.3277396094316671E-3</v>
      </c>
      <c r="U594">
        <v>1.5848848139721206E-4</v>
      </c>
      <c r="V594">
        <v>-2.0737709450857622E-4</v>
      </c>
      <c r="W594">
        <v>1.272595104481189E-3</v>
      </c>
      <c r="X594">
        <v>1.3639367548901049E-4</v>
      </c>
      <c r="Y594">
        <v>-2.0737709450857622E-4</v>
      </c>
      <c r="Z594">
        <v>5.0883160474368694E-4</v>
      </c>
      <c r="AA594">
        <v>-3.9030556594283894E-3</v>
      </c>
      <c r="AC594">
        <v>1.2363777085334871E-2</v>
      </c>
      <c r="AD594">
        <v>1.3162811578885325E-2</v>
      </c>
      <c r="AE594">
        <v>1.1556767867343831E-2</v>
      </c>
      <c r="AF594">
        <v>-6.057955132638515E-3</v>
      </c>
      <c r="AG594">
        <v>7.9261997291815156E-3</v>
      </c>
      <c r="AH594">
        <v>4.7695693929883376E-3</v>
      </c>
      <c r="AI594">
        <v>-1.1980854275134178E-2</v>
      </c>
      <c r="AJ594">
        <v>-5.0958286358511184E-3</v>
      </c>
      <c r="AK594">
        <v>-2.1952358710882858E-2</v>
      </c>
      <c r="AL594">
        <v>-1.9096252317363671E-2</v>
      </c>
    </row>
    <row r="595" spans="1:38">
      <c r="A595" s="568">
        <v>44694</v>
      </c>
      <c r="B595">
        <v>4.8461201601320274E-4</v>
      </c>
      <c r="C595">
        <v>5.5159486989686535E-4</v>
      </c>
      <c r="D595">
        <v>4.7701395554122783E-4</v>
      </c>
      <c r="E595">
        <v>5.3190368595634752E-4</v>
      </c>
      <c r="F595">
        <v>5.3962374312299666E-4</v>
      </c>
      <c r="G595">
        <v>5.1785733454612348E-4</v>
      </c>
      <c r="H595">
        <v>5.8833262855984003E-4</v>
      </c>
      <c r="I595">
        <v>6.1667917146057682E-4</v>
      </c>
      <c r="J595">
        <v>2.8312856790007057E-3</v>
      </c>
      <c r="K595">
        <v>1.6642010650826933E-3</v>
      </c>
      <c r="L595">
        <v>5.3884267250192686E-4</v>
      </c>
      <c r="M595">
        <v>5.5708915882468624E-4</v>
      </c>
      <c r="N595">
        <v>5.6254685792223036E-4</v>
      </c>
      <c r="O595">
        <v>5.4612392438491142E-4</v>
      </c>
      <c r="P595">
        <v>5.3573019985209136E-4</v>
      </c>
      <c r="Q595">
        <v>5.4958248556946643E-4</v>
      </c>
      <c r="R595">
        <v>1.30629999286902E-3</v>
      </c>
      <c r="S595">
        <v>7.9211252881770111E-3</v>
      </c>
      <c r="T595">
        <v>-1.2346507890141911E-3</v>
      </c>
      <c r="U595">
        <v>2.2208357637043541E-4</v>
      </c>
      <c r="V595">
        <v>5.3145641181648884E-3</v>
      </c>
      <c r="W595">
        <v>-1.0880519072031802E-4</v>
      </c>
      <c r="X595">
        <v>5.0571303471049767E-3</v>
      </c>
      <c r="Y595">
        <v>5.3145641181648884E-3</v>
      </c>
      <c r="Z595">
        <v>5.0762475496857196E-3</v>
      </c>
      <c r="AA595">
        <v>7.3729231822592389E-3</v>
      </c>
      <c r="AC595">
        <v>1.1699949019582601E-2</v>
      </c>
      <c r="AD595">
        <v>2.5032507626965517E-2</v>
      </c>
      <c r="AE595">
        <v>1.256789205095532E-2</v>
      </c>
      <c r="AF595">
        <v>1.1289955760959591E-2</v>
      </c>
      <c r="AG595">
        <v>1.6251583991553797E-2</v>
      </c>
      <c r="AH595">
        <v>9.9667291468539254E-3</v>
      </c>
      <c r="AI595">
        <v>5.7379760300286797E-3</v>
      </c>
      <c r="AJ595">
        <v>7.3882694225364531E-3</v>
      </c>
      <c r="AK595">
        <v>3.0563514804202496E-2</v>
      </c>
      <c r="AL595">
        <v>-2.1116953090114521E-3</v>
      </c>
    </row>
    <row r="596" spans="1:38">
      <c r="A596" s="568">
        <v>44697</v>
      </c>
      <c r="B596">
        <v>4.8461201601320274E-4</v>
      </c>
      <c r="C596">
        <v>4.7281304018320647E-4</v>
      </c>
      <c r="D596">
        <v>4.8045411034514096E-4</v>
      </c>
      <c r="E596">
        <v>5.3190368595634752E-4</v>
      </c>
      <c r="F596">
        <v>4.3966466526823567E-4</v>
      </c>
      <c r="G596">
        <v>4.694816994716966E-4</v>
      </c>
      <c r="H596">
        <v>5.8798669680104609E-4</v>
      </c>
      <c r="I596">
        <v>6.1527267659089446E-4</v>
      </c>
      <c r="J596">
        <v>2.9362016785885459E-3</v>
      </c>
      <c r="K596">
        <v>3.0572104618575846E-3</v>
      </c>
      <c r="L596">
        <v>5.3884267250192686E-4</v>
      </c>
      <c r="M596">
        <v>5.5708915882468624E-4</v>
      </c>
      <c r="N596">
        <v>5.6254685792223036E-4</v>
      </c>
      <c r="O596">
        <v>5.4612392438491142E-4</v>
      </c>
      <c r="P596">
        <v>5.3573019985209136E-4</v>
      </c>
      <c r="Q596">
        <v>5.4958248556946643E-4</v>
      </c>
      <c r="R596">
        <v>1.640414106333532E-3</v>
      </c>
      <c r="S596">
        <v>4.2657475949754442E-3</v>
      </c>
      <c r="T596">
        <v>1.8223936075241198E-3</v>
      </c>
      <c r="U596">
        <v>6.4421015090943001E-4</v>
      </c>
      <c r="V596">
        <v>1.3548582327695957E-3</v>
      </c>
      <c r="W596">
        <v>-4.1340967948721996E-5</v>
      </c>
      <c r="X596">
        <v>-1.7952747011505954E-3</v>
      </c>
      <c r="Y596">
        <v>1.3548582327695957E-3</v>
      </c>
      <c r="Z596">
        <v>-1.1496829219868054E-3</v>
      </c>
      <c r="AA596">
        <v>2.3416742910753463E-4</v>
      </c>
      <c r="AC596">
        <v>1.2238204679241083E-2</v>
      </c>
      <c r="AD596">
        <v>1.0816998826380653E-2</v>
      </c>
      <c r="AE596">
        <v>1.2533693495872411E-2</v>
      </c>
      <c r="AF596">
        <v>8.3677903421477406E-3</v>
      </c>
      <c r="AG596">
        <v>3.8024903035001056E-3</v>
      </c>
      <c r="AH596">
        <v>6.8224306880020347E-3</v>
      </c>
      <c r="AI596">
        <v>5.4839158222543816E-3</v>
      </c>
      <c r="AJ596">
        <v>-1.3948256467941622E-3</v>
      </c>
      <c r="AK596">
        <v>7.7232004942873189E-4</v>
      </c>
      <c r="AL596">
        <v>7.1608640430282922E-3</v>
      </c>
    </row>
    <row r="597" spans="1:38">
      <c r="A597" s="568">
        <v>44698</v>
      </c>
      <c r="B597">
        <v>4.8461201601320274E-4</v>
      </c>
      <c r="C597">
        <v>5.1311780248886052E-4</v>
      </c>
      <c r="D597">
        <v>4.8336552278893663E-4</v>
      </c>
      <c r="E597">
        <v>5.3190368595634752E-4</v>
      </c>
      <c r="F597">
        <v>5.3909568506527172E-4</v>
      </c>
      <c r="G597">
        <v>4.9235257875834826E-4</v>
      </c>
      <c r="H597">
        <v>5.8825329783007696E-4</v>
      </c>
      <c r="I597">
        <v>6.1853911342346635E-4</v>
      </c>
      <c r="J597">
        <v>-4.1113406226400695E-4</v>
      </c>
      <c r="K597">
        <v>-8.9136987696381009E-4</v>
      </c>
      <c r="L597">
        <v>5.3884267250192686E-4</v>
      </c>
      <c r="M597">
        <v>5.5708915882468624E-4</v>
      </c>
      <c r="N597">
        <v>5.6254685792223036E-4</v>
      </c>
      <c r="O597">
        <v>5.4612392438491142E-4</v>
      </c>
      <c r="P597">
        <v>5.3573019985209136E-4</v>
      </c>
      <c r="Q597">
        <v>5.4958248556946643E-4</v>
      </c>
      <c r="R597">
        <v>-4.8543421538926879E-4</v>
      </c>
      <c r="S597">
        <v>1.4077424452167975E-3</v>
      </c>
      <c r="T597">
        <v>-3.4336866346518224E-4</v>
      </c>
      <c r="U597">
        <v>2.5633106323197374E-4</v>
      </c>
      <c r="V597">
        <v>2.1199682233705719E-3</v>
      </c>
      <c r="W597">
        <v>7.836100520679512E-4</v>
      </c>
      <c r="X597">
        <v>2.7807852402399469E-3</v>
      </c>
      <c r="Y597">
        <v>2.1199682233705719E-3</v>
      </c>
      <c r="Z597">
        <v>3.5287930309146898E-3</v>
      </c>
      <c r="AA597">
        <v>4.5051498903816434E-3</v>
      </c>
      <c r="AC597">
        <v>5.1425289611997105E-3</v>
      </c>
      <c r="AD597">
        <v>5.4422644586578084E-3</v>
      </c>
      <c r="AE597">
        <v>7.985173654645239E-3</v>
      </c>
      <c r="AF597">
        <v>1.6463845078644512E-2</v>
      </c>
      <c r="AG597">
        <v>1.2421110349321918E-2</v>
      </c>
      <c r="AH597">
        <v>1.4820105783599047E-2</v>
      </c>
      <c r="AI597">
        <v>9.206350294501231E-3</v>
      </c>
      <c r="AJ597">
        <v>-3.6045778138227291E-4</v>
      </c>
      <c r="AK597">
        <v>3.8740546380614083E-2</v>
      </c>
      <c r="AL597">
        <v>-3.5535676544301564E-3</v>
      </c>
    </row>
    <row r="598" spans="1:38">
      <c r="A598" s="568">
        <v>44699</v>
      </c>
      <c r="B598">
        <v>4.8461201601320274E-4</v>
      </c>
      <c r="C598">
        <v>7.0056863143341808E-4</v>
      </c>
      <c r="D598">
        <v>4.7318669780072042E-4</v>
      </c>
      <c r="E598">
        <v>5.3190368595634752E-4</v>
      </c>
      <c r="F598">
        <v>5.151170596493504E-4</v>
      </c>
      <c r="G598">
        <v>4.5606426737343497E-4</v>
      </c>
      <c r="H598">
        <v>4.9491897460618439E-4</v>
      </c>
      <c r="I598">
        <v>6.1486767223994931E-4</v>
      </c>
      <c r="J598">
        <v>-5.6975149559757021E-4</v>
      </c>
      <c r="K598">
        <v>-9.691168439566189E-4</v>
      </c>
      <c r="L598">
        <v>5.3884267250192686E-4</v>
      </c>
      <c r="M598">
        <v>5.5708915882468624E-4</v>
      </c>
      <c r="N598">
        <v>5.6254685792223036E-4</v>
      </c>
      <c r="O598">
        <v>5.4612392438491142E-4</v>
      </c>
      <c r="P598">
        <v>5.3573019985209136E-4</v>
      </c>
      <c r="Q598">
        <v>5.4958248556946643E-4</v>
      </c>
      <c r="R598">
        <v>-3.1580812847198381E-3</v>
      </c>
      <c r="S598">
        <v>-6.4348354231034133E-3</v>
      </c>
      <c r="T598">
        <v>3.7937499422602272E-3</v>
      </c>
      <c r="U598">
        <v>4.2890295304798265E-4</v>
      </c>
      <c r="V598">
        <v>-3.518190644811181E-3</v>
      </c>
      <c r="W598">
        <v>7.6352841294324847E-4</v>
      </c>
      <c r="X598">
        <v>-2.9373093505998815E-3</v>
      </c>
      <c r="Y598">
        <v>-3.518190644811181E-3</v>
      </c>
      <c r="Z598">
        <v>-2.3606872969884618E-3</v>
      </c>
      <c r="AA598">
        <v>-5.4590593898514728E-3</v>
      </c>
      <c r="AC598">
        <v>-2.336791668815319E-2</v>
      </c>
      <c r="AD598">
        <v>-1.9404197065629569E-2</v>
      </c>
      <c r="AE598">
        <v>-2.3701822245719262E-2</v>
      </c>
      <c r="AF598">
        <v>-2.7129455000809433E-3</v>
      </c>
      <c r="AG598">
        <v>-1.7732650770859282E-2</v>
      </c>
      <c r="AH598">
        <v>-3.9912211313174906E-2</v>
      </c>
      <c r="AI598">
        <v>-9.9468169087922886E-3</v>
      </c>
      <c r="AJ598">
        <v>-3.5427747227981699E-2</v>
      </c>
      <c r="AK598">
        <v>-2.5260029717681931E-3</v>
      </c>
      <c r="AL598">
        <v>1.3330701689593161E-2</v>
      </c>
    </row>
    <row r="599" spans="1:38">
      <c r="A599" s="568">
        <v>44700</v>
      </c>
      <c r="B599">
        <v>4.8461201601320274E-4</v>
      </c>
      <c r="C599">
        <v>6.3844033483739793E-4</v>
      </c>
      <c r="D599">
        <v>8.0571113163174779E-4</v>
      </c>
      <c r="E599">
        <v>5.3190368595634752E-4</v>
      </c>
      <c r="F599">
        <v>6.8299130931670504E-4</v>
      </c>
      <c r="G599">
        <v>5.0959834267350068E-4</v>
      </c>
      <c r="H599">
        <v>6.1635543163207629E-4</v>
      </c>
      <c r="I599">
        <v>6.1694316443805519E-4</v>
      </c>
      <c r="J599">
        <v>-4.6385776249169286E-4</v>
      </c>
      <c r="K599">
        <v>-4.5061611926566769E-4</v>
      </c>
      <c r="L599">
        <v>5.3884267250192686E-4</v>
      </c>
      <c r="M599">
        <v>5.5708915882468624E-4</v>
      </c>
      <c r="N599">
        <v>5.6254685792223036E-4</v>
      </c>
      <c r="O599">
        <v>5.4612392438491142E-4</v>
      </c>
      <c r="P599">
        <v>5.3573019985209136E-4</v>
      </c>
      <c r="Q599">
        <v>5.4958248556946643E-4</v>
      </c>
      <c r="R599">
        <v>6.0285915180191552E-4</v>
      </c>
      <c r="S599">
        <v>6.7596896677490914E-3</v>
      </c>
      <c r="T599">
        <v>-3.1991792460031032E-3</v>
      </c>
      <c r="U599">
        <v>-8.673008940959237E-4</v>
      </c>
      <c r="V599">
        <v>9.147494755665786E-4</v>
      </c>
      <c r="W599">
        <v>2.3704462853835206E-3</v>
      </c>
      <c r="X599">
        <v>6.2076130621768755E-4</v>
      </c>
      <c r="Y599">
        <v>9.147494755665786E-4</v>
      </c>
      <c r="Z599">
        <v>-7.2991536799738022E-4</v>
      </c>
      <c r="AA599">
        <v>4.5089020441329009E-3</v>
      </c>
      <c r="AC599">
        <v>7.1349678556085205E-3</v>
      </c>
      <c r="AD599">
        <v>4.5640387851115793E-3</v>
      </c>
      <c r="AE599">
        <v>7.3884849209717718E-3</v>
      </c>
      <c r="AF599">
        <v>5.7738191517315851E-3</v>
      </c>
      <c r="AG599">
        <v>1.479570104258654E-2</v>
      </c>
      <c r="AH599">
        <v>4.93972151705524E-3</v>
      </c>
      <c r="AI599">
        <v>5.4383686371586304E-3</v>
      </c>
      <c r="AJ599">
        <v>-1.4018691588784993E-2</v>
      </c>
      <c r="AK599">
        <v>-1.9812304483837306E-2</v>
      </c>
      <c r="AL599">
        <v>-3.3669295599837334E-2</v>
      </c>
    </row>
    <row r="600" spans="1:38">
      <c r="A600" s="568">
        <v>44701</v>
      </c>
      <c r="B600">
        <v>4.8461201601320274E-4</v>
      </c>
      <c r="C600">
        <v>4.9828397282092318E-4</v>
      </c>
      <c r="D600">
        <v>4.474892767245553E-4</v>
      </c>
      <c r="E600">
        <v>5.3190368595634752E-4</v>
      </c>
      <c r="F600">
        <v>5.2011464176859867E-4</v>
      </c>
      <c r="G600">
        <v>4.8576308285208647E-4</v>
      </c>
      <c r="H600">
        <v>5.8664359201876515E-4</v>
      </c>
      <c r="I600">
        <v>6.1686071022992728E-4</v>
      </c>
      <c r="J600">
        <v>1.8869250306541296E-4</v>
      </c>
      <c r="K600">
        <v>1.245339824804681E-4</v>
      </c>
      <c r="L600">
        <v>5.3884267250192686E-4</v>
      </c>
      <c r="M600">
        <v>5.5708915882468624E-4</v>
      </c>
      <c r="N600">
        <v>5.6254685792223036E-4</v>
      </c>
      <c r="O600">
        <v>5.4612392438491142E-4</v>
      </c>
      <c r="P600">
        <v>5.3573019985209136E-4</v>
      </c>
      <c r="Q600">
        <v>5.4958248556946643E-4</v>
      </c>
      <c r="R600">
        <v>1.8628190538723111E-3</v>
      </c>
      <c r="S600">
        <v>3.5387699912292625E-4</v>
      </c>
      <c r="T600">
        <v>1.7057887734825972E-3</v>
      </c>
      <c r="U600">
        <v>8.7461161928792386E-4</v>
      </c>
      <c r="V600">
        <v>1.0169864218567692E-3</v>
      </c>
      <c r="W600">
        <v>8.1746990461106783E-4</v>
      </c>
      <c r="X600">
        <v>-1.4979810447141029E-3</v>
      </c>
      <c r="Y600">
        <v>1.0169864218567692E-3</v>
      </c>
      <c r="Z600">
        <v>8.2799150701862168E-4</v>
      </c>
      <c r="AA600">
        <v>9.2012105140049094E-4</v>
      </c>
      <c r="AC600">
        <v>1.3855959550384656E-2</v>
      </c>
      <c r="AD600">
        <v>5.558816834589253E-3</v>
      </c>
      <c r="AE600">
        <v>1.3219490563020075E-2</v>
      </c>
      <c r="AF600">
        <v>1.6528601226002415E-3</v>
      </c>
      <c r="AG600">
        <v>1.2000565934824126E-2</v>
      </c>
      <c r="AH600">
        <v>1.2637885540949245E-3</v>
      </c>
      <c r="AI600">
        <v>8.228223414358693E-3</v>
      </c>
      <c r="AJ600">
        <v>-1.000000000000012E-2</v>
      </c>
      <c r="AK600">
        <v>2.7963525835866365E-2</v>
      </c>
      <c r="AL600">
        <v>4.4488872938477364E-3</v>
      </c>
    </row>
    <row r="601" spans="1:38">
      <c r="A601" s="568">
        <v>44704</v>
      </c>
      <c r="B601">
        <v>4.8461201601320274E-4</v>
      </c>
      <c r="C601">
        <v>5.0095955699380745E-4</v>
      </c>
      <c r="D601">
        <v>4.9170451119295855E-4</v>
      </c>
      <c r="E601">
        <v>5.3190368595634752E-4</v>
      </c>
      <c r="F601">
        <v>5.6834168477615243E-4</v>
      </c>
      <c r="G601">
        <v>5.1254412471490873E-4</v>
      </c>
      <c r="H601">
        <v>5.8813182947470288E-4</v>
      </c>
      <c r="I601">
        <v>6.1334739668983396E-4</v>
      </c>
      <c r="J601">
        <v>3.4897580613324486E-4</v>
      </c>
      <c r="K601">
        <v>2.681283354484254E-4</v>
      </c>
      <c r="L601">
        <v>5.3884267250192686E-4</v>
      </c>
      <c r="M601">
        <v>5.5708915882468624E-4</v>
      </c>
      <c r="N601">
        <v>5.6254685792223036E-4</v>
      </c>
      <c r="O601">
        <v>5.4612392438491142E-4</v>
      </c>
      <c r="P601">
        <v>5.3573019985209136E-4</v>
      </c>
      <c r="Q601">
        <v>5.4958248556946643E-4</v>
      </c>
      <c r="R601">
        <v>2.3294102775104353E-3</v>
      </c>
      <c r="S601">
        <v>4.7893845186257611E-3</v>
      </c>
      <c r="T601">
        <v>-2.3681672890708549E-3</v>
      </c>
      <c r="U601">
        <v>5.7686339152085431E-4</v>
      </c>
      <c r="V601">
        <v>2.6520039905910675E-3</v>
      </c>
      <c r="W601">
        <v>5.3349905857280611E-4</v>
      </c>
      <c r="X601">
        <v>1.1187568856751984E-3</v>
      </c>
      <c r="Y601">
        <v>2.6520039905910675E-3</v>
      </c>
      <c r="Z601">
        <v>1.8542534760233043E-3</v>
      </c>
      <c r="AA601">
        <v>1.586036592229112E-3</v>
      </c>
      <c r="AC601">
        <v>1.7125784004627942E-2</v>
      </c>
      <c r="AD601">
        <v>9.0320650858251028E-3</v>
      </c>
      <c r="AE601">
        <v>1.6129227678547631E-2</v>
      </c>
      <c r="AF601">
        <v>1.0266963418727126E-2</v>
      </c>
      <c r="AG601">
        <v>1.2075354128623594E-2</v>
      </c>
      <c r="AH601">
        <v>1.5859176500274907E-2</v>
      </c>
      <c r="AI601">
        <v>1.2123362879632893E-2</v>
      </c>
      <c r="AJ601">
        <v>3.8297668629423409E-3</v>
      </c>
      <c r="AK601">
        <v>-1.0644589000591398E-2</v>
      </c>
      <c r="AL601">
        <v>-1.5742580372332116E-2</v>
      </c>
    </row>
    <row r="602" spans="1:38">
      <c r="A602" s="568">
        <v>44705</v>
      </c>
      <c r="B602">
        <v>4.8461201601320274E-4</v>
      </c>
      <c r="C602">
        <v>5.0219804020557035E-4</v>
      </c>
      <c r="D602">
        <v>4.4184652152923221E-4</v>
      </c>
      <c r="E602">
        <v>5.3190368595634752E-4</v>
      </c>
      <c r="F602">
        <v>4.8389758676115058E-4</v>
      </c>
      <c r="G602">
        <v>5.6404459834569209E-4</v>
      </c>
      <c r="H602">
        <v>5.8534465447279693E-4</v>
      </c>
      <c r="I602">
        <v>6.1218233091442364E-4</v>
      </c>
      <c r="J602">
        <v>-1.9982764825883237E-3</v>
      </c>
      <c r="K602">
        <v>-3.0362916156909669E-3</v>
      </c>
      <c r="L602">
        <v>5.3884267250192686E-4</v>
      </c>
      <c r="M602">
        <v>5.5708915882468624E-4</v>
      </c>
      <c r="N602">
        <v>5.6254685792223036E-4</v>
      </c>
      <c r="O602">
        <v>5.4612392438491142E-4</v>
      </c>
      <c r="P602">
        <v>5.3573019985209136E-4</v>
      </c>
      <c r="Q602">
        <v>5.4958248556946643E-4</v>
      </c>
      <c r="R602">
        <v>2.0564554886668418E-3</v>
      </c>
      <c r="S602">
        <v>-1.8575073729037994E-3</v>
      </c>
      <c r="T602">
        <v>-5.9982892993122316E-3</v>
      </c>
      <c r="U602">
        <v>9.5812748527235314E-4</v>
      </c>
      <c r="V602">
        <v>-2.0470712275809655E-3</v>
      </c>
      <c r="W602">
        <v>4.419819510643741E-4</v>
      </c>
      <c r="X602">
        <v>-2.8791576249652673E-3</v>
      </c>
      <c r="Y602">
        <v>-2.0470712275809655E-3</v>
      </c>
      <c r="Z602">
        <v>8.9974540836212924E-4</v>
      </c>
      <c r="AA602">
        <v>-4.5425613703373724E-3</v>
      </c>
      <c r="AC602">
        <v>2.1293964737403304E-3</v>
      </c>
      <c r="AD602">
        <v>-7.1112823872726549E-3</v>
      </c>
      <c r="AE602">
        <v>3.7069792561883474E-3</v>
      </c>
      <c r="AF602">
        <v>-4.8095560137429993E-3</v>
      </c>
      <c r="AG602">
        <v>-7.7282624077926743E-3</v>
      </c>
      <c r="AH602">
        <v>-5.0784159291492603E-3</v>
      </c>
      <c r="AI602">
        <v>-8.3075969767143487E-4</v>
      </c>
      <c r="AJ602">
        <v>1.2399256044637319E-3</v>
      </c>
      <c r="AK602">
        <v>-2.7943813508667148E-2</v>
      </c>
      <c r="AL602">
        <v>-1.5665482647225226E-2</v>
      </c>
    </row>
    <row r="603" spans="1:38">
      <c r="A603" s="568">
        <v>44706</v>
      </c>
      <c r="B603">
        <v>4.8461201601320274E-4</v>
      </c>
      <c r="C603">
        <v>5.2068585924835986E-4</v>
      </c>
      <c r="D603">
        <v>5.0951743061222743E-4</v>
      </c>
      <c r="E603">
        <v>5.3190368595634752E-4</v>
      </c>
      <c r="F603">
        <v>5.3731496266018475E-4</v>
      </c>
      <c r="G603">
        <v>4.7155413689825565E-4</v>
      </c>
      <c r="H603">
        <v>5.8744227754359279E-4</v>
      </c>
      <c r="I603">
        <v>6.1339246728575603E-4</v>
      </c>
      <c r="J603">
        <v>7.0788150507961056E-4</v>
      </c>
      <c r="K603">
        <v>2.3083263364238604E-3</v>
      </c>
      <c r="L603">
        <v>5.3884267250192686E-4</v>
      </c>
      <c r="M603">
        <v>5.5708915882468624E-4</v>
      </c>
      <c r="N603">
        <v>5.6254685792223036E-4</v>
      </c>
      <c r="O603">
        <v>5.4612392438491142E-4</v>
      </c>
      <c r="P603">
        <v>5.3573019985209136E-4</v>
      </c>
      <c r="Q603">
        <v>5.4958248556946643E-4</v>
      </c>
      <c r="R603">
        <v>5.1223398535635845E-3</v>
      </c>
      <c r="S603">
        <v>2.7845687931182805E-3</v>
      </c>
      <c r="T603">
        <v>-1.0851037203543079E-3</v>
      </c>
      <c r="U603">
        <v>6.1839920822848171E-4</v>
      </c>
      <c r="V603">
        <v>1.2142971483455334E-3</v>
      </c>
      <c r="W603">
        <v>7.3284615522739571E-4</v>
      </c>
      <c r="X603">
        <v>9.0007147702997337E-4</v>
      </c>
      <c r="Y603">
        <v>1.2142971483455334E-3</v>
      </c>
      <c r="Z603">
        <v>1.0135991593798188E-3</v>
      </c>
      <c r="AA603">
        <v>6.0460882135005001E-3</v>
      </c>
      <c r="AC603">
        <v>-8.8622987771680428E-6</v>
      </c>
      <c r="AD603">
        <v>5.5722421727875115E-3</v>
      </c>
      <c r="AE603">
        <v>2.6738300783060165E-3</v>
      </c>
      <c r="AF603">
        <v>6.1089118456887359E-3</v>
      </c>
      <c r="AG603">
        <v>7.8505342733694583E-3</v>
      </c>
      <c r="AH603">
        <v>8.8314303260317306E-3</v>
      </c>
      <c r="AI603">
        <v>1.0208245259160087E-3</v>
      </c>
      <c r="AJ603">
        <v>1.1907597046916241E-3</v>
      </c>
      <c r="AK603">
        <v>2.9208301306686835E-3</v>
      </c>
      <c r="AL603">
        <v>-1.1640357909413757E-3</v>
      </c>
    </row>
    <row r="604" spans="1:38">
      <c r="A604" s="568">
        <v>44707</v>
      </c>
      <c r="B604">
        <v>4.8461201601320274E-4</v>
      </c>
      <c r="C604">
        <v>4.9770388474179583E-4</v>
      </c>
      <c r="D604">
        <v>4.596887891243906E-4</v>
      </c>
      <c r="E604">
        <v>5.3190368595634752E-4</v>
      </c>
      <c r="F604">
        <v>5.0461274473323492E-4</v>
      </c>
      <c r="G604">
        <v>5.2993595178052466E-4</v>
      </c>
      <c r="H604">
        <v>5.8648773710223701E-4</v>
      </c>
      <c r="I604">
        <v>6.1268544377157674E-4</v>
      </c>
      <c r="J604">
        <v>2.0023624131377815E-3</v>
      </c>
      <c r="K604">
        <v>7.4613495549624709E-4</v>
      </c>
      <c r="L604">
        <v>5.3884267250192686E-4</v>
      </c>
      <c r="M604">
        <v>5.5708915882468624E-4</v>
      </c>
      <c r="N604">
        <v>5.6254685792223036E-4</v>
      </c>
      <c r="O604">
        <v>5.4612392438491142E-4</v>
      </c>
      <c r="P604">
        <v>5.3573019985209136E-4</v>
      </c>
      <c r="Q604">
        <v>5.4958248556946643E-4</v>
      </c>
      <c r="R604">
        <v>4.1267104968829571E-3</v>
      </c>
      <c r="S604">
        <v>5.1041859370006826E-3</v>
      </c>
      <c r="T604">
        <v>3.3877880024417717E-3</v>
      </c>
      <c r="U604">
        <v>-4.275191282463453E-4</v>
      </c>
      <c r="V604">
        <v>2.962397874930689E-3</v>
      </c>
      <c r="W604">
        <v>-2.3277148686218219E-4</v>
      </c>
      <c r="X604">
        <v>1.9065210616002748E-3</v>
      </c>
      <c r="Y604">
        <v>2.962397874930689E-3</v>
      </c>
      <c r="Z604">
        <v>2.4703555101548424E-3</v>
      </c>
      <c r="AA604">
        <v>5.1887939577817122E-3</v>
      </c>
      <c r="AC604">
        <v>1.1847280258484805E-2</v>
      </c>
      <c r="AD604">
        <v>1.6531497937242623E-2</v>
      </c>
      <c r="AE604">
        <v>9.8290783481118638E-3</v>
      </c>
      <c r="AF604">
        <v>6.752347755359045E-3</v>
      </c>
      <c r="AG604">
        <v>9.6863058454834672E-3</v>
      </c>
      <c r="AH604">
        <v>6.484541221488449E-3</v>
      </c>
      <c r="AI604">
        <v>1.1418623882201828E-2</v>
      </c>
      <c r="AJ604">
        <v>7.373929590865913E-3</v>
      </c>
      <c r="AK604">
        <v>4.1385652973637832E-3</v>
      </c>
      <c r="AL604">
        <v>-2.222217824544892E-2</v>
      </c>
    </row>
    <row r="605" spans="1:38">
      <c r="A605" s="568">
        <v>44708</v>
      </c>
      <c r="B605">
        <v>4.8461201601320274E-4</v>
      </c>
      <c r="C605">
        <v>4.8627524767352881E-4</v>
      </c>
      <c r="D605">
        <v>4.5374062204195376E-4</v>
      </c>
      <c r="E605">
        <v>5.3190368595634752E-4</v>
      </c>
      <c r="F605">
        <v>5.3035608651597066E-4</v>
      </c>
      <c r="G605">
        <v>5.2293659693081196E-4</v>
      </c>
      <c r="H605">
        <v>5.8858115991911042E-4</v>
      </c>
      <c r="I605">
        <v>6.109661962883095E-4</v>
      </c>
      <c r="J605">
        <v>-1.588090989254054E-4</v>
      </c>
      <c r="K605">
        <v>-1.2587296505961465E-3</v>
      </c>
      <c r="L605">
        <v>5.3884267250192686E-4</v>
      </c>
      <c r="M605">
        <v>5.5708915882468624E-4</v>
      </c>
      <c r="N605">
        <v>5.6254685792223036E-4</v>
      </c>
      <c r="O605">
        <v>5.4612392438491142E-4</v>
      </c>
      <c r="P605">
        <v>5.3573019985209136E-4</v>
      </c>
      <c r="Q605">
        <v>5.4958248556946643E-4</v>
      </c>
      <c r="R605">
        <v>3.6284940296924528E-3</v>
      </c>
      <c r="S605">
        <v>2.4002009304961991E-3</v>
      </c>
      <c r="T605">
        <v>-9.4200036578340196E-4</v>
      </c>
      <c r="U605">
        <v>9.4945432883575265E-5</v>
      </c>
      <c r="V605">
        <v>5.9892785082826805E-4</v>
      </c>
      <c r="W605">
        <v>1.8323806213471627E-4</v>
      </c>
      <c r="X605">
        <v>9.3728786481084292E-4</v>
      </c>
      <c r="Y605">
        <v>5.9892785082826805E-4</v>
      </c>
      <c r="Z605">
        <v>1.7460996187323996E-3</v>
      </c>
      <c r="AA605">
        <v>2.5812225531565147E-3</v>
      </c>
      <c r="AC605">
        <v>4.6295518415062631E-4</v>
      </c>
      <c r="AD605">
        <v>-7.7574391836821022E-4</v>
      </c>
      <c r="AE605">
        <v>2.5140143603545884E-3</v>
      </c>
      <c r="AF605">
        <v>1.6726169862109064E-3</v>
      </c>
      <c r="AG605">
        <v>1.4014176006256207E-3</v>
      </c>
      <c r="AH605">
        <v>5.7090708546252422E-3</v>
      </c>
      <c r="AI605">
        <v>6.4145750481923169E-3</v>
      </c>
      <c r="AJ605">
        <v>2.0070838252656431E-2</v>
      </c>
      <c r="AK605">
        <v>2.732407266066228E-2</v>
      </c>
      <c r="AL605">
        <v>2.7410892102505802E-2</v>
      </c>
    </row>
    <row r="606" spans="1:38">
      <c r="A606" s="568">
        <v>44711</v>
      </c>
      <c r="B606">
        <v>4.8461201601320274E-4</v>
      </c>
      <c r="C606">
        <v>4.806238266203966E-4</v>
      </c>
      <c r="D606">
        <v>4.5353483486376689E-4</v>
      </c>
      <c r="E606">
        <v>5.3190368595634752E-4</v>
      </c>
      <c r="F606">
        <v>5.3846981031258068E-4</v>
      </c>
      <c r="G606">
        <v>4.7729290210174469E-4</v>
      </c>
      <c r="H606">
        <v>5.8701705820407568E-4</v>
      </c>
      <c r="I606">
        <v>6.1053682337508519E-4</v>
      </c>
      <c r="J606">
        <v>-1.1188592572533018E-3</v>
      </c>
      <c r="K606">
        <v>-1.0038488771021425E-3</v>
      </c>
      <c r="L606">
        <v>5.3884267250192686E-4</v>
      </c>
      <c r="M606">
        <v>5.5708915882468624E-4</v>
      </c>
      <c r="N606">
        <v>5.6254685792223036E-4</v>
      </c>
      <c r="O606">
        <v>5.4612392438491142E-4</v>
      </c>
      <c r="P606">
        <v>5.3573019985209136E-4</v>
      </c>
      <c r="Q606">
        <v>5.4958248556946643E-4</v>
      </c>
      <c r="R606">
        <v>-3.3174117674006354E-5</v>
      </c>
      <c r="S606">
        <v>-2.0948214817273492E-4</v>
      </c>
      <c r="T606">
        <v>-4.5009261501433029E-3</v>
      </c>
      <c r="U606">
        <v>1.5462450856285059E-4</v>
      </c>
      <c r="V606">
        <v>-1.4725261219762364E-3</v>
      </c>
      <c r="W606">
        <v>3.8482386871208085E-4</v>
      </c>
      <c r="X606">
        <v>-1.3375566328013289E-3</v>
      </c>
      <c r="Y606">
        <v>-1.4725261219762364E-3</v>
      </c>
      <c r="Z606">
        <v>1.8871968254279281E-3</v>
      </c>
      <c r="AA606">
        <v>9.686923382599133E-4</v>
      </c>
      <c r="AC606">
        <v>-8.1253917218322425E-3</v>
      </c>
      <c r="AD606">
        <v>-1.0593880043865744E-2</v>
      </c>
      <c r="AE606">
        <v>-7.3623298584455377E-3</v>
      </c>
      <c r="AF606">
        <v>-5.6747421096673412E-3</v>
      </c>
      <c r="AG606">
        <v>-6.0593082641000606E-3</v>
      </c>
      <c r="AH606">
        <v>-1.9204022202962134E-3</v>
      </c>
      <c r="AI606">
        <v>-4.8971977201908157E-3</v>
      </c>
      <c r="AJ606">
        <v>1.8055555555553937E-3</v>
      </c>
      <c r="AK606">
        <v>2.0802377414561812E-2</v>
      </c>
      <c r="AL606">
        <v>2.151680785812049E-2</v>
      </c>
    </row>
    <row r="607" spans="1:38">
      <c r="A607" s="568">
        <v>44712</v>
      </c>
      <c r="B607">
        <v>4.8461201601320274E-4</v>
      </c>
      <c r="C607">
        <v>4.783773148533399E-4</v>
      </c>
      <c r="D607">
        <v>4.6427166405704767E-4</v>
      </c>
      <c r="E607">
        <v>5.3190368595634752E-4</v>
      </c>
      <c r="F607">
        <v>4.7705043789547652E-4</v>
      </c>
      <c r="G607">
        <v>5.532200911571028E-4</v>
      </c>
      <c r="H607">
        <v>5.9032416099413787E-4</v>
      </c>
      <c r="I607">
        <v>6.1069228020360633E-4</v>
      </c>
      <c r="J607">
        <v>2.5212203170581482E-3</v>
      </c>
      <c r="K607">
        <v>3.4545948340667376E-3</v>
      </c>
      <c r="L607">
        <v>5.3884267250192686E-4</v>
      </c>
      <c r="M607">
        <v>5.5708915882468624E-4</v>
      </c>
      <c r="N607">
        <v>5.6254685792223036E-4</v>
      </c>
      <c r="O607">
        <v>5.4612392438491142E-4</v>
      </c>
      <c r="P607">
        <v>5.3573019985209136E-4</v>
      </c>
      <c r="Q607">
        <v>5.4958248556946643E-4</v>
      </c>
      <c r="R607">
        <v>-4.4153199538676802E-4</v>
      </c>
      <c r="S607">
        <v>1.578401873432167E-4</v>
      </c>
      <c r="T607">
        <v>7.9540171789891367E-3</v>
      </c>
      <c r="U607">
        <v>4.6614215807716519E-4</v>
      </c>
      <c r="V607">
        <v>1.4473462280104599E-3</v>
      </c>
      <c r="W607">
        <v>2.2655754774114634E-4</v>
      </c>
      <c r="X607">
        <v>4.1385030646261534E-3</v>
      </c>
      <c r="Y607">
        <v>1.4473462280104599E-3</v>
      </c>
      <c r="Z607">
        <v>7.5536913579954401E-4</v>
      </c>
      <c r="AA607">
        <v>-4.8688865903449008E-3</v>
      </c>
      <c r="AC607">
        <v>2.8676389199484564E-3</v>
      </c>
      <c r="AD607">
        <v>-1.9586424252013845E-3</v>
      </c>
      <c r="AE607">
        <v>1.5326309723571185E-3</v>
      </c>
      <c r="AF607">
        <v>-3.6544893369668818E-3</v>
      </c>
      <c r="AG607">
        <v>-3.6097777482146931E-4</v>
      </c>
      <c r="AH607">
        <v>-3.6892965295556301E-3</v>
      </c>
      <c r="AI607">
        <v>-7.7178920110783089E-3</v>
      </c>
      <c r="AJ607">
        <v>-8.7342298627477444E-3</v>
      </c>
      <c r="AK607">
        <v>2.4599708879184723E-2</v>
      </c>
      <c r="AL607">
        <v>3.9245120634907593E-3</v>
      </c>
    </row>
    <row r="608" spans="1:38">
      <c r="A608" s="568">
        <v>44713</v>
      </c>
      <c r="B608">
        <v>4.8461201601320274E-4</v>
      </c>
      <c r="C608">
        <v>4.7562022161962147E-4</v>
      </c>
      <c r="D608">
        <v>4.6301456334441049E-4</v>
      </c>
      <c r="E608">
        <v>5.3190368595634752E-4</v>
      </c>
      <c r="F608">
        <v>4.5725485748415728E-4</v>
      </c>
      <c r="G608">
        <v>4.8927188190872606E-4</v>
      </c>
      <c r="H608">
        <v>5.9119232909710107E-4</v>
      </c>
      <c r="I608">
        <v>6.1326196312072589E-4</v>
      </c>
      <c r="J608">
        <v>3.6384756991969525E-4</v>
      </c>
      <c r="K608">
        <v>3.3598763314857116E-4</v>
      </c>
      <c r="L608">
        <v>6.437763902664706E-4</v>
      </c>
      <c r="M608">
        <v>6.6202479022980931E-4</v>
      </c>
      <c r="N608">
        <v>6.6748306171549032E-4</v>
      </c>
      <c r="O608">
        <v>5.4612392438491142E-4</v>
      </c>
      <c r="P608">
        <v>5.3573019985209136E-4</v>
      </c>
      <c r="Q608">
        <v>5.4958248556946643E-4</v>
      </c>
      <c r="R608">
        <v>-2.0469099625135545E-3</v>
      </c>
      <c r="S608">
        <v>-1.4118133437135416E-4</v>
      </c>
      <c r="T608">
        <v>1.9015889961340182E-3</v>
      </c>
      <c r="U608">
        <v>-1.2793672227012776E-3</v>
      </c>
      <c r="V608">
        <v>1.1766874768133206E-3</v>
      </c>
      <c r="W608">
        <v>3.5438787398889282E-4</v>
      </c>
      <c r="X608">
        <v>3.6662590397695816E-3</v>
      </c>
      <c r="Y608">
        <v>1.1766874768133206E-3</v>
      </c>
      <c r="Z608">
        <v>2.8885448311033457E-4</v>
      </c>
      <c r="AA608">
        <v>-7.0466581142769602E-4</v>
      </c>
      <c r="AC608">
        <v>8.4687533088212419E-5</v>
      </c>
      <c r="AD608">
        <v>-4.5350666161599884E-3</v>
      </c>
      <c r="AE608">
        <v>4.59835546102072E-4</v>
      </c>
      <c r="AF608">
        <v>8.4960152631095021E-3</v>
      </c>
      <c r="AG608">
        <v>-3.2083788665404622E-4</v>
      </c>
      <c r="AH608">
        <v>1.752452332572485E-3</v>
      </c>
      <c r="AI608">
        <v>4.0890089896696846E-3</v>
      </c>
      <c r="AJ608">
        <v>8.1585081585080488E-3</v>
      </c>
      <c r="AK608">
        <v>-7.5294786191220098E-3</v>
      </c>
      <c r="AL608">
        <v>1.1627761792376123E-2</v>
      </c>
    </row>
    <row r="609" spans="1:38">
      <c r="A609" s="568">
        <v>44714</v>
      </c>
      <c r="B609">
        <v>4.8461201601320274E-4</v>
      </c>
      <c r="C609">
        <v>5.0422775922154273E-4</v>
      </c>
      <c r="D609">
        <v>4.4718272281718541E-4</v>
      </c>
      <c r="E609">
        <v>5.3190368595634752E-4</v>
      </c>
      <c r="F609">
        <v>4.9137420720501979E-4</v>
      </c>
      <c r="G609">
        <v>4.9702699289833063E-4</v>
      </c>
      <c r="H609">
        <v>6.1394182870766478E-4</v>
      </c>
      <c r="I609">
        <v>6.0597583566113222E-4</v>
      </c>
      <c r="J609">
        <v>4.5535257743800628E-4</v>
      </c>
      <c r="K609">
        <v>-6.1196828907617018E-4</v>
      </c>
      <c r="L609">
        <v>6.437763902664706E-4</v>
      </c>
      <c r="M609">
        <v>6.6202479022980931E-4</v>
      </c>
      <c r="N609">
        <v>6.6748306171549032E-4</v>
      </c>
      <c r="O609">
        <v>5.4612392438491142E-4</v>
      </c>
      <c r="P609">
        <v>5.3573019985209136E-4</v>
      </c>
      <c r="Q609">
        <v>5.4958248556946643E-4</v>
      </c>
      <c r="R609">
        <v>2.5354650670601497E-3</v>
      </c>
      <c r="S609">
        <v>2.4529354263800318E-3</v>
      </c>
      <c r="T609">
        <v>-3.100673159308398E-3</v>
      </c>
      <c r="U609">
        <v>6.4274196893032709E-5</v>
      </c>
      <c r="V609">
        <v>1.8686659725475341E-3</v>
      </c>
      <c r="W609">
        <v>8.9532609587816836E-4</v>
      </c>
      <c r="X609">
        <v>-6.9237101185071204E-4</v>
      </c>
      <c r="Y609">
        <v>1.8686659725475341E-3</v>
      </c>
      <c r="Z609">
        <v>1.8245889010617411E-3</v>
      </c>
      <c r="AA609">
        <v>2.2940362176016027E-3</v>
      </c>
      <c r="AC609">
        <v>9.2759568656377578E-3</v>
      </c>
      <c r="AD609">
        <v>1.174363538861023E-2</v>
      </c>
      <c r="AE609">
        <v>9.5055086801920652E-3</v>
      </c>
      <c r="AF609">
        <v>1.1418843157683822E-2</v>
      </c>
      <c r="AG609">
        <v>9.3823829843913131E-3</v>
      </c>
      <c r="AH609">
        <v>9.2721789198202398E-3</v>
      </c>
      <c r="AI609">
        <v>1.131066470347486E-2</v>
      </c>
      <c r="AJ609">
        <v>1.4335260115606818E-2</v>
      </c>
      <c r="AK609">
        <v>-4.5805897509303417E-3</v>
      </c>
      <c r="AL609">
        <v>-1.3481228044024962E-2</v>
      </c>
    </row>
    <row r="610" spans="1:38">
      <c r="A610" s="568">
        <v>44715</v>
      </c>
      <c r="B610">
        <v>4.8461201601320274E-4</v>
      </c>
      <c r="C610">
        <v>4.5322345590670388E-4</v>
      </c>
      <c r="D610">
        <v>4.7612258257223594E-4</v>
      </c>
      <c r="E610">
        <v>5.3190368595634752E-4</v>
      </c>
      <c r="F610">
        <v>3.9298609587268274E-4</v>
      </c>
      <c r="G610">
        <v>4.7693293374395651E-4</v>
      </c>
      <c r="H610">
        <v>5.8744305538427355E-4</v>
      </c>
      <c r="I610">
        <v>6.0489740007496628E-4</v>
      </c>
      <c r="J610">
        <v>1.1547817525439097E-3</v>
      </c>
      <c r="K610">
        <v>1.4207188461277109E-3</v>
      </c>
      <c r="L610">
        <v>6.437763902664706E-4</v>
      </c>
      <c r="M610">
        <v>6.6202479022980931E-4</v>
      </c>
      <c r="N610">
        <v>6.6748306171549032E-4</v>
      </c>
      <c r="O610">
        <v>5.4612392438491142E-4</v>
      </c>
      <c r="P610">
        <v>5.3573019985209136E-4</v>
      </c>
      <c r="Q610">
        <v>5.4958248556946643E-4</v>
      </c>
      <c r="R610">
        <v>-1.1140377807788981E-3</v>
      </c>
      <c r="S610">
        <v>1.7094632923100317E-3</v>
      </c>
      <c r="T610">
        <v>3.8509419136787404E-3</v>
      </c>
      <c r="U610">
        <v>4.2516060800168454E-4</v>
      </c>
      <c r="V610">
        <v>-2.5640560189510442E-4</v>
      </c>
      <c r="W610">
        <v>-1.0462834315827507E-4</v>
      </c>
      <c r="X610">
        <v>-1.4301203107498495E-3</v>
      </c>
      <c r="Y610">
        <v>-2.5640560189510442E-4</v>
      </c>
      <c r="Z610">
        <v>1.7121761399541136E-3</v>
      </c>
      <c r="AA610">
        <v>-4.5779604377140792E-3</v>
      </c>
      <c r="AC610">
        <v>-1.1482841755765527E-2</v>
      </c>
      <c r="AD610">
        <v>-1.1540321007832754E-2</v>
      </c>
      <c r="AE610">
        <v>-1.2133891781249906E-2</v>
      </c>
      <c r="AF610">
        <v>-6.5404442724767975E-3</v>
      </c>
      <c r="AG610">
        <v>-9.3738968168612935E-3</v>
      </c>
      <c r="AH610">
        <v>-6.0051117443313817E-3</v>
      </c>
      <c r="AI610">
        <v>-4.4535928441548078E-3</v>
      </c>
      <c r="AJ610">
        <v>-1.8235696375655364E-2</v>
      </c>
      <c r="AK610">
        <v>-1.1504170261721347E-3</v>
      </c>
      <c r="AL610">
        <v>1.0945067611673798E-2</v>
      </c>
    </row>
    <row r="611" spans="1:38">
      <c r="A611" s="568">
        <v>44718</v>
      </c>
      <c r="B611">
        <v>4.8461201601320274E-4</v>
      </c>
      <c r="C611">
        <v>5.1892582034596124E-4</v>
      </c>
      <c r="D611">
        <v>4.4625001755349558E-4</v>
      </c>
      <c r="E611">
        <v>5.3190368595634752E-4</v>
      </c>
      <c r="F611">
        <v>5.0290436242605985E-4</v>
      </c>
      <c r="G611">
        <v>5.123447078552168E-4</v>
      </c>
      <c r="H611">
        <v>5.9013383652573026E-4</v>
      </c>
      <c r="I611">
        <v>6.0340932972935413E-4</v>
      </c>
      <c r="J611">
        <v>4.0777495098520689E-4</v>
      </c>
      <c r="K611">
        <v>4.7958475674292345E-4</v>
      </c>
      <c r="L611">
        <v>6.437763902664706E-4</v>
      </c>
      <c r="M611">
        <v>6.6202479022980931E-4</v>
      </c>
      <c r="N611">
        <v>6.6748306171549032E-4</v>
      </c>
      <c r="O611">
        <v>5.4612392438491142E-4</v>
      </c>
      <c r="P611">
        <v>5.3573019985209136E-4</v>
      </c>
      <c r="Q611">
        <v>5.4958248556946643E-4</v>
      </c>
      <c r="R611">
        <v>-2.7178540244889859E-3</v>
      </c>
      <c r="S611">
        <v>4.7862292437561571E-4</v>
      </c>
      <c r="T611">
        <v>3.1548303893367269E-3</v>
      </c>
      <c r="U611">
        <v>-4.8309448180916537E-4</v>
      </c>
      <c r="V611">
        <v>-2.9051623372933211E-4</v>
      </c>
      <c r="W611">
        <v>4.4071052906957675E-4</v>
      </c>
      <c r="X611">
        <v>1.9742756301541764E-3</v>
      </c>
      <c r="Y611">
        <v>-2.9051623372933211E-4</v>
      </c>
      <c r="Z611">
        <v>5.9277006453628545E-4</v>
      </c>
      <c r="AA611">
        <v>-1.9489661499179078E-3</v>
      </c>
      <c r="AC611">
        <v>-8.2483426088671985E-3</v>
      </c>
      <c r="AD611">
        <v>-1.6602909792990284E-2</v>
      </c>
      <c r="AE611">
        <v>-9.8179081340357133E-3</v>
      </c>
      <c r="AF611">
        <v>-4.2417743196354607E-4</v>
      </c>
      <c r="AG611">
        <v>-8.7485853295061755E-3</v>
      </c>
      <c r="AH611">
        <v>-8.027130427879281E-3</v>
      </c>
      <c r="AI611">
        <v>-4.6246311358405512E-3</v>
      </c>
      <c r="AJ611">
        <v>6.5010448107731822E-3</v>
      </c>
      <c r="AK611">
        <v>3.0809098761877429E-2</v>
      </c>
      <c r="AL611">
        <v>2.9990319868640203E-3</v>
      </c>
    </row>
    <row r="612" spans="1:38">
      <c r="A612" s="568">
        <v>44719</v>
      </c>
      <c r="B612">
        <v>4.8461201601320274E-4</v>
      </c>
      <c r="C612">
        <v>5.0736934039852244E-4</v>
      </c>
      <c r="D612">
        <v>4.4969007775752523E-4</v>
      </c>
      <c r="E612">
        <v>5.3190368595634752E-4</v>
      </c>
      <c r="F612">
        <v>5.5247825962179142E-4</v>
      </c>
      <c r="G612">
        <v>4.7826396703309904E-4</v>
      </c>
      <c r="H612">
        <v>5.8857223298236505E-4</v>
      </c>
      <c r="I612">
        <v>6.048629510344572E-4</v>
      </c>
      <c r="J612">
        <v>-8.2244569642808685E-4</v>
      </c>
      <c r="K612">
        <v>-3.7889129927991538E-3</v>
      </c>
      <c r="L612">
        <v>6.437763902664706E-4</v>
      </c>
      <c r="M612">
        <v>6.6202479022980931E-4</v>
      </c>
      <c r="N612">
        <v>6.6748306171549032E-4</v>
      </c>
      <c r="O612">
        <v>5.4612392438491142E-4</v>
      </c>
      <c r="P612">
        <v>5.3573019985209136E-4</v>
      </c>
      <c r="Q612">
        <v>5.4958248556946643E-4</v>
      </c>
      <c r="R612">
        <v>-2.9668469984900359E-4</v>
      </c>
      <c r="S612">
        <v>2.0423968538907378E-3</v>
      </c>
      <c r="T612">
        <v>-9.4992918866831921E-5</v>
      </c>
      <c r="U612">
        <v>-1.0347875585482447E-3</v>
      </c>
      <c r="V612">
        <v>3.3600701074076866E-4</v>
      </c>
      <c r="W612">
        <v>1.1081225097280267E-3</v>
      </c>
      <c r="X612">
        <v>1.9926421567020292E-3</v>
      </c>
      <c r="Y612">
        <v>3.3600701074076866E-4</v>
      </c>
      <c r="Z612">
        <v>-1.2332842969173807E-3</v>
      </c>
      <c r="AA612">
        <v>5.3927824763899679E-4</v>
      </c>
      <c r="AC612">
        <v>-1.0541275195713462E-3</v>
      </c>
      <c r="AD612">
        <v>-9.9903320194137946E-3</v>
      </c>
      <c r="AE612">
        <v>-2.6810185372979634E-3</v>
      </c>
      <c r="AF612">
        <v>7.5001069417932609E-3</v>
      </c>
      <c r="AG612">
        <v>-9.5481670167352206E-4</v>
      </c>
      <c r="AH612">
        <v>5.5275982043265781E-3</v>
      </c>
      <c r="AI612">
        <v>-2.4334367635536758E-4</v>
      </c>
      <c r="AJ612">
        <v>2.4221453287197159E-2</v>
      </c>
      <c r="AK612">
        <v>2.3743016759776303E-3</v>
      </c>
      <c r="AL612">
        <v>-3.3526960444844045E-3</v>
      </c>
    </row>
    <row r="613" spans="1:38">
      <c r="A613" s="568">
        <v>44720</v>
      </c>
      <c r="B613">
        <v>4.8461201601320274E-4</v>
      </c>
      <c r="C613">
        <v>5.0991443486059218E-4</v>
      </c>
      <c r="D613">
        <v>4.5728253617216552E-4</v>
      </c>
      <c r="E613">
        <v>5.3190368595634752E-4</v>
      </c>
      <c r="F613">
        <v>5.2587923422420246E-4</v>
      </c>
      <c r="G613">
        <v>5.9196766792712907E-4</v>
      </c>
      <c r="H613">
        <v>5.9368378667157273E-4</v>
      </c>
      <c r="I613">
        <v>6.0428578160176549E-4</v>
      </c>
      <c r="J613">
        <v>3.5526062510782275E-4</v>
      </c>
      <c r="K613">
        <v>-8.0123158951084239E-4</v>
      </c>
      <c r="L613">
        <v>6.437763902664706E-4</v>
      </c>
      <c r="M613">
        <v>6.6202479022980931E-4</v>
      </c>
      <c r="N613">
        <v>6.6748306171549032E-4</v>
      </c>
      <c r="O613">
        <v>5.4612392438491142E-4</v>
      </c>
      <c r="P613">
        <v>5.3573019985209136E-4</v>
      </c>
      <c r="Q613">
        <v>5.4958248556946643E-4</v>
      </c>
      <c r="R613">
        <v>-1.5093014030083118E-3</v>
      </c>
      <c r="S613">
        <v>1.5234708011133691E-3</v>
      </c>
      <c r="T613">
        <v>5.3882999839089951E-3</v>
      </c>
      <c r="U613">
        <v>1.2087440578243402E-3</v>
      </c>
      <c r="V613">
        <v>1.0235693292330872E-3</v>
      </c>
      <c r="W613">
        <v>7.8969871441003647E-4</v>
      </c>
      <c r="X613">
        <v>-2.433072370198186E-4</v>
      </c>
      <c r="Y613">
        <v>1.0235693292330872E-3</v>
      </c>
      <c r="Z613">
        <v>7.3379661673911301E-4</v>
      </c>
      <c r="AA613">
        <v>2.9488286749086434E-3</v>
      </c>
      <c r="AC613">
        <v>-1.5463738632663482E-2</v>
      </c>
      <c r="AD613">
        <v>-1.0277501336194206E-2</v>
      </c>
      <c r="AE613">
        <v>-1.4267506978960953E-2</v>
      </c>
      <c r="AF613">
        <v>-8.9506198715959551E-3</v>
      </c>
      <c r="AG613">
        <v>-6.7735134268360753E-3</v>
      </c>
      <c r="AH613">
        <v>-7.6867352754558249E-3</v>
      </c>
      <c r="AI613">
        <v>-9.9331824944454139E-3</v>
      </c>
      <c r="AJ613">
        <v>-4.9549549549549043E-3</v>
      </c>
      <c r="AK613">
        <v>3.5530165807440506E-2</v>
      </c>
      <c r="AL613">
        <v>2.2590883393942551E-3</v>
      </c>
    </row>
    <row r="614" spans="1:38">
      <c r="A614" s="568">
        <v>44721</v>
      </c>
      <c r="B614">
        <v>4.8461201601320274E-4</v>
      </c>
      <c r="C614">
        <v>5.1365592509977631E-4</v>
      </c>
      <c r="D614">
        <v>4.5291831057303611E-4</v>
      </c>
      <c r="E614">
        <v>5.3190368595634752E-4</v>
      </c>
      <c r="F614">
        <v>5.7019943441938281E-4</v>
      </c>
      <c r="G614">
        <v>5.0278909043699471E-4</v>
      </c>
      <c r="H614">
        <v>5.775740073514779E-4</v>
      </c>
      <c r="I614">
        <v>6.2409217110315218E-4</v>
      </c>
      <c r="J614">
        <v>1.2193893039287307E-3</v>
      </c>
      <c r="K614">
        <v>4.5253996703475963E-4</v>
      </c>
      <c r="L614">
        <v>6.437763902664706E-4</v>
      </c>
      <c r="M614">
        <v>6.6202479022980931E-4</v>
      </c>
      <c r="N614">
        <v>6.6748306171549032E-4</v>
      </c>
      <c r="O614">
        <v>5.4612392438491142E-4</v>
      </c>
      <c r="P614">
        <v>5.3573019985209136E-4</v>
      </c>
      <c r="Q614">
        <v>5.4958248556946643E-4</v>
      </c>
      <c r="R614">
        <v>-2.9952632622893827E-3</v>
      </c>
      <c r="S614">
        <v>-1.9600887641874065E-3</v>
      </c>
      <c r="T614">
        <v>1.0220836134372302E-2</v>
      </c>
      <c r="U614">
        <v>4.2808052881386782E-3</v>
      </c>
      <c r="V614">
        <v>1.813787505722253E-5</v>
      </c>
      <c r="W614">
        <v>-9.3297136803049963E-4</v>
      </c>
      <c r="X614">
        <v>-1.5594486648755623E-3</v>
      </c>
      <c r="Y614">
        <v>1.813787505722253E-5</v>
      </c>
      <c r="Z614">
        <v>-9.0500882212085632E-4</v>
      </c>
      <c r="AA614">
        <v>3.5947768845989714E-4</v>
      </c>
      <c r="AC614">
        <v>-1.1755904690024188E-2</v>
      </c>
      <c r="AD614">
        <v>-1.0679213792703091E-2</v>
      </c>
      <c r="AE614">
        <v>-1.0477748016830879E-2</v>
      </c>
      <c r="AF614">
        <v>-7.5138350866365E-3</v>
      </c>
      <c r="AG614">
        <v>-1.576109073566867E-3</v>
      </c>
      <c r="AH614">
        <v>-4.9416730035641843E-3</v>
      </c>
      <c r="AI614">
        <v>-1.2710872920308369E-2</v>
      </c>
      <c r="AJ614">
        <v>-1.3128112267994596E-2</v>
      </c>
      <c r="AK614">
        <v>-1.0495156081808177E-2</v>
      </c>
      <c r="AL614">
        <v>-3.155567759904554E-3</v>
      </c>
    </row>
    <row r="615" spans="1:38">
      <c r="A615" s="568">
        <v>44722</v>
      </c>
      <c r="B615">
        <v>4.8461201601320274E-4</v>
      </c>
      <c r="C615">
        <v>5.5848050876883271E-4</v>
      </c>
      <c r="D615">
        <v>4.7970993124146766E-4</v>
      </c>
      <c r="E615">
        <v>5.3190368595634752E-4</v>
      </c>
      <c r="F615">
        <v>5.4360932715824539E-4</v>
      </c>
      <c r="G615">
        <v>5.7632289027664818E-4</v>
      </c>
      <c r="H615">
        <v>5.7905773496358393E-4</v>
      </c>
      <c r="I615">
        <v>5.7941088702007093E-4</v>
      </c>
      <c r="J615">
        <v>4.9083588519049925E-4</v>
      </c>
      <c r="K615">
        <v>6.6237939323920969E-4</v>
      </c>
      <c r="L615">
        <v>6.437763902664706E-4</v>
      </c>
      <c r="M615">
        <v>6.6202479022980931E-4</v>
      </c>
      <c r="N615">
        <v>6.6748306171549032E-4</v>
      </c>
      <c r="O615">
        <v>5.4612392438491142E-4</v>
      </c>
      <c r="P615">
        <v>5.3573019985209136E-4</v>
      </c>
      <c r="Q615">
        <v>5.4958248556946643E-4</v>
      </c>
      <c r="R615">
        <v>-1.0555070528361798E-2</v>
      </c>
      <c r="S615">
        <v>-1.4207075225837196E-3</v>
      </c>
      <c r="T615">
        <v>1.1348907949769282E-2</v>
      </c>
      <c r="U615">
        <v>4.1707928456840015E-3</v>
      </c>
      <c r="V615">
        <v>1.6097072146625813E-4</v>
      </c>
      <c r="W615">
        <v>3.3494072876436576E-3</v>
      </c>
      <c r="X615">
        <v>7.7598689210540694E-3</v>
      </c>
      <c r="Y615">
        <v>1.6097072146625813E-4</v>
      </c>
      <c r="Z615">
        <v>-6.2182951680944676E-4</v>
      </c>
      <c r="AA615">
        <v>-7.7325388878359824E-3</v>
      </c>
      <c r="AC615">
        <v>-1.5056719951153208E-2</v>
      </c>
      <c r="AD615">
        <v>-2.3231310472183631E-2</v>
      </c>
      <c r="AE615">
        <v>-1.6893399246952323E-2</v>
      </c>
      <c r="AF615">
        <v>-1.0722156764965129E-2</v>
      </c>
      <c r="AG615">
        <v>-1.7994140501618183E-2</v>
      </c>
      <c r="AH615">
        <v>-7.3145964030832955E-3</v>
      </c>
      <c r="AI615">
        <v>-1.0409919994898376E-2</v>
      </c>
      <c r="AJ615">
        <v>-2.4082568807339499E-2</v>
      </c>
      <c r="AK615">
        <v>2.4476475387542607E-3</v>
      </c>
      <c r="AL615">
        <v>7.8555784370120119E-3</v>
      </c>
    </row>
    <row r="616" spans="1:38">
      <c r="A616" s="568">
        <v>44725</v>
      </c>
      <c r="B616">
        <v>4.8461201601320274E-4</v>
      </c>
      <c r="C616">
        <v>5.2222700406701072E-4</v>
      </c>
      <c r="D616">
        <v>4.6858264905402791E-4</v>
      </c>
      <c r="E616">
        <v>5.3190368595634752E-4</v>
      </c>
      <c r="F616">
        <v>5.4808686659768568E-4</v>
      </c>
      <c r="G616">
        <v>5.8224332580691929E-4</v>
      </c>
      <c r="H616">
        <v>5.8235477149537473E-4</v>
      </c>
      <c r="I616">
        <v>6.0903717064064722E-4</v>
      </c>
      <c r="J616">
        <v>-8.7486317756668708E-4</v>
      </c>
      <c r="K616">
        <v>-1.3724751675329161E-3</v>
      </c>
      <c r="L616">
        <v>6.437763902664706E-4</v>
      </c>
      <c r="M616">
        <v>6.6202479022980931E-4</v>
      </c>
      <c r="N616">
        <v>6.6748306171549032E-4</v>
      </c>
      <c r="O616">
        <v>5.4612392438491142E-4</v>
      </c>
      <c r="P616">
        <v>5.3573019985209136E-4</v>
      </c>
      <c r="Q616">
        <v>5.4958248556946643E-4</v>
      </c>
      <c r="R616">
        <v>-1.8402327714909128E-2</v>
      </c>
      <c r="S616">
        <v>-3.6282029663132764E-3</v>
      </c>
      <c r="T616">
        <v>1.4188886695470693E-2</v>
      </c>
      <c r="U616">
        <v>4.8959484599044867E-3</v>
      </c>
      <c r="V616">
        <v>-2.3575015017740508E-4</v>
      </c>
      <c r="W616">
        <v>9.2781672218649192E-3</v>
      </c>
      <c r="X616">
        <v>9.8936846359667374E-3</v>
      </c>
      <c r="Y616">
        <v>-2.3575015017740508E-4</v>
      </c>
      <c r="Z616">
        <v>4.5623293726053671E-3</v>
      </c>
      <c r="AA616">
        <v>-7.0101378424831662E-3</v>
      </c>
      <c r="AC616">
        <v>-2.7332350978463205E-2</v>
      </c>
      <c r="AD616">
        <v>-4.0146884191086918E-2</v>
      </c>
      <c r="AE616">
        <v>-2.7526777696030402E-2</v>
      </c>
      <c r="AF616">
        <v>-1.5213933514856892E-2</v>
      </c>
      <c r="AG616">
        <v>-2.1740026480181696E-2</v>
      </c>
      <c r="AH616">
        <v>-4.9976509148276227E-3</v>
      </c>
      <c r="AI616">
        <v>-8.8808537689722966E-3</v>
      </c>
      <c r="AJ616">
        <v>-1.292596944770863E-2</v>
      </c>
      <c r="AK616">
        <v>-4.0016277807921941E-2</v>
      </c>
      <c r="AL616">
        <v>-1.506975537655475E-2</v>
      </c>
    </row>
    <row r="617" spans="1:38">
      <c r="A617" s="568">
        <v>44726</v>
      </c>
      <c r="B617">
        <v>4.8461201601320274E-4</v>
      </c>
      <c r="C617">
        <v>5.0829153360698598E-4</v>
      </c>
      <c r="D617">
        <v>4.9844631017470498E-4</v>
      </c>
      <c r="E617">
        <v>5.3190368595634752E-4</v>
      </c>
      <c r="F617">
        <v>5.0962442826252285E-4</v>
      </c>
      <c r="G617">
        <v>8.5881847703483949E-4</v>
      </c>
      <c r="H617">
        <v>5.8564586817166919E-4</v>
      </c>
      <c r="I617">
        <v>6.0999974234854371E-4</v>
      </c>
      <c r="J617">
        <v>-2.5085297078553115E-4</v>
      </c>
      <c r="K617">
        <v>-1.253854271762167E-4</v>
      </c>
      <c r="L617">
        <v>6.437763902664706E-4</v>
      </c>
      <c r="M617">
        <v>6.6202479022980931E-4</v>
      </c>
      <c r="N617">
        <v>6.6748306171549032E-4</v>
      </c>
      <c r="O617">
        <v>5.4612392438491142E-4</v>
      </c>
      <c r="P617">
        <v>5.3573019985209136E-4</v>
      </c>
      <c r="Q617">
        <v>5.4958248556946643E-4</v>
      </c>
      <c r="R617">
        <v>-3.2322969102748234E-3</v>
      </c>
      <c r="S617">
        <v>-8.7336239376939462E-3</v>
      </c>
      <c r="T617">
        <v>-1.387415780164325E-3</v>
      </c>
      <c r="U617">
        <v>1.8700242734777106E-3</v>
      </c>
      <c r="V617">
        <v>-1.2447822311303369E-3</v>
      </c>
      <c r="W617">
        <v>5.8500108531507333E-3</v>
      </c>
      <c r="X617">
        <v>-9.1973035819348237E-4</v>
      </c>
      <c r="Y617">
        <v>-1.2447822311303369E-3</v>
      </c>
      <c r="Z617">
        <v>4.5800037688601414E-3</v>
      </c>
      <c r="AA617">
        <v>1.1414580259778706E-3</v>
      </c>
      <c r="AC617">
        <v>-5.2138351771930935E-3</v>
      </c>
      <c r="AD617">
        <v>-4.1352687078828332E-3</v>
      </c>
      <c r="AE617">
        <v>-5.1120079268944796E-3</v>
      </c>
      <c r="AF617">
        <v>-2.8535333123724804E-4</v>
      </c>
      <c r="AG617">
        <v>-1.9919855671280962E-3</v>
      </c>
      <c r="AH617">
        <v>2.0458247941450569E-3</v>
      </c>
      <c r="AI617">
        <v>-4.1436945152496518E-3</v>
      </c>
      <c r="AJ617">
        <v>-1.1904761904761862E-3</v>
      </c>
      <c r="AK617">
        <v>5.9347181008901906E-3</v>
      </c>
      <c r="AL617">
        <v>-1.4706778014935362E-2</v>
      </c>
    </row>
    <row r="618" spans="1:38">
      <c r="A618" s="568">
        <v>44727</v>
      </c>
      <c r="B618">
        <v>4.8461201601320274E-4</v>
      </c>
      <c r="C618">
        <v>5.3424314653160998E-4</v>
      </c>
      <c r="D618">
        <v>4.9456907170308817E-4</v>
      </c>
      <c r="E618">
        <v>5.3190368595634752E-4</v>
      </c>
      <c r="F618">
        <v>4.7956580818953043E-4</v>
      </c>
      <c r="G618">
        <v>5.8285913487798879E-4</v>
      </c>
      <c r="H618">
        <v>5.8107052418487903E-4</v>
      </c>
      <c r="I618">
        <v>6.0888962969385396E-4</v>
      </c>
      <c r="J618">
        <v>3.7011275661531506E-3</v>
      </c>
      <c r="K618">
        <v>6.2262634143812612E-3</v>
      </c>
      <c r="L618">
        <v>6.437763902664706E-4</v>
      </c>
      <c r="M618">
        <v>6.6202479022980931E-4</v>
      </c>
      <c r="N618">
        <v>6.6748306171549032E-4</v>
      </c>
      <c r="O618">
        <v>5.4612392438491142E-4</v>
      </c>
      <c r="P618">
        <v>5.3573019985209136E-4</v>
      </c>
      <c r="Q618">
        <v>5.4958248556946643E-4</v>
      </c>
      <c r="R618">
        <v>9.7949508178587497E-3</v>
      </c>
      <c r="S618">
        <v>7.205135726251477E-4</v>
      </c>
      <c r="T618">
        <v>-7.0620578471802808E-4</v>
      </c>
      <c r="U618">
        <v>1.3581451942701328E-4</v>
      </c>
      <c r="V618">
        <v>1.3893555388064804E-3</v>
      </c>
      <c r="W618">
        <v>6.1459264752983245E-5</v>
      </c>
      <c r="X618">
        <v>5.6373514530561053E-4</v>
      </c>
      <c r="Y618">
        <v>1.3893555388064804E-3</v>
      </c>
      <c r="Z618">
        <v>-3.8509608731656098E-3</v>
      </c>
      <c r="AA618">
        <v>5.6524720801836015E-3</v>
      </c>
      <c r="AC618">
        <v>7.2853843082598679E-3</v>
      </c>
      <c r="AD618">
        <v>1.3082437275985681E-2</v>
      </c>
      <c r="AE618">
        <v>8.4316856517565597E-3</v>
      </c>
      <c r="AF618">
        <v>1.6650522807322821E-2</v>
      </c>
      <c r="AG618">
        <v>1.129152499548014E-2</v>
      </c>
      <c r="AH618">
        <v>1.639110274146871E-3</v>
      </c>
      <c r="AI618">
        <v>4.0505410154907384E-3</v>
      </c>
      <c r="AJ618">
        <v>-3.5756853396901045E-3</v>
      </c>
      <c r="AK618">
        <v>1.6575361708105252E-2</v>
      </c>
      <c r="AL618">
        <v>-2.4053133954082484E-2</v>
      </c>
    </row>
    <row r="619" spans="1:38">
      <c r="A619" s="568">
        <v>44729</v>
      </c>
      <c r="B619">
        <v>5.0263427372176928E-4</v>
      </c>
      <c r="C619">
        <v>5.5196453487793562E-4</v>
      </c>
      <c r="D619">
        <v>4.7826163554076651E-4</v>
      </c>
      <c r="E619">
        <v>5.4948741525118194E-4</v>
      </c>
      <c r="F619">
        <v>6.6122148457536944E-4</v>
      </c>
      <c r="G619">
        <v>5.8696436510019545E-4</v>
      </c>
      <c r="H619">
        <v>5.855674837820235E-4</v>
      </c>
      <c r="I619">
        <v>6.0966428466291411E-4</v>
      </c>
      <c r="J619">
        <v>7.8221876030459825E-4</v>
      </c>
      <c r="K619">
        <v>1.4643139938879113E-3</v>
      </c>
      <c r="L619">
        <v>6.437763902664706E-4</v>
      </c>
      <c r="M619">
        <v>6.6202479022980931E-4</v>
      </c>
      <c r="N619">
        <v>6.6748306171549032E-4</v>
      </c>
      <c r="O619">
        <v>5.4612392438491142E-4</v>
      </c>
      <c r="P619">
        <v>5.3573019985209136E-4</v>
      </c>
      <c r="Q619">
        <v>5.4958248556946643E-4</v>
      </c>
      <c r="R619">
        <v>-4.6389936856413572E-3</v>
      </c>
      <c r="S619">
        <v>-3.102689989538665E-3</v>
      </c>
      <c r="T619">
        <v>-2.5753292966587127E-3</v>
      </c>
      <c r="U619">
        <v>-2.4698335324603304E-3</v>
      </c>
      <c r="V619">
        <v>-3.9378468569770675E-3</v>
      </c>
      <c r="W619">
        <v>-3.6693084825208944E-3</v>
      </c>
      <c r="X619">
        <v>-5.6419086937287144E-4</v>
      </c>
      <c r="Y619">
        <v>-3.9378468569770675E-3</v>
      </c>
      <c r="Z619">
        <v>-4.8695750345415512E-3</v>
      </c>
      <c r="AA619">
        <v>1.0292432735643509E-3</v>
      </c>
      <c r="AC619">
        <v>-2.900469054484911E-2</v>
      </c>
      <c r="AD619">
        <v>-2.3315780545720921E-2</v>
      </c>
      <c r="AE619">
        <v>-2.7302678651713652E-2</v>
      </c>
      <c r="AF619">
        <v>-8.945463143796184E-3</v>
      </c>
      <c r="AG619">
        <v>-1.6463589646935617E-2</v>
      </c>
      <c r="AH619">
        <v>-8.9677239087196936E-3</v>
      </c>
      <c r="AI619">
        <v>-1.8679071578840523E-2</v>
      </c>
      <c r="AJ619">
        <v>-7.1770334928229484E-3</v>
      </c>
      <c r="AK619">
        <v>-1.022523144949572E-2</v>
      </c>
      <c r="AL619">
        <v>-1.9387144827271996E-3</v>
      </c>
    </row>
    <row r="620" spans="1:38">
      <c r="A620" s="568">
        <v>44732</v>
      </c>
      <c r="B620">
        <v>5.0263427372176928E-4</v>
      </c>
      <c r="C620">
        <v>5.0709901527090651E-4</v>
      </c>
      <c r="D620">
        <v>5.096256582017844E-4</v>
      </c>
      <c r="E620">
        <v>5.4948741525118194E-4</v>
      </c>
      <c r="F620">
        <v>5.5124910109483061E-4</v>
      </c>
      <c r="G620">
        <v>5.4467589563134133E-4</v>
      </c>
      <c r="H620">
        <v>6.0455110419654901E-4</v>
      </c>
      <c r="I620">
        <v>6.1613181064568145E-4</v>
      </c>
      <c r="J620">
        <v>-1.0140405433209931E-3</v>
      </c>
      <c r="K620">
        <v>-8.8738127272902645E-4</v>
      </c>
      <c r="L620">
        <v>6.437763902664706E-4</v>
      </c>
      <c r="M620">
        <v>6.6202479022980931E-4</v>
      </c>
      <c r="N620">
        <v>6.6748306171549032E-4</v>
      </c>
      <c r="O620">
        <v>5.4612392438491142E-4</v>
      </c>
      <c r="P620">
        <v>5.3573019985209136E-4</v>
      </c>
      <c r="Q620">
        <v>5.4958248556946643E-4</v>
      </c>
      <c r="R620">
        <v>-3.3138255302045394E-5</v>
      </c>
      <c r="S620">
        <v>1.2956948761750908E-3</v>
      </c>
      <c r="T620">
        <v>9.0270876882758699E-4</v>
      </c>
      <c r="U620">
        <v>3.2788708934039512E-4</v>
      </c>
      <c r="V620">
        <v>-2.9588020948323468E-5</v>
      </c>
      <c r="W620">
        <v>-1.6510321037632725E-4</v>
      </c>
      <c r="X620">
        <v>2.3523905326960914E-3</v>
      </c>
      <c r="Y620">
        <v>-2.9588020948323468E-5</v>
      </c>
      <c r="Z620">
        <v>1.4063772015775466E-3</v>
      </c>
      <c r="AA620">
        <v>-2.8581265591115512E-3</v>
      </c>
      <c r="AC620">
        <v>2.7778629268393473E-4</v>
      </c>
      <c r="AD620">
        <v>-8.1272316338271144E-3</v>
      </c>
      <c r="AE620">
        <v>-5.1832989503652893E-4</v>
      </c>
      <c r="AF620">
        <v>-3.3596856685738086E-3</v>
      </c>
      <c r="AG620">
        <v>-5.2917885173793255E-3</v>
      </c>
      <c r="AH620">
        <v>-6.482595400052471E-4</v>
      </c>
      <c r="AI620">
        <v>-7.5911520844925695E-3</v>
      </c>
      <c r="AJ620">
        <v>1.6867469879518149E-2</v>
      </c>
      <c r="AK620">
        <v>4.7466145469776677E-3</v>
      </c>
      <c r="AL620">
        <v>-1.1413617758790906E-3</v>
      </c>
    </row>
    <row r="621" spans="1:38">
      <c r="A621" s="568">
        <v>44733</v>
      </c>
      <c r="B621">
        <v>5.0263427372176928E-4</v>
      </c>
      <c r="C621">
        <v>5.3315364021955247E-4</v>
      </c>
      <c r="D621">
        <v>4.8400129826231542E-4</v>
      </c>
      <c r="E621">
        <v>5.4948741525118194E-4</v>
      </c>
      <c r="F621">
        <v>5.6800129783529663E-4</v>
      </c>
      <c r="G621">
        <v>5.132158853593527E-4</v>
      </c>
      <c r="H621">
        <v>6.0780733654230978E-4</v>
      </c>
      <c r="I621">
        <v>6.0768140330824671E-4</v>
      </c>
      <c r="J621">
        <v>-7.1076810945791546E-4</v>
      </c>
      <c r="K621">
        <v>-6.1087245508939514E-4</v>
      </c>
      <c r="L621">
        <v>6.437763902664706E-4</v>
      </c>
      <c r="M621">
        <v>6.6202479022980931E-4</v>
      </c>
      <c r="N621">
        <v>6.6748306171549032E-4</v>
      </c>
      <c r="O621">
        <v>5.4612392438491142E-4</v>
      </c>
      <c r="P621">
        <v>5.3573019985209136E-4</v>
      </c>
      <c r="Q621">
        <v>5.4958248556946643E-4</v>
      </c>
      <c r="R621">
        <v>3.8035224006398582E-3</v>
      </c>
      <c r="S621">
        <v>1.2823130557826357E-3</v>
      </c>
      <c r="T621">
        <v>-4.3123370601183542E-4</v>
      </c>
      <c r="U621">
        <v>1.850438960937284E-3</v>
      </c>
      <c r="V621">
        <v>-5.2804799774208711E-4</v>
      </c>
      <c r="W621">
        <v>-2.2543092791726949E-4</v>
      </c>
      <c r="X621">
        <v>-9.8296840732836621E-4</v>
      </c>
      <c r="Y621">
        <v>-5.2804799774208711E-4</v>
      </c>
      <c r="Z621">
        <v>3.5381108081433688E-4</v>
      </c>
      <c r="AA621">
        <v>2.344972961803915E-3</v>
      </c>
      <c r="AC621">
        <v>-1.6841813043155796E-3</v>
      </c>
      <c r="AD621">
        <v>-1.5124708893345939E-3</v>
      </c>
      <c r="AE621">
        <v>-3.6644702398213047E-3</v>
      </c>
      <c r="AF621">
        <v>1.9228196749676574E-3</v>
      </c>
      <c r="AG621">
        <v>-4.346288887182137E-3</v>
      </c>
      <c r="AH621">
        <v>-5.6267700015087962E-3</v>
      </c>
      <c r="AI621">
        <v>-2.0668023757389742E-3</v>
      </c>
      <c r="AJ621">
        <v>7.1090047393365108E-3</v>
      </c>
      <c r="AK621">
        <v>1.9174656106710986E-2</v>
      </c>
      <c r="AL621">
        <v>1.0443971269008978E-2</v>
      </c>
    </row>
    <row r="622" spans="1:38">
      <c r="A622" s="568">
        <v>44734</v>
      </c>
      <c r="B622">
        <v>5.0263427372176928E-4</v>
      </c>
      <c r="C622">
        <v>5.2627122611670352E-4</v>
      </c>
      <c r="D622">
        <v>5.7275961480751647E-4</v>
      </c>
      <c r="E622">
        <v>5.4948741525118194E-4</v>
      </c>
      <c r="F622">
        <v>5.4111846212956394E-4</v>
      </c>
      <c r="G622">
        <v>4.7779433953243355E-4</v>
      </c>
      <c r="H622">
        <v>6.0381883745863618E-4</v>
      </c>
      <c r="I622">
        <v>6.0737656618226055E-4</v>
      </c>
      <c r="J622">
        <v>6.6771510132923595E-4</v>
      </c>
      <c r="K622">
        <v>-4.1142184738141019E-4</v>
      </c>
      <c r="L622">
        <v>6.437763902664706E-4</v>
      </c>
      <c r="M622">
        <v>6.6202479022980931E-4</v>
      </c>
      <c r="N622">
        <v>6.6748306171549032E-4</v>
      </c>
      <c r="O622">
        <v>5.4612392438491142E-4</v>
      </c>
      <c r="P622">
        <v>5.3573019985209136E-4</v>
      </c>
      <c r="Q622">
        <v>5.4958248556946643E-4</v>
      </c>
      <c r="R622">
        <v>2.4604613209251447E-3</v>
      </c>
      <c r="S622">
        <v>-1.2158977104729241E-3</v>
      </c>
      <c r="T622">
        <v>-4.3957970196527585E-3</v>
      </c>
      <c r="U622">
        <v>-1.5022058814548878E-3</v>
      </c>
      <c r="V622">
        <v>-2.2226169492760572E-3</v>
      </c>
      <c r="W622">
        <v>3.9900064257691881E-5</v>
      </c>
      <c r="X622">
        <v>-5.6001865858124056E-4</v>
      </c>
      <c r="Y622">
        <v>-2.2226169492760572E-3</v>
      </c>
      <c r="Z622">
        <v>-4.0880697904869256E-3</v>
      </c>
      <c r="AA622">
        <v>1.2852748433314076E-3</v>
      </c>
      <c r="AC622">
        <v>-1.6269329735314475E-3</v>
      </c>
      <c r="AD622">
        <v>-9.1295969398497157E-5</v>
      </c>
      <c r="AE622">
        <v>-3.8273993172014409E-3</v>
      </c>
      <c r="AF622">
        <v>1.0438937835860695E-2</v>
      </c>
      <c r="AG622">
        <v>-1.5543476032723325E-3</v>
      </c>
      <c r="AH622">
        <v>-5.1478886968584492E-3</v>
      </c>
      <c r="AI622">
        <v>8.0567576060075474E-4</v>
      </c>
      <c r="AJ622">
        <v>4.9411764705882266E-3</v>
      </c>
      <c r="AK622">
        <v>-2.5357873210633985E-2</v>
      </c>
      <c r="AL622">
        <v>-1.9132633733859095E-2</v>
      </c>
    </row>
    <row r="623" spans="1:38">
      <c r="A623" s="568">
        <v>44735</v>
      </c>
      <c r="B623">
        <v>5.0263427372176928E-4</v>
      </c>
      <c r="C623">
        <v>5.6709270169608139E-4</v>
      </c>
      <c r="D623">
        <v>4.7728500844179678E-4</v>
      </c>
      <c r="E623">
        <v>5.4948741525118194E-4</v>
      </c>
      <c r="F623">
        <v>6.208601071826525E-4</v>
      </c>
      <c r="G623">
        <v>5.3454315623557846E-4</v>
      </c>
      <c r="H623">
        <v>6.0345446028797767E-4</v>
      </c>
      <c r="I623">
        <v>6.0909718423651782E-4</v>
      </c>
      <c r="J623">
        <v>2.328514738452192E-3</v>
      </c>
      <c r="K623">
        <v>2.0462110608368E-3</v>
      </c>
      <c r="L623">
        <v>6.437763902664706E-4</v>
      </c>
      <c r="M623">
        <v>6.6202479022980931E-4</v>
      </c>
      <c r="N623">
        <v>6.6748306171549032E-4</v>
      </c>
      <c r="O623">
        <v>5.4612392438491142E-4</v>
      </c>
      <c r="P623">
        <v>5.3573019985209136E-4</v>
      </c>
      <c r="Q623">
        <v>5.4958248556946643E-4</v>
      </c>
      <c r="R623">
        <v>4.7845700722026763E-4</v>
      </c>
      <c r="S623">
        <v>-2.1431010842283271E-3</v>
      </c>
      <c r="T623">
        <v>-1.3832726900668835E-3</v>
      </c>
      <c r="U623">
        <v>1.2556922017701311E-3</v>
      </c>
      <c r="V623">
        <v>-1.5519940841637325E-3</v>
      </c>
      <c r="W623">
        <v>2.3150392651993812E-4</v>
      </c>
      <c r="X623">
        <v>3.9485392096287875E-3</v>
      </c>
      <c r="Y623">
        <v>-1.5519940841637325E-3</v>
      </c>
      <c r="Z623">
        <v>-4.6150142210578116E-3</v>
      </c>
      <c r="AA623">
        <v>4.7202766636875726E-3</v>
      </c>
      <c r="AC623">
        <v>-1.4489011108262062E-2</v>
      </c>
      <c r="AD623">
        <v>-5.5903661244847136E-3</v>
      </c>
      <c r="AE623">
        <v>-1.320669061394808E-2</v>
      </c>
      <c r="AF623">
        <v>-5.1431553700481691E-3</v>
      </c>
      <c r="AG623">
        <v>-4.2963773118478432E-3</v>
      </c>
      <c r="AH623">
        <v>-3.4315910853741638E-3</v>
      </c>
      <c r="AI623">
        <v>-6.7439310406519626E-3</v>
      </c>
      <c r="AJ623">
        <v>1.9199250760945974E-2</v>
      </c>
      <c r="AK623">
        <v>2.0142677297524392E-2</v>
      </c>
      <c r="AL623">
        <v>1.2643284944071409E-2</v>
      </c>
    </row>
    <row r="624" spans="1:38">
      <c r="A624" s="568">
        <v>44736</v>
      </c>
      <c r="B624">
        <v>5.0263427372176928E-4</v>
      </c>
      <c r="C624">
        <v>5.27344067944302E-4</v>
      </c>
      <c r="D624">
        <v>5.4631590807829866E-4</v>
      </c>
      <c r="E624">
        <v>5.4948741525118194E-4</v>
      </c>
      <c r="F624">
        <v>5.1000104930332135E-4</v>
      </c>
      <c r="G624">
        <v>5.788429738819989E-4</v>
      </c>
      <c r="H624">
        <v>5.9947559441475562E-4</v>
      </c>
      <c r="I624">
        <v>6.0911949050956871E-4</v>
      </c>
      <c r="J624">
        <v>-8.5755408765231245E-4</v>
      </c>
      <c r="K624">
        <v>-9.8722088445968303E-4</v>
      </c>
      <c r="L624">
        <v>6.437763902664706E-4</v>
      </c>
      <c r="M624">
        <v>6.6202479022980931E-4</v>
      </c>
      <c r="N624">
        <v>6.6748306171549032E-4</v>
      </c>
      <c r="O624">
        <v>5.4612392438491142E-4</v>
      </c>
      <c r="P624">
        <v>5.3573019985209136E-4</v>
      </c>
      <c r="Q624">
        <v>5.4958248556946643E-4</v>
      </c>
      <c r="R624">
        <v>1.7588860388422223E-3</v>
      </c>
      <c r="S624">
        <v>4.4739241717159928E-3</v>
      </c>
      <c r="T624">
        <v>-7.6513497667167751E-3</v>
      </c>
      <c r="U624">
        <v>-1.4142839351962699E-3</v>
      </c>
      <c r="V624">
        <v>2.2858919321722126E-4</v>
      </c>
      <c r="W624">
        <v>9.2858434950393587E-4</v>
      </c>
      <c r="X624">
        <v>2.688449779665314E-3</v>
      </c>
      <c r="Y624">
        <v>2.2858919321722126E-4</v>
      </c>
      <c r="Z624">
        <v>4.4509905729948063E-3</v>
      </c>
      <c r="AA624">
        <v>-5.4449448415561097E-4</v>
      </c>
      <c r="AC624">
        <v>6.035052488602588E-3</v>
      </c>
      <c r="AD624">
        <v>-2.9840719710507724E-3</v>
      </c>
      <c r="AE624">
        <v>3.2210873558267128E-3</v>
      </c>
      <c r="AF624">
        <v>-1.5152780547535993E-3</v>
      </c>
      <c r="AG624">
        <v>2.6889353538903649E-3</v>
      </c>
      <c r="AH624">
        <v>-4.133983927606999E-3</v>
      </c>
      <c r="AI624">
        <v>9.6385576490032321E-4</v>
      </c>
      <c r="AJ624">
        <v>3.6067080174592148E-2</v>
      </c>
      <c r="AK624">
        <v>2.618949677773208E-2</v>
      </c>
      <c r="AL624">
        <v>2.0293596898118604E-2</v>
      </c>
    </row>
    <row r="625" spans="1:38">
      <c r="A625" s="568">
        <v>44739</v>
      </c>
      <c r="B625">
        <v>5.0263427372176928E-4</v>
      </c>
      <c r="C625">
        <v>6.1638102446748277E-4</v>
      </c>
      <c r="D625">
        <v>4.6749852130978375E-4</v>
      </c>
      <c r="E625">
        <v>5.4948741525118194E-4</v>
      </c>
      <c r="F625">
        <v>6.0947303141190012E-4</v>
      </c>
      <c r="G625">
        <v>8.2797375532783768E-4</v>
      </c>
      <c r="H625">
        <v>5.9249304091646415E-4</v>
      </c>
      <c r="I625">
        <v>6.144440334121537E-4</v>
      </c>
      <c r="J625">
        <v>-2.0153674504241881E-4</v>
      </c>
      <c r="K625">
        <v>-7.6739500888300949E-4</v>
      </c>
      <c r="L625">
        <v>6.437763902664706E-4</v>
      </c>
      <c r="M625">
        <v>6.6202479022980931E-4</v>
      </c>
      <c r="N625">
        <v>6.6748306171549032E-4</v>
      </c>
      <c r="O625">
        <v>5.4612392438491142E-4</v>
      </c>
      <c r="P625">
        <v>5.3573019985209136E-4</v>
      </c>
      <c r="Q625">
        <v>5.4958248556946643E-4</v>
      </c>
      <c r="R625">
        <v>-8.9587846308181174E-4</v>
      </c>
      <c r="S625">
        <v>1.3461666096108438E-3</v>
      </c>
      <c r="T625">
        <v>-2.1453598052189049E-3</v>
      </c>
      <c r="U625">
        <v>1.0100024290078391E-3</v>
      </c>
      <c r="V625">
        <v>1.5677634916790861E-3</v>
      </c>
      <c r="W625">
        <v>8.7443210569926322E-4</v>
      </c>
      <c r="X625">
        <v>2.8014309922903546E-3</v>
      </c>
      <c r="Y625">
        <v>1.5677634916790861E-3</v>
      </c>
      <c r="Z625">
        <v>3.2330389299737305E-3</v>
      </c>
      <c r="AA625">
        <v>1.6172852900617762E-3</v>
      </c>
      <c r="AC625">
        <v>2.1194811996806617E-2</v>
      </c>
      <c r="AD625">
        <v>1.7977545772259074E-2</v>
      </c>
      <c r="AE625">
        <v>1.9939054077304785E-2</v>
      </c>
      <c r="AF625">
        <v>-5.8135776723123866E-3</v>
      </c>
      <c r="AG625">
        <v>1.0514755919549312E-2</v>
      </c>
      <c r="AH625">
        <v>1.9815707100719226E-2</v>
      </c>
      <c r="AI625">
        <v>1.6671128330526752E-2</v>
      </c>
      <c r="AJ625">
        <v>-7.9822616407982938E-3</v>
      </c>
      <c r="AK625">
        <v>1.5766969535008002E-2</v>
      </c>
      <c r="AL625">
        <v>1.1459174742388667E-2</v>
      </c>
    </row>
    <row r="626" spans="1:38">
      <c r="A626" s="568">
        <v>44740</v>
      </c>
      <c r="B626">
        <v>5.0263427372176928E-4</v>
      </c>
      <c r="C626">
        <v>5.256680407752512E-4</v>
      </c>
      <c r="D626">
        <v>5.3388684077382287E-4</v>
      </c>
      <c r="E626">
        <v>5.4948741525118194E-4</v>
      </c>
      <c r="F626">
        <v>5.6480348754295306E-4</v>
      </c>
      <c r="G626">
        <v>4.6812729078249404E-4</v>
      </c>
      <c r="H626">
        <v>6.1380593983595411E-4</v>
      </c>
      <c r="I626">
        <v>6.1028839667365276E-4</v>
      </c>
      <c r="J626">
        <v>-1.9724556799546322E-3</v>
      </c>
      <c r="K626">
        <v>-2.6992268009685683E-3</v>
      </c>
      <c r="L626">
        <v>6.437763902664706E-4</v>
      </c>
      <c r="M626">
        <v>6.6202479022980931E-4</v>
      </c>
      <c r="N626">
        <v>6.6748306171549032E-4</v>
      </c>
      <c r="O626">
        <v>5.4612392438491142E-4</v>
      </c>
      <c r="P626">
        <v>5.3573019985209136E-4</v>
      </c>
      <c r="Q626">
        <v>5.4958248556946643E-4</v>
      </c>
      <c r="R626">
        <v>-2.8886184708999396E-3</v>
      </c>
      <c r="S626">
        <v>6.3222554637420991E-4</v>
      </c>
      <c r="T626">
        <v>-2.3546089999487707E-3</v>
      </c>
      <c r="U626">
        <v>1.4866226704388641E-3</v>
      </c>
      <c r="V626">
        <v>2.7837864972646287E-4</v>
      </c>
      <c r="W626">
        <v>4.6530815206002885E-4</v>
      </c>
      <c r="X626">
        <v>2.3042057023896501E-3</v>
      </c>
      <c r="Y626">
        <v>2.7837864972646287E-4</v>
      </c>
      <c r="Z626">
        <v>5.4995337895724639E-3</v>
      </c>
      <c r="AA626">
        <v>4.5286637966313048E-3</v>
      </c>
      <c r="AC626">
        <v>-1.7088512121440358E-3</v>
      </c>
      <c r="AD626">
        <v>-6.6856130062700192E-3</v>
      </c>
      <c r="AE626">
        <v>-2.4962786997984043E-3</v>
      </c>
      <c r="AF626">
        <v>-4.2227539918309187E-3</v>
      </c>
      <c r="AG626">
        <v>-2.359640581383271E-3</v>
      </c>
      <c r="AH626">
        <v>2.1977984771266446E-3</v>
      </c>
      <c r="AI626">
        <v>1.029208227048084E-2</v>
      </c>
      <c r="AJ626">
        <v>-1.4304872597228346E-2</v>
      </c>
      <c r="AK626">
        <v>3.5516969218627459E-3</v>
      </c>
      <c r="AL626">
        <v>-6.6193906991294238E-3</v>
      </c>
    </row>
    <row r="627" spans="1:38">
      <c r="A627" s="568">
        <v>44741</v>
      </c>
      <c r="B627">
        <v>5.0263427372176928E-4</v>
      </c>
      <c r="C627">
        <v>5.4877987094359426E-4</v>
      </c>
      <c r="D627">
        <v>4.401958123083638E-4</v>
      </c>
      <c r="E627">
        <v>5.4948741525118194E-4</v>
      </c>
      <c r="F627">
        <v>6.0915326904997791E-4</v>
      </c>
      <c r="G627">
        <v>4.5786766577848859E-4</v>
      </c>
      <c r="H627">
        <v>6.1042240629127775E-4</v>
      </c>
      <c r="I627">
        <v>6.1011071735994626E-4</v>
      </c>
      <c r="J627">
        <v>2.7421068844457608E-6</v>
      </c>
      <c r="K627">
        <v>7.7259933417095361E-4</v>
      </c>
      <c r="L627">
        <v>6.437763902664706E-4</v>
      </c>
      <c r="M627">
        <v>6.6202479022980931E-4</v>
      </c>
      <c r="N627">
        <v>6.6748306171549032E-4</v>
      </c>
      <c r="O627">
        <v>5.4612392438491142E-4</v>
      </c>
      <c r="P627">
        <v>5.3573019985209136E-4</v>
      </c>
      <c r="Q627">
        <v>5.4958248556946643E-4</v>
      </c>
      <c r="R627">
        <v>4.3625944554581686E-4</v>
      </c>
      <c r="S627">
        <v>-1.5201048358003399E-3</v>
      </c>
      <c r="T627">
        <v>1.7077471333304395E-4</v>
      </c>
      <c r="U627">
        <v>1.6155293658570713E-4</v>
      </c>
      <c r="V627">
        <v>-8.0068617208139958E-4</v>
      </c>
      <c r="W627">
        <v>-2.8877337953714388E-4</v>
      </c>
      <c r="X627">
        <v>1.7014701192774595E-4</v>
      </c>
      <c r="Y627">
        <v>-8.0068617208139958E-4</v>
      </c>
      <c r="Z627">
        <v>-1.2611653987480986E-3</v>
      </c>
      <c r="AA627">
        <v>-4.4906556791901586E-4</v>
      </c>
      <c r="AC627">
        <v>-9.6412805029774118E-3</v>
      </c>
      <c r="AD627">
        <v>-9.4098286004143938E-3</v>
      </c>
      <c r="AE627">
        <v>-7.925009731544308E-3</v>
      </c>
      <c r="AF627">
        <v>2.4323447398517661E-3</v>
      </c>
      <c r="AG627">
        <v>-3.3058835611207149E-3</v>
      </c>
      <c r="AH627">
        <v>2.5863958862970549E-4</v>
      </c>
      <c r="AI627">
        <v>-6.606719915553394E-3</v>
      </c>
      <c r="AJ627">
        <v>-1.3605442176870763E-2</v>
      </c>
      <c r="AK627">
        <v>-2.0710446978634334E-2</v>
      </c>
      <c r="AL627">
        <v>-2.259794406863691E-2</v>
      </c>
    </row>
    <row r="628" spans="1:38">
      <c r="A628" s="568">
        <v>44742</v>
      </c>
      <c r="B628">
        <v>5.0263427372176928E-4</v>
      </c>
      <c r="C628">
        <v>5.1689100489227258E-4</v>
      </c>
      <c r="D628">
        <v>4.523820208837126E-4</v>
      </c>
      <c r="E628">
        <v>5.4948741525118194E-4</v>
      </c>
      <c r="F628">
        <v>4.590559250212678E-4</v>
      </c>
      <c r="G628">
        <v>5.4636605760416401E-4</v>
      </c>
      <c r="H628">
        <v>6.0283760408408327E-4</v>
      </c>
      <c r="I628">
        <v>6.0981119266023676E-4</v>
      </c>
      <c r="J628">
        <v>1.8954957727403965E-3</v>
      </c>
      <c r="K628">
        <v>8.7798878021372317E-4</v>
      </c>
      <c r="L628">
        <v>6.437763902664706E-4</v>
      </c>
      <c r="M628">
        <v>6.6202479022980931E-4</v>
      </c>
      <c r="N628">
        <v>6.6748306171549032E-4</v>
      </c>
      <c r="O628">
        <v>5.4612392438491142E-4</v>
      </c>
      <c r="P628">
        <v>5.3573019985209136E-4</v>
      </c>
      <c r="Q628">
        <v>5.4958248556946643E-4</v>
      </c>
      <c r="R628">
        <v>-1.4431962317651426E-4</v>
      </c>
      <c r="S628">
        <v>-1.1675551861282107E-3</v>
      </c>
      <c r="T628">
        <v>-9.0684257832218673E-4</v>
      </c>
      <c r="U628">
        <v>-3.8371945004156416E-4</v>
      </c>
      <c r="V628">
        <v>-8.8579823433909688E-4</v>
      </c>
      <c r="W628">
        <v>-1.0693256304850074E-4</v>
      </c>
      <c r="X628">
        <v>2.7188600606118385E-3</v>
      </c>
      <c r="Y628">
        <v>-8.8579823433909688E-4</v>
      </c>
      <c r="Z628">
        <v>-3.9207895555565253E-3</v>
      </c>
      <c r="AA628">
        <v>3.5385294622658492E-5</v>
      </c>
      <c r="AC628">
        <v>-1.0837310550585566E-2</v>
      </c>
      <c r="AD628">
        <v>-8.0261365874692014E-3</v>
      </c>
      <c r="AE628">
        <v>-9.8990067970508022E-3</v>
      </c>
      <c r="AF628">
        <v>1.0846726465403744E-2</v>
      </c>
      <c r="AG628">
        <v>-7.1446863936573957E-3</v>
      </c>
      <c r="AH628">
        <v>5.6298051761549672E-5</v>
      </c>
      <c r="AI628">
        <v>1.4639137810699143E-3</v>
      </c>
      <c r="AJ628">
        <v>-3.6781609195403187E-3</v>
      </c>
      <c r="AK628">
        <v>-3.8816758131440254E-3</v>
      </c>
      <c r="AL628">
        <v>-1.5906150347779313E-2</v>
      </c>
    </row>
    <row r="629" spans="1:38">
      <c r="A629" s="568">
        <v>44743</v>
      </c>
      <c r="B629">
        <v>5.0263427372176928E-4</v>
      </c>
      <c r="C629">
        <v>5.6554915647910597E-4</v>
      </c>
      <c r="D629">
        <v>4.5423984688874874E-4</v>
      </c>
      <c r="E629">
        <v>5.4948741525118194E-4</v>
      </c>
      <c r="F629">
        <v>5.3505625395877665E-4</v>
      </c>
      <c r="G629">
        <v>4.8894480661476614E-4</v>
      </c>
      <c r="H629">
        <v>6.0307508224699546E-4</v>
      </c>
      <c r="I629">
        <v>6.135935808559978E-4</v>
      </c>
      <c r="J629">
        <v>-8.8433522412212362E-4</v>
      </c>
      <c r="K629">
        <v>-2.5021874606963035E-3</v>
      </c>
      <c r="L629">
        <v>6.4124793364150889E-7</v>
      </c>
      <c r="M629">
        <v>1.8877919260473774E-5</v>
      </c>
      <c r="N629">
        <v>2.4332682598382505E-5</v>
      </c>
      <c r="O629">
        <v>5.4612392438491142E-4</v>
      </c>
      <c r="P629">
        <v>5.3573019985209136E-4</v>
      </c>
      <c r="Q629">
        <v>5.4958248556946643E-4</v>
      </c>
      <c r="R629">
        <v>3.5736705590889706E-3</v>
      </c>
      <c r="S629">
        <v>-2.1647019319672722E-3</v>
      </c>
      <c r="T629">
        <v>1.7008542830443396E-4</v>
      </c>
      <c r="U629">
        <v>2.1788387776613405E-3</v>
      </c>
      <c r="V629">
        <v>-1.1127994790181006E-3</v>
      </c>
      <c r="W629">
        <v>6.8657121336057614E-4</v>
      </c>
      <c r="X629">
        <v>1.1576323406938815E-3</v>
      </c>
      <c r="Y629">
        <v>-1.1127994790181006E-3</v>
      </c>
      <c r="Z629">
        <v>-6.2215427947445168E-3</v>
      </c>
      <c r="AA629">
        <v>9.6278061412347071E-4</v>
      </c>
      <c r="AC629">
        <v>4.1804530963716058E-3</v>
      </c>
      <c r="AD629">
        <v>4.8125275888819541E-3</v>
      </c>
      <c r="AE629">
        <v>4.7789878470989589E-3</v>
      </c>
      <c r="AF629">
        <v>-2.294200592833695E-3</v>
      </c>
      <c r="AG629">
        <v>-3.7945178143528047E-4</v>
      </c>
      <c r="AH629">
        <v>1.6703262470154634E-3</v>
      </c>
      <c r="AI629">
        <v>3.3822049002325549E-3</v>
      </c>
      <c r="AJ629">
        <v>4.7531149053991806E-2</v>
      </c>
      <c r="AK629">
        <v>2.6874496103190815E-4</v>
      </c>
      <c r="AL629">
        <v>-2.2284982452156488E-3</v>
      </c>
    </row>
    <row r="630" spans="1:38">
      <c r="A630" s="568">
        <v>44746</v>
      </c>
      <c r="B630">
        <v>5.0263427372176928E-4</v>
      </c>
      <c r="C630">
        <v>5.2743168822622088E-4</v>
      </c>
      <c r="D630">
        <v>4.6382547793344386E-4</v>
      </c>
      <c r="E630">
        <v>5.4948741525118194E-4</v>
      </c>
      <c r="F630">
        <v>4.9254104212681504E-4</v>
      </c>
      <c r="G630">
        <v>4.6636064775973374E-4</v>
      </c>
      <c r="H630">
        <v>6.0631346406081477E-4</v>
      </c>
      <c r="I630">
        <v>6.1127566325414051E-4</v>
      </c>
      <c r="J630">
        <v>-4.2420544441867936E-4</v>
      </c>
      <c r="K630">
        <v>-1.5561594616551044E-3</v>
      </c>
      <c r="L630">
        <v>6.4124793364150889E-7</v>
      </c>
      <c r="M630">
        <v>1.8877919260473774E-5</v>
      </c>
      <c r="N630">
        <v>2.4332682598382505E-5</v>
      </c>
      <c r="O630">
        <v>5.4612392438491142E-4</v>
      </c>
      <c r="P630">
        <v>5.3573019985209136E-4</v>
      </c>
      <c r="Q630">
        <v>5.4958248556946643E-4</v>
      </c>
      <c r="R630">
        <v>-3.1617024837893304E-5</v>
      </c>
      <c r="S630">
        <v>1.0846990160393588E-3</v>
      </c>
      <c r="T630">
        <v>-1.9057330525348304E-3</v>
      </c>
      <c r="U630">
        <v>1.3610126014949042E-3</v>
      </c>
      <c r="V630">
        <v>-5.0097449833919061E-4</v>
      </c>
      <c r="W630">
        <v>2.3456020193446392E-4</v>
      </c>
      <c r="X630">
        <v>1.2985245867047635E-3</v>
      </c>
      <c r="Y630">
        <v>-5.0097449833919061E-4</v>
      </c>
      <c r="Z630">
        <v>4.3506704536417917E-3</v>
      </c>
      <c r="AA630">
        <v>1.3823271614556987E-3</v>
      </c>
      <c r="AC630">
        <v>-3.4878867836436456E-3</v>
      </c>
      <c r="AD630">
        <v>-7.5867458024200252E-3</v>
      </c>
      <c r="AE630">
        <v>-5.5115174829588609E-3</v>
      </c>
      <c r="AF630">
        <v>-1.1813631700135385E-2</v>
      </c>
      <c r="AG630">
        <v>1.2056673516382954E-3</v>
      </c>
      <c r="AH630">
        <v>-2.3270460921290814E-3</v>
      </c>
      <c r="AI630">
        <v>-8.8535041831614425E-3</v>
      </c>
      <c r="AJ630">
        <v>-1.7665198237885371E-2</v>
      </c>
      <c r="AK630">
        <v>1.7463729177860099E-3</v>
      </c>
      <c r="AL630">
        <v>-1.4774630905939334E-3</v>
      </c>
    </row>
    <row r="631" spans="1:38">
      <c r="A631" s="568">
        <v>44747</v>
      </c>
      <c r="B631">
        <v>5.0263427372176928E-4</v>
      </c>
      <c r="C631">
        <v>5.2697126378609127E-4</v>
      </c>
      <c r="D631">
        <v>4.6412556631314494E-4</v>
      </c>
      <c r="E631">
        <v>5.4948741525118194E-4</v>
      </c>
      <c r="F631">
        <v>5.2503957520322331E-4</v>
      </c>
      <c r="G631">
        <v>5.2694824357657488E-4</v>
      </c>
      <c r="H631">
        <v>6.071459640091259E-4</v>
      </c>
      <c r="I631">
        <v>5.8618463064075144E-4</v>
      </c>
      <c r="J631">
        <v>-8.8087390207880478E-4</v>
      </c>
      <c r="K631">
        <v>-7.6563482978697639E-4</v>
      </c>
      <c r="L631">
        <v>6.4124793364150889E-7</v>
      </c>
      <c r="M631">
        <v>1.8877919260473774E-5</v>
      </c>
      <c r="N631">
        <v>2.4332682598382505E-5</v>
      </c>
      <c r="O631">
        <v>5.4612392438491142E-4</v>
      </c>
      <c r="P631">
        <v>5.3573019985209136E-4</v>
      </c>
      <c r="Q631">
        <v>5.4958248556946643E-4</v>
      </c>
      <c r="R631">
        <v>2.2442597786498375E-4</v>
      </c>
      <c r="S631">
        <v>-1.0697842036637817E-2</v>
      </c>
      <c r="T631">
        <v>6.5150851554467426E-3</v>
      </c>
      <c r="U631">
        <v>-1.9156660958385974E-3</v>
      </c>
      <c r="V631">
        <v>-2.1719775981909883E-3</v>
      </c>
      <c r="W631">
        <v>-5.6197990840867185E-4</v>
      </c>
      <c r="X631">
        <v>1.9325717142746335E-3</v>
      </c>
      <c r="Y631">
        <v>-2.1719775981909883E-3</v>
      </c>
      <c r="Z631">
        <v>-3.1943099897870919E-3</v>
      </c>
      <c r="AA631">
        <v>1.2559710328063911E-3</v>
      </c>
      <c r="AC631">
        <v>-3.1855182034536966E-3</v>
      </c>
      <c r="AD631">
        <v>-7.1497229879418089E-3</v>
      </c>
      <c r="AE631">
        <v>-8.6042361319598193E-3</v>
      </c>
      <c r="AF631">
        <v>-3.5637645431355613E-3</v>
      </c>
      <c r="AG631">
        <v>-5.4547777158738819E-3</v>
      </c>
      <c r="AH631">
        <v>-7.4389131501796379E-3</v>
      </c>
      <c r="AI631">
        <v>-1.1763762349532025E-2</v>
      </c>
      <c r="AJ631">
        <v>1.5740616171128652E-2</v>
      </c>
      <c r="AK631">
        <v>1.877430602118757E-3</v>
      </c>
      <c r="AL631">
        <v>1.1858817765281859E-2</v>
      </c>
    </row>
    <row r="632" spans="1:38">
      <c r="A632" s="568">
        <v>44748</v>
      </c>
      <c r="B632">
        <v>5.0263427372176928E-4</v>
      </c>
      <c r="C632">
        <v>5.2138349996222466E-4</v>
      </c>
      <c r="D632">
        <v>4.6236560247070457E-4</v>
      </c>
      <c r="E632">
        <v>5.4948741525118194E-4</v>
      </c>
      <c r="F632">
        <v>5.846920293426372E-4</v>
      </c>
      <c r="G632">
        <v>4.7124509455676034E-4</v>
      </c>
      <c r="H632">
        <v>6.0377964860869326E-4</v>
      </c>
      <c r="I632">
        <v>5.8823357422266298E-4</v>
      </c>
      <c r="J632">
        <v>-1.8024855178122579E-4</v>
      </c>
      <c r="K632">
        <v>-1.4766753244485065E-3</v>
      </c>
      <c r="L632">
        <v>6.4124793364150889E-7</v>
      </c>
      <c r="M632">
        <v>1.8877919260473774E-5</v>
      </c>
      <c r="N632">
        <v>2.4332682598382505E-5</v>
      </c>
      <c r="O632">
        <v>5.4612392438491142E-4</v>
      </c>
      <c r="P632">
        <v>5.3573019985209136E-4</v>
      </c>
      <c r="Q632">
        <v>5.4958248556946643E-4</v>
      </c>
      <c r="R632">
        <v>-2.7464319937323678E-3</v>
      </c>
      <c r="S632">
        <v>4.3902526135775055E-4</v>
      </c>
      <c r="T632">
        <v>-7.0307298780958316E-4</v>
      </c>
      <c r="U632">
        <v>1.0241550433169877E-3</v>
      </c>
      <c r="V632">
        <v>1.4335519977981548E-3</v>
      </c>
      <c r="W632">
        <v>7.2519974231588513E-4</v>
      </c>
      <c r="X632">
        <v>5.1197496213153393E-3</v>
      </c>
      <c r="Y632">
        <v>1.4335519977981548E-3</v>
      </c>
      <c r="Z632">
        <v>1.3703256742829684E-3</v>
      </c>
      <c r="AA632">
        <v>-4.7393412818411695E-3</v>
      </c>
      <c r="AC632">
        <v>4.3170207449765297E-3</v>
      </c>
      <c r="AD632">
        <v>7.2687543104164032E-3</v>
      </c>
      <c r="AE632">
        <v>1.111779741079344E-3</v>
      </c>
      <c r="AF632">
        <v>-7.1121979972154081E-3</v>
      </c>
      <c r="AG632">
        <v>1.0045168697412343E-3</v>
      </c>
      <c r="AH632">
        <v>1.7521752393967471E-3</v>
      </c>
      <c r="AI632">
        <v>-3.9372653039599914E-3</v>
      </c>
      <c r="AJ632">
        <v>7.3289183222957632E-3</v>
      </c>
      <c r="AK632">
        <v>-1.3251238120733477E-2</v>
      </c>
      <c r="AL632">
        <v>-6.7074261737422036E-3</v>
      </c>
    </row>
    <row r="633" spans="1:38">
      <c r="A633" s="568">
        <v>44749</v>
      </c>
      <c r="B633">
        <v>5.0263427372176928E-4</v>
      </c>
      <c r="C633">
        <v>5.185056081387085E-4</v>
      </c>
      <c r="D633">
        <v>4.6935696037841979E-4</v>
      </c>
      <c r="E633">
        <v>5.4948741525118194E-4</v>
      </c>
      <c r="F633">
        <v>4.4998524347872326E-4</v>
      </c>
      <c r="G633">
        <v>5.4517194083336662E-4</v>
      </c>
      <c r="H633">
        <v>5.9922077330654133E-4</v>
      </c>
      <c r="I633">
        <v>2.9627283058264453E-4</v>
      </c>
      <c r="J633">
        <v>5.3441573028956135E-4</v>
      </c>
      <c r="K633">
        <v>-1.6672586672705769E-4</v>
      </c>
      <c r="L633">
        <v>6.4124793364150889E-7</v>
      </c>
      <c r="M633">
        <v>1.8877919260473774E-5</v>
      </c>
      <c r="N633">
        <v>2.4332682598382505E-5</v>
      </c>
      <c r="O633">
        <v>5.4612392438491142E-4</v>
      </c>
      <c r="P633">
        <v>5.3573019985209136E-4</v>
      </c>
      <c r="Q633">
        <v>5.4958248556946643E-4</v>
      </c>
      <c r="R633">
        <v>2.7645616510301174E-3</v>
      </c>
      <c r="S633">
        <v>9.1736336443073441E-3</v>
      </c>
      <c r="T633">
        <v>1.970575718581502E-3</v>
      </c>
      <c r="U633">
        <v>1.3676822692094692E-3</v>
      </c>
      <c r="V633">
        <v>3.7035764592709963E-3</v>
      </c>
      <c r="W633">
        <v>2.6554430802399054E-3</v>
      </c>
      <c r="X633">
        <v>2.0464506370410085E-3</v>
      </c>
      <c r="Y633">
        <v>3.7035764592709963E-3</v>
      </c>
      <c r="Z633">
        <v>1.9839087646373876E-3</v>
      </c>
      <c r="AA633">
        <v>4.382334394893439E-3</v>
      </c>
      <c r="AC633">
        <v>2.0368322282098283E-2</v>
      </c>
      <c r="AD633">
        <v>1.7570763040869686E-2</v>
      </c>
      <c r="AE633">
        <v>1.8899869303074857E-2</v>
      </c>
      <c r="AF633">
        <v>4.3027127818757727E-3</v>
      </c>
      <c r="AG633">
        <v>8.6865361074786041E-3</v>
      </c>
      <c r="AH633">
        <v>7.4096799981691053E-3</v>
      </c>
      <c r="AI633">
        <v>1.583309006106326E-2</v>
      </c>
      <c r="AJ633">
        <v>1.7093267882188901E-3</v>
      </c>
      <c r="AK633">
        <v>4.3407487791644606E-3</v>
      </c>
      <c r="AL633">
        <v>8.0419531951219092E-3</v>
      </c>
    </row>
    <row r="634" spans="1:38">
      <c r="A634" s="568">
        <v>44750</v>
      </c>
      <c r="B634">
        <v>5.0263427372176928E-4</v>
      </c>
      <c r="C634">
        <v>5.1708886868540027E-4</v>
      </c>
      <c r="D634">
        <v>4.6656474601802778E-4</v>
      </c>
      <c r="E634">
        <v>5.4948741525118194E-4</v>
      </c>
      <c r="F634">
        <v>5.277662137461725E-4</v>
      </c>
      <c r="G634">
        <v>5.6522502629197113E-4</v>
      </c>
      <c r="H634">
        <v>6.0125737049321337E-4</v>
      </c>
      <c r="I634">
        <v>9.0638443809165636E-4</v>
      </c>
      <c r="J634">
        <v>-2.1818023426523059E-3</v>
      </c>
      <c r="K634">
        <v>-1.6623303216680707E-3</v>
      </c>
      <c r="L634">
        <v>6.4124793364150889E-7</v>
      </c>
      <c r="M634">
        <v>1.8877919260473774E-5</v>
      </c>
      <c r="N634">
        <v>2.4332682598382505E-5</v>
      </c>
      <c r="O634">
        <v>5.4612392438491142E-4</v>
      </c>
      <c r="P634">
        <v>5.3573019985209136E-4</v>
      </c>
      <c r="Q634">
        <v>5.4958248556946643E-4</v>
      </c>
      <c r="R634">
        <v>6.1547692023533607E-4</v>
      </c>
      <c r="S634">
        <v>7.429448030196184E-4</v>
      </c>
      <c r="T634">
        <v>-4.6826216361507411E-3</v>
      </c>
      <c r="U634">
        <v>3.0876195889495417E-3</v>
      </c>
      <c r="V634">
        <v>5.5907736261517904E-4</v>
      </c>
      <c r="W634">
        <v>1.1913695584091499E-3</v>
      </c>
      <c r="X634">
        <v>-1.613292555896817E-3</v>
      </c>
      <c r="Y634">
        <v>5.5907736261517904E-4</v>
      </c>
      <c r="Z634">
        <v>2.7798227796453912E-3</v>
      </c>
      <c r="AA634">
        <v>-1.7063953944209675E-3</v>
      </c>
      <c r="AC634">
        <v>-4.3758684130165149E-3</v>
      </c>
      <c r="AD634">
        <v>-4.0669722315194168E-3</v>
      </c>
      <c r="AE634">
        <v>-3.4310605557071883E-3</v>
      </c>
      <c r="AF634">
        <v>-1.1987776540796524E-2</v>
      </c>
      <c r="AG634">
        <v>-1.6452864323197591E-3</v>
      </c>
      <c r="AH634">
        <v>-2.7621591069401097E-3</v>
      </c>
      <c r="AI634">
        <v>3.5672892718199289E-3</v>
      </c>
      <c r="AJ634">
        <v>-1.4657624152264348E-2</v>
      </c>
      <c r="AK634">
        <v>3.7817396002159942E-3</v>
      </c>
      <c r="AL634">
        <v>1.9249043778897246E-3</v>
      </c>
    </row>
    <row r="635" spans="1:38">
      <c r="A635" s="568">
        <v>44753</v>
      </c>
      <c r="B635">
        <v>5.0263427372176928E-4</v>
      </c>
      <c r="C635">
        <v>5.0275166959856676E-4</v>
      </c>
      <c r="D635">
        <v>5.8511915504255718E-4</v>
      </c>
      <c r="E635">
        <v>5.4948741525118194E-4</v>
      </c>
      <c r="F635">
        <v>5.5897963385254101E-4</v>
      </c>
      <c r="G635">
        <v>5.41685780044876E-4</v>
      </c>
      <c r="H635">
        <v>6.0448708971194698E-4</v>
      </c>
      <c r="I635">
        <v>5.5868773409883943E-4</v>
      </c>
      <c r="J635">
        <v>-9.9946407370254953E-4</v>
      </c>
      <c r="K635">
        <v>-3.5649345934115617E-3</v>
      </c>
      <c r="L635">
        <v>6.4124793364150889E-7</v>
      </c>
      <c r="M635">
        <v>1.8877919260473774E-5</v>
      </c>
      <c r="N635">
        <v>2.4332682598382505E-5</v>
      </c>
      <c r="O635">
        <v>5.4612392438491142E-4</v>
      </c>
      <c r="P635">
        <v>5.3573019985209136E-4</v>
      </c>
      <c r="Q635">
        <v>5.4958248556946643E-4</v>
      </c>
      <c r="R635">
        <v>2.8493981575539173E-4</v>
      </c>
      <c r="S635">
        <v>-3.3314247543274611E-3</v>
      </c>
      <c r="T635">
        <v>2.9296045607050125E-3</v>
      </c>
      <c r="U635">
        <v>9.6375846680385457E-4</v>
      </c>
      <c r="V635">
        <v>-2.9854014099123249E-3</v>
      </c>
      <c r="W635">
        <v>-2.5379190630016035E-3</v>
      </c>
      <c r="X635">
        <v>-4.9851763275099437E-5</v>
      </c>
      <c r="Y635">
        <v>-2.9854014099123249E-3</v>
      </c>
      <c r="Z635">
        <v>5.9292252225475739E-3</v>
      </c>
      <c r="AA635">
        <v>-2.0744225397341109E-3</v>
      </c>
      <c r="AC635">
        <v>-2.0704975045104601E-2</v>
      </c>
      <c r="AD635">
        <v>-2.3607045314649855E-2</v>
      </c>
      <c r="AE635">
        <v>-2.0238959316535188E-2</v>
      </c>
      <c r="AF635">
        <v>-2.0143022172310121E-2</v>
      </c>
      <c r="AG635">
        <v>-1.6988250727716148E-2</v>
      </c>
      <c r="AH635">
        <v>-7.3001738728534216E-3</v>
      </c>
      <c r="AI635">
        <v>-1.2386904183002589E-2</v>
      </c>
      <c r="AJ635">
        <v>7.9928952042629398E-3</v>
      </c>
      <c r="AK635">
        <v>-3.4041980624327062E-2</v>
      </c>
      <c r="AL635">
        <v>2.4044386469264101E-3</v>
      </c>
    </row>
    <row r="636" spans="1:38">
      <c r="A636" s="568">
        <v>44754</v>
      </c>
      <c r="B636">
        <v>5.0263427372176928E-4</v>
      </c>
      <c r="C636">
        <v>5.1180047393506456E-4</v>
      </c>
      <c r="D636">
        <v>5.8631858218816113E-4</v>
      </c>
      <c r="E636">
        <v>5.4948741525118194E-4</v>
      </c>
      <c r="F636">
        <v>5.0122690431808614E-4</v>
      </c>
      <c r="G636">
        <v>5.2936533500669292E-4</v>
      </c>
      <c r="H636">
        <v>6.0830888932494886E-4</v>
      </c>
      <c r="I636">
        <v>5.8924797252379868E-4</v>
      </c>
      <c r="J636">
        <v>1.2574567183398777E-3</v>
      </c>
      <c r="K636">
        <v>1.5177849587622028E-3</v>
      </c>
      <c r="L636">
        <v>6.4124793364150889E-7</v>
      </c>
      <c r="M636">
        <v>1.8877919260473774E-5</v>
      </c>
      <c r="N636">
        <v>2.4332682598382505E-5</v>
      </c>
      <c r="O636">
        <v>5.4612392438491142E-4</v>
      </c>
      <c r="P636">
        <v>5.3573019985209136E-4</v>
      </c>
      <c r="Q636">
        <v>5.4958248556946643E-4</v>
      </c>
      <c r="R636">
        <v>-8.403330121448116E-4</v>
      </c>
      <c r="S636">
        <v>-3.5125280406426151E-3</v>
      </c>
      <c r="T636">
        <v>1.7229896149193458E-3</v>
      </c>
      <c r="U636">
        <v>-6.7594550812388743E-4</v>
      </c>
      <c r="V636">
        <v>-1.2123763033046187E-3</v>
      </c>
      <c r="W636">
        <v>-8.1194660735162127E-4</v>
      </c>
      <c r="X636">
        <v>3.2406463377996353E-3</v>
      </c>
      <c r="Y636">
        <v>-1.2123763033046187E-3</v>
      </c>
      <c r="Z636">
        <v>-4.4752801116907381E-3</v>
      </c>
      <c r="AA636">
        <v>-2.2076628823708422E-3</v>
      </c>
      <c r="AC636">
        <v>5.9819293804475038E-4</v>
      </c>
      <c r="AD636">
        <v>1.0533802836578676E-3</v>
      </c>
      <c r="AE636">
        <v>-1.400006389415509E-3</v>
      </c>
      <c r="AF636">
        <v>2.7699189675014502E-3</v>
      </c>
      <c r="AG636">
        <v>-2.4716692364111781E-3</v>
      </c>
      <c r="AH636">
        <v>-2.2524491590948381E-3</v>
      </c>
      <c r="AI636">
        <v>-8.4738990781363377E-3</v>
      </c>
      <c r="AJ636">
        <v>3.7444933920705026E-3</v>
      </c>
      <c r="AK636">
        <v>-1.6158239309096101E-2</v>
      </c>
      <c r="AL636">
        <v>-1.4453855174343722E-2</v>
      </c>
    </row>
    <row r="637" spans="1:38">
      <c r="A637" s="568">
        <v>44755</v>
      </c>
      <c r="B637">
        <v>5.0263427372176928E-4</v>
      </c>
      <c r="C637">
        <v>5.5703389345262977E-4</v>
      </c>
      <c r="D637">
        <v>4.6836916117753979E-4</v>
      </c>
      <c r="E637">
        <v>5.4948741525118194E-4</v>
      </c>
      <c r="F637">
        <v>5.3479363454012052E-4</v>
      </c>
      <c r="G637">
        <v>5.4161399446583935E-4</v>
      </c>
      <c r="H637">
        <v>6.0255908277118131E-4</v>
      </c>
      <c r="I637">
        <v>6.0463530563059642E-4</v>
      </c>
      <c r="J637">
        <v>1.3930821243419711E-3</v>
      </c>
      <c r="K637">
        <v>-2.4529619310120765E-4</v>
      </c>
      <c r="L637">
        <v>6.4124793364150889E-7</v>
      </c>
      <c r="M637">
        <v>1.8877919260473774E-5</v>
      </c>
      <c r="N637">
        <v>2.4332682598382505E-5</v>
      </c>
      <c r="O637">
        <v>5.4612392438491142E-4</v>
      </c>
      <c r="P637">
        <v>5.3573019985209136E-4</v>
      </c>
      <c r="Q637">
        <v>5.4958248556946643E-4</v>
      </c>
      <c r="R637">
        <v>1.0753161336465311E-3</v>
      </c>
      <c r="S637">
        <v>3.3080483056098231E-3</v>
      </c>
      <c r="T637">
        <v>5.0462829515507401E-4</v>
      </c>
      <c r="U637">
        <v>2.0926819135607122E-3</v>
      </c>
      <c r="V637">
        <v>-1.534487023278075E-4</v>
      </c>
      <c r="W637">
        <v>1.827208817195336E-3</v>
      </c>
      <c r="X637">
        <v>-5.6947207988211623E-5</v>
      </c>
      <c r="Y637">
        <v>-1.534487023278075E-4</v>
      </c>
      <c r="Z637">
        <v>1.804518849073844E-3</v>
      </c>
      <c r="AA637">
        <v>1.027334675952396E-3</v>
      </c>
      <c r="AC637">
        <v>-3.9691177100598107E-3</v>
      </c>
      <c r="AD637">
        <v>-1.8898731008853975E-3</v>
      </c>
      <c r="AE637">
        <v>-1.8865901348057434E-3</v>
      </c>
      <c r="AF637">
        <v>5.8655684713444511E-3</v>
      </c>
      <c r="AG637">
        <v>-9.8877920819684384E-4</v>
      </c>
      <c r="AH637">
        <v>-3.038743000951083E-3</v>
      </c>
      <c r="AI637">
        <v>2.5774365675543809E-3</v>
      </c>
      <c r="AJ637">
        <v>-1.1454904542462119E-2</v>
      </c>
      <c r="AK637">
        <v>-8.4949738071649072E-4</v>
      </c>
      <c r="AL637">
        <v>-8.8990071765859824E-3</v>
      </c>
    </row>
    <row r="638" spans="1:38">
      <c r="A638" s="568">
        <v>44756</v>
      </c>
      <c r="B638">
        <v>5.0263427372176928E-4</v>
      </c>
      <c r="C638">
        <v>5.1555989355667187E-4</v>
      </c>
      <c r="D638">
        <v>4.7071650546648414E-4</v>
      </c>
      <c r="E638">
        <v>5.4948741525118194E-4</v>
      </c>
      <c r="F638">
        <v>4.9088251558226936E-4</v>
      </c>
      <c r="G638">
        <v>5.5282747053353454E-4</v>
      </c>
      <c r="H638">
        <v>6.027936408556922E-4</v>
      </c>
      <c r="I638">
        <v>6.533543708702183E-4</v>
      </c>
      <c r="J638">
        <v>3.6267883507590248E-4</v>
      </c>
      <c r="K638">
        <v>-2.2464250350366921E-3</v>
      </c>
      <c r="L638">
        <v>6.4124793364150889E-7</v>
      </c>
      <c r="M638">
        <v>1.8877919260473774E-5</v>
      </c>
      <c r="N638">
        <v>2.4332682598382505E-5</v>
      </c>
      <c r="O638">
        <v>5.4612392438491142E-4</v>
      </c>
      <c r="P638">
        <v>5.3573019985209136E-4</v>
      </c>
      <c r="Q638">
        <v>5.4958248556946643E-4</v>
      </c>
      <c r="R638">
        <v>-5.2469827527498181E-3</v>
      </c>
      <c r="S638">
        <v>-1.5177563955443008E-3</v>
      </c>
      <c r="T638">
        <v>8.9918274396969533E-3</v>
      </c>
      <c r="U638">
        <v>-4.8328732643976302E-4</v>
      </c>
      <c r="V638">
        <v>2.038661263832342E-4</v>
      </c>
      <c r="W638">
        <v>-6.3441178723255831E-4</v>
      </c>
      <c r="X638">
        <v>2.3388486088271598E-4</v>
      </c>
      <c r="Y638">
        <v>2.038661263832342E-4</v>
      </c>
      <c r="Z638">
        <v>5.5902802039233812E-3</v>
      </c>
      <c r="AA638">
        <v>1.4940570399397668E-3</v>
      </c>
      <c r="AC638">
        <v>-1.7984155479971786E-2</v>
      </c>
      <c r="AD638">
        <v>-1.2607144365784473E-2</v>
      </c>
      <c r="AE638">
        <v>-1.1959900663846779E-2</v>
      </c>
      <c r="AF638">
        <v>-1.5266110469305261E-3</v>
      </c>
      <c r="AG638">
        <v>-1.67505004354217E-2</v>
      </c>
      <c r="AH638">
        <v>-4.5709509163669448E-3</v>
      </c>
      <c r="AI638">
        <v>-6.3600618436931988E-4</v>
      </c>
      <c r="AJ638">
        <v>2.2642514651038947E-3</v>
      </c>
      <c r="AK638">
        <v>-1.1336261867649355E-3</v>
      </c>
      <c r="AL638">
        <v>2.2836665523845223E-2</v>
      </c>
    </row>
    <row r="639" spans="1:38">
      <c r="A639" s="568">
        <v>44757</v>
      </c>
      <c r="B639">
        <v>5.0263427372176928E-4</v>
      </c>
      <c r="C639">
        <v>5.2468360276569648E-4</v>
      </c>
      <c r="D639">
        <v>4.8126973116091598E-4</v>
      </c>
      <c r="E639">
        <v>5.4948741525118194E-4</v>
      </c>
      <c r="F639">
        <v>5.8609877414217415E-4</v>
      </c>
      <c r="G639">
        <v>5.5666551353561466E-4</v>
      </c>
      <c r="H639">
        <v>6.0243049958152994E-4</v>
      </c>
      <c r="I639">
        <v>5.1972431251057216E-4</v>
      </c>
      <c r="J639">
        <v>1.5342640151738696E-3</v>
      </c>
      <c r="K639">
        <v>3.1701745423753369E-3</v>
      </c>
      <c r="L639">
        <v>6.4124793364150889E-7</v>
      </c>
      <c r="M639">
        <v>1.8877919260473774E-5</v>
      </c>
      <c r="N639">
        <v>2.4332682598382505E-5</v>
      </c>
      <c r="O639">
        <v>5.4612392438491142E-4</v>
      </c>
      <c r="P639">
        <v>5.3573019985209136E-4</v>
      </c>
      <c r="Q639">
        <v>5.4958248556946643E-4</v>
      </c>
      <c r="R639">
        <v>6.1889329878717092E-3</v>
      </c>
      <c r="S639">
        <v>-1.8099366108081938E-3</v>
      </c>
      <c r="T639">
        <v>-7.2736054573466769E-3</v>
      </c>
      <c r="U639">
        <v>1.3208624563176841E-3</v>
      </c>
      <c r="V639">
        <v>3.274934157793119E-4</v>
      </c>
      <c r="W639">
        <v>-1.1168118737553412E-3</v>
      </c>
      <c r="X639">
        <v>-1.6907341337841775E-3</v>
      </c>
      <c r="Y639">
        <v>3.274934157793119E-4</v>
      </c>
      <c r="Z639">
        <v>-3.2098795199210217E-3</v>
      </c>
      <c r="AA639">
        <v>1.8602638662690296E-3</v>
      </c>
      <c r="AC639">
        <v>4.4750956738313086E-3</v>
      </c>
      <c r="AD639">
        <v>7.9916702970530551E-3</v>
      </c>
      <c r="AE639">
        <v>4.511561956106025E-3</v>
      </c>
      <c r="AF639">
        <v>5.6750626846768792E-3</v>
      </c>
      <c r="AG639">
        <v>1.0822995114863287E-2</v>
      </c>
      <c r="AH639">
        <v>8.5155725151175865E-4</v>
      </c>
      <c r="AI639">
        <v>9.926116324904255E-3</v>
      </c>
      <c r="AJ639">
        <v>1.3732004429678923E-2</v>
      </c>
      <c r="AK639">
        <v>-2.4542488296212084E-2</v>
      </c>
      <c r="AL639">
        <v>-1.5227597757356048E-2</v>
      </c>
    </row>
    <row r="640" spans="1:38">
      <c r="A640" s="568">
        <v>44760</v>
      </c>
      <c r="B640">
        <v>5.0263427372176928E-4</v>
      </c>
      <c r="C640">
        <v>5.047239973554607E-4</v>
      </c>
      <c r="D640">
        <v>4.743713809951533E-4</v>
      </c>
      <c r="E640">
        <v>5.4948741525118194E-4</v>
      </c>
      <c r="F640">
        <v>5.7358494121628745E-4</v>
      </c>
      <c r="G640">
        <v>6.859158057785919E-4</v>
      </c>
      <c r="H640">
        <v>6.0445458565028254E-4</v>
      </c>
      <c r="I640">
        <v>5.8432745562919663E-4</v>
      </c>
      <c r="J640">
        <v>-3.6027861567141661E-3</v>
      </c>
      <c r="K640">
        <v>-4.4963502228667629E-3</v>
      </c>
      <c r="L640">
        <v>6.4124793364150889E-7</v>
      </c>
      <c r="M640">
        <v>1.8877919260473774E-5</v>
      </c>
      <c r="N640">
        <v>2.4332682598382505E-5</v>
      </c>
      <c r="O640">
        <v>5.4612392438491142E-4</v>
      </c>
      <c r="P640">
        <v>5.3573019985209136E-4</v>
      </c>
      <c r="Q640">
        <v>5.4958248556946643E-4</v>
      </c>
      <c r="R640">
        <v>2.9962583883171856E-3</v>
      </c>
      <c r="S640">
        <v>2.5346458313892928E-3</v>
      </c>
      <c r="T640">
        <v>-8.0908908934178569E-3</v>
      </c>
      <c r="U640">
        <v>1.0088533729071258E-3</v>
      </c>
      <c r="V640">
        <v>-2.2207315593436583E-4</v>
      </c>
      <c r="W640">
        <v>6.5817205652862754E-4</v>
      </c>
      <c r="X640">
        <v>-1.0490656403387977E-3</v>
      </c>
      <c r="Y640">
        <v>-2.2207315593436583E-4</v>
      </c>
      <c r="Z640">
        <v>4.0386839335102565E-3</v>
      </c>
      <c r="AA640">
        <v>1.3849914937511532E-3</v>
      </c>
      <c r="AC640">
        <v>3.7817319344182199E-3</v>
      </c>
      <c r="AD640">
        <v>1.5476433856627114E-3</v>
      </c>
      <c r="AE640">
        <v>1.9647145601515703E-3</v>
      </c>
      <c r="AF640">
        <v>-9.4048434461042607E-3</v>
      </c>
      <c r="AG640">
        <v>-4.0903990672647161E-4</v>
      </c>
      <c r="AH640">
        <v>-2.7722059592345527E-3</v>
      </c>
      <c r="AI640">
        <v>-5.2943913665602915E-3</v>
      </c>
      <c r="AJ640">
        <v>-1.5293860607384913E-3</v>
      </c>
      <c r="AK640">
        <v>2.2396742292030147E-2</v>
      </c>
      <c r="AL640">
        <v>2.6516764511140822E-2</v>
      </c>
    </row>
    <row r="641" spans="1:38">
      <c r="A641" s="568">
        <v>44761</v>
      </c>
      <c r="B641">
        <v>5.0263427372176928E-4</v>
      </c>
      <c r="C641">
        <v>5.2090163259688183E-4</v>
      </c>
      <c r="D641">
        <v>4.4082805962863958E-4</v>
      </c>
      <c r="E641">
        <v>5.4948741525118194E-4</v>
      </c>
      <c r="F641">
        <v>5.3480363132840658E-4</v>
      </c>
      <c r="G641">
        <v>5.295397007820668E-4</v>
      </c>
      <c r="H641">
        <v>6.0230042983966392E-4</v>
      </c>
      <c r="I641">
        <v>5.842356243617175E-4</v>
      </c>
      <c r="J641">
        <v>-1.4137875774349329E-3</v>
      </c>
      <c r="K641">
        <v>-2.5917563497861451E-3</v>
      </c>
      <c r="L641">
        <v>6.4124793364150889E-7</v>
      </c>
      <c r="M641">
        <v>1.8877919260473774E-5</v>
      </c>
      <c r="N641">
        <v>2.4332682598382505E-5</v>
      </c>
      <c r="O641">
        <v>5.4612392438491142E-4</v>
      </c>
      <c r="P641">
        <v>5.3573019985209136E-4</v>
      </c>
      <c r="Q641">
        <v>5.4958248556946643E-4</v>
      </c>
      <c r="R641">
        <v>3.3702799891708324E-3</v>
      </c>
      <c r="S641">
        <v>2.0181162077741455E-3</v>
      </c>
      <c r="T641">
        <v>-8.1865026812149022E-3</v>
      </c>
      <c r="U641">
        <v>6.7696422877294715E-4</v>
      </c>
      <c r="V641">
        <v>1.451810870720216E-3</v>
      </c>
      <c r="W641">
        <v>6.2078751330263415E-4</v>
      </c>
      <c r="X641">
        <v>2.9120732660188331E-3</v>
      </c>
      <c r="Y641">
        <v>1.451810870720216E-3</v>
      </c>
      <c r="Z641">
        <v>1.9555893520799561E-3</v>
      </c>
      <c r="AA641">
        <v>-1.5260644425874048E-4</v>
      </c>
      <c r="AC641">
        <v>1.3709482621726554E-2</v>
      </c>
      <c r="AD641">
        <v>1.3222378398703771E-2</v>
      </c>
      <c r="AE641">
        <v>1.421934164394778E-2</v>
      </c>
      <c r="AF641">
        <v>5.5670866679293773E-3</v>
      </c>
      <c r="AG641">
        <v>1.3730830088353185E-2</v>
      </c>
      <c r="AH641">
        <v>-4.3707606011833544E-4</v>
      </c>
      <c r="AI641">
        <v>1.2835637761330343E-3</v>
      </c>
      <c r="AJ641">
        <v>2.3632385120350152E-2</v>
      </c>
      <c r="AK641">
        <v>-7.8236130867709308E-3</v>
      </c>
      <c r="AL641">
        <v>-9.4507320266099537E-3</v>
      </c>
    </row>
    <row r="642" spans="1:38">
      <c r="A642" s="568">
        <v>44762</v>
      </c>
      <c r="B642">
        <v>5.0263427372176928E-4</v>
      </c>
      <c r="C642">
        <v>5.015496149267662E-4</v>
      </c>
      <c r="D642">
        <v>4.9545686041230219E-4</v>
      </c>
      <c r="E642">
        <v>5.4948741525118194E-4</v>
      </c>
      <c r="F642">
        <v>4.7804633951420428E-4</v>
      </c>
      <c r="G642">
        <v>3.3485999779525599E-4</v>
      </c>
      <c r="H642">
        <v>6.0312983859711622E-4</v>
      </c>
      <c r="I642">
        <v>5.8427940588656746E-4</v>
      </c>
      <c r="J642">
        <v>2.3602777010056641E-3</v>
      </c>
      <c r="K642">
        <v>3.6249424873873171E-3</v>
      </c>
      <c r="L642">
        <v>6.4124793364150889E-7</v>
      </c>
      <c r="M642">
        <v>1.8877919260473774E-5</v>
      </c>
      <c r="N642">
        <v>2.4332682598382505E-5</v>
      </c>
      <c r="O642">
        <v>5.4612392438491142E-4</v>
      </c>
      <c r="P642">
        <v>5.3573019985209136E-4</v>
      </c>
      <c r="Q642">
        <v>5.4958248556946643E-4</v>
      </c>
      <c r="R642">
        <v>2.5710021930041016E-3</v>
      </c>
      <c r="S642">
        <v>5.6948385311272887E-4</v>
      </c>
      <c r="T642">
        <v>3.7247297321760797E-3</v>
      </c>
      <c r="U642">
        <v>1.6281174680732313E-4</v>
      </c>
      <c r="V642">
        <v>2.9108453570529935E-3</v>
      </c>
      <c r="W642">
        <v>1.0806264586842307E-3</v>
      </c>
      <c r="X642">
        <v>4.5866998524151104E-3</v>
      </c>
      <c r="Y642">
        <v>2.9108453570529935E-3</v>
      </c>
      <c r="Z642">
        <v>-2.1434741856285466E-3</v>
      </c>
      <c r="AA642">
        <v>3.4955260239937225E-3</v>
      </c>
      <c r="AC642">
        <v>4.2780890184523912E-4</v>
      </c>
      <c r="AD642">
        <v>2.8784610821634971E-3</v>
      </c>
      <c r="AE642">
        <v>2.1426160258035676E-3</v>
      </c>
      <c r="AF642">
        <v>1.8750275429927354E-2</v>
      </c>
      <c r="AG642">
        <v>9.472969205028603E-3</v>
      </c>
      <c r="AH642">
        <v>-5.4514204226798757E-3</v>
      </c>
      <c r="AI642">
        <v>-4.9343963856608442E-3</v>
      </c>
      <c r="AJ642">
        <v>1.3894826849080832E-2</v>
      </c>
      <c r="AK642">
        <v>9.3189964157707195E-3</v>
      </c>
      <c r="AL642">
        <v>3.022942499403003E-2</v>
      </c>
    </row>
    <row r="643" spans="1:38">
      <c r="A643" s="568">
        <v>44763</v>
      </c>
      <c r="B643">
        <v>5.0263427372176928E-4</v>
      </c>
      <c r="C643">
        <v>5.3000752077325686E-4</v>
      </c>
      <c r="D643">
        <v>4.6806961229606259E-4</v>
      </c>
      <c r="E643">
        <v>5.4948741525118194E-4</v>
      </c>
      <c r="F643">
        <v>5.1152779830210271E-4</v>
      </c>
      <c r="G643">
        <v>4.539812765633755E-4</v>
      </c>
      <c r="H643">
        <v>6.0276629226074796E-4</v>
      </c>
      <c r="I643">
        <v>5.7878137440781074E-4</v>
      </c>
      <c r="J643">
        <v>-4.1928102834543068E-4</v>
      </c>
      <c r="K643">
        <v>-5.2649672970750405E-4</v>
      </c>
      <c r="L643">
        <v>6.4124793364150889E-7</v>
      </c>
      <c r="M643">
        <v>1.8877919260473774E-5</v>
      </c>
      <c r="N643">
        <v>2.4332682598382505E-5</v>
      </c>
      <c r="O643">
        <v>5.4612392438491142E-4</v>
      </c>
      <c r="P643">
        <v>5.3573019985209136E-4</v>
      </c>
      <c r="Q643">
        <v>5.4958248556946643E-4</v>
      </c>
      <c r="R643">
        <v>4.1902309684735961E-3</v>
      </c>
      <c r="S643">
        <v>-2.9910345529301496E-3</v>
      </c>
      <c r="T643">
        <v>-5.5849772391025621E-4</v>
      </c>
      <c r="U643">
        <v>-4.9733236519655666E-4</v>
      </c>
      <c r="V643">
        <v>-9.4618595860029853E-4</v>
      </c>
      <c r="W643">
        <v>-5.0247224459891715E-3</v>
      </c>
      <c r="X643">
        <v>1.4169059715734011E-3</v>
      </c>
      <c r="Y643">
        <v>-9.4618595860029853E-4</v>
      </c>
      <c r="Z643">
        <v>9.493955106341101E-4</v>
      </c>
      <c r="AA643">
        <v>-6.9603007652074833E-4</v>
      </c>
      <c r="AC643">
        <v>7.5934893820464033E-3</v>
      </c>
      <c r="AD643">
        <v>2.9768075677167882E-3</v>
      </c>
      <c r="AE643">
        <v>4.8612572619488592E-3</v>
      </c>
      <c r="AF643">
        <v>1.8213603569247727E-2</v>
      </c>
      <c r="AG643">
        <v>-3.6357784420506523E-3</v>
      </c>
      <c r="AH643">
        <v>5.038950702337619E-3</v>
      </c>
      <c r="AI643">
        <v>-2.8037034421592999E-3</v>
      </c>
      <c r="AJ643">
        <v>1.2565886569681606E-2</v>
      </c>
      <c r="AK643">
        <v>-8.2386363636365312E-3</v>
      </c>
      <c r="AL643">
        <v>1.9547175686077889E-2</v>
      </c>
    </row>
    <row r="644" spans="1:38">
      <c r="A644" s="568">
        <v>44764</v>
      </c>
      <c r="B644">
        <v>5.0263427372176928E-4</v>
      </c>
      <c r="C644">
        <v>5.2045611006956705E-4</v>
      </c>
      <c r="D644">
        <v>6.034965947741E-4</v>
      </c>
      <c r="E644">
        <v>5.4948741525118194E-4</v>
      </c>
      <c r="F644">
        <v>5.4025761551690366E-4</v>
      </c>
      <c r="G644">
        <v>5.7675005644775013E-4</v>
      </c>
      <c r="H644">
        <v>6.0180792386388404E-4</v>
      </c>
      <c r="I644">
        <v>5.8438839493257788E-4</v>
      </c>
      <c r="J644">
        <v>1.8168094782036182E-3</v>
      </c>
      <c r="K644">
        <v>1.3625424548904252E-3</v>
      </c>
      <c r="L644">
        <v>6.4124793364150889E-7</v>
      </c>
      <c r="M644">
        <v>1.8877919260473774E-5</v>
      </c>
      <c r="N644">
        <v>2.4332682598382505E-5</v>
      </c>
      <c r="O644">
        <v>5.4612392438491142E-4</v>
      </c>
      <c r="P644">
        <v>5.3573019985209136E-4</v>
      </c>
      <c r="Q644">
        <v>5.4958248556946643E-4</v>
      </c>
      <c r="R644">
        <v>4.5842210975512998E-3</v>
      </c>
      <c r="S644">
        <v>-3.4666008784456359E-4</v>
      </c>
      <c r="T644">
        <v>-4.348776519172981E-4</v>
      </c>
      <c r="U644">
        <v>1.2853698729222707E-3</v>
      </c>
      <c r="V644">
        <v>-1.6340018439573445E-3</v>
      </c>
      <c r="W644">
        <v>-3.0475766760280631E-3</v>
      </c>
      <c r="X644">
        <v>-1.3646687156436688E-3</v>
      </c>
      <c r="Y644">
        <v>-1.6340018439573445E-3</v>
      </c>
      <c r="Z644">
        <v>-7.8755287411059749E-3</v>
      </c>
      <c r="AA644">
        <v>3.3731273042947318E-3</v>
      </c>
      <c r="AC644">
        <v>-1.0940778731004519E-3</v>
      </c>
      <c r="AD644">
        <v>5.3409449607433324E-4</v>
      </c>
      <c r="AE644">
        <v>-1.3910313658629381E-3</v>
      </c>
      <c r="AF644">
        <v>-2.172301321441239E-2</v>
      </c>
      <c r="AG644">
        <v>-4.7096663748320555E-3</v>
      </c>
      <c r="AH644">
        <v>6.2250112087305354E-3</v>
      </c>
      <c r="AI644">
        <v>2.4837230200813742E-3</v>
      </c>
      <c r="AJ644">
        <v>-5.3720901178527791E-3</v>
      </c>
      <c r="AK644">
        <v>-3.8670867946146714E-3</v>
      </c>
      <c r="AL644">
        <v>-4.8737259446520742E-3</v>
      </c>
    </row>
    <row r="645" spans="1:38">
      <c r="A645" s="568">
        <v>44767</v>
      </c>
      <c r="B645">
        <v>5.0263427372176928E-4</v>
      </c>
      <c r="C645">
        <v>5.1899664217991415E-4</v>
      </c>
      <c r="D645">
        <v>4.655221982470259E-4</v>
      </c>
      <c r="E645">
        <v>5.4948741525118194E-4</v>
      </c>
      <c r="F645">
        <v>5.2782743018919831E-4</v>
      </c>
      <c r="G645">
        <v>4.5553681650400968E-4</v>
      </c>
      <c r="H645">
        <v>6.0382557709970364E-4</v>
      </c>
      <c r="I645">
        <v>5.8420931806790755E-4</v>
      </c>
      <c r="J645">
        <v>-2.9249983882739805E-4</v>
      </c>
      <c r="K645">
        <v>-4.3449398221684365E-4</v>
      </c>
      <c r="L645">
        <v>6.4124793364150889E-7</v>
      </c>
      <c r="M645">
        <v>1.8877919260473774E-5</v>
      </c>
      <c r="N645">
        <v>2.4332682598382505E-5</v>
      </c>
      <c r="O645">
        <v>5.4612392438491142E-4</v>
      </c>
      <c r="P645">
        <v>5.3573019985209136E-4</v>
      </c>
      <c r="Q645">
        <v>5.4958248556946643E-4</v>
      </c>
      <c r="R645">
        <v>5.481553236394987E-4</v>
      </c>
      <c r="S645">
        <v>3.8696192486713521E-3</v>
      </c>
      <c r="T645">
        <v>-2.2688360725471313E-3</v>
      </c>
      <c r="U645">
        <v>-6.3523313558189187E-5</v>
      </c>
      <c r="V645">
        <v>1.033208982517575E-3</v>
      </c>
      <c r="W645">
        <v>1.3978218709151946E-3</v>
      </c>
      <c r="X645">
        <v>-3.2136958052051412E-3</v>
      </c>
      <c r="Y645">
        <v>1.033208982517575E-3</v>
      </c>
      <c r="Z645">
        <v>-3.1837326767485408E-3</v>
      </c>
      <c r="AA645">
        <v>-1.5243144965016997E-3</v>
      </c>
      <c r="AC645">
        <v>1.3596486705762967E-2</v>
      </c>
      <c r="AD645">
        <v>9.2301614012495481E-3</v>
      </c>
      <c r="AE645">
        <v>1.437818167520466E-2</v>
      </c>
      <c r="AF645">
        <v>-1.4415898172503994E-4</v>
      </c>
      <c r="AG645">
        <v>5.8374699282790488E-3</v>
      </c>
      <c r="AH645">
        <v>8.6161502607298157E-3</v>
      </c>
      <c r="AI645">
        <v>3.7954950954015576E-3</v>
      </c>
      <c r="AJ645">
        <v>-2.1311338134315849E-2</v>
      </c>
      <c r="AK645">
        <v>-7.1890726096333069E-3</v>
      </c>
      <c r="AL645">
        <v>-2.3357469298558531E-2</v>
      </c>
    </row>
    <row r="646" spans="1:38">
      <c r="A646" s="568">
        <v>44768</v>
      </c>
      <c r="B646">
        <v>5.0263427372176928E-4</v>
      </c>
      <c r="C646">
        <v>4.9997719758398951E-4</v>
      </c>
      <c r="D646">
        <v>4.6786221227756997E-4</v>
      </c>
      <c r="E646">
        <v>5.4948741525118194E-4</v>
      </c>
      <c r="F646">
        <v>6.3791159484560822E-4</v>
      </c>
      <c r="G646">
        <v>4.4395458805435162E-4</v>
      </c>
      <c r="H646">
        <v>6.1000116530429693E-4</v>
      </c>
      <c r="I646">
        <v>5.8414132036355149E-4</v>
      </c>
      <c r="J646">
        <v>-7.993991577396331E-4</v>
      </c>
      <c r="K646">
        <v>7.4386394183401094E-4</v>
      </c>
      <c r="L646">
        <v>6.4124793364150889E-7</v>
      </c>
      <c r="M646">
        <v>1.8877919260473774E-5</v>
      </c>
      <c r="N646">
        <v>2.4332682598382505E-5</v>
      </c>
      <c r="O646">
        <v>5.4612392438491142E-4</v>
      </c>
      <c r="P646">
        <v>5.3573019985209136E-4</v>
      </c>
      <c r="Q646">
        <v>5.4958248556946643E-4</v>
      </c>
      <c r="R646">
        <v>-2.8400998286586265E-3</v>
      </c>
      <c r="S646">
        <v>1.9511762329564863E-3</v>
      </c>
      <c r="T646">
        <v>2.3699460123185467E-3</v>
      </c>
      <c r="U646">
        <v>4.1965537517696383E-4</v>
      </c>
      <c r="V646">
        <v>2.9685516208299845E-4</v>
      </c>
      <c r="W646">
        <v>2.0086240391492538E-3</v>
      </c>
      <c r="X646">
        <v>1.8130512143876842E-4</v>
      </c>
      <c r="Y646">
        <v>2.9685516208299845E-4</v>
      </c>
      <c r="Z646">
        <v>2.5634415264692567E-3</v>
      </c>
      <c r="AA646">
        <v>-9.6020242251115828E-4</v>
      </c>
      <c r="AC646">
        <v>-4.9681933302981873E-3</v>
      </c>
      <c r="AD646">
        <v>-7.9910360740602648E-3</v>
      </c>
      <c r="AE646">
        <v>-4.7975465078727852E-3</v>
      </c>
      <c r="AF646">
        <v>-8.7262231971365622E-3</v>
      </c>
      <c r="AG646">
        <v>-4.143063233477573E-3</v>
      </c>
      <c r="AH646">
        <v>-8.3148182322415609E-3</v>
      </c>
      <c r="AI646">
        <v>-3.2471059775628364E-3</v>
      </c>
      <c r="AJ646">
        <v>-1.3903743315508033E-2</v>
      </c>
      <c r="AK646">
        <v>1.2599565532223078E-2</v>
      </c>
      <c r="AL646">
        <v>-7.0246675818843585E-3</v>
      </c>
    </row>
    <row r="647" spans="1:38">
      <c r="A647" s="568">
        <v>44769</v>
      </c>
      <c r="B647">
        <v>5.0263427372176928E-4</v>
      </c>
      <c r="C647">
        <v>4.9211460951714692E-4</v>
      </c>
      <c r="D647">
        <v>5.5452798935307079E-4</v>
      </c>
      <c r="E647">
        <v>5.4948741525118194E-4</v>
      </c>
      <c r="F647">
        <v>5.041373287291151E-4</v>
      </c>
      <c r="G647">
        <v>4.499898935452773E-4</v>
      </c>
      <c r="H647">
        <v>6.0547002655986226E-4</v>
      </c>
      <c r="I647">
        <v>5.7621265455387594E-4</v>
      </c>
      <c r="J647">
        <v>1.1457131468350923E-3</v>
      </c>
      <c r="K647">
        <v>3.6053290761688395E-3</v>
      </c>
      <c r="L647">
        <v>6.4124793364150889E-7</v>
      </c>
      <c r="M647">
        <v>1.8877919260473774E-5</v>
      </c>
      <c r="N647">
        <v>2.4332682598382505E-5</v>
      </c>
      <c r="O647">
        <v>5.4612392438491142E-4</v>
      </c>
      <c r="P647">
        <v>5.3573019985209136E-4</v>
      </c>
      <c r="Q647">
        <v>5.4958248556946643E-4</v>
      </c>
      <c r="R647">
        <v>5.675059159613749E-3</v>
      </c>
      <c r="S647">
        <v>2.574444221081329E-3</v>
      </c>
      <c r="T647">
        <v>-2.9836446229688507E-3</v>
      </c>
      <c r="U647">
        <v>-1.0225017977925077E-3</v>
      </c>
      <c r="V647">
        <v>2.6412268807041173E-3</v>
      </c>
      <c r="W647">
        <v>-1.5061120072938916E-3</v>
      </c>
      <c r="X647">
        <v>-2.7795610606329291E-4</v>
      </c>
      <c r="Y647">
        <v>2.6412268807041173E-3</v>
      </c>
      <c r="Z647">
        <v>-1.6115187057348379E-3</v>
      </c>
      <c r="AA647">
        <v>5.9449587362745415E-3</v>
      </c>
      <c r="AC647">
        <v>1.6700829664206385E-2</v>
      </c>
      <c r="AD647">
        <v>2.1655209749857685E-2</v>
      </c>
      <c r="AE647">
        <v>1.7889565125599249E-2</v>
      </c>
      <c r="AF647">
        <v>2.7218480026790504E-2</v>
      </c>
      <c r="AG647">
        <v>1.794327442100796E-2</v>
      </c>
      <c r="AH647">
        <v>2.0075435299983235E-2</v>
      </c>
      <c r="AI647">
        <v>1.9522600409431101E-2</v>
      </c>
      <c r="AJ647">
        <v>4.9891540130151402E-3</v>
      </c>
      <c r="AK647">
        <v>-1.1870709382150957E-2</v>
      </c>
      <c r="AL647">
        <v>-2.154185930021757E-2</v>
      </c>
    </row>
    <row r="648" spans="1:38">
      <c r="A648" s="568">
        <v>44770</v>
      </c>
      <c r="B648">
        <v>5.0263427372176928E-4</v>
      </c>
      <c r="C648">
        <v>5.1131949860461212E-4</v>
      </c>
      <c r="D648">
        <v>4.7760029095300638E-4</v>
      </c>
      <c r="E648">
        <v>5.4948741525118194E-4</v>
      </c>
      <c r="F648">
        <v>4.7417412393091496E-4</v>
      </c>
      <c r="G648">
        <v>6.499736550633628E-4</v>
      </c>
      <c r="H648">
        <v>6.0391601232523406E-4</v>
      </c>
      <c r="I648">
        <v>5.8348494087323566E-4</v>
      </c>
      <c r="J648">
        <v>1.6981170944909696E-3</v>
      </c>
      <c r="K648">
        <v>3.3950210835829164E-3</v>
      </c>
      <c r="L648">
        <v>6.4124793364150889E-7</v>
      </c>
      <c r="M648">
        <v>1.8877919260473774E-5</v>
      </c>
      <c r="N648">
        <v>2.4332682598382505E-5</v>
      </c>
      <c r="O648">
        <v>5.4612392438491142E-4</v>
      </c>
      <c r="P648">
        <v>5.3573019985209136E-4</v>
      </c>
      <c r="Q648">
        <v>5.4958248556946643E-4</v>
      </c>
      <c r="R648">
        <v>8.4412335817793949E-3</v>
      </c>
      <c r="S648">
        <v>-5.2820772067696531E-4</v>
      </c>
      <c r="T648">
        <v>-2.4104615107254368E-3</v>
      </c>
      <c r="U648">
        <v>1.2369522867441418E-3</v>
      </c>
      <c r="V648">
        <v>1.880645065811315E-3</v>
      </c>
      <c r="W648">
        <v>-1.6155621037940993E-3</v>
      </c>
      <c r="X648">
        <v>-2.935870985014688E-4</v>
      </c>
      <c r="Y648">
        <v>1.880645065811315E-3</v>
      </c>
      <c r="Z648">
        <v>-6.4845569781447621E-3</v>
      </c>
      <c r="AA648">
        <v>9.5995230761491968E-4</v>
      </c>
      <c r="AC648">
        <v>1.1422745488966823E-2</v>
      </c>
      <c r="AD648">
        <v>1.415845949643102E-2</v>
      </c>
      <c r="AE648">
        <v>1.0905272331419802E-2</v>
      </c>
      <c r="AF648">
        <v>1.5417497147454329E-2</v>
      </c>
      <c r="AG648">
        <v>5.6223420250929301E-3</v>
      </c>
      <c r="AH648">
        <v>1.3396785710967363E-2</v>
      </c>
      <c r="AI648">
        <v>1.1251918964874985E-2</v>
      </c>
      <c r="AJ648">
        <v>-3.6693287286855281E-3</v>
      </c>
      <c r="AK648">
        <v>-2.0263424518743856E-3</v>
      </c>
      <c r="AL648">
        <v>-4.527992924481028E-3</v>
      </c>
    </row>
    <row r="649" spans="1:38">
      <c r="A649" s="568">
        <v>44771</v>
      </c>
      <c r="B649">
        <v>5.0263427372176928E-4</v>
      </c>
      <c r="C649">
        <v>5.385245470754807E-4</v>
      </c>
      <c r="D649">
        <v>5.1260084170690057E-4</v>
      </c>
      <c r="E649">
        <v>5.4948741525118194E-4</v>
      </c>
      <c r="F649">
        <v>5.2669726043186316E-4</v>
      </c>
      <c r="G649">
        <v>6.5813250883506313E-4</v>
      </c>
      <c r="H649">
        <v>5.7684569852356482E-4</v>
      </c>
      <c r="I649">
        <v>5.7915521180551544E-4</v>
      </c>
      <c r="J649">
        <v>1.7642083637912087E-3</v>
      </c>
      <c r="K649">
        <v>3.7246176359428951E-3</v>
      </c>
      <c r="L649">
        <v>6.4124793364150889E-7</v>
      </c>
      <c r="M649">
        <v>1.8877919260473774E-5</v>
      </c>
      <c r="N649">
        <v>2.4332682598382505E-5</v>
      </c>
      <c r="O649">
        <v>5.4612392438491142E-4</v>
      </c>
      <c r="P649">
        <v>5.3573019985209136E-4</v>
      </c>
      <c r="Q649">
        <v>5.4958248556946643E-4</v>
      </c>
      <c r="R649">
        <v>4.0300324504698448E-3</v>
      </c>
      <c r="S649">
        <v>-1.0168385147178993E-3</v>
      </c>
      <c r="T649">
        <v>-1.1521370690414923E-3</v>
      </c>
      <c r="U649">
        <v>1.2231147071264381E-3</v>
      </c>
      <c r="V649">
        <v>1.6930394489553802E-3</v>
      </c>
      <c r="W649">
        <v>-4.3591310550916695E-4</v>
      </c>
      <c r="X649">
        <v>-2.2152836093171091E-3</v>
      </c>
      <c r="Y649">
        <v>1.6930394489553802E-3</v>
      </c>
      <c r="Z649">
        <v>-2.7352773562784316E-3</v>
      </c>
      <c r="AA649">
        <v>3.5352249440361305E-3</v>
      </c>
      <c r="AC649">
        <v>5.5365350100091693E-3</v>
      </c>
      <c r="AD649">
        <v>1.1389768421302238E-2</v>
      </c>
      <c r="AE649">
        <v>5.7278858045217707E-3</v>
      </c>
      <c r="AF649">
        <v>6.9109019294353313E-3</v>
      </c>
      <c r="AG649">
        <v>1.0344689279272012E-2</v>
      </c>
      <c r="AH649">
        <v>1.451926285708427E-2</v>
      </c>
      <c r="AI649">
        <v>3.9498422456758497E-3</v>
      </c>
      <c r="AJ649">
        <v>1.6031195840554568E-2</v>
      </c>
      <c r="AK649">
        <v>-2.8281363306744023E-2</v>
      </c>
      <c r="AL649">
        <v>1.3013171934306955E-2</v>
      </c>
    </row>
    <row r="650" spans="1:38">
      <c r="A650" s="568">
        <v>44774</v>
      </c>
      <c r="B650">
        <v>5.0263427372176928E-4</v>
      </c>
      <c r="C650">
        <v>5.0927547713075505E-4</v>
      </c>
      <c r="D650">
        <v>4.7355564253281912E-4</v>
      </c>
      <c r="E650">
        <v>5.4948741525118194E-4</v>
      </c>
      <c r="F650">
        <v>4.7213781581767478E-4</v>
      </c>
      <c r="G650">
        <v>6.5164643082127327E-4</v>
      </c>
      <c r="H650">
        <v>6.0379668303278677E-4</v>
      </c>
      <c r="I650">
        <v>5.8293767249217865E-4</v>
      </c>
      <c r="J650">
        <v>2.35974007107842E-4</v>
      </c>
      <c r="K650">
        <v>-1.4397460580772847E-4</v>
      </c>
      <c r="L650">
        <v>1.6878901339767438E-4</v>
      </c>
      <c r="M650">
        <v>1.8702875117782014E-4</v>
      </c>
      <c r="N650">
        <v>1.9248443172137364E-4</v>
      </c>
      <c r="O650">
        <v>5.4612392438491142E-4</v>
      </c>
      <c r="P650">
        <v>5.3573019985209136E-4</v>
      </c>
      <c r="Q650">
        <v>5.4958248556946643E-4</v>
      </c>
      <c r="R650">
        <v>2.3012378350539819E-3</v>
      </c>
      <c r="S650">
        <v>-2.3604937747556676E-5</v>
      </c>
      <c r="T650">
        <v>-1.8106384996615654E-3</v>
      </c>
      <c r="U650">
        <v>8.7149792204921361E-4</v>
      </c>
      <c r="V650">
        <v>-3.5618514367641296E-4</v>
      </c>
      <c r="W650">
        <v>1.1190836067502818E-3</v>
      </c>
      <c r="X650">
        <v>-1.0903385405386379E-3</v>
      </c>
      <c r="Y650">
        <v>-3.5618514367641296E-4</v>
      </c>
      <c r="Z650">
        <v>-5.4137096585248345E-3</v>
      </c>
      <c r="AA650">
        <v>2.4705870822858689E-3</v>
      </c>
      <c r="AC650">
        <v>-9.1078643283860616E-3</v>
      </c>
      <c r="AD650">
        <v>-4.5309897045023861E-3</v>
      </c>
      <c r="AE650">
        <v>-6.2868792260744044E-3</v>
      </c>
      <c r="AF650">
        <v>-3.2986966913284288E-3</v>
      </c>
      <c r="AG650">
        <v>-2.3444962204127728E-3</v>
      </c>
      <c r="AH650">
        <v>-9.0291130293416177E-3</v>
      </c>
      <c r="AI650">
        <v>-3.7375542611239876E-3</v>
      </c>
      <c r="AJ650">
        <v>-2.3454157782516472E-3</v>
      </c>
      <c r="AK650">
        <v>-6.2686567164179641E-3</v>
      </c>
      <c r="AL650">
        <v>6.1648620963095091E-4</v>
      </c>
    </row>
    <row r="651" spans="1:38">
      <c r="A651" s="568">
        <v>44775</v>
      </c>
      <c r="B651">
        <v>5.0263427372176928E-4</v>
      </c>
      <c r="C651">
        <v>5.0036743710268894E-4</v>
      </c>
      <c r="D651">
        <v>4.4986894124199317E-4</v>
      </c>
      <c r="E651">
        <v>5.4948741525118194E-4</v>
      </c>
      <c r="F651">
        <v>4.7816036679004803E-4</v>
      </c>
      <c r="G651">
        <v>4.801617981424755E-4</v>
      </c>
      <c r="H651">
        <v>6.0106128216919075E-4</v>
      </c>
      <c r="I651">
        <v>5.9581863845670213E-4</v>
      </c>
      <c r="J651">
        <v>-7.8743500344480299E-4</v>
      </c>
      <c r="K651">
        <v>-1.6836946350808901E-3</v>
      </c>
      <c r="L651">
        <v>1.6878901339767438E-4</v>
      </c>
      <c r="M651">
        <v>1.8702875117782014E-4</v>
      </c>
      <c r="N651">
        <v>1.9248443172137364E-4</v>
      </c>
      <c r="O651">
        <v>5.4612392438491142E-4</v>
      </c>
      <c r="P651">
        <v>5.3573019985209136E-4</v>
      </c>
      <c r="Q651">
        <v>5.4958248556946643E-4</v>
      </c>
      <c r="R651">
        <v>-6.5978099210053376E-3</v>
      </c>
      <c r="S651">
        <v>1.2720738947367138E-3</v>
      </c>
      <c r="T651">
        <v>-1.471449337654418E-4</v>
      </c>
      <c r="U651">
        <v>1.3255688927646947E-3</v>
      </c>
      <c r="V651">
        <v>1.6226950354609748E-3</v>
      </c>
      <c r="W651">
        <v>2.6420232631796381E-3</v>
      </c>
      <c r="X651">
        <v>6.5048497097319746E-3</v>
      </c>
      <c r="Y651">
        <v>1.6226950354609748E-3</v>
      </c>
      <c r="Z651">
        <v>8.5634359457475995E-4</v>
      </c>
      <c r="AA651">
        <v>2.3353617636838742E-3</v>
      </c>
      <c r="AC651">
        <v>1.1118797852738282E-2</v>
      </c>
      <c r="AD651">
        <v>8.6568356159586468E-3</v>
      </c>
      <c r="AE651">
        <v>8.577564694763895E-3</v>
      </c>
      <c r="AF651">
        <v>0</v>
      </c>
      <c r="AG651">
        <v>8.5529744292531795E-3</v>
      </c>
      <c r="AH651">
        <v>5.0039328317161846E-3</v>
      </c>
      <c r="AI651">
        <v>1.1935239883595017E-2</v>
      </c>
      <c r="AJ651">
        <v>1.3036973712331701E-2</v>
      </c>
      <c r="AK651">
        <v>-2.087714028236709E-2</v>
      </c>
      <c r="AL651">
        <v>1.2768146060377239E-2</v>
      </c>
    </row>
    <row r="652" spans="1:38">
      <c r="A652" s="568">
        <v>44776</v>
      </c>
      <c r="B652">
        <v>5.0263427372176928E-4</v>
      </c>
      <c r="C652">
        <v>5.6420561888392839E-4</v>
      </c>
      <c r="D652">
        <v>4.3080308322474004E-4</v>
      </c>
      <c r="E652">
        <v>5.4948741525118194E-4</v>
      </c>
      <c r="F652">
        <v>5.1538608894530213E-4</v>
      </c>
      <c r="G652">
        <v>5.8439935058518522E-4</v>
      </c>
      <c r="H652">
        <v>6.0543947678670662E-4</v>
      </c>
      <c r="I652">
        <v>5.9334309381742223E-4</v>
      </c>
      <c r="J652">
        <v>1.5494780947893361E-3</v>
      </c>
      <c r="K652">
        <v>1.5728142466151507E-3</v>
      </c>
      <c r="L652">
        <v>1.6878901339767438E-4</v>
      </c>
      <c r="M652">
        <v>1.8702875117782014E-4</v>
      </c>
      <c r="N652">
        <v>1.9248443172137364E-4</v>
      </c>
      <c r="O652">
        <v>5.4612392438491142E-4</v>
      </c>
      <c r="P652">
        <v>5.3573019985209136E-4</v>
      </c>
      <c r="Q652">
        <v>5.4958248556946643E-4</v>
      </c>
      <c r="R652">
        <v>3.4550895433527185E-3</v>
      </c>
      <c r="S652">
        <v>2.8782953242807441E-3</v>
      </c>
      <c r="T652">
        <v>2.2947426722172981E-3</v>
      </c>
      <c r="U652">
        <v>2.0700596069691546E-3</v>
      </c>
      <c r="V652">
        <v>2.6532831830334835E-3</v>
      </c>
      <c r="W652">
        <v>4.46510662758004E-3</v>
      </c>
      <c r="X652">
        <v>6.0900717360532486E-3</v>
      </c>
      <c r="Y652">
        <v>2.6532831830334835E-3</v>
      </c>
      <c r="Z652">
        <v>1.8421300385103034E-3</v>
      </c>
      <c r="AA652">
        <v>3.340466141475984E-3</v>
      </c>
      <c r="AC652">
        <v>3.9954838204092624E-3</v>
      </c>
      <c r="AD652">
        <v>1.3540146208464554E-2</v>
      </c>
      <c r="AE652">
        <v>8.7243093843640818E-3</v>
      </c>
      <c r="AF652">
        <v>2.7675974262980407E-2</v>
      </c>
      <c r="AG652">
        <v>4.7905855824430521E-3</v>
      </c>
      <c r="AH652">
        <v>2.1497825653946645E-3</v>
      </c>
      <c r="AI652">
        <v>1.5815988443579121E-2</v>
      </c>
      <c r="AJ652">
        <v>1.4978902953586504E-2</v>
      </c>
      <c r="AK652">
        <v>5.8291148949225491E-3</v>
      </c>
      <c r="AL652">
        <v>-3.867910960264842E-3</v>
      </c>
    </row>
    <row r="653" spans="1:38">
      <c r="A653" s="568">
        <v>44777</v>
      </c>
      <c r="B653">
        <v>5.2057738259342898E-4</v>
      </c>
      <c r="C653">
        <v>5.4211596529096795E-4</v>
      </c>
      <c r="D653">
        <v>4.4794419603944036E-4</v>
      </c>
      <c r="E653">
        <v>5.6699392160641793E-4</v>
      </c>
      <c r="F653">
        <v>8.1693994185094709E-4</v>
      </c>
      <c r="G653">
        <v>6.4222043771700044E-4</v>
      </c>
      <c r="H653">
        <v>6.0566518970395222E-4</v>
      </c>
      <c r="I653">
        <v>5.9251177343155881E-4</v>
      </c>
      <c r="J653">
        <v>6.2264568072458726E-3</v>
      </c>
      <c r="K653">
        <v>1.1021497812398806E-2</v>
      </c>
      <c r="L653">
        <v>1.6878901339767438E-4</v>
      </c>
      <c r="M653">
        <v>1.8702875117782014E-4</v>
      </c>
      <c r="N653">
        <v>1.9248443172137364E-4</v>
      </c>
      <c r="O653">
        <v>5.4612392438491142E-4</v>
      </c>
      <c r="P653">
        <v>5.3573019985209136E-4</v>
      </c>
      <c r="Q653">
        <v>5.4958248556946643E-4</v>
      </c>
      <c r="R653">
        <v>3.9772441523793223E-3</v>
      </c>
      <c r="S653">
        <v>-1.0305458295484238E-3</v>
      </c>
      <c r="T653">
        <v>1.3078146909917265E-3</v>
      </c>
      <c r="U653">
        <v>-1.7407030436321635E-3</v>
      </c>
      <c r="V653">
        <v>3.6112096648446279E-3</v>
      </c>
      <c r="W653">
        <v>-2.4112297179336162E-3</v>
      </c>
      <c r="X653">
        <v>-5.8434410312901974E-4</v>
      </c>
      <c r="Y653">
        <v>3.6112096648446279E-3</v>
      </c>
      <c r="Z653">
        <v>-2.8554436677481476E-3</v>
      </c>
      <c r="AA653">
        <v>-2.1985245661203523E-3</v>
      </c>
      <c r="AC653">
        <v>2.0405170124350169E-2</v>
      </c>
      <c r="AD653">
        <v>2.3751896796716077E-2</v>
      </c>
      <c r="AE653">
        <v>2.08183259648278E-2</v>
      </c>
      <c r="AF653">
        <v>3.1246619410442822E-2</v>
      </c>
      <c r="AG653">
        <v>7.3894255074822279E-3</v>
      </c>
      <c r="AH653">
        <v>2.184833352010962E-2</v>
      </c>
      <c r="AI653">
        <v>1.9997464995364256E-2</v>
      </c>
      <c r="AJ653">
        <v>-1.1847848680108131E-2</v>
      </c>
      <c r="AK653">
        <v>2.1503736464846934E-2</v>
      </c>
      <c r="AL653">
        <v>-1.4543159875139988E-3</v>
      </c>
    </row>
    <row r="654" spans="1:38">
      <c r="A654" s="568">
        <v>44778</v>
      </c>
      <c r="B654">
        <v>5.2057738259342898E-4</v>
      </c>
      <c r="C654">
        <v>5.5839471740393165E-4</v>
      </c>
      <c r="D654">
        <v>4.8441887817562979E-4</v>
      </c>
      <c r="E654">
        <v>5.6699392160641793E-4</v>
      </c>
      <c r="F654">
        <v>5.6301414003212535E-4</v>
      </c>
      <c r="G654">
        <v>5.6531464205189508E-4</v>
      </c>
      <c r="H654">
        <v>6.2423265239708314E-4</v>
      </c>
      <c r="I654">
        <v>6.0895806819605269E-4</v>
      </c>
      <c r="J654">
        <v>1.0300425858400519E-3</v>
      </c>
      <c r="K654">
        <v>2.9955020391203568E-4</v>
      </c>
      <c r="L654">
        <v>1.6878901339767438E-4</v>
      </c>
      <c r="M654">
        <v>1.8702875117782014E-4</v>
      </c>
      <c r="N654">
        <v>1.9248443172137364E-4</v>
      </c>
      <c r="O654">
        <v>5.4612392438491142E-4</v>
      </c>
      <c r="P654">
        <v>5.3573019985209136E-4</v>
      </c>
      <c r="Q654">
        <v>5.4958248556946643E-4</v>
      </c>
      <c r="R654">
        <v>-2.7586700419525156E-3</v>
      </c>
      <c r="S654">
        <v>2.1122430946083348E-3</v>
      </c>
      <c r="T654">
        <v>4.00264213545376E-3</v>
      </c>
      <c r="U654">
        <v>5.3077948497768368E-3</v>
      </c>
      <c r="V654">
        <v>2.4903796140136603E-3</v>
      </c>
      <c r="W654">
        <v>2.6356977572994378E-3</v>
      </c>
      <c r="X654">
        <v>-2.6687435054177922E-3</v>
      </c>
      <c r="Y654">
        <v>2.4903796140136603E-3</v>
      </c>
      <c r="Z654">
        <v>3.4966149051876005E-3</v>
      </c>
      <c r="AA654">
        <v>2.0613021016770983E-3</v>
      </c>
      <c r="AC654">
        <v>5.4744342879957664E-3</v>
      </c>
      <c r="AD654">
        <v>4.7562069116007244E-3</v>
      </c>
      <c r="AE654">
        <v>1.5635862231617725E-3</v>
      </c>
      <c r="AF654">
        <v>-4.4207668468099204E-3</v>
      </c>
      <c r="AG654">
        <v>8.6696708766791364E-3</v>
      </c>
      <c r="AH654">
        <v>5.7703714104373471E-3</v>
      </c>
      <c r="AI654">
        <v>7.3117469599193186E-3</v>
      </c>
      <c r="AJ654">
        <v>-1.1358855700462689E-2</v>
      </c>
      <c r="AK654">
        <v>1.6422812779934848E-3</v>
      </c>
      <c r="AL654">
        <v>1.5351560666111874E-2</v>
      </c>
    </row>
    <row r="655" spans="1:38">
      <c r="A655" s="568">
        <v>44781</v>
      </c>
      <c r="B655">
        <v>5.2057738259342898E-4</v>
      </c>
      <c r="C655">
        <v>5.5626622139670623E-4</v>
      </c>
      <c r="D655">
        <v>5.1422310562232454E-4</v>
      </c>
      <c r="E655">
        <v>5.6699392160641793E-4</v>
      </c>
      <c r="F655">
        <v>6.3590639831656581E-4</v>
      </c>
      <c r="G655">
        <v>5.9249055938215278E-4</v>
      </c>
      <c r="H655">
        <v>6.2857379385383716E-4</v>
      </c>
      <c r="I655">
        <v>6.0059766406239667E-4</v>
      </c>
      <c r="J655">
        <v>1.9470232237621676E-3</v>
      </c>
      <c r="K655">
        <v>2.7922360251029232E-3</v>
      </c>
      <c r="L655">
        <v>1.6878901339767438E-4</v>
      </c>
      <c r="M655">
        <v>1.8702875117782014E-4</v>
      </c>
      <c r="N655">
        <v>1.9248443172137364E-4</v>
      </c>
      <c r="O655">
        <v>5.4612392438491142E-4</v>
      </c>
      <c r="P655">
        <v>5.3573019985209136E-4</v>
      </c>
      <c r="Q655">
        <v>5.4958248556946643E-4</v>
      </c>
      <c r="R655">
        <v>4.1303163546055899E-3</v>
      </c>
      <c r="S655">
        <v>3.5656030579898079E-3</v>
      </c>
      <c r="T655">
        <v>-6.3119624196950053E-4</v>
      </c>
      <c r="U655">
        <v>7.6705780426955528E-5</v>
      </c>
      <c r="V655">
        <v>1.3296946419145694E-3</v>
      </c>
      <c r="W655">
        <v>1.1493373215138991E-3</v>
      </c>
      <c r="X655">
        <v>-2.4475509576684651E-3</v>
      </c>
      <c r="Y655">
        <v>1.3296946419145694E-3</v>
      </c>
      <c r="Z655">
        <v>4.1433940814994408E-4</v>
      </c>
      <c r="AA655">
        <v>4.7104837152096568E-3</v>
      </c>
      <c r="AC655">
        <v>1.813013233911831E-2</v>
      </c>
      <c r="AD655">
        <v>1.5701607893893188E-2</v>
      </c>
      <c r="AE655">
        <v>1.9917171083346785E-2</v>
      </c>
      <c r="AF655">
        <v>9.9000110959586163E-3</v>
      </c>
      <c r="AG655">
        <v>8.6099130307666361E-3</v>
      </c>
      <c r="AH655">
        <v>1.3005889222101663E-2</v>
      </c>
      <c r="AI655">
        <v>7.9752236711265745E-3</v>
      </c>
      <c r="AJ655">
        <v>-1.195744680851063E-2</v>
      </c>
      <c r="AK655">
        <v>-1.2222387837233728E-2</v>
      </c>
      <c r="AL655">
        <v>-9.9709816572767229E-3</v>
      </c>
    </row>
    <row r="656" spans="1:38">
      <c r="A656" s="568">
        <v>44782</v>
      </c>
      <c r="B656">
        <v>5.2057738259342898E-4</v>
      </c>
      <c r="C656">
        <v>5.7666710364601137E-4</v>
      </c>
      <c r="D656">
        <v>4.8546208968525129E-4</v>
      </c>
      <c r="E656">
        <v>5.6699392160641793E-4</v>
      </c>
      <c r="F656">
        <v>5.4015747847646622E-4</v>
      </c>
      <c r="G656">
        <v>4.2558995312802494E-4</v>
      </c>
      <c r="H656">
        <v>6.2463324218908767E-4</v>
      </c>
      <c r="I656">
        <v>6.0883032789460501E-4</v>
      </c>
      <c r="J656">
        <v>-1.3845070890502464E-3</v>
      </c>
      <c r="K656">
        <v>-2.7055307026112585E-3</v>
      </c>
      <c r="L656">
        <v>1.6878901339767438E-4</v>
      </c>
      <c r="M656">
        <v>1.8702875117782014E-4</v>
      </c>
      <c r="N656">
        <v>1.9248443172137364E-4</v>
      </c>
      <c r="O656">
        <v>5.4612392438491142E-4</v>
      </c>
      <c r="P656">
        <v>5.3573019985209136E-4</v>
      </c>
      <c r="Q656">
        <v>5.4958248556946643E-4</v>
      </c>
      <c r="R656">
        <v>-2.1659432959976188E-3</v>
      </c>
      <c r="S656">
        <v>1.9460219114479926E-3</v>
      </c>
      <c r="T656">
        <v>3.9967723042688696E-4</v>
      </c>
      <c r="U656">
        <v>1.3125825087367815E-4</v>
      </c>
      <c r="V656">
        <v>-6.9312505187224538E-4</v>
      </c>
      <c r="W656">
        <v>1.205119432079016E-3</v>
      </c>
      <c r="X656">
        <v>-1.2435694705393852E-3</v>
      </c>
      <c r="Y656">
        <v>-6.9312505187224538E-4</v>
      </c>
      <c r="Z656">
        <v>1.0958795109197172E-3</v>
      </c>
      <c r="AA656">
        <v>-4.4360638348913684E-3</v>
      </c>
      <c r="AC656">
        <v>2.2949703913026642E-3</v>
      </c>
      <c r="AD656">
        <v>-4.0943478794709387E-3</v>
      </c>
      <c r="AE656">
        <v>-6.8573115838702625E-3</v>
      </c>
      <c r="AF656">
        <v>-9.4297813269538233E-3</v>
      </c>
      <c r="AG656">
        <v>-3.5596594862431497E-3</v>
      </c>
      <c r="AH656">
        <v>4.9879500148688471E-3</v>
      </c>
      <c r="AI656">
        <v>-5.063248886292393E-3</v>
      </c>
      <c r="AJ656">
        <v>1.6365907231146171E-3</v>
      </c>
      <c r="AK656">
        <v>-3.9233438961820966E-3</v>
      </c>
      <c r="AL656">
        <v>7.0787992417451484E-3</v>
      </c>
    </row>
    <row r="657" spans="1:38">
      <c r="A657" s="568">
        <v>44783</v>
      </c>
      <c r="B657">
        <v>5.2057738259342898E-4</v>
      </c>
      <c r="C657">
        <v>5.6906769302234039E-4</v>
      </c>
      <c r="D657">
        <v>5.0709732810072516E-4</v>
      </c>
      <c r="E657">
        <v>5.6699392160641793E-4</v>
      </c>
      <c r="F657">
        <v>6.3321443059893845E-4</v>
      </c>
      <c r="G657">
        <v>5.3134241966557028E-4</v>
      </c>
      <c r="H657">
        <v>6.2306215857077518E-4</v>
      </c>
      <c r="I657">
        <v>5.770177002504262E-4</v>
      </c>
      <c r="J657">
        <v>-5.733575819999448E-5</v>
      </c>
      <c r="K657">
        <v>3.3929735033533248E-4</v>
      </c>
      <c r="L657">
        <v>1.6878901339767438E-4</v>
      </c>
      <c r="M657">
        <v>1.8702875117782014E-4</v>
      </c>
      <c r="N657">
        <v>1.9248443172137364E-4</v>
      </c>
      <c r="O657">
        <v>5.4612392438491142E-4</v>
      </c>
      <c r="P657">
        <v>5.3573019985209136E-4</v>
      </c>
      <c r="Q657">
        <v>5.4958248556946643E-4</v>
      </c>
      <c r="R657">
        <v>6.7494698720829138E-3</v>
      </c>
      <c r="S657">
        <v>-4.4218535575046847E-4</v>
      </c>
      <c r="T657">
        <v>-1.0031309139935995E-2</v>
      </c>
      <c r="U657">
        <v>8.3185598803092731E-4</v>
      </c>
      <c r="V657">
        <v>5.0954213038001406E-4</v>
      </c>
      <c r="W657">
        <v>-2.025125725214072E-3</v>
      </c>
      <c r="X657">
        <v>-2.449655458643174E-3</v>
      </c>
      <c r="Y657">
        <v>5.0954213038001406E-4</v>
      </c>
      <c r="Z657">
        <v>-8.8972043577328908E-4</v>
      </c>
      <c r="AA657">
        <v>1.1039191635522361E-3</v>
      </c>
      <c r="AC657">
        <v>1.4585316938952708E-2</v>
      </c>
      <c r="AD657">
        <v>2.1418391513149393E-2</v>
      </c>
      <c r="AE657">
        <v>1.8079251395616724E-2</v>
      </c>
      <c r="AF657">
        <v>9.7832019489330069E-3</v>
      </c>
      <c r="AG657">
        <v>5.0122914833790055E-3</v>
      </c>
      <c r="AH657">
        <v>8.5850605438204663E-3</v>
      </c>
      <c r="AI657">
        <v>1.3723994793393368E-2</v>
      </c>
      <c r="AJ657">
        <v>9.9754912499461224E-3</v>
      </c>
      <c r="AK657">
        <v>-1.6815633994849311E-2</v>
      </c>
      <c r="AL657">
        <v>-2.4031317168394462E-2</v>
      </c>
    </row>
    <row r="658" spans="1:38">
      <c r="A658" s="568">
        <v>44784</v>
      </c>
      <c r="B658">
        <v>5.2057738259342898E-4</v>
      </c>
      <c r="C658">
        <v>5.2917712897815328E-4</v>
      </c>
      <c r="D658">
        <v>1.3141245769763277E-3</v>
      </c>
      <c r="E658">
        <v>5.6699392160641793E-4</v>
      </c>
      <c r="F658">
        <v>5.9355439574271252E-4</v>
      </c>
      <c r="G658">
        <v>5.0369118256710088E-4</v>
      </c>
      <c r="H658">
        <v>6.2385461885550164E-4</v>
      </c>
      <c r="I658">
        <v>5.5887649993091593E-4</v>
      </c>
      <c r="J658">
        <v>-1.4037619830674641E-3</v>
      </c>
      <c r="K658">
        <v>-2.2824387146671565E-3</v>
      </c>
      <c r="L658">
        <v>1.6878901339767438E-4</v>
      </c>
      <c r="M658">
        <v>1.8702875117782014E-4</v>
      </c>
      <c r="N658">
        <v>1.9248443172137364E-4</v>
      </c>
      <c r="O658">
        <v>5.4612392438491142E-4</v>
      </c>
      <c r="P658">
        <v>5.3573019985209136E-4</v>
      </c>
      <c r="Q658">
        <v>5.4958248556946643E-4</v>
      </c>
      <c r="R658">
        <v>1.1684514550216463E-3</v>
      </c>
      <c r="S658">
        <v>5.9666561096238802E-4</v>
      </c>
      <c r="T658">
        <v>-7.0234500303181235E-3</v>
      </c>
      <c r="U658">
        <v>1.02561073046048E-3</v>
      </c>
      <c r="V658">
        <v>-2.0303999102586623E-3</v>
      </c>
      <c r="W658">
        <v>5.2171115729082729E-4</v>
      </c>
      <c r="X658">
        <v>-9.4544909101024199E-4</v>
      </c>
      <c r="Y658">
        <v>-2.0303999102586623E-3</v>
      </c>
      <c r="Z658">
        <v>3.5128884121626847E-4</v>
      </c>
      <c r="AA658">
        <v>-2.6792938132821353E-3</v>
      </c>
      <c r="AC658">
        <v>-4.69738676451259E-3</v>
      </c>
      <c r="AD658">
        <v>-1.3909958852746374E-2</v>
      </c>
      <c r="AE658">
        <v>-1.0085210305091241E-2</v>
      </c>
      <c r="AF658">
        <v>-1.795684772850914E-2</v>
      </c>
      <c r="AG658">
        <v>-6.4357196838066288E-3</v>
      </c>
      <c r="AH658">
        <v>3.184068869965806E-5</v>
      </c>
      <c r="AI658">
        <v>-1.7102073404924201E-2</v>
      </c>
      <c r="AJ658">
        <v>1.6603516539656971E-2</v>
      </c>
      <c r="AK658">
        <v>2.7272727272727115E-2</v>
      </c>
      <c r="AL658">
        <v>4.0933969679569415E-2</v>
      </c>
    </row>
    <row r="659" spans="1:38">
      <c r="A659" s="568">
        <v>44785</v>
      </c>
      <c r="B659">
        <v>5.2057738259342898E-4</v>
      </c>
      <c r="C659">
        <v>5.5544877037427831E-4</v>
      </c>
      <c r="D659">
        <v>5.7776058373115724E-4</v>
      </c>
      <c r="E659">
        <v>5.6699392160641793E-4</v>
      </c>
      <c r="F659">
        <v>4.9142168098081918E-4</v>
      </c>
      <c r="G659">
        <v>6.3218311476287425E-4</v>
      </c>
      <c r="H659">
        <v>6.2405551144828486E-4</v>
      </c>
      <c r="I659">
        <v>5.9811620748084771E-4</v>
      </c>
      <c r="J659">
        <v>2.6698974582699542E-3</v>
      </c>
      <c r="K659">
        <v>2.0169859137895152E-3</v>
      </c>
      <c r="L659">
        <v>1.6878901339767438E-4</v>
      </c>
      <c r="M659">
        <v>1.8702875117782014E-4</v>
      </c>
      <c r="N659">
        <v>1.9248443172137364E-4</v>
      </c>
      <c r="O659">
        <v>5.4612392438491142E-4</v>
      </c>
      <c r="P659">
        <v>5.3573019985209136E-4</v>
      </c>
      <c r="Q659">
        <v>5.4958248556946643E-4</v>
      </c>
      <c r="R659">
        <v>3.173815548024983E-3</v>
      </c>
      <c r="S659">
        <v>-7.9838177330926463E-5</v>
      </c>
      <c r="T659">
        <v>-1.2592306447133383E-3</v>
      </c>
      <c r="U659">
        <v>1.0917127352547684E-3</v>
      </c>
      <c r="V659">
        <v>3.6891326828829563E-3</v>
      </c>
      <c r="W659">
        <v>2.492036767906658E-3</v>
      </c>
      <c r="X659">
        <v>-2.6833101181827912E-3</v>
      </c>
      <c r="Y659">
        <v>3.6891326828829563E-3</v>
      </c>
      <c r="Z659">
        <v>3.8920840777729726E-3</v>
      </c>
      <c r="AA659">
        <v>1.1068701603303532E-2</v>
      </c>
      <c r="AC659">
        <v>2.7765012722622995E-2</v>
      </c>
      <c r="AD659">
        <v>2.7402853144131711E-2</v>
      </c>
      <c r="AE659">
        <v>3.0510706260252762E-2</v>
      </c>
      <c r="AF659">
        <v>1.1488248847112192E-2</v>
      </c>
      <c r="AG659">
        <v>1.4332711869835979E-2</v>
      </c>
      <c r="AH659">
        <v>2.2402256901445705E-2</v>
      </c>
      <c r="AI659">
        <v>2.0553043671778903E-2</v>
      </c>
      <c r="AJ659">
        <v>-1.8845010260060135E-3</v>
      </c>
      <c r="AK659">
        <v>3.2998350082495964E-3</v>
      </c>
      <c r="AL659">
        <v>-1.510811976362092E-2</v>
      </c>
    </row>
    <row r="660" spans="1:38">
      <c r="A660" s="568">
        <v>44788</v>
      </c>
      <c r="B660">
        <v>5.2057738259342898E-4</v>
      </c>
      <c r="C660">
        <v>5.4252802785526022E-4</v>
      </c>
      <c r="D660">
        <v>6.0888608350273543E-4</v>
      </c>
      <c r="E660">
        <v>5.6699392160641793E-4</v>
      </c>
      <c r="F660">
        <v>6.1349002438038092E-4</v>
      </c>
      <c r="G660">
        <v>5.4065704168393403E-4</v>
      </c>
      <c r="H660">
        <v>6.2307683238804756E-4</v>
      </c>
      <c r="I660">
        <v>6.0013777842815585E-4</v>
      </c>
      <c r="J660">
        <v>2.5842684906500768E-3</v>
      </c>
      <c r="K660">
        <v>1.8623832626971648E-3</v>
      </c>
      <c r="L660">
        <v>1.6878901339767438E-4</v>
      </c>
      <c r="M660">
        <v>1.8702875117782014E-4</v>
      </c>
      <c r="N660">
        <v>1.9248443172137364E-4</v>
      </c>
      <c r="O660">
        <v>5.4612392438491142E-4</v>
      </c>
      <c r="P660">
        <v>5.3573019985209136E-4</v>
      </c>
      <c r="Q660">
        <v>5.4958248556946643E-4</v>
      </c>
      <c r="R660">
        <v>1.1132235731878826E-3</v>
      </c>
      <c r="S660">
        <v>-4.8632054662733903E-4</v>
      </c>
      <c r="T660">
        <v>4.9441283435689432E-3</v>
      </c>
      <c r="U660">
        <v>-3.7339860737506392E-5</v>
      </c>
      <c r="V660">
        <v>1.8142682115571684E-3</v>
      </c>
      <c r="W660">
        <v>2.2165807037093366E-3</v>
      </c>
      <c r="X660">
        <v>4.2612655767697571E-3</v>
      </c>
      <c r="Y660">
        <v>1.8142682115571684E-3</v>
      </c>
      <c r="Z660">
        <v>-6.1304711116860755E-4</v>
      </c>
      <c r="AA660">
        <v>2.3297977938965264E-3</v>
      </c>
      <c r="AC660">
        <v>2.3741564924915082E-3</v>
      </c>
      <c r="AD660">
        <v>4.4089658901482753E-3</v>
      </c>
      <c r="AE660">
        <v>7.0222279440614876E-3</v>
      </c>
      <c r="AF660">
        <v>2.0718384472842022E-3</v>
      </c>
      <c r="AG660">
        <v>4.7681597654840591E-3</v>
      </c>
      <c r="AH660">
        <v>3.8115146451140891E-3</v>
      </c>
      <c r="AI660">
        <v>2.155292944305387E-3</v>
      </c>
      <c r="AJ660">
        <v>1.1160526978266416E-2</v>
      </c>
      <c r="AK660">
        <v>-6.428464643444598E-3</v>
      </c>
      <c r="AL660">
        <v>5.0041912745684147E-3</v>
      </c>
    </row>
    <row r="661" spans="1:38">
      <c r="A661" s="568">
        <v>44789</v>
      </c>
      <c r="B661">
        <v>5.2057738259342898E-4</v>
      </c>
      <c r="C661">
        <v>5.2463291033677528E-4</v>
      </c>
      <c r="D661">
        <v>4.416808822662599E-4</v>
      </c>
      <c r="E661">
        <v>5.6699392160641793E-4</v>
      </c>
      <c r="F661">
        <v>4.3732870160728687E-4</v>
      </c>
      <c r="G661">
        <v>5.1270743197662227E-4</v>
      </c>
      <c r="H661">
        <v>6.2622350700491936E-4</v>
      </c>
      <c r="I661">
        <v>5.4821142673211476E-4</v>
      </c>
      <c r="J661">
        <v>-2.2551654666764787E-3</v>
      </c>
      <c r="K661">
        <v>-3.869798020032067E-3</v>
      </c>
      <c r="L661">
        <v>1.6878901339767438E-4</v>
      </c>
      <c r="M661">
        <v>1.8702875117782014E-4</v>
      </c>
      <c r="N661">
        <v>1.9248443172137364E-4</v>
      </c>
      <c r="O661">
        <v>5.4612392438491142E-4</v>
      </c>
      <c r="P661">
        <v>5.3573019985209136E-4</v>
      </c>
      <c r="Q661">
        <v>5.4958248556946643E-4</v>
      </c>
      <c r="R661">
        <v>-8.9442326797617433E-4</v>
      </c>
      <c r="S661">
        <v>1.7784381367367263E-3</v>
      </c>
      <c r="T661">
        <v>1.8684560985231524E-3</v>
      </c>
      <c r="U661">
        <v>-9.9796982536703993E-6</v>
      </c>
      <c r="V661">
        <v>-1.039638161204226E-3</v>
      </c>
      <c r="W661">
        <v>1.1053806961376367E-3</v>
      </c>
      <c r="X661">
        <v>-8.71293222317715E-4</v>
      </c>
      <c r="Y661">
        <v>-1.039638161204226E-3</v>
      </c>
      <c r="Z661">
        <v>-9.1534760275113758E-4</v>
      </c>
      <c r="AA661">
        <v>-8.6922194628202831E-4</v>
      </c>
      <c r="AC661">
        <v>4.2501246107518043E-3</v>
      </c>
      <c r="AD661">
        <v>-1.4596556895523083E-3</v>
      </c>
      <c r="AE661">
        <v>5.3964148532470446E-4</v>
      </c>
      <c r="AF661">
        <v>-1.3025024243468741E-2</v>
      </c>
      <c r="AG661">
        <v>-3.9382014595344961E-3</v>
      </c>
      <c r="AH661">
        <v>-1.1367065389865982E-2</v>
      </c>
      <c r="AI661">
        <v>-1.3913417877045808E-2</v>
      </c>
      <c r="AJ661">
        <v>9.0871369294605042E-3</v>
      </c>
      <c r="AK661">
        <v>-8.1251880830573997E-3</v>
      </c>
      <c r="AL661">
        <v>2.0578999049999158E-2</v>
      </c>
    </row>
    <row r="662" spans="1:38">
      <c r="A662" s="568">
        <v>44790</v>
      </c>
      <c r="B662">
        <v>5.2057738259342898E-4</v>
      </c>
      <c r="C662">
        <v>5.669211749119718E-4</v>
      </c>
      <c r="D662">
        <v>5.5908029011364491E-4</v>
      </c>
      <c r="E662">
        <v>5.6699392160641793E-4</v>
      </c>
      <c r="F662">
        <v>5.9345201339255915E-4</v>
      </c>
      <c r="G662">
        <v>4.9390448869313097E-4</v>
      </c>
      <c r="H662">
        <v>6.2465411471035459E-4</v>
      </c>
      <c r="I662">
        <v>4.7797074119038108E-4</v>
      </c>
      <c r="J662">
        <v>-1.14071572514296E-3</v>
      </c>
      <c r="K662">
        <v>-1.5907529170425816E-3</v>
      </c>
      <c r="L662">
        <v>1.6878901339767438E-4</v>
      </c>
      <c r="M662">
        <v>1.8702875117782014E-4</v>
      </c>
      <c r="N662">
        <v>1.9248443172137364E-4</v>
      </c>
      <c r="O662">
        <v>5.4612392438491142E-4</v>
      </c>
      <c r="P662">
        <v>5.3573019985209136E-4</v>
      </c>
      <c r="Q662">
        <v>5.4958248556946643E-4</v>
      </c>
      <c r="R662">
        <v>-5.4952707152585711E-3</v>
      </c>
      <c r="S662">
        <v>4.6864377113386979E-3</v>
      </c>
      <c r="T662">
        <v>2.0129001853605999E-3</v>
      </c>
      <c r="U662">
        <v>-1.1683633534684823E-3</v>
      </c>
      <c r="V662">
        <v>1.4570081869982321E-3</v>
      </c>
      <c r="W662">
        <v>1.7320339262489881E-3</v>
      </c>
      <c r="X662">
        <v>2.8904255430124426E-3</v>
      </c>
      <c r="Y662">
        <v>1.4570081869982321E-3</v>
      </c>
      <c r="Z662">
        <v>2.4113682865847252E-3</v>
      </c>
      <c r="AA662">
        <v>4.843422763185723E-3</v>
      </c>
      <c r="AC662">
        <v>1.7212219495352787E-3</v>
      </c>
      <c r="AD662">
        <v>4.9618091972671863E-3</v>
      </c>
      <c r="AE662">
        <v>2.2028291498359387E-3</v>
      </c>
      <c r="AF662">
        <v>-5.1314904991682786E-3</v>
      </c>
      <c r="AG662">
        <v>6.4269378883208272E-3</v>
      </c>
      <c r="AH662">
        <v>8.3858553094806609E-3</v>
      </c>
      <c r="AI662">
        <v>5.0046518751680757E-3</v>
      </c>
      <c r="AJ662">
        <v>-2.6316871581890666E-3</v>
      </c>
      <c r="AK662">
        <v>2.7305825242718296E-3</v>
      </c>
      <c r="AL662">
        <v>2.7738881036949437E-3</v>
      </c>
    </row>
    <row r="663" spans="1:38">
      <c r="A663" s="568">
        <v>44791</v>
      </c>
      <c r="B663">
        <v>5.2057738259342898E-4</v>
      </c>
      <c r="C663">
        <v>6.2718875167577792E-4</v>
      </c>
      <c r="D663">
        <v>5.9777526284388038E-4</v>
      </c>
      <c r="E663">
        <v>5.6699392160641793E-4</v>
      </c>
      <c r="F663">
        <v>4.8455885374321106E-4</v>
      </c>
      <c r="G663">
        <v>6.3531473455236132E-4</v>
      </c>
      <c r="H663">
        <v>6.3014789941884253E-4</v>
      </c>
      <c r="I663">
        <v>6.8427511901125726E-4</v>
      </c>
      <c r="J663">
        <v>3.1456749135649886E-4</v>
      </c>
      <c r="K663">
        <v>-4.0349028515196395E-4</v>
      </c>
      <c r="L663">
        <v>1.6878901339767438E-4</v>
      </c>
      <c r="M663">
        <v>1.8702875117782014E-4</v>
      </c>
      <c r="N663">
        <v>1.9248443172137364E-4</v>
      </c>
      <c r="O663">
        <v>5.4612392438491142E-4</v>
      </c>
      <c r="P663">
        <v>5.3573019985209136E-4</v>
      </c>
      <c r="Q663">
        <v>5.4958248556946643E-4</v>
      </c>
      <c r="R663">
        <v>2.1913844707803776E-3</v>
      </c>
      <c r="S663">
        <v>4.7187996921114195E-3</v>
      </c>
      <c r="T663">
        <v>7.5848693229652042E-3</v>
      </c>
      <c r="U663">
        <v>1.0070873940781766E-4</v>
      </c>
      <c r="V663">
        <v>1.5889794997061557E-3</v>
      </c>
      <c r="W663">
        <v>-4.1100111459480004E-4</v>
      </c>
      <c r="X663">
        <v>6.466313545814284E-3</v>
      </c>
      <c r="Y663">
        <v>1.5889794997061557E-3</v>
      </c>
      <c r="Z663">
        <v>2.8006409214611505E-3</v>
      </c>
      <c r="AA663">
        <v>4.7421459556284962E-3</v>
      </c>
      <c r="AC663">
        <v>9.2438721860310658E-4</v>
      </c>
      <c r="AD663">
        <v>-1.4475000252573977E-3</v>
      </c>
      <c r="AE663">
        <v>2.2756689061909086E-3</v>
      </c>
      <c r="AF663">
        <v>4.5490517383450779E-4</v>
      </c>
      <c r="AG663">
        <v>1.288753237955742E-4</v>
      </c>
      <c r="AH663">
        <v>6.2887478789832585E-3</v>
      </c>
      <c r="AI663">
        <v>-1.2087440801857863E-3</v>
      </c>
      <c r="AJ663">
        <v>3.9167182024324454E-3</v>
      </c>
      <c r="AK663">
        <v>-6.0514372163387176E-3</v>
      </c>
      <c r="AL663">
        <v>8.5145941590787366E-3</v>
      </c>
    </row>
    <row r="664" spans="1:38">
      <c r="A664" s="568">
        <v>44792</v>
      </c>
      <c r="B664">
        <v>5.2057738259342898E-4</v>
      </c>
      <c r="C664">
        <v>5.0972240734470375E-4</v>
      </c>
      <c r="D664">
        <v>5.0831170645904145E-4</v>
      </c>
      <c r="E664">
        <v>5.6699392160641793E-4</v>
      </c>
      <c r="F664">
        <v>5.3081929051534971E-4</v>
      </c>
      <c r="G664">
        <v>5.7184567257562158E-4</v>
      </c>
      <c r="H664">
        <v>6.2093102020854829E-4</v>
      </c>
      <c r="I664">
        <v>5.9683893591966353E-4</v>
      </c>
      <c r="J664">
        <v>-6.7548498290803671E-4</v>
      </c>
      <c r="K664">
        <v>-1.5614234973625463E-3</v>
      </c>
      <c r="L664">
        <v>1.6878901339767438E-4</v>
      </c>
      <c r="M664">
        <v>1.8702875117782014E-4</v>
      </c>
      <c r="N664">
        <v>1.9248443172137364E-4</v>
      </c>
      <c r="O664">
        <v>5.4612392438491142E-4</v>
      </c>
      <c r="P664">
        <v>5.3573019985209136E-4</v>
      </c>
      <c r="Q664">
        <v>5.4958248556946643E-4</v>
      </c>
      <c r="R664">
        <v>-5.0943526933339145E-3</v>
      </c>
      <c r="S664">
        <v>2.5739322166149492E-3</v>
      </c>
      <c r="T664">
        <v>5.7126892339440793E-3</v>
      </c>
      <c r="U664">
        <v>1.0976279525545252E-3</v>
      </c>
      <c r="V664">
        <v>-1.7203370164760035E-3</v>
      </c>
      <c r="W664">
        <v>1.7155718214469928E-3</v>
      </c>
      <c r="X664">
        <v>1.4566483447779888E-3</v>
      </c>
      <c r="Y664">
        <v>-1.7203370164760035E-3</v>
      </c>
      <c r="Z664">
        <v>7.5490589061599778E-4</v>
      </c>
      <c r="AA664">
        <v>-1.2292653813789078E-3</v>
      </c>
      <c r="AC664">
        <v>-2.0354991487342211E-2</v>
      </c>
      <c r="AD664">
        <v>-2.3639000189451975E-2</v>
      </c>
      <c r="AE664">
        <v>-2.1366257956065504E-2</v>
      </c>
      <c r="AF664">
        <v>-2.2928557704902097E-2</v>
      </c>
      <c r="AG664">
        <v>-7.2059647632720658E-3</v>
      </c>
      <c r="AH664">
        <v>-5.4579329207604665E-4</v>
      </c>
      <c r="AI664">
        <v>-7.3880852656170726E-3</v>
      </c>
      <c r="AJ664">
        <v>-1.3757700205338841E-2</v>
      </c>
      <c r="AK664">
        <v>-1.6742770167427201E-3</v>
      </c>
      <c r="AL664">
        <v>-1.612406343356243E-3</v>
      </c>
    </row>
    <row r="665" spans="1:38">
      <c r="A665" s="568">
        <v>44795</v>
      </c>
      <c r="B665">
        <v>5.2057738259342898E-4</v>
      </c>
      <c r="C665">
        <v>5.5955465962909123E-4</v>
      </c>
      <c r="D665">
        <v>4.9540272344983372E-4</v>
      </c>
      <c r="E665">
        <v>5.6699392160641793E-4</v>
      </c>
      <c r="F665">
        <v>6.153462474722815E-4</v>
      </c>
      <c r="G665">
        <v>5.8836010773388736E-4</v>
      </c>
      <c r="H665">
        <v>6.2113334210867066E-4</v>
      </c>
      <c r="I665">
        <v>5.9755097467206753E-4</v>
      </c>
      <c r="J665">
        <v>-5.0107573439395203E-4</v>
      </c>
      <c r="K665">
        <v>-6.8458584848030135E-4</v>
      </c>
      <c r="L665">
        <v>1.6878901339767438E-4</v>
      </c>
      <c r="M665">
        <v>1.8702875117782014E-4</v>
      </c>
      <c r="N665">
        <v>1.9248443172137364E-4</v>
      </c>
      <c r="O665">
        <v>5.4612392438491142E-4</v>
      </c>
      <c r="P665">
        <v>5.3573019985209136E-4</v>
      </c>
      <c r="Q665">
        <v>5.4958248556946643E-4</v>
      </c>
      <c r="R665">
        <v>-4.0837338014968472E-3</v>
      </c>
      <c r="S665">
        <v>1.7394628969671366E-3</v>
      </c>
      <c r="T665">
        <v>8.7208395366888958E-3</v>
      </c>
      <c r="U665">
        <v>1.8366266712956936E-3</v>
      </c>
      <c r="V665">
        <v>1.8060022753840776E-3</v>
      </c>
      <c r="W665">
        <v>7.151421289620874E-3</v>
      </c>
      <c r="X665">
        <v>-1.6098677199638534E-3</v>
      </c>
      <c r="Y665">
        <v>1.8060022753840776E-3</v>
      </c>
      <c r="Z665">
        <v>4.2382409361660933E-3</v>
      </c>
      <c r="AA665">
        <v>-1.3350778838209232E-3</v>
      </c>
      <c r="AC665">
        <v>-8.9301690165074499E-3</v>
      </c>
      <c r="AD665">
        <v>-8.5491076286018375E-3</v>
      </c>
      <c r="AE665">
        <v>-8.4615397804470582E-3</v>
      </c>
      <c r="AF665">
        <v>3.2695560261868373E-3</v>
      </c>
      <c r="AG665">
        <v>-4.7438333761464779E-3</v>
      </c>
      <c r="AH665">
        <v>-9.6534047836527304E-3</v>
      </c>
      <c r="AI665">
        <v>5.4139239092194646E-3</v>
      </c>
      <c r="AJ665">
        <v>-2.1028523839267121E-2</v>
      </c>
      <c r="AK665">
        <v>-7.6231132794624124E-4</v>
      </c>
      <c r="AL665">
        <v>-2.0247988111970594E-2</v>
      </c>
    </row>
    <row r="666" spans="1:38">
      <c r="A666" s="568">
        <v>44796</v>
      </c>
      <c r="B666">
        <v>5.2057738259342898E-4</v>
      </c>
      <c r="C666">
        <v>5.4302077307233354E-4</v>
      </c>
      <c r="D666">
        <v>4.997094300935867E-4</v>
      </c>
      <c r="E666">
        <v>5.6699392160641793E-4</v>
      </c>
      <c r="F666">
        <v>4.9499298534194658E-4</v>
      </c>
      <c r="G666">
        <v>5.8093164370998096E-4</v>
      </c>
      <c r="H666">
        <v>6.2192232137348036E-4</v>
      </c>
      <c r="I666">
        <v>5.9732335338935627E-4</v>
      </c>
      <c r="J666">
        <v>2.346931555557985E-3</v>
      </c>
      <c r="K666">
        <v>1.8055986286034109E-3</v>
      </c>
      <c r="L666">
        <v>1.6878901339767438E-4</v>
      </c>
      <c r="M666">
        <v>1.8702875117782014E-4</v>
      </c>
      <c r="N666">
        <v>1.9248443172137364E-4</v>
      </c>
      <c r="O666">
        <v>5.4612392438491142E-4</v>
      </c>
      <c r="P666">
        <v>5.3573019985209136E-4</v>
      </c>
      <c r="Q666">
        <v>5.4958248556946643E-4</v>
      </c>
      <c r="R666">
        <v>2.1697521845420731E-3</v>
      </c>
      <c r="S666">
        <v>-9.5062539753409947E-4</v>
      </c>
      <c r="T666">
        <v>-7.1392557588678685E-4</v>
      </c>
      <c r="U666">
        <v>0</v>
      </c>
      <c r="V666">
        <v>2.4899320623374965E-3</v>
      </c>
      <c r="W666">
        <v>5.4808629933855713E-4</v>
      </c>
      <c r="X666">
        <v>-2.8036514547835623E-4</v>
      </c>
      <c r="Y666">
        <v>2.4899320623374965E-3</v>
      </c>
      <c r="Z666">
        <v>4.1716008181720277E-3</v>
      </c>
      <c r="AA666">
        <v>1.5117830215127803E-4</v>
      </c>
      <c r="AC666">
        <v>2.1326323050215201E-2</v>
      </c>
      <c r="AD666">
        <v>1.6775575560509681E-2</v>
      </c>
      <c r="AE666">
        <v>1.5915841015499144E-2</v>
      </c>
      <c r="AF666">
        <v>2.8832215893942026E-2</v>
      </c>
      <c r="AG666">
        <v>1.4008718367469752E-2</v>
      </c>
      <c r="AH666">
        <v>1.0303112993950148E-2</v>
      </c>
      <c r="AI666">
        <v>1.5070842775541715E-2</v>
      </c>
      <c r="AJ666">
        <v>-1.569544874521478E-2</v>
      </c>
      <c r="AK666">
        <v>-3.9670430271591117E-3</v>
      </c>
      <c r="AL666">
        <v>-1.4937917363813669E-2</v>
      </c>
    </row>
    <row r="667" spans="1:38">
      <c r="A667" s="568">
        <v>44797</v>
      </c>
      <c r="B667">
        <v>5.2057738259342898E-4</v>
      </c>
      <c r="C667">
        <v>5.356157394618144E-4</v>
      </c>
      <c r="D667">
        <v>5.2170299630405204E-4</v>
      </c>
      <c r="E667">
        <v>5.6699392160641793E-4</v>
      </c>
      <c r="F667">
        <v>5.8023622577207945E-4</v>
      </c>
      <c r="G667">
        <v>5.4170486220295189E-4</v>
      </c>
      <c r="H667">
        <v>6.1801432525521172E-4</v>
      </c>
      <c r="I667">
        <v>6.032677732570324E-4</v>
      </c>
      <c r="J667">
        <v>-5.6549121160087701E-4</v>
      </c>
      <c r="K667">
        <v>-4.3994252595513927E-4</v>
      </c>
      <c r="L667">
        <v>1.6878901339767438E-4</v>
      </c>
      <c r="M667">
        <v>1.8702875117782014E-4</v>
      </c>
      <c r="N667">
        <v>1.9248443172137364E-4</v>
      </c>
      <c r="O667">
        <v>5.4612392438491142E-4</v>
      </c>
      <c r="P667">
        <v>5.3573019985209136E-4</v>
      </c>
      <c r="Q667">
        <v>5.4958248556946643E-4</v>
      </c>
      <c r="R667">
        <v>1.7172561585694357E-3</v>
      </c>
      <c r="S667">
        <v>2.0222046525533166E-3</v>
      </c>
      <c r="T667">
        <v>4.0293583822892387E-4</v>
      </c>
      <c r="U667">
        <v>6.5836384972928208E-4</v>
      </c>
      <c r="V667">
        <v>2.4837476993062602E-3</v>
      </c>
      <c r="W667">
        <v>1.3710509789919278E-3</v>
      </c>
      <c r="X667">
        <v>2.8130835899509155E-3</v>
      </c>
      <c r="Y667">
        <v>2.4837476993062602E-3</v>
      </c>
      <c r="Z667">
        <v>2.4934412608945689E-3</v>
      </c>
      <c r="AA667">
        <v>6.1550603133597726E-3</v>
      </c>
      <c r="AC667">
        <v>3.6098747885593419E-4</v>
      </c>
      <c r="AD667">
        <v>5.0410497595505532E-3</v>
      </c>
      <c r="AE667">
        <v>6.8320756676027994E-3</v>
      </c>
      <c r="AF667">
        <v>1.871978890833037E-2</v>
      </c>
      <c r="AG667">
        <v>1.3622196398688224E-4</v>
      </c>
      <c r="AH667">
        <v>1.3154860834596604E-2</v>
      </c>
      <c r="AI667">
        <v>1.4006578066699804E-2</v>
      </c>
      <c r="AJ667">
        <v>5.5745214122120412E-3</v>
      </c>
      <c r="AK667">
        <v>-1.2867647058823595E-2</v>
      </c>
      <c r="AL667">
        <v>-3.9872501299157426E-3</v>
      </c>
    </row>
    <row r="668" spans="1:38">
      <c r="A668" s="568">
        <v>44798</v>
      </c>
      <c r="B668">
        <v>5.2057738259342898E-4</v>
      </c>
      <c r="C668">
        <v>5.2171466633388341E-4</v>
      </c>
      <c r="D668">
        <v>5.0324151196790012E-4</v>
      </c>
      <c r="E668">
        <v>5.6699392160641793E-4</v>
      </c>
      <c r="F668">
        <v>5.5747695671715114E-4</v>
      </c>
      <c r="G668">
        <v>5.3866498475341196E-4</v>
      </c>
      <c r="H668">
        <v>6.2115189363343148E-4</v>
      </c>
      <c r="I668">
        <v>5.7585000405091513E-4</v>
      </c>
      <c r="J668">
        <v>-2.1913784812319648E-3</v>
      </c>
      <c r="K668">
        <v>-2.8775941721902454E-3</v>
      </c>
      <c r="L668">
        <v>1.6878901339767438E-4</v>
      </c>
      <c r="M668">
        <v>1.8702875117782014E-4</v>
      </c>
      <c r="N668">
        <v>1.9248443172137364E-4</v>
      </c>
      <c r="O668">
        <v>5.4612392438491142E-4</v>
      </c>
      <c r="P668">
        <v>5.3573019985209136E-4</v>
      </c>
      <c r="Q668">
        <v>5.4958248556946643E-4</v>
      </c>
      <c r="R668">
        <v>3.6643424243469891E-3</v>
      </c>
      <c r="S668">
        <v>-3.7476039243411474E-4</v>
      </c>
      <c r="T668">
        <v>-4.9769002492030534E-3</v>
      </c>
      <c r="U668">
        <v>5.33332594974123E-5</v>
      </c>
      <c r="V668">
        <v>-4.9729484922411693E-4</v>
      </c>
      <c r="W668">
        <v>-2.2098627568445384E-3</v>
      </c>
      <c r="X668">
        <v>1.7070798200773396E-3</v>
      </c>
      <c r="Y668">
        <v>-4.9729484922411693E-4</v>
      </c>
      <c r="Z668">
        <v>-8.3645753986372195E-4</v>
      </c>
      <c r="AA668">
        <v>5.4734565671576974E-4</v>
      </c>
      <c r="AC668">
        <v>5.6146335483477916E-3</v>
      </c>
      <c r="AD668">
        <v>2.9755535150883805E-3</v>
      </c>
      <c r="AE668">
        <v>6.1387090307949421E-3</v>
      </c>
      <c r="AF668">
        <v>-7.2734593975180006E-3</v>
      </c>
      <c r="AG668">
        <v>3.7475750884463643E-4</v>
      </c>
      <c r="AH668">
        <v>-3.9019939820582605E-3</v>
      </c>
      <c r="AI668">
        <v>1.4994682965949746E-3</v>
      </c>
      <c r="AJ668">
        <v>1.2075633863343427E-2</v>
      </c>
      <c r="AK668">
        <v>4.081315952824327E-2</v>
      </c>
      <c r="AL668">
        <v>9.416484513383061E-3</v>
      </c>
    </row>
    <row r="669" spans="1:38">
      <c r="A669" s="568">
        <v>44799</v>
      </c>
      <c r="B669">
        <v>5.2057738259342898E-4</v>
      </c>
      <c r="C669">
        <v>5.592258415709761E-4</v>
      </c>
      <c r="D669">
        <v>5.1662361469873019E-4</v>
      </c>
      <c r="E669">
        <v>5.6699392160641793E-4</v>
      </c>
      <c r="F669">
        <v>5.8459964390800145E-4</v>
      </c>
      <c r="G669">
        <v>5.5717484900430492E-4</v>
      </c>
      <c r="H669">
        <v>6.2252484823743792E-4</v>
      </c>
      <c r="I669">
        <v>5.9993606625030615E-4</v>
      </c>
      <c r="J669">
        <v>1.9939817329992504E-3</v>
      </c>
      <c r="K669">
        <v>5.539079165515215E-4</v>
      </c>
      <c r="L669">
        <v>1.6878901339767438E-4</v>
      </c>
      <c r="M669">
        <v>1.8702875117782014E-4</v>
      </c>
      <c r="N669">
        <v>1.9248443172137364E-4</v>
      </c>
      <c r="O669">
        <v>5.4612392438491142E-4</v>
      </c>
      <c r="P669">
        <v>5.3573019985209136E-4</v>
      </c>
      <c r="Q669">
        <v>5.4958248556946643E-4</v>
      </c>
      <c r="R669">
        <v>-2.5715692147105784E-3</v>
      </c>
      <c r="S669">
        <v>2.4294831627247326E-4</v>
      </c>
      <c r="T669">
        <v>6.0408864305747656E-3</v>
      </c>
      <c r="U669">
        <v>1.9175876985388918E-3</v>
      </c>
      <c r="V669">
        <v>1.0261809410212486E-3</v>
      </c>
      <c r="W669">
        <v>5.2947386368995542E-3</v>
      </c>
      <c r="X669">
        <v>-6.6799493611187089E-3</v>
      </c>
      <c r="Y669">
        <v>1.0261809410212486E-3</v>
      </c>
      <c r="Z669">
        <v>1.2137362305966182E-3</v>
      </c>
      <c r="AA669">
        <v>2.5198608811747292E-3</v>
      </c>
      <c r="AC669">
        <v>-1.0859167816712367E-2</v>
      </c>
      <c r="AD669">
        <v>-1.3006735999893881E-2</v>
      </c>
      <c r="AE669">
        <v>-7.8734468419319192E-3</v>
      </c>
      <c r="AF669">
        <v>1.2374632861243517E-2</v>
      </c>
      <c r="AG669">
        <v>-8.1061525540760959E-3</v>
      </c>
      <c r="AH669">
        <v>6.313713414773936E-5</v>
      </c>
      <c r="AI669">
        <v>-4.461588399388039E-3</v>
      </c>
      <c r="AJ669">
        <v>-4.0380450936265966E-2</v>
      </c>
      <c r="AK669">
        <v>6.8585060384673824E-3</v>
      </c>
      <c r="AL669">
        <v>-1.5222531889552693E-2</v>
      </c>
    </row>
    <row r="670" spans="1:38">
      <c r="A670" s="568">
        <v>44802</v>
      </c>
      <c r="B670">
        <v>5.2057738259342898E-4</v>
      </c>
      <c r="C670">
        <v>5.2543067863686232E-4</v>
      </c>
      <c r="D670">
        <v>5.0020492754843104E-4</v>
      </c>
      <c r="E670">
        <v>5.6699392160641793E-4</v>
      </c>
      <c r="F670">
        <v>4.0006039521789383E-4</v>
      </c>
      <c r="G670">
        <v>7.477515698917081E-4</v>
      </c>
      <c r="H670">
        <v>6.233091859606521E-4</v>
      </c>
      <c r="I670">
        <v>5.9916115700886508E-4</v>
      </c>
      <c r="J670">
        <v>-2.9852910419163603E-3</v>
      </c>
      <c r="K670">
        <v>-3.163032657910847E-3</v>
      </c>
      <c r="L670">
        <v>1.6878901339767438E-4</v>
      </c>
      <c r="M670">
        <v>1.8702875117782014E-4</v>
      </c>
      <c r="N670">
        <v>1.9248443172137364E-4</v>
      </c>
      <c r="O670">
        <v>5.4612392438491142E-4</v>
      </c>
      <c r="P670">
        <v>5.3573019985209136E-4</v>
      </c>
      <c r="Q670">
        <v>5.4958248556946643E-4</v>
      </c>
      <c r="R670">
        <v>-3.542050928948437E-3</v>
      </c>
      <c r="S670">
        <v>1.428606997614823E-3</v>
      </c>
      <c r="T670">
        <v>1.6381555248321522E-3</v>
      </c>
      <c r="U670">
        <v>7.9855676835904887E-4</v>
      </c>
      <c r="V670">
        <v>2.4363454817772912E-3</v>
      </c>
      <c r="W670">
        <v>3.8847319029775562E-3</v>
      </c>
      <c r="X670">
        <v>-3.5191119929486314E-3</v>
      </c>
      <c r="Y670">
        <v>2.4363454817772912E-3</v>
      </c>
      <c r="Z670">
        <v>3.1826881392786888E-3</v>
      </c>
      <c r="AA670">
        <v>9.7812388782814175E-4</v>
      </c>
      <c r="AC670">
        <v>2.1603068811204551E-4</v>
      </c>
      <c r="AD670">
        <v>5.2969311274968511E-3</v>
      </c>
      <c r="AE670">
        <v>3.6327547458678833E-3</v>
      </c>
      <c r="AF670">
        <v>1.6147582987793951E-2</v>
      </c>
      <c r="AG670">
        <v>7.8718468913565598E-3</v>
      </c>
      <c r="AH670">
        <v>7.9301680481642656E-3</v>
      </c>
      <c r="AI670">
        <v>7.7412835906902622E-3</v>
      </c>
      <c r="AJ670">
        <v>-1.3274336283185861E-2</v>
      </c>
      <c r="AK670">
        <v>-6.9598696875462496E-3</v>
      </c>
      <c r="AL670">
        <v>-3.2859820543898355E-2</v>
      </c>
    </row>
    <row r="671" spans="1:38">
      <c r="A671" s="568">
        <v>44803</v>
      </c>
      <c r="B671">
        <v>5.2057738259342898E-4</v>
      </c>
      <c r="C671">
        <v>6.1507015657058517E-4</v>
      </c>
      <c r="D671">
        <v>4.9087393217273068E-4</v>
      </c>
      <c r="E671">
        <v>5.6699392160641793E-4</v>
      </c>
      <c r="F671">
        <v>6.4810114855573531E-4</v>
      </c>
      <c r="G671">
        <v>5.4240851145204161E-4</v>
      </c>
      <c r="H671">
        <v>6.21750009659916E-4</v>
      </c>
      <c r="I671">
        <v>5.9831049433944905E-4</v>
      </c>
      <c r="J671">
        <v>-9.0081164524580259E-5</v>
      </c>
      <c r="K671">
        <v>-3.3940419050282333E-4</v>
      </c>
      <c r="L671">
        <v>1.6878901339767438E-4</v>
      </c>
      <c r="M671">
        <v>1.8702875117782014E-4</v>
      </c>
      <c r="N671">
        <v>1.9248443172137364E-4</v>
      </c>
      <c r="O671">
        <v>5.4612392438491142E-4</v>
      </c>
      <c r="P671">
        <v>5.3573019985209136E-4</v>
      </c>
      <c r="Q671">
        <v>5.4958248556946643E-4</v>
      </c>
      <c r="R671">
        <v>-1.3527568611982899E-3</v>
      </c>
      <c r="S671">
        <v>-2.3025629095771993E-3</v>
      </c>
      <c r="T671">
        <v>-3.5761967257189609E-3</v>
      </c>
      <c r="U671">
        <v>-4.3409928441651147E-4</v>
      </c>
      <c r="V671">
        <v>-9.9386196164885643E-4</v>
      </c>
      <c r="W671">
        <v>2.4093505447773111E-3</v>
      </c>
      <c r="X671">
        <v>-1.068401261729468E-3</v>
      </c>
      <c r="Y671">
        <v>-9.9386196164885643E-4</v>
      </c>
      <c r="Z671">
        <v>-3.1741193107253096E-3</v>
      </c>
      <c r="AA671">
        <v>5.2280163576567951E-4</v>
      </c>
      <c r="AC671">
        <v>-1.6848534834146278E-2</v>
      </c>
      <c r="AD671">
        <v>-1.4972273852426277E-2</v>
      </c>
      <c r="AE671">
        <v>-1.5398973026806706E-2</v>
      </c>
      <c r="AF671">
        <v>-1.2077555032068754E-2</v>
      </c>
      <c r="AG671">
        <v>-8.8114212701960737E-3</v>
      </c>
      <c r="AH671">
        <v>-7.4875344360414431E-4</v>
      </c>
      <c r="AI671">
        <v>-6.6228437937217999E-3</v>
      </c>
      <c r="AJ671">
        <v>3.811659192825001E-3</v>
      </c>
      <c r="AK671">
        <v>-4.6227259170892321E-3</v>
      </c>
      <c r="AL671">
        <v>1.9405668270015219E-2</v>
      </c>
    </row>
    <row r="672" spans="1:38">
      <c r="A672" s="568">
        <v>44804</v>
      </c>
      <c r="B672">
        <v>5.2057738259342898E-4</v>
      </c>
      <c r="C672">
        <v>5.4533615516261236E-4</v>
      </c>
      <c r="D672">
        <v>4.7046318184396085E-4</v>
      </c>
      <c r="E672">
        <v>5.6699392160641793E-4</v>
      </c>
      <c r="F672">
        <v>5.0070901631116271E-4</v>
      </c>
      <c r="G672">
        <v>5.3904228824941391E-4</v>
      </c>
      <c r="H672">
        <v>6.2487420603529742E-4</v>
      </c>
      <c r="I672">
        <v>5.927014474711445E-4</v>
      </c>
      <c r="J672">
        <v>9.8811348706284718E-4</v>
      </c>
      <c r="K672">
        <v>1.4839957776802137E-4</v>
      </c>
      <c r="L672">
        <v>1.6878901339767438E-4</v>
      </c>
      <c r="M672">
        <v>1.8702875117782014E-4</v>
      </c>
      <c r="N672">
        <v>1.9248443172137364E-4</v>
      </c>
      <c r="O672">
        <v>5.4612392438491142E-4</v>
      </c>
      <c r="P672">
        <v>5.3573019985209136E-4</v>
      </c>
      <c r="Q672">
        <v>5.4958248556946643E-4</v>
      </c>
      <c r="R672">
        <v>-2.9075568993229828E-3</v>
      </c>
      <c r="S672">
        <v>7.2024581416307853E-4</v>
      </c>
      <c r="T672">
        <v>4.4355224131475968E-3</v>
      </c>
      <c r="U672">
        <v>3.4398383131239996E-5</v>
      </c>
      <c r="V672">
        <v>4.254150011964164E-4</v>
      </c>
      <c r="W672">
        <v>5.6301207876074955E-4</v>
      </c>
      <c r="X672">
        <v>-1.5355375114753933E-3</v>
      </c>
      <c r="Y672">
        <v>4.254150011964164E-4</v>
      </c>
      <c r="Z672">
        <v>-2.4799551018815924E-3</v>
      </c>
      <c r="AA672">
        <v>1.5458131852366108E-3</v>
      </c>
      <c r="AC672">
        <v>-8.2201823696755882E-3</v>
      </c>
      <c r="AD672">
        <v>-7.5360185219480735E-3</v>
      </c>
      <c r="AE672">
        <v>-5.814533313637682E-3</v>
      </c>
      <c r="AF672">
        <v>1.3051474162848686E-2</v>
      </c>
      <c r="AG672">
        <v>7.2640078935726216E-4</v>
      </c>
      <c r="AH672">
        <v>6.5446721231543492E-4</v>
      </c>
      <c r="AI672">
        <v>2.7714596652528289E-3</v>
      </c>
      <c r="AJ672">
        <v>9.6046459682823659E-3</v>
      </c>
      <c r="AK672">
        <v>4.9438202247191754E-3</v>
      </c>
      <c r="AL672">
        <v>2.2272033609092468E-2</v>
      </c>
    </row>
    <row r="673" spans="1:38">
      <c r="A673" s="568">
        <v>44805</v>
      </c>
      <c r="B673">
        <v>5.2057738259342898E-4</v>
      </c>
      <c r="C673">
        <v>5.6192649480091283E-4</v>
      </c>
      <c r="D673">
        <v>4.8183419561165231E-4</v>
      </c>
      <c r="E673">
        <v>5.6699392160641793E-4</v>
      </c>
      <c r="F673">
        <v>6.6509306290574166E-4</v>
      </c>
      <c r="G673">
        <v>5.7833669735152249E-4</v>
      </c>
      <c r="H673">
        <v>6.2156036795446568E-4</v>
      </c>
      <c r="I673">
        <v>5.857240088849025E-4</v>
      </c>
      <c r="J673">
        <v>3.5976903834626928E-3</v>
      </c>
      <c r="K673">
        <v>3.0003335209380921E-3</v>
      </c>
      <c r="L673">
        <v>1.8726302087723745E-4</v>
      </c>
      <c r="M673">
        <v>2.0550309556166546E-4</v>
      </c>
      <c r="N673">
        <v>2.1095887687638815E-4</v>
      </c>
      <c r="O673">
        <v>5.4612392438491142E-4</v>
      </c>
      <c r="P673">
        <v>5.3573019985209136E-4</v>
      </c>
      <c r="Q673">
        <v>5.4958248556946643E-4</v>
      </c>
      <c r="R673">
        <v>-2.491154812357399E-3</v>
      </c>
      <c r="S673">
        <v>4.71749725944548E-4</v>
      </c>
      <c r="T673">
        <v>6.5570358338575829E-3</v>
      </c>
      <c r="U673">
        <v>4.0244066219941033E-4</v>
      </c>
      <c r="V673">
        <v>2.9589206141089619E-3</v>
      </c>
      <c r="W673">
        <v>1.6069967752543324E-3</v>
      </c>
      <c r="X673">
        <v>-8.7195520368854584E-4</v>
      </c>
      <c r="Y673">
        <v>2.9589206141089619E-3</v>
      </c>
      <c r="Z673">
        <v>2.4252906604569358E-3</v>
      </c>
      <c r="AA673">
        <v>3.2532319750957495E-3</v>
      </c>
      <c r="AC673">
        <v>8.0569466398254797E-3</v>
      </c>
      <c r="AD673">
        <v>1.4046878823264386E-2</v>
      </c>
      <c r="AE673">
        <v>9.4267337522955241E-3</v>
      </c>
      <c r="AF673">
        <v>1.7872542031207805E-2</v>
      </c>
      <c r="AG673">
        <v>4.3571396138748497E-3</v>
      </c>
      <c r="AH673">
        <v>1.6250909234713617E-2</v>
      </c>
      <c r="AI673">
        <v>7.7494450612665133E-3</v>
      </c>
      <c r="AJ673">
        <v>1.0398230088495497E-2</v>
      </c>
      <c r="AK673">
        <v>-1.6249254621347742E-2</v>
      </c>
      <c r="AL673">
        <v>-9.0097820130496942E-3</v>
      </c>
    </row>
    <row r="674" spans="1:38">
      <c r="A674" s="568">
        <v>44806</v>
      </c>
      <c r="B674">
        <v>5.2057738259342898E-4</v>
      </c>
      <c r="C674">
        <v>5.3822337171949286E-4</v>
      </c>
      <c r="D674">
        <v>4.8160214323034189E-4</v>
      </c>
      <c r="E674">
        <v>5.6699392160641793E-4</v>
      </c>
      <c r="F674">
        <v>4.6968671241276461E-4</v>
      </c>
      <c r="G674">
        <v>5.6116578501042014E-4</v>
      </c>
      <c r="H674">
        <v>6.1942119180136146E-4</v>
      </c>
      <c r="I674">
        <v>5.7894787118240032E-4</v>
      </c>
      <c r="J674">
        <v>1.1018319799227516E-3</v>
      </c>
      <c r="K674">
        <v>-8.889531182260102E-4</v>
      </c>
      <c r="L674">
        <v>1.8726302087723745E-4</v>
      </c>
      <c r="M674">
        <v>2.0550309556166546E-4</v>
      </c>
      <c r="N674">
        <v>2.1095887687638815E-4</v>
      </c>
      <c r="O674">
        <v>5.4612392438491142E-4</v>
      </c>
      <c r="P674">
        <v>5.3573019985209136E-4</v>
      </c>
      <c r="Q674">
        <v>5.4958248556946643E-4</v>
      </c>
      <c r="R674">
        <v>4.2768392842016389E-3</v>
      </c>
      <c r="S674">
        <v>-7.48107885813587E-4</v>
      </c>
      <c r="T674">
        <v>-1.9518441813249909E-3</v>
      </c>
      <c r="U674">
        <v>-9.8482365706864528E-5</v>
      </c>
      <c r="V674">
        <v>6.9559149567610667E-4</v>
      </c>
      <c r="W674">
        <v>8.1406234554615153E-4</v>
      </c>
      <c r="X674">
        <v>-1.0261607749600943E-3</v>
      </c>
      <c r="Y674">
        <v>6.9559149567610667E-4</v>
      </c>
      <c r="Z674">
        <v>-6.7079615968101969E-4</v>
      </c>
      <c r="AA674">
        <v>4.2072315798515891E-3</v>
      </c>
      <c r="AC674">
        <v>4.1568656577175567E-3</v>
      </c>
      <c r="AD674">
        <v>2.1574397068950812E-3</v>
      </c>
      <c r="AE674">
        <v>5.7336619098540265E-3</v>
      </c>
      <c r="AF674">
        <v>1.1516855420584671E-2</v>
      </c>
      <c r="AG674">
        <v>4.3661725741250823E-3</v>
      </c>
      <c r="AH674">
        <v>1.7621965037210252E-2</v>
      </c>
      <c r="AI674">
        <v>4.2562805651511493E-3</v>
      </c>
      <c r="AJ674">
        <v>-2.1020363477118331E-2</v>
      </c>
      <c r="AK674">
        <v>-9.2438248219427477E-3</v>
      </c>
      <c r="AL674">
        <v>-1.4433392604691564E-2</v>
      </c>
    </row>
    <row r="675" spans="1:38">
      <c r="A675" s="568">
        <v>44809</v>
      </c>
      <c r="B675">
        <v>5.2057738259342898E-4</v>
      </c>
      <c r="C675">
        <v>5.7735681751913681E-4</v>
      </c>
      <c r="D675">
        <v>4.8690909402182569E-4</v>
      </c>
      <c r="E675">
        <v>5.6699392160641793E-4</v>
      </c>
      <c r="F675">
        <v>5.6574722152258339E-4</v>
      </c>
      <c r="G675">
        <v>5.5778402990291909E-4</v>
      </c>
      <c r="H675">
        <v>6.2662971906779497E-4</v>
      </c>
      <c r="I675">
        <v>6.0270702756559658E-4</v>
      </c>
      <c r="J675">
        <v>-5.2883997179109521E-4</v>
      </c>
      <c r="K675">
        <v>-9.8150914010353141E-4</v>
      </c>
      <c r="L675">
        <v>1.8726302087723745E-4</v>
      </c>
      <c r="M675">
        <v>2.0550309556166546E-4</v>
      </c>
      <c r="N675">
        <v>2.1095887687638815E-4</v>
      </c>
      <c r="O675">
        <v>5.4612392438491142E-4</v>
      </c>
      <c r="P675">
        <v>5.3573019985209136E-4</v>
      </c>
      <c r="Q675">
        <v>5.4958248556946643E-4</v>
      </c>
      <c r="R675">
        <v>-3.2303103610353823E-5</v>
      </c>
      <c r="S675">
        <v>1.9448877253522845E-3</v>
      </c>
      <c r="T675">
        <v>1.4952692209406759E-3</v>
      </c>
      <c r="U675">
        <v>6.8004234501328753E-4</v>
      </c>
      <c r="V675">
        <v>2.312613230883942E-3</v>
      </c>
      <c r="W675">
        <v>2.4612059506925466E-3</v>
      </c>
      <c r="X675">
        <v>3.2678020661733864E-3</v>
      </c>
      <c r="Y675">
        <v>2.312613230883942E-3</v>
      </c>
      <c r="Z675">
        <v>2.4703710028557424E-3</v>
      </c>
      <c r="AA675">
        <v>3.4528695542770382E-3</v>
      </c>
      <c r="AC675">
        <v>1.2078827221473798E-2</v>
      </c>
      <c r="AD675">
        <v>1.2564523725101084E-2</v>
      </c>
      <c r="AE675">
        <v>1.0586322642244239E-2</v>
      </c>
      <c r="AF675">
        <v>3.3633206791887638E-3</v>
      </c>
      <c r="AG675">
        <v>5.0218348114141609E-3</v>
      </c>
      <c r="AH675">
        <v>9.2520236472100059E-3</v>
      </c>
      <c r="AI675">
        <v>9.6798700659874726E-3</v>
      </c>
      <c r="AJ675">
        <v>-2.4602997092373347E-3</v>
      </c>
      <c r="AK675">
        <v>-1.3306821657999235E-2</v>
      </c>
      <c r="AL675">
        <v>-6.0187622520120332E-3</v>
      </c>
    </row>
    <row r="676" spans="1:38">
      <c r="A676" s="568">
        <v>44810</v>
      </c>
      <c r="B676">
        <v>5.2057738259342898E-4</v>
      </c>
      <c r="C676">
        <v>5.6278849877200443E-4</v>
      </c>
      <c r="D676">
        <v>5.8481180333425087E-4</v>
      </c>
      <c r="E676">
        <v>5.6699392160641793E-4</v>
      </c>
      <c r="F676">
        <v>6.6819731065992372E-4</v>
      </c>
      <c r="G676">
        <v>5.4728297943307247E-4</v>
      </c>
      <c r="H676">
        <v>6.2273550724634141E-4</v>
      </c>
      <c r="I676">
        <v>6.0510478008435342E-4</v>
      </c>
      <c r="J676">
        <v>-1.6428166820516843E-3</v>
      </c>
      <c r="K676">
        <v>-2.1820254389879334E-3</v>
      </c>
      <c r="L676">
        <v>1.8726302087723745E-4</v>
      </c>
      <c r="M676">
        <v>2.0550309556166546E-4</v>
      </c>
      <c r="N676">
        <v>2.1095887687638815E-4</v>
      </c>
      <c r="O676">
        <v>5.4612392438491142E-4</v>
      </c>
      <c r="P676">
        <v>5.3573019985209136E-4</v>
      </c>
      <c r="Q676">
        <v>5.4958248556946643E-4</v>
      </c>
      <c r="R676">
        <v>-4.6123143408878242E-3</v>
      </c>
      <c r="S676">
        <v>1.2022426409143971E-3</v>
      </c>
      <c r="T676">
        <v>-3.898524441952822E-3</v>
      </c>
      <c r="U676">
        <v>1.0593514059749065E-3</v>
      </c>
      <c r="V676">
        <v>-3.7515273603909716E-3</v>
      </c>
      <c r="W676">
        <v>2.4547174622875367E-3</v>
      </c>
      <c r="X676">
        <v>2.5511323370437378E-3</v>
      </c>
      <c r="Y676">
        <v>-3.7515273603909716E-3</v>
      </c>
      <c r="Z676">
        <v>-4.3405412544949007E-3</v>
      </c>
      <c r="AA676">
        <v>3.8897292732387179E-4</v>
      </c>
      <c r="AC676">
        <v>-2.1742488080792599E-2</v>
      </c>
      <c r="AD676">
        <v>-2.8321792365771814E-2</v>
      </c>
      <c r="AE676">
        <v>-2.123529587320705E-2</v>
      </c>
      <c r="AF676">
        <v>-1.2923337947295055E-2</v>
      </c>
      <c r="AG676">
        <v>-1.7283840407899764E-2</v>
      </c>
      <c r="AH676">
        <v>-1.6393473875970233E-2</v>
      </c>
      <c r="AI676">
        <v>-1.3233855093720326E-2</v>
      </c>
      <c r="AJ676">
        <v>8.9686098654708779E-3</v>
      </c>
      <c r="AK676">
        <v>-1.8601767167881755E-3</v>
      </c>
      <c r="AL676">
        <v>1.4498066412632626E-2</v>
      </c>
    </row>
    <row r="677" spans="1:38">
      <c r="A677" s="568">
        <v>44812</v>
      </c>
      <c r="B677">
        <v>5.2057738259342898E-4</v>
      </c>
      <c r="C677">
        <v>5.3378552864624673E-4</v>
      </c>
      <c r="D677">
        <v>6.5086418064042029E-4</v>
      </c>
      <c r="E677">
        <v>5.6699392160641793E-4</v>
      </c>
      <c r="F677">
        <v>4.7234929538020332E-4</v>
      </c>
      <c r="G677">
        <v>5.7215513866526457E-4</v>
      </c>
      <c r="H677">
        <v>6.2468102480361942E-4</v>
      </c>
      <c r="I677">
        <v>6.0035644736999849E-4</v>
      </c>
      <c r="J677">
        <v>2.0671173439843482E-3</v>
      </c>
      <c r="K677">
        <v>-1.8921212430966783E-5</v>
      </c>
      <c r="L677">
        <v>1.8726302087723745E-4</v>
      </c>
      <c r="M677">
        <v>2.0550309556166546E-4</v>
      </c>
      <c r="N677">
        <v>2.1095887687638815E-4</v>
      </c>
      <c r="O677">
        <v>5.4612392438491142E-4</v>
      </c>
      <c r="P677">
        <v>5.3573019985209136E-4</v>
      </c>
      <c r="Q677">
        <v>5.4958248556946643E-4</v>
      </c>
      <c r="R677">
        <v>6.6921008569014173E-3</v>
      </c>
      <c r="S677">
        <v>-6.0514573564707241E-4</v>
      </c>
      <c r="T677">
        <v>-1.4180072546928768E-3</v>
      </c>
      <c r="U677">
        <v>1.9192937062171289E-3</v>
      </c>
      <c r="V677">
        <v>-6.9611567453597978E-4</v>
      </c>
      <c r="W677">
        <v>-4.7595455527912334E-3</v>
      </c>
      <c r="X677">
        <v>-6.6642197746419329E-3</v>
      </c>
      <c r="Y677">
        <v>-6.9611567453597978E-4</v>
      </c>
      <c r="Z677">
        <v>3.9379910271786223E-4</v>
      </c>
      <c r="AA677">
        <v>-1.2757409924946117E-3</v>
      </c>
      <c r="AC677">
        <v>1.3836077241151656E-3</v>
      </c>
      <c r="AD677">
        <v>1.6334156787927157E-3</v>
      </c>
      <c r="AE677">
        <v>2.6467569808348301E-3</v>
      </c>
      <c r="AF677">
        <v>2.4119186146309701E-4</v>
      </c>
      <c r="AG677">
        <v>-6.6878597417034946E-3</v>
      </c>
      <c r="AH677">
        <v>-9.5350346150243626E-3</v>
      </c>
      <c r="AI677">
        <v>0</v>
      </c>
      <c r="AJ677">
        <v>2.0000000000000018E-2</v>
      </c>
      <c r="AK677">
        <v>-1.3822022053113892E-2</v>
      </c>
      <c r="AL677">
        <v>0</v>
      </c>
    </row>
    <row r="678" spans="1:38">
      <c r="A678" s="568">
        <v>44813</v>
      </c>
      <c r="B678">
        <v>5.2057738259342898E-4</v>
      </c>
      <c r="C678">
        <v>5.6299148332605853E-4</v>
      </c>
      <c r="D678">
        <v>4.9763247579703851E-4</v>
      </c>
      <c r="E678">
        <v>5.6699392160641793E-4</v>
      </c>
      <c r="F678">
        <v>6.7589414682589499E-4</v>
      </c>
      <c r="G678">
        <v>5.7935854970514455E-4</v>
      </c>
      <c r="H678">
        <v>6.2079361322875393E-4</v>
      </c>
      <c r="I678">
        <v>6.0083822882095461E-4</v>
      </c>
      <c r="J678">
        <v>1.0392906609957286E-4</v>
      </c>
      <c r="K678">
        <v>1.3953335731466954E-3</v>
      </c>
      <c r="L678">
        <v>1.8726302087723745E-4</v>
      </c>
      <c r="M678">
        <v>2.0550309556166546E-4</v>
      </c>
      <c r="N678">
        <v>2.1095887687638815E-4</v>
      </c>
      <c r="O678">
        <v>5.4612392438491142E-4</v>
      </c>
      <c r="P678">
        <v>5.3573019985209136E-4</v>
      </c>
      <c r="Q678">
        <v>5.4958248556946643E-4</v>
      </c>
      <c r="R678">
        <v>3.0279928144869572E-3</v>
      </c>
      <c r="S678">
        <v>5.8232836944638322E-3</v>
      </c>
      <c r="T678">
        <v>8.0891322507081753E-4</v>
      </c>
      <c r="U678">
        <v>1.2820785775091714E-3</v>
      </c>
      <c r="V678">
        <v>3.1910941273254334E-3</v>
      </c>
      <c r="W678">
        <v>5.3936131041121271E-4</v>
      </c>
      <c r="X678">
        <v>5.7976361784630726E-3</v>
      </c>
      <c r="Y678">
        <v>3.1910941273254334E-3</v>
      </c>
      <c r="Z678">
        <v>1.6127771645155775E-3</v>
      </c>
      <c r="AA678">
        <v>-1.0732385719049997E-3</v>
      </c>
      <c r="AC678">
        <v>2.1696366413369361E-2</v>
      </c>
      <c r="AD678">
        <v>1.6670200749925534E-2</v>
      </c>
      <c r="AE678">
        <v>1.4657381446175233E-2</v>
      </c>
      <c r="AF678">
        <v>1.5787032631642051E-2</v>
      </c>
      <c r="AG678">
        <v>1.3824585148142443E-2</v>
      </c>
      <c r="AH678">
        <v>4.4488775799409463E-3</v>
      </c>
      <c r="AI678">
        <v>1.3165558748096107E-2</v>
      </c>
      <c r="AJ678">
        <v>3.0501089324617148E-3</v>
      </c>
      <c r="AK678">
        <v>2.6299212598425159E-2</v>
      </c>
      <c r="AL678">
        <v>-1.1573230721674821E-2</v>
      </c>
    </row>
    <row r="679" spans="1:38">
      <c r="A679" s="568">
        <v>44816</v>
      </c>
      <c r="B679">
        <v>5.2057738259342898E-4</v>
      </c>
      <c r="C679">
        <v>5.7377966644445166E-4</v>
      </c>
      <c r="D679">
        <v>4.923608703735205E-4</v>
      </c>
      <c r="E679">
        <v>5.6699392160641793E-4</v>
      </c>
      <c r="F679">
        <v>5.9974865114198472E-4</v>
      </c>
      <c r="G679">
        <v>5.5272265323424996E-4</v>
      </c>
      <c r="H679">
        <v>6.2739898555941309E-4</v>
      </c>
      <c r="I679">
        <v>5.5324799484401943E-4</v>
      </c>
      <c r="J679">
        <v>-1.1507329051562154E-3</v>
      </c>
      <c r="K679">
        <v>-1.1126025154624131E-3</v>
      </c>
      <c r="L679">
        <v>1.8726302087723745E-4</v>
      </c>
      <c r="M679">
        <v>2.0550309556166546E-4</v>
      </c>
      <c r="N679">
        <v>2.1095887687638815E-4</v>
      </c>
      <c r="O679">
        <v>5.4612392438491142E-4</v>
      </c>
      <c r="P679">
        <v>5.3573019985209136E-4</v>
      </c>
      <c r="Q679">
        <v>5.4958248556946643E-4</v>
      </c>
      <c r="R679">
        <v>2.3171115683564558E-3</v>
      </c>
      <c r="S679">
        <v>-6.5906900485879216E-4</v>
      </c>
      <c r="T679">
        <v>-3.0042059420878342E-3</v>
      </c>
      <c r="U679">
        <v>1.2308446408830775E-3</v>
      </c>
      <c r="V679">
        <v>8.8837159062604698E-4</v>
      </c>
      <c r="W679">
        <v>7.2397131090617961E-4</v>
      </c>
      <c r="X679">
        <v>-3.1787802538807419E-4</v>
      </c>
      <c r="Y679">
        <v>8.8837159062604698E-4</v>
      </c>
      <c r="Z679">
        <v>1.1237945018895967E-3</v>
      </c>
      <c r="AA679">
        <v>1.0310633676611225E-3</v>
      </c>
      <c r="AC679">
        <v>9.8498304681167159E-3</v>
      </c>
      <c r="AD679">
        <v>7.9232655159970911E-3</v>
      </c>
      <c r="AE679">
        <v>8.4102211861494247E-3</v>
      </c>
      <c r="AF679">
        <v>-1.9489806588979253E-3</v>
      </c>
      <c r="AG679">
        <v>4.7511731549005898E-3</v>
      </c>
      <c r="AH679">
        <v>3.511034354323872E-3</v>
      </c>
      <c r="AI679">
        <v>1.4840062966503531E-4</v>
      </c>
      <c r="AJ679">
        <v>1.3032145960034658E-3</v>
      </c>
      <c r="AK679">
        <v>3.6826760779498091E-3</v>
      </c>
      <c r="AL679">
        <v>-7.8002900296779698E-3</v>
      </c>
    </row>
    <row r="680" spans="1:38">
      <c r="A680" s="568">
        <v>44817</v>
      </c>
      <c r="B680">
        <v>5.2057738259342898E-4</v>
      </c>
      <c r="C680">
        <v>5.1538574348342081E-4</v>
      </c>
      <c r="D680">
        <v>5.1772882258127595E-4</v>
      </c>
      <c r="E680">
        <v>5.6699392160641793E-4</v>
      </c>
      <c r="F680">
        <v>4.9417928225348184E-4</v>
      </c>
      <c r="G680">
        <v>5.5291328015205643E-4</v>
      </c>
      <c r="H680">
        <v>6.2176600174179697E-4</v>
      </c>
      <c r="I680">
        <v>5.9753049625799193E-4</v>
      </c>
      <c r="J680">
        <v>-1.2358755699515278E-3</v>
      </c>
      <c r="K680">
        <v>-6.3944388444125977E-4</v>
      </c>
      <c r="L680">
        <v>1.8726302087723745E-4</v>
      </c>
      <c r="M680">
        <v>2.0550309556166546E-4</v>
      </c>
      <c r="N680">
        <v>2.1095887687638815E-4</v>
      </c>
      <c r="O680">
        <v>5.4612392438491142E-4</v>
      </c>
      <c r="P680">
        <v>5.3573019985209136E-4</v>
      </c>
      <c r="Q680">
        <v>5.4958248556946643E-4</v>
      </c>
      <c r="R680">
        <v>-6.6520111021245443E-3</v>
      </c>
      <c r="S680">
        <v>-1.7498799802440068E-4</v>
      </c>
      <c r="T680">
        <v>1.1373615636818712E-2</v>
      </c>
      <c r="U680">
        <v>1.610487681886319E-3</v>
      </c>
      <c r="V680">
        <v>2.7970980658165168E-4</v>
      </c>
      <c r="W680">
        <v>4.4826078030579808E-3</v>
      </c>
      <c r="X680">
        <v>1.890730445889055E-3</v>
      </c>
      <c r="Y680">
        <v>2.7970980658165168E-4</v>
      </c>
      <c r="Z680">
        <v>2.407085598232106E-3</v>
      </c>
      <c r="AA680">
        <v>1.4350059255980874E-3</v>
      </c>
      <c r="AC680">
        <v>-2.3037381879618013E-2</v>
      </c>
      <c r="AD680">
        <v>-2.3971445905720978E-2</v>
      </c>
      <c r="AE680">
        <v>-2.0668358577191848E-2</v>
      </c>
      <c r="AF680">
        <v>-8.1856848581899344E-3</v>
      </c>
      <c r="AG680">
        <v>-1.7316573394381973E-2</v>
      </c>
      <c r="AH680">
        <v>-8.9264729183345937E-3</v>
      </c>
      <c r="AI680">
        <v>0</v>
      </c>
      <c r="AJ680">
        <v>-2.6030368763557465E-2</v>
      </c>
      <c r="AK680">
        <v>-6.5739183611067675E-3</v>
      </c>
      <c r="AL680">
        <v>2.9332781300521305E-2</v>
      </c>
    </row>
    <row r="681" spans="1:38">
      <c r="A681" s="568">
        <v>44818</v>
      </c>
      <c r="B681">
        <v>5.2057738259342898E-4</v>
      </c>
      <c r="C681">
        <v>5.3747584404040261E-4</v>
      </c>
      <c r="D681">
        <v>4.9537723202086603E-4</v>
      </c>
      <c r="E681">
        <v>5.6699392160641793E-4</v>
      </c>
      <c r="F681">
        <v>5.0890292273764182E-4</v>
      </c>
      <c r="G681">
        <v>5.932540218549498E-4</v>
      </c>
      <c r="H681">
        <v>6.1847056824815283E-4</v>
      </c>
      <c r="I681">
        <v>6.0516428481083295E-4</v>
      </c>
      <c r="J681">
        <v>-2.069424957188426E-4</v>
      </c>
      <c r="K681">
        <v>8.5678284040802133E-4</v>
      </c>
      <c r="L681">
        <v>1.8726302087723745E-4</v>
      </c>
      <c r="M681">
        <v>2.0550309556166546E-4</v>
      </c>
      <c r="N681">
        <v>2.1095887687638815E-4</v>
      </c>
      <c r="O681">
        <v>5.4612392438491142E-4</v>
      </c>
      <c r="P681">
        <v>5.3573019985209136E-4</v>
      </c>
      <c r="Q681">
        <v>5.4958248556946643E-4</v>
      </c>
      <c r="R681">
        <v>-1.1854375896700464E-3</v>
      </c>
      <c r="S681">
        <v>1.0095410794990212E-3</v>
      </c>
      <c r="T681">
        <v>6.5045870497626446E-3</v>
      </c>
      <c r="U681">
        <v>1.5898920184742593E-4</v>
      </c>
      <c r="V681">
        <v>2.1379706673065879E-3</v>
      </c>
      <c r="W681">
        <v>-1.0401190027653495E-3</v>
      </c>
      <c r="X681">
        <v>6.1112428764920068E-4</v>
      </c>
      <c r="Y681">
        <v>2.1379706673065879E-3</v>
      </c>
      <c r="Z681">
        <v>1.1491056917316556E-3</v>
      </c>
      <c r="AA681">
        <v>1.13326358483401E-3</v>
      </c>
      <c r="AC681">
        <v>-2.2319808769359906E-3</v>
      </c>
      <c r="AD681">
        <v>4.8366270659569999E-3</v>
      </c>
      <c r="AE681">
        <v>6.9868999896915973E-4</v>
      </c>
      <c r="AF681">
        <v>1.0444714766271179E-2</v>
      </c>
      <c r="AG681">
        <v>3.9619291410162294E-3</v>
      </c>
      <c r="AH681">
        <v>2.9788293509147579E-4</v>
      </c>
      <c r="AI681">
        <v>-1.276683963655767E-4</v>
      </c>
      <c r="AJ681">
        <v>1.1135857461024301E-3</v>
      </c>
      <c r="AK681">
        <v>-1.9698368728839677E-2</v>
      </c>
      <c r="AL681">
        <v>-2.3742890032526498E-2</v>
      </c>
    </row>
    <row r="682" spans="1:38">
      <c r="A682" s="568">
        <v>44819</v>
      </c>
      <c r="B682">
        <v>5.2057738259342898E-4</v>
      </c>
      <c r="C682">
        <v>5.8086356567432773E-4</v>
      </c>
      <c r="D682">
        <v>5.6937666548928512E-4</v>
      </c>
      <c r="E682">
        <v>5.6699392160641793E-4</v>
      </c>
      <c r="F682">
        <v>6.9852251555557743E-4</v>
      </c>
      <c r="G682">
        <v>5.4501433665943289E-4</v>
      </c>
      <c r="H682">
        <v>6.2390286419677921E-4</v>
      </c>
      <c r="I682">
        <v>5.9595983598792479E-4</v>
      </c>
      <c r="J682">
        <v>-1.1788425129934943E-3</v>
      </c>
      <c r="K682">
        <v>-1.8330958830224953E-3</v>
      </c>
      <c r="L682">
        <v>1.8726302087723745E-4</v>
      </c>
      <c r="M682">
        <v>2.0550309556166546E-4</v>
      </c>
      <c r="N682">
        <v>2.1095887687638815E-4</v>
      </c>
      <c r="O682">
        <v>5.4612392438491142E-4</v>
      </c>
      <c r="P682">
        <v>5.3573019985209136E-4</v>
      </c>
      <c r="Q682">
        <v>5.4958248556946643E-4</v>
      </c>
      <c r="R682">
        <v>-4.1506640164661324E-3</v>
      </c>
      <c r="S682">
        <v>2.3233793843013828E-3</v>
      </c>
      <c r="T682">
        <v>4.0485451021170515E-3</v>
      </c>
      <c r="U682">
        <v>1.9023487915152959E-3</v>
      </c>
      <c r="V682">
        <v>-2.5266950828306545E-4</v>
      </c>
      <c r="W682">
        <v>5.5853970199652991E-3</v>
      </c>
      <c r="X682">
        <v>2.7399546059356794E-3</v>
      </c>
      <c r="Y682">
        <v>-2.5266950828306545E-4</v>
      </c>
      <c r="Z682">
        <v>6.8505045374767093E-4</v>
      </c>
      <c r="AA682">
        <v>-4.6563831251233978E-5</v>
      </c>
      <c r="AC682">
        <v>-5.3644311493056263E-3</v>
      </c>
      <c r="AD682">
        <v>-8.2732742142699323E-3</v>
      </c>
      <c r="AE682">
        <v>-9.3993444851623309E-3</v>
      </c>
      <c r="AF682">
        <v>-1.1108969718816808E-2</v>
      </c>
      <c r="AG682">
        <v>-1.0582882131164983E-2</v>
      </c>
      <c r="AH682">
        <v>-1.2553405011510255E-2</v>
      </c>
      <c r="AI682">
        <v>-4.8093415242298487E-3</v>
      </c>
      <c r="AJ682">
        <v>1.1123470522802492E-3</v>
      </c>
      <c r="AK682">
        <v>-3.1397174254321758E-4</v>
      </c>
      <c r="AL682">
        <v>1.5049990096366317E-2</v>
      </c>
    </row>
    <row r="683" spans="1:38">
      <c r="A683" s="568">
        <v>44820</v>
      </c>
      <c r="B683">
        <v>5.2057738259342898E-4</v>
      </c>
      <c r="C683">
        <v>5.3102273658955923E-4</v>
      </c>
      <c r="D683">
        <v>4.928447268370828E-4</v>
      </c>
      <c r="E683">
        <v>5.6699392160641793E-4</v>
      </c>
      <c r="F683">
        <v>4.5117358798396623E-4</v>
      </c>
      <c r="G683">
        <v>6.4506231902750066E-4</v>
      </c>
      <c r="H683">
        <v>6.2409494610937699E-4</v>
      </c>
      <c r="I683">
        <v>5.9250557633228063E-4</v>
      </c>
      <c r="J683">
        <v>1.9672111357986743E-3</v>
      </c>
      <c r="K683">
        <v>1.6298937320260443E-3</v>
      </c>
      <c r="L683">
        <v>1.8726302087723745E-4</v>
      </c>
      <c r="M683">
        <v>2.0550309556166546E-4</v>
      </c>
      <c r="N683">
        <v>2.1095887687638815E-4</v>
      </c>
      <c r="O683">
        <v>5.4612392438491142E-4</v>
      </c>
      <c r="P683">
        <v>5.3573019985209136E-4</v>
      </c>
      <c r="Q683">
        <v>5.4958248556946643E-4</v>
      </c>
      <c r="R683">
        <v>-1.0625753508962665E-3</v>
      </c>
      <c r="S683">
        <v>-4.9683193536897985E-4</v>
      </c>
      <c r="T683">
        <v>8.9196938221092203E-4</v>
      </c>
      <c r="U683">
        <v>-3.0742815966411374E-4</v>
      </c>
      <c r="V683">
        <v>-1.2307016098017654E-3</v>
      </c>
      <c r="W683">
        <v>-1.9076296783480107E-3</v>
      </c>
      <c r="X683">
        <v>-4.16311309393258E-3</v>
      </c>
      <c r="Y683">
        <v>-1.2307016098017654E-3</v>
      </c>
      <c r="Z683">
        <v>4.0268216407968183E-4</v>
      </c>
      <c r="AA683">
        <v>-2.199111405448817E-3</v>
      </c>
      <c r="AC683">
        <v>-6.1233074118048902E-3</v>
      </c>
      <c r="AD683">
        <v>-9.0247788435486864E-3</v>
      </c>
      <c r="AE683">
        <v>-7.3571405706086557E-3</v>
      </c>
      <c r="AF683">
        <v>-7.5864115553553324E-3</v>
      </c>
      <c r="AG683">
        <v>-4.5784639602424182E-3</v>
      </c>
      <c r="AH683">
        <v>-3.7782658866548635E-3</v>
      </c>
      <c r="AI683">
        <v>-1.6102442249210647E-3</v>
      </c>
      <c r="AJ683">
        <v>-3.3333333333332993E-3</v>
      </c>
      <c r="AK683">
        <v>-2.1670854271356843E-2</v>
      </c>
      <c r="AL683">
        <v>-1.1572545155806857E-2</v>
      </c>
    </row>
    <row r="684" spans="1:38">
      <c r="A684" s="568">
        <v>44823</v>
      </c>
      <c r="B684">
        <v>5.2057738259342898E-4</v>
      </c>
      <c r="C684">
        <v>5.6035794966069474E-4</v>
      </c>
      <c r="D684">
        <v>4.6253469010171244E-4</v>
      </c>
      <c r="E684">
        <v>5.6699392160641793E-4</v>
      </c>
      <c r="F684">
        <v>6.0882882254631454E-4</v>
      </c>
      <c r="G684">
        <v>5.4667539060204717E-4</v>
      </c>
      <c r="H684">
        <v>6.2312496297822761E-4</v>
      </c>
      <c r="I684">
        <v>5.9257203672080649E-4</v>
      </c>
      <c r="J684">
        <v>1.6802997462599389E-3</v>
      </c>
      <c r="K684">
        <v>9.8417709546883003E-5</v>
      </c>
      <c r="L684">
        <v>1.8726302087723745E-4</v>
      </c>
      <c r="M684">
        <v>2.0550309556166546E-4</v>
      </c>
      <c r="N684">
        <v>2.1095887687638815E-4</v>
      </c>
      <c r="O684">
        <v>5.4612392438491142E-4</v>
      </c>
      <c r="P684">
        <v>5.3573019985209136E-4</v>
      </c>
      <c r="Q684">
        <v>5.4958248556946643E-4</v>
      </c>
      <c r="R684">
        <v>-2.4667381419152257E-5</v>
      </c>
      <c r="S684">
        <v>5.9988516040787587E-4</v>
      </c>
      <c r="T684">
        <v>1.4729310748478053E-3</v>
      </c>
      <c r="U684">
        <v>9.6450893665389614E-5</v>
      </c>
      <c r="V684">
        <v>2.050762985048582E-3</v>
      </c>
      <c r="W684">
        <v>3.0107134247507883E-3</v>
      </c>
      <c r="X684">
        <v>-1.4329255825688003E-3</v>
      </c>
      <c r="Y684">
        <v>2.050762985048582E-3</v>
      </c>
      <c r="Z684">
        <v>1.9938582453742359E-3</v>
      </c>
      <c r="AA684">
        <v>-9.0580663467032529E-4</v>
      </c>
      <c r="AC684">
        <v>2.3275177417499737E-2</v>
      </c>
      <c r="AD684">
        <v>1.8353162741437501E-2</v>
      </c>
      <c r="AE684">
        <v>1.6988303713971087E-2</v>
      </c>
      <c r="AF684">
        <v>1.6644243417518467E-3</v>
      </c>
      <c r="AG684">
        <v>9.359476905211217E-3</v>
      </c>
      <c r="AH684">
        <v>9.719449834834526E-3</v>
      </c>
      <c r="AI684">
        <v>8.6239577807856183E-3</v>
      </c>
      <c r="AJ684">
        <v>-1.3377926421404673E-2</v>
      </c>
      <c r="AK684">
        <v>-1.0914927768860383E-2</v>
      </c>
      <c r="AL684">
        <v>-2.2896183028028538E-2</v>
      </c>
    </row>
    <row r="685" spans="1:38">
      <c r="A685" s="568">
        <v>44824</v>
      </c>
      <c r="B685">
        <v>5.2057738259342898E-4</v>
      </c>
      <c r="C685">
        <v>5.5691693545090182E-4</v>
      </c>
      <c r="D685">
        <v>4.7033507993443635E-4</v>
      </c>
      <c r="E685">
        <v>5.6699392160641793E-4</v>
      </c>
      <c r="F685">
        <v>6.0386334691164834E-4</v>
      </c>
      <c r="G685">
        <v>5.9269797088923326E-4</v>
      </c>
      <c r="H685">
        <v>6.2273692005820891E-4</v>
      </c>
      <c r="I685">
        <v>5.9259886850626664E-4</v>
      </c>
      <c r="J685">
        <v>6.0285078490873723E-4</v>
      </c>
      <c r="K685">
        <v>-1.138505457347172E-3</v>
      </c>
      <c r="L685">
        <v>1.8726302087723745E-4</v>
      </c>
      <c r="M685">
        <v>2.0550309556166546E-4</v>
      </c>
      <c r="N685">
        <v>2.1095887687638815E-4</v>
      </c>
      <c r="O685">
        <v>5.4612392438491142E-4</v>
      </c>
      <c r="P685">
        <v>5.3573019985209136E-4</v>
      </c>
      <c r="Q685">
        <v>5.4958248556946643E-4</v>
      </c>
      <c r="R685">
        <v>-1.786323464733508E-3</v>
      </c>
      <c r="S685">
        <v>2.3345830196386252E-3</v>
      </c>
      <c r="T685">
        <v>7.1156200856794527E-3</v>
      </c>
      <c r="U685">
        <v>1.7758016259621368E-3</v>
      </c>
      <c r="V685">
        <v>2.2222368614637222E-3</v>
      </c>
      <c r="W685">
        <v>4.8705444282544086E-3</v>
      </c>
      <c r="X685">
        <v>4.0050931266755185E-3</v>
      </c>
      <c r="Y685">
        <v>2.2222368614637222E-3</v>
      </c>
      <c r="Z685">
        <v>2.5701757820146831E-3</v>
      </c>
      <c r="AA685">
        <v>1.7827064963440442E-3</v>
      </c>
      <c r="AC685">
        <v>6.1974234664883276E-3</v>
      </c>
      <c r="AD685">
        <v>1.65497944517079E-3</v>
      </c>
      <c r="AE685">
        <v>5.675852684925653E-3</v>
      </c>
      <c r="AF685">
        <v>2.7590802463617337E-3</v>
      </c>
      <c r="AG685">
        <v>2.3638646312393874E-3</v>
      </c>
      <c r="AH685">
        <v>1.1477200042585345E-2</v>
      </c>
      <c r="AI685">
        <v>7.3729771421147117E-3</v>
      </c>
      <c r="AJ685">
        <v>-1.3559322033898313E-2</v>
      </c>
      <c r="AK685">
        <v>9.5748133722817208E-3</v>
      </c>
      <c r="AL685">
        <v>-5.7433613484564328E-3</v>
      </c>
    </row>
    <row r="686" spans="1:38">
      <c r="A686" s="568">
        <v>44825</v>
      </c>
      <c r="B686">
        <v>5.2057738259342898E-4</v>
      </c>
      <c r="C686">
        <v>5.7441276981240463E-4</v>
      </c>
      <c r="D686">
        <v>4.8112835362990047E-4</v>
      </c>
      <c r="E686">
        <v>5.6699392160641793E-4</v>
      </c>
      <c r="F686">
        <v>6.5056953535935769E-4</v>
      </c>
      <c r="G686">
        <v>6.1689415170484985E-4</v>
      </c>
      <c r="H686">
        <v>6.2524940375108251E-4</v>
      </c>
      <c r="I686">
        <v>5.9298992657574878E-4</v>
      </c>
      <c r="J686">
        <v>1.3935270226734797E-3</v>
      </c>
      <c r="K686">
        <v>3.110817764612861E-3</v>
      </c>
      <c r="L686">
        <v>1.8726302087723745E-4</v>
      </c>
      <c r="M686">
        <v>2.0550309556166546E-4</v>
      </c>
      <c r="N686">
        <v>2.1095887687638815E-4</v>
      </c>
      <c r="O686">
        <v>5.4612392438491142E-4</v>
      </c>
      <c r="P686">
        <v>5.3573019985209136E-4</v>
      </c>
      <c r="Q686">
        <v>5.4958248556946643E-4</v>
      </c>
      <c r="R686">
        <v>-2.5435415742469658E-4</v>
      </c>
      <c r="S686">
        <v>2.5793638401918617E-3</v>
      </c>
      <c r="T686">
        <v>4.4880985915525251E-3</v>
      </c>
      <c r="U686">
        <v>3.459242452164446E-3</v>
      </c>
      <c r="V686">
        <v>2.2655118544989694E-3</v>
      </c>
      <c r="W686">
        <v>3.6308061902212696E-3</v>
      </c>
      <c r="X686">
        <v>1.6640885151566476E-3</v>
      </c>
      <c r="Y686">
        <v>2.2655118544989694E-3</v>
      </c>
      <c r="Z686">
        <v>-2.6792162457258684E-3</v>
      </c>
      <c r="AA686">
        <v>1.975916477835904E-3</v>
      </c>
      <c r="AC686">
        <v>-5.1641126653763081E-3</v>
      </c>
      <c r="AD686">
        <v>-2.2656829778648913E-3</v>
      </c>
      <c r="AE686">
        <v>-3.9100145269304054E-3</v>
      </c>
      <c r="AF686">
        <v>2.1882410967049015E-3</v>
      </c>
      <c r="AG686">
        <v>-1.0864134150023741E-3</v>
      </c>
      <c r="AH686">
        <v>2.2710114546542481E-3</v>
      </c>
      <c r="AI686">
        <v>2.3307384565749434E-3</v>
      </c>
      <c r="AJ686">
        <v>-1.3287514318442217E-2</v>
      </c>
      <c r="AK686">
        <v>-2.5719337727053593E-2</v>
      </c>
      <c r="AL686">
        <v>-6.3237431280346312E-3</v>
      </c>
    </row>
    <row r="687" spans="1:38">
      <c r="A687" s="568">
        <v>44826</v>
      </c>
      <c r="B687">
        <v>5.2057738259342898E-4</v>
      </c>
      <c r="C687">
        <v>5.3939967691096768E-4</v>
      </c>
      <c r="D687">
        <v>4.6438334845411156E-4</v>
      </c>
      <c r="E687">
        <v>5.6699392160641793E-4</v>
      </c>
      <c r="F687">
        <v>5.8819142609656261E-4</v>
      </c>
      <c r="G687">
        <v>6.6162660369539772E-4</v>
      </c>
      <c r="H687">
        <v>6.219604797153E-4</v>
      </c>
      <c r="I687">
        <v>5.9724529099680623E-4</v>
      </c>
      <c r="J687">
        <v>2.1426681828318195E-3</v>
      </c>
      <c r="K687">
        <v>3.0994858642401368E-3</v>
      </c>
      <c r="L687">
        <v>1.8726302087723745E-4</v>
      </c>
      <c r="M687">
        <v>2.0550309556166546E-4</v>
      </c>
      <c r="N687">
        <v>2.1095887687638815E-4</v>
      </c>
      <c r="O687">
        <v>5.4612392438491142E-4</v>
      </c>
      <c r="P687">
        <v>5.3573019985209136E-4</v>
      </c>
      <c r="Q687">
        <v>5.4958248556946643E-4</v>
      </c>
      <c r="R687">
        <v>-5.8208867040215884E-3</v>
      </c>
      <c r="S687">
        <v>1.1854081977302755E-3</v>
      </c>
      <c r="T687">
        <v>1.0979509615987482E-2</v>
      </c>
      <c r="U687">
        <v>3.0770364912560133E-3</v>
      </c>
      <c r="V687">
        <v>5.0672980021553293E-3</v>
      </c>
      <c r="W687">
        <v>7.9502900970962465E-3</v>
      </c>
      <c r="X687">
        <v>-7.0785736314106229E-3</v>
      </c>
      <c r="Y687">
        <v>5.0672980021553293E-3</v>
      </c>
      <c r="Z687">
        <v>9.7276455030192999E-4</v>
      </c>
      <c r="AA687">
        <v>-3.6216305488645517E-4</v>
      </c>
      <c r="AC687">
        <v>1.9070028139329009E-2</v>
      </c>
      <c r="AD687">
        <v>2.0337982116903408E-2</v>
      </c>
      <c r="AE687">
        <v>1.7846431809382501E-2</v>
      </c>
      <c r="AF687">
        <v>1.7853034642989929E-2</v>
      </c>
      <c r="AG687">
        <v>1.4965887135290235E-2</v>
      </c>
      <c r="AH687">
        <v>2.1694649471763583E-2</v>
      </c>
      <c r="AI687">
        <v>1.6512558187991688E-2</v>
      </c>
      <c r="AJ687">
        <v>-1.6020431855119477E-2</v>
      </c>
      <c r="AK687">
        <v>-1.1384260023098447E-2</v>
      </c>
      <c r="AL687">
        <v>-8.3413848199660467E-3</v>
      </c>
    </row>
    <row r="688" spans="1:38">
      <c r="A688" s="568">
        <v>44827</v>
      </c>
      <c r="B688">
        <v>5.2057738259342898E-4</v>
      </c>
      <c r="C688">
        <v>5.4293060384758007E-4</v>
      </c>
      <c r="D688">
        <v>4.7767267867326879E-4</v>
      </c>
      <c r="E688">
        <v>5.6699392160641793E-4</v>
      </c>
      <c r="F688">
        <v>5.6682387142603652E-4</v>
      </c>
      <c r="G688">
        <v>5.5942343846004938E-4</v>
      </c>
      <c r="H688">
        <v>6.0535387713223088E-4</v>
      </c>
      <c r="I688">
        <v>5.9537235702089575E-4</v>
      </c>
      <c r="J688">
        <v>-6.9910514541393631E-4</v>
      </c>
      <c r="K688">
        <v>-3.6294994780879941E-3</v>
      </c>
      <c r="L688">
        <v>1.8726302087723745E-4</v>
      </c>
      <c r="M688">
        <v>2.0550309556166546E-4</v>
      </c>
      <c r="N688">
        <v>2.1095887687638815E-4</v>
      </c>
      <c r="O688">
        <v>5.4612392438491142E-4</v>
      </c>
      <c r="P688">
        <v>5.3573019985209136E-4</v>
      </c>
      <c r="Q688">
        <v>5.4958248556946643E-4</v>
      </c>
      <c r="R688">
        <v>-8.0265514148646355E-3</v>
      </c>
      <c r="S688">
        <v>1.8180767864302005E-3</v>
      </c>
      <c r="T688">
        <v>9.4531570923526154E-3</v>
      </c>
      <c r="U688">
        <v>4.1461000407450044E-4</v>
      </c>
      <c r="V688">
        <v>2.5230500194672878E-4</v>
      </c>
      <c r="W688">
        <v>6.6397720476765176E-3</v>
      </c>
      <c r="X688">
        <v>4.7901888850014895E-3</v>
      </c>
      <c r="Y688">
        <v>2.5230500194672878E-4</v>
      </c>
      <c r="Z688">
        <v>2.0070934978300148E-3</v>
      </c>
      <c r="AA688">
        <v>-1.4693334604104491E-3</v>
      </c>
      <c r="AC688">
        <v>-2.064057238998207E-2</v>
      </c>
      <c r="AD688">
        <v>-1.3544522291722316E-2</v>
      </c>
      <c r="AE688">
        <v>-1.9650222702630282E-2</v>
      </c>
      <c r="AF688">
        <v>-1.7639521823774151E-2</v>
      </c>
      <c r="AG688">
        <v>-1.5446734854423716E-2</v>
      </c>
      <c r="AH688">
        <v>-1.1083243729515524E-2</v>
      </c>
      <c r="AI688">
        <v>-6.9597629055118126E-3</v>
      </c>
      <c r="AJ688">
        <v>8.7305332704106231E-3</v>
      </c>
      <c r="AK688">
        <v>-1.9359145527369837E-2</v>
      </c>
      <c r="AL688">
        <v>8.9642407827235093E-3</v>
      </c>
    </row>
    <row r="689" spans="1:38">
      <c r="A689" s="568">
        <v>44830</v>
      </c>
      <c r="B689">
        <v>5.2057738259342898E-4</v>
      </c>
      <c r="C689">
        <v>5.5265776354040952E-4</v>
      </c>
      <c r="D689">
        <v>4.7244519635736282E-4</v>
      </c>
      <c r="E689">
        <v>5.6699392160641793E-4</v>
      </c>
      <c r="F689">
        <v>4.8437323326000481E-4</v>
      </c>
      <c r="G689">
        <v>8.8142150925007989E-4</v>
      </c>
      <c r="H689">
        <v>6.2640826071547195E-4</v>
      </c>
      <c r="I689">
        <v>5.953556922904113E-4</v>
      </c>
      <c r="J689">
        <v>-1.7884410128342632E-3</v>
      </c>
      <c r="K689">
        <v>-2.6910267858557546E-3</v>
      </c>
      <c r="L689">
        <v>1.8726302087723745E-4</v>
      </c>
      <c r="M689">
        <v>2.0550309556166546E-4</v>
      </c>
      <c r="N689">
        <v>2.1095887687638815E-4</v>
      </c>
      <c r="O689">
        <v>5.4612392438491142E-4</v>
      </c>
      <c r="P689">
        <v>5.3573019985209136E-4</v>
      </c>
      <c r="Q689">
        <v>5.4958248556946643E-4</v>
      </c>
      <c r="R689">
        <v>-1.1702595258196169E-2</v>
      </c>
      <c r="S689">
        <v>3.4730907544813228E-3</v>
      </c>
      <c r="T689">
        <v>2.9301295256281001E-3</v>
      </c>
      <c r="U689">
        <v>-3.1545716887988462E-3</v>
      </c>
      <c r="V689">
        <v>-3.1160505961378426E-3</v>
      </c>
      <c r="W689">
        <v>3.0944139502933066E-3</v>
      </c>
      <c r="X689">
        <v>1.7974915319522999E-3</v>
      </c>
      <c r="Y689">
        <v>-3.1160505961378426E-3</v>
      </c>
      <c r="Z689">
        <v>6.0298227141466487E-3</v>
      </c>
      <c r="AA689">
        <v>1.1942267481708235E-3</v>
      </c>
      <c r="AC689">
        <v>-2.3289770489455353E-2</v>
      </c>
      <c r="AD689">
        <v>-3.0261041525572629E-2</v>
      </c>
      <c r="AE689">
        <v>-2.7170667340391308E-2</v>
      </c>
      <c r="AF689">
        <v>-2.7809741598727955E-2</v>
      </c>
      <c r="AG689">
        <v>-2.3522337002157223E-2</v>
      </c>
      <c r="AH689">
        <v>-1.0760463000947795E-2</v>
      </c>
      <c r="AI689">
        <v>-2.1436550411471522E-2</v>
      </c>
      <c r="AJ689">
        <v>1.2163742690058488E-2</v>
      </c>
      <c r="AK689">
        <v>4.4247787610620648E-3</v>
      </c>
      <c r="AL689">
        <v>2.3884525684580993E-4</v>
      </c>
    </row>
    <row r="690" spans="1:38">
      <c r="A690" s="568">
        <v>44831</v>
      </c>
      <c r="B690">
        <v>5.2057738259342898E-4</v>
      </c>
      <c r="C690">
        <v>5.8131048983844913E-4</v>
      </c>
      <c r="D690">
        <v>0</v>
      </c>
      <c r="E690">
        <v>5.6699392160641793E-4</v>
      </c>
      <c r="F690">
        <v>7.6018944027755886E-4</v>
      </c>
      <c r="G690">
        <v>6.265561215856863E-4</v>
      </c>
      <c r="H690">
        <v>6.2948755778502452E-4</v>
      </c>
      <c r="I690">
        <v>6.1817478322523378E-4</v>
      </c>
      <c r="J690">
        <v>9.2160889991088624E-4</v>
      </c>
      <c r="K690">
        <v>7.3301741454123714E-4</v>
      </c>
      <c r="L690">
        <v>1.8726302087723745E-4</v>
      </c>
      <c r="M690">
        <v>2.0550309556166546E-4</v>
      </c>
      <c r="N690">
        <v>2.1095887687638815E-4</v>
      </c>
      <c r="O690">
        <v>5.4612392438491142E-4</v>
      </c>
      <c r="P690">
        <v>5.3573019985209136E-4</v>
      </c>
      <c r="Q690">
        <v>5.4958248556946643E-4</v>
      </c>
      <c r="R690">
        <v>1.1282604500173488E-3</v>
      </c>
      <c r="S690">
        <v>-3.0508793323558159E-4</v>
      </c>
      <c r="T690">
        <v>1.0100445852885276E-3</v>
      </c>
      <c r="U690">
        <v>-4.8109103078974869E-4</v>
      </c>
      <c r="V690">
        <v>-7.2200748619233313E-4</v>
      </c>
      <c r="W690">
        <v>-1.1143747019295436E-3</v>
      </c>
      <c r="X690">
        <v>0</v>
      </c>
      <c r="Y690">
        <v>-7.2200748619233313E-4</v>
      </c>
      <c r="Z690">
        <v>-7.2735613589791637E-4</v>
      </c>
      <c r="AA690">
        <v>2.020620116005567E-4</v>
      </c>
      <c r="AC690">
        <v>-6.761817164701589E-3</v>
      </c>
      <c r="AD690">
        <v>-6.6179463984322728E-3</v>
      </c>
      <c r="AE690">
        <v>-5.6234988269884267E-3</v>
      </c>
      <c r="AF690">
        <v>-8.1572096541947525E-3</v>
      </c>
      <c r="AG690">
        <v>-3.649133180072206E-3</v>
      </c>
      <c r="AH690">
        <v>-1.4090545156689394E-2</v>
      </c>
      <c r="AI690">
        <v>-6.7195682515663879E-3</v>
      </c>
      <c r="AJ690">
        <v>-3.6977120406747055E-3</v>
      </c>
      <c r="AK690">
        <v>4.5747204337511782E-3</v>
      </c>
      <c r="AL690">
        <v>-6.991138948412412E-3</v>
      </c>
    </row>
    <row r="691" spans="1:38">
      <c r="A691" s="568">
        <v>44832</v>
      </c>
      <c r="B691">
        <v>5.2057738259342898E-4</v>
      </c>
      <c r="C691">
        <v>6.2214291404916189E-4</v>
      </c>
      <c r="D691">
        <v>9.6193390189869277E-4</v>
      </c>
      <c r="E691">
        <v>5.6699392160641793E-4</v>
      </c>
      <c r="F691">
        <v>7.1001402096482202E-4</v>
      </c>
      <c r="G691">
        <v>5.9841456673548343E-4</v>
      </c>
      <c r="H691">
        <v>6.2562229759510757E-4</v>
      </c>
      <c r="I691">
        <v>5.2960396760370898E-4</v>
      </c>
      <c r="J691">
        <v>-1.2140685839931997E-3</v>
      </c>
      <c r="K691">
        <v>-2.0451581966993704E-3</v>
      </c>
      <c r="L691">
        <v>1.8726302087723745E-4</v>
      </c>
      <c r="M691">
        <v>2.0550309556166546E-4</v>
      </c>
      <c r="N691">
        <v>2.1095887687638815E-4</v>
      </c>
      <c r="O691">
        <v>5.4612392438491142E-4</v>
      </c>
      <c r="P691">
        <v>5.3573019985209136E-4</v>
      </c>
      <c r="Q691">
        <v>5.4958248556946643E-4</v>
      </c>
      <c r="R691">
        <v>6.5586553242811263E-3</v>
      </c>
      <c r="S691">
        <v>1.5015384293814993E-3</v>
      </c>
      <c r="T691">
        <v>-1.0586291576668128E-2</v>
      </c>
      <c r="U691">
        <v>-3.5949206180547755E-3</v>
      </c>
      <c r="V691">
        <v>-1.1678341369925072E-3</v>
      </c>
      <c r="W691">
        <v>-5.1010756728503415E-3</v>
      </c>
      <c r="X691">
        <v>-3.7156162129026171E-4</v>
      </c>
      <c r="Y691">
        <v>-1.1678341369925072E-3</v>
      </c>
      <c r="Z691">
        <v>-3.9313155614771889E-3</v>
      </c>
      <c r="AA691">
        <v>2.7284149503101762E-3</v>
      </c>
      <c r="AC691">
        <v>6.9064883620817419E-4</v>
      </c>
      <c r="AD691">
        <v>3.2445851777662682E-4</v>
      </c>
      <c r="AE691">
        <v>2.3442391451864442E-3</v>
      </c>
      <c r="AF691">
        <v>7.2093248370417307E-3</v>
      </c>
      <c r="AG691">
        <v>1.859724918272132E-3</v>
      </c>
      <c r="AH691">
        <v>-1.2261972349909556E-3</v>
      </c>
      <c r="AI691">
        <v>4.4383389933859707E-3</v>
      </c>
      <c r="AJ691">
        <v>1.6005567153792644E-2</v>
      </c>
      <c r="AK691">
        <v>-2.5636700961376269E-2</v>
      </c>
      <c r="AL691">
        <v>-1.6956237494749615E-2</v>
      </c>
    </row>
    <row r="692" spans="1:38">
      <c r="A692" s="568">
        <v>44833</v>
      </c>
      <c r="B692">
        <v>5.2057738259342898E-4</v>
      </c>
      <c r="C692">
        <v>5.2616386510218049E-4</v>
      </c>
      <c r="D692">
        <v>0</v>
      </c>
      <c r="E692">
        <v>5.6699392160641793E-4</v>
      </c>
      <c r="F692">
        <v>5.5357812771639203E-4</v>
      </c>
      <c r="G692">
        <v>5.6991380238358147E-4</v>
      </c>
      <c r="H692">
        <v>6.3100961538453681E-4</v>
      </c>
      <c r="I692">
        <v>5.9086153571508149E-4</v>
      </c>
      <c r="J692">
        <v>-3.9499223759342783E-5</v>
      </c>
      <c r="K692">
        <v>8.8924132052770055E-4</v>
      </c>
      <c r="L692">
        <v>1.8726302087723745E-4</v>
      </c>
      <c r="M692">
        <v>2.0550309556166546E-4</v>
      </c>
      <c r="N692">
        <v>2.1095887687638815E-4</v>
      </c>
      <c r="O692">
        <v>5.4612392438491142E-4</v>
      </c>
      <c r="P692">
        <v>5.3573019985209136E-4</v>
      </c>
      <c r="Q692">
        <v>5.4958248556946643E-4</v>
      </c>
      <c r="R692">
        <v>-6.1113985931996462E-3</v>
      </c>
      <c r="S692">
        <v>1.3983932627581463E-3</v>
      </c>
      <c r="T692">
        <v>3.4011233800352869E-3</v>
      </c>
      <c r="U692">
        <v>1.0492832823625342E-3</v>
      </c>
      <c r="V692">
        <v>-1.0380743829467853E-3</v>
      </c>
      <c r="W692">
        <v>2.823917891556782E-4</v>
      </c>
      <c r="X692">
        <v>-3.1873804487380086E-3</v>
      </c>
      <c r="Y692">
        <v>-1.0380743829467853E-3</v>
      </c>
      <c r="Z692">
        <v>1.044806926220998E-3</v>
      </c>
      <c r="AA692">
        <v>2.6228020453855638E-3</v>
      </c>
      <c r="AC692">
        <v>-7.2553369626153774E-3</v>
      </c>
      <c r="AD692">
        <v>-8.747848299567873E-3</v>
      </c>
      <c r="AE692">
        <v>-7.5811817972780693E-3</v>
      </c>
      <c r="AF692">
        <v>-4.0019030372306919E-4</v>
      </c>
      <c r="AG692">
        <v>-9.0298756285711601E-4</v>
      </c>
      <c r="AH692">
        <v>-3.9075992846291374E-3</v>
      </c>
      <c r="AI692">
        <v>4.8202173054523456E-4</v>
      </c>
      <c r="AJ692">
        <v>-1.3789954337899535E-2</v>
      </c>
      <c r="AK692">
        <v>-8.1357105764238158E-3</v>
      </c>
      <c r="AL692">
        <v>6.6579305570733105E-3</v>
      </c>
    </row>
    <row r="693" spans="1:38">
      <c r="A693" s="568">
        <v>44834</v>
      </c>
      <c r="B693">
        <v>5.2057738259342898E-4</v>
      </c>
      <c r="C693">
        <v>5.4691252715155514E-4</v>
      </c>
      <c r="D693">
        <v>0</v>
      </c>
      <c r="E693">
        <v>5.6699392160641793E-4</v>
      </c>
      <c r="F693">
        <v>5.3193354031488838E-4</v>
      </c>
      <c r="G693">
        <v>6.5405173404875505E-4</v>
      </c>
      <c r="H693">
        <v>6.236818945146716E-4</v>
      </c>
      <c r="I693">
        <v>5.9695849923846467E-4</v>
      </c>
      <c r="J693">
        <v>2.3521061386837516E-3</v>
      </c>
      <c r="K693">
        <v>1.2681237588068051E-3</v>
      </c>
      <c r="L693">
        <v>1.8726302087723745E-4</v>
      </c>
      <c r="M693">
        <v>2.0550309556166546E-4</v>
      </c>
      <c r="N693">
        <v>2.1095887687638815E-4</v>
      </c>
      <c r="O693">
        <v>5.4612392438491142E-4</v>
      </c>
      <c r="P693">
        <v>5.3573019985209136E-4</v>
      </c>
      <c r="Q693">
        <v>5.4958248556946643E-4</v>
      </c>
      <c r="R693">
        <v>-2.271588895524812E-3</v>
      </c>
      <c r="S693">
        <v>-4.3268870267954007E-5</v>
      </c>
      <c r="T693">
        <v>-8.8243679427624233E-4</v>
      </c>
      <c r="U693">
        <v>7.2392665612919238E-4</v>
      </c>
      <c r="V693">
        <v>2.5333458760936622E-3</v>
      </c>
      <c r="W693">
        <v>3.2431248135418311E-3</v>
      </c>
      <c r="X693">
        <v>2.5934383963277519E-4</v>
      </c>
      <c r="Y693">
        <v>2.5333458760936622E-3</v>
      </c>
      <c r="Z693">
        <v>-2.1211849124124216E-3</v>
      </c>
      <c r="AA693">
        <v>2.0088517167253794E-3</v>
      </c>
      <c r="AC693">
        <v>2.2035520578538748E-2</v>
      </c>
      <c r="AD693">
        <v>1.8088375940167989E-2</v>
      </c>
      <c r="AE693">
        <v>1.8872337652216187E-2</v>
      </c>
      <c r="AF693">
        <v>1.5936902327277958E-2</v>
      </c>
      <c r="AG693">
        <v>1.3168716569784022E-2</v>
      </c>
      <c r="AH693">
        <v>1.0390580435526653E-2</v>
      </c>
      <c r="AI693">
        <v>1.1415434316881079E-2</v>
      </c>
      <c r="AJ693">
        <v>-1.1482544680062934E-2</v>
      </c>
      <c r="AK693">
        <v>-1.5706806282721475E-3</v>
      </c>
      <c r="AL693">
        <v>-1.1298785798394717E-2</v>
      </c>
    </row>
    <row r="694" spans="1:38">
      <c r="A694" s="568">
        <v>44837</v>
      </c>
      <c r="B694">
        <v>5.2057738259342898E-4</v>
      </c>
      <c r="C694">
        <v>6.1041390024585418E-4</v>
      </c>
      <c r="D694">
        <v>1.7083503486092777E-3</v>
      </c>
      <c r="E694">
        <v>5.6699392160641793E-4</v>
      </c>
      <c r="F694">
        <v>4.4862791455813067E-4</v>
      </c>
      <c r="G694">
        <v>5.8429548142102661E-4</v>
      </c>
      <c r="H694">
        <v>6.2502452774015893E-4</v>
      </c>
      <c r="I694">
        <v>5.9330109775435069E-4</v>
      </c>
      <c r="J694">
        <v>1.4445792786721423E-3</v>
      </c>
      <c r="K694">
        <v>-3.7919840613387379E-4</v>
      </c>
      <c r="L694">
        <v>6.1992257223675296E-4</v>
      </c>
      <c r="M694">
        <v>6.3817053718628891E-4</v>
      </c>
      <c r="N694">
        <v>6.4362867855494166E-4</v>
      </c>
      <c r="O694">
        <v>5.4612392438491142E-4</v>
      </c>
      <c r="P694">
        <v>5.3573019985209136E-4</v>
      </c>
      <c r="Q694">
        <v>5.4958248556946643E-4</v>
      </c>
      <c r="R694">
        <v>8.2626978315061272E-3</v>
      </c>
      <c r="S694">
        <v>1.582440506127103E-3</v>
      </c>
      <c r="T694">
        <v>-4.1359555539027815E-3</v>
      </c>
      <c r="U694">
        <v>8.3498032726891935E-4</v>
      </c>
      <c r="V694">
        <v>5.6758048361087443E-3</v>
      </c>
      <c r="W694">
        <v>4.2512033926755954E-4</v>
      </c>
      <c r="X694">
        <v>4.790360302422636E-3</v>
      </c>
      <c r="Y694">
        <v>5.6758048361087443E-3</v>
      </c>
      <c r="Z694">
        <v>-6.3352356313478575E-3</v>
      </c>
      <c r="AA694">
        <v>2.5065074439576396E-3</v>
      </c>
      <c r="AC694">
        <v>5.5414829894619988E-2</v>
      </c>
      <c r="AD694">
        <v>5.4557267981045543E-2</v>
      </c>
      <c r="AE694">
        <v>5.7017950313635435E-2</v>
      </c>
      <c r="AF694">
        <v>4.0830848794158436E-2</v>
      </c>
      <c r="AG694">
        <v>3.7151247003211374E-2</v>
      </c>
      <c r="AH694">
        <v>2.8580582891235995E-2</v>
      </c>
      <c r="AI694">
        <v>4.6225435389011249E-2</v>
      </c>
      <c r="AJ694">
        <v>-2.0421545667447361E-2</v>
      </c>
      <c r="AK694">
        <v>-4.8942492571228957E-3</v>
      </c>
      <c r="AL694">
        <v>-4.1661450620523732E-2</v>
      </c>
    </row>
    <row r="695" spans="1:38">
      <c r="A695" s="568">
        <v>44838</v>
      </c>
      <c r="B695">
        <v>5.2057738259342898E-4</v>
      </c>
      <c r="C695">
        <v>5.4140131998581253E-4</v>
      </c>
      <c r="D695">
        <v>5.3924099587132623E-4</v>
      </c>
      <c r="E695">
        <v>5.6699392160641793E-4</v>
      </c>
      <c r="F695">
        <v>6.3000530651002862E-4</v>
      </c>
      <c r="G695">
        <v>5.6757407537855187E-4</v>
      </c>
      <c r="H695">
        <v>6.2751793011361912E-4</v>
      </c>
      <c r="I695">
        <v>6.0648981932764912E-4</v>
      </c>
      <c r="J695">
        <v>-1.5456678497094423E-4</v>
      </c>
      <c r="K695">
        <v>2.8061733017326063E-4</v>
      </c>
      <c r="L695">
        <v>6.1992257223675296E-4</v>
      </c>
      <c r="M695">
        <v>6.3817053718628891E-4</v>
      </c>
      <c r="N695">
        <v>6.4362867855494166E-4</v>
      </c>
      <c r="O695">
        <v>5.4612392438491142E-4</v>
      </c>
      <c r="P695">
        <v>5.3573019985209136E-4</v>
      </c>
      <c r="Q695">
        <v>5.4958248556946643E-4</v>
      </c>
      <c r="R695">
        <v>7.1199612475680851E-3</v>
      </c>
      <c r="S695">
        <v>-1.2445564439058643E-3</v>
      </c>
      <c r="T695">
        <v>-6.6958499972268326E-3</v>
      </c>
      <c r="U695">
        <v>7.1501694476672206E-4</v>
      </c>
      <c r="V695">
        <v>-1.8183317348794414E-3</v>
      </c>
      <c r="W695">
        <v>-1.5047610501575104E-3</v>
      </c>
      <c r="X695">
        <v>-2.0169123377092868E-3</v>
      </c>
      <c r="Y695">
        <v>-1.8183317348794414E-3</v>
      </c>
      <c r="Z695">
        <v>-5.6935291501798435E-3</v>
      </c>
      <c r="AA695">
        <v>2.1422615655191102E-3</v>
      </c>
      <c r="AC695">
        <v>8.2370039004775464E-4</v>
      </c>
      <c r="AD695">
        <v>-3.7496104957731591E-3</v>
      </c>
      <c r="AE695">
        <v>9.0615947480587877E-4</v>
      </c>
      <c r="AF695">
        <v>-8.7686062727686531E-3</v>
      </c>
      <c r="AG695">
        <v>-1.4799224143409173E-3</v>
      </c>
      <c r="AH695">
        <v>3.4494491762779855E-3</v>
      </c>
      <c r="AI695">
        <v>-5.0713046769427228E-3</v>
      </c>
      <c r="AJ695">
        <v>2.9932102897580748E-2</v>
      </c>
      <c r="AK695">
        <v>6.6748638679079431E-3</v>
      </c>
      <c r="AL695">
        <v>3.4304946905025391E-2</v>
      </c>
    </row>
    <row r="696" spans="1:38">
      <c r="A696" s="568">
        <v>44839</v>
      </c>
      <c r="B696">
        <v>5.2057738259342898E-4</v>
      </c>
      <c r="C696">
        <v>5.623736279301017E-4</v>
      </c>
      <c r="D696">
        <v>4.7718526443918385E-4</v>
      </c>
      <c r="E696">
        <v>5.6699392160641793E-4</v>
      </c>
      <c r="F696">
        <v>7.9471448293899627E-4</v>
      </c>
      <c r="G696">
        <v>7.1475403931797743E-4</v>
      </c>
      <c r="H696">
        <v>6.282772005119508E-4</v>
      </c>
      <c r="I696">
        <v>6.0358902404278325E-4</v>
      </c>
      <c r="J696">
        <v>-9.8431683309918583E-5</v>
      </c>
      <c r="K696">
        <v>1.0901529463787085E-3</v>
      </c>
      <c r="L696">
        <v>6.1992257223675296E-4</v>
      </c>
      <c r="M696">
        <v>6.3817053718628891E-4</v>
      </c>
      <c r="N696">
        <v>6.4362867855494166E-4</v>
      </c>
      <c r="O696">
        <v>5.4612392438491142E-4</v>
      </c>
      <c r="P696">
        <v>5.3573019985209136E-4</v>
      </c>
      <c r="Q696">
        <v>5.4958248556946643E-4</v>
      </c>
      <c r="R696">
        <v>-3.2882263938386336E-3</v>
      </c>
      <c r="S696">
        <v>1.2945723701622835E-3</v>
      </c>
      <c r="T696">
        <v>-1.2957919458506106E-3</v>
      </c>
      <c r="U696">
        <v>2.3557637470306148E-4</v>
      </c>
      <c r="V696">
        <v>1.7499087004155811E-3</v>
      </c>
      <c r="W696">
        <v>-4.1909917009708142E-4</v>
      </c>
      <c r="X696">
        <v>2.5080004679072232E-3</v>
      </c>
      <c r="Y696">
        <v>1.7499087004155811E-3</v>
      </c>
      <c r="Z696">
        <v>4.9260132429811421E-3</v>
      </c>
      <c r="AA696">
        <v>2.2293762649214788E-3</v>
      </c>
      <c r="AC696">
        <v>8.3257248637444992E-3</v>
      </c>
      <c r="AD696">
        <v>5.0369149505247179E-4</v>
      </c>
      <c r="AE696">
        <v>8.5142652269487584E-3</v>
      </c>
      <c r="AF696">
        <v>-4.4207752555858182E-4</v>
      </c>
      <c r="AG696">
        <v>9.5998023794563458E-4</v>
      </c>
      <c r="AH696">
        <v>5.3985935918485772E-3</v>
      </c>
      <c r="AI696">
        <v>2.7150302683944805E-3</v>
      </c>
      <c r="AJ696">
        <v>4.6425255338911064E-4</v>
      </c>
      <c r="AK696">
        <v>4.4145873320537543E-2</v>
      </c>
      <c r="AL696">
        <v>2.4047513995151482E-2</v>
      </c>
    </row>
    <row r="697" spans="1:38">
      <c r="A697" s="568">
        <v>44840</v>
      </c>
      <c r="B697">
        <v>5.2057738259342898E-4</v>
      </c>
      <c r="C697">
        <v>5.4650391158483913E-4</v>
      </c>
      <c r="D697">
        <v>9.1408588424379822E-4</v>
      </c>
      <c r="E697">
        <v>5.6699392160641793E-4</v>
      </c>
      <c r="F697">
        <v>4.6764252637876425E-4</v>
      </c>
      <c r="G697">
        <v>5.7077317434783836E-4</v>
      </c>
      <c r="H697">
        <v>6.2615459854975519E-4</v>
      </c>
      <c r="I697">
        <v>6.0311076481323056E-4</v>
      </c>
      <c r="J697">
        <v>-1.7897454933722967E-3</v>
      </c>
      <c r="K697">
        <v>-7.0874720480851305E-4</v>
      </c>
      <c r="L697">
        <v>6.1992257223675296E-4</v>
      </c>
      <c r="M697">
        <v>6.3817053718628891E-4</v>
      </c>
      <c r="N697">
        <v>6.4362867855494166E-4</v>
      </c>
      <c r="O697">
        <v>5.4612392438491142E-4</v>
      </c>
      <c r="P697">
        <v>5.3573019985209136E-4</v>
      </c>
      <c r="Q697">
        <v>5.4958248556946643E-4</v>
      </c>
      <c r="R697">
        <v>-5.3394364784420389E-4</v>
      </c>
      <c r="S697">
        <v>2.7173488956897529E-3</v>
      </c>
      <c r="T697">
        <v>3.4234892924338567E-3</v>
      </c>
      <c r="U697">
        <v>1.7889220950668694E-3</v>
      </c>
      <c r="V697">
        <v>3.0662132808483289E-3</v>
      </c>
      <c r="W697">
        <v>1.43158600884008E-3</v>
      </c>
      <c r="X697">
        <v>1.9714337642056101E-3</v>
      </c>
      <c r="Y697">
        <v>3.0662132808483289E-3</v>
      </c>
      <c r="Z697">
        <v>7.0753542699764083E-4</v>
      </c>
      <c r="AA697">
        <v>1.8354077352873421E-3</v>
      </c>
      <c r="AC697">
        <v>3.0974125627933891E-3</v>
      </c>
      <c r="AD697">
        <v>6.5144968044126284E-3</v>
      </c>
      <c r="AE697">
        <v>4.5835052718345981E-3</v>
      </c>
      <c r="AF697">
        <v>1.8626565770869519E-3</v>
      </c>
      <c r="AG697">
        <v>5.6668104314960832E-3</v>
      </c>
      <c r="AH697">
        <v>0</v>
      </c>
      <c r="AI697">
        <v>6.1477118376269679E-3</v>
      </c>
      <c r="AJ697">
        <v>-3.4802784222738303E-3</v>
      </c>
      <c r="AK697">
        <v>-8.6898395721926036E-3</v>
      </c>
      <c r="AL697">
        <v>1.2611609862061002E-2</v>
      </c>
    </row>
    <row r="698" spans="1:38">
      <c r="A698" s="568">
        <v>44841</v>
      </c>
      <c r="B698">
        <v>5.2057738259342898E-4</v>
      </c>
      <c r="C698">
        <v>5.5819496596098972E-4</v>
      </c>
      <c r="D698">
        <v>4.9492638280912438E-4</v>
      </c>
      <c r="E698">
        <v>5.6699392160641793E-4</v>
      </c>
      <c r="F698">
        <v>4.6876895645753258E-4</v>
      </c>
      <c r="G698">
        <v>5.5082771305947631E-4</v>
      </c>
      <c r="H698">
        <v>6.2691413176141353E-4</v>
      </c>
      <c r="I698">
        <v>6.1474535931993479E-4</v>
      </c>
      <c r="J698">
        <v>-5.648044721937584E-4</v>
      </c>
      <c r="K698">
        <v>-4.0981292930020174E-4</v>
      </c>
      <c r="L698">
        <v>6.1992257223675296E-4</v>
      </c>
      <c r="M698">
        <v>6.3817053718628891E-4</v>
      </c>
      <c r="N698">
        <v>6.4362867855494166E-4</v>
      </c>
      <c r="O698">
        <v>5.4612392438491142E-4</v>
      </c>
      <c r="P698">
        <v>5.3573019985209136E-4</v>
      </c>
      <c r="Q698">
        <v>5.4958248556946643E-4</v>
      </c>
      <c r="R698">
        <v>-4.6611930132895996E-3</v>
      </c>
      <c r="S698">
        <v>2.3139464226962225E-3</v>
      </c>
      <c r="T698">
        <v>5.1198011428827961E-3</v>
      </c>
      <c r="U698">
        <v>3.0568215148805145E-3</v>
      </c>
      <c r="V698">
        <v>1.7025713803591191E-3</v>
      </c>
      <c r="W698">
        <v>2.6018309500481784E-3</v>
      </c>
      <c r="X698">
        <v>-3.8370568492280821E-3</v>
      </c>
      <c r="Y698">
        <v>1.7025713803591191E-3</v>
      </c>
      <c r="Z698">
        <v>3.069274608097361E-3</v>
      </c>
      <c r="AA698">
        <v>-5.5331136127101388E-5</v>
      </c>
      <c r="AC698">
        <v>-1.0084821619582018E-2</v>
      </c>
      <c r="AD698">
        <v>-1.6037761535389716E-2</v>
      </c>
      <c r="AE698">
        <v>-1.1218810020249603E-2</v>
      </c>
      <c r="AF698">
        <v>-9.7074370291665435E-3</v>
      </c>
      <c r="AG698">
        <v>-9.2486208353821375E-3</v>
      </c>
      <c r="AH698">
        <v>-9.2056635334605286E-3</v>
      </c>
      <c r="AI698">
        <v>6.5813388503950243E-3</v>
      </c>
      <c r="AJ698">
        <v>-2.817229336437721E-2</v>
      </c>
      <c r="AK698">
        <v>-2.0903573836817291E-2</v>
      </c>
      <c r="AL698">
        <v>-1.0700794313409534E-2</v>
      </c>
    </row>
    <row r="699" spans="1:38">
      <c r="A699" s="568">
        <v>44844</v>
      </c>
      <c r="B699">
        <v>5.2057738259342898E-4</v>
      </c>
      <c r="C699">
        <v>5.432717944484633E-4</v>
      </c>
      <c r="D699">
        <v>6.3836292722219135E-4</v>
      </c>
      <c r="E699">
        <v>5.6699392160641793E-4</v>
      </c>
      <c r="F699">
        <v>6.1408872195878317E-4</v>
      </c>
      <c r="G699">
        <v>6.9775585702314125E-4</v>
      </c>
      <c r="H699">
        <v>6.2709667471927411E-4</v>
      </c>
      <c r="I699">
        <v>6.0412325607783757E-4</v>
      </c>
      <c r="J699">
        <v>1.0621063822990884E-4</v>
      </c>
      <c r="K699">
        <v>-5.4936578372111189E-4</v>
      </c>
      <c r="L699">
        <v>6.1992257223675296E-4</v>
      </c>
      <c r="M699">
        <v>6.3817053718628891E-4</v>
      </c>
      <c r="N699">
        <v>6.4362867855494166E-4</v>
      </c>
      <c r="O699">
        <v>5.4612392438491142E-4</v>
      </c>
      <c r="P699">
        <v>5.3573019985209136E-4</v>
      </c>
      <c r="Q699">
        <v>5.4958248556946643E-4</v>
      </c>
      <c r="R699">
        <v>-3.6888707997562165E-5</v>
      </c>
      <c r="S699">
        <v>-8.4988554732101651E-4</v>
      </c>
      <c r="T699">
        <v>6.2011528463570276E-3</v>
      </c>
      <c r="U699">
        <v>4.8050300385305E-4</v>
      </c>
      <c r="V699">
        <v>1.1511158048416181E-3</v>
      </c>
      <c r="W699">
        <v>2.7182031790147221E-3</v>
      </c>
      <c r="X699">
        <v>-3.7477606801504804E-3</v>
      </c>
      <c r="Y699">
        <v>1.1511158048416181E-3</v>
      </c>
      <c r="Z699">
        <v>2.6791652317232906E-3</v>
      </c>
      <c r="AA699">
        <v>-1.4044980864488243E-3</v>
      </c>
      <c r="AC699">
        <v>-3.7345569612095009E-3</v>
      </c>
      <c r="AD699">
        <v>-4.7553639403519199E-4</v>
      </c>
      <c r="AE699">
        <v>-3.4203524198246349E-3</v>
      </c>
      <c r="AF699">
        <v>2.2251323658313282E-3</v>
      </c>
      <c r="AG699">
        <v>-2.0292707104904162E-3</v>
      </c>
      <c r="AH699">
        <v>4.1071787966973083E-4</v>
      </c>
      <c r="AI699">
        <v>-1.5917395624994723E-3</v>
      </c>
      <c r="AJ699">
        <v>-1.149976042165779E-2</v>
      </c>
      <c r="AK699">
        <v>-3.3230027548209362E-2</v>
      </c>
      <c r="AL699">
        <v>-1.7108568688627535E-2</v>
      </c>
    </row>
    <row r="700" spans="1:38">
      <c r="A700" s="568">
        <v>44845</v>
      </c>
      <c r="B700">
        <v>5.2057738259342898E-4</v>
      </c>
      <c r="C700">
        <v>5.2630308629653122E-4</v>
      </c>
      <c r="D700">
        <v>4.8591951324583604E-4</v>
      </c>
      <c r="E700">
        <v>5.6699392160641793E-4</v>
      </c>
      <c r="F700">
        <v>4.6721044243791532E-4</v>
      </c>
      <c r="G700">
        <v>5.1870633187500736E-4</v>
      </c>
      <c r="H700">
        <v>6.2670367093109469E-4</v>
      </c>
      <c r="I700">
        <v>6.1530554901612078E-4</v>
      </c>
      <c r="J700">
        <v>-2.5477080048252887E-4</v>
      </c>
      <c r="K700">
        <v>-7.1296436298673438E-4</v>
      </c>
      <c r="L700">
        <v>6.1992257223675296E-4</v>
      </c>
      <c r="M700">
        <v>6.3817053718628891E-4</v>
      </c>
      <c r="N700">
        <v>6.4362867855494166E-4</v>
      </c>
      <c r="O700">
        <v>5.4612392438491142E-4</v>
      </c>
      <c r="P700">
        <v>5.3573019985209136E-4</v>
      </c>
      <c r="Q700">
        <v>5.4958248556946643E-4</v>
      </c>
      <c r="R700">
        <v>-3.1258184984020998E-3</v>
      </c>
      <c r="S700">
        <v>-2.0607518914861345E-3</v>
      </c>
      <c r="T700">
        <v>-8.5481589665192814E-4</v>
      </c>
      <c r="U700">
        <v>0</v>
      </c>
      <c r="V700">
        <v>-2.4743184298972043E-3</v>
      </c>
      <c r="W700">
        <v>-1.8474376301963469E-3</v>
      </c>
      <c r="X700">
        <v>2.3399017012106782E-3</v>
      </c>
      <c r="Y700">
        <v>-2.4743184298972043E-3</v>
      </c>
      <c r="Z700">
        <v>-2.6902321076456293E-3</v>
      </c>
      <c r="AA700">
        <v>1.3958500824717834E-3</v>
      </c>
      <c r="AC700">
        <v>-9.6042250586162448E-3</v>
      </c>
      <c r="AD700">
        <v>-1.0149688357529385E-2</v>
      </c>
      <c r="AE700">
        <v>-1.1656967124297202E-2</v>
      </c>
      <c r="AF700">
        <v>-1.961173199778754E-2</v>
      </c>
      <c r="AG700">
        <v>-7.9206613067454024E-3</v>
      </c>
      <c r="AH700">
        <v>-2.237093936268697E-3</v>
      </c>
      <c r="AI700">
        <v>-8.3331569763218649E-3</v>
      </c>
      <c r="AJ700">
        <v>1.1148812409112807E-2</v>
      </c>
      <c r="AK700">
        <v>-2.315227070347281E-2</v>
      </c>
      <c r="AL700">
        <v>-7.5826075605293086E-3</v>
      </c>
    </row>
    <row r="701" spans="1:38">
      <c r="A701" s="568">
        <v>44847</v>
      </c>
      <c r="B701">
        <v>5.2057738259342898E-4</v>
      </c>
      <c r="C701">
        <v>5.789907108801895E-4</v>
      </c>
      <c r="D701">
        <v>4.8320046562055907E-4</v>
      </c>
      <c r="E701">
        <v>5.6699392160641793E-4</v>
      </c>
      <c r="F701">
        <v>5.4969275627092529E-4</v>
      </c>
      <c r="G701">
        <v>5.5834232553908514E-4</v>
      </c>
      <c r="H701">
        <v>6.2516196464046381E-4</v>
      </c>
      <c r="I701">
        <v>6.1557994709704467E-4</v>
      </c>
      <c r="J701">
        <v>-2.3237510588036692E-4</v>
      </c>
      <c r="K701">
        <v>8.2245813631454112E-4</v>
      </c>
      <c r="L701">
        <v>6.1992257223675296E-4</v>
      </c>
      <c r="M701">
        <v>6.3817053718628891E-4</v>
      </c>
      <c r="N701">
        <v>6.4362867855494166E-4</v>
      </c>
      <c r="O701">
        <v>5.4612392438491142E-4</v>
      </c>
      <c r="P701">
        <v>5.3573019985209136E-4</v>
      </c>
      <c r="Q701">
        <v>5.4958248556946643E-4</v>
      </c>
      <c r="R701">
        <v>-4.0687813392378258E-3</v>
      </c>
      <c r="S701">
        <v>-3.5486054274080914E-4</v>
      </c>
      <c r="T701">
        <v>-1.0915900062779871E-2</v>
      </c>
      <c r="U701">
        <v>-1.7787860429741009E-4</v>
      </c>
      <c r="V701">
        <v>-1.5008163662509899E-3</v>
      </c>
      <c r="W701">
        <v>6.7702739380148813E-4</v>
      </c>
      <c r="X701">
        <v>-3.6330562169150094E-3</v>
      </c>
      <c r="Y701">
        <v>-1.5008163662509899E-3</v>
      </c>
      <c r="Z701">
        <v>5.8914429836454119E-4</v>
      </c>
      <c r="AA701">
        <v>2.235051398187915E-3</v>
      </c>
      <c r="AC701">
        <v>-4.5897693854901611E-3</v>
      </c>
      <c r="AD701">
        <v>-4.683142086903791E-3</v>
      </c>
      <c r="AE701">
        <v>-3.4006463524889341E-3</v>
      </c>
      <c r="AF701">
        <v>2.7489616930356231E-3</v>
      </c>
      <c r="AG701">
        <v>1.1271606652678567E-3</v>
      </c>
      <c r="AH701">
        <v>-7.5584622651965194E-3</v>
      </c>
      <c r="AI701">
        <v>-4.8719259487464139E-3</v>
      </c>
      <c r="AJ701">
        <v>2.1093000958772867E-2</v>
      </c>
      <c r="AK701">
        <v>-1.932543299908851E-2</v>
      </c>
      <c r="AL701">
        <v>-1.9779881658814502E-2</v>
      </c>
    </row>
    <row r="702" spans="1:38">
      <c r="A702" s="568">
        <v>44848</v>
      </c>
      <c r="B702">
        <v>5.2057738259342898E-4</v>
      </c>
      <c r="C702">
        <v>5.3980600035208326E-4</v>
      </c>
      <c r="D702">
        <v>5.0133275092689722E-4</v>
      </c>
      <c r="E702">
        <v>5.6699392160641793E-4</v>
      </c>
      <c r="F702">
        <v>5.8692677481841926E-4</v>
      </c>
      <c r="G702">
        <v>5.6830726240075791E-4</v>
      </c>
      <c r="H702">
        <v>6.2821681174818345E-4</v>
      </c>
      <c r="I702">
        <v>6.5785535722517885E-4</v>
      </c>
      <c r="J702">
        <v>3.0236558368756938E-4</v>
      </c>
      <c r="K702">
        <v>1.1686505192469721E-3</v>
      </c>
      <c r="L702">
        <v>6.1992257223675296E-4</v>
      </c>
      <c r="M702">
        <v>6.3817053718628891E-4</v>
      </c>
      <c r="N702">
        <v>6.4362867855494166E-4</v>
      </c>
      <c r="O702">
        <v>5.4612392438491142E-4</v>
      </c>
      <c r="P702">
        <v>5.3573019985209136E-4</v>
      </c>
      <c r="Q702">
        <v>5.4958248556946643E-4</v>
      </c>
      <c r="R702">
        <v>-2.7310340215002116E-3</v>
      </c>
      <c r="S702">
        <v>1.1237758779185647E-3</v>
      </c>
      <c r="T702">
        <v>5.449848629552001E-3</v>
      </c>
      <c r="U702">
        <v>2.4139713693416276E-3</v>
      </c>
      <c r="V702">
        <v>5.6311062308189719E-5</v>
      </c>
      <c r="W702">
        <v>2.1878894088529499E-3</v>
      </c>
      <c r="X702">
        <v>3.4215393481598078E-3</v>
      </c>
      <c r="Y702">
        <v>5.6311062308189719E-5</v>
      </c>
      <c r="Z702">
        <v>2.0629652298602696E-3</v>
      </c>
      <c r="AA702">
        <v>1.5856655385717566E-3</v>
      </c>
      <c r="AC702">
        <v>-1.949036085623379E-2</v>
      </c>
      <c r="AD702">
        <v>-1.7696711215462457E-2</v>
      </c>
      <c r="AE702">
        <v>-1.7835026167443147E-2</v>
      </c>
      <c r="AF702">
        <v>-1.2879805132665956E-2</v>
      </c>
      <c r="AG702">
        <v>-1.2563466220960606E-2</v>
      </c>
      <c r="AH702">
        <v>-7.4318496730012562E-3</v>
      </c>
      <c r="AI702">
        <v>-9.1886951621570345E-3</v>
      </c>
      <c r="AJ702">
        <v>-1.4553990610328582E-2</v>
      </c>
      <c r="AK702">
        <v>1.3013571295779958E-2</v>
      </c>
      <c r="AL702">
        <v>3.2189569390070449E-2</v>
      </c>
    </row>
    <row r="703" spans="1:38">
      <c r="A703" s="568">
        <v>44851</v>
      </c>
      <c r="B703">
        <v>5.2057738259342898E-4</v>
      </c>
      <c r="C703">
        <v>6.1211653232273733E-4</v>
      </c>
      <c r="D703">
        <v>5.0901946776216178E-4</v>
      </c>
      <c r="E703">
        <v>5.6699392160641793E-4</v>
      </c>
      <c r="F703">
        <v>7.3550169286651368E-4</v>
      </c>
      <c r="G703">
        <v>5.8599890560295798E-4</v>
      </c>
      <c r="H703">
        <v>6.2495301374831946E-4</v>
      </c>
      <c r="I703">
        <v>6.1564845764205955E-4</v>
      </c>
      <c r="J703">
        <v>1.3343136349270868E-3</v>
      </c>
      <c r="K703">
        <v>-4.6909981218234975E-4</v>
      </c>
      <c r="L703">
        <v>6.1992257223675296E-4</v>
      </c>
      <c r="M703">
        <v>6.3817053718628891E-4</v>
      </c>
      <c r="N703">
        <v>6.4362867855494166E-4</v>
      </c>
      <c r="O703">
        <v>5.4612392438491142E-4</v>
      </c>
      <c r="P703">
        <v>5.3573019985209136E-4</v>
      </c>
      <c r="Q703">
        <v>5.4958248556946643E-4</v>
      </c>
      <c r="R703">
        <v>4.9063472024630794E-3</v>
      </c>
      <c r="S703">
        <v>-1.0032659424364931E-3</v>
      </c>
      <c r="T703">
        <v>-6.8900741789701403E-3</v>
      </c>
      <c r="U703">
        <v>9.1647493593449703E-4</v>
      </c>
      <c r="V703">
        <v>-1.6026092210685849E-4</v>
      </c>
      <c r="W703">
        <v>-1.8824524465232972E-3</v>
      </c>
      <c r="X703">
        <v>-1.4519322149695313E-3</v>
      </c>
      <c r="Y703">
        <v>-1.6026092210685849E-4</v>
      </c>
      <c r="Z703">
        <v>-1.7404066619319813E-3</v>
      </c>
      <c r="AA703">
        <v>3.0555206561722059E-4</v>
      </c>
      <c r="AC703">
        <v>1.3844986193738862E-2</v>
      </c>
      <c r="AD703">
        <v>1.5306417051393018E-2</v>
      </c>
      <c r="AE703">
        <v>1.3117794483366474E-2</v>
      </c>
      <c r="AF703">
        <v>1.3939504099349076E-2</v>
      </c>
      <c r="AG703">
        <v>8.7057311301299567E-3</v>
      </c>
      <c r="AH703">
        <v>5.8385457444833921E-3</v>
      </c>
      <c r="AI703">
        <v>1.0286607849300466E-2</v>
      </c>
      <c r="AJ703">
        <v>2.0247737017627498E-2</v>
      </c>
      <c r="AK703">
        <v>1.8351991191043471E-3</v>
      </c>
      <c r="AL703">
        <v>-8.0809693012736661E-3</v>
      </c>
    </row>
    <row r="704" spans="1:38">
      <c r="A704" s="568">
        <v>44852</v>
      </c>
      <c r="B704">
        <v>5.2057738259342898E-4</v>
      </c>
      <c r="C704">
        <v>5.4574620618041969E-4</v>
      </c>
      <c r="D704">
        <v>5.1471091395427493E-4</v>
      </c>
      <c r="E704">
        <v>5.6699392160641793E-4</v>
      </c>
      <c r="F704">
        <v>6.0924907495607528E-4</v>
      </c>
      <c r="G704">
        <v>8.8618206080082196E-4</v>
      </c>
      <c r="H704">
        <v>6.2685676925022804E-4</v>
      </c>
      <c r="I704">
        <v>6.080474618652687E-4</v>
      </c>
      <c r="J704">
        <v>7.4307986710597795E-4</v>
      </c>
      <c r="K704">
        <v>2.2281577253078222E-3</v>
      </c>
      <c r="L704">
        <v>6.1992257223675296E-4</v>
      </c>
      <c r="M704">
        <v>6.3817053718628891E-4</v>
      </c>
      <c r="N704">
        <v>6.4362867855494166E-4</v>
      </c>
      <c r="O704">
        <v>5.4612392438491142E-4</v>
      </c>
      <c r="P704">
        <v>5.3573019985209136E-4</v>
      </c>
      <c r="Q704">
        <v>5.4958248556946643E-4</v>
      </c>
      <c r="R704">
        <v>3.5871773703177734E-3</v>
      </c>
      <c r="S704">
        <v>-1.2817834867840938E-3</v>
      </c>
      <c r="T704">
        <v>3.7497658782024157E-3</v>
      </c>
      <c r="U704">
        <v>-4.4657481740761895E-4</v>
      </c>
      <c r="V704">
        <v>1.7328282139090767E-3</v>
      </c>
      <c r="W704">
        <v>-6.1019000113438082E-4</v>
      </c>
      <c r="X704">
        <v>2.9254324913281504E-3</v>
      </c>
      <c r="Y704">
        <v>1.7328282139090767E-3</v>
      </c>
      <c r="Z704">
        <v>2.1759864645860549E-3</v>
      </c>
      <c r="AA704">
        <v>6.4668971459047597E-4</v>
      </c>
      <c r="AC704">
        <v>1.8650024405059584E-2</v>
      </c>
      <c r="AD704">
        <v>1.540593520084288E-2</v>
      </c>
      <c r="AE704">
        <v>1.5311596690809059E-2</v>
      </c>
      <c r="AF704">
        <v>1.2345222441472847E-2</v>
      </c>
      <c r="AG704">
        <v>1.032744118143869E-2</v>
      </c>
      <c r="AH704">
        <v>8.6356098515596447E-3</v>
      </c>
      <c r="AI704">
        <v>1.4212885064004421E-2</v>
      </c>
      <c r="AJ704">
        <v>6.3039925286014764E-3</v>
      </c>
      <c r="AK704">
        <v>1.8135189595163803E-2</v>
      </c>
      <c r="AL704">
        <v>1.17846289715553E-2</v>
      </c>
    </row>
    <row r="705" spans="1:38">
      <c r="A705" s="568">
        <v>44853</v>
      </c>
      <c r="B705">
        <v>5.2057738259342898E-4</v>
      </c>
      <c r="C705">
        <v>5.7819996699270959E-4</v>
      </c>
      <c r="D705">
        <v>4.9263915817188142E-4</v>
      </c>
      <c r="E705">
        <v>5.6699392160641793E-4</v>
      </c>
      <c r="F705">
        <v>5.4114089908852137E-4</v>
      </c>
      <c r="G705">
        <v>6.0459019723912988E-4</v>
      </c>
      <c r="H705">
        <v>6.2589090583964335E-4</v>
      </c>
      <c r="I705">
        <v>6.1024488642713592E-4</v>
      </c>
      <c r="J705">
        <v>-8.9596140388925605E-4</v>
      </c>
      <c r="K705">
        <v>7.7134911667009476E-4</v>
      </c>
      <c r="L705">
        <v>6.1992257223675296E-4</v>
      </c>
      <c r="M705">
        <v>6.3817053718628891E-4</v>
      </c>
      <c r="N705">
        <v>6.4362867855494166E-4</v>
      </c>
      <c r="O705">
        <v>5.4612392438491142E-4</v>
      </c>
      <c r="P705">
        <v>5.3573019985209136E-4</v>
      </c>
      <c r="Q705">
        <v>5.4958248556946643E-4</v>
      </c>
      <c r="R705">
        <v>-5.8119451821320167E-3</v>
      </c>
      <c r="S705">
        <v>3.6432847317151573E-3</v>
      </c>
      <c r="T705">
        <v>1.8861948438779752E-3</v>
      </c>
      <c r="U705">
        <v>2.2946113911708199E-3</v>
      </c>
      <c r="V705">
        <v>2.0887705876886375E-3</v>
      </c>
      <c r="W705">
        <v>2.365714934360108E-3</v>
      </c>
      <c r="X705">
        <v>2.4736442180328666E-3</v>
      </c>
      <c r="Y705">
        <v>2.0887705876886375E-3</v>
      </c>
      <c r="Z705">
        <v>4.9211797904995525E-3</v>
      </c>
      <c r="AA705">
        <v>1.0123379389441745E-3</v>
      </c>
      <c r="AC705">
        <v>4.5892164429368609E-3</v>
      </c>
      <c r="AD705">
        <v>3.3517870888113421E-3</v>
      </c>
      <c r="AE705">
        <v>5.0885696545823755E-3</v>
      </c>
      <c r="AF705">
        <v>-1.7847330311278053E-3</v>
      </c>
      <c r="AG705">
        <v>3.6721308579048539E-3</v>
      </c>
      <c r="AH705">
        <v>9.7579370382592234E-3</v>
      </c>
      <c r="AI705">
        <v>9.9676796700778336E-3</v>
      </c>
      <c r="AJ705">
        <v>-5.1044083526682327E-3</v>
      </c>
      <c r="AK705">
        <v>-3.2385750269881219E-2</v>
      </c>
      <c r="AL705">
        <v>-6.2252995901671548E-3</v>
      </c>
    </row>
    <row r="706" spans="1:38">
      <c r="A706" s="568">
        <v>44854</v>
      </c>
      <c r="B706">
        <v>5.2057738259342898E-4</v>
      </c>
      <c r="C706">
        <v>5.3249706181945911E-4</v>
      </c>
      <c r="D706">
        <v>4.8595678997043201E-4</v>
      </c>
      <c r="E706">
        <v>5.6699392160641793E-4</v>
      </c>
      <c r="F706">
        <v>5.6202829430485046E-4</v>
      </c>
      <c r="G706">
        <v>5.3727859322649785E-4</v>
      </c>
      <c r="H706">
        <v>6.2549941144629528E-4</v>
      </c>
      <c r="I706">
        <v>6.0905189007187666E-4</v>
      </c>
      <c r="J706">
        <v>-1.3244432767223202E-4</v>
      </c>
      <c r="K706">
        <v>1.2095438349772891E-3</v>
      </c>
      <c r="L706">
        <v>6.1992257223675296E-4</v>
      </c>
      <c r="M706">
        <v>6.3817053718628891E-4</v>
      </c>
      <c r="N706">
        <v>6.4362867855494166E-4</v>
      </c>
      <c r="O706">
        <v>5.4612392438491142E-4</v>
      </c>
      <c r="P706">
        <v>5.3573019985209136E-4</v>
      </c>
      <c r="Q706">
        <v>5.4958248556946643E-4</v>
      </c>
      <c r="R706">
        <v>-2.9901587360572357E-3</v>
      </c>
      <c r="S706">
        <v>3.1790468940384731E-3</v>
      </c>
      <c r="T706">
        <v>-3.3183390471425156E-4</v>
      </c>
      <c r="U706">
        <v>6.7205809454873311E-4</v>
      </c>
      <c r="V706">
        <v>1.2277775500117993E-3</v>
      </c>
      <c r="W706">
        <v>2.5291413187737977E-3</v>
      </c>
      <c r="X706">
        <v>-1.1617106486877526E-3</v>
      </c>
      <c r="Y706">
        <v>1.2277775500117993E-3</v>
      </c>
      <c r="Z706">
        <v>1.2550252267624629E-3</v>
      </c>
      <c r="AA706">
        <v>3.6384986276338793E-5</v>
      </c>
      <c r="AC706">
        <v>7.713402383881407E-3</v>
      </c>
      <c r="AD706">
        <v>-1.0624029203405438E-3</v>
      </c>
      <c r="AE706">
        <v>5.712680468430209E-3</v>
      </c>
      <c r="AF706">
        <v>3.0820736733638832E-4</v>
      </c>
      <c r="AG706">
        <v>2.0166006166435491E-3</v>
      </c>
      <c r="AH706">
        <v>6.4106668820615997E-3</v>
      </c>
      <c r="AI706">
        <v>8.5166392608138075E-3</v>
      </c>
      <c r="AJ706">
        <v>-2.0522388059701524E-2</v>
      </c>
      <c r="AK706">
        <v>-1.5991074748977319E-2</v>
      </c>
      <c r="AL706">
        <v>-1.2870532691650283E-2</v>
      </c>
    </row>
    <row r="707" spans="1:38">
      <c r="A707" s="568">
        <v>44855</v>
      </c>
      <c r="B707">
        <v>5.2057738259342898E-4</v>
      </c>
      <c r="C707">
        <v>5.5929110324348663E-4</v>
      </c>
      <c r="D707">
        <v>4.8572075067365716E-4</v>
      </c>
      <c r="E707">
        <v>5.6699392160641793E-4</v>
      </c>
      <c r="F707">
        <v>5.1446220932960252E-4</v>
      </c>
      <c r="G707">
        <v>5.4048600325806717E-4</v>
      </c>
      <c r="H707">
        <v>6.2682573729300195E-4</v>
      </c>
      <c r="I707">
        <v>6.1117399175891762E-4</v>
      </c>
      <c r="J707">
        <v>1.1974583916822823E-3</v>
      </c>
      <c r="K707">
        <v>9.4068375179556796E-4</v>
      </c>
      <c r="L707">
        <v>6.1992257223675296E-4</v>
      </c>
      <c r="M707">
        <v>6.3817053718628891E-4</v>
      </c>
      <c r="N707">
        <v>6.4362867855494166E-4</v>
      </c>
      <c r="O707">
        <v>5.4612392438491142E-4</v>
      </c>
      <c r="P707">
        <v>5.3573019985209136E-4</v>
      </c>
      <c r="Q707">
        <v>5.4958248556946643E-4</v>
      </c>
      <c r="R707">
        <v>4.0650962043780048E-3</v>
      </c>
      <c r="S707">
        <v>2.365447759099748E-3</v>
      </c>
      <c r="T707">
        <v>7.9152589773934245E-4</v>
      </c>
      <c r="U707">
        <v>-1.3072620041693073E-3</v>
      </c>
      <c r="V707">
        <v>1.8641919966895237E-3</v>
      </c>
      <c r="W707">
        <v>-3.495324591527571E-3</v>
      </c>
      <c r="X707">
        <v>-1.5722397799357024E-3</v>
      </c>
      <c r="Y707">
        <v>1.8641919966895237E-3</v>
      </c>
      <c r="Z707">
        <v>2.4493510502270333E-3</v>
      </c>
      <c r="AA707">
        <v>-4.6485815546704057E-4</v>
      </c>
      <c r="AC707">
        <v>2.3535494372290078E-2</v>
      </c>
      <c r="AD707">
        <v>1.8309733875840006E-2</v>
      </c>
      <c r="AE707">
        <v>2.3286597142447185E-2</v>
      </c>
      <c r="AF707">
        <v>4.7536444782214637E-3</v>
      </c>
      <c r="AG707">
        <v>1.3937568634055042E-2</v>
      </c>
      <c r="AH707">
        <v>1.5721737302259342E-2</v>
      </c>
      <c r="AI707">
        <v>1.1981025577527449E-2</v>
      </c>
      <c r="AJ707">
        <v>1.4285714285714235E-2</v>
      </c>
      <c r="AK707">
        <v>1.8896447467875443E-3</v>
      </c>
      <c r="AL707">
        <v>-2.060747907258742E-2</v>
      </c>
    </row>
    <row r="708" spans="1:38">
      <c r="A708" s="568">
        <v>44858</v>
      </c>
      <c r="B708">
        <v>5.2057738259342898E-4</v>
      </c>
      <c r="C708">
        <v>5.5074343939010006E-4</v>
      </c>
      <c r="D708">
        <v>5.0577534073048547E-4</v>
      </c>
      <c r="E708">
        <v>5.6699392160641793E-4</v>
      </c>
      <c r="F708">
        <v>5.7502487870442209E-4</v>
      </c>
      <c r="G708">
        <v>5.2183003893269131E-4</v>
      </c>
      <c r="H708">
        <v>6.2643307292020722E-4</v>
      </c>
      <c r="I708">
        <v>6.0931782965223391E-4</v>
      </c>
      <c r="J708">
        <v>-1.3973975667064265E-3</v>
      </c>
      <c r="K708">
        <v>-6.7864977509024538E-4</v>
      </c>
      <c r="L708">
        <v>6.1992257223675296E-4</v>
      </c>
      <c r="M708">
        <v>6.3817053718628891E-4</v>
      </c>
      <c r="N708">
        <v>6.4362867855494166E-4</v>
      </c>
      <c r="O708">
        <v>5.4612392438491142E-4</v>
      </c>
      <c r="P708">
        <v>5.3573019985209136E-4</v>
      </c>
      <c r="Q708">
        <v>5.4958248556946643E-4</v>
      </c>
      <c r="R708">
        <v>1.3808924574316706E-3</v>
      </c>
      <c r="S708">
        <v>1.4821954007260274E-4</v>
      </c>
      <c r="T708">
        <v>-1.9926184249750012E-3</v>
      </c>
      <c r="U708">
        <v>3.6259692731717141E-3</v>
      </c>
      <c r="V708">
        <v>-4.0656265259543245E-3</v>
      </c>
      <c r="W708">
        <v>-9.4248359670634496E-4</v>
      </c>
      <c r="X708">
        <v>2.0899988677993697E-3</v>
      </c>
      <c r="Y708">
        <v>-4.0656265259543245E-3</v>
      </c>
      <c r="Z708">
        <v>-6.8222023583872637E-3</v>
      </c>
      <c r="AA708">
        <v>-1.9572316750748886E-4</v>
      </c>
      <c r="AC708">
        <v>-3.2653460440983273E-2</v>
      </c>
      <c r="AD708">
        <v>-2.3814510375881892E-2</v>
      </c>
      <c r="AE708">
        <v>-2.928778336046578E-2</v>
      </c>
      <c r="AF708">
        <v>-1.922216863853099E-2</v>
      </c>
      <c r="AG708">
        <v>-1.2173462504156518E-2</v>
      </c>
      <c r="AH708">
        <v>-2.2955699237601879E-2</v>
      </c>
      <c r="AI708">
        <v>-1.8249624524976804E-2</v>
      </c>
      <c r="AJ708">
        <v>4.0140845070422593E-2</v>
      </c>
      <c r="AK708">
        <v>-8.1855903432667021E-2</v>
      </c>
      <c r="AL708">
        <v>1.7192470868168108E-2</v>
      </c>
    </row>
    <row r="709" spans="1:38">
      <c r="A709" s="568">
        <v>44859</v>
      </c>
      <c r="B709">
        <v>5.2057738259342898E-4</v>
      </c>
      <c r="C709">
        <v>6.5058182904120798E-4</v>
      </c>
      <c r="D709">
        <v>4.9463763341606182E-4</v>
      </c>
      <c r="E709">
        <v>5.6699392160641793E-4</v>
      </c>
      <c r="F709">
        <v>5.4184394592282636E-4</v>
      </c>
      <c r="G709">
        <v>5.4064322168456691E-4</v>
      </c>
      <c r="H709">
        <v>6.2661262704488685E-4</v>
      </c>
      <c r="I709">
        <v>6.105038650356942E-4</v>
      </c>
      <c r="J709">
        <v>3.6157701990147117E-4</v>
      </c>
      <c r="K709">
        <v>-3.669478040614349E-4</v>
      </c>
      <c r="L709">
        <v>6.1992257223675296E-4</v>
      </c>
      <c r="M709">
        <v>6.3817053718628891E-4</v>
      </c>
      <c r="N709">
        <v>6.4362867855494166E-4</v>
      </c>
      <c r="O709">
        <v>5.4612392438491142E-4</v>
      </c>
      <c r="P709">
        <v>5.3573019985209136E-4</v>
      </c>
      <c r="Q709">
        <v>5.4958248556946643E-4</v>
      </c>
      <c r="R709">
        <v>7.1507211885988298E-3</v>
      </c>
      <c r="S709">
        <v>-4.4470469687774017E-4</v>
      </c>
      <c r="T709">
        <v>-6.5172795019782237E-3</v>
      </c>
      <c r="U709">
        <v>-2.3109268143850503E-3</v>
      </c>
      <c r="V709">
        <v>-3.391053235215935E-3</v>
      </c>
      <c r="W709">
        <v>-2.102926045596476E-3</v>
      </c>
      <c r="X709">
        <v>-1.7052935742833952E-5</v>
      </c>
      <c r="Y709">
        <v>-3.391053235215935E-3</v>
      </c>
      <c r="Z709">
        <v>-5.1043295869251937E-3</v>
      </c>
      <c r="AA709">
        <v>5.8241514360379831E-4</v>
      </c>
      <c r="AC709">
        <v>-1.1956535793063994E-2</v>
      </c>
      <c r="AD709">
        <v>-1.8688113609867774E-2</v>
      </c>
      <c r="AE709">
        <v>-1.4545130942340889E-2</v>
      </c>
      <c r="AF709">
        <v>-3.0430437295658752E-4</v>
      </c>
      <c r="AG709">
        <v>-1.2077263617838119E-2</v>
      </c>
      <c r="AH709">
        <v>-8.7725202582472628E-3</v>
      </c>
      <c r="AI709">
        <v>-1.2346416842436647E-2</v>
      </c>
      <c r="AJ709">
        <v>1.8731663281426281E-2</v>
      </c>
      <c r="AK709">
        <v>1.4585045193097779E-2</v>
      </c>
      <c r="AL709">
        <v>-3.122606346009138E-3</v>
      </c>
    </row>
    <row r="710" spans="1:38">
      <c r="A710" s="568">
        <v>44860</v>
      </c>
      <c r="B710">
        <v>5.2057738259342898E-4</v>
      </c>
      <c r="C710">
        <v>5.9988139533850848E-4</v>
      </c>
      <c r="D710">
        <v>4.8944915710924519E-4</v>
      </c>
      <c r="E710">
        <v>5.6699392160641793E-4</v>
      </c>
      <c r="F710">
        <v>5.1664296046616265E-4</v>
      </c>
      <c r="G710">
        <v>5.696535843857653E-4</v>
      </c>
      <c r="H710">
        <v>6.2850570483186097E-4</v>
      </c>
      <c r="I710">
        <v>6.2937195182444228E-4</v>
      </c>
      <c r="J710">
        <v>-1.1673832983525312E-3</v>
      </c>
      <c r="K710">
        <v>-8.9647309650409124E-4</v>
      </c>
      <c r="L710">
        <v>6.1992257223675296E-4</v>
      </c>
      <c r="M710">
        <v>6.3817053718628891E-4</v>
      </c>
      <c r="N710">
        <v>6.4362867855494166E-4</v>
      </c>
      <c r="O710">
        <v>5.4612392438491142E-4</v>
      </c>
      <c r="P710">
        <v>5.3573019985209136E-4</v>
      </c>
      <c r="Q710">
        <v>5.4958248556946643E-4</v>
      </c>
      <c r="R710">
        <v>3.6579410999710849E-3</v>
      </c>
      <c r="S710">
        <v>3.3786380011191497E-4</v>
      </c>
      <c r="T710">
        <v>-6.6275907364842235E-3</v>
      </c>
      <c r="U710">
        <v>-2.1481211565966829E-3</v>
      </c>
      <c r="V710">
        <v>-3.8208719736981811E-3</v>
      </c>
      <c r="W710">
        <v>-4.3266942737841818E-3</v>
      </c>
      <c r="X710">
        <v>-4.3223081677772335E-3</v>
      </c>
      <c r="Y710">
        <v>-3.8208719736981811E-3</v>
      </c>
      <c r="Z710">
        <v>-4.6863629558187014E-3</v>
      </c>
      <c r="AA710">
        <v>6.9786296781180202E-3</v>
      </c>
      <c r="AC710">
        <v>-1.6242446385663079E-2</v>
      </c>
      <c r="AD710">
        <v>-3.0866632277852468E-2</v>
      </c>
      <c r="AE710">
        <v>-1.9659702595563822E-2</v>
      </c>
      <c r="AF710">
        <v>2.9801139812626332E-3</v>
      </c>
      <c r="AG710">
        <v>-1.6977879273145424E-2</v>
      </c>
      <c r="AH710">
        <v>-9.8096296201426458E-3</v>
      </c>
      <c r="AI710">
        <v>-1.2646131185623632E-2</v>
      </c>
      <c r="AJ710">
        <v>4.4306601683650193E-3</v>
      </c>
      <c r="AK710">
        <v>1.8019842073294212E-2</v>
      </c>
      <c r="AL710">
        <v>1.8317947754369124E-2</v>
      </c>
    </row>
    <row r="711" spans="1:38">
      <c r="A711" s="568">
        <v>44861</v>
      </c>
      <c r="B711">
        <v>5.2057738259342898E-4</v>
      </c>
      <c r="C711">
        <v>5.8565440673041813E-4</v>
      </c>
      <c r="D711">
        <v>4.9168046995751169E-4</v>
      </c>
      <c r="E711">
        <v>5.6699392160641793E-4</v>
      </c>
      <c r="F711">
        <v>3.6851681975624828E-4</v>
      </c>
      <c r="G711">
        <v>7.5015498768293831E-4</v>
      </c>
      <c r="H711">
        <v>6.2582689376866618E-4</v>
      </c>
      <c r="I711">
        <v>6.1073937001787648E-4</v>
      </c>
      <c r="J711">
        <v>2.0906093247081703E-3</v>
      </c>
      <c r="K711">
        <v>1.2393137821689049E-3</v>
      </c>
      <c r="L711">
        <v>6.1992257223675296E-4</v>
      </c>
      <c r="M711">
        <v>6.3817053718628891E-4</v>
      </c>
      <c r="N711">
        <v>6.4362867855494166E-4</v>
      </c>
      <c r="O711">
        <v>5.4612392438491142E-4</v>
      </c>
      <c r="P711">
        <v>5.3573019985209136E-4</v>
      </c>
      <c r="Q711">
        <v>5.4958248556946643E-4</v>
      </c>
      <c r="R711">
        <v>4.5901418910039293E-3</v>
      </c>
      <c r="S711">
        <v>5.6139686820035894E-3</v>
      </c>
      <c r="T711">
        <v>7.5679744474710375E-4</v>
      </c>
      <c r="U711">
        <v>2.8317723145367957E-3</v>
      </c>
      <c r="V711">
        <v>3.2633525508538597E-3</v>
      </c>
      <c r="W711">
        <v>-9.9791549424932402E-4</v>
      </c>
      <c r="X711">
        <v>3.1802735065369347E-3</v>
      </c>
      <c r="Y711">
        <v>3.2633525508538597E-3</v>
      </c>
      <c r="Z711">
        <v>-7.0358590493091455E-4</v>
      </c>
      <c r="AA711">
        <v>-1.021609449223182E-2</v>
      </c>
      <c r="AC711">
        <v>1.664514823419827E-2</v>
      </c>
      <c r="AD711">
        <v>3.3929422636100881E-2</v>
      </c>
      <c r="AE711">
        <v>2.2543023624646219E-2</v>
      </c>
      <c r="AF711">
        <v>1.4637456762026213E-2</v>
      </c>
      <c r="AG711">
        <v>9.8849442844255453E-3</v>
      </c>
      <c r="AH711">
        <v>1.2253726473619997E-2</v>
      </c>
      <c r="AI711">
        <v>1.838516391488354E-2</v>
      </c>
      <c r="AJ711">
        <v>-1.6762240846934229E-2</v>
      </c>
      <c r="AK711">
        <v>1.9888623707231545E-4</v>
      </c>
      <c r="AL711">
        <v>3.546071302875653E-3</v>
      </c>
    </row>
    <row r="712" spans="1:38">
      <c r="A712" s="568">
        <v>44862</v>
      </c>
      <c r="B712">
        <v>5.2057738259342898E-4</v>
      </c>
      <c r="C712">
        <v>5.6525479978053461E-4</v>
      </c>
      <c r="D712">
        <v>4.9292056422123309E-4</v>
      </c>
      <c r="E712">
        <v>5.6699392160641793E-4</v>
      </c>
      <c r="F712">
        <v>6.5079397996714583E-4</v>
      </c>
      <c r="G712">
        <v>5.630659386206549E-4</v>
      </c>
      <c r="H712">
        <v>6.2657678504485226E-4</v>
      </c>
      <c r="I712">
        <v>9.2009986237551189E-4</v>
      </c>
      <c r="J712">
        <v>8.6037958166529371E-4</v>
      </c>
      <c r="K712">
        <v>1.6710206000363215E-3</v>
      </c>
      <c r="L712">
        <v>6.1992257223675296E-4</v>
      </c>
      <c r="M712">
        <v>6.3817053718628891E-4</v>
      </c>
      <c r="N712">
        <v>6.4362867855494166E-4</v>
      </c>
      <c r="O712">
        <v>5.4612392438491142E-4</v>
      </c>
      <c r="P712">
        <v>5.3573019985209136E-4</v>
      </c>
      <c r="Q712">
        <v>5.4958248556946643E-4</v>
      </c>
      <c r="R712">
        <v>-1.2594113620800762E-4</v>
      </c>
      <c r="S712">
        <v>-4.5245890758838225E-4</v>
      </c>
      <c r="T712">
        <v>1.9046000299707266E-3</v>
      </c>
      <c r="U712">
        <v>1.6905640232118824E-3</v>
      </c>
      <c r="V712">
        <v>1.1167732841808053E-3</v>
      </c>
      <c r="W712">
        <v>3.0686136291997457E-3</v>
      </c>
      <c r="X712">
        <v>1.4121644372504516E-3</v>
      </c>
      <c r="Y712">
        <v>1.1167732841808053E-3</v>
      </c>
      <c r="Z712">
        <v>4.9416966871203005E-3</v>
      </c>
      <c r="AA712">
        <v>1.4647333134518714E-3</v>
      </c>
      <c r="AC712">
        <v>-8.8720626067018138E-4</v>
      </c>
      <c r="AD712">
        <v>6.4500123388118169E-3</v>
      </c>
      <c r="AE712">
        <v>3.6106228437806642E-3</v>
      </c>
      <c r="AF712">
        <v>1.4835232947003618E-3</v>
      </c>
      <c r="AG712">
        <v>3.644362445356375E-3</v>
      </c>
      <c r="AH712">
        <v>1.341822924417424E-2</v>
      </c>
      <c r="AI712">
        <v>6.3196289392184468E-3</v>
      </c>
      <c r="AJ712">
        <v>1.794526693584575E-2</v>
      </c>
      <c r="AK712">
        <v>-4.0365877908132841E-2</v>
      </c>
      <c r="AL712">
        <v>-6.5229671391443533E-3</v>
      </c>
    </row>
    <row r="713" spans="1:38">
      <c r="A713" s="568">
        <v>44865</v>
      </c>
      <c r="B713">
        <v>5.2057738259342898E-4</v>
      </c>
      <c r="C713">
        <v>3.6927969859834597E-4</v>
      </c>
      <c r="D713">
        <v>5.4846186314128076E-4</v>
      </c>
      <c r="E713">
        <v>5.6699392160641793E-4</v>
      </c>
      <c r="F713">
        <v>3.8057614706965559E-4</v>
      </c>
      <c r="G713">
        <v>5.8170721995076669E-4</v>
      </c>
      <c r="H713">
        <v>6.2618443241624355E-4</v>
      </c>
      <c r="I713">
        <v>6.076721241548011E-4</v>
      </c>
      <c r="J713">
        <v>4.6649079705955998E-3</v>
      </c>
      <c r="K713">
        <v>3.2533282296398625E-3</v>
      </c>
      <c r="L713">
        <v>6.1992257223675296E-4</v>
      </c>
      <c r="M713">
        <v>6.3817053718628891E-4</v>
      </c>
      <c r="N713">
        <v>6.4362867855494166E-4</v>
      </c>
      <c r="O713">
        <v>5.4612392438491142E-4</v>
      </c>
      <c r="P713">
        <v>5.3573019985209136E-4</v>
      </c>
      <c r="Q713">
        <v>5.4958248556946643E-4</v>
      </c>
      <c r="R713">
        <v>-2.6140641029853695E-3</v>
      </c>
      <c r="S713">
        <v>3.6370187342393834E-4</v>
      </c>
      <c r="T713">
        <v>8.2364416169047328E-3</v>
      </c>
      <c r="U713">
        <v>2.3082472977797863E-3</v>
      </c>
      <c r="V713">
        <v>5.9653644959007934E-3</v>
      </c>
      <c r="W713">
        <v>1.897177716126075E-3</v>
      </c>
      <c r="X713">
        <v>4.7618715982375992E-3</v>
      </c>
      <c r="Y713">
        <v>5.9653644959007934E-3</v>
      </c>
      <c r="Z713">
        <v>3.7741550823946479E-3</v>
      </c>
      <c r="AA713">
        <v>4.269271677457942E-3</v>
      </c>
      <c r="AC713">
        <v>1.3078770951915564E-2</v>
      </c>
      <c r="AD713">
        <v>4.218365580392347E-2</v>
      </c>
      <c r="AE713">
        <v>2.7826131498879469E-2</v>
      </c>
      <c r="AF713">
        <v>-6.3802983541025871E-3</v>
      </c>
      <c r="AG713">
        <v>9.6285115315903891E-3</v>
      </c>
      <c r="AH713">
        <v>2.6444020742166341E-2</v>
      </c>
      <c r="AI713">
        <v>2.8594120002246148E-2</v>
      </c>
      <c r="AJ713">
        <v>-2.9352137505509024E-2</v>
      </c>
      <c r="AK713">
        <v>-1.4090343970161623E-2</v>
      </c>
      <c r="AL713">
        <v>-2.4954450311757692E-2</v>
      </c>
    </row>
    <row r="714" spans="1:38">
      <c r="A714" s="568">
        <v>44866</v>
      </c>
      <c r="B714">
        <v>5.2057738259342898E-4</v>
      </c>
      <c r="C714">
        <v>7.2995019148680562E-4</v>
      </c>
      <c r="D714">
        <v>5.4026690665387456E-4</v>
      </c>
      <c r="E714">
        <v>5.6699392160641793E-4</v>
      </c>
      <c r="F714">
        <v>6.1773013555033174E-4</v>
      </c>
      <c r="G714">
        <v>5.3367733970066666E-4</v>
      </c>
      <c r="H714">
        <v>6.2693244802880521E-4</v>
      </c>
      <c r="I714">
        <v>6.071183684239756E-4</v>
      </c>
      <c r="J714">
        <v>-2.3600936557222063E-4</v>
      </c>
      <c r="K714">
        <v>-2.8801944902512311E-4</v>
      </c>
      <c r="L714">
        <v>5.4103243405978496E-4</v>
      </c>
      <c r="M714">
        <v>5.592789603166004E-4</v>
      </c>
      <c r="N714">
        <v>5.6473667135858996E-4</v>
      </c>
      <c r="O714">
        <v>5.4612392438491142E-4</v>
      </c>
      <c r="P714">
        <v>5.3573019985209136E-4</v>
      </c>
      <c r="Q714">
        <v>5.4958248556946643E-4</v>
      </c>
      <c r="R714">
        <v>2.8899618210236344E-3</v>
      </c>
      <c r="S714">
        <v>2.786105057649646E-3</v>
      </c>
      <c r="T714">
        <v>-3.2386521668368307E-3</v>
      </c>
      <c r="U714">
        <v>8.0395937874677692E-4</v>
      </c>
      <c r="V714">
        <v>8.2899278453307801E-4</v>
      </c>
      <c r="W714">
        <v>1.5799265314775379E-3</v>
      </c>
      <c r="X714">
        <v>-2.1520639940719732E-4</v>
      </c>
      <c r="Y714">
        <v>8.2899278453307801E-4</v>
      </c>
      <c r="Z714">
        <v>1.1324357715227773E-3</v>
      </c>
      <c r="AA714">
        <v>-2.4389108024472916E-3</v>
      </c>
      <c r="AC714">
        <v>7.6835783871844754E-3</v>
      </c>
      <c r="AD714">
        <v>1.0358388231790361E-3</v>
      </c>
      <c r="AE714">
        <v>4.0764458576398876E-3</v>
      </c>
      <c r="AF714">
        <v>-2.9591399751872638E-3</v>
      </c>
      <c r="AG714">
        <v>4.9883011741738148E-3</v>
      </c>
      <c r="AH714">
        <v>-4.0332705354726439E-3</v>
      </c>
      <c r="AI714">
        <v>0</v>
      </c>
      <c r="AJ714">
        <v>-1.3122048674173659E-2</v>
      </c>
      <c r="AK714">
        <v>5.7587221521647747E-2</v>
      </c>
      <c r="AL714">
        <v>-1.167448686315764E-2</v>
      </c>
    </row>
    <row r="715" spans="1:38">
      <c r="A715" s="568">
        <v>44868</v>
      </c>
      <c r="B715">
        <v>5.2057738259342898E-4</v>
      </c>
      <c r="C715">
        <v>5.3015999199357289E-4</v>
      </c>
      <c r="D715">
        <v>4.8770360639305288E-4</v>
      </c>
      <c r="E715">
        <v>5.6699392160641793E-4</v>
      </c>
      <c r="F715">
        <v>5.3942731866229998E-4</v>
      </c>
      <c r="G715">
        <v>5.2886074412761275E-4</v>
      </c>
      <c r="H715">
        <v>6.2540048699211148E-4</v>
      </c>
      <c r="I715">
        <v>6.2449694163979608E-4</v>
      </c>
      <c r="J715">
        <v>-9.6777520802093786E-4</v>
      </c>
      <c r="K715">
        <v>-1.6730060692158322E-3</v>
      </c>
      <c r="L715">
        <v>5.4103243405978496E-4</v>
      </c>
      <c r="M715">
        <v>5.592789603166004E-4</v>
      </c>
      <c r="N715">
        <v>5.6473667135858996E-4</v>
      </c>
      <c r="O715">
        <v>5.4612392438491142E-4</v>
      </c>
      <c r="P715">
        <v>5.3573019985209136E-4</v>
      </c>
      <c r="Q715">
        <v>5.4958248556946643E-4</v>
      </c>
      <c r="R715">
        <v>-7.7464064740345728E-3</v>
      </c>
      <c r="S715">
        <v>0</v>
      </c>
      <c r="T715">
        <v>0</v>
      </c>
      <c r="U715">
        <v>1.6583797604245998E-3</v>
      </c>
      <c r="V715">
        <v>2.8657240471252621E-3</v>
      </c>
      <c r="W715">
        <v>5.2975466100217972E-3</v>
      </c>
      <c r="X715">
        <v>-2.5923310924350629E-3</v>
      </c>
      <c r="Y715">
        <v>2.8657240471252621E-3</v>
      </c>
      <c r="Z715">
        <v>4.9923770001842893E-3</v>
      </c>
      <c r="AA715">
        <v>2.8451343834825504E-3</v>
      </c>
      <c r="AC715">
        <v>-2.7623680969235398E-4</v>
      </c>
      <c r="AD715">
        <v>0</v>
      </c>
      <c r="AE715">
        <v>2.8829563664147795E-3</v>
      </c>
      <c r="AF715">
        <v>-3.7446839813961574E-3</v>
      </c>
      <c r="AG715">
        <v>5.6659659788467209E-3</v>
      </c>
      <c r="AH715">
        <v>0</v>
      </c>
      <c r="AI715">
        <v>1.8682656468134162E-3</v>
      </c>
      <c r="AJ715">
        <v>-3.5426731078904927E-2</v>
      </c>
      <c r="AK715">
        <v>-1.1923688394277487E-3</v>
      </c>
      <c r="AL715">
        <v>2.2938243099628775E-2</v>
      </c>
    </row>
    <row r="716" spans="1:38">
      <c r="A716" s="568">
        <v>44869</v>
      </c>
      <c r="B716">
        <v>5.2057738259342898E-4</v>
      </c>
      <c r="C716">
        <v>5.4666746899778573E-4</v>
      </c>
      <c r="D716">
        <v>4.9042319332048834E-4</v>
      </c>
      <c r="E716">
        <v>5.6699392160641793E-4</v>
      </c>
      <c r="F716">
        <v>5.5456189234281972E-4</v>
      </c>
      <c r="G716">
        <v>5.7573695017154591E-4</v>
      </c>
      <c r="H716">
        <v>6.2614805669269913E-4</v>
      </c>
      <c r="I716">
        <v>6.0220610644723394E-4</v>
      </c>
      <c r="J716">
        <v>2.0129293647497271E-4</v>
      </c>
      <c r="K716">
        <v>6.275072911996471E-4</v>
      </c>
      <c r="L716">
        <v>5.4103243405978496E-4</v>
      </c>
      <c r="M716">
        <v>5.592789603166004E-4</v>
      </c>
      <c r="N716">
        <v>5.6473667135858996E-4</v>
      </c>
      <c r="O716">
        <v>5.4612392438491142E-4</v>
      </c>
      <c r="P716">
        <v>5.3573019985209136E-4</v>
      </c>
      <c r="Q716">
        <v>5.4958248556946643E-4</v>
      </c>
      <c r="R716">
        <v>5.5293125910031993E-3</v>
      </c>
      <c r="S716">
        <v>0</v>
      </c>
      <c r="T716">
        <v>4.7898994760386948E-4</v>
      </c>
      <c r="U716">
        <v>-1.6569066761307205E-4</v>
      </c>
      <c r="V716">
        <v>1.3086309574905641E-4</v>
      </c>
      <c r="W716">
        <v>-2.8601063939038829E-3</v>
      </c>
      <c r="X716">
        <v>-2.0605139086578017E-3</v>
      </c>
      <c r="Y716">
        <v>1.3086309574905641E-4</v>
      </c>
      <c r="Z716">
        <v>2.0199711987034519E-4</v>
      </c>
      <c r="AA716">
        <v>-2.5901387531774844E-3</v>
      </c>
      <c r="AC716">
        <v>1.0771079612744261E-2</v>
      </c>
      <c r="AD716">
        <v>1.9692042559568357E-2</v>
      </c>
      <c r="AE716">
        <v>9.3304539145124821E-3</v>
      </c>
      <c r="AF716">
        <v>1.7691420850912243E-2</v>
      </c>
      <c r="AG716">
        <v>8.9770046207640064E-3</v>
      </c>
      <c r="AH716">
        <v>-5.4052649693120403E-3</v>
      </c>
      <c r="AI716">
        <v>4.8095091837847548E-3</v>
      </c>
      <c r="AJ716">
        <v>9.5397090388726902E-4</v>
      </c>
      <c r="AK716">
        <v>6.5658575407879116E-2</v>
      </c>
      <c r="AL716">
        <v>-1.3418181565851062E-2</v>
      </c>
    </row>
    <row r="717" spans="1:38">
      <c r="A717" s="568">
        <v>44872</v>
      </c>
      <c r="B717">
        <v>5.2057738259342898E-4</v>
      </c>
      <c r="C717">
        <v>5.2735787960456193E-4</v>
      </c>
      <c r="D717">
        <v>5.217121420002524E-4</v>
      </c>
      <c r="E717">
        <v>5.6699392160641793E-4</v>
      </c>
      <c r="F717">
        <v>6.4675561812532756E-4</v>
      </c>
      <c r="G717">
        <v>4.9303163364999847E-4</v>
      </c>
      <c r="H717">
        <v>6.3087606442557842E-4</v>
      </c>
      <c r="I717">
        <v>6.2700691135408881E-4</v>
      </c>
      <c r="J717">
        <v>-4.0258889775787177E-3</v>
      </c>
      <c r="K717">
        <v>-1.9125954276218993E-3</v>
      </c>
      <c r="L717">
        <v>5.4103243405978496E-4</v>
      </c>
      <c r="M717">
        <v>5.592789603166004E-4</v>
      </c>
      <c r="N717">
        <v>5.6473667135858996E-4</v>
      </c>
      <c r="O717">
        <v>5.4612392438491142E-4</v>
      </c>
      <c r="P717">
        <v>5.3573019985209136E-4</v>
      </c>
      <c r="Q717">
        <v>5.4958248556946643E-4</v>
      </c>
      <c r="R717">
        <v>1.0005219053936809E-3</v>
      </c>
      <c r="S717">
        <v>1.4592895477241186E-3</v>
      </c>
      <c r="T717">
        <v>-9.3855690865960462E-3</v>
      </c>
      <c r="U717">
        <v>-1.0650126080056221E-3</v>
      </c>
      <c r="V717">
        <v>-4.7104550222331065E-3</v>
      </c>
      <c r="W717">
        <v>0</v>
      </c>
      <c r="X717">
        <v>-4.0067170592702483E-3</v>
      </c>
      <c r="Y717">
        <v>-4.7104550222331065E-3</v>
      </c>
      <c r="Z717">
        <v>-4.5413231307670499E-3</v>
      </c>
      <c r="AA717">
        <v>2.3945599699892739E-4</v>
      </c>
      <c r="AC717">
        <v>-2.3808125329121577E-2</v>
      </c>
      <c r="AD717">
        <v>-3.1224380872880597E-2</v>
      </c>
      <c r="AE717">
        <v>0</v>
      </c>
      <c r="AF717">
        <v>-1.4142061710424647E-2</v>
      </c>
      <c r="AG717">
        <v>-1.5859753073822924E-2</v>
      </c>
      <c r="AH717">
        <v>-1.5166014110255088E-2</v>
      </c>
      <c r="AI717">
        <v>-1.842262806110595E-2</v>
      </c>
      <c r="AJ717">
        <v>3.288062902072908E-2</v>
      </c>
      <c r="AK717">
        <v>1.8110530246452594E-2</v>
      </c>
      <c r="AL717">
        <v>4.1006715700232288E-2</v>
      </c>
    </row>
    <row r="718" spans="1:38">
      <c r="A718" s="568">
        <v>44873</v>
      </c>
      <c r="B718">
        <v>5.2057738259342898E-4</v>
      </c>
      <c r="C718">
        <v>5.4564226676778738E-4</v>
      </c>
      <c r="D718">
        <v>4.7712507767427859E-4</v>
      </c>
      <c r="E718">
        <v>5.6699392160641793E-4</v>
      </c>
      <c r="F718">
        <v>5.5878139810339178E-4</v>
      </c>
      <c r="G718">
        <v>7.9917572832766126E-4</v>
      </c>
      <c r="H718">
        <v>6.2593022555090805E-4</v>
      </c>
      <c r="I718">
        <v>6.075679320360905E-4</v>
      </c>
      <c r="J718">
        <v>-4.8061617064376616E-4</v>
      </c>
      <c r="K718">
        <v>-5.9427852906968059E-4</v>
      </c>
      <c r="L718">
        <v>5.4103243405978496E-4</v>
      </c>
      <c r="M718">
        <v>5.592789603166004E-4</v>
      </c>
      <c r="N718">
        <v>5.6473667135858996E-4</v>
      </c>
      <c r="O718">
        <v>5.4612392438491142E-4</v>
      </c>
      <c r="P718">
        <v>5.3573019985209136E-4</v>
      </c>
      <c r="Q718">
        <v>5.4958248556946643E-4</v>
      </c>
      <c r="R718">
        <v>2.5423548150336206E-3</v>
      </c>
      <c r="S718">
        <v>-3.5224987505793059E-3</v>
      </c>
      <c r="T718">
        <v>-1.091775783046578E-2</v>
      </c>
      <c r="U718">
        <v>-8.6782605305291138E-4</v>
      </c>
      <c r="V718">
        <v>-1.8922373012129068E-3</v>
      </c>
      <c r="W718">
        <v>-2.5172810961030523E-3</v>
      </c>
      <c r="X718">
        <v>2.0841792044188345E-3</v>
      </c>
      <c r="Y718">
        <v>-1.8922373012129068E-3</v>
      </c>
      <c r="Z718">
        <v>-4.6601236276258007E-3</v>
      </c>
      <c r="AA718">
        <v>1.0244203168014998E-3</v>
      </c>
      <c r="AC718">
        <v>7.0914945414697339E-3</v>
      </c>
      <c r="AD718">
        <v>1.0922426750843428E-3</v>
      </c>
      <c r="AE718">
        <v>-2.261905855293378E-2</v>
      </c>
      <c r="AF718">
        <v>3.4532773831328356E-3</v>
      </c>
      <c r="AG718">
        <v>1.0229146461546712E-3</v>
      </c>
      <c r="AH718">
        <v>-1.5847181817160161E-3</v>
      </c>
      <c r="AI718">
        <v>4.5655257725449871E-3</v>
      </c>
      <c r="AJ718">
        <v>2.3068050749712743E-3</v>
      </c>
      <c r="AK718">
        <v>-6.7852558224831272E-3</v>
      </c>
      <c r="AL718">
        <v>1.3261395505892448E-2</v>
      </c>
    </row>
    <row r="719" spans="1:38">
      <c r="A719" s="568">
        <v>44874</v>
      </c>
      <c r="B719">
        <v>5.2057738259342898E-4</v>
      </c>
      <c r="C719">
        <v>5.4304740177135713E-4</v>
      </c>
      <c r="D719">
        <v>4.8034261815277368E-4</v>
      </c>
      <c r="E719">
        <v>5.6699392160641793E-4</v>
      </c>
      <c r="F719">
        <v>6.2156472817331831E-4</v>
      </c>
      <c r="G719">
        <v>5.210556454975368E-4</v>
      </c>
      <c r="H719">
        <v>6.2553868198267359E-4</v>
      </c>
      <c r="I719">
        <v>6.0711752983366729E-4</v>
      </c>
      <c r="J719">
        <v>-1.9166349747508082E-3</v>
      </c>
      <c r="K719">
        <v>-2.196048491189373E-3</v>
      </c>
      <c r="L719">
        <v>5.4103243405978496E-4</v>
      </c>
      <c r="M719">
        <v>5.592789603166004E-4</v>
      </c>
      <c r="N719">
        <v>5.6473667135858996E-4</v>
      </c>
      <c r="O719">
        <v>5.4612392438491142E-4</v>
      </c>
      <c r="P719">
        <v>5.3573019985209136E-4</v>
      </c>
      <c r="Q719">
        <v>5.4958248556946643E-4</v>
      </c>
      <c r="R719">
        <v>-1.8420871965826313E-3</v>
      </c>
      <c r="S719">
        <v>1.6199028303143237E-3</v>
      </c>
      <c r="T719">
        <v>-1.9293427275351993E-3</v>
      </c>
      <c r="U719">
        <v>3.1243878750863985E-6</v>
      </c>
      <c r="V719">
        <v>-1.2458893209794653E-3</v>
      </c>
      <c r="W719">
        <v>-6.9006283701866789E-4</v>
      </c>
      <c r="X719">
        <v>1.5899369283001175E-3</v>
      </c>
      <c r="Y719">
        <v>-1.2458893209794653E-3</v>
      </c>
      <c r="Z719">
        <v>-4.9795258845724E-3</v>
      </c>
      <c r="AA719">
        <v>3.0239334242314619E-3</v>
      </c>
      <c r="AC719">
        <v>-2.221291516425361E-2</v>
      </c>
      <c r="AD719">
        <v>-8.5680334689991478E-3</v>
      </c>
      <c r="AE719">
        <v>-1.5949687289052439E-2</v>
      </c>
      <c r="AF719">
        <v>-2.9618629181368261E-3</v>
      </c>
      <c r="AG719">
        <v>-2.4759435788390682E-5</v>
      </c>
      <c r="AH719">
        <v>-9.0160927202637131E-3</v>
      </c>
      <c r="AI719">
        <v>-1.1425314573194734E-2</v>
      </c>
      <c r="AJ719">
        <v>-1.0356731875719172E-2</v>
      </c>
      <c r="AK719">
        <v>-1.9756277695716307E-2</v>
      </c>
      <c r="AL719">
        <v>1.6618943118260177E-2</v>
      </c>
    </row>
    <row r="720" spans="1:38">
      <c r="A720" s="568">
        <v>44875</v>
      </c>
      <c r="B720">
        <v>5.2057738259342898E-4</v>
      </c>
      <c r="C720">
        <v>0</v>
      </c>
      <c r="D720">
        <v>0</v>
      </c>
      <c r="E720">
        <v>5.6699392160641793E-4</v>
      </c>
      <c r="F720">
        <v>2.4471810501114355E-4</v>
      </c>
      <c r="G720">
        <v>4.2871504828556617E-4</v>
      </c>
      <c r="H720">
        <v>0</v>
      </c>
      <c r="I720">
        <v>0</v>
      </c>
      <c r="J720">
        <v>0</v>
      </c>
      <c r="K720">
        <v>0</v>
      </c>
      <c r="L720">
        <v>5.4103243405978496E-4</v>
      </c>
      <c r="M720">
        <v>5.592789603166004E-4</v>
      </c>
      <c r="N720">
        <v>5.6473667135858996E-4</v>
      </c>
      <c r="O720">
        <v>5.4612392438491142E-4</v>
      </c>
      <c r="P720">
        <v>5.3573019985209136E-4</v>
      </c>
      <c r="Q720">
        <v>5.4958248556946643E-4</v>
      </c>
      <c r="R720">
        <v>0</v>
      </c>
      <c r="S720">
        <v>0</v>
      </c>
      <c r="T720">
        <v>0</v>
      </c>
      <c r="U720">
        <v>0</v>
      </c>
      <c r="V720">
        <v>-8.0575769761278559E-3</v>
      </c>
      <c r="W720">
        <v>0</v>
      </c>
      <c r="X720">
        <v>1.6658264687092306E-2</v>
      </c>
      <c r="Y720">
        <v>-8.0575769761278559E-3</v>
      </c>
      <c r="Z720">
        <v>0</v>
      </c>
      <c r="AA720">
        <v>0</v>
      </c>
      <c r="AC720">
        <v>-3.3497332146857683E-2</v>
      </c>
      <c r="AD720">
        <v>0</v>
      </c>
      <c r="AE720">
        <v>0</v>
      </c>
      <c r="AF720">
        <v>-1.5572634648771788E-2</v>
      </c>
      <c r="AG720">
        <v>-2.0996844238538426E-2</v>
      </c>
      <c r="AH720">
        <v>-4.1350556038683983E-3</v>
      </c>
      <c r="AI720">
        <v>-6.3720701713823158E-2</v>
      </c>
      <c r="AJ720">
        <v>8.7209302325581328E-2</v>
      </c>
      <c r="AK720">
        <v>-9.9830476549256364E-3</v>
      </c>
      <c r="AL720">
        <v>0</v>
      </c>
    </row>
    <row r="721" spans="1:38">
      <c r="A721" s="568">
        <v>44879</v>
      </c>
      <c r="B721">
        <v>5.2057738259342898E-4</v>
      </c>
      <c r="C721">
        <v>5.3678889967634369E-4</v>
      </c>
      <c r="D721">
        <v>4.8309392417245078E-4</v>
      </c>
      <c r="E721">
        <v>5.6699392160641793E-4</v>
      </c>
      <c r="F721">
        <v>4.6059614944615745E-4</v>
      </c>
      <c r="G721">
        <v>5.5141652779133743E-4</v>
      </c>
      <c r="H721">
        <v>6.2663286062725199E-4</v>
      </c>
      <c r="I721">
        <v>6.0726103193942116E-4</v>
      </c>
      <c r="J721">
        <v>7.6520668178416962E-3</v>
      </c>
      <c r="K721">
        <v>6.0396294154725361E-3</v>
      </c>
      <c r="L721">
        <v>5.4103243405978496E-4</v>
      </c>
      <c r="M721">
        <v>5.592789603166004E-4</v>
      </c>
      <c r="N721">
        <v>5.6473667135858996E-4</v>
      </c>
      <c r="O721">
        <v>5.4612392438491142E-4</v>
      </c>
      <c r="P721">
        <v>5.3573019985209136E-4</v>
      </c>
      <c r="Q721">
        <v>5.4958248556946643E-4</v>
      </c>
      <c r="R721">
        <v>-4.7157872618830421E-4</v>
      </c>
      <c r="S721">
        <v>-2.6728245865852429E-3</v>
      </c>
      <c r="T721">
        <v>2.5160754866129231E-3</v>
      </c>
      <c r="U721">
        <v>-3.7979981149216524E-4</v>
      </c>
      <c r="V721">
        <v>4.5551731728643574E-4</v>
      </c>
      <c r="W721">
        <v>8.7458760163805493E-5</v>
      </c>
      <c r="X721">
        <v>-5.8021519571305191E-4</v>
      </c>
      <c r="Y721">
        <v>4.5551731728643574E-4</v>
      </c>
      <c r="Z721">
        <v>-5.3966910866137807E-3</v>
      </c>
      <c r="AA721">
        <v>2.5268840959795646E-3</v>
      </c>
      <c r="AC721">
        <v>3.0843141080893588E-2</v>
      </c>
      <c r="AD721">
        <v>5.7893683207628222E-3</v>
      </c>
      <c r="AE721">
        <v>7.4488908309748858E-3</v>
      </c>
      <c r="AF721">
        <v>1.0521758791286917E-2</v>
      </c>
      <c r="AG721">
        <v>5.0799528690221862E-3</v>
      </c>
      <c r="AH721">
        <v>1.4180362606750485E-3</v>
      </c>
      <c r="AI721">
        <v>3.8578318113042798E-3</v>
      </c>
      <c r="AJ721">
        <v>-6.4171122994652885E-3</v>
      </c>
      <c r="AK721">
        <v>9.2846270928462538E-2</v>
      </c>
      <c r="AL721">
        <v>9.8548384895726926E-3</v>
      </c>
    </row>
    <row r="722" spans="1:38">
      <c r="A722" s="568">
        <v>44881</v>
      </c>
      <c r="B722">
        <v>5.2057738259342898E-4</v>
      </c>
      <c r="C722">
        <v>5.9374828926239687E-4</v>
      </c>
      <c r="D722">
        <v>4.9514093833136208E-4</v>
      </c>
      <c r="E722">
        <v>5.6699392160641793E-4</v>
      </c>
      <c r="F722">
        <v>3.4303864002227513E-4</v>
      </c>
      <c r="G722">
        <v>5.2347643139438738E-4</v>
      </c>
      <c r="H722">
        <v>6.2624043779035965E-4</v>
      </c>
      <c r="I722">
        <v>6.0816411876163379E-4</v>
      </c>
      <c r="J722">
        <v>-3.9599778404744157E-3</v>
      </c>
      <c r="K722">
        <v>-3.9585409128112259E-3</v>
      </c>
      <c r="L722">
        <v>5.4103243405978496E-4</v>
      </c>
      <c r="M722">
        <v>5.592789603166004E-4</v>
      </c>
      <c r="N722">
        <v>5.6473667135858996E-4</v>
      </c>
      <c r="O722">
        <v>5.4612392438491142E-4</v>
      </c>
      <c r="P722">
        <v>5.3573019985209136E-4</v>
      </c>
      <c r="Q722">
        <v>5.4958248556946643E-4</v>
      </c>
      <c r="R722">
        <v>6.7240631759748481E-3</v>
      </c>
      <c r="S722">
        <v>-1.4327405937707427E-3</v>
      </c>
      <c r="T722">
        <v>-1.2290142329488551E-3</v>
      </c>
      <c r="U722">
        <v>7.5435598773165857E-4</v>
      </c>
      <c r="V722">
        <v>-3.3788788483489762E-3</v>
      </c>
      <c r="W722">
        <v>-1.3286508025154298E-3</v>
      </c>
      <c r="X722">
        <v>1.2113444734178636E-3</v>
      </c>
      <c r="Y722">
        <v>-3.3788788483489762E-3</v>
      </c>
      <c r="Z722">
        <v>7.0872769620347054E-3</v>
      </c>
      <c r="AA722">
        <v>-1.7546831880379532E-3</v>
      </c>
      <c r="AC722">
        <v>-2.5785763469624912E-2</v>
      </c>
      <c r="AD722">
        <v>-3.571878809397333E-2</v>
      </c>
      <c r="AE722">
        <v>-2.8597403793039988E-2</v>
      </c>
      <c r="AF722">
        <v>-1.4765666296727376E-2</v>
      </c>
      <c r="AG722">
        <v>-2.0221767593180284E-2</v>
      </c>
      <c r="AH722">
        <v>-1.3322271975671374E-2</v>
      </c>
      <c r="AI722">
        <v>-1.8137530593168139E-2</v>
      </c>
      <c r="AJ722">
        <v>1.3132400430570623E-2</v>
      </c>
      <c r="AK722">
        <v>4.0912256267409575E-2</v>
      </c>
      <c r="AL722">
        <v>2.283485815512809E-2</v>
      </c>
    </row>
    <row r="723" spans="1:38">
      <c r="A723" s="568">
        <v>44882</v>
      </c>
      <c r="B723">
        <v>5.2057738259342898E-4</v>
      </c>
      <c r="C723">
        <v>4.5317751549744933E-4</v>
      </c>
      <c r="D723">
        <v>5.3024560190739756E-4</v>
      </c>
      <c r="E723">
        <v>5.6699392160641793E-4</v>
      </c>
      <c r="F723">
        <v>6.6635360290034917E-4</v>
      </c>
      <c r="G723">
        <v>5.0427802840014024E-4</v>
      </c>
      <c r="H723">
        <v>6.2641488488646146E-4</v>
      </c>
      <c r="I723">
        <v>6.0589424605539399E-4</v>
      </c>
      <c r="J723">
        <v>4.5258498073863507E-4</v>
      </c>
      <c r="K723">
        <v>6.9385239004571275E-5</v>
      </c>
      <c r="L723">
        <v>5.4103243405978496E-4</v>
      </c>
      <c r="M723">
        <v>5.592789603166004E-4</v>
      </c>
      <c r="N723">
        <v>5.6473667135858996E-4</v>
      </c>
      <c r="O723">
        <v>5.4612392438491142E-4</v>
      </c>
      <c r="P723">
        <v>5.3573019985209136E-4</v>
      </c>
      <c r="Q723">
        <v>5.4958248556946643E-4</v>
      </c>
      <c r="R723">
        <v>-4.3578516372791976E-3</v>
      </c>
      <c r="S723">
        <v>-3.5049919895702164E-3</v>
      </c>
      <c r="T723">
        <v>-4.308561978254577E-4</v>
      </c>
      <c r="U723">
        <v>1.1063130565400758E-3</v>
      </c>
      <c r="V723">
        <v>-1.2284770600491379E-3</v>
      </c>
      <c r="W723">
        <v>-2.9261403168800992E-4</v>
      </c>
      <c r="X723">
        <v>3.8048740340206333E-3</v>
      </c>
      <c r="Y723">
        <v>-1.2284770600491379E-3</v>
      </c>
      <c r="Z723">
        <v>5.9063316765253226E-3</v>
      </c>
      <c r="AA723">
        <v>-3.9525191154243799E-4</v>
      </c>
      <c r="AC723">
        <v>-4.9032444865372282E-3</v>
      </c>
      <c r="AD723">
        <v>-1.0928770417322986E-2</v>
      </c>
      <c r="AE723">
        <v>-8.8242787928479727E-3</v>
      </c>
      <c r="AF723">
        <v>-1.6593385918103998E-2</v>
      </c>
      <c r="AG723">
        <v>-4.7378165725551202E-3</v>
      </c>
      <c r="AH723">
        <v>-2.3025028711078921E-3</v>
      </c>
      <c r="AI723">
        <v>-1.0996955078319437E-2</v>
      </c>
      <c r="AJ723">
        <v>0</v>
      </c>
      <c r="AK723">
        <v>-1.1540391369794234E-2</v>
      </c>
      <c r="AL723">
        <v>6.4834452485973415E-3</v>
      </c>
    </row>
    <row r="724" spans="1:38">
      <c r="A724" s="568">
        <v>44883</v>
      </c>
      <c r="B724">
        <v>5.2057738259342898E-4</v>
      </c>
      <c r="C724">
        <v>5.1793439566449884E-4</v>
      </c>
      <c r="D724">
        <v>5.2113184733859619E-4</v>
      </c>
      <c r="E724">
        <v>5.6699392160641793E-4</v>
      </c>
      <c r="F724">
        <v>6.6104101413055893E-4</v>
      </c>
      <c r="G724">
        <v>6.999347634402131E-4</v>
      </c>
      <c r="H724">
        <v>6.2602273492684546E-4</v>
      </c>
      <c r="I724">
        <v>6.0477860047503107E-4</v>
      </c>
      <c r="J724">
        <v>-2.8885367872611978E-3</v>
      </c>
      <c r="K724">
        <v>-2.1660063860506895E-5</v>
      </c>
      <c r="L724">
        <v>5.4103243405978496E-4</v>
      </c>
      <c r="M724">
        <v>5.592789603166004E-4</v>
      </c>
      <c r="N724">
        <v>5.6473667135858996E-4</v>
      </c>
      <c r="O724">
        <v>5.4612392438491142E-4</v>
      </c>
      <c r="P724">
        <v>5.3573019985209136E-4</v>
      </c>
      <c r="Q724">
        <v>5.4958248556946643E-4</v>
      </c>
      <c r="R724">
        <v>3.9443571561781354E-4</v>
      </c>
      <c r="S724">
        <v>0</v>
      </c>
      <c r="T724">
        <v>-6.3790990221554988E-3</v>
      </c>
      <c r="U724">
        <v>-8.4257516103658503E-4</v>
      </c>
      <c r="V724">
        <v>-1.3044001619557655E-3</v>
      </c>
      <c r="W724">
        <v>2.7361999689512473E-4</v>
      </c>
      <c r="X724">
        <v>0</v>
      </c>
      <c r="Y724">
        <v>-1.3044001619557655E-3</v>
      </c>
      <c r="Z724">
        <v>3.1415482985952536E-3</v>
      </c>
      <c r="AA724">
        <v>3.3275889048147711E-3</v>
      </c>
      <c r="AC724">
        <v>-7.5896891582875048E-3</v>
      </c>
      <c r="AD724">
        <v>-6.1722509074246812E-4</v>
      </c>
      <c r="AE724">
        <v>-1.8395549514329534E-3</v>
      </c>
      <c r="AF724">
        <v>-2.2282033627696318E-4</v>
      </c>
      <c r="AG724">
        <v>-1.7137270268643423E-3</v>
      </c>
      <c r="AH724">
        <v>-2.1535633902772799E-3</v>
      </c>
      <c r="AI724">
        <v>5.2788196150328481E-3</v>
      </c>
      <c r="AJ724">
        <v>-1.2749681257968604E-3</v>
      </c>
      <c r="AK724">
        <v>-2.5380710659897998E-3</v>
      </c>
      <c r="AL724">
        <v>-2.6883208517450075E-2</v>
      </c>
    </row>
    <row r="725" spans="1:38">
      <c r="A725" s="568">
        <v>44886</v>
      </c>
      <c r="B725">
        <v>5.2057738259342898E-4</v>
      </c>
      <c r="C725">
        <v>5.4614357107918288E-4</v>
      </c>
      <c r="D725">
        <v>5.4636393331031208E-4</v>
      </c>
      <c r="E725">
        <v>5.6699392160641793E-4</v>
      </c>
      <c r="F725">
        <v>4.880612142543761E-4</v>
      </c>
      <c r="G725">
        <v>5.808869843431097E-4</v>
      </c>
      <c r="H725">
        <v>6.2619674570041362E-4</v>
      </c>
      <c r="I725">
        <v>6.0477077541554181E-4</v>
      </c>
      <c r="J725">
        <v>2.1917088425829068E-3</v>
      </c>
      <c r="K725">
        <v>1.5889689475077073E-3</v>
      </c>
      <c r="L725">
        <v>5.4103243405978496E-4</v>
      </c>
      <c r="M725">
        <v>5.592789603166004E-4</v>
      </c>
      <c r="N725">
        <v>5.6473667135858996E-4</v>
      </c>
      <c r="O725">
        <v>5.4612392438491142E-4</v>
      </c>
      <c r="P725">
        <v>5.3573019985209136E-4</v>
      </c>
      <c r="Q725">
        <v>5.4958248556946643E-4</v>
      </c>
      <c r="R725">
        <v>-4.0559639644577317E-4</v>
      </c>
      <c r="S725">
        <v>-1.6890841953931535E-3</v>
      </c>
      <c r="T725">
        <v>1.8500372810852372E-3</v>
      </c>
      <c r="U725">
        <v>-7.0022886551368568E-4</v>
      </c>
      <c r="V725">
        <v>1.128596442401264E-3</v>
      </c>
      <c r="W725">
        <v>1.0586327337738233E-3</v>
      </c>
      <c r="X725">
        <v>-2.5666810902965631E-3</v>
      </c>
      <c r="Y725">
        <v>1.128596442401264E-3</v>
      </c>
      <c r="Z725">
        <v>-2.2984312925499184E-3</v>
      </c>
      <c r="AA725">
        <v>-1.0204309479899809E-4</v>
      </c>
      <c r="AC725">
        <v>8.0647435381060451E-3</v>
      </c>
      <c r="AD725">
        <v>1.4159524106070576E-2</v>
      </c>
      <c r="AE725">
        <v>7.7866646158577524E-3</v>
      </c>
      <c r="AF725">
        <v>1.6597621875012347E-2</v>
      </c>
      <c r="AG725">
        <v>1.0427703960856682E-2</v>
      </c>
      <c r="AH725">
        <v>3.6741378648388334E-3</v>
      </c>
      <c r="AI725">
        <v>1.4093259472522046E-2</v>
      </c>
      <c r="AJ725">
        <v>-1.5319148936170146E-2</v>
      </c>
      <c r="AK725">
        <v>-2.1713316369804891E-2</v>
      </c>
      <c r="AL725">
        <v>-1.4354516820104801E-2</v>
      </c>
    </row>
    <row r="726" spans="1:38">
      <c r="A726" s="568">
        <v>44887</v>
      </c>
      <c r="B726">
        <v>5.2057738259342898E-4</v>
      </c>
      <c r="C726">
        <v>4.9806554557019211E-4</v>
      </c>
      <c r="D726">
        <v>5.2057598644750236E-4</v>
      </c>
      <c r="E726">
        <v>5.6699392160641793E-4</v>
      </c>
      <c r="F726">
        <v>5.7461374434186752E-4</v>
      </c>
      <c r="G726">
        <v>4.7861994112019524E-4</v>
      </c>
      <c r="H726">
        <v>6.2750081688167647E-4</v>
      </c>
      <c r="I726">
        <v>6.0299651016859634E-4</v>
      </c>
      <c r="J726">
        <v>-5.1210990025238878E-3</v>
      </c>
      <c r="K726">
        <v>-2.9097381300391412E-3</v>
      </c>
      <c r="L726">
        <v>5.4103243405978496E-4</v>
      </c>
      <c r="M726">
        <v>5.592789603166004E-4</v>
      </c>
      <c r="N726">
        <v>5.6473667135858996E-4</v>
      </c>
      <c r="O726">
        <v>5.4612392438491142E-4</v>
      </c>
      <c r="P726">
        <v>5.3573019985209136E-4</v>
      </c>
      <c r="Q726">
        <v>5.4958248556946643E-4</v>
      </c>
      <c r="R726">
        <v>4.1678384678083269E-3</v>
      </c>
      <c r="S726">
        <v>0</v>
      </c>
      <c r="T726">
        <v>-4.8643347222750988E-3</v>
      </c>
      <c r="U726">
        <v>3.5051868692415056E-4</v>
      </c>
      <c r="V726">
        <v>-1.1864265794577777E-3</v>
      </c>
      <c r="W726">
        <v>5.0234043004659945E-4</v>
      </c>
      <c r="X726">
        <v>-3.4748680407947763E-4</v>
      </c>
      <c r="Y726">
        <v>-1.1864265794577777E-3</v>
      </c>
      <c r="Z726">
        <v>3.5786164993238945E-3</v>
      </c>
      <c r="AA726">
        <v>-7.4840909551054935E-4</v>
      </c>
      <c r="AC726">
        <v>-6.4842988740223539E-3</v>
      </c>
      <c r="AD726">
        <v>-1.4255337547768754E-2</v>
      </c>
      <c r="AE726">
        <v>-7.3692109396676919E-3</v>
      </c>
      <c r="AF726">
        <v>-5.6869747836292284E-3</v>
      </c>
      <c r="AG726">
        <v>-7.2701491591097289E-3</v>
      </c>
      <c r="AH726">
        <v>-9.2990676665605232E-4</v>
      </c>
      <c r="AI726">
        <v>-7.0901422886866516E-3</v>
      </c>
      <c r="AJ726">
        <v>2.3768366464995694E-2</v>
      </c>
      <c r="AK726">
        <v>-1.5432633951794728E-2</v>
      </c>
      <c r="AL726">
        <v>8.5569664489502095E-3</v>
      </c>
    </row>
    <row r="727" spans="1:38">
      <c r="A727" s="568">
        <v>44888</v>
      </c>
      <c r="B727">
        <v>5.2057738259342898E-4</v>
      </c>
      <c r="C727">
        <v>5.4805593513251871E-4</v>
      </c>
      <c r="D727">
        <v>5.6586857151241787E-4</v>
      </c>
      <c r="E727">
        <v>5.6699392160641793E-4</v>
      </c>
      <c r="F727">
        <v>6.6401558941109329E-4</v>
      </c>
      <c r="G727">
        <v>5.1302088794469292E-4</v>
      </c>
      <c r="H727">
        <v>6.2597738345959719E-4</v>
      </c>
      <c r="I727">
        <v>6.0382338381415046E-4</v>
      </c>
      <c r="J727">
        <v>-3.3620400794186489E-3</v>
      </c>
      <c r="K727">
        <v>-3.4630846168622886E-3</v>
      </c>
      <c r="L727">
        <v>5.4103243405978496E-4</v>
      </c>
      <c r="M727">
        <v>5.592789603166004E-4</v>
      </c>
      <c r="N727">
        <v>5.6473667135858996E-4</v>
      </c>
      <c r="O727">
        <v>5.4612392438491142E-4</v>
      </c>
      <c r="P727">
        <v>5.3573019985209136E-4</v>
      </c>
      <c r="Q727">
        <v>5.4958248556946643E-4</v>
      </c>
      <c r="R727">
        <v>5.2156174217050655E-3</v>
      </c>
      <c r="S727">
        <v>0</v>
      </c>
      <c r="T727">
        <v>-7.5227080223009279E-3</v>
      </c>
      <c r="U727">
        <v>-8.6042075337389168E-4</v>
      </c>
      <c r="V727">
        <v>-2.1455559159485604E-3</v>
      </c>
      <c r="W727">
        <v>-7.3149058303134673E-5</v>
      </c>
      <c r="X727">
        <v>-2.3549580889764554E-3</v>
      </c>
      <c r="Y727">
        <v>-2.1455559159485604E-3</v>
      </c>
      <c r="Z727">
        <v>6.0767602122850928E-3</v>
      </c>
      <c r="AA727">
        <v>-7.2790193183791541E-4</v>
      </c>
      <c r="AC727">
        <v>-1.7919680870284171E-3</v>
      </c>
      <c r="AD727">
        <v>-1.1048500244315695E-2</v>
      </c>
      <c r="AE727">
        <v>-3.8578754828245687E-3</v>
      </c>
      <c r="AF727">
        <v>-4.4873067682498213E-3</v>
      </c>
      <c r="AG727">
        <v>-4.0223044650611328E-3</v>
      </c>
      <c r="AH727">
        <v>-3.8492230571798292E-3</v>
      </c>
      <c r="AI727">
        <v>2.2492482775482436E-4</v>
      </c>
      <c r="AJ727">
        <v>3.5880118193329924E-3</v>
      </c>
      <c r="AK727">
        <v>8.2775625220148363E-3</v>
      </c>
      <c r="AL727">
        <v>1.0766646764728938E-2</v>
      </c>
    </row>
    <row r="728" spans="1:38">
      <c r="A728" s="568">
        <v>44889</v>
      </c>
      <c r="B728">
        <v>5.2057738259342898E-4</v>
      </c>
      <c r="C728">
        <v>5.9624499468680092E-4</v>
      </c>
      <c r="D728">
        <v>4.7300423794172097E-4</v>
      </c>
      <c r="E728">
        <v>5.6699392160641793E-4</v>
      </c>
      <c r="F728">
        <v>5.813753637331498E-4</v>
      </c>
      <c r="G728">
        <v>5.4126668611154116E-4</v>
      </c>
      <c r="H728">
        <v>6.2615038901503439E-4</v>
      </c>
      <c r="I728">
        <v>6.0485529613041322E-4</v>
      </c>
      <c r="J728">
        <v>5.1717238117581221E-3</v>
      </c>
      <c r="K728">
        <v>2.1996146319749332E-3</v>
      </c>
      <c r="L728">
        <v>5.4103243405978496E-4</v>
      </c>
      <c r="M728">
        <v>5.592789603166004E-4</v>
      </c>
      <c r="N728">
        <v>5.6473667135858996E-4</v>
      </c>
      <c r="O728">
        <v>5.4612392438491142E-4</v>
      </c>
      <c r="P728">
        <v>5.3573019985209136E-4</v>
      </c>
      <c r="Q728">
        <v>5.4958248556946643E-4</v>
      </c>
      <c r="R728">
        <v>-2.9513969847294597E-5</v>
      </c>
      <c r="S728">
        <v>-3.494496364545796E-3</v>
      </c>
      <c r="T728">
        <v>4.0397782039232055E-3</v>
      </c>
      <c r="U728">
        <v>5.7241177486844208E-7</v>
      </c>
      <c r="V728">
        <v>2.648727358981473E-3</v>
      </c>
      <c r="W728">
        <v>1.1293482504839414E-3</v>
      </c>
      <c r="X728">
        <v>3.7170589253898711E-5</v>
      </c>
      <c r="Y728">
        <v>2.648727358981473E-3</v>
      </c>
      <c r="Z728">
        <v>-8.8148867350017479E-3</v>
      </c>
      <c r="AA728">
        <v>1.2702699080224811E-4</v>
      </c>
      <c r="AC728">
        <v>2.7471319441222386E-2</v>
      </c>
      <c r="AD728">
        <v>3.4013068836041382E-2</v>
      </c>
      <c r="AE728">
        <v>2.6470140235791195E-2</v>
      </c>
      <c r="AF728">
        <v>1.5965419618160448E-2</v>
      </c>
      <c r="AG728">
        <v>1.7117490521830536E-2</v>
      </c>
      <c r="AH728">
        <v>3.7277584347616965E-3</v>
      </c>
      <c r="AI728">
        <v>0</v>
      </c>
      <c r="AJ728">
        <v>7.2765509989485277E-3</v>
      </c>
      <c r="AK728">
        <v>5.4148471615720339E-3</v>
      </c>
      <c r="AL728">
        <v>4.5938454282514751E-3</v>
      </c>
    </row>
    <row r="729" spans="1:38">
      <c r="A729" s="568">
        <v>44890</v>
      </c>
      <c r="B729">
        <v>5.2057738259342898E-4</v>
      </c>
      <c r="C729">
        <v>5.412008604939178E-4</v>
      </c>
      <c r="D729">
        <v>4.7963250361782173E-4</v>
      </c>
      <c r="E729">
        <v>5.6699392160641793E-4</v>
      </c>
      <c r="F729">
        <v>5.9784134836560199E-4</v>
      </c>
      <c r="G729">
        <v>5.112764960817362E-4</v>
      </c>
      <c r="H729">
        <v>6.2632282483998658E-4</v>
      </c>
      <c r="I729">
        <v>6.1952659920261333E-4</v>
      </c>
      <c r="J729">
        <v>-4.74737455623786E-3</v>
      </c>
      <c r="K729">
        <v>-4.1177400662322228E-3</v>
      </c>
      <c r="L729">
        <v>5.4103243405978496E-4</v>
      </c>
      <c r="M729">
        <v>5.592789603166004E-4</v>
      </c>
      <c r="N729">
        <v>5.6473667135858996E-4</v>
      </c>
      <c r="O729">
        <v>5.4612392438491142E-4</v>
      </c>
      <c r="P729">
        <v>5.3573019985209136E-4</v>
      </c>
      <c r="Q729">
        <v>5.4958248556946643E-4</v>
      </c>
      <c r="R729">
        <v>2.295074032075517E-3</v>
      </c>
      <c r="S729">
        <v>2.0075725551220724E-3</v>
      </c>
      <c r="T729">
        <v>4.9687739286707888E-4</v>
      </c>
      <c r="U729">
        <v>1.4528438545526878E-3</v>
      </c>
      <c r="V729">
        <v>-1.61658112805807E-3</v>
      </c>
      <c r="W729">
        <v>-5.2317740772966914E-5</v>
      </c>
      <c r="X729">
        <v>2.0313596974133041E-3</v>
      </c>
      <c r="Y729">
        <v>-1.61658112805807E-3</v>
      </c>
      <c r="Z729">
        <v>4.8049380418162535E-3</v>
      </c>
      <c r="AA729">
        <v>-2.8253018160362409E-4</v>
      </c>
      <c r="AC729">
        <v>-2.552472852825638E-2</v>
      </c>
      <c r="AD729">
        <v>-3.2291488816502234E-2</v>
      </c>
      <c r="AE729">
        <v>-2.6841534952387613E-2</v>
      </c>
      <c r="AF729">
        <v>-1.168888960366421E-2</v>
      </c>
      <c r="AG729">
        <v>-1.2994530470652688E-2</v>
      </c>
      <c r="AH729">
        <v>-9.1472660561090491E-3</v>
      </c>
      <c r="AI729">
        <v>-1.6783588125061089E-3</v>
      </c>
      <c r="AJ729">
        <v>2.1713713044930749E-3</v>
      </c>
      <c r="AK729">
        <v>-9.0340514246004533E-3</v>
      </c>
      <c r="AL729">
        <v>1.9778017587134267E-2</v>
      </c>
    </row>
    <row r="730" spans="1:38">
      <c r="A730" s="568">
        <v>44893</v>
      </c>
      <c r="B730">
        <v>5.2057738259342898E-4</v>
      </c>
      <c r="C730">
        <v>5.231339126023915E-4</v>
      </c>
      <c r="D730">
        <v>4.6912965442436061E-4</v>
      </c>
      <c r="E730">
        <v>5.6699392160641793E-4</v>
      </c>
      <c r="F730">
        <v>3.8625614791043539E-4</v>
      </c>
      <c r="G730">
        <v>5.1895722088590723E-4</v>
      </c>
      <c r="H730">
        <v>6.2593079009953811E-4</v>
      </c>
      <c r="I730">
        <v>6.1693869216883357E-4</v>
      </c>
      <c r="J730">
        <v>3.0704439439028786E-3</v>
      </c>
      <c r="K730">
        <v>1.4562740045165334E-3</v>
      </c>
      <c r="L730">
        <v>5.4103243405978496E-4</v>
      </c>
      <c r="M730">
        <v>5.592789603166004E-4</v>
      </c>
      <c r="N730">
        <v>5.6473667135858996E-4</v>
      </c>
      <c r="O730">
        <v>5.4612392438491142E-4</v>
      </c>
      <c r="P730">
        <v>5.3573019985209136E-4</v>
      </c>
      <c r="Q730">
        <v>5.4958248556946643E-4</v>
      </c>
      <c r="R730">
        <v>-1.0595123180821009E-3</v>
      </c>
      <c r="S730">
        <v>1.7892974709854403E-3</v>
      </c>
      <c r="T730">
        <v>3.3764971548444489E-3</v>
      </c>
      <c r="U730">
        <v>-1.9066037868259444E-3</v>
      </c>
      <c r="V730">
        <v>-1.0311970003140658E-4</v>
      </c>
      <c r="W730">
        <v>-5.5433762707168821E-4</v>
      </c>
      <c r="X730">
        <v>-1.6232359589539724E-3</v>
      </c>
      <c r="Y730">
        <v>-1.0311970003140658E-4</v>
      </c>
      <c r="Z730">
        <v>-2.8085216738005236E-3</v>
      </c>
      <c r="AA730">
        <v>5.2246456756233073E-4</v>
      </c>
      <c r="AC730">
        <v>-1.7852440016994375E-3</v>
      </c>
      <c r="AD730">
        <v>-6.3345675012459468E-3</v>
      </c>
      <c r="AE730">
        <v>-2.4774544864629711E-3</v>
      </c>
      <c r="AF730">
        <v>-4.8088196341375955E-3</v>
      </c>
      <c r="AG730">
        <v>-1.8768562428113089E-3</v>
      </c>
      <c r="AH730">
        <v>-4.0334453206051224E-3</v>
      </c>
      <c r="AI730">
        <v>-1.7624135298893728E-3</v>
      </c>
      <c r="AJ730">
        <v>-2.2083333333333344E-2</v>
      </c>
      <c r="AK730">
        <v>-9.6423562412342179E-3</v>
      </c>
      <c r="AL730">
        <v>-1.1542322090338453E-2</v>
      </c>
    </row>
    <row r="731" spans="1:38">
      <c r="A731" s="568">
        <v>44894</v>
      </c>
      <c r="B731">
        <v>5.2057738259342898E-4</v>
      </c>
      <c r="C731">
        <v>5.6885252694494071E-4</v>
      </c>
      <c r="D731">
        <v>4.8015568387960172E-4</v>
      </c>
      <c r="E731">
        <v>5.6699392160641793E-4</v>
      </c>
      <c r="F731">
        <v>5.5584487675175431E-4</v>
      </c>
      <c r="G731">
        <v>6.5194813504421134E-4</v>
      </c>
      <c r="H731">
        <v>6.2722989243546579E-4</v>
      </c>
      <c r="I731">
        <v>6.1544023858761676E-4</v>
      </c>
      <c r="J731">
        <v>9.7750917840830898E-3</v>
      </c>
      <c r="K731">
        <v>7.4452695614137809E-3</v>
      </c>
      <c r="L731">
        <v>5.4103243405978496E-4</v>
      </c>
      <c r="M731">
        <v>5.592789603166004E-4</v>
      </c>
      <c r="N731">
        <v>5.6473667135858996E-4</v>
      </c>
      <c r="O731">
        <v>5.4612392438491142E-4</v>
      </c>
      <c r="P731">
        <v>5.3573019985209136E-4</v>
      </c>
      <c r="Q731">
        <v>5.4958248556946643E-4</v>
      </c>
      <c r="R731">
        <v>-1.2669855060161161E-3</v>
      </c>
      <c r="S731">
        <v>-1.0396309097182588E-4</v>
      </c>
      <c r="T731">
        <v>2.546360142880566E-3</v>
      </c>
      <c r="U731">
        <v>-4.8314502788227021E-4</v>
      </c>
      <c r="V731">
        <v>1.6720279812345584E-3</v>
      </c>
      <c r="W731">
        <v>8.3326555299234606E-4</v>
      </c>
      <c r="X731">
        <v>1.3311796044601643E-4</v>
      </c>
      <c r="Y731">
        <v>1.6720279812345584E-3</v>
      </c>
      <c r="Z731">
        <v>-1.1226414625658987E-2</v>
      </c>
      <c r="AA731">
        <v>-1.5196640341040846E-3</v>
      </c>
      <c r="AC731">
        <v>1.9557068875730055E-2</v>
      </c>
      <c r="AD731">
        <v>1.7564313996149439E-2</v>
      </c>
      <c r="AE731">
        <v>1.7458287368123271E-2</v>
      </c>
      <c r="AF731">
        <v>1.1887022289535532E-2</v>
      </c>
      <c r="AG731">
        <v>1.1268086508060549E-2</v>
      </c>
      <c r="AH731">
        <v>-1.932273991681055E-3</v>
      </c>
      <c r="AI731">
        <v>9.3271038100803949E-3</v>
      </c>
      <c r="AJ731">
        <v>-2.0025564550489983E-2</v>
      </c>
      <c r="AK731">
        <v>5.7001239157372874E-2</v>
      </c>
      <c r="AL731">
        <v>-1.5249239372642998E-2</v>
      </c>
    </row>
    <row r="732" spans="1:38">
      <c r="A732" s="568">
        <v>44895</v>
      </c>
      <c r="B732">
        <v>5.2057738259342898E-4</v>
      </c>
      <c r="C732">
        <v>5.4613869873687548E-4</v>
      </c>
      <c r="D732">
        <v>5.8353436108360413E-4</v>
      </c>
      <c r="E732">
        <v>5.6699392160641793E-4</v>
      </c>
      <c r="F732">
        <v>4.4107328080222885E-4</v>
      </c>
      <c r="G732">
        <v>5.7139505489667286E-4</v>
      </c>
      <c r="H732">
        <v>6.2627352608890519E-4</v>
      </c>
      <c r="I732">
        <v>6.1460261553691886E-4</v>
      </c>
      <c r="J732">
        <v>4.4580556414679506E-3</v>
      </c>
      <c r="K732">
        <v>3.0419437332005472E-3</v>
      </c>
      <c r="L732">
        <v>5.4103243405978496E-4</v>
      </c>
      <c r="M732">
        <v>5.592789603166004E-4</v>
      </c>
      <c r="N732">
        <v>5.6473667135858996E-4</v>
      </c>
      <c r="O732">
        <v>5.4612392438491142E-4</v>
      </c>
      <c r="P732">
        <v>5.3573019985209136E-4</v>
      </c>
      <c r="Q732">
        <v>5.4958248556946643E-4</v>
      </c>
      <c r="R732">
        <v>7.842961317069852E-3</v>
      </c>
      <c r="S732">
        <v>2.5906549783700772E-3</v>
      </c>
      <c r="T732">
        <v>5.466962137915754E-3</v>
      </c>
      <c r="U732">
        <v>-1.574847762488174E-3</v>
      </c>
      <c r="V732">
        <v>1.9189653359503733E-3</v>
      </c>
      <c r="W732">
        <v>9.1340821003971229E-4</v>
      </c>
      <c r="X732">
        <v>1.5362585075211488E-3</v>
      </c>
      <c r="Y732">
        <v>1.9189653359503733E-3</v>
      </c>
      <c r="Z732">
        <v>-3.7399159349049693E-4</v>
      </c>
      <c r="AA732">
        <v>0</v>
      </c>
      <c r="AC732">
        <v>1.4213376099690533E-2</v>
      </c>
      <c r="AD732">
        <v>8.63356566747564E-3</v>
      </c>
      <c r="AE732">
        <v>1.2062398248528838E-2</v>
      </c>
      <c r="AF732">
        <v>1.3322226435636075E-2</v>
      </c>
      <c r="AG732">
        <v>9.4584798062278264E-3</v>
      </c>
      <c r="AH732">
        <v>1.2058369643147548E-2</v>
      </c>
      <c r="AI732">
        <v>1.0626543822658041E-2</v>
      </c>
      <c r="AJ732">
        <v>1.4130434782608781E-2</v>
      </c>
      <c r="AK732">
        <v>2.6796181544129993E-2</v>
      </c>
      <c r="AL732">
        <v>1.454448582376644E-3</v>
      </c>
    </row>
    <row r="733" spans="1:38">
      <c r="A733" s="568">
        <v>44896</v>
      </c>
      <c r="B733">
        <v>5.2057738259342898E-4</v>
      </c>
      <c r="C733">
        <v>5.0267353860999897E-4</v>
      </c>
      <c r="D733">
        <v>4.649922387323091E-4</v>
      </c>
      <c r="E733">
        <v>5.6699392160641793E-4</v>
      </c>
      <c r="F733">
        <v>4.3379792693798436E-4</v>
      </c>
      <c r="G733">
        <v>4.8313809605149416E-4</v>
      </c>
      <c r="H733">
        <v>6.2700723928821311E-4</v>
      </c>
      <c r="I733">
        <v>6.1768181099108865E-4</v>
      </c>
      <c r="J733">
        <v>-3.1092461574490082E-3</v>
      </c>
      <c r="K733">
        <v>-1.6199650352405337E-3</v>
      </c>
      <c r="L733">
        <v>5.750386562033416E-4</v>
      </c>
      <c r="M733">
        <v>5.9328580262008046E-4</v>
      </c>
      <c r="N733">
        <v>5.9874369915791092E-4</v>
      </c>
      <c r="O733">
        <v>5.4612392438491142E-4</v>
      </c>
      <c r="P733">
        <v>5.3573019985209136E-4</v>
      </c>
      <c r="Q733">
        <v>5.4958248556946643E-4</v>
      </c>
      <c r="R733">
        <v>5.5983491957132259E-3</v>
      </c>
      <c r="S733">
        <v>-2.8169340246195773E-3</v>
      </c>
      <c r="T733">
        <v>-8.2917597613252347E-4</v>
      </c>
      <c r="U733">
        <v>4.7859376832160017E-4</v>
      </c>
      <c r="V733">
        <v>-8.7018881785516644E-4</v>
      </c>
      <c r="W733">
        <v>-4.2324806612259458E-5</v>
      </c>
      <c r="X733">
        <v>-7.0251238416374484E-3</v>
      </c>
      <c r="Y733">
        <v>-8.7018881785516644E-4</v>
      </c>
      <c r="Z733">
        <v>-3.2581347926792237E-3</v>
      </c>
      <c r="AA733">
        <v>1.8781829784577653E-3</v>
      </c>
      <c r="AC733">
        <v>-1.3872036175876401E-2</v>
      </c>
      <c r="AD733">
        <v>-1.3919542940888263E-2</v>
      </c>
      <c r="AE733">
        <v>-1.1715502013888046E-2</v>
      </c>
      <c r="AF733">
        <v>-6.186777627957829E-3</v>
      </c>
      <c r="AG733">
        <v>-7.2882225688809532E-3</v>
      </c>
      <c r="AH733">
        <v>-8.783236097260616E-4</v>
      </c>
      <c r="AI733">
        <v>2.4050002134521353E-3</v>
      </c>
      <c r="AJ733">
        <v>1.071811361200492E-3</v>
      </c>
      <c r="AK733">
        <v>4.2407437612135279E-3</v>
      </c>
      <c r="AL733">
        <v>2.0871859350900523E-2</v>
      </c>
    </row>
    <row r="734" spans="1:38">
      <c r="A734" s="568">
        <v>44897</v>
      </c>
      <c r="B734">
        <v>5.2057738259342898E-4</v>
      </c>
      <c r="C734">
        <v>5.5295456561266221E-4</v>
      </c>
      <c r="D734">
        <v>5.0383293837130694E-4</v>
      </c>
      <c r="E734">
        <v>5.6699392160641793E-4</v>
      </c>
      <c r="F734">
        <v>5.1072085398784495E-4</v>
      </c>
      <c r="G734">
        <v>5.666306949427824E-4</v>
      </c>
      <c r="H734">
        <v>6.2042695274167059E-4</v>
      </c>
      <c r="I734">
        <v>6.1673093778247257E-4</v>
      </c>
      <c r="J734">
        <v>2.4182806375501187E-3</v>
      </c>
      <c r="K734">
        <v>2.2568346152209706E-3</v>
      </c>
      <c r="L734">
        <v>5.750386562033416E-4</v>
      </c>
      <c r="M734">
        <v>5.9328580262008046E-4</v>
      </c>
      <c r="N734">
        <v>5.9874369915791092E-4</v>
      </c>
      <c r="O734">
        <v>5.4612392438491142E-4</v>
      </c>
      <c r="P734">
        <v>5.3573019985209136E-4</v>
      </c>
      <c r="Q734">
        <v>5.4958248556946643E-4</v>
      </c>
      <c r="R734">
        <v>2.5838062448195753E-3</v>
      </c>
      <c r="S734">
        <v>7.9462696201937355E-4</v>
      </c>
      <c r="T734">
        <v>1.6359685273752422E-3</v>
      </c>
      <c r="U734">
        <v>2.1094958349565651E-3</v>
      </c>
      <c r="V734">
        <v>1.4333419406793446E-3</v>
      </c>
      <c r="W734">
        <v>5.2260391503633485E-5</v>
      </c>
      <c r="X734">
        <v>6.100414856719194E-3</v>
      </c>
      <c r="Y734">
        <v>1.4333419406793446E-3</v>
      </c>
      <c r="Z734">
        <v>-3.6191450074130049E-3</v>
      </c>
      <c r="AA734">
        <v>-1.507978576366642E-3</v>
      </c>
      <c r="AC734">
        <v>8.9999963939793037E-3</v>
      </c>
      <c r="AD734">
        <v>1.0367147183914627E-2</v>
      </c>
      <c r="AE734">
        <v>9.8137833749247783E-3</v>
      </c>
      <c r="AF734">
        <v>1.1781245886880676E-2</v>
      </c>
      <c r="AG734">
        <v>3.3283338364880066E-3</v>
      </c>
      <c r="AH734">
        <v>-6.4528732837066949E-3</v>
      </c>
      <c r="AI734">
        <v>1.0116439707577918E-2</v>
      </c>
      <c r="AJ734">
        <v>4.0685224839400735E-3</v>
      </c>
      <c r="AK734">
        <v>2.2738346597368508E-3</v>
      </c>
      <c r="AL734">
        <v>9.1600227665449285E-3</v>
      </c>
    </row>
    <row r="735" spans="1:38">
      <c r="A735" s="568">
        <v>44900</v>
      </c>
      <c r="B735">
        <v>5.2057738259342898E-4</v>
      </c>
      <c r="C735">
        <v>5.2471509576701436E-4</v>
      </c>
      <c r="D735">
        <v>4.943078957513336E-4</v>
      </c>
      <c r="E735">
        <v>5.6699392160641793E-4</v>
      </c>
      <c r="F735">
        <v>5.7003245201081576E-4</v>
      </c>
      <c r="G735">
        <v>5.2927047313144904E-4</v>
      </c>
      <c r="H735">
        <v>6.2397725349949695E-4</v>
      </c>
      <c r="I735">
        <v>6.161442000398587E-4</v>
      </c>
      <c r="J735">
        <v>-3.1583670941472963E-3</v>
      </c>
      <c r="K735">
        <v>-5.5622338867844512E-4</v>
      </c>
      <c r="L735">
        <v>5.750386562033416E-4</v>
      </c>
      <c r="M735">
        <v>5.9328580262008046E-4</v>
      </c>
      <c r="N735">
        <v>5.9874369915791092E-4</v>
      </c>
      <c r="O735">
        <v>5.4612392438491142E-4</v>
      </c>
      <c r="P735">
        <v>5.3573019985209136E-4</v>
      </c>
      <c r="Q735">
        <v>5.4958248556946643E-4</v>
      </c>
      <c r="R735">
        <v>-5.6928465568996112E-3</v>
      </c>
      <c r="S735">
        <v>5.0623832805940516E-4</v>
      </c>
      <c r="T735">
        <v>-3.3895655711960737E-3</v>
      </c>
      <c r="U735">
        <v>-1.2234759066253043E-3</v>
      </c>
      <c r="V735">
        <v>-3.210023840272247E-3</v>
      </c>
      <c r="W735">
        <v>-5.8347189531182675E-4</v>
      </c>
      <c r="X735">
        <v>2.6783773509075903E-3</v>
      </c>
      <c r="Y735">
        <v>-3.210023840272247E-3</v>
      </c>
      <c r="Z735">
        <v>2.4213804993493682E-3</v>
      </c>
      <c r="AA735">
        <v>3.3656145194964626E-3</v>
      </c>
      <c r="AC735">
        <v>-2.2537807598428605E-2</v>
      </c>
      <c r="AD735">
        <v>-3.7026027206890078E-2</v>
      </c>
      <c r="AE735">
        <v>-2.4463159568390624E-2</v>
      </c>
      <c r="AF735">
        <v>-1.3861904794175484E-2</v>
      </c>
      <c r="AG735">
        <v>-1.7368073345324975E-2</v>
      </c>
      <c r="AH735">
        <v>-1.4695611823131394E-2</v>
      </c>
      <c r="AI735">
        <v>-1.2609540508244255E-2</v>
      </c>
      <c r="AJ735">
        <v>-6.1846875666452528E-3</v>
      </c>
      <c r="AK735">
        <v>4.6994004213255502E-2</v>
      </c>
      <c r="AL735">
        <v>1.8788533863140167E-2</v>
      </c>
    </row>
    <row r="736" spans="1:38">
      <c r="A736" s="568">
        <v>44901</v>
      </c>
      <c r="B736">
        <v>5.2057738259342898E-4</v>
      </c>
      <c r="C736">
        <v>5.213261341039388E-4</v>
      </c>
      <c r="D736">
        <v>4.9064961325995249E-4</v>
      </c>
      <c r="E736">
        <v>5.6699392160641793E-4</v>
      </c>
      <c r="F736">
        <v>5.0347127255445656E-4</v>
      </c>
      <c r="G736">
        <v>6.9250100804829628E-4</v>
      </c>
      <c r="H736">
        <v>6.224645664292261E-4</v>
      </c>
      <c r="I736">
        <v>6.2325868611412538E-4</v>
      </c>
      <c r="J736">
        <v>-1.2060237308660904E-3</v>
      </c>
      <c r="K736">
        <v>-3.5416226440876386E-4</v>
      </c>
      <c r="L736">
        <v>5.750386562033416E-4</v>
      </c>
      <c r="M736">
        <v>5.9328580262008046E-4</v>
      </c>
      <c r="N736">
        <v>5.9874369915791092E-4</v>
      </c>
      <c r="O736">
        <v>5.4612392438491142E-4</v>
      </c>
      <c r="P736">
        <v>5.3573019985209136E-4</v>
      </c>
      <c r="Q736">
        <v>5.4958248556946643E-4</v>
      </c>
      <c r="R736">
        <v>5.3929805946184572E-4</v>
      </c>
      <c r="S736">
        <v>-2.1718803316289614E-3</v>
      </c>
      <c r="T736">
        <v>4.0346725198370237E-4</v>
      </c>
      <c r="U736">
        <v>1.115072033640585E-3</v>
      </c>
      <c r="V736">
        <v>-1.2188705717293136E-3</v>
      </c>
      <c r="W736">
        <v>2.0137427136868169E-4</v>
      </c>
      <c r="X736">
        <v>-3.9234012452048495E-3</v>
      </c>
      <c r="Y736">
        <v>-1.2188705717293136E-3</v>
      </c>
      <c r="Z736">
        <v>5.5098003103326576E-5</v>
      </c>
      <c r="AA736">
        <v>-3.8396673333018772E-3</v>
      </c>
      <c r="AC736">
        <v>7.1951540661130409E-3</v>
      </c>
      <c r="AD736">
        <v>3.6553521721987003E-3</v>
      </c>
      <c r="AE736">
        <v>2.2419648103182421E-3</v>
      </c>
      <c r="AF736">
        <v>-1.3071215207642317E-2</v>
      </c>
      <c r="AG736">
        <v>-3.9574905841623931E-3</v>
      </c>
      <c r="AH736">
        <v>-6.7893979899884549E-3</v>
      </c>
      <c r="AI736">
        <v>-9.3772332778879752E-3</v>
      </c>
      <c r="AJ736">
        <v>-2.3605150214592308E-2</v>
      </c>
      <c r="AK736">
        <v>-6.1909921064851048E-3</v>
      </c>
      <c r="AL736">
        <v>-2.8078734851063047E-2</v>
      </c>
    </row>
    <row r="737" spans="1:38">
      <c r="A737" s="568">
        <v>44902</v>
      </c>
      <c r="B737">
        <v>5.2057738259342898E-4</v>
      </c>
      <c r="C737">
        <v>5.9031496531880556E-4</v>
      </c>
      <c r="D737">
        <v>4.8602163746869209E-4</v>
      </c>
      <c r="E737">
        <v>5.6699392160641793E-4</v>
      </c>
      <c r="F737">
        <v>5.2664934972179722E-4</v>
      </c>
      <c r="G737">
        <v>5.4028995401056434E-4</v>
      </c>
      <c r="H737">
        <v>6.2207734532426784E-4</v>
      </c>
      <c r="I737">
        <v>5.9024497397763831E-4</v>
      </c>
      <c r="J737">
        <v>1.3499463583117599E-3</v>
      </c>
      <c r="K737">
        <v>1.836808170992521E-3</v>
      </c>
      <c r="L737">
        <v>5.750386562033416E-4</v>
      </c>
      <c r="M737">
        <v>5.9328580262008046E-4</v>
      </c>
      <c r="N737">
        <v>5.9874369915791092E-4</v>
      </c>
      <c r="O737">
        <v>5.4612392438491142E-4</v>
      </c>
      <c r="P737">
        <v>5.3573019985209136E-4</v>
      </c>
      <c r="Q737">
        <v>5.4958248556946643E-4</v>
      </c>
      <c r="R737">
        <v>4.2413982189981603E-3</v>
      </c>
      <c r="S737">
        <v>-5.9152256538430592E-4</v>
      </c>
      <c r="T737">
        <v>8.7654772228855649E-3</v>
      </c>
      <c r="U737">
        <v>8.8466548240595522E-4</v>
      </c>
      <c r="V737">
        <v>4.2141860036348788E-4</v>
      </c>
      <c r="W737">
        <v>6.1177802308409746E-4</v>
      </c>
      <c r="X737">
        <v>-2.2023969095927853E-3</v>
      </c>
      <c r="Y737">
        <v>4.2141860036348788E-4</v>
      </c>
      <c r="Z737">
        <v>-3.1158289378084847E-3</v>
      </c>
      <c r="AA737">
        <v>-9.1001024251635698E-6</v>
      </c>
      <c r="AC737">
        <v>-1.0164575146042854E-2</v>
      </c>
      <c r="AD737">
        <v>-7.3646467551271577E-3</v>
      </c>
      <c r="AE737">
        <v>-9.9378005272461323E-3</v>
      </c>
      <c r="AF737">
        <v>2.8375025842464208E-3</v>
      </c>
      <c r="AG737">
        <v>-1.6712532526871327E-3</v>
      </c>
      <c r="AH737">
        <v>-2.1367868648308752E-3</v>
      </c>
      <c r="AI737">
        <v>-3.6320771648096217E-3</v>
      </c>
      <c r="AJ737">
        <v>-7.0329670329669636E-3</v>
      </c>
      <c r="AK737">
        <v>-2.8500233608472092E-2</v>
      </c>
      <c r="AL737">
        <v>-2.2317751331526914E-2</v>
      </c>
    </row>
    <row r="738" spans="1:38">
      <c r="A738" s="568">
        <v>44903</v>
      </c>
      <c r="B738">
        <v>5.2057738259342898E-4</v>
      </c>
      <c r="C738">
        <v>5.612336079789948E-4</v>
      </c>
      <c r="D738">
        <v>4.8140030969445746E-4</v>
      </c>
      <c r="E738">
        <v>5.6699392160641793E-4</v>
      </c>
      <c r="F738">
        <v>5.2005269669064269E-4</v>
      </c>
      <c r="G738">
        <v>5.2833896490267485E-4</v>
      </c>
      <c r="H738">
        <v>6.2225169828700189E-4</v>
      </c>
      <c r="I738">
        <v>6.2110281775140663E-4</v>
      </c>
      <c r="J738">
        <v>1.3026605374273359E-3</v>
      </c>
      <c r="K738">
        <v>-5.216445983715623E-4</v>
      </c>
      <c r="L738">
        <v>5.750386562033416E-4</v>
      </c>
      <c r="M738">
        <v>5.9328580262008046E-4</v>
      </c>
      <c r="N738">
        <v>5.9874369915791092E-4</v>
      </c>
      <c r="O738">
        <v>5.4612392438491142E-4</v>
      </c>
      <c r="P738">
        <v>5.3573019985209136E-4</v>
      </c>
      <c r="Q738">
        <v>5.4958248556946643E-4</v>
      </c>
      <c r="R738">
        <v>-1.1792960277263731E-3</v>
      </c>
      <c r="S738">
        <v>-1.4305274846097005E-3</v>
      </c>
      <c r="T738">
        <v>-2.395109750582991E-3</v>
      </c>
      <c r="U738">
        <v>-6.0433765736600531E-4</v>
      </c>
      <c r="V738">
        <v>-1.3229602717004241E-3</v>
      </c>
      <c r="W738">
        <v>-5.2677461516159596E-5</v>
      </c>
      <c r="X738">
        <v>1.2663447729299726E-3</v>
      </c>
      <c r="Y738">
        <v>-1.3229602717004241E-3</v>
      </c>
      <c r="Z738">
        <v>-2.6259612579335734E-3</v>
      </c>
      <c r="AA738">
        <v>3.4181725505715299E-3</v>
      </c>
      <c r="AC738">
        <v>-1.6682260835043761E-2</v>
      </c>
      <c r="AD738">
        <v>-1.8504376449287707E-2</v>
      </c>
      <c r="AE738">
        <v>-1.4448962510862251E-2</v>
      </c>
      <c r="AF738">
        <v>-1.2902209349003435E-2</v>
      </c>
      <c r="AG738">
        <v>-1.1384995140475973E-2</v>
      </c>
      <c r="AH738">
        <v>-7.6202460114024317E-3</v>
      </c>
      <c r="AI738">
        <v>5.5792358798525399E-3</v>
      </c>
      <c r="AJ738">
        <v>9.2961487383798058E-3</v>
      </c>
      <c r="AK738">
        <v>3.7031099711445803E-2</v>
      </c>
      <c r="AL738">
        <v>1.0223604763527128E-2</v>
      </c>
    </row>
    <row r="739" spans="1:38">
      <c r="A739" s="568">
        <v>44904</v>
      </c>
      <c r="B739">
        <v>5.2057738259342898E-4</v>
      </c>
      <c r="C739">
        <v>5.1056882168598605E-4</v>
      </c>
      <c r="D739">
        <v>4.7775958514284511E-4</v>
      </c>
      <c r="E739">
        <v>5.6699392160641793E-4</v>
      </c>
      <c r="F739">
        <v>4.9303160938207746E-4</v>
      </c>
      <c r="G739">
        <v>5.5791100242008618E-4</v>
      </c>
      <c r="H739">
        <v>6.2242548557600585E-4</v>
      </c>
      <c r="I739">
        <v>6.1791865592675244E-4</v>
      </c>
      <c r="J739">
        <v>-4.2053776136886656E-3</v>
      </c>
      <c r="K739">
        <v>-2.3927358828575995E-3</v>
      </c>
      <c r="L739">
        <v>5.750386562033416E-4</v>
      </c>
      <c r="M739">
        <v>5.9328580262008046E-4</v>
      </c>
      <c r="N739">
        <v>5.9874369915791092E-4</v>
      </c>
      <c r="O739">
        <v>5.4612392438491142E-4</v>
      </c>
      <c r="P739">
        <v>5.3573019985209136E-4</v>
      </c>
      <c r="Q739">
        <v>5.4958248556946643E-4</v>
      </c>
      <c r="R739">
        <v>-1.6540117207193283E-3</v>
      </c>
      <c r="S739">
        <v>1.4171062330659012E-4</v>
      </c>
      <c r="T739">
        <v>-4.7610237807326206E-3</v>
      </c>
      <c r="U739">
        <v>-9.9830059988592623E-6</v>
      </c>
      <c r="V739">
        <v>-3.9104292025593512E-4</v>
      </c>
      <c r="W739">
        <v>1.6624500887152394E-4</v>
      </c>
      <c r="X739">
        <v>1.789401582410477E-3</v>
      </c>
      <c r="Y739">
        <v>-3.9104292025593512E-4</v>
      </c>
      <c r="Z739">
        <v>-1.4367559164076837E-3</v>
      </c>
      <c r="AA739">
        <v>6.5070922414611765E-4</v>
      </c>
      <c r="AC739">
        <v>2.522353580041381E-3</v>
      </c>
      <c r="AD739">
        <v>-3.5683145259647331E-3</v>
      </c>
      <c r="AE739">
        <v>-4.3310809979657527E-5</v>
      </c>
      <c r="AF739">
        <v>-2.8571028691189992E-3</v>
      </c>
      <c r="AG739">
        <v>-1.9600055949783313E-3</v>
      </c>
      <c r="AH739">
        <v>5.993092583740367E-4</v>
      </c>
      <c r="AI739">
        <v>-2.5432181651990904E-3</v>
      </c>
      <c r="AJ739">
        <v>-2.4122807017544767E-3</v>
      </c>
      <c r="AK739">
        <v>1.8550007729170037E-2</v>
      </c>
      <c r="AL739">
        <v>1.9637439128716405E-2</v>
      </c>
    </row>
    <row r="740" spans="1:38">
      <c r="A740" s="568">
        <v>44907</v>
      </c>
      <c r="B740">
        <v>5.2057738259342898E-4</v>
      </c>
      <c r="C740">
        <v>4.933990751638806E-4</v>
      </c>
      <c r="D740">
        <v>4.785050004503244E-4</v>
      </c>
      <c r="E740">
        <v>5.6699392160641793E-4</v>
      </c>
      <c r="F740">
        <v>5.566617821048947E-4</v>
      </c>
      <c r="G740">
        <v>5.1731551140843379E-4</v>
      </c>
      <c r="H740">
        <v>6.2259870795355887E-4</v>
      </c>
      <c r="I740">
        <v>5.8419998100611714E-4</v>
      </c>
      <c r="J740">
        <v>-4.3145672109954347E-3</v>
      </c>
      <c r="K740">
        <v>-2.8786169470408352E-3</v>
      </c>
      <c r="L740">
        <v>5.750386562033416E-4</v>
      </c>
      <c r="M740">
        <v>5.9328580262008046E-4</v>
      </c>
      <c r="N740">
        <v>5.9874369915791092E-4</v>
      </c>
      <c r="O740">
        <v>5.4612392438491142E-4</v>
      </c>
      <c r="P740">
        <v>5.3573019985209136E-4</v>
      </c>
      <c r="Q740">
        <v>5.4958248556946643E-4</v>
      </c>
      <c r="R740">
        <v>3.4348008894324877E-4</v>
      </c>
      <c r="S740">
        <v>1.7116487739476938E-4</v>
      </c>
      <c r="T740">
        <v>-3.9304142215810245E-3</v>
      </c>
      <c r="U740">
        <v>1.9995461184192376E-3</v>
      </c>
      <c r="V740">
        <v>-1.263694603474641E-3</v>
      </c>
      <c r="W740">
        <v>5.2412440140137129E-4</v>
      </c>
      <c r="X740">
        <v>3.2909396331575191E-3</v>
      </c>
      <c r="Y740">
        <v>-1.263694603474641E-3</v>
      </c>
      <c r="Z740">
        <v>1.5593146444030648E-3</v>
      </c>
      <c r="AA740">
        <v>2.1472987365747098E-3</v>
      </c>
      <c r="AC740">
        <v>-2.0240317203679026E-2</v>
      </c>
      <c r="AD740">
        <v>-1.6657852507310333E-2</v>
      </c>
      <c r="AE740">
        <v>-1.7302984885085415E-2</v>
      </c>
      <c r="AF740">
        <v>-1.1494974271376246E-2</v>
      </c>
      <c r="AG740">
        <v>-9.2413091445441298E-3</v>
      </c>
      <c r="AH740">
        <v>-2.2962589170346659E-3</v>
      </c>
      <c r="AI740">
        <v>-1.6948960613201391E-2</v>
      </c>
      <c r="AJ740">
        <v>2.3038030336337778E-2</v>
      </c>
      <c r="AK740">
        <v>-2.6711185308848195E-2</v>
      </c>
      <c r="AL740">
        <v>1.5740398485797336E-3</v>
      </c>
    </row>
    <row r="741" spans="1:38">
      <c r="A741" s="568">
        <v>44908</v>
      </c>
      <c r="B741">
        <v>5.2057738259342898E-4</v>
      </c>
      <c r="C741">
        <v>5.1408027157595626E-4</v>
      </c>
      <c r="D741">
        <v>4.889801868148691E-4</v>
      </c>
      <c r="E741">
        <v>5.6699392160641793E-4</v>
      </c>
      <c r="F741">
        <v>6.6064490076778171E-4</v>
      </c>
      <c r="G741">
        <v>5.1943992974212705E-4</v>
      </c>
      <c r="H741">
        <v>6.3173210526401569E-4</v>
      </c>
      <c r="I741">
        <v>6.1984649869439856E-4</v>
      </c>
      <c r="J741">
        <v>-1.6541123243362099E-3</v>
      </c>
      <c r="K741">
        <v>-8.3368618076129497E-4</v>
      </c>
      <c r="L741">
        <v>5.750386562033416E-4</v>
      </c>
      <c r="M741">
        <v>5.9328580262008046E-4</v>
      </c>
      <c r="N741">
        <v>5.9874369915791092E-4</v>
      </c>
      <c r="O741">
        <v>5.4612392438491142E-4</v>
      </c>
      <c r="P741">
        <v>5.3573019985209136E-4</v>
      </c>
      <c r="Q741">
        <v>5.4958248556946643E-4</v>
      </c>
      <c r="R741">
        <v>8.977550294685166E-3</v>
      </c>
      <c r="S741">
        <v>-1.6179989419173868E-4</v>
      </c>
      <c r="T741">
        <v>4.0117118592797318E-4</v>
      </c>
      <c r="U741">
        <v>5.0185889529867911E-3</v>
      </c>
      <c r="V741">
        <v>-3.8728985124536486E-4</v>
      </c>
      <c r="W741">
        <v>-1.2004532552477576E-3</v>
      </c>
      <c r="X741">
        <v>-1.0353522919344771E-2</v>
      </c>
      <c r="Y741">
        <v>-3.8728985124536486E-4</v>
      </c>
      <c r="Z741">
        <v>-1.3233428855363716E-3</v>
      </c>
      <c r="AA741">
        <v>2.273444018011217E-3</v>
      </c>
      <c r="AC741">
        <v>-1.7121729491558768E-2</v>
      </c>
      <c r="AD741">
        <v>-1.5497873100652648E-2</v>
      </c>
      <c r="AE741">
        <v>-1.4826056306927238E-2</v>
      </c>
      <c r="AF741">
        <v>-8.6416782105094292E-3</v>
      </c>
      <c r="AG741">
        <v>-1.0015584293758484E-2</v>
      </c>
      <c r="AH741">
        <v>-1.9885115253738261E-3</v>
      </c>
      <c r="AI741">
        <v>-1.0440629303642202E-2</v>
      </c>
      <c r="AJ741">
        <v>5.414929734840257E-3</v>
      </c>
      <c r="AK741">
        <v>2.0271323873384262E-3</v>
      </c>
      <c r="AL741">
        <v>-4.6936491888522891E-3</v>
      </c>
    </row>
    <row r="742" spans="1:38">
      <c r="A742" s="568">
        <v>44909</v>
      </c>
      <c r="B742">
        <v>5.2057738259342898E-4</v>
      </c>
      <c r="C742">
        <v>4.9540186606611414E-4</v>
      </c>
      <c r="D742">
        <v>4.8630965378149149E-4</v>
      </c>
      <c r="E742">
        <v>5.6699392160641793E-4</v>
      </c>
      <c r="F742">
        <v>4.7141871068645536E-4</v>
      </c>
      <c r="G742">
        <v>5.2323436293466585E-4</v>
      </c>
      <c r="H742">
        <v>6.2069911204765127E-4</v>
      </c>
      <c r="I742">
        <v>6.1960532018345837E-4</v>
      </c>
      <c r="J742">
        <v>-5.4742146701936001E-4</v>
      </c>
      <c r="K742">
        <v>-1.201411007506592E-3</v>
      </c>
      <c r="L742">
        <v>5.750386562033416E-4</v>
      </c>
      <c r="M742">
        <v>5.9328580262008046E-4</v>
      </c>
      <c r="N742">
        <v>5.9874369915791092E-4</v>
      </c>
      <c r="O742">
        <v>5.4612392438491142E-4</v>
      </c>
      <c r="P742">
        <v>5.3573019985209136E-4</v>
      </c>
      <c r="Q742">
        <v>5.4958248556946643E-4</v>
      </c>
      <c r="R742">
        <v>1.1936745647940228E-3</v>
      </c>
      <c r="S742">
        <v>3.1867418937621128E-3</v>
      </c>
      <c r="T742">
        <v>2.6634691388682796E-3</v>
      </c>
      <c r="U742">
        <v>2.6646295931231911E-4</v>
      </c>
      <c r="V742">
        <v>1.6091964144195892E-3</v>
      </c>
      <c r="W742">
        <v>3.96167757388044E-4</v>
      </c>
      <c r="X742">
        <v>1.2162775934834169E-3</v>
      </c>
      <c r="Y742">
        <v>1.6091964144195892E-3</v>
      </c>
      <c r="Z742">
        <v>1.0063659887638021E-3</v>
      </c>
      <c r="AA742">
        <v>3.6063911521202474E-3</v>
      </c>
      <c r="AC742">
        <v>1.9905414031162749E-3</v>
      </c>
      <c r="AD742">
        <v>9.7159248056126746E-3</v>
      </c>
      <c r="AE742">
        <v>5.7985722475439871E-3</v>
      </c>
      <c r="AF742">
        <v>9.1532997370968872E-3</v>
      </c>
      <c r="AG742">
        <v>4.6511302105360919E-3</v>
      </c>
      <c r="AH742">
        <v>9.3590244253518584E-3</v>
      </c>
      <c r="AI742">
        <v>1.9860196648136652E-2</v>
      </c>
      <c r="AJ742">
        <v>-5.385766189356711E-3</v>
      </c>
      <c r="AK742">
        <v>8.5589791472144849E-3</v>
      </c>
      <c r="AL742">
        <v>2.7192061636400311E-2</v>
      </c>
    </row>
    <row r="743" spans="1:38">
      <c r="A743" s="568">
        <v>44910</v>
      </c>
      <c r="B743">
        <v>5.2057738259342898E-4</v>
      </c>
      <c r="C743">
        <v>5.2206327550097242E-4</v>
      </c>
      <c r="D743">
        <v>4.8461505184205222E-4</v>
      </c>
      <c r="E743">
        <v>5.6699392160641793E-4</v>
      </c>
      <c r="F743">
        <v>3.8889473816894338E-4</v>
      </c>
      <c r="G743">
        <v>5.1507570107500733E-4</v>
      </c>
      <c r="H743">
        <v>6.1919539278343372E-4</v>
      </c>
      <c r="I743">
        <v>6.2659484065075155E-4</v>
      </c>
      <c r="J743">
        <v>1.1645224591492198E-3</v>
      </c>
      <c r="K743">
        <v>1.1450156091552532E-3</v>
      </c>
      <c r="L743">
        <v>5.750386562033416E-4</v>
      </c>
      <c r="M743">
        <v>5.9328580262008046E-4</v>
      </c>
      <c r="N743">
        <v>5.9874369915791092E-4</v>
      </c>
      <c r="O743">
        <v>5.4612392438491142E-4</v>
      </c>
      <c r="P743">
        <v>5.3573019985209136E-4</v>
      </c>
      <c r="Q743">
        <v>5.4958248556946643E-4</v>
      </c>
      <c r="R743">
        <v>-1.8633977664618273E-3</v>
      </c>
      <c r="S743">
        <v>5.2285951652035756E-3</v>
      </c>
      <c r="T743">
        <v>1.7177514878949918E-3</v>
      </c>
      <c r="U743">
        <v>-1.3370099634379962E-4</v>
      </c>
      <c r="V743">
        <v>-1.4066088638320373E-4</v>
      </c>
      <c r="W743">
        <v>-6.4087255402811572E-4</v>
      </c>
      <c r="X743">
        <v>1.311050208528286E-3</v>
      </c>
      <c r="Y743">
        <v>-1.4066088638320373E-4</v>
      </c>
      <c r="Z743">
        <v>-2.5435263401484276E-3</v>
      </c>
      <c r="AA743">
        <v>2.2343928050454487E-3</v>
      </c>
      <c r="AC743">
        <v>-7.7882693434117023E-5</v>
      </c>
      <c r="AD743">
        <v>-1.3664884963993096E-4</v>
      </c>
      <c r="AE743">
        <v>-3.8787164508824468E-4</v>
      </c>
      <c r="AF743">
        <v>-2.8373478904878402E-3</v>
      </c>
      <c r="AG743">
        <v>2.1162849099949366E-3</v>
      </c>
      <c r="AH743">
        <v>-7.8562613540300585E-4</v>
      </c>
      <c r="AI743">
        <v>9.6661113636204998E-3</v>
      </c>
      <c r="AJ743">
        <v>-2.0585328118956525E-2</v>
      </c>
      <c r="AK743">
        <v>-1.6818392223422407E-2</v>
      </c>
      <c r="AL743">
        <v>-1.116169421737756E-2</v>
      </c>
    </row>
    <row r="744" spans="1:38">
      <c r="A744" s="568">
        <v>44911</v>
      </c>
      <c r="B744">
        <v>5.2057738259342898E-4</v>
      </c>
      <c r="C744">
        <v>4.8183199554951983E-4</v>
      </c>
      <c r="D744">
        <v>4.892386921244718E-4</v>
      </c>
      <c r="E744">
        <v>5.6699392160641793E-4</v>
      </c>
      <c r="F744">
        <v>5.3290108310832807E-4</v>
      </c>
      <c r="G744">
        <v>4.9196367779624772E-4</v>
      </c>
      <c r="H744">
        <v>6.1937122640531861E-4</v>
      </c>
      <c r="I744">
        <v>6.1426918719953427E-4</v>
      </c>
      <c r="J744">
        <v>-2.3402137144662438E-3</v>
      </c>
      <c r="K744">
        <v>-8.2528870079368044E-4</v>
      </c>
      <c r="L744">
        <v>5.750386562033416E-4</v>
      </c>
      <c r="M744">
        <v>5.9328580262008046E-4</v>
      </c>
      <c r="N744">
        <v>5.9874369915791092E-4</v>
      </c>
      <c r="O744">
        <v>5.4612392438491142E-4</v>
      </c>
      <c r="P744">
        <v>5.3573019985209136E-4</v>
      </c>
      <c r="Q744">
        <v>5.4958248556946643E-4</v>
      </c>
      <c r="R744">
        <v>-2.854950807312906E-3</v>
      </c>
      <c r="S744">
        <v>-1.5326646717893633E-3</v>
      </c>
      <c r="T744">
        <v>6.7182631876439025E-4</v>
      </c>
      <c r="U744">
        <v>-6.4586595282634107E-5</v>
      </c>
      <c r="V744">
        <v>-6.1987422268450221E-4</v>
      </c>
      <c r="W744">
        <v>3.7725102836549951E-4</v>
      </c>
      <c r="X744">
        <v>-4.6261035817174445E-4</v>
      </c>
      <c r="Y744">
        <v>-6.1987422268450221E-4</v>
      </c>
      <c r="Z744">
        <v>1.1513685479582758E-3</v>
      </c>
      <c r="AA744">
        <v>1.480169256322883E-3</v>
      </c>
      <c r="AC744">
        <v>-8.5021172150643309E-3</v>
      </c>
      <c r="AD744">
        <v>-1.0358220768567183E-2</v>
      </c>
      <c r="AE744">
        <v>-6.8268759090931441E-3</v>
      </c>
      <c r="AF744">
        <v>-8.3600061623877453E-3</v>
      </c>
      <c r="AG744">
        <v>-5.3800808348072326E-3</v>
      </c>
      <c r="AH744">
        <v>-3.5537808476984178E-3</v>
      </c>
      <c r="AI744">
        <v>8.7742465693718685E-4</v>
      </c>
      <c r="AJ744">
        <v>-1.3426941641070611E-2</v>
      </c>
      <c r="AK744">
        <v>5.335844318895111E-3</v>
      </c>
      <c r="AL744">
        <v>-1.4779680354493063E-2</v>
      </c>
    </row>
    <row r="745" spans="1:38">
      <c r="A745" s="568">
        <v>44914</v>
      </c>
      <c r="B745">
        <v>5.2057738259342898E-4</v>
      </c>
      <c r="C745">
        <v>5.435767713626305E-4</v>
      </c>
      <c r="D745">
        <v>4.9822585947612019E-4</v>
      </c>
      <c r="E745">
        <v>5.6699392160641793E-4</v>
      </c>
      <c r="F745">
        <v>5.1483864993739914E-4</v>
      </c>
      <c r="G745">
        <v>5.0540722877134847E-4</v>
      </c>
      <c r="H745">
        <v>6.2178110958588384E-4</v>
      </c>
      <c r="I745">
        <v>6.2046409067550989E-4</v>
      </c>
      <c r="J745">
        <v>1.8536806697433406E-4</v>
      </c>
      <c r="K745">
        <v>4.0444056721389288E-4</v>
      </c>
      <c r="L745">
        <v>5.750386562033416E-4</v>
      </c>
      <c r="M745">
        <v>5.9328580262008046E-4</v>
      </c>
      <c r="N745">
        <v>5.9874369915791092E-4</v>
      </c>
      <c r="O745">
        <v>5.4612392438491142E-4</v>
      </c>
      <c r="P745">
        <v>5.3573019985209136E-4</v>
      </c>
      <c r="Q745">
        <v>5.4958248556946643E-4</v>
      </c>
      <c r="R745">
        <v>-2.8515285944306079E-3</v>
      </c>
      <c r="S745">
        <v>3.6609029497325363E-3</v>
      </c>
      <c r="T745">
        <v>-1.694846857566934E-3</v>
      </c>
      <c r="U745">
        <v>-4.6350031319897234E-4</v>
      </c>
      <c r="V745">
        <v>1.2295199153633529E-3</v>
      </c>
      <c r="W745">
        <v>7.5508146499636553E-4</v>
      </c>
      <c r="X745">
        <v>4.3750149491001977E-3</v>
      </c>
      <c r="Y745">
        <v>1.2295199153633529E-3</v>
      </c>
      <c r="Z745">
        <v>9.1875304316224593E-4</v>
      </c>
      <c r="AA745">
        <v>-3.1327346053867666E-3</v>
      </c>
      <c r="AC745">
        <v>1.8317409730330914E-2</v>
      </c>
      <c r="AD745">
        <v>2.4289899276159765E-2</v>
      </c>
      <c r="AE745">
        <v>1.6432787724326214E-2</v>
      </c>
      <c r="AF745">
        <v>1.0348556333628744E-2</v>
      </c>
      <c r="AG745">
        <v>7.9197021854826577E-3</v>
      </c>
      <c r="AH745">
        <v>-4.3742259926715654E-4</v>
      </c>
      <c r="AI745">
        <v>7.1269340128690128E-3</v>
      </c>
      <c r="AJ745">
        <v>-9.829211884006428E-3</v>
      </c>
      <c r="AK745">
        <v>-7.4929753356228757E-3</v>
      </c>
      <c r="AL745">
        <v>-5.474608626465205E-3</v>
      </c>
    </row>
    <row r="746" spans="1:38">
      <c r="A746" s="568">
        <v>44915</v>
      </c>
      <c r="B746">
        <v>5.2057738259342898E-4</v>
      </c>
      <c r="C746">
        <v>5.8862750922572538E-4</v>
      </c>
      <c r="D746">
        <v>4.93124169733683E-4</v>
      </c>
      <c r="E746">
        <v>5.6699392160641793E-4</v>
      </c>
      <c r="F746">
        <v>4.6126537011370594E-4</v>
      </c>
      <c r="G746">
        <v>5.0236849607965262E-4</v>
      </c>
      <c r="H746">
        <v>6.2083643193244775E-4</v>
      </c>
      <c r="I746">
        <v>6.1416597970143094E-4</v>
      </c>
      <c r="J746">
        <v>5.1033184657462982E-3</v>
      </c>
      <c r="K746">
        <v>3.4423232541562765E-3</v>
      </c>
      <c r="L746">
        <v>5.750386562033416E-4</v>
      </c>
      <c r="M746">
        <v>5.9328580262008046E-4</v>
      </c>
      <c r="N746">
        <v>5.9874369915791092E-4</v>
      </c>
      <c r="O746">
        <v>5.4612392438491142E-4</v>
      </c>
      <c r="P746">
        <v>5.3573019985209136E-4</v>
      </c>
      <c r="Q746">
        <v>5.4958248556946643E-4</v>
      </c>
      <c r="R746">
        <v>-4.7157441310496928E-4</v>
      </c>
      <c r="S746">
        <v>-1.0384993956465971E-3</v>
      </c>
      <c r="T746">
        <v>2.0616858473119226E-3</v>
      </c>
      <c r="U746">
        <v>-3.1899768275001072E-5</v>
      </c>
      <c r="V746">
        <v>2.4186745399905618E-3</v>
      </c>
      <c r="W746">
        <v>1.0592516175815803E-3</v>
      </c>
      <c r="X746">
        <v>1.2783855397215937E-3</v>
      </c>
      <c r="Y746">
        <v>2.4186745399905618E-3</v>
      </c>
      <c r="Z746">
        <v>2.6543165284058645E-3</v>
      </c>
      <c r="AA746">
        <v>-1.4455079558206574E-4</v>
      </c>
      <c r="AC746">
        <v>2.0282271057549872E-2</v>
      </c>
      <c r="AD746">
        <v>1.7722363397567387E-2</v>
      </c>
      <c r="AE746">
        <v>1.7804845709497696E-2</v>
      </c>
      <c r="AF746">
        <v>1.0749204849004101E-2</v>
      </c>
      <c r="AG746">
        <v>1.4184008312149832E-2</v>
      </c>
      <c r="AH746">
        <v>5.9273479831105647E-3</v>
      </c>
      <c r="AI746">
        <v>1.8463437043857667E-2</v>
      </c>
      <c r="AJ746">
        <v>-1.6844091092844682E-2</v>
      </c>
      <c r="AK746">
        <v>-1.8716577540106916E-2</v>
      </c>
      <c r="AL746">
        <v>-2.517739524717566E-2</v>
      </c>
    </row>
    <row r="747" spans="1:38">
      <c r="A747" s="568">
        <v>44916</v>
      </c>
      <c r="B747">
        <v>5.2057738259342898E-4</v>
      </c>
      <c r="C747">
        <v>5.3607092731011718E-4</v>
      </c>
      <c r="D747">
        <v>4.9579183340631161E-4</v>
      </c>
      <c r="E747">
        <v>5.6699392160641793E-4</v>
      </c>
      <c r="F747">
        <v>5.6651018256714814E-4</v>
      </c>
      <c r="G747">
        <v>5.3136728233726949E-4</v>
      </c>
      <c r="H747">
        <v>6.1989327346068102E-4</v>
      </c>
      <c r="I747">
        <v>6.1454494062629372E-4</v>
      </c>
      <c r="J747">
        <v>-4.8197079412282129E-5</v>
      </c>
      <c r="K747">
        <v>7.9793163496955088E-4</v>
      </c>
      <c r="L747">
        <v>5.750386562033416E-4</v>
      </c>
      <c r="M747">
        <v>5.9328580262008046E-4</v>
      </c>
      <c r="N747">
        <v>5.9874369915791092E-4</v>
      </c>
      <c r="O747">
        <v>5.4612392438491142E-4</v>
      </c>
      <c r="P747">
        <v>5.3573019985209136E-4</v>
      </c>
      <c r="Q747">
        <v>5.4958248556946643E-4</v>
      </c>
      <c r="R747">
        <v>4.7982501047145742E-3</v>
      </c>
      <c r="S747">
        <v>3.9397358428541196E-3</v>
      </c>
      <c r="T747">
        <v>9.195477817673936E-4</v>
      </c>
      <c r="U747">
        <v>2.0568110673124806E-4</v>
      </c>
      <c r="V747">
        <v>9.5987587358559168E-4</v>
      </c>
      <c r="W747">
        <v>2.3930830843954531E-4</v>
      </c>
      <c r="X747">
        <v>4.5131322361524617E-4</v>
      </c>
      <c r="Y747">
        <v>9.5987587358559168E-4</v>
      </c>
      <c r="Z747">
        <v>2.6400188251716195E-3</v>
      </c>
      <c r="AA747">
        <v>2.2246043758056278E-3</v>
      </c>
      <c r="AC747">
        <v>5.3247998790240114E-3</v>
      </c>
      <c r="AD747">
        <v>1.8522518257417797E-3</v>
      </c>
      <c r="AE747">
        <v>5.6672473742349627E-3</v>
      </c>
      <c r="AF747">
        <v>6.3950756155388699E-3</v>
      </c>
      <c r="AG747">
        <v>5.6844449216308934E-3</v>
      </c>
      <c r="AH747">
        <v>3.4736116709890297E-3</v>
      </c>
      <c r="AI747">
        <v>9.5453761256725222E-4</v>
      </c>
      <c r="AJ747">
        <v>1.4528508771929793E-2</v>
      </c>
      <c r="AK747">
        <v>5.9304375701234591E-3</v>
      </c>
      <c r="AL747">
        <v>3.8859515883427065E-3</v>
      </c>
    </row>
    <row r="748" spans="1:38">
      <c r="A748" s="568">
        <v>44917</v>
      </c>
      <c r="B748">
        <v>5.2057738259342898E-4</v>
      </c>
      <c r="C748">
        <v>5.6937199346829281E-4</v>
      </c>
      <c r="D748">
        <v>4.9700078210945797E-4</v>
      </c>
      <c r="E748">
        <v>5.6699392160641793E-4</v>
      </c>
      <c r="F748">
        <v>4.9481479947433016E-4</v>
      </c>
      <c r="G748">
        <v>4.065164338062921E-4</v>
      </c>
      <c r="H748">
        <v>6.2285492833269451E-4</v>
      </c>
      <c r="I748">
        <v>6.1592111809583017E-4</v>
      </c>
      <c r="J748">
        <v>2.1025823218585593E-3</v>
      </c>
      <c r="K748">
        <v>9.3281256774657706E-4</v>
      </c>
      <c r="L748">
        <v>5.750386562033416E-4</v>
      </c>
      <c r="M748">
        <v>5.9328580262008046E-4</v>
      </c>
      <c r="N748">
        <v>5.9874369915791092E-4</v>
      </c>
      <c r="O748">
        <v>5.4612392438491142E-4</v>
      </c>
      <c r="P748">
        <v>5.3573019985209136E-4</v>
      </c>
      <c r="Q748">
        <v>5.4958248556946643E-4</v>
      </c>
      <c r="R748">
        <v>-1.913492758255031E-3</v>
      </c>
      <c r="S748">
        <v>-7.6077960262632693E-4</v>
      </c>
      <c r="T748">
        <v>1.4949605940295374E-3</v>
      </c>
      <c r="U748">
        <v>-1.1722549034529628E-3</v>
      </c>
      <c r="V748">
        <v>3.831442789989925E-4</v>
      </c>
      <c r="W748">
        <v>1.309630092005909E-3</v>
      </c>
      <c r="X748">
        <v>6.4523942142824531E-4</v>
      </c>
      <c r="Y748">
        <v>3.831442789989925E-4</v>
      </c>
      <c r="Z748">
        <v>-8.9812608749728629E-4</v>
      </c>
      <c r="AA748">
        <v>1.536596118416611E-4</v>
      </c>
      <c r="AC748">
        <v>1.1018946295342502E-3</v>
      </c>
      <c r="AD748">
        <v>2.6655976290879124E-4</v>
      </c>
      <c r="AE748">
        <v>-8.4311324021102418E-4</v>
      </c>
      <c r="AF748">
        <v>3.8750106101481663E-3</v>
      </c>
      <c r="AG748">
        <v>1.8305760885872768E-3</v>
      </c>
      <c r="AH748">
        <v>1.2738973393413566E-3</v>
      </c>
      <c r="AI748">
        <v>4.1996506530606048E-4</v>
      </c>
      <c r="AJ748">
        <v>-9.2767720435917855E-3</v>
      </c>
      <c r="AK748">
        <v>2.390057361376674E-2</v>
      </c>
      <c r="AL748">
        <v>5.2890698116236923E-3</v>
      </c>
    </row>
    <row r="749" spans="1:38">
      <c r="A749" s="568">
        <v>44918</v>
      </c>
      <c r="B749">
        <v>5.2057738259342898E-4</v>
      </c>
      <c r="C749">
        <v>5.5766004622537224E-4</v>
      </c>
      <c r="D749">
        <v>5.0014636065975893E-4</v>
      </c>
      <c r="E749">
        <v>5.6699392160641793E-4</v>
      </c>
      <c r="F749">
        <v>5.5666856412028842E-4</v>
      </c>
      <c r="G749">
        <v>5.3245751417874132E-4</v>
      </c>
      <c r="H749">
        <v>6.2079542060278214E-4</v>
      </c>
      <c r="I749">
        <v>6.1746540038853936E-4</v>
      </c>
      <c r="J749">
        <v>3.1111824137821653E-3</v>
      </c>
      <c r="K749">
        <v>3.042101020105159E-3</v>
      </c>
      <c r="L749">
        <v>5.750386562033416E-4</v>
      </c>
      <c r="M749">
        <v>5.9328580262008046E-4</v>
      </c>
      <c r="N749">
        <v>5.9874369915791092E-4</v>
      </c>
      <c r="O749">
        <v>5.4612392438491142E-4</v>
      </c>
      <c r="P749">
        <v>5.3573019985209136E-4</v>
      </c>
      <c r="Q749">
        <v>5.4958248556946643E-4</v>
      </c>
      <c r="R749">
        <v>5.0930939849869183E-4</v>
      </c>
      <c r="S749">
        <v>-2.8898088610551653E-4</v>
      </c>
      <c r="T749">
        <v>1.5832795210135586E-4</v>
      </c>
      <c r="U749">
        <v>-5.404354061764316E-4</v>
      </c>
      <c r="V749">
        <v>2.6941140938714359E-3</v>
      </c>
      <c r="W749">
        <v>1.2691704799900894E-3</v>
      </c>
      <c r="X749">
        <v>3.9859722248407614E-3</v>
      </c>
      <c r="Y749">
        <v>2.6941140938714359E-3</v>
      </c>
      <c r="Z749">
        <v>2.0686246714229917E-3</v>
      </c>
      <c r="AA749">
        <v>-2.0230345884308942E-3</v>
      </c>
      <c r="AC749">
        <v>1.9953692890625874E-2</v>
      </c>
      <c r="AD749">
        <v>1.7762118192696796E-2</v>
      </c>
      <c r="AE749">
        <v>1.8090552930581705E-2</v>
      </c>
      <c r="AF749">
        <v>2.06144843744267E-2</v>
      </c>
      <c r="AG749">
        <v>1.6046443393303855E-2</v>
      </c>
      <c r="AH749">
        <v>-6.9514237970820236E-3</v>
      </c>
      <c r="AI749">
        <v>6.03575147326052E-3</v>
      </c>
      <c r="AJ749">
        <v>-6.3636363636363491E-3</v>
      </c>
      <c r="AK749">
        <v>-9.3370681605976502E-3</v>
      </c>
      <c r="AL749">
        <v>-1.7839107444704738E-2</v>
      </c>
    </row>
    <row r="750" spans="1:38">
      <c r="A750" s="568">
        <v>44921</v>
      </c>
      <c r="B750">
        <v>5.2057738259342898E-4</v>
      </c>
      <c r="C750">
        <v>5.419112679900806E-4</v>
      </c>
      <c r="D750">
        <v>5.1733458372016372E-4</v>
      </c>
      <c r="E750">
        <v>5.6699392160641793E-4</v>
      </c>
      <c r="F750">
        <v>4.7360694170350826E-4</v>
      </c>
      <c r="G750">
        <v>4.8320302011406469E-4</v>
      </c>
      <c r="H750">
        <v>6.2041027274672977E-4</v>
      </c>
      <c r="I750">
        <v>5.9713972089725509E-4</v>
      </c>
      <c r="J750">
        <v>-2.062584394270095E-4</v>
      </c>
      <c r="K750">
        <v>-2.4129378033221904E-4</v>
      </c>
      <c r="L750">
        <v>5.750386562033416E-4</v>
      </c>
      <c r="M750">
        <v>5.9328580262008046E-4</v>
      </c>
      <c r="N750">
        <v>5.9874369915791092E-4</v>
      </c>
      <c r="O750">
        <v>5.4612392438491142E-4</v>
      </c>
      <c r="P750">
        <v>5.3573019985209136E-4</v>
      </c>
      <c r="Q750">
        <v>5.4958248556946643E-4</v>
      </c>
      <c r="R750">
        <v>-3.478702513537435E-5</v>
      </c>
      <c r="S750">
        <v>7.5896771945460628E-4</v>
      </c>
      <c r="T750">
        <v>4.5922505737716612E-4</v>
      </c>
      <c r="U750">
        <v>4.8170120619528412E-4</v>
      </c>
      <c r="V750">
        <v>-5.6967868812374256E-4</v>
      </c>
      <c r="W750">
        <v>3.3623923722703175E-4</v>
      </c>
      <c r="X750">
        <v>-8.5126483861119873E-4</v>
      </c>
      <c r="Y750">
        <v>-5.6967868812374256E-4</v>
      </c>
      <c r="Z750">
        <v>-1.1227190037367274E-3</v>
      </c>
      <c r="AA750">
        <v>6.1755604686486443E-4</v>
      </c>
      <c r="AC750">
        <v>-8.7496924498875472E-3</v>
      </c>
      <c r="AD750">
        <v>-1.5818957773111153E-2</v>
      </c>
      <c r="AE750">
        <v>-9.0532965472162052E-3</v>
      </c>
      <c r="AF750">
        <v>-2.2551974387183815E-3</v>
      </c>
      <c r="AG750">
        <v>-5.1211742382711867E-3</v>
      </c>
      <c r="AH750">
        <v>-2.259072448505095E-3</v>
      </c>
      <c r="AI750">
        <v>-1.5093563074763949E-3</v>
      </c>
      <c r="AJ750">
        <v>1.8298261665141702E-3</v>
      </c>
      <c r="AK750">
        <v>9.4250706880294466E-4</v>
      </c>
      <c r="AL750">
        <v>7.1026712938186964E-3</v>
      </c>
    </row>
    <row r="751" spans="1:38">
      <c r="A751" s="568">
        <v>44922</v>
      </c>
      <c r="B751">
        <v>5.2057738259342898E-4</v>
      </c>
      <c r="C751">
        <v>5.4491455651839438E-4</v>
      </c>
      <c r="D751">
        <v>4.9915371416831E-4</v>
      </c>
      <c r="E751">
        <v>5.6699392160641793E-4</v>
      </c>
      <c r="F751">
        <v>5.3320178068716473E-4</v>
      </c>
      <c r="G751">
        <v>5.3858096885406326E-4</v>
      </c>
      <c r="H751">
        <v>6.2336505816218413E-4</v>
      </c>
      <c r="I751">
        <v>6.1479295070410167E-4</v>
      </c>
      <c r="J751">
        <v>5.2963737669609046E-4</v>
      </c>
      <c r="K751">
        <v>-1.5808025625208E-4</v>
      </c>
      <c r="L751">
        <v>5.750386562033416E-4</v>
      </c>
      <c r="M751">
        <v>5.9328580262008046E-4</v>
      </c>
      <c r="N751">
        <v>5.9874369915791092E-4</v>
      </c>
      <c r="O751">
        <v>5.4612392438491142E-4</v>
      </c>
      <c r="P751">
        <v>5.3573019985209136E-4</v>
      </c>
      <c r="Q751">
        <v>5.4958248556946643E-4</v>
      </c>
      <c r="R751">
        <v>-2.5395411779645105E-3</v>
      </c>
      <c r="S751">
        <v>-1.9334807778046414E-3</v>
      </c>
      <c r="T751">
        <v>2.9631795672369066E-4</v>
      </c>
      <c r="U751">
        <v>-3.9869501210088032E-4</v>
      </c>
      <c r="V751">
        <v>-2.3586347872417424E-4</v>
      </c>
      <c r="W751">
        <v>2.3038830315158521E-4</v>
      </c>
      <c r="X751">
        <v>3.1739248194009306E-3</v>
      </c>
      <c r="Y751">
        <v>-2.3586347872417424E-4</v>
      </c>
      <c r="Z751">
        <v>-1.9053838795864975E-3</v>
      </c>
      <c r="AA751">
        <v>2.5591810986482777E-3</v>
      </c>
      <c r="AC751">
        <v>-1.467291717917707E-3</v>
      </c>
      <c r="AD751">
        <v>-3.6618055071329092E-3</v>
      </c>
      <c r="AE751">
        <v>-2.7444335931658959E-3</v>
      </c>
      <c r="AF751">
        <v>-8.0774872481030879E-3</v>
      </c>
      <c r="AG751">
        <v>-2.860087208198081E-3</v>
      </c>
      <c r="AH751">
        <v>1.1044399561117579E-3</v>
      </c>
      <c r="AI751">
        <v>-9.9510621830229962E-3</v>
      </c>
      <c r="AJ751">
        <v>1.4611872146118587E-2</v>
      </c>
      <c r="AK751">
        <v>3.9234149403641894E-3</v>
      </c>
      <c r="AL751">
        <v>1.8731075179980294E-2</v>
      </c>
    </row>
    <row r="752" spans="1:38">
      <c r="A752" s="568">
        <v>44923</v>
      </c>
      <c r="B752">
        <v>5.2057738259342898E-4</v>
      </c>
      <c r="C752">
        <v>6.0252521665238312E-4</v>
      </c>
      <c r="D752">
        <v>5.6036045016605307E-4</v>
      </c>
      <c r="E752">
        <v>5.6699392160641793E-4</v>
      </c>
      <c r="F752">
        <v>5.8753799436961351E-4</v>
      </c>
      <c r="G752">
        <v>5.8673645764684146E-4</v>
      </c>
      <c r="H752">
        <v>6.2130802861237733E-4</v>
      </c>
      <c r="I752">
        <v>6.1534491405268454E-4</v>
      </c>
      <c r="J752">
        <v>5.0188796526515755E-3</v>
      </c>
      <c r="K752">
        <v>4.6846027461029394E-3</v>
      </c>
      <c r="L752">
        <v>5.750386562033416E-4</v>
      </c>
      <c r="M752">
        <v>5.9328580262008046E-4</v>
      </c>
      <c r="N752">
        <v>5.9874369915791092E-4</v>
      </c>
      <c r="O752">
        <v>5.4612392438491142E-4</v>
      </c>
      <c r="P752">
        <v>5.3573019985209136E-4</v>
      </c>
      <c r="Q752">
        <v>5.4958248556946643E-4</v>
      </c>
      <c r="R752">
        <v>-2.4012681206806441E-3</v>
      </c>
      <c r="S752">
        <v>1.495693609416815E-4</v>
      </c>
      <c r="T752">
        <v>-2.9890452560203951E-3</v>
      </c>
      <c r="U752">
        <v>5.4150523779883386E-5</v>
      </c>
      <c r="V752">
        <v>1.9179350960276675E-3</v>
      </c>
      <c r="W752">
        <v>1.2174248606493521E-3</v>
      </c>
      <c r="X752">
        <v>3.4117080264479682E-3</v>
      </c>
      <c r="Y752">
        <v>1.9179350960276675E-3</v>
      </c>
      <c r="Z752">
        <v>1.2351066176607972E-4</v>
      </c>
      <c r="AA752">
        <v>2.0631516998681487E-3</v>
      </c>
      <c r="AC752">
        <v>1.5274797335008472E-2</v>
      </c>
      <c r="AD752">
        <v>2.2885995040977214E-2</v>
      </c>
      <c r="AE752">
        <v>1.4968594627800869E-2</v>
      </c>
      <c r="AF752">
        <v>1.4310978927278395E-2</v>
      </c>
      <c r="AG752">
        <v>9.6932828386482317E-3</v>
      </c>
      <c r="AH752">
        <v>5.5495629280868375E-3</v>
      </c>
      <c r="AI752">
        <v>1.0232096551243908E-2</v>
      </c>
      <c r="AJ752">
        <v>-9.9009900990097988E-3</v>
      </c>
      <c r="AK752">
        <v>9.379396592152478E-3</v>
      </c>
      <c r="AL752">
        <v>-1.5219842657019589E-2</v>
      </c>
    </row>
    <row r="753" spans="1:38">
      <c r="A753" s="568">
        <v>44924</v>
      </c>
      <c r="B753">
        <v>5.2057738259342898E-4</v>
      </c>
      <c r="C753">
        <v>5.2662324318530906E-4</v>
      </c>
      <c r="D753">
        <v>5.1023245803882844E-4</v>
      </c>
      <c r="E753">
        <v>5.6699392160641793E-4</v>
      </c>
      <c r="F753">
        <v>5.0235983717938915E-4</v>
      </c>
      <c r="G753">
        <v>5.8781875973878961E-4</v>
      </c>
      <c r="H753">
        <v>6.2092224463672352E-4</v>
      </c>
      <c r="I753">
        <v>6.148840289939006E-4</v>
      </c>
      <c r="J753">
        <v>-4.1847837416897349E-5</v>
      </c>
      <c r="K753">
        <v>3.3221992589727023E-4</v>
      </c>
      <c r="L753">
        <v>5.750386562033416E-4</v>
      </c>
      <c r="M753">
        <v>5.9328580262008046E-4</v>
      </c>
      <c r="N753">
        <v>5.9874369915791092E-4</v>
      </c>
      <c r="O753">
        <v>5.4612392438491142E-4</v>
      </c>
      <c r="P753">
        <v>5.3573019985209136E-4</v>
      </c>
      <c r="Q753">
        <v>5.4958248556946643E-4</v>
      </c>
      <c r="R753">
        <v>1.5003991353039758E-3</v>
      </c>
      <c r="S753">
        <v>3.15861713800758E-3</v>
      </c>
      <c r="T753">
        <v>-4.7260284274130981E-4</v>
      </c>
      <c r="U753">
        <v>3.1375240026920714E-4</v>
      </c>
      <c r="V753">
        <v>3.1831719218078369E-4</v>
      </c>
      <c r="W753">
        <v>-3.3134810607948761E-4</v>
      </c>
      <c r="X753">
        <v>8.3265570663626498E-4</v>
      </c>
      <c r="Y753">
        <v>3.1831719218078369E-4</v>
      </c>
      <c r="Z753">
        <v>-1.6292148311601862E-3</v>
      </c>
      <c r="AA753">
        <v>2.211986892990403E-3</v>
      </c>
      <c r="AC753">
        <v>-4.5548347732801142E-3</v>
      </c>
      <c r="AD753">
        <v>-2.9869513216790322E-3</v>
      </c>
      <c r="AE753">
        <v>-3.9477381796829691E-3</v>
      </c>
      <c r="AF753">
        <v>1.0344081565599073E-2</v>
      </c>
      <c r="AG753">
        <v>8.3288144347171134E-4</v>
      </c>
      <c r="AH753">
        <v>-1.3493448568284716E-3</v>
      </c>
      <c r="AI753">
        <v>5.0681302897401803E-3</v>
      </c>
      <c r="AJ753">
        <v>2.2727272727272707E-2</v>
      </c>
      <c r="AK753">
        <v>-3.8717670744927712E-3</v>
      </c>
      <c r="AL753">
        <v>8.0586770933219753E-3</v>
      </c>
    </row>
    <row r="754" spans="1:38">
      <c r="A754" s="568">
        <v>44925</v>
      </c>
      <c r="B754">
        <v>5.2057738259342898E-4</v>
      </c>
      <c r="C754">
        <v>5.1223949354173293E-4</v>
      </c>
      <c r="D754">
        <v>4.7855216218550822E-4</v>
      </c>
      <c r="E754">
        <v>5.6699392160641793E-4</v>
      </c>
      <c r="F754">
        <v>5.3712978780984244E-4</v>
      </c>
      <c r="G754">
        <v>5.4153994700545383E-4</v>
      </c>
      <c r="H754">
        <v>6.1998140055785633E-4</v>
      </c>
      <c r="I754">
        <v>5.9915070957128336E-4</v>
      </c>
      <c r="J754">
        <v>4.7557749547610939E-4</v>
      </c>
      <c r="K754">
        <v>4.5657825755252013E-4</v>
      </c>
      <c r="L754">
        <v>5.750386562033416E-4</v>
      </c>
      <c r="M754">
        <v>5.9328580262008046E-4</v>
      </c>
      <c r="N754">
        <v>5.9874369915791092E-4</v>
      </c>
      <c r="O754">
        <v>5.4612392438491142E-4</v>
      </c>
      <c r="P754">
        <v>5.3573019985209136E-4</v>
      </c>
      <c r="Q754">
        <v>5.4958248556946643E-4</v>
      </c>
      <c r="R754">
        <v>-6.0624220015881303E-4</v>
      </c>
      <c r="S754">
        <v>2.8201941870298342E-4</v>
      </c>
      <c r="T754">
        <v>3.0590250641138184E-4</v>
      </c>
      <c r="U754">
        <v>5.6900375145341187E-4</v>
      </c>
      <c r="V754">
        <v>8.6964481874773902E-4</v>
      </c>
      <c r="W754">
        <v>8.0460125438786001E-4</v>
      </c>
      <c r="X754">
        <v>-6.8029592578666698E-4</v>
      </c>
      <c r="Y754">
        <v>8.6964481874773902E-4</v>
      </c>
      <c r="Z754">
        <v>2.2885035933850606E-3</v>
      </c>
      <c r="AA754">
        <v>3.3384769033584227E-4</v>
      </c>
      <c r="AC754">
        <v>0</v>
      </c>
      <c r="AD754">
        <v>-1.063232279142623E-4</v>
      </c>
      <c r="AE754">
        <v>-7.237588066155709E-5</v>
      </c>
      <c r="AF754">
        <v>-2.0765483115370298E-4</v>
      </c>
      <c r="AG754">
        <v>-1.2664036664622458E-4</v>
      </c>
      <c r="AH754">
        <v>-2.2108630868704626E-3</v>
      </c>
      <c r="AI754">
        <v>-4.6754363192558213E-4</v>
      </c>
      <c r="AJ754">
        <v>0</v>
      </c>
      <c r="AK754">
        <v>2.3320895522389584E-3</v>
      </c>
      <c r="AL754">
        <v>1.3411910803506455E-2</v>
      </c>
    </row>
    <row r="755" spans="1:38">
      <c r="A755" s="568">
        <v>44928</v>
      </c>
      <c r="B755">
        <v>5.2057738259342898E-4</v>
      </c>
      <c r="C755">
        <v>4.937955340933442E-4</v>
      </c>
      <c r="D755">
        <v>5.097283220516502E-4</v>
      </c>
      <c r="E755">
        <v>5.6699392160641793E-4</v>
      </c>
      <c r="F755">
        <v>5.1289174778545998E-4</v>
      </c>
      <c r="G755">
        <v>5.0831927579642056E-4</v>
      </c>
      <c r="H755">
        <v>6.2348362453290562E-4</v>
      </c>
      <c r="I755">
        <v>6.1076644020086057E-4</v>
      </c>
      <c r="J755">
        <v>-5.3682724066645982E-3</v>
      </c>
      <c r="K755">
        <v>-4.3214079179780818E-3</v>
      </c>
      <c r="L755">
        <v>5.2072942583070159E-4</v>
      </c>
      <c r="M755">
        <v>5.3897558182836036E-4</v>
      </c>
      <c r="N755">
        <v>5.4443318212249459E-4</v>
      </c>
      <c r="O755">
        <v>5.4612392438491142E-4</v>
      </c>
      <c r="P755">
        <v>5.3573019985209136E-4</v>
      </c>
      <c r="Q755">
        <v>5.4958248556946643E-4</v>
      </c>
      <c r="R755">
        <v>-3.2600918763781017E-5</v>
      </c>
      <c r="S755">
        <v>2.4991614407743334E-3</v>
      </c>
      <c r="T755">
        <v>-1.4567943448664522E-3</v>
      </c>
      <c r="U755">
        <v>7.5486952146053277E-4</v>
      </c>
      <c r="V755">
        <v>-1.8118190707022697E-3</v>
      </c>
      <c r="W755">
        <v>-3.5907674804314116E-4</v>
      </c>
      <c r="X755">
        <v>-2.7340341134470814E-3</v>
      </c>
      <c r="Y755">
        <v>-1.8118190707022697E-3</v>
      </c>
      <c r="Z755">
        <v>-1.8547373899966413E-3</v>
      </c>
      <c r="AA755">
        <v>1.1196803326825044E-3</v>
      </c>
      <c r="AC755">
        <v>-3.0606390327207689E-2</v>
      </c>
      <c r="AD755">
        <v>-3.0822876122330145E-2</v>
      </c>
      <c r="AE755">
        <v>-2.8605289568126246E-2</v>
      </c>
      <c r="AF755">
        <v>-2.1858712870245767E-2</v>
      </c>
      <c r="AG755">
        <v>-1.7034496338416361E-2</v>
      </c>
      <c r="AH755">
        <v>-1.3601806289585294E-2</v>
      </c>
      <c r="AI755">
        <v>-2.2207646109748236E-2</v>
      </c>
      <c r="AJ755">
        <v>1.1111111111111072E-2</v>
      </c>
      <c r="AK755">
        <v>0</v>
      </c>
      <c r="AL755">
        <v>1.0864308853488325E-2</v>
      </c>
    </row>
    <row r="756" spans="1:38">
      <c r="A756" s="568">
        <v>44929</v>
      </c>
      <c r="B756">
        <v>5.2057738259342898E-4</v>
      </c>
      <c r="C756">
        <v>5.2663152245169265E-4</v>
      </c>
      <c r="D756">
        <v>5.0512245356237884E-4</v>
      </c>
      <c r="E756">
        <v>5.6699392160641793E-4</v>
      </c>
      <c r="F756">
        <v>5.2294032403876756E-4</v>
      </c>
      <c r="G756">
        <v>5.5948419860607501E-4</v>
      </c>
      <c r="H756">
        <v>6.2198543744007573E-4</v>
      </c>
      <c r="I756">
        <v>6.1213542272575694E-4</v>
      </c>
      <c r="J756">
        <v>-3.6218719318454884E-3</v>
      </c>
      <c r="K756">
        <v>-2.8772808469003097E-3</v>
      </c>
      <c r="L756">
        <v>5.2072942583070159E-4</v>
      </c>
      <c r="M756">
        <v>5.3897558182836036E-4</v>
      </c>
      <c r="N756">
        <v>5.4443318212249459E-4</v>
      </c>
      <c r="O756">
        <v>5.4612392438491142E-4</v>
      </c>
      <c r="P756">
        <v>5.3573019985209136E-4</v>
      </c>
      <c r="Q756">
        <v>5.4958248556946643E-4</v>
      </c>
      <c r="R756">
        <v>1.6883169052337443E-3</v>
      </c>
      <c r="S756">
        <v>-2.8400132154322577E-3</v>
      </c>
      <c r="T756">
        <v>7.3630578771866073E-3</v>
      </c>
      <c r="U756">
        <v>4.1968996142989212E-3</v>
      </c>
      <c r="V756">
        <v>0</v>
      </c>
      <c r="W756">
        <v>1.0986459617701172E-4</v>
      </c>
      <c r="X756">
        <v>3.2689468811368805E-3</v>
      </c>
      <c r="Y756">
        <v>0</v>
      </c>
      <c r="Z756">
        <v>9.0738261660305852E-4</v>
      </c>
      <c r="AA756">
        <v>-5.6388625735808162E-3</v>
      </c>
      <c r="AC756">
        <v>-2.077799112995582E-2</v>
      </c>
      <c r="AD756">
        <v>-2.5026258971815318E-2</v>
      </c>
      <c r="AE756">
        <v>-2.5243359023302325E-2</v>
      </c>
      <c r="AF756">
        <v>-2.5322794025130269E-2</v>
      </c>
      <c r="AG756">
        <v>-1.0390499913971452E-2</v>
      </c>
      <c r="AH756">
        <v>-2.734444205784059E-3</v>
      </c>
      <c r="AI756">
        <v>-2.608346205373091E-2</v>
      </c>
      <c r="AJ756">
        <v>1.318681318681314E-2</v>
      </c>
      <c r="AK756">
        <v>2.1715526601520097E-2</v>
      </c>
      <c r="AL756">
        <v>2.3644729421629318E-2</v>
      </c>
    </row>
    <row r="757" spans="1:38">
      <c r="A757" s="568">
        <v>44930</v>
      </c>
      <c r="B757">
        <v>5.2057738259342898E-4</v>
      </c>
      <c r="C757">
        <v>5.3807082771561987E-4</v>
      </c>
      <c r="D757">
        <v>5.7244051276383878E-4</v>
      </c>
      <c r="E757">
        <v>5.6699392160641793E-4</v>
      </c>
      <c r="F757">
        <v>5.870801870559994E-4</v>
      </c>
      <c r="G757">
        <v>5.2873003741682467E-4</v>
      </c>
      <c r="H757">
        <v>6.2104430818443745E-4</v>
      </c>
      <c r="I757">
        <v>6.1184300340699771E-4</v>
      </c>
      <c r="J757">
        <v>-1.5062323242902576E-3</v>
      </c>
      <c r="K757">
        <v>-4.4953860477969787E-4</v>
      </c>
      <c r="L757">
        <v>5.2072942583070159E-4</v>
      </c>
      <c r="M757">
        <v>5.3897558182836036E-4</v>
      </c>
      <c r="N757">
        <v>5.4443318212249459E-4</v>
      </c>
      <c r="O757">
        <v>5.4612392438491142E-4</v>
      </c>
      <c r="P757">
        <v>5.3573019985209136E-4</v>
      </c>
      <c r="Q757">
        <v>5.4958248556946643E-4</v>
      </c>
      <c r="R757">
        <v>4.5693708019414192E-3</v>
      </c>
      <c r="S757">
        <v>-1.5006730213842356E-3</v>
      </c>
      <c r="T757">
        <v>1.4761638288633971E-3</v>
      </c>
      <c r="U757">
        <v>1.1304947952335276E-3</v>
      </c>
      <c r="V757">
        <v>-6.850286337606315E-4</v>
      </c>
      <c r="W757">
        <v>-2.9479955561229065E-4</v>
      </c>
      <c r="X757">
        <v>4.853431143381215E-5</v>
      </c>
      <c r="Y757">
        <v>-6.850286337606315E-4</v>
      </c>
      <c r="Z757">
        <v>-1.9011997111869627E-3</v>
      </c>
      <c r="AA757">
        <v>-2.2470389204869434E-3</v>
      </c>
      <c r="AC757">
        <v>1.1219811811445934E-2</v>
      </c>
      <c r="AD757">
        <v>6.579570817591307E-3</v>
      </c>
      <c r="AE757">
        <v>7.8464280935046649E-3</v>
      </c>
      <c r="AF757">
        <v>1.0164501852033103E-2</v>
      </c>
      <c r="AG757">
        <v>3.9990905338054272E-3</v>
      </c>
      <c r="AH757">
        <v>4.7980970946039925E-3</v>
      </c>
      <c r="AI757">
        <v>2.0833996219047357E-3</v>
      </c>
      <c r="AJ757">
        <v>6.5075921908894774E-3</v>
      </c>
      <c r="AK757">
        <v>3.522088963109149E-2</v>
      </c>
      <c r="AL757">
        <v>2.1014719986407471E-3</v>
      </c>
    </row>
    <row r="758" spans="1:38">
      <c r="A758" s="568">
        <v>44931</v>
      </c>
      <c r="B758">
        <v>5.2057738259342898E-4</v>
      </c>
      <c r="C758">
        <v>5.7702505535051074E-4</v>
      </c>
      <c r="D758">
        <v>5.9478528154865984E-4</v>
      </c>
      <c r="E758">
        <v>5.6699392160641793E-4</v>
      </c>
      <c r="F758">
        <v>5.734927881166918E-4</v>
      </c>
      <c r="G758">
        <v>7.0649747711648558E-4</v>
      </c>
      <c r="H758">
        <v>6.2232133060380335E-4</v>
      </c>
      <c r="I758">
        <v>6.1289139557230143E-4</v>
      </c>
      <c r="J758">
        <v>3.3630333023362269E-3</v>
      </c>
      <c r="K758">
        <v>1.9415494569896552E-3</v>
      </c>
      <c r="L758">
        <v>5.2072942583070159E-4</v>
      </c>
      <c r="M758">
        <v>5.3897558182836036E-4</v>
      </c>
      <c r="N758">
        <v>5.4443318212249459E-4</v>
      </c>
      <c r="O758">
        <v>5.4612392438491142E-4</v>
      </c>
      <c r="P758">
        <v>5.3573019985209136E-4</v>
      </c>
      <c r="Q758">
        <v>5.4958248556946643E-4</v>
      </c>
      <c r="R758">
        <v>-1.8536850089300172E-3</v>
      </c>
      <c r="S758">
        <v>3.0524433567227227E-3</v>
      </c>
      <c r="T758">
        <v>-5.3725045306233232E-3</v>
      </c>
      <c r="U758">
        <v>-2.3646618520358764E-3</v>
      </c>
      <c r="V758">
        <v>2.0957907352947558E-4</v>
      </c>
      <c r="W758">
        <v>1.1108678762594693E-3</v>
      </c>
      <c r="X758">
        <v>4.478802568428808E-3</v>
      </c>
      <c r="Y758">
        <v>2.0957907352947558E-4</v>
      </c>
      <c r="Z758">
        <v>2.429010995412817E-4</v>
      </c>
      <c r="AA758">
        <v>3.2375902178898297E-3</v>
      </c>
      <c r="AC758">
        <v>2.1900335369830604E-2</v>
      </c>
      <c r="AD758">
        <v>1.7934282565211568E-2</v>
      </c>
      <c r="AE758">
        <v>1.8386705477173138E-2</v>
      </c>
      <c r="AF758">
        <v>1.5245682705407715E-2</v>
      </c>
      <c r="AG758">
        <v>9.2990334209153147E-4</v>
      </c>
      <c r="AH758">
        <v>4.5045376900296752E-3</v>
      </c>
      <c r="AI758">
        <v>9.8432873902913887E-3</v>
      </c>
      <c r="AJ758">
        <v>-3.0689655172413843E-2</v>
      </c>
      <c r="AK758">
        <v>1.7304590115852836E-2</v>
      </c>
      <c r="AL758">
        <v>-1.1871452152506179E-2</v>
      </c>
    </row>
    <row r="759" spans="1:38">
      <c r="A759" s="568">
        <v>44932</v>
      </c>
      <c r="B759">
        <v>5.2057738259342898E-4</v>
      </c>
      <c r="C759">
        <v>5.5995406985243079E-4</v>
      </c>
      <c r="D759">
        <v>5.3706158852584451E-4</v>
      </c>
      <c r="E759">
        <v>5.6699392160641793E-4</v>
      </c>
      <c r="F759">
        <v>5.632375719166749E-4</v>
      </c>
      <c r="G759">
        <v>5.6140320951425515E-4</v>
      </c>
      <c r="H759">
        <v>6.2138047259252538E-4</v>
      </c>
      <c r="I759">
        <v>-6.125159897926169E-4</v>
      </c>
      <c r="J759">
        <v>3.7278362766215434E-3</v>
      </c>
      <c r="K759">
        <v>2.3635589862893713E-3</v>
      </c>
      <c r="L759">
        <v>5.2072942583070159E-4</v>
      </c>
      <c r="M759">
        <v>5.3897558182836036E-4</v>
      </c>
      <c r="N759">
        <v>5.4443318212249459E-4</v>
      </c>
      <c r="O759">
        <v>5.4612392438491142E-4</v>
      </c>
      <c r="P759">
        <v>5.3573019985209136E-4</v>
      </c>
      <c r="Q759">
        <v>5.4958248556946643E-4</v>
      </c>
      <c r="R759">
        <v>9.4073595344430494E-3</v>
      </c>
      <c r="S759">
        <v>3.2370707598556869E-3</v>
      </c>
      <c r="T759">
        <v>-2.8060690089383167E-3</v>
      </c>
      <c r="U759">
        <v>-8.5465107309934396E-4</v>
      </c>
      <c r="V759">
        <v>7.0499850487948379E-4</v>
      </c>
      <c r="W759">
        <v>3.4601067273554165E-4</v>
      </c>
      <c r="X759">
        <v>4.5163272186643511E-4</v>
      </c>
      <c r="Y759">
        <v>7.0499850487948379E-4</v>
      </c>
      <c r="Z759">
        <v>-1.388456949011907E-3</v>
      </c>
      <c r="AA759">
        <v>-4.7291742681965232E-4</v>
      </c>
      <c r="AC759">
        <v>1.2285059306221813E-2</v>
      </c>
      <c r="AD759">
        <v>1.6189947118599557E-2</v>
      </c>
      <c r="AE759">
        <v>1.4081169708086705E-2</v>
      </c>
      <c r="AF759">
        <v>5.1616111139407561E-3</v>
      </c>
      <c r="AG759">
        <v>4.358339358396135E-3</v>
      </c>
      <c r="AH759">
        <v>-3.0238690675886692E-3</v>
      </c>
      <c r="AI759">
        <v>3.9236790645722497E-3</v>
      </c>
      <c r="AJ759">
        <v>-1.6897901102810309E-3</v>
      </c>
      <c r="AK759">
        <v>0</v>
      </c>
      <c r="AL759">
        <v>-1.8065671007424622E-2</v>
      </c>
    </row>
    <row r="760" spans="1:38">
      <c r="A760" s="568">
        <v>44935</v>
      </c>
      <c r="B760">
        <v>5.2057738259342898E-4</v>
      </c>
      <c r="C760">
        <v>5.4298573524702576E-4</v>
      </c>
      <c r="D760">
        <v>5.0111691250309676E-4</v>
      </c>
      <c r="E760">
        <v>5.6699392160641793E-4</v>
      </c>
      <c r="F760">
        <v>5.3536239477836034E-4</v>
      </c>
      <c r="G760">
        <v>5.5059099344889617E-4</v>
      </c>
      <c r="H760">
        <v>6.2265501204072926E-4</v>
      </c>
      <c r="I760">
        <v>1.8384466306891056E-3</v>
      </c>
      <c r="J760">
        <v>7.9935489899263246E-5</v>
      </c>
      <c r="K760">
        <v>4.8197662516424877E-4</v>
      </c>
      <c r="L760">
        <v>5.2072942583070159E-4</v>
      </c>
      <c r="M760">
        <v>5.3897558182836036E-4</v>
      </c>
      <c r="N760">
        <v>5.4443318212249459E-4</v>
      </c>
      <c r="O760">
        <v>5.4612392438491142E-4</v>
      </c>
      <c r="P760">
        <v>5.3573019985209136E-4</v>
      </c>
      <c r="Q760">
        <v>5.4958248556946643E-4</v>
      </c>
      <c r="R760">
        <v>4.4157969537317321E-3</v>
      </c>
      <c r="S760">
        <v>4.3591122772685953E-3</v>
      </c>
      <c r="T760">
        <v>-9.7889846460708085E-4</v>
      </c>
      <c r="U760">
        <v>1.1215192161313503E-3</v>
      </c>
      <c r="V760">
        <v>1.9739138021288571E-3</v>
      </c>
      <c r="W760">
        <v>6.0777376071796674E-4</v>
      </c>
      <c r="X760">
        <v>-2.3889180620320083E-3</v>
      </c>
      <c r="Y760">
        <v>1.9739138021288571E-3</v>
      </c>
      <c r="Z760">
        <v>-2.5998809501460718E-3</v>
      </c>
      <c r="AA760">
        <v>1.3271197268878154E-3</v>
      </c>
      <c r="AC760">
        <v>1.5222500704363817E-3</v>
      </c>
      <c r="AD760">
        <v>8.3138883549871423E-4</v>
      </c>
      <c r="AE760">
        <v>2.5062820450085788E-3</v>
      </c>
      <c r="AF760">
        <v>2.5885303972135176E-3</v>
      </c>
      <c r="AG760">
        <v>9.6078839112734293E-4</v>
      </c>
      <c r="AH760">
        <v>-4.7430291294769944E-4</v>
      </c>
      <c r="AI760">
        <v>-2.2324057880304116E-3</v>
      </c>
      <c r="AJ760">
        <v>4.2316258351893232E-3</v>
      </c>
      <c r="AK760">
        <v>2.3353034452933352E-2</v>
      </c>
      <c r="AL760">
        <v>2.5873319895216795E-2</v>
      </c>
    </row>
    <row r="761" spans="1:38">
      <c r="A761" s="568">
        <v>44936</v>
      </c>
      <c r="B761">
        <v>5.2057738259342898E-4</v>
      </c>
      <c r="C761">
        <v>5.7023733186922776E-4</v>
      </c>
      <c r="D761">
        <v>5.0134752196573373E-4</v>
      </c>
      <c r="E761">
        <v>5.6699392160641793E-4</v>
      </c>
      <c r="F761">
        <v>5.3654491516264002E-4</v>
      </c>
      <c r="G761">
        <v>5.6125275084850657E-4</v>
      </c>
      <c r="H761">
        <v>6.2724569446159784E-4</v>
      </c>
      <c r="I761">
        <v>7.2992717391562323E-4</v>
      </c>
      <c r="J761">
        <v>5.2293382695982604E-3</v>
      </c>
      <c r="K761">
        <v>4.594967244755388E-3</v>
      </c>
      <c r="L761">
        <v>5.2072942583070159E-4</v>
      </c>
      <c r="M761">
        <v>5.3897558182836036E-4</v>
      </c>
      <c r="N761">
        <v>5.4443318212249459E-4</v>
      </c>
      <c r="O761">
        <v>5.4612392438491142E-4</v>
      </c>
      <c r="P761">
        <v>5.3573019985209136E-4</v>
      </c>
      <c r="Q761">
        <v>5.4958248556946643E-4</v>
      </c>
      <c r="R761">
        <v>-1.2828978398264912E-3</v>
      </c>
      <c r="S761">
        <v>5.3455793432410914E-5</v>
      </c>
      <c r="T761">
        <v>-7.5951544931252002E-4</v>
      </c>
      <c r="U761">
        <v>-1.12019986959222E-3</v>
      </c>
      <c r="V761">
        <v>0</v>
      </c>
      <c r="W761">
        <v>4.2663961760069924E-4</v>
      </c>
      <c r="X761">
        <v>8.7634399135172458E-6</v>
      </c>
      <c r="Y761">
        <v>0</v>
      </c>
      <c r="Z761">
        <v>4.2834580525379362E-3</v>
      </c>
      <c r="AA761">
        <v>-9.742042667529871E-4</v>
      </c>
      <c r="AC761">
        <v>1.5459971115069804E-2</v>
      </c>
      <c r="AD761">
        <v>2.0736045870574538E-2</v>
      </c>
      <c r="AE761">
        <v>1.6246288535662901E-2</v>
      </c>
      <c r="AF761">
        <v>2.2070216630587947E-2</v>
      </c>
      <c r="AG761">
        <v>5.649085531894027E-3</v>
      </c>
      <c r="AH761">
        <v>6.981281875554135E-3</v>
      </c>
      <c r="AI761">
        <v>2.5190355695963174E-3</v>
      </c>
      <c r="AJ761">
        <v>2.2177866489259124E-4</v>
      </c>
      <c r="AK761">
        <v>-1.8312438371600459E-3</v>
      </c>
      <c r="AL761">
        <v>-6.3001298918464732E-3</v>
      </c>
    </row>
    <row r="762" spans="1:38">
      <c r="A762" s="568">
        <v>44937</v>
      </c>
      <c r="B762">
        <v>5.2057738259342898E-4</v>
      </c>
      <c r="C762">
        <v>5.7642225643106393E-4</v>
      </c>
      <c r="D762">
        <v>4.8376731995314337E-4</v>
      </c>
      <c r="E762">
        <v>5.6699392160641793E-4</v>
      </c>
      <c r="F762">
        <v>5.7699952173662084E-4</v>
      </c>
      <c r="G762">
        <v>5.7851897093641469E-4</v>
      </c>
      <c r="H762">
        <v>6.2132470406939255E-4</v>
      </c>
      <c r="I762">
        <v>4.9394671917246669E-4</v>
      </c>
      <c r="J762">
        <v>5.3010656700793746E-3</v>
      </c>
      <c r="K762">
        <v>4.2171097646432898E-3</v>
      </c>
      <c r="L762">
        <v>5.2072942583070159E-4</v>
      </c>
      <c r="M762">
        <v>5.3897558182836036E-4</v>
      </c>
      <c r="N762">
        <v>5.4443318212249459E-4</v>
      </c>
      <c r="O762">
        <v>5.4612392438491142E-4</v>
      </c>
      <c r="P762">
        <v>5.3573019985209136E-4</v>
      </c>
      <c r="Q762">
        <v>5.4958248556946643E-4</v>
      </c>
      <c r="R762">
        <v>5.3219349930535564E-3</v>
      </c>
      <c r="S762">
        <v>3.5473961360832362E-3</v>
      </c>
      <c r="T762">
        <v>5.089684481110357E-3</v>
      </c>
      <c r="U762">
        <v>-1.6357693267790019E-3</v>
      </c>
      <c r="V762">
        <v>0</v>
      </c>
      <c r="W762">
        <v>2.0385190615017645E-3</v>
      </c>
      <c r="X762">
        <v>1.1027550820963405E-4</v>
      </c>
      <c r="Y762">
        <v>0</v>
      </c>
      <c r="Z762">
        <v>5.1311033283374385E-4</v>
      </c>
      <c r="AA762">
        <v>2.1982980738477487E-4</v>
      </c>
      <c r="AC762">
        <v>1.5343985577626285E-2</v>
      </c>
      <c r="AD762">
        <v>2.7985889831787514E-2</v>
      </c>
      <c r="AE762">
        <v>2.0024802243428841E-2</v>
      </c>
      <c r="AF762">
        <v>1.6546151786227981E-2</v>
      </c>
      <c r="AG762">
        <v>4.8841997010995453E-3</v>
      </c>
      <c r="AH762">
        <v>9.5314541637760986E-3</v>
      </c>
      <c r="AI762">
        <v>2.1573623730525293E-2</v>
      </c>
      <c r="AJ762">
        <v>3.1042128603102626E-3</v>
      </c>
      <c r="AK762">
        <v>7.1972904318375885E-3</v>
      </c>
      <c r="AL762">
        <v>3.8203247162043041E-3</v>
      </c>
    </row>
    <row r="763" spans="1:38">
      <c r="A763" s="568">
        <v>44938</v>
      </c>
      <c r="B763">
        <v>5.2057738259342898E-4</v>
      </c>
      <c r="C763">
        <v>-8.0168130965641016E-4</v>
      </c>
      <c r="D763">
        <v>5.1047655704961059E-4</v>
      </c>
      <c r="E763">
        <v>5.6699392160641793E-4</v>
      </c>
      <c r="F763">
        <v>-8.3095776209267669E-3</v>
      </c>
      <c r="G763">
        <v>-8.1163296458379719E-3</v>
      </c>
      <c r="H763">
        <v>6.2093889939118796E-4</v>
      </c>
      <c r="I763">
        <v>6.1589342239232181E-4</v>
      </c>
      <c r="J763">
        <v>2.4055727383998082E-3</v>
      </c>
      <c r="K763">
        <v>6.6030978294273623E-4</v>
      </c>
      <c r="L763">
        <v>5.2072942583070159E-4</v>
      </c>
      <c r="M763">
        <v>5.3897558182836036E-4</v>
      </c>
      <c r="N763">
        <v>5.4443318212249459E-4</v>
      </c>
      <c r="O763">
        <v>5.4612392438491142E-4</v>
      </c>
      <c r="P763">
        <v>5.3573019985209136E-4</v>
      </c>
      <c r="Q763">
        <v>5.4958248556946643E-4</v>
      </c>
      <c r="R763">
        <v>7.3157204857254854E-3</v>
      </c>
      <c r="S763">
        <v>3.7635687681873975E-3</v>
      </c>
      <c r="T763">
        <v>6.0021358497563959E-3</v>
      </c>
      <c r="U763">
        <v>2.2671656080646141E-3</v>
      </c>
      <c r="V763">
        <v>7.0398467516352703E-3</v>
      </c>
      <c r="W763">
        <v>2.0138615892115741E-3</v>
      </c>
      <c r="X763">
        <v>-2.0180616212176483E-3</v>
      </c>
      <c r="Y763">
        <v>7.0398467516352703E-3</v>
      </c>
      <c r="Z763">
        <v>-2.7460575561322198E-4</v>
      </c>
      <c r="AA763">
        <v>1.6600298001399061E-3</v>
      </c>
      <c r="AC763">
        <v>-5.9267446329037687E-3</v>
      </c>
      <c r="AD763">
        <v>-3.2590348273712211E-3</v>
      </c>
      <c r="AE763">
        <v>-8.3310347886700331E-4</v>
      </c>
      <c r="AF763">
        <v>-1.2330665952571263E-3</v>
      </c>
      <c r="AG763">
        <v>2.752823721449138E-3</v>
      </c>
      <c r="AH763">
        <v>-2.5842241958460299E-3</v>
      </c>
      <c r="AI763">
        <v>-8.3937491183657675E-3</v>
      </c>
      <c r="AJ763">
        <v>-8.6206896551723755E-3</v>
      </c>
      <c r="AK763">
        <v>-2.8022978842651147E-3</v>
      </c>
      <c r="AL763">
        <v>-1.9391191114873307E-2</v>
      </c>
    </row>
    <row r="764" spans="1:38">
      <c r="A764" s="568">
        <v>44939</v>
      </c>
      <c r="B764">
        <v>5.2057738259342898E-4</v>
      </c>
      <c r="C764">
        <v>-3.0209996052954491E-4</v>
      </c>
      <c r="D764">
        <v>5.0492639856192234E-4</v>
      </c>
      <c r="E764">
        <v>5.6699392160641793E-4</v>
      </c>
      <c r="F764">
        <v>-4.1326364718854425E-3</v>
      </c>
      <c r="G764">
        <v>3.9528319745341101E-4</v>
      </c>
      <c r="H764">
        <v>6.2110566746498286E-4</v>
      </c>
      <c r="I764">
        <v>6.1371396982834447E-4</v>
      </c>
      <c r="J764">
        <v>3.4592944547329196E-4</v>
      </c>
      <c r="K764">
        <v>-5.0689188230523818E-4</v>
      </c>
      <c r="L764">
        <v>5.2072942583070159E-4</v>
      </c>
      <c r="M764">
        <v>5.3897558182836036E-4</v>
      </c>
      <c r="N764">
        <v>5.4443318212249459E-4</v>
      </c>
      <c r="O764">
        <v>5.4612392438491142E-4</v>
      </c>
      <c r="P764">
        <v>5.3573019985209136E-4</v>
      </c>
      <c r="Q764">
        <v>5.4958248556946643E-4</v>
      </c>
      <c r="R764">
        <v>-4.2621360650196838E-4</v>
      </c>
      <c r="S764">
        <v>1.9979000071606023E-3</v>
      </c>
      <c r="T764">
        <v>5.1523509980377913E-3</v>
      </c>
      <c r="U764">
        <v>1.5718878582275941E-3</v>
      </c>
      <c r="V764">
        <v>1.076479781418449E-3</v>
      </c>
      <c r="W764">
        <v>1.2814537186252029E-3</v>
      </c>
      <c r="X764">
        <v>3.0860253366018497E-3</v>
      </c>
      <c r="Y764">
        <v>1.076479781418449E-3</v>
      </c>
      <c r="Z764">
        <v>9.1619181652879966E-4</v>
      </c>
      <c r="AA764">
        <v>-1.8772836940329496E-3</v>
      </c>
      <c r="AC764">
        <v>-8.351704627849621E-3</v>
      </c>
      <c r="AD764">
        <v>-1.1949587498981007E-2</v>
      </c>
      <c r="AE764">
        <v>-6.9924909302611082E-3</v>
      </c>
      <c r="AF764">
        <v>3.1798634758815059E-3</v>
      </c>
      <c r="AG764">
        <v>-7.9194858433045967E-3</v>
      </c>
      <c r="AH764">
        <v>2.0880848613091807E-4</v>
      </c>
      <c r="AI764">
        <v>7.2030263800000327E-3</v>
      </c>
      <c r="AJ764">
        <v>2.6755852842808014E-3</v>
      </c>
      <c r="AK764">
        <v>1.6299002388646899E-2</v>
      </c>
      <c r="AL764">
        <v>7.9313859201277648E-3</v>
      </c>
    </row>
    <row r="765" spans="1:38">
      <c r="A765" s="568">
        <v>44942</v>
      </c>
      <c r="B765">
        <v>5.2057738259342898E-4</v>
      </c>
      <c r="C765">
        <v>4.5608200567137658E-4</v>
      </c>
      <c r="D765">
        <v>4.9217494704567599E-4</v>
      </c>
      <c r="E765">
        <v>5.6699392160641793E-4</v>
      </c>
      <c r="F765">
        <v>3.2018578204251469E-4</v>
      </c>
      <c r="G765">
        <v>-3.1722918136846134E-3</v>
      </c>
      <c r="H765">
        <v>6.2016838344058911E-4</v>
      </c>
      <c r="I765">
        <v>6.2026512377877374E-4</v>
      </c>
      <c r="J765">
        <v>-2.3148396647670877E-3</v>
      </c>
      <c r="K765">
        <v>-2.0253759633794832E-3</v>
      </c>
      <c r="L765">
        <v>5.2072942583070159E-4</v>
      </c>
      <c r="M765">
        <v>5.3897558182836036E-4</v>
      </c>
      <c r="N765">
        <v>5.4443318212249459E-4</v>
      </c>
      <c r="O765">
        <v>5.4612392438491142E-4</v>
      </c>
      <c r="P765">
        <v>5.3573019985209136E-4</v>
      </c>
      <c r="Q765">
        <v>5.4958248556946643E-4</v>
      </c>
      <c r="R765">
        <v>-3.1668619564939604E-5</v>
      </c>
      <c r="S765">
        <v>1.2124931699628583E-3</v>
      </c>
      <c r="T765">
        <v>3.6479238057087748E-3</v>
      </c>
      <c r="U765">
        <v>-6.2851037507449803E-4</v>
      </c>
      <c r="V765">
        <v>0</v>
      </c>
      <c r="W765">
        <v>-5.3109074198542938E-4</v>
      </c>
      <c r="X765">
        <v>2.8581175840942663E-3</v>
      </c>
      <c r="Y765">
        <v>0</v>
      </c>
      <c r="Z765">
        <v>-3.2847876054660219E-3</v>
      </c>
      <c r="AA765">
        <v>2.3094376826806595E-3</v>
      </c>
      <c r="AC765">
        <v>-1.5357737128827487E-2</v>
      </c>
      <c r="AD765">
        <v>-1.6004573645093889E-2</v>
      </c>
      <c r="AE765">
        <v>-1.1829773044014891E-2</v>
      </c>
      <c r="AF765">
        <v>6.6304648149630996E-3</v>
      </c>
      <c r="AG765">
        <v>-4.5262246064998735E-3</v>
      </c>
      <c r="AH765">
        <v>-5.4299260333617871E-3</v>
      </c>
      <c r="AI765">
        <v>-1.1569259121381181E-3</v>
      </c>
      <c r="AJ765">
        <v>1.4009339559706513E-2</v>
      </c>
      <c r="AK765">
        <v>-8.2953131480711928E-4</v>
      </c>
      <c r="AL765">
        <v>7.9858747698577925E-3</v>
      </c>
    </row>
    <row r="766" spans="1:38">
      <c r="A766" s="568">
        <v>44943</v>
      </c>
      <c r="B766">
        <v>5.2057738259342898E-4</v>
      </c>
      <c r="C766">
        <v>3.3715933930267283E-4</v>
      </c>
      <c r="D766">
        <v>4.8520718587030665E-4</v>
      </c>
      <c r="E766">
        <v>5.6699392160641793E-4</v>
      </c>
      <c r="F766">
        <v>3.044875900903854E-5</v>
      </c>
      <c r="G766">
        <v>-7.801030934159181E-4</v>
      </c>
      <c r="H766">
        <v>6.203354222553692E-4</v>
      </c>
      <c r="I766">
        <v>6.0922642560501394E-4</v>
      </c>
      <c r="J766">
        <v>2.3574511658019937E-3</v>
      </c>
      <c r="K766">
        <v>2.6470529819562216E-3</v>
      </c>
      <c r="L766">
        <v>5.2072942583070159E-4</v>
      </c>
      <c r="M766">
        <v>5.3897558182836036E-4</v>
      </c>
      <c r="N766">
        <v>5.4443318212249459E-4</v>
      </c>
      <c r="O766">
        <v>5.4612392438491142E-4</v>
      </c>
      <c r="P766">
        <v>5.3573019985209136E-4</v>
      </c>
      <c r="Q766">
        <v>5.4958248556946643E-4</v>
      </c>
      <c r="R766">
        <v>-5.8532248724174618E-4</v>
      </c>
      <c r="S766">
        <v>5.3965270437394963E-4</v>
      </c>
      <c r="T766">
        <v>-2.003205555775045E-3</v>
      </c>
      <c r="U766">
        <v>-5.223786589629853E-4</v>
      </c>
      <c r="V766">
        <v>0</v>
      </c>
      <c r="W766">
        <v>5.4884391228560148E-4</v>
      </c>
      <c r="X766">
        <v>1.7442339293527453E-4</v>
      </c>
      <c r="Y766">
        <v>0</v>
      </c>
      <c r="Z766">
        <v>2.9265856574320903E-3</v>
      </c>
      <c r="AA766">
        <v>2.7276886679050705E-4</v>
      </c>
      <c r="AC766">
        <v>2.03864643531253E-2</v>
      </c>
      <c r="AD766">
        <v>1.0975245978126047E-2</v>
      </c>
      <c r="AE766">
        <v>1.5739219311290631E-2</v>
      </c>
      <c r="AF766">
        <v>8.6697596960496615E-3</v>
      </c>
      <c r="AG766">
        <v>9.7542994253043691E-3</v>
      </c>
      <c r="AH766">
        <v>9.6871277642345266E-3</v>
      </c>
      <c r="AI766">
        <v>5.2124109404232399E-3</v>
      </c>
      <c r="AJ766">
        <v>-1.3157894736842146E-2</v>
      </c>
      <c r="AK766">
        <v>-6.503390065033865E-3</v>
      </c>
      <c r="AL766">
        <v>-1.054320114273688E-2</v>
      </c>
    </row>
    <row r="767" spans="1:38">
      <c r="A767" s="568">
        <v>44944</v>
      </c>
      <c r="B767">
        <v>5.2057738259342898E-4</v>
      </c>
      <c r="C767">
        <v>2.6867287751541902E-4</v>
      </c>
      <c r="D767">
        <v>5.0561919144143097E-4</v>
      </c>
      <c r="E767">
        <v>5.6699392160641793E-4</v>
      </c>
      <c r="F767">
        <v>-4.8085295516642201E-4</v>
      </c>
      <c r="G767">
        <v>-8.3946683571811676E-5</v>
      </c>
      <c r="H767">
        <v>6.1995084478638773E-4</v>
      </c>
      <c r="I767">
        <v>6.0949330999049423E-4</v>
      </c>
      <c r="J767">
        <v>-8.5246338469135985E-4</v>
      </c>
      <c r="K767">
        <v>-3.3656421555794402E-4</v>
      </c>
      <c r="L767">
        <v>5.2072942583070159E-4</v>
      </c>
      <c r="M767">
        <v>5.3897558182836036E-4</v>
      </c>
      <c r="N767">
        <v>5.4443318212249459E-4</v>
      </c>
      <c r="O767">
        <v>5.4612392438491142E-4</v>
      </c>
      <c r="P767">
        <v>5.3573019985209136E-4</v>
      </c>
      <c r="Q767">
        <v>5.4958248556946643E-4</v>
      </c>
      <c r="R767">
        <v>5.0208774114839372E-3</v>
      </c>
      <c r="S767">
        <v>1.5723366974931263E-3</v>
      </c>
      <c r="T767">
        <v>2.7160314830987353E-3</v>
      </c>
      <c r="U767">
        <v>-4.0473713050502846E-3</v>
      </c>
      <c r="V767">
        <v>5.9812099318312661E-4</v>
      </c>
      <c r="W767">
        <v>-2.4854783076431186E-3</v>
      </c>
      <c r="X767">
        <v>-1.5432615981696429E-3</v>
      </c>
      <c r="Y767">
        <v>5.9812099318312661E-4</v>
      </c>
      <c r="Z767">
        <v>-5.3522476046863332E-3</v>
      </c>
      <c r="AA767">
        <v>5.7357469944174788E-4</v>
      </c>
      <c r="AC767">
        <v>7.0825218289591874E-3</v>
      </c>
      <c r="AD767">
        <v>1.9791107125252561E-2</v>
      </c>
      <c r="AE767">
        <v>7.2967322260153455E-3</v>
      </c>
      <c r="AF767">
        <v>7.1426268982590635E-3</v>
      </c>
      <c r="AG767">
        <v>1.1785335339766778E-3</v>
      </c>
      <c r="AH767">
        <v>7.6557775711563192E-3</v>
      </c>
      <c r="AI767">
        <v>1.0141546146611891E-2</v>
      </c>
      <c r="AJ767">
        <v>-2.2222222222222365E-3</v>
      </c>
      <c r="AK767">
        <v>1.2534818941505321E-3</v>
      </c>
      <c r="AL767">
        <v>1.7364306169449284E-2</v>
      </c>
    </row>
    <row r="768" spans="1:38">
      <c r="A768" s="568">
        <v>44945</v>
      </c>
      <c r="B768">
        <v>5.2057738259342898E-4</v>
      </c>
      <c r="C768">
        <v>1.3492370488665806E-4</v>
      </c>
      <c r="D768">
        <v>4.8808627944829652E-4</v>
      </c>
      <c r="E768">
        <v>5.6699392160641793E-4</v>
      </c>
      <c r="F768">
        <v>-1.890159727412688E-3</v>
      </c>
      <c r="G768">
        <v>-1.2954228154667957E-3</v>
      </c>
      <c r="H768">
        <v>6.2066819584916111E-4</v>
      </c>
      <c r="I768">
        <v>6.0986722668077142E-4</v>
      </c>
      <c r="J768">
        <v>1.109064090112355E-3</v>
      </c>
      <c r="K768">
        <v>9.9142159923459872E-4</v>
      </c>
      <c r="L768">
        <v>5.2072942583070159E-4</v>
      </c>
      <c r="M768">
        <v>5.3897558182836036E-4</v>
      </c>
      <c r="N768">
        <v>5.4443318212249459E-4</v>
      </c>
      <c r="O768">
        <v>5.4612392438491142E-4</v>
      </c>
      <c r="P768">
        <v>5.3573019985209136E-4</v>
      </c>
      <c r="Q768">
        <v>5.4958248556946643E-4</v>
      </c>
      <c r="R768">
        <v>-2.3793785689271152E-3</v>
      </c>
      <c r="S768">
        <v>-1.8196238153023181E-3</v>
      </c>
      <c r="T768">
        <v>5.0746157500829447E-3</v>
      </c>
      <c r="U768">
        <v>-1.6941112992122642E-3</v>
      </c>
      <c r="V768">
        <v>0</v>
      </c>
      <c r="W768">
        <v>-4.5213843548153054E-4</v>
      </c>
      <c r="X768">
        <v>5.9162747828138684E-3</v>
      </c>
      <c r="Y768">
        <v>0</v>
      </c>
      <c r="Z768">
        <v>9.3922463462159378E-4</v>
      </c>
      <c r="AA768">
        <v>-1.5506104281844957E-3</v>
      </c>
      <c r="AC768">
        <v>6.1792742460264893E-3</v>
      </c>
      <c r="AD768">
        <v>3.47742172591059E-3</v>
      </c>
      <c r="AE768">
        <v>6.4452244604877862E-3</v>
      </c>
      <c r="AF768">
        <v>3.3023578063149372E-3</v>
      </c>
      <c r="AG768">
        <v>4.5824575895030417E-3</v>
      </c>
      <c r="AH768">
        <v>9.7105440309011026E-3</v>
      </c>
      <c r="AI768">
        <v>6.2328092458576734E-3</v>
      </c>
      <c r="AJ768">
        <v>-8.9086859688195519E-3</v>
      </c>
      <c r="AK768">
        <v>1.3910140492434664E-4</v>
      </c>
      <c r="AL768">
        <v>1.062245957064456E-2</v>
      </c>
    </row>
    <row r="769" spans="1:38">
      <c r="A769" s="568">
        <v>44946</v>
      </c>
      <c r="B769">
        <v>5.2057738259342898E-4</v>
      </c>
      <c r="C769">
        <v>5.1516347441693533E-4</v>
      </c>
      <c r="D769">
        <v>5.2814241137055795E-4</v>
      </c>
      <c r="E769">
        <v>5.6699392160641793E-4</v>
      </c>
      <c r="F769">
        <v>2.4490573734503585E-4</v>
      </c>
      <c r="G769">
        <v>4.4961132011445137E-4</v>
      </c>
      <c r="H769">
        <v>6.1918243701386544E-4</v>
      </c>
      <c r="I769">
        <v>6.1019616586155401E-4</v>
      </c>
      <c r="J769">
        <v>-5.896835594253802E-3</v>
      </c>
      <c r="K769">
        <v>-2.5679387410807442E-3</v>
      </c>
      <c r="L769">
        <v>5.2072942583070159E-4</v>
      </c>
      <c r="M769">
        <v>5.3897558182836036E-4</v>
      </c>
      <c r="N769">
        <v>5.4443318212249459E-4</v>
      </c>
      <c r="O769">
        <v>5.4612392438491142E-4</v>
      </c>
      <c r="P769">
        <v>5.3573019985209136E-4</v>
      </c>
      <c r="Q769">
        <v>5.4958248556946643E-4</v>
      </c>
      <c r="R769">
        <v>-1.2263893247126401E-3</v>
      </c>
      <c r="S769">
        <v>1.3912675245864037E-5</v>
      </c>
      <c r="T769">
        <v>-1.6520499863719174E-3</v>
      </c>
      <c r="U769">
        <v>3.070100706673573E-3</v>
      </c>
      <c r="V769">
        <v>0</v>
      </c>
      <c r="W769">
        <v>2.0237969129621725E-3</v>
      </c>
      <c r="X769">
        <v>1.6228110658003114E-3</v>
      </c>
      <c r="Y769">
        <v>0</v>
      </c>
      <c r="Z769">
        <v>2.4113652851038836E-3</v>
      </c>
      <c r="AA769">
        <v>0</v>
      </c>
      <c r="AC769">
        <v>-7.8039791756920884E-3</v>
      </c>
      <c r="AD769">
        <v>-1.2994502096368987E-2</v>
      </c>
      <c r="AE769">
        <v>-4.9465504190022713E-3</v>
      </c>
      <c r="AF769">
        <v>-8.5907754279586079E-3</v>
      </c>
      <c r="AG769">
        <v>1.0867673645207354E-3</v>
      </c>
      <c r="AH769">
        <v>-1.3649910200240978E-2</v>
      </c>
      <c r="AI769">
        <v>-1.5251161094176346E-3</v>
      </c>
      <c r="AJ769">
        <v>2.5168539325842731E-2</v>
      </c>
      <c r="AK769">
        <v>2.0862308762169768E-2</v>
      </c>
      <c r="AL769">
        <v>4.7923041496924501E-3</v>
      </c>
    </row>
    <row r="770" spans="1:38">
      <c r="A770" s="568">
        <v>44949</v>
      </c>
      <c r="B770">
        <v>5.2057738259342898E-4</v>
      </c>
      <c r="C770">
        <v>5.155764525288653E-4</v>
      </c>
      <c r="D770">
        <v>5.1060377818035185E-4</v>
      </c>
      <c r="E770">
        <v>5.6699392160641793E-4</v>
      </c>
      <c r="F770">
        <v>2.429852430185786E-4</v>
      </c>
      <c r="G770">
        <v>4.6297452594767918E-4</v>
      </c>
      <c r="H770">
        <v>6.2759998833916697E-4</v>
      </c>
      <c r="I770">
        <v>6.1116131294736142E-4</v>
      </c>
      <c r="J770">
        <v>-2.4808665407577424E-3</v>
      </c>
      <c r="K770">
        <v>-7.1798135737888291E-4</v>
      </c>
      <c r="L770">
        <v>5.2072942583070159E-4</v>
      </c>
      <c r="M770">
        <v>5.3897558182836036E-4</v>
      </c>
      <c r="N770">
        <v>5.4443318212249459E-4</v>
      </c>
      <c r="O770">
        <v>5.4612392438491142E-4</v>
      </c>
      <c r="P770">
        <v>5.3573019985209136E-4</v>
      </c>
      <c r="Q770">
        <v>5.4958248556946643E-4</v>
      </c>
      <c r="R770">
        <v>8.6851124063747065E-4</v>
      </c>
      <c r="S770">
        <v>1.8382953340525532E-3</v>
      </c>
      <c r="T770">
        <v>1.4146503653171827E-3</v>
      </c>
      <c r="U770">
        <v>-1.9424584863569905E-3</v>
      </c>
      <c r="V770">
        <v>1.7889743932808511E-3</v>
      </c>
      <c r="W770">
        <v>1.6266802848565742E-3</v>
      </c>
      <c r="X770">
        <v>2.6760068772606616E-3</v>
      </c>
      <c r="Y770">
        <v>1.7889743932808511E-3</v>
      </c>
      <c r="Z770">
        <v>1.4421024139981142E-3</v>
      </c>
      <c r="AA770">
        <v>-1.3313896006091896E-3</v>
      </c>
      <c r="AC770">
        <v>-2.7075889605772119E-3</v>
      </c>
      <c r="AD770">
        <v>-1.0032566082874061E-2</v>
      </c>
      <c r="AE770">
        <v>-1.6306315894568657E-3</v>
      </c>
      <c r="AF770">
        <v>-8.4471890634412183E-3</v>
      </c>
      <c r="AG770">
        <v>-1.5448416560039924E-3</v>
      </c>
      <c r="AH770">
        <v>-6.279142237992752E-3</v>
      </c>
      <c r="AI770">
        <v>-5.1992244384164721E-3</v>
      </c>
      <c r="AJ770">
        <v>1.0740903112669953E-2</v>
      </c>
      <c r="AK770">
        <v>1.4986376021797199E-3</v>
      </c>
      <c r="AL770">
        <v>6.311698396626042E-4</v>
      </c>
    </row>
    <row r="771" spans="1:38">
      <c r="A771" s="568">
        <v>44950</v>
      </c>
      <c r="B771">
        <v>5.2057738259342898E-4</v>
      </c>
      <c r="C771">
        <v>5.4344301307307497E-4</v>
      </c>
      <c r="D771">
        <v>5.0028008976288341E-4</v>
      </c>
      <c r="E771">
        <v>5.6699392160641793E-4</v>
      </c>
      <c r="F771">
        <v>6.7409234693149855E-4</v>
      </c>
      <c r="G771">
        <v>4.2981991510648854E-4</v>
      </c>
      <c r="H771">
        <v>6.3160394419892185E-4</v>
      </c>
      <c r="I771">
        <v>6.1833923138876479E-4</v>
      </c>
      <c r="J771">
        <v>4.1715927802714603E-3</v>
      </c>
      <c r="K771">
        <v>3.5933044512881374E-3</v>
      </c>
      <c r="L771">
        <v>5.2072942583070159E-4</v>
      </c>
      <c r="M771">
        <v>5.3897558182836036E-4</v>
      </c>
      <c r="N771">
        <v>5.4443318212249459E-4</v>
      </c>
      <c r="O771">
        <v>5.4612392438491142E-4</v>
      </c>
      <c r="P771">
        <v>5.3573019985209136E-4</v>
      </c>
      <c r="Q771">
        <v>5.4958248556946643E-4</v>
      </c>
      <c r="R771">
        <v>3.3355314267131675E-3</v>
      </c>
      <c r="S771">
        <v>-1.1058571534816597E-3</v>
      </c>
      <c r="T771">
        <v>1.6581286745087631E-3</v>
      </c>
      <c r="U771">
        <v>1.4864959906415454E-3</v>
      </c>
      <c r="V771">
        <v>0</v>
      </c>
      <c r="W771">
        <v>2.9791062512440902E-6</v>
      </c>
      <c r="X771">
        <v>1.0002860091864463E-3</v>
      </c>
      <c r="Y771">
        <v>0</v>
      </c>
      <c r="Z771">
        <v>2.7676183799489884E-3</v>
      </c>
      <c r="AA771">
        <v>1.2193670023752379E-3</v>
      </c>
      <c r="AC771">
        <v>1.1552724390641922E-2</v>
      </c>
      <c r="AD771">
        <v>1.1456019779575E-2</v>
      </c>
      <c r="AE771">
        <v>1.070928233789803E-2</v>
      </c>
      <c r="AF771">
        <v>1.2426111234054682E-2</v>
      </c>
      <c r="AG771">
        <v>2.4911744175264428E-3</v>
      </c>
      <c r="AH771">
        <v>6.4239234119267685E-3</v>
      </c>
      <c r="AI771">
        <v>5.1113790172057083E-3</v>
      </c>
      <c r="AJ771">
        <v>-1.2795489047928932E-2</v>
      </c>
      <c r="AK771">
        <v>1.3603591348099187E-4</v>
      </c>
      <c r="AL771">
        <v>-9.4252878978220433E-3</v>
      </c>
    </row>
    <row r="772" spans="1:38">
      <c r="A772" s="568">
        <v>44951</v>
      </c>
      <c r="B772">
        <v>5.2057738259342898E-4</v>
      </c>
      <c r="C772">
        <v>5.0772547793598299E-4</v>
      </c>
      <c r="D772">
        <v>4.564449500090717E-4</v>
      </c>
      <c r="E772">
        <v>5.6699392160641793E-4</v>
      </c>
      <c r="F772">
        <v>4.431439277199356E-4</v>
      </c>
      <c r="G772">
        <v>4.517189316473047E-4</v>
      </c>
      <c r="H772">
        <v>6.2461305029248848E-4</v>
      </c>
      <c r="I772">
        <v>6.1548637151043195E-4</v>
      </c>
      <c r="J772">
        <v>1.434718474908836E-3</v>
      </c>
      <c r="K772">
        <v>-3.1806473346163155E-4</v>
      </c>
      <c r="L772">
        <v>5.2072942583070159E-4</v>
      </c>
      <c r="M772">
        <v>5.3897558182836036E-4</v>
      </c>
      <c r="N772">
        <v>5.4443318212249459E-4</v>
      </c>
      <c r="O772">
        <v>5.4612392438491142E-4</v>
      </c>
      <c r="P772">
        <v>5.3573019985209136E-4</v>
      </c>
      <c r="Q772">
        <v>5.4958248556946643E-4</v>
      </c>
      <c r="R772">
        <v>6.4710714968985172E-4</v>
      </c>
      <c r="S772">
        <v>1.1152816282971045E-3</v>
      </c>
      <c r="T772">
        <v>-1.7310549927996854E-3</v>
      </c>
      <c r="U772">
        <v>-1.5684096591300767E-3</v>
      </c>
      <c r="V772">
        <v>1.7426969366016731E-3</v>
      </c>
      <c r="W772">
        <v>9.0649677299903253E-4</v>
      </c>
      <c r="X772">
        <v>-1.6871222478587189E-3</v>
      </c>
      <c r="Y772">
        <v>1.7426969366016731E-3</v>
      </c>
      <c r="Z772">
        <v>3.2550789432492788E-3</v>
      </c>
      <c r="AA772">
        <v>4.6551277707409522E-3</v>
      </c>
      <c r="AC772">
        <v>1.0987705275190329E-2</v>
      </c>
      <c r="AD772">
        <v>1.1827756515494503E-2</v>
      </c>
      <c r="AE772">
        <v>1.2419071982403107E-2</v>
      </c>
      <c r="AF772">
        <v>8.6135564846656631E-3</v>
      </c>
      <c r="AG772">
        <v>4.4820479153444559E-3</v>
      </c>
      <c r="AH772">
        <v>1.2829816624260193E-2</v>
      </c>
      <c r="AI772">
        <v>1.7827983316856422E-2</v>
      </c>
      <c r="AJ772">
        <v>-1.2741652021089678E-2</v>
      </c>
      <c r="AK772">
        <v>2.7203482045723426E-4</v>
      </c>
      <c r="AL772">
        <v>-1.2433792877533101E-2</v>
      </c>
    </row>
    <row r="773" spans="1:38">
      <c r="A773" s="568">
        <v>44952</v>
      </c>
      <c r="B773">
        <v>5.2057738259342898E-4</v>
      </c>
      <c r="C773">
        <v>5.2574414359130017E-4</v>
      </c>
      <c r="D773">
        <v>5.0363170160494519E-4</v>
      </c>
      <c r="E773">
        <v>5.6699392160641793E-4</v>
      </c>
      <c r="F773">
        <v>4.9051248521481128E-4</v>
      </c>
      <c r="G773">
        <v>5.2578464472952113E-4</v>
      </c>
      <c r="H773">
        <v>6.2532117022340294E-4</v>
      </c>
      <c r="I773">
        <v>6.1551904308343452E-4</v>
      </c>
      <c r="J773">
        <v>-1.7341557546646236E-3</v>
      </c>
      <c r="K773">
        <v>-1.4314692320227529E-3</v>
      </c>
      <c r="L773">
        <v>5.2072942583070159E-4</v>
      </c>
      <c r="M773">
        <v>5.3897558182836036E-4</v>
      </c>
      <c r="N773">
        <v>5.4443318212249459E-4</v>
      </c>
      <c r="O773">
        <v>5.4612392438491142E-4</v>
      </c>
      <c r="P773">
        <v>5.3573019985209136E-4</v>
      </c>
      <c r="Q773">
        <v>5.4958248556946643E-4</v>
      </c>
      <c r="R773">
        <v>4.5099505704926379E-4</v>
      </c>
      <c r="S773">
        <v>-1.011406736853071E-3</v>
      </c>
      <c r="T773">
        <v>-3.2922068590226505E-3</v>
      </c>
      <c r="U773">
        <v>2.6211795864772292E-4</v>
      </c>
      <c r="V773">
        <v>1.0106831357847845E-4</v>
      </c>
      <c r="W773">
        <v>1.9151003365458497E-3</v>
      </c>
      <c r="X773">
        <v>1.6608380306408765E-3</v>
      </c>
      <c r="Y773">
        <v>1.0106831357847845E-4</v>
      </c>
      <c r="Z773">
        <v>2.3147265519714022E-3</v>
      </c>
      <c r="AA773">
        <v>1.1191909789485255E-3</v>
      </c>
      <c r="AC773">
        <v>-8.0966083244726761E-4</v>
      </c>
      <c r="AD773">
        <v>2.0524649626487701E-3</v>
      </c>
      <c r="AE773">
        <v>1.3746621099401946E-3</v>
      </c>
      <c r="AF773">
        <v>2.7611968245446761E-3</v>
      </c>
      <c r="AG773">
        <v>4.9533396854146705E-3</v>
      </c>
      <c r="AH773">
        <v>-1.512603865847284E-3</v>
      </c>
      <c r="AI773">
        <v>7.9862553555920535E-4</v>
      </c>
      <c r="AJ773">
        <v>1.001335113484636E-2</v>
      </c>
      <c r="AK773">
        <v>2.4748436225183523E-2</v>
      </c>
      <c r="AL773">
        <v>6.0268535665919387E-4</v>
      </c>
    </row>
    <row r="774" spans="1:38">
      <c r="A774" s="568">
        <v>44953</v>
      </c>
      <c r="B774">
        <v>5.2057738259342898E-4</v>
      </c>
      <c r="C774">
        <v>4.9569526767778704E-4</v>
      </c>
      <c r="D774">
        <v>5.2156104656719826E-4</v>
      </c>
      <c r="E774">
        <v>5.6699392160641793E-4</v>
      </c>
      <c r="F774">
        <v>4.9472901886549181E-4</v>
      </c>
      <c r="G774">
        <v>5.529067747567229E-4</v>
      </c>
      <c r="H774">
        <v>6.2438172218537424E-4</v>
      </c>
      <c r="I774">
        <v>6.1416192773422473E-4</v>
      </c>
      <c r="J774">
        <v>-4.3093548040807894E-3</v>
      </c>
      <c r="K774">
        <v>-2.1004589298085907E-3</v>
      </c>
      <c r="L774">
        <v>5.2072942583070159E-4</v>
      </c>
      <c r="M774">
        <v>5.3897558182836036E-4</v>
      </c>
      <c r="N774">
        <v>5.4443318212249459E-4</v>
      </c>
      <c r="O774">
        <v>5.4612392438491142E-4</v>
      </c>
      <c r="P774">
        <v>5.3573019985209136E-4</v>
      </c>
      <c r="Q774">
        <v>5.4958248556946643E-4</v>
      </c>
      <c r="R774">
        <v>-3.878382905431188E-5</v>
      </c>
      <c r="S774">
        <v>2.1193441056244211E-4</v>
      </c>
      <c r="T774">
        <v>1.7300449257029449E-4</v>
      </c>
      <c r="U774">
        <v>1.8970116012448912E-3</v>
      </c>
      <c r="V774">
        <v>-5.3539291174187209E-4</v>
      </c>
      <c r="W774">
        <v>1.3622827615209498E-3</v>
      </c>
      <c r="X774">
        <v>4.7216213869194501E-3</v>
      </c>
      <c r="Y774">
        <v>-5.3539291174187209E-4</v>
      </c>
      <c r="Z774">
        <v>-2.7175618114134714E-3</v>
      </c>
      <c r="AA774">
        <v>6.6476601400267121E-4</v>
      </c>
      <c r="AC774">
        <v>-1.6302591884306494E-2</v>
      </c>
      <c r="AD774">
        <v>-1.366727535602652E-2</v>
      </c>
      <c r="AE774">
        <v>-1.3078725763954302E-2</v>
      </c>
      <c r="AF774">
        <v>3.8982942973522228E-3</v>
      </c>
      <c r="AG774">
        <v>-5.9537534214970655E-3</v>
      </c>
      <c r="AH774">
        <v>-8.1451588040932776E-3</v>
      </c>
      <c r="AI774">
        <v>4.5311342530784948E-4</v>
      </c>
      <c r="AJ774">
        <v>1.1500330469266462E-2</v>
      </c>
      <c r="AK774">
        <v>5.5732484076433941E-3</v>
      </c>
      <c r="AL774">
        <v>5.5603438407938466E-3</v>
      </c>
    </row>
    <row r="775" spans="1:38">
      <c r="A775" s="568">
        <v>44956</v>
      </c>
      <c r="B775">
        <v>5.2057738259342898E-4</v>
      </c>
      <c r="C775">
        <v>5.1793535546451608E-4</v>
      </c>
      <c r="D775">
        <v>5.3898429915300028E-4</v>
      </c>
      <c r="E775">
        <v>5.6699392160641793E-4</v>
      </c>
      <c r="F775">
        <v>5.123036401399883E-4</v>
      </c>
      <c r="G775">
        <v>5.8802439405702955E-4</v>
      </c>
      <c r="H775">
        <v>6.2563708333573942E-4</v>
      </c>
      <c r="I775">
        <v>6.1400759847951569E-4</v>
      </c>
      <c r="J775">
        <v>-3.6552416049417946E-4</v>
      </c>
      <c r="K775">
        <v>1.2359147802987192E-3</v>
      </c>
      <c r="L775">
        <v>5.2072942583070159E-4</v>
      </c>
      <c r="M775">
        <v>5.3897558182836036E-4</v>
      </c>
      <c r="N775">
        <v>5.4443318212249459E-4</v>
      </c>
      <c r="O775">
        <v>5.4612392438491142E-4</v>
      </c>
      <c r="P775">
        <v>5.3573019985209136E-4</v>
      </c>
      <c r="Q775">
        <v>5.4958248556946643E-4</v>
      </c>
      <c r="R775">
        <v>-2.682371166645936E-3</v>
      </c>
      <c r="S775">
        <v>-4.1357812696627416E-3</v>
      </c>
      <c r="T775">
        <v>-1.7314093154990884E-3</v>
      </c>
      <c r="U775">
        <v>-1.8678577431362475E-3</v>
      </c>
      <c r="V775">
        <v>-1.6844868016263614E-3</v>
      </c>
      <c r="W775">
        <v>-2.8272352046937455E-3</v>
      </c>
      <c r="X775">
        <v>3.4512591814941374E-3</v>
      </c>
      <c r="Y775">
        <v>-1.6844868016263614E-3</v>
      </c>
      <c r="Z775">
        <v>4.9588700966762822E-4</v>
      </c>
      <c r="AA775">
        <v>1.2090803474209544E-3</v>
      </c>
      <c r="AC775">
        <v>-3.8418336239420814E-4</v>
      </c>
      <c r="AD775">
        <v>-3.3091643309945962E-3</v>
      </c>
      <c r="AE775">
        <v>-7.1555498224129543E-4</v>
      </c>
      <c r="AF775">
        <v>-5.8701224599184698E-3</v>
      </c>
      <c r="AG775">
        <v>-6.7040807196074859E-3</v>
      </c>
      <c r="AH775">
        <v>1.0826187032484391E-3</v>
      </c>
      <c r="AI775">
        <v>4.0176965812186438E-3</v>
      </c>
      <c r="AJ775">
        <v>-1.1151768600801581E-2</v>
      </c>
      <c r="AK775">
        <v>-3.4837688044338844E-2</v>
      </c>
      <c r="AL775">
        <v>8.2957219855583908E-3</v>
      </c>
    </row>
    <row r="776" spans="1:38">
      <c r="A776" s="568">
        <v>44957</v>
      </c>
      <c r="B776">
        <v>5.2057738259342898E-4</v>
      </c>
      <c r="C776">
        <v>5.1074423355879084E-4</v>
      </c>
      <c r="D776">
        <v>4.9710888166276668E-4</v>
      </c>
      <c r="E776">
        <v>5.6699392160641793E-4</v>
      </c>
      <c r="F776">
        <v>4.8792343127068705E-4</v>
      </c>
      <c r="G776">
        <v>4.6532197711157686E-4</v>
      </c>
      <c r="H776">
        <v>6.2469792567410032E-4</v>
      </c>
      <c r="I776">
        <v>6.157099425174728E-4</v>
      </c>
      <c r="J776">
        <v>4.0445134619293555E-4</v>
      </c>
      <c r="K776">
        <v>3.7951669174174363E-4</v>
      </c>
      <c r="L776">
        <v>5.2072942583070159E-4</v>
      </c>
      <c r="M776">
        <v>5.3897558182836036E-4</v>
      </c>
      <c r="N776">
        <v>5.4443318212249459E-4</v>
      </c>
      <c r="O776">
        <v>5.4612392438491142E-4</v>
      </c>
      <c r="P776">
        <v>5.3573019985209136E-4</v>
      </c>
      <c r="Q776">
        <v>5.4958248556946643E-4</v>
      </c>
      <c r="R776">
        <v>2.7961094568920153E-3</v>
      </c>
      <c r="S776">
        <v>9.2854276570975003E-4</v>
      </c>
      <c r="T776">
        <v>1.1085750983630405E-4</v>
      </c>
      <c r="U776">
        <v>-1.5448117122396354E-4</v>
      </c>
      <c r="V776">
        <v>0</v>
      </c>
      <c r="W776">
        <v>2.1607580163527373E-3</v>
      </c>
      <c r="X776">
        <v>1.4907720846091266E-4</v>
      </c>
      <c r="Y776">
        <v>0</v>
      </c>
      <c r="Z776">
        <v>3.0862540632390356E-3</v>
      </c>
      <c r="AA776">
        <v>-1.9773711271401373E-3</v>
      </c>
      <c r="AC776">
        <v>1.0309957842940198E-2</v>
      </c>
      <c r="AD776">
        <v>1.0462142424154885E-2</v>
      </c>
      <c r="AE776">
        <v>8.0753129773698529E-3</v>
      </c>
      <c r="AF776">
        <v>1.8322039349680574E-2</v>
      </c>
      <c r="AG776">
        <v>5.1309236430066019E-3</v>
      </c>
      <c r="AH776">
        <v>2.7499371589567723E-3</v>
      </c>
      <c r="AI776">
        <v>4.3704371597479419E-3</v>
      </c>
      <c r="AJ776">
        <v>5.2863436123347096E-3</v>
      </c>
      <c r="AK776">
        <v>-1.0527754990429239E-2</v>
      </c>
      <c r="AL776">
        <v>-6.7510663283735228E-3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4680A-A76F-49FB-A015-471275267535}">
  <sheetPr codeName="Sheet3"/>
  <dimension ref="B2:B7"/>
  <sheetViews>
    <sheetView showGridLines="0" workbookViewId="0">
      <selection activeCell="R20" sqref="R20"/>
    </sheetView>
  </sheetViews>
  <sheetFormatPr defaultRowHeight="18.75"/>
  <sheetData>
    <row r="2" spans="2:2" ht="34.5" customHeight="1">
      <c r="B2" s="697" t="s">
        <v>2691</v>
      </c>
    </row>
    <row r="3" spans="2:2">
      <c r="B3" t="s">
        <v>2692</v>
      </c>
    </row>
    <row r="4" spans="2:2">
      <c r="B4" t="s">
        <v>2693</v>
      </c>
    </row>
    <row r="5" spans="2:2">
      <c r="B5" t="s">
        <v>2696</v>
      </c>
    </row>
    <row r="6" spans="2:2">
      <c r="B6" s="80" t="s">
        <v>2695</v>
      </c>
    </row>
    <row r="7" spans="2:2">
      <c r="B7" t="s">
        <v>2694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5D261-586C-4D1F-840D-CA2EE171AED0}">
  <sheetPr codeName="Sheet1"/>
  <dimension ref="A2:K776"/>
  <sheetViews>
    <sheetView topLeftCell="A2" workbookViewId="0">
      <selection activeCell="J22" sqref="J22"/>
    </sheetView>
  </sheetViews>
  <sheetFormatPr defaultRowHeight="18.75"/>
  <sheetData>
    <row r="2" spans="1:11">
      <c r="B2" t="s">
        <v>2555</v>
      </c>
      <c r="C2" t="s">
        <v>2494</v>
      </c>
      <c r="D2" t="s">
        <v>2493</v>
      </c>
      <c r="E2" t="s">
        <v>4326</v>
      </c>
      <c r="F2" t="s">
        <v>2495</v>
      </c>
      <c r="G2" t="s">
        <v>2496</v>
      </c>
      <c r="H2" t="s">
        <v>2497</v>
      </c>
      <c r="I2" t="s">
        <v>4327</v>
      </c>
      <c r="J2" t="s">
        <v>64</v>
      </c>
    </row>
    <row r="3" spans="1:11">
      <c r="A3" s="568">
        <v>43832</v>
      </c>
      <c r="B3">
        <v>1.8097027518126224E-4</v>
      </c>
      <c r="C3">
        <v>5.4369661721301863E-4</v>
      </c>
      <c r="D3">
        <v>2.1271161840192844E-4</v>
      </c>
      <c r="E3">
        <v>6.9857636528958267E-4</v>
      </c>
      <c r="F3">
        <v>3.8850455239623745E-3</v>
      </c>
      <c r="G3">
        <v>2.3849502854551377E-3</v>
      </c>
      <c r="H3" s="529">
        <v>2.0587356192190591E-2</v>
      </c>
      <c r="I3">
        <v>2.948026710861658E-3</v>
      </c>
      <c r="J3">
        <v>1.7088558920153041E-4</v>
      </c>
      <c r="K3" s="568"/>
    </row>
    <row r="4" spans="1:11">
      <c r="A4" s="568">
        <v>43833</v>
      </c>
      <c r="B4">
        <v>3.7089314220262182E-4</v>
      </c>
      <c r="C4">
        <v>1.0876888404376395E-3</v>
      </c>
      <c r="D4">
        <v>5.0869747546888888E-4</v>
      </c>
      <c r="E4">
        <v>7.4227815471483716E-4</v>
      </c>
      <c r="F4">
        <v>2.2871253002396674E-3</v>
      </c>
      <c r="G4">
        <v>2.2013339718409686E-3</v>
      </c>
      <c r="H4" s="529">
        <v>1.6272118430310734E-2</v>
      </c>
      <c r="I4">
        <v>3.1083262253361887E-4</v>
      </c>
      <c r="J4">
        <v>3.4180038028774895E-4</v>
      </c>
    </row>
    <row r="5" spans="1:11">
      <c r="A5" s="568">
        <v>43836</v>
      </c>
      <c r="B5">
        <v>6.4643282494381005E-4</v>
      </c>
      <c r="C5">
        <v>1.6319768303938442E-3</v>
      </c>
      <c r="D5">
        <v>6.6929218651634592E-4</v>
      </c>
      <c r="E5">
        <v>3.1961010176662086E-4</v>
      </c>
      <c r="F5">
        <v>1.5085584993603796E-3</v>
      </c>
      <c r="G5">
        <v>1.3115779428356511E-3</v>
      </c>
      <c r="H5" s="689">
        <v>1.0231467529714156E-2</v>
      </c>
      <c r="I5">
        <v>-2.0891406743268615E-3</v>
      </c>
      <c r="J5">
        <v>5.1274437824866403E-4</v>
      </c>
    </row>
    <row r="6" spans="1:11">
      <c r="A6" s="568">
        <v>43837</v>
      </c>
      <c r="B6">
        <v>8.7136331150938773E-4</v>
      </c>
      <c r="C6">
        <v>2.176560747888967E-3</v>
      </c>
      <c r="D6">
        <v>1.072789623060455E-3</v>
      </c>
      <c r="E6">
        <v>4.591949217218616E-4</v>
      </c>
      <c r="F6">
        <v>1.5472543332790689E-3</v>
      </c>
      <c r="G6">
        <v>1.9303791318263652E-3</v>
      </c>
      <c r="H6">
        <v>9.5060547597909384E-3</v>
      </c>
      <c r="I6">
        <v>2.0906198183490154E-3</v>
      </c>
      <c r="J6">
        <v>6.8371758807539429E-4</v>
      </c>
    </row>
    <row r="7" spans="1:11">
      <c r="A7" s="568">
        <v>43838</v>
      </c>
      <c r="B7">
        <v>1.0739859650890082E-3</v>
      </c>
      <c r="C7">
        <v>2.7214407538176388E-3</v>
      </c>
      <c r="D7">
        <v>1.6132795108767528E-3</v>
      </c>
      <c r="E7">
        <v>2.0742043339150307E-4</v>
      </c>
      <c r="F7">
        <v>6.5961218167465141E-4</v>
      </c>
      <c r="G7">
        <v>2.2688666732140206E-3</v>
      </c>
      <c r="H7">
        <v>7.1919329542082799E-3</v>
      </c>
      <c r="I7">
        <v>-2.0567787966829787E-4</v>
      </c>
      <c r="J7">
        <v>8.5472001475972448E-4</v>
      </c>
    </row>
    <row r="8" spans="1:11">
      <c r="A8" s="568">
        <v>43839</v>
      </c>
      <c r="B8">
        <v>1.2772159346738921E-3</v>
      </c>
      <c r="C8">
        <v>3.2666170091624203E-3</v>
      </c>
      <c r="D8">
        <v>2.0674418865516131E-3</v>
      </c>
      <c r="E8">
        <v>1.3612781273197871E-3</v>
      </c>
      <c r="F8">
        <v>1.4099098626187967E-3</v>
      </c>
      <c r="G8">
        <v>2.3933989379614218E-3</v>
      </c>
      <c r="H8">
        <v>6.2659306261030334E-3</v>
      </c>
      <c r="I8">
        <v>1.6151547680604672E-2</v>
      </c>
      <c r="J8">
        <v>1.0257516632945496E-3</v>
      </c>
    </row>
    <row r="9" spans="1:11">
      <c r="A9" s="568">
        <v>43840</v>
      </c>
      <c r="B9">
        <v>1.4819067793796492E-3</v>
      </c>
      <c r="C9">
        <v>3.8120896749929134E-3</v>
      </c>
      <c r="D9">
        <v>2.5908535394103538E-3</v>
      </c>
      <c r="E9">
        <v>3.8046647420486579E-3</v>
      </c>
      <c r="F9">
        <v>1.6461788770496533E-3</v>
      </c>
      <c r="G9">
        <v>2.3068019963339292E-3</v>
      </c>
      <c r="H9">
        <v>4.5200541704195629E-3</v>
      </c>
      <c r="I9">
        <v>1.8453363267051381E-2</v>
      </c>
      <c r="J9">
        <v>1.1968125386734307E-3</v>
      </c>
    </row>
    <row r="10" spans="1:11">
      <c r="A10" s="568">
        <v>43843</v>
      </c>
      <c r="B10">
        <v>1.6882238292601492E-3</v>
      </c>
      <c r="C10">
        <v>4.35785891246665E-3</v>
      </c>
      <c r="D10">
        <v>2.61790047663224E-3</v>
      </c>
      <c r="E10">
        <v>3.5300609607349376E-3</v>
      </c>
      <c r="F10">
        <v>3.446652142769846E-3</v>
      </c>
      <c r="G10">
        <v>4.886372165249897E-3</v>
      </c>
      <c r="H10">
        <v>1.7252122118345925E-2</v>
      </c>
      <c r="I10">
        <v>3.7642897073831172E-2</v>
      </c>
      <c r="J10">
        <v>1.3679026458908172E-3</v>
      </c>
    </row>
    <row r="11" spans="1:11">
      <c r="A11" s="568">
        <v>43844</v>
      </c>
      <c r="B11">
        <v>1.9008183796087597E-3</v>
      </c>
      <c r="C11">
        <v>4.9039248828286475E-3</v>
      </c>
      <c r="D11">
        <v>3.5323281674384255E-3</v>
      </c>
      <c r="E11">
        <v>4.2149397502346808E-3</v>
      </c>
      <c r="F11">
        <v>3.7500545476953917E-3</v>
      </c>
      <c r="G11">
        <v>6.0696763374030738E-3</v>
      </c>
      <c r="H11">
        <v>1.9419301717902071E-2</v>
      </c>
      <c r="I11">
        <v>3.5217587957695695E-2</v>
      </c>
      <c r="J11">
        <v>1.5390219899420465E-3</v>
      </c>
    </row>
    <row r="12" spans="1:11">
      <c r="A12" s="568">
        <v>43845</v>
      </c>
      <c r="B12">
        <v>2.1430490614287034E-3</v>
      </c>
      <c r="C12">
        <v>5.4502877474114086E-3</v>
      </c>
      <c r="D12">
        <v>4.552086934014099E-3</v>
      </c>
      <c r="E12">
        <v>4.7367521612819985E-3</v>
      </c>
      <c r="F12">
        <v>2.35838462143656E-3</v>
      </c>
      <c r="G12">
        <v>7.6935210340163263E-3</v>
      </c>
      <c r="H12">
        <v>1.2391464510020267E-2</v>
      </c>
      <c r="I12">
        <v>4.3593099702693872E-2</v>
      </c>
      <c r="J12">
        <v>1.7101705758231223E-3</v>
      </c>
    </row>
    <row r="13" spans="1:11">
      <c r="A13" s="568">
        <v>43846</v>
      </c>
      <c r="B13">
        <v>2.4183325748017293E-3</v>
      </c>
      <c r="C13">
        <v>5.9969476676355882E-3</v>
      </c>
      <c r="D13">
        <v>4.4953310124116186E-3</v>
      </c>
      <c r="E13">
        <v>4.6963116994258591E-3</v>
      </c>
      <c r="F13">
        <v>2.2329837612813375E-3</v>
      </c>
      <c r="G13">
        <v>7.7705968524501845E-3</v>
      </c>
      <c r="H13">
        <v>1.4663039614370543E-2</v>
      </c>
      <c r="I13">
        <v>5.1823948423254107E-2</v>
      </c>
      <c r="J13">
        <v>1.8813484085311583E-3</v>
      </c>
    </row>
    <row r="14" spans="1:11">
      <c r="A14" s="568">
        <v>43847</v>
      </c>
      <c r="B14">
        <v>2.5782939649172665E-3</v>
      </c>
      <c r="C14">
        <v>6.5439048050091042E-3</v>
      </c>
      <c r="D14">
        <v>5.1827902015764149E-3</v>
      </c>
      <c r="E14">
        <v>5.4483738368478196E-3</v>
      </c>
      <c r="F14">
        <v>4.4502385570230896E-3</v>
      </c>
      <c r="G14">
        <v>9.4632951107258556E-3</v>
      </c>
      <c r="H14">
        <v>2.6490896895549954E-2</v>
      </c>
      <c r="I14">
        <v>5.2691748980226105E-2</v>
      </c>
      <c r="J14">
        <v>2.0525554930639345E-3</v>
      </c>
    </row>
    <row r="15" spans="1:11">
      <c r="A15" s="568">
        <v>43850</v>
      </c>
      <c r="B15">
        <v>2.791701012573311E-3</v>
      </c>
      <c r="C15">
        <v>7.0911593211280266E-3</v>
      </c>
      <c r="D15">
        <v>5.2473086456421569E-3</v>
      </c>
      <c r="E15">
        <v>5.4111947025605733E-3</v>
      </c>
      <c r="F15">
        <v>4.734857244564683E-3</v>
      </c>
      <c r="G15">
        <v>1.0954845408857938E-2</v>
      </c>
      <c r="H15">
        <v>3.07667159423477E-2</v>
      </c>
      <c r="I15">
        <v>5.9869551073879146E-2</v>
      </c>
      <c r="J15">
        <v>2.2237918344203411E-3</v>
      </c>
    </row>
    <row r="16" spans="1:11">
      <c r="A16" s="568">
        <v>43851</v>
      </c>
      <c r="B16">
        <v>2.9775743110453945E-3</v>
      </c>
      <c r="C16">
        <v>7.6387113776761328E-3</v>
      </c>
      <c r="D16">
        <v>5.3970810339840636E-3</v>
      </c>
      <c r="E16">
        <v>5.8801736069893362E-3</v>
      </c>
      <c r="F16">
        <v>1.4240029207210902E-3</v>
      </c>
      <c r="G16">
        <v>1.0933332735802992E-2</v>
      </c>
      <c r="H16">
        <v>1.993374677982418E-2</v>
      </c>
      <c r="I16">
        <v>4.5700254135497831E-2</v>
      </c>
      <c r="J16">
        <v>2.3950574375997125E-3</v>
      </c>
    </row>
    <row r="17" spans="1:10">
      <c r="A17" s="568">
        <v>43852</v>
      </c>
      <c r="B17">
        <v>3.189541922409278E-3</v>
      </c>
      <c r="C17">
        <v>8.1865611364251301E-3</v>
      </c>
      <c r="D17">
        <v>6.3666459904048178E-3</v>
      </c>
      <c r="E17">
        <v>5.961706796215438E-3</v>
      </c>
      <c r="F17">
        <v>3.16938013392698E-3</v>
      </c>
      <c r="G17">
        <v>1.2785877628966213E-2</v>
      </c>
      <c r="H17">
        <v>2.8011263858745084E-2</v>
      </c>
      <c r="I17">
        <v>4.680328822652946E-2</v>
      </c>
      <c r="J17">
        <v>2.566352307602715E-3</v>
      </c>
    </row>
    <row r="18" spans="1:10">
      <c r="A18" s="568">
        <v>43853</v>
      </c>
      <c r="B18">
        <v>3.3927149873931306E-3</v>
      </c>
      <c r="C18">
        <v>8.7347087592346551E-3</v>
      </c>
      <c r="D18">
        <v>6.7799059063085032E-3</v>
      </c>
      <c r="E18">
        <v>5.0361420321205497E-3</v>
      </c>
      <c r="F18">
        <v>4.4846100184794402E-3</v>
      </c>
      <c r="G18">
        <v>1.2639146618857788E-2</v>
      </c>
      <c r="H18">
        <v>3.6690069075997034E-2</v>
      </c>
      <c r="I18">
        <v>3.7160339626739258E-2</v>
      </c>
      <c r="J18">
        <v>2.7376764494304595E-3</v>
      </c>
    </row>
    <row r="19" spans="1:10">
      <c r="A19" s="568">
        <v>43854</v>
      </c>
      <c r="B19">
        <v>3.5948277249315819E-3</v>
      </c>
      <c r="C19">
        <v>9.2831544080522743E-3</v>
      </c>
      <c r="D19">
        <v>7.1106782559022808E-3</v>
      </c>
      <c r="E19">
        <v>5.2155150484181068E-3</v>
      </c>
      <c r="F19">
        <v>1.8510358710306374E-3</v>
      </c>
      <c r="G19">
        <v>1.2646796800306115E-2</v>
      </c>
      <c r="H19">
        <v>2.8183121877417783E-2</v>
      </c>
      <c r="I19">
        <v>3.2106367835332605E-2</v>
      </c>
      <c r="J19">
        <v>2.9090298680851667E-3</v>
      </c>
    </row>
    <row r="20" spans="1:10">
      <c r="A20" s="568">
        <v>43857</v>
      </c>
      <c r="B20">
        <v>3.8176798480689111E-3</v>
      </c>
      <c r="C20">
        <v>9.8318982449139281E-3</v>
      </c>
      <c r="D20">
        <v>7.4589517916940906E-3</v>
      </c>
      <c r="E20">
        <v>3.3787353615315485E-3</v>
      </c>
      <c r="F20">
        <v>-3.1634499227946034E-3</v>
      </c>
      <c r="G20">
        <v>1.0942824031127341E-2</v>
      </c>
      <c r="H20">
        <v>5.2103128952518674E-4</v>
      </c>
      <c r="I20">
        <v>2.105611680648245E-2</v>
      </c>
      <c r="J20">
        <v>3.0804125685697237E-3</v>
      </c>
    </row>
    <row r="21" spans="1:10">
      <c r="A21" s="568">
        <v>43858</v>
      </c>
      <c r="B21">
        <v>4.0132171825284502E-3</v>
      </c>
      <c r="C21">
        <v>1.0380940431943486E-2</v>
      </c>
      <c r="D21">
        <v>7.6833977584596092E-3</v>
      </c>
      <c r="E21">
        <v>4.7661041094033685E-3</v>
      </c>
      <c r="F21">
        <v>3.1984404985396786E-4</v>
      </c>
      <c r="G21">
        <v>1.2848322913217025E-2</v>
      </c>
      <c r="H21">
        <v>1.5286328060077681E-2</v>
      </c>
      <c r="I21">
        <v>2.6825538322085007E-2</v>
      </c>
      <c r="J21">
        <v>3.2518245558881276E-3</v>
      </c>
    </row>
    <row r="22" spans="1:10">
      <c r="A22" s="568">
        <v>43859</v>
      </c>
      <c r="B22">
        <v>4.2289817848897293E-3</v>
      </c>
      <c r="C22">
        <v>1.0930281131352748E-2</v>
      </c>
      <c r="D22">
        <v>8.1565601508655217E-3</v>
      </c>
      <c r="E22">
        <v>5.4855529711348439E-3</v>
      </c>
      <c r="F22">
        <v>1.6923180927763681E-4</v>
      </c>
      <c r="G22">
        <v>1.2581081766683377E-2</v>
      </c>
      <c r="H22">
        <v>8.9282771581056242E-3</v>
      </c>
      <c r="I22">
        <v>2.7428561562316212E-2</v>
      </c>
      <c r="J22">
        <v>3.4232658350448197E-3</v>
      </c>
    </row>
    <row r="23" spans="1:10">
      <c r="A23" s="568">
        <v>43860</v>
      </c>
      <c r="B23">
        <v>4.4307601498714266E-3</v>
      </c>
      <c r="C23">
        <v>1.1479920505442109E-2</v>
      </c>
      <c r="D23">
        <v>8.3112627629735591E-3</v>
      </c>
      <c r="E23">
        <v>4.9265614258002799E-3</v>
      </c>
      <c r="F23">
        <v>-1.0629260995841383E-3</v>
      </c>
      <c r="G23">
        <v>1.296939934093011E-2</v>
      </c>
      <c r="H23">
        <v>8.0153765476078664E-3</v>
      </c>
      <c r="I23">
        <v>2.0467579822118775E-2</v>
      </c>
      <c r="J23">
        <v>3.5947364110455737E-3</v>
      </c>
    </row>
    <row r="24" spans="1:10">
      <c r="A24" s="568">
        <v>43861</v>
      </c>
      <c r="B24">
        <v>4.6179861362332097E-3</v>
      </c>
      <c r="C24">
        <v>1.2029858716599673E-2</v>
      </c>
      <c r="D24">
        <v>8.573740787318096E-3</v>
      </c>
      <c r="E24">
        <v>4.3453928529963992E-3</v>
      </c>
      <c r="F24">
        <v>-1.8510532288137371E-3</v>
      </c>
      <c r="G24">
        <v>1.2841047216687773E-2</v>
      </c>
      <c r="H24">
        <v>-2.7648905332479101E-3</v>
      </c>
      <c r="I24">
        <v>1.1149580934998182E-2</v>
      </c>
      <c r="J24">
        <v>3.7662362888968293E-3</v>
      </c>
    </row>
    <row r="25" spans="1:10">
      <c r="A25" s="568">
        <v>43864</v>
      </c>
      <c r="B25">
        <v>4.8093308726557815E-3</v>
      </c>
      <c r="C25">
        <v>1.2580095927302359E-2</v>
      </c>
      <c r="D25">
        <v>9.2260119141589492E-3</v>
      </c>
      <c r="E25">
        <v>5.5553453811123532E-3</v>
      </c>
      <c r="F25">
        <v>-1.2550186358140092E-3</v>
      </c>
      <c r="G25">
        <v>1.3604787862966594E-2</v>
      </c>
      <c r="H25">
        <v>3.3552514050714244E-3</v>
      </c>
      <c r="I25">
        <v>1.016065025704016E-2</v>
      </c>
      <c r="J25">
        <v>3.9377654736056922E-3</v>
      </c>
    </row>
    <row r="26" spans="1:10">
      <c r="A26" s="568">
        <v>43865</v>
      </c>
      <c r="B26">
        <v>5.0042645560945953E-3</v>
      </c>
      <c r="C26">
        <v>1.3130632300115241E-2</v>
      </c>
      <c r="D26">
        <v>9.6756501127239769E-3</v>
      </c>
      <c r="E26">
        <v>6.3641546182355846E-3</v>
      </c>
      <c r="F26">
        <v>2.9566033379357926E-4</v>
      </c>
      <c r="G26">
        <v>1.4410868999773063E-2</v>
      </c>
      <c r="H26">
        <v>1.0222326708890783E-2</v>
      </c>
      <c r="I26">
        <v>3.2419216160539222E-2</v>
      </c>
      <c r="J26">
        <v>4.1093239701803785E-3</v>
      </c>
    </row>
    <row r="27" spans="1:10">
      <c r="A27" s="568">
        <v>43866</v>
      </c>
      <c r="B27">
        <v>5.1925799092957803E-3</v>
      </c>
      <c r="C27">
        <v>1.3681467997691765E-2</v>
      </c>
      <c r="D27">
        <v>1.0185198023322517E-2</v>
      </c>
      <c r="E27">
        <v>7.8304474932784363E-3</v>
      </c>
      <c r="F27">
        <v>4.7545405368987215E-3</v>
      </c>
      <c r="G27">
        <v>1.5492571137982747E-2</v>
      </c>
      <c r="H27">
        <v>1.5069822342974826E-2</v>
      </c>
      <c r="I27">
        <v>3.7316400401279592E-2</v>
      </c>
      <c r="J27">
        <v>4.2809117836297705E-3</v>
      </c>
    </row>
    <row r="28" spans="1:10">
      <c r="A28" s="568">
        <v>43867</v>
      </c>
      <c r="B28">
        <v>5.3818109571821537E-3</v>
      </c>
      <c r="C28">
        <v>1.4232603182773529E-2</v>
      </c>
      <c r="D28">
        <v>9.8355986644858007E-3</v>
      </c>
      <c r="E28">
        <v>8.8623315361244792E-3</v>
      </c>
      <c r="F28">
        <v>5.1849360973115211E-3</v>
      </c>
      <c r="G28">
        <v>1.532328540356942E-2</v>
      </c>
      <c r="H28">
        <v>8.1144646876198934E-3</v>
      </c>
      <c r="I28">
        <v>5.1919226586576439E-2</v>
      </c>
      <c r="J28">
        <v>4.4429726838108863E-3</v>
      </c>
    </row>
    <row r="29" spans="1:10">
      <c r="A29" s="568">
        <v>43868</v>
      </c>
      <c r="B29">
        <v>5.5670906149694055E-3</v>
      </c>
      <c r="C29">
        <v>1.478403801819117E-2</v>
      </c>
      <c r="D29">
        <v>9.8147837530289106E-3</v>
      </c>
      <c r="E29">
        <v>8.2746403081823683E-3</v>
      </c>
      <c r="F29">
        <v>3.4381422247420357E-3</v>
      </c>
      <c r="G29">
        <v>1.4953043700087321E-2</v>
      </c>
      <c r="H29">
        <v>-2.810616935739696E-3</v>
      </c>
      <c r="I29">
        <v>5.0336246071295276E-2</v>
      </c>
      <c r="J29">
        <v>4.6050597357738532E-3</v>
      </c>
    </row>
    <row r="30" spans="1:10">
      <c r="A30" s="568">
        <v>43871</v>
      </c>
      <c r="B30">
        <v>5.7732936005858715E-3</v>
      </c>
      <c r="C30">
        <v>1.5335772666863479E-2</v>
      </c>
      <c r="D30">
        <v>1.0235660228324672E-2</v>
      </c>
      <c r="E30">
        <v>8.1820186052214972E-3</v>
      </c>
      <c r="F30">
        <v>1.5753698222473744E-3</v>
      </c>
      <c r="G30">
        <v>1.3985558596192771E-2</v>
      </c>
      <c r="H30">
        <v>-1.5296913647355082E-2</v>
      </c>
      <c r="I30">
        <v>5.5241364798612524E-2</v>
      </c>
      <c r="J30">
        <v>4.767172943738851E-3</v>
      </c>
    </row>
    <row r="31" spans="1:10">
      <c r="A31" s="568">
        <v>43872</v>
      </c>
      <c r="B31">
        <v>5.9830646613667771E-3</v>
      </c>
      <c r="C31">
        <v>1.588780729179784E-2</v>
      </c>
      <c r="D31">
        <v>1.0978151303753014E-2</v>
      </c>
      <c r="E31">
        <v>9.2908699786968807E-3</v>
      </c>
      <c r="F31">
        <v>5.3985061962800174E-3</v>
      </c>
      <c r="G31">
        <v>1.6887217912051389E-2</v>
      </c>
      <c r="H31">
        <v>4.7285549856090903E-3</v>
      </c>
      <c r="I31">
        <v>6.3685482139182126E-2</v>
      </c>
      <c r="J31">
        <v>4.9293123119267257E-3</v>
      </c>
    </row>
    <row r="32" spans="1:10">
      <c r="A32" s="568">
        <v>43873</v>
      </c>
      <c r="B32">
        <v>6.1769186078455274E-3</v>
      </c>
      <c r="C32">
        <v>1.6440142056090234E-2</v>
      </c>
      <c r="D32">
        <v>1.1902000656041745E-2</v>
      </c>
      <c r="E32">
        <v>1.0033800398925541E-2</v>
      </c>
      <c r="F32">
        <v>8.3063847690754145E-3</v>
      </c>
      <c r="G32">
        <v>1.7938191785988433E-2</v>
      </c>
      <c r="H32">
        <v>1.4406045406844203E-2</v>
      </c>
      <c r="I32">
        <v>7.506949102650351E-2</v>
      </c>
      <c r="J32">
        <v>5.0914778445587672E-3</v>
      </c>
    </row>
    <row r="33" spans="1:10">
      <c r="A33" s="568">
        <v>43874</v>
      </c>
      <c r="B33">
        <v>6.3606316143458574E-3</v>
      </c>
      <c r="C33">
        <v>1.6992777122925684E-2</v>
      </c>
      <c r="D33">
        <v>1.2231576541317013E-2</v>
      </c>
      <c r="E33">
        <v>1.0541915234182797E-2</v>
      </c>
      <c r="F33">
        <v>8.3517724760491241E-3</v>
      </c>
      <c r="G33">
        <v>1.7615358751983834E-2</v>
      </c>
      <c r="H33">
        <v>8.2570052143899897E-3</v>
      </c>
      <c r="I33">
        <v>7.4473883482184311E-2</v>
      </c>
      <c r="J33">
        <v>5.2536695458573757E-3</v>
      </c>
    </row>
    <row r="34" spans="1:10">
      <c r="A34" s="568">
        <v>43875</v>
      </c>
      <c r="B34">
        <v>6.5421904284563848E-3</v>
      </c>
      <c r="C34">
        <v>1.7545712655577361E-2</v>
      </c>
      <c r="D34">
        <v>1.3449053085444307E-2</v>
      </c>
      <c r="E34">
        <v>1.1056552724578061E-2</v>
      </c>
      <c r="F34">
        <v>7.8676996780249198E-3</v>
      </c>
      <c r="G34">
        <v>1.8094801530404103E-2</v>
      </c>
      <c r="H34">
        <v>2.2502680115854545E-4</v>
      </c>
      <c r="I34">
        <v>6.5427017587922576E-2</v>
      </c>
      <c r="J34">
        <v>5.4158874200451734E-3</v>
      </c>
    </row>
    <row r="35" spans="1:10">
      <c r="A35" s="568">
        <v>43878</v>
      </c>
      <c r="B35">
        <v>6.7207674706033504E-3</v>
      </c>
      <c r="C35">
        <v>1.8098948817407701E-2</v>
      </c>
      <c r="D35">
        <v>1.364526868242999E-2</v>
      </c>
      <c r="E35">
        <v>1.1019373590291037E-2</v>
      </c>
      <c r="F35">
        <v>8.4936175912126988E-3</v>
      </c>
      <c r="G35">
        <v>1.938557385215911E-2</v>
      </c>
      <c r="H35">
        <v>7.0186233162330414E-3</v>
      </c>
      <c r="I35">
        <v>8.1119906083204851E-2</v>
      </c>
      <c r="J35">
        <v>5.5781314713456709E-3</v>
      </c>
    </row>
    <row r="36" spans="1:10">
      <c r="A36" s="568">
        <v>43879</v>
      </c>
      <c r="B36">
        <v>6.8734453043950428E-3</v>
      </c>
      <c r="C36">
        <v>1.8652485771867733E-2</v>
      </c>
      <c r="D36">
        <v>1.3781367249714682E-2</v>
      </c>
      <c r="E36">
        <v>1.0626709750978014E-2</v>
      </c>
      <c r="F36">
        <v>8.5275160591677945E-3</v>
      </c>
      <c r="G36">
        <v>1.9333541042185987E-2</v>
      </c>
      <c r="H36">
        <v>5.8162354549105011E-3</v>
      </c>
      <c r="I36">
        <v>7.3011234749064124E-2</v>
      </c>
      <c r="J36">
        <v>5.7404017039832667E-3</v>
      </c>
    </row>
    <row r="37" spans="1:10">
      <c r="A37" s="568">
        <v>43880</v>
      </c>
      <c r="B37">
        <v>7.0483390075852803E-3</v>
      </c>
      <c r="C37">
        <v>1.9206323682497528E-2</v>
      </c>
      <c r="D37">
        <v>1.475480594817169E-2</v>
      </c>
      <c r="E37">
        <v>1.1437475784642936E-2</v>
      </c>
      <c r="F37">
        <v>1.0878433683247257E-2</v>
      </c>
      <c r="G37">
        <v>2.1235550152014948E-2</v>
      </c>
      <c r="H37">
        <v>1.5185941139884251E-2</v>
      </c>
      <c r="I37">
        <v>8.1512263966033949E-2</v>
      </c>
      <c r="J37">
        <v>5.9026981221828034E-3</v>
      </c>
    </row>
    <row r="38" spans="1:10">
      <c r="A38" s="568">
        <v>43881</v>
      </c>
      <c r="B38">
        <v>7.2334251935759486E-3</v>
      </c>
      <c r="C38">
        <v>1.9760462712925753E-2</v>
      </c>
      <c r="D38">
        <v>1.508337669797144E-2</v>
      </c>
      <c r="E38">
        <v>1.1024591714401621E-2</v>
      </c>
      <c r="F38">
        <v>8.5916367327387722E-3</v>
      </c>
      <c r="G38">
        <v>2.0384917412574088E-2</v>
      </c>
      <c r="H38">
        <v>2.3423741828345612E-3</v>
      </c>
      <c r="I38">
        <v>8.3588414123126009E-2</v>
      </c>
      <c r="J38">
        <v>6.06502073016979E-3</v>
      </c>
    </row>
    <row r="39" spans="1:10">
      <c r="A39" s="568">
        <v>43882</v>
      </c>
      <c r="B39">
        <v>7.4186217709810709E-3</v>
      </c>
      <c r="C39">
        <v>2.0314903026870335E-2</v>
      </c>
      <c r="D39">
        <v>1.5144321479408251E-2</v>
      </c>
      <c r="E39">
        <v>1.1089166000268769E-2</v>
      </c>
      <c r="F39">
        <v>7.2570940998093469E-3</v>
      </c>
      <c r="G39">
        <v>1.9927455934882987E-2</v>
      </c>
      <c r="H39">
        <v>-3.4981636933758553E-3</v>
      </c>
      <c r="I39">
        <v>7.1982253394046403E-2</v>
      </c>
      <c r="J39">
        <v>6.2273695321704015E-3</v>
      </c>
    </row>
    <row r="40" spans="1:10">
      <c r="A40" s="568">
        <v>43887</v>
      </c>
      <c r="B40">
        <v>7.6183259341573439E-3</v>
      </c>
      <c r="C40">
        <v>2.086964478813802E-2</v>
      </c>
      <c r="D40">
        <v>1.4783256021688729E-2</v>
      </c>
      <c r="E40">
        <v>6.5480934931296808E-3</v>
      </c>
      <c r="F40">
        <v>-1.9225642693616596E-3</v>
      </c>
      <c r="G40">
        <v>1.4032341712364671E-2</v>
      </c>
      <c r="H40">
        <v>-6.0497346495556381E-2</v>
      </c>
      <c r="I40">
        <v>2.8692036495822526E-2</v>
      </c>
      <c r="J40">
        <v>6.3897445324117008E-3</v>
      </c>
    </row>
    <row r="41" spans="1:10">
      <c r="A41" s="568">
        <v>43888</v>
      </c>
      <c r="B41">
        <v>7.8061611745789961E-3</v>
      </c>
      <c r="C41">
        <v>2.1424688160624816E-2</v>
      </c>
      <c r="D41">
        <v>1.5450938070389109E-2</v>
      </c>
      <c r="E41">
        <v>1.5308671609099989E-3</v>
      </c>
      <c r="F41">
        <v>-5.0966105842095155E-3</v>
      </c>
      <c r="G41">
        <v>1.3251210696791027E-2</v>
      </c>
      <c r="H41">
        <v>-8.007576423505347E-2</v>
      </c>
      <c r="I41">
        <v>1.2658089589837385E-2</v>
      </c>
      <c r="J41">
        <v>6.5521457351211954E-3</v>
      </c>
    </row>
    <row r="42" spans="1:10">
      <c r="A42" s="568">
        <v>43889</v>
      </c>
      <c r="B42">
        <v>7.9587759471864139E-3</v>
      </c>
      <c r="C42">
        <v>2.198003330831555E-2</v>
      </c>
      <c r="D42">
        <v>1.5927306917212336E-2</v>
      </c>
      <c r="E42">
        <v>-1.888308662477356E-3</v>
      </c>
      <c r="F42">
        <v>-2.2789902989581723E-3</v>
      </c>
      <c r="G42">
        <v>1.3844876142659723E-2</v>
      </c>
      <c r="H42">
        <v>-7.4052085833616332E-2</v>
      </c>
      <c r="I42">
        <v>-3.9739031877980002E-3</v>
      </c>
      <c r="J42">
        <v>6.7145731445272805E-3</v>
      </c>
    </row>
    <row r="43" spans="1:10">
      <c r="A43" s="568">
        <v>43892</v>
      </c>
      <c r="B43">
        <v>8.1370000579368273E-3</v>
      </c>
      <c r="C43">
        <v>2.253568039528453E-2</v>
      </c>
      <c r="D43">
        <v>1.7710730651091078E-2</v>
      </c>
      <c r="E43">
        <v>3.4570072231887572E-4</v>
      </c>
      <c r="F43">
        <v>4.9626858570857024E-3</v>
      </c>
      <c r="G43">
        <v>1.6093298376148368E-2</v>
      </c>
      <c r="H43">
        <v>-5.7490798063858151E-2</v>
      </c>
      <c r="I43">
        <v>2.7483952593034155E-2</v>
      </c>
      <c r="J43">
        <v>6.8770267648587957E-3</v>
      </c>
    </row>
    <row r="44" spans="1:10">
      <c r="A44" s="568">
        <v>43893</v>
      </c>
      <c r="B44">
        <v>8.2932625229172885E-3</v>
      </c>
      <c r="C44">
        <v>2.3091629585695106E-2</v>
      </c>
      <c r="D44">
        <v>1.8701055459592553E-2</v>
      </c>
      <c r="E44">
        <v>3.2978544378188257E-3</v>
      </c>
      <c r="F44">
        <v>7.9035261632447451E-3</v>
      </c>
      <c r="G44">
        <v>1.7909960620316134E-2</v>
      </c>
      <c r="H44">
        <v>-6.5802775681151449E-2</v>
      </c>
      <c r="I44">
        <v>1.849896783991456E-2</v>
      </c>
      <c r="J44">
        <v>7.0395066003456908E-3</v>
      </c>
    </row>
    <row r="45" spans="1:10">
      <c r="A45" s="568">
        <v>43894</v>
      </c>
      <c r="B45">
        <v>8.4507208427162528E-3</v>
      </c>
      <c r="C45">
        <v>2.3647881043799668E-2</v>
      </c>
      <c r="D45">
        <v>1.9307267269033757E-2</v>
      </c>
      <c r="E45">
        <v>4.426926042222501E-3</v>
      </c>
      <c r="F45">
        <v>1.220939700289625E-2</v>
      </c>
      <c r="G45">
        <v>1.9866542766490358E-2</v>
      </c>
      <c r="H45">
        <v>-5.0994212119129023E-2</v>
      </c>
      <c r="I45">
        <v>5.4097059585843876E-2</v>
      </c>
      <c r="J45">
        <v>7.2020126552179153E-3</v>
      </c>
    </row>
    <row r="46" spans="1:10">
      <c r="A46" s="568">
        <v>43895</v>
      </c>
      <c r="B46">
        <v>8.6251333841298461E-3</v>
      </c>
      <c r="C46">
        <v>2.4204434933940533E-2</v>
      </c>
      <c r="D46">
        <v>1.8749057315351036E-2</v>
      </c>
      <c r="E46">
        <v>5.3029186272679496E-4</v>
      </c>
      <c r="F46">
        <v>4.7776289821297446E-3</v>
      </c>
      <c r="G46">
        <v>1.5438133025144074E-2</v>
      </c>
      <c r="H46">
        <v>-8.6765924551967633E-2</v>
      </c>
      <c r="I46">
        <v>4.7491382818797279E-2</v>
      </c>
      <c r="J46">
        <v>7.3645449337067515E-3</v>
      </c>
    </row>
    <row r="47" spans="1:10">
      <c r="A47" s="568">
        <v>43896</v>
      </c>
      <c r="B47">
        <v>8.8140159039848953E-3</v>
      </c>
      <c r="C47">
        <v>2.4761291420548615E-2</v>
      </c>
      <c r="D47">
        <v>1.879190901499439E-2</v>
      </c>
      <c r="E47">
        <v>-5.2879165204504641E-3</v>
      </c>
      <c r="F47">
        <v>-1.3524393254321643E-3</v>
      </c>
      <c r="G47">
        <v>1.1965326660665854E-2</v>
      </c>
      <c r="H47">
        <v>-0.11846990462991391</v>
      </c>
      <c r="I47">
        <v>2.6888764528895548E-2</v>
      </c>
      <c r="J47">
        <v>7.5271034400439252E-3</v>
      </c>
    </row>
    <row r="48" spans="1:10">
      <c r="A48" s="568">
        <v>43899</v>
      </c>
      <c r="B48">
        <v>8.980495664017818E-3</v>
      </c>
      <c r="C48">
        <v>2.5318450668144754E-2</v>
      </c>
      <c r="D48">
        <v>1.6560590832729316E-2</v>
      </c>
      <c r="E48">
        <v>-2.482261639351957E-2</v>
      </c>
      <c r="F48">
        <v>-1.4147269562029496E-2</v>
      </c>
      <c r="G48">
        <v>4.337958729263347E-3</v>
      </c>
      <c r="H48">
        <v>-0.20261132396409176</v>
      </c>
      <c r="I48">
        <v>-2.3965897614116494E-2</v>
      </c>
      <c r="J48">
        <v>7.6896881784616067E-3</v>
      </c>
    </row>
    <row r="49" spans="1:10">
      <c r="A49" s="568">
        <v>43900</v>
      </c>
      <c r="B49">
        <v>9.0929462879030254E-3</v>
      </c>
      <c r="C49">
        <v>2.5875912841339055E-2</v>
      </c>
      <c r="D49">
        <v>1.7454980987189339E-2</v>
      </c>
      <c r="E49">
        <v>-2.4286454141168479E-2</v>
      </c>
      <c r="F49">
        <v>-7.7352594130313257E-3</v>
      </c>
      <c r="G49">
        <v>8.2112099188724752E-3</v>
      </c>
      <c r="H49">
        <v>-0.15732742571430025</v>
      </c>
      <c r="I49">
        <v>6.2513266909647314E-6</v>
      </c>
      <c r="J49">
        <v>7.8522991531930764E-3</v>
      </c>
    </row>
    <row r="50" spans="1:10">
      <c r="A50" s="568">
        <v>43901</v>
      </c>
      <c r="B50">
        <v>9.1939242508336516E-3</v>
      </c>
      <c r="C50">
        <v>2.6433678104831104E-2</v>
      </c>
      <c r="D50">
        <v>1.4712356250939695E-2</v>
      </c>
      <c r="E50">
        <v>-3.3679729805533465E-2</v>
      </c>
      <c r="F50">
        <v>-1.9302251617870358E-2</v>
      </c>
      <c r="G50">
        <v>2.8865886309816791E-3</v>
      </c>
      <c r="H50">
        <v>-0.20718461080246076</v>
      </c>
      <c r="I50">
        <v>-2.2098669204827948E-2</v>
      </c>
      <c r="J50">
        <v>8.0149363684720587E-3</v>
      </c>
    </row>
    <row r="51" spans="1:10">
      <c r="A51" s="568">
        <v>43902</v>
      </c>
      <c r="B51">
        <v>9.364029582494382E-3</v>
      </c>
      <c r="C51">
        <v>2.6991746623410195E-2</v>
      </c>
      <c r="D51">
        <v>5.8065554639354922E-3</v>
      </c>
      <c r="E51">
        <v>-5.7653096500073775E-2</v>
      </c>
      <c r="F51">
        <v>-3.3484363711573373E-2</v>
      </c>
      <c r="G51">
        <v>-9.1392447201280591E-3</v>
      </c>
      <c r="H51">
        <v>-0.29385919538124561</v>
      </c>
      <c r="I51">
        <v>-9.1704373013590468E-2</v>
      </c>
      <c r="J51">
        <v>8.1775998285329443E-3</v>
      </c>
    </row>
    <row r="52" spans="1:10">
      <c r="A52" s="568">
        <v>43903</v>
      </c>
      <c r="B52">
        <v>9.4032483993033988E-3</v>
      </c>
      <c r="C52">
        <v>2.7550118561955106E-2</v>
      </c>
      <c r="D52">
        <v>1.213773216899483E-2</v>
      </c>
      <c r="E52">
        <v>-5.6017866856954424E-2</v>
      </c>
      <c r="F52">
        <v>-1.9099671257156059E-2</v>
      </c>
      <c r="G52">
        <v>-1.4307167475584581E-3</v>
      </c>
      <c r="H52">
        <v>-0.22430713981027395</v>
      </c>
      <c r="I52">
        <v>-4.1227675175951495E-2</v>
      </c>
      <c r="J52">
        <v>8.3402895376107899E-3</v>
      </c>
    </row>
    <row r="53" spans="1:10">
      <c r="A53" s="568">
        <v>43906</v>
      </c>
      <c r="B53">
        <v>9.6130081644134613E-3</v>
      </c>
      <c r="C53">
        <v>2.8108794085434097E-2</v>
      </c>
      <c r="D53">
        <v>1.3487964829069554E-2</v>
      </c>
      <c r="E53">
        <v>-7.1762904094792468E-2</v>
      </c>
      <c r="F53">
        <v>-2.573517348677179E-2</v>
      </c>
      <c r="G53">
        <v>-3.7054859977601051E-3</v>
      </c>
      <c r="H53">
        <v>-0.30857968015841941</v>
      </c>
      <c r="I53">
        <v>-0.10359651538094117</v>
      </c>
      <c r="J53">
        <v>8.5030054999415405E-3</v>
      </c>
    </row>
    <row r="54" spans="1:10">
      <c r="A54" s="568">
        <v>43907</v>
      </c>
      <c r="B54">
        <v>9.7152961559709983E-3</v>
      </c>
      <c r="C54">
        <v>2.8667773358905357E-2</v>
      </c>
      <c r="D54">
        <v>1.5156150760819331E-2</v>
      </c>
      <c r="E54">
        <v>-8.0593926886253997E-2</v>
      </c>
      <c r="F54">
        <v>-2.322738823825321E-2</v>
      </c>
      <c r="G54">
        <v>-3.2154962434618461E-3</v>
      </c>
      <c r="H54">
        <v>-0.2878893622726153</v>
      </c>
      <c r="I54">
        <v>-7.7004674880744473E-2</v>
      </c>
      <c r="J54">
        <v>8.6657477197615851E-3</v>
      </c>
    </row>
    <row r="55" spans="1:10">
      <c r="A55" s="568">
        <v>43908</v>
      </c>
      <c r="B55">
        <v>9.5155053237516718E-3</v>
      </c>
      <c r="C55">
        <v>2.9227056547516561E-2</v>
      </c>
      <c r="D55">
        <v>6.0883606217649877E-3</v>
      </c>
      <c r="E55">
        <v>-0.10990739134234939</v>
      </c>
      <c r="F55">
        <v>-3.0858984697227143E-2</v>
      </c>
      <c r="G55">
        <v>-1.0828123321868555E-2</v>
      </c>
      <c r="H55">
        <v>-0.35032749584027478</v>
      </c>
      <c r="I55">
        <v>-0.10172787995783716</v>
      </c>
      <c r="J55">
        <v>8.8285162013082008E-3</v>
      </c>
    </row>
    <row r="56" spans="1:10">
      <c r="A56" s="568">
        <v>43909</v>
      </c>
      <c r="B56">
        <v>9.2414571033638815E-3</v>
      </c>
      <c r="C56">
        <v>2.9786643816505531E-2</v>
      </c>
      <c r="D56">
        <v>5.0494746633067411E-3</v>
      </c>
      <c r="E56">
        <v>-0.13110210694806268</v>
      </c>
      <c r="F56">
        <v>-3.0477632719164149E-2</v>
      </c>
      <c r="G56">
        <v>-1.2458207952747102E-2</v>
      </c>
      <c r="H56">
        <v>-0.33962694530299753</v>
      </c>
      <c r="I56">
        <v>-0.12240477961864682</v>
      </c>
      <c r="J56">
        <v>8.97204288688358E-3</v>
      </c>
    </row>
    <row r="57" spans="1:10">
      <c r="A57" s="568">
        <v>43910</v>
      </c>
      <c r="B57">
        <v>8.8502299610409008E-3</v>
      </c>
      <c r="C57">
        <v>3.0346535331199576E-2</v>
      </c>
      <c r="D57">
        <v>3.5279796478606684E-3</v>
      </c>
      <c r="E57">
        <v>-0.13464260415701856</v>
      </c>
      <c r="F57">
        <v>-2.7075966510906935E-2</v>
      </c>
      <c r="G57">
        <v>-1.1968332280880012E-2</v>
      </c>
      <c r="H57">
        <v>-0.3503086778505069</v>
      </c>
      <c r="I57">
        <v>-0.12856583633842289</v>
      </c>
      <c r="J57">
        <v>9.1155899920933869E-3</v>
      </c>
    </row>
    <row r="58" spans="1:10">
      <c r="A58" s="568">
        <v>43913</v>
      </c>
      <c r="B58">
        <v>7.9233130527587292E-3</v>
      </c>
      <c r="C58">
        <v>3.0906731257016373E-2</v>
      </c>
      <c r="D58">
        <v>-5.5393404801651336E-4</v>
      </c>
      <c r="E58">
        <v>-0.14343579554867913</v>
      </c>
      <c r="F58">
        <v>-2.4766460477387953E-2</v>
      </c>
      <c r="G58">
        <v>-1.142190069596849E-2</v>
      </c>
      <c r="H58">
        <v>-0.37701041168142757</v>
      </c>
      <c r="I58">
        <v>-0.14694857445190013</v>
      </c>
      <c r="J58">
        <v>9.2591575198426312E-3</v>
      </c>
    </row>
    <row r="59" spans="1:10">
      <c r="A59" s="568">
        <v>43914</v>
      </c>
      <c r="B59">
        <v>6.5038876721774663E-3</v>
      </c>
      <c r="C59">
        <v>3.1467231759462866E-2</v>
      </c>
      <c r="D59">
        <v>1.5820434902598102E-3</v>
      </c>
      <c r="E59">
        <v>-0.13181633768568368</v>
      </c>
      <c r="F59">
        <v>-1.9344485238705245E-2</v>
      </c>
      <c r="G59">
        <v>-8.7497592270476821E-3</v>
      </c>
      <c r="H59">
        <v>-0.33162341840746201</v>
      </c>
      <c r="I59">
        <v>-9.0522504370132983E-2</v>
      </c>
      <c r="J59">
        <v>9.4027454730369886E-3</v>
      </c>
    </row>
    <row r="60" spans="1:10">
      <c r="A60" s="568">
        <v>43915</v>
      </c>
      <c r="B60">
        <v>5.3380104799056749E-3</v>
      </c>
      <c r="C60">
        <v>3.2028037004136589E-2</v>
      </c>
      <c r="D60">
        <v>3.8966611961628317E-3</v>
      </c>
      <c r="E60">
        <v>-0.11820812227108424</v>
      </c>
      <c r="F60">
        <v>-1.7712246634296602E-2</v>
      </c>
      <c r="G60">
        <v>-7.3138483032478829E-3</v>
      </c>
      <c r="H60">
        <v>-0.29427792579020429</v>
      </c>
      <c r="I60">
        <v>-8.0718686193653855E-2</v>
      </c>
      <c r="J60">
        <v>9.5463538545823567E-3</v>
      </c>
    </row>
    <row r="61" spans="1:10">
      <c r="A61" s="568">
        <v>43916</v>
      </c>
      <c r="B61">
        <v>4.2306083745635714E-3</v>
      </c>
      <c r="C61">
        <v>3.2589147156724785E-2</v>
      </c>
      <c r="D61">
        <v>4.8017801125448401E-3</v>
      </c>
      <c r="E61">
        <v>-0.10149316621421178</v>
      </c>
      <c r="F61">
        <v>-1.1818254545389206E-2</v>
      </c>
      <c r="G61">
        <v>-4.3174104837298E-3</v>
      </c>
      <c r="H61">
        <v>-0.27144476394109285</v>
      </c>
      <c r="I61">
        <v>-4.9754554010246088E-2</v>
      </c>
      <c r="J61">
        <v>9.6899826673850775E-3</v>
      </c>
    </row>
    <row r="62" spans="1:10">
      <c r="A62" s="568">
        <v>43917</v>
      </c>
      <c r="B62">
        <v>3.37736855426507E-3</v>
      </c>
      <c r="C62">
        <v>3.3150562383004845E-2</v>
      </c>
      <c r="D62">
        <v>4.9923117566488262E-3</v>
      </c>
      <c r="E62">
        <v>-9.5666478379355047E-2</v>
      </c>
      <c r="F62">
        <v>-9.9163939616112584E-3</v>
      </c>
      <c r="G62">
        <v>-3.9218775041820475E-3</v>
      </c>
      <c r="H62">
        <v>-0.29979965155226984</v>
      </c>
      <c r="I62">
        <v>-5.8342120033078482E-2</v>
      </c>
      <c r="J62">
        <v>9.8336319143519368E-3</v>
      </c>
    </row>
    <row r="63" spans="1:10">
      <c r="A63" s="568">
        <v>43920</v>
      </c>
      <c r="B63">
        <v>2.2871701042481707E-3</v>
      </c>
      <c r="C63">
        <v>3.3712282848844088E-2</v>
      </c>
      <c r="D63">
        <v>6.5246974324064677E-3</v>
      </c>
      <c r="E63">
        <v>-9.1888556523372578E-2</v>
      </c>
      <c r="F63">
        <v>-5.9567151103819826E-3</v>
      </c>
      <c r="G63">
        <v>-3.4550648808296947E-3</v>
      </c>
      <c r="H63">
        <v>-0.29009035974102204</v>
      </c>
      <c r="I63">
        <v>-3.6645612108314185E-2</v>
      </c>
      <c r="J63">
        <v>9.9773015983899427E-3</v>
      </c>
    </row>
    <row r="64" spans="1:10">
      <c r="A64" s="568">
        <v>43921</v>
      </c>
      <c r="B64">
        <v>1.2962067694766155E-3</v>
      </c>
      <c r="C64">
        <v>3.427430872020043E-2</v>
      </c>
      <c r="D64">
        <v>8.0094555435090697E-3</v>
      </c>
      <c r="E64">
        <v>-8.6754574664181128E-2</v>
      </c>
      <c r="F64">
        <v>-6.5282802127177852E-3</v>
      </c>
      <c r="G64">
        <v>-5.1840827385698507E-3</v>
      </c>
      <c r="H64">
        <v>-0.30373548469274059</v>
      </c>
      <c r="I64">
        <v>-3.31177963022532E-2</v>
      </c>
      <c r="J64">
        <v>1.0120991722406769E-2</v>
      </c>
    </row>
    <row r="65" spans="1:10">
      <c r="A65" s="568">
        <v>43922</v>
      </c>
      <c r="B65">
        <v>7.1190693405842609E-4</v>
      </c>
      <c r="C65">
        <v>3.4836640163121935E-2</v>
      </c>
      <c r="D65">
        <v>8.1351440203742964E-3</v>
      </c>
      <c r="E65">
        <v>-9.3450732428945416E-2</v>
      </c>
      <c r="F65">
        <v>-6.1747339629968367E-3</v>
      </c>
      <c r="G65">
        <v>-5.4944740683552373E-3</v>
      </c>
      <c r="H65">
        <v>-0.32227108886778111</v>
      </c>
      <c r="I65">
        <v>-5.395372563541545E-2</v>
      </c>
      <c r="J65">
        <v>1.0264702289310534E-2</v>
      </c>
    </row>
    <row r="66" spans="1:10">
      <c r="A66" s="568">
        <v>43923</v>
      </c>
      <c r="B66">
        <v>-1.3220111344646179E-3</v>
      </c>
      <c r="C66">
        <v>3.5399277343746594E-2</v>
      </c>
      <c r="D66">
        <v>8.9842257366303802E-3</v>
      </c>
      <c r="E66">
        <v>-9.2739763018893417E-2</v>
      </c>
      <c r="F66">
        <v>-5.1936629250141086E-3</v>
      </c>
      <c r="G66">
        <v>-5.6975686419598048E-3</v>
      </c>
      <c r="H66">
        <v>-0.31549468815996462</v>
      </c>
      <c r="I66">
        <v>-3.7610336567992397E-2</v>
      </c>
      <c r="J66">
        <v>1.0408433302009579E-2</v>
      </c>
    </row>
    <row r="67" spans="1:10">
      <c r="A67" s="568">
        <v>43924</v>
      </c>
      <c r="B67">
        <v>-1.8553932863598632E-3</v>
      </c>
      <c r="C67">
        <v>3.5962220428303215E-2</v>
      </c>
      <c r="D67">
        <v>8.6622579921700193E-3</v>
      </c>
      <c r="E67">
        <v>-9.7124944068232133E-2</v>
      </c>
      <c r="F67">
        <v>-3.8298594868219071E-3</v>
      </c>
      <c r="G67">
        <v>-5.5125449841164631E-3</v>
      </c>
      <c r="H67">
        <v>-0.33386593757447647</v>
      </c>
      <c r="I67">
        <v>-4.0672417602308442E-2</v>
      </c>
      <c r="J67">
        <v>1.0552184763412908E-2</v>
      </c>
    </row>
    <row r="68" spans="1:10">
      <c r="A68" s="568">
        <v>43927</v>
      </c>
      <c r="B68">
        <v>-2.3377045310046807E-3</v>
      </c>
      <c r="C68">
        <v>3.6525469583110537E-2</v>
      </c>
      <c r="D68">
        <v>8.5092001926576621E-3</v>
      </c>
      <c r="E68">
        <v>-9.2917179238649616E-2</v>
      </c>
      <c r="F68">
        <v>-1.1532965549626573E-3</v>
      </c>
      <c r="G68">
        <v>-3.5024621789464527E-3</v>
      </c>
      <c r="H68">
        <v>-0.29757697672836536</v>
      </c>
      <c r="I68">
        <v>-4.5462779838391087E-3</v>
      </c>
      <c r="J68">
        <v>1.069595667642953E-2</v>
      </c>
    </row>
    <row r="69" spans="1:10">
      <c r="A69" s="568">
        <v>43928</v>
      </c>
      <c r="B69">
        <v>-2.9545636355463589E-3</v>
      </c>
      <c r="C69">
        <v>3.7089024974577889E-2</v>
      </c>
      <c r="D69">
        <v>9.2635025925964509E-3</v>
      </c>
      <c r="E69">
        <v>-8.4007232320017167E-2</v>
      </c>
      <c r="F69">
        <v>-2.2670637534161209E-4</v>
      </c>
      <c r="G69">
        <v>-2.1311319502405057E-3</v>
      </c>
      <c r="H69">
        <v>-0.28088931220629232</v>
      </c>
      <c r="I69">
        <v>-2.2158326129857464E-3</v>
      </c>
      <c r="J69">
        <v>1.0839749043969338E-2</v>
      </c>
    </row>
    <row r="70" spans="1:10">
      <c r="A70" s="568">
        <v>43929</v>
      </c>
      <c r="B70">
        <v>-3.6421873824830087E-3</v>
      </c>
      <c r="C70">
        <v>3.7652886769205196E-2</v>
      </c>
      <c r="D70">
        <v>1.0037074189793049E-2</v>
      </c>
      <c r="E70">
        <v>-8.0401508559680424E-2</v>
      </c>
      <c r="F70">
        <v>-8.0208528287939451E-5</v>
      </c>
      <c r="G70">
        <v>-2.6470647725128638E-3</v>
      </c>
      <c r="H70">
        <v>-0.26484081229969736</v>
      </c>
      <c r="I70">
        <v>1.1081061327928854E-3</v>
      </c>
      <c r="J70">
        <v>1.0983561868942227E-2</v>
      </c>
    </row>
    <row r="71" spans="1:10">
      <c r="A71" s="568">
        <v>43930</v>
      </c>
      <c r="B71">
        <v>-4.0425012675852079E-3</v>
      </c>
      <c r="C71">
        <v>3.8217055133582978E-2</v>
      </c>
      <c r="D71">
        <v>1.0956978826749841E-2</v>
      </c>
      <c r="E71">
        <v>-6.3783740064365713E-2</v>
      </c>
      <c r="F71">
        <v>4.957354222216992E-4</v>
      </c>
      <c r="G71">
        <v>-7.7646044544610326E-4</v>
      </c>
      <c r="H71">
        <v>-0.268752713679689</v>
      </c>
      <c r="I71">
        <v>6.2035379888203401E-3</v>
      </c>
      <c r="J71">
        <v>1.1127395154258757E-2</v>
      </c>
    </row>
    <row r="72" spans="1:10">
      <c r="A72" s="568">
        <v>43934</v>
      </c>
      <c r="B72">
        <v>-4.204726380909074E-3</v>
      </c>
      <c r="C72">
        <v>3.8781530234391903E-2</v>
      </c>
      <c r="D72">
        <v>1.1446612595005234E-2</v>
      </c>
      <c r="E72">
        <v>-6.337998771131792E-2</v>
      </c>
      <c r="F72">
        <v>2.7138151730634608E-3</v>
      </c>
      <c r="G72">
        <v>1.0880846713881009E-3</v>
      </c>
      <c r="H72">
        <v>-0.2618716752014989</v>
      </c>
      <c r="I72">
        <v>1.4796519611026682E-2</v>
      </c>
      <c r="J72">
        <v>1.1271248902829933E-2</v>
      </c>
    </row>
    <row r="73" spans="1:10">
      <c r="A73" s="568">
        <v>43935</v>
      </c>
      <c r="B73">
        <v>-3.9383608363161571E-3</v>
      </c>
      <c r="C73">
        <v>3.934631223840368E-2</v>
      </c>
      <c r="D73">
        <v>1.2433386872625185E-2</v>
      </c>
      <c r="E73">
        <v>-5.871955061515155E-2</v>
      </c>
      <c r="F73">
        <v>9.0648275897358133E-3</v>
      </c>
      <c r="G73">
        <v>4.7911986249227212E-3</v>
      </c>
      <c r="H73">
        <v>-0.25101694995712476</v>
      </c>
      <c r="I73">
        <v>3.6294671124115885E-2</v>
      </c>
      <c r="J73">
        <v>1.1415123117566983E-2</v>
      </c>
    </row>
    <row r="74" spans="1:10">
      <c r="A74" s="568">
        <v>43936</v>
      </c>
      <c r="B74">
        <v>-3.5007132627417059E-3</v>
      </c>
      <c r="C74">
        <v>3.9911401312480388E-2</v>
      </c>
      <c r="D74">
        <v>1.2904145586588811E-2</v>
      </c>
      <c r="E74">
        <v>-6.3560665258642901E-2</v>
      </c>
      <c r="F74">
        <v>1.0068092646389193E-2</v>
      </c>
      <c r="G74">
        <v>5.8981585088495603E-3</v>
      </c>
      <c r="H74">
        <v>-0.2573420436836813</v>
      </c>
      <c r="I74">
        <v>2.9855459558595143E-2</v>
      </c>
      <c r="J74">
        <v>1.1559017801381577E-2</v>
      </c>
    </row>
    <row r="75" spans="1:10">
      <c r="A75" s="568">
        <v>43937</v>
      </c>
      <c r="B75">
        <v>-2.9376016984371534E-3</v>
      </c>
      <c r="C75">
        <v>4.0476797623575145E-2</v>
      </c>
      <c r="D75">
        <v>1.3347696050534985E-2</v>
      </c>
      <c r="E75">
        <v>-6.3192787508854598E-2</v>
      </c>
      <c r="F75">
        <v>1.2224572811490253E-2</v>
      </c>
      <c r="G75">
        <v>7.1278354829849011E-3</v>
      </c>
      <c r="H75">
        <v>-0.26195307231357168</v>
      </c>
      <c r="I75">
        <v>4.4677231335967127E-2</v>
      </c>
      <c r="J75">
        <v>1.170293295718583E-2</v>
      </c>
    </row>
    <row r="76" spans="1:10">
      <c r="A76" s="568">
        <v>43938</v>
      </c>
      <c r="B76">
        <v>-2.2680508420224177E-3</v>
      </c>
      <c r="C76">
        <v>4.1042501338731663E-2</v>
      </c>
      <c r="D76">
        <v>1.4009027916855876E-2</v>
      </c>
      <c r="E76">
        <v>-6.0495017343740076E-2</v>
      </c>
      <c r="F76">
        <v>1.089280014765337E-2</v>
      </c>
      <c r="G76">
        <v>6.5634884798662085E-3</v>
      </c>
      <c r="H76">
        <v>-0.25280912662259569</v>
      </c>
      <c r="I76">
        <v>5.3343316674740793E-2</v>
      </c>
      <c r="J76">
        <v>1.1846868587892523E-2</v>
      </c>
    </row>
    <row r="77" spans="1:10">
      <c r="A77" s="568">
        <v>43941</v>
      </c>
      <c r="B77">
        <v>-2.2582599298199835E-3</v>
      </c>
      <c r="C77">
        <v>4.1608512625084471E-2</v>
      </c>
      <c r="D77">
        <v>1.5066763034565334E-2</v>
      </c>
      <c r="E77">
        <v>-6.2595312298205474E-2</v>
      </c>
      <c r="F77">
        <v>1.5333323067352245E-2</v>
      </c>
      <c r="G77">
        <v>7.9452193123390469E-3</v>
      </c>
      <c r="H77">
        <v>-0.25115321056684448</v>
      </c>
      <c r="I77">
        <v>5.6587865789867298E-2</v>
      </c>
      <c r="J77">
        <v>1.1990824696414437E-2</v>
      </c>
    </row>
    <row r="78" spans="1:10">
      <c r="A78" s="568">
        <v>43943</v>
      </c>
      <c r="B78">
        <v>-1.6555688725697904E-3</v>
      </c>
      <c r="C78">
        <v>4.2174831649858913E-2</v>
      </c>
      <c r="D78">
        <v>1.5713931580504603E-2</v>
      </c>
      <c r="E78">
        <v>-6.4250762172253006E-2</v>
      </c>
      <c r="F78">
        <v>2.3638065244377948E-2</v>
      </c>
      <c r="G78">
        <v>1.1184588922267702E-2</v>
      </c>
      <c r="H78">
        <v>-0.23518672849641942</v>
      </c>
      <c r="I78">
        <v>6.2080441089087612E-2</v>
      </c>
      <c r="J78">
        <v>1.213480128566502E-2</v>
      </c>
    </row>
    <row r="79" spans="1:10">
      <c r="A79" s="568">
        <v>43944</v>
      </c>
      <c r="B79">
        <v>-9.4784854276597219E-4</v>
      </c>
      <c r="C79">
        <v>4.2741458580371372E-2</v>
      </c>
      <c r="D79">
        <v>1.4180369712145424E-2</v>
      </c>
      <c r="E79">
        <v>-6.2808603121220941E-2</v>
      </c>
      <c r="F79">
        <v>2.2476531043783332E-2</v>
      </c>
      <c r="G79">
        <v>1.1398162366948128E-2</v>
      </c>
      <c r="H79">
        <v>-0.24325376913562335</v>
      </c>
      <c r="I79">
        <v>7.6550235925531673E-2</v>
      </c>
      <c r="J79">
        <v>1.2278798358558163E-2</v>
      </c>
    </row>
    <row r="80" spans="1:10">
      <c r="A80" s="568">
        <v>43945</v>
      </c>
      <c r="B80">
        <v>-6.2464645629090043E-4</v>
      </c>
      <c r="C80">
        <v>4.330839358402927E-2</v>
      </c>
      <c r="D80">
        <v>8.3447410103034692E-3</v>
      </c>
      <c r="E80">
        <v>-6.4094870714452634E-2</v>
      </c>
      <c r="F80">
        <v>1.8417768654697797E-2</v>
      </c>
      <c r="G80">
        <v>7.6529947564951684E-3</v>
      </c>
      <c r="H80">
        <v>-0.27572701558387847</v>
      </c>
      <c r="I80">
        <v>9.4495800399649887E-2</v>
      </c>
      <c r="J80">
        <v>1.2422815918007979E-2</v>
      </c>
    </row>
    <row r="81" spans="1:10">
      <c r="A81" s="568">
        <v>43948</v>
      </c>
      <c r="B81">
        <v>-5.0770756552487306E-4</v>
      </c>
      <c r="C81">
        <v>4.3875636828330844E-2</v>
      </c>
      <c r="D81">
        <v>6.8348080371765096E-3</v>
      </c>
      <c r="E81">
        <v>-6.4207060382827752E-2</v>
      </c>
      <c r="F81">
        <v>1.9051890438478436E-2</v>
      </c>
      <c r="G81">
        <v>9.4049920012180266E-3</v>
      </c>
      <c r="H81">
        <v>-0.25353831378027791</v>
      </c>
      <c r="I81">
        <v>0.11129534441552846</v>
      </c>
      <c r="J81">
        <v>1.2566853966929026E-2</v>
      </c>
    </row>
    <row r="82" spans="1:10">
      <c r="A82" s="568">
        <v>43949</v>
      </c>
      <c r="B82">
        <v>1.0638083914660257E-4</v>
      </c>
      <c r="C82">
        <v>4.444318848086537E-2</v>
      </c>
      <c r="D82">
        <v>1.0084331293013893E-2</v>
      </c>
      <c r="E82">
        <v>-6.1393839221769109E-2</v>
      </c>
      <c r="F82">
        <v>1.9267995924920234E-2</v>
      </c>
      <c r="G82">
        <v>1.0954543080702539E-2</v>
      </c>
      <c r="H82">
        <v>-0.23110107728842644</v>
      </c>
      <c r="I82">
        <v>9.3324371688937591E-2</v>
      </c>
      <c r="J82">
        <v>1.2710912508236527E-2</v>
      </c>
    </row>
    <row r="83" spans="1:10">
      <c r="A83" s="568">
        <v>43950</v>
      </c>
      <c r="B83">
        <v>2.7873871474715095E-4</v>
      </c>
      <c r="C83">
        <v>4.5011048709313606E-2</v>
      </c>
      <c r="D83">
        <v>1.0756499539062991E-2</v>
      </c>
      <c r="E83">
        <v>-5.7349793036152619E-2</v>
      </c>
      <c r="F83">
        <v>1.7695182138737442E-2</v>
      </c>
      <c r="G83">
        <v>1.1228050324866956E-2</v>
      </c>
      <c r="H83">
        <v>-0.21693435810354167</v>
      </c>
      <c r="I83">
        <v>9.2263410854017458E-2</v>
      </c>
      <c r="J83">
        <v>1.2854991544845928E-2</v>
      </c>
    </row>
    <row r="84" spans="1:10">
      <c r="A84" s="568">
        <v>43951</v>
      </c>
      <c r="B84">
        <v>8.6630499351270096E-4</v>
      </c>
      <c r="C84">
        <v>4.5579217681447126E-2</v>
      </c>
      <c r="D84">
        <v>1.0930916593877349E-2</v>
      </c>
      <c r="E84">
        <v>-5.7118891044264264E-2</v>
      </c>
      <c r="F84">
        <v>1.8102716407273789E-2</v>
      </c>
      <c r="G84">
        <v>1.1179859606007092E-2</v>
      </c>
      <c r="H84">
        <v>-0.23692073604127273</v>
      </c>
      <c r="I84">
        <v>0.10067966761905023</v>
      </c>
      <c r="J84">
        <v>1.299909107967312E-2</v>
      </c>
    </row>
    <row r="85" spans="1:10">
      <c r="A85" s="568">
        <v>43955</v>
      </c>
      <c r="B85">
        <v>1.238298000905802E-3</v>
      </c>
      <c r="C85">
        <v>4.6147695565128766E-2</v>
      </c>
      <c r="D85">
        <v>1.1013244957174706E-2</v>
      </c>
      <c r="E85">
        <v>-6.0931382972478576E-2</v>
      </c>
      <c r="F85">
        <v>1.9088693925114697E-2</v>
      </c>
      <c r="G85">
        <v>1.0421920215752278E-2</v>
      </c>
      <c r="H85">
        <v>-0.24989770188631732</v>
      </c>
      <c r="I85">
        <v>7.7672438146067169E-2</v>
      </c>
      <c r="J85">
        <v>1.3143211115634212E-2</v>
      </c>
    </row>
    <row r="86" spans="1:10">
      <c r="A86" s="568">
        <v>43956</v>
      </c>
      <c r="B86">
        <v>1.5796785264183821E-3</v>
      </c>
      <c r="C86">
        <v>4.6716482528312619E-2</v>
      </c>
      <c r="D86">
        <v>1.1372451214296531E-2</v>
      </c>
      <c r="E86">
        <v>-5.8604751884721362E-2</v>
      </c>
      <c r="F86">
        <v>2.0177821382166838E-2</v>
      </c>
      <c r="G86">
        <v>1.1354422334879821E-2</v>
      </c>
      <c r="H86">
        <v>-0.2457674437834797</v>
      </c>
      <c r="I86">
        <v>9.350573467572354E-2</v>
      </c>
      <c r="J86">
        <v>1.3287351655645985E-2</v>
      </c>
    </row>
    <row r="87" spans="1:10">
      <c r="A87" s="568">
        <v>43957</v>
      </c>
      <c r="B87">
        <v>1.8367973940704996E-3</v>
      </c>
      <c r="C87">
        <v>4.7285578739044265E-2</v>
      </c>
      <c r="D87">
        <v>1.1526205878863438E-2</v>
      </c>
      <c r="E87">
        <v>-6.0083437804526629E-2</v>
      </c>
      <c r="F87">
        <v>2.2192603086592211E-2</v>
      </c>
      <c r="G87">
        <v>1.304925896492648E-2</v>
      </c>
      <c r="H87">
        <v>-0.24753296090248722</v>
      </c>
      <c r="I87">
        <v>0.11133258925447898</v>
      </c>
      <c r="J87">
        <v>1.3431512702625659E-2</v>
      </c>
    </row>
    <row r="88" spans="1:10">
      <c r="A88" s="568">
        <v>43958</v>
      </c>
      <c r="B88">
        <v>2.1193752999095761E-3</v>
      </c>
      <c r="C88">
        <v>4.785498436546054E-2</v>
      </c>
      <c r="D88">
        <v>1.1764051038509304E-2</v>
      </c>
      <c r="E88">
        <v>-5.7371970063622268E-2</v>
      </c>
      <c r="F88">
        <v>2.5922537838171333E-2</v>
      </c>
      <c r="G88">
        <v>1.5787739181566396E-2</v>
      </c>
      <c r="H88">
        <v>-0.25306778573598099</v>
      </c>
      <c r="I88">
        <v>0.14185776762966529</v>
      </c>
      <c r="J88">
        <v>1.3546485214516846E-2</v>
      </c>
    </row>
    <row r="89" spans="1:10">
      <c r="A89" s="568">
        <v>43959</v>
      </c>
      <c r="B89">
        <v>2.3742656893508407E-3</v>
      </c>
      <c r="C89">
        <v>4.8424699575789765E-2</v>
      </c>
      <c r="D89">
        <v>1.3077485474719763E-2</v>
      </c>
      <c r="E89">
        <v>-5.5558671935232895E-2</v>
      </c>
      <c r="F89">
        <v>2.5539087967921592E-2</v>
      </c>
      <c r="G89">
        <v>1.5989811566641698E-2</v>
      </c>
      <c r="H89">
        <v>-0.2404407955152027</v>
      </c>
      <c r="I89">
        <v>0.14055001638743936</v>
      </c>
      <c r="J89">
        <v>1.366147076989277E-2</v>
      </c>
    </row>
    <row r="90" spans="1:10">
      <c r="A90" s="568">
        <v>43962</v>
      </c>
      <c r="B90">
        <v>2.5680781289514343E-3</v>
      </c>
      <c r="C90">
        <v>4.8994724538351742E-2</v>
      </c>
      <c r="D90">
        <v>1.3713040398386944E-2</v>
      </c>
      <c r="E90">
        <v>-5.6879509600696321E-2</v>
      </c>
      <c r="F90">
        <v>2.6139523486154115E-2</v>
      </c>
      <c r="G90">
        <v>1.6426294683334675E-2</v>
      </c>
      <c r="H90">
        <v>-0.24843886461898901</v>
      </c>
      <c r="I90">
        <v>0.15488802860691164</v>
      </c>
      <c r="J90">
        <v>1.3776469370233135E-2</v>
      </c>
    </row>
    <row r="91" spans="1:10">
      <c r="A91" s="568">
        <v>43963</v>
      </c>
      <c r="B91">
        <v>2.6625911927025125E-3</v>
      </c>
      <c r="C91">
        <v>4.9565059421557534E-2</v>
      </c>
      <c r="D91">
        <v>1.2678820925542622E-2</v>
      </c>
      <c r="E91">
        <v>-5.5320595022692709E-2</v>
      </c>
      <c r="F91">
        <v>2.4884891599934456E-2</v>
      </c>
      <c r="G91">
        <v>1.6247220400151141E-2</v>
      </c>
      <c r="H91">
        <v>-0.25780866260105273</v>
      </c>
      <c r="I91">
        <v>0.14492484511089732</v>
      </c>
      <c r="J91">
        <v>1.389148101701787E-2</v>
      </c>
    </row>
    <row r="92" spans="1:10">
      <c r="A92" s="568">
        <v>43964</v>
      </c>
      <c r="B92">
        <v>2.7934779788310049E-3</v>
      </c>
      <c r="C92">
        <v>5.0135704393909908E-2</v>
      </c>
      <c r="D92">
        <v>1.2202030475864323E-2</v>
      </c>
      <c r="E92">
        <v>-5.7416976384075169E-2</v>
      </c>
      <c r="F92">
        <v>2.5819700642008003E-2</v>
      </c>
      <c r="G92">
        <v>1.6325094790831107E-2</v>
      </c>
      <c r="H92">
        <v>-0.25698715202064748</v>
      </c>
      <c r="I92">
        <v>0.1404590877488241</v>
      </c>
      <c r="J92">
        <v>1.4006505711727346E-2</v>
      </c>
    </row>
    <row r="93" spans="1:10">
      <c r="A93" s="568">
        <v>43965</v>
      </c>
      <c r="B93">
        <v>2.937181399883082E-3</v>
      </c>
      <c r="C93">
        <v>5.0706659624003558E-2</v>
      </c>
      <c r="D93">
        <v>1.300951521538285E-2</v>
      </c>
      <c r="E93">
        <v>-5.8598881495097177E-2</v>
      </c>
      <c r="F93">
        <v>2.5777861899845878E-2</v>
      </c>
      <c r="G93">
        <v>1.5066172316313686E-2</v>
      </c>
      <c r="H93">
        <v>-0.2498824509305384</v>
      </c>
      <c r="I93">
        <v>0.1346998488224056</v>
      </c>
      <c r="J93">
        <v>1.412154345584149E-2</v>
      </c>
    </row>
    <row r="94" spans="1:10">
      <c r="A94" s="568">
        <v>43966</v>
      </c>
      <c r="B94">
        <v>3.1156114017907299E-3</v>
      </c>
      <c r="C94">
        <v>5.1277925280524217E-2</v>
      </c>
      <c r="D94">
        <v>1.3967728245906086E-2</v>
      </c>
      <c r="E94">
        <v>-5.7911393643542364E-2</v>
      </c>
      <c r="F94">
        <v>2.5670284470491023E-2</v>
      </c>
      <c r="G94">
        <v>1.3412825487825408E-2</v>
      </c>
      <c r="H94">
        <v>-0.26013518321652862</v>
      </c>
      <c r="I94">
        <v>0.13965443293524737</v>
      </c>
      <c r="J94">
        <v>1.4236594250840895E-2</v>
      </c>
    </row>
    <row r="95" spans="1:10">
      <c r="A95" s="568">
        <v>43969</v>
      </c>
      <c r="B95">
        <v>3.2302854543222459E-3</v>
      </c>
      <c r="C95">
        <v>5.1849501532249986E-2</v>
      </c>
      <c r="D95">
        <v>1.5144425823207186E-2</v>
      </c>
      <c r="E95">
        <v>-5.1954252705923909E-2</v>
      </c>
      <c r="F95">
        <v>2.3690485015375851E-2</v>
      </c>
      <c r="G95">
        <v>1.3309940510434215E-2</v>
      </c>
      <c r="H95">
        <v>-0.23424664179231514</v>
      </c>
      <c r="I95">
        <v>0.14974545401981598</v>
      </c>
      <c r="J95">
        <v>1.4351658098206377E-2</v>
      </c>
    </row>
    <row r="96" spans="1:10">
      <c r="A96" s="568">
        <v>43970</v>
      </c>
      <c r="B96">
        <v>3.3331523602957436E-3</v>
      </c>
      <c r="C96">
        <v>5.242138854805023E-2</v>
      </c>
      <c r="D96">
        <v>1.588634236575448E-2</v>
      </c>
      <c r="E96">
        <v>-4.9878743840983342E-2</v>
      </c>
      <c r="F96">
        <v>2.3887732785721649E-2</v>
      </c>
      <c r="G96">
        <v>1.373645760048281E-2</v>
      </c>
      <c r="H96">
        <v>-0.23449945811322526</v>
      </c>
      <c r="I96">
        <v>0.16476498924206773</v>
      </c>
      <c r="J96">
        <v>1.4466734999418307E-2</v>
      </c>
    </row>
    <row r="97" spans="1:10">
      <c r="A97" s="568">
        <v>43971</v>
      </c>
      <c r="B97">
        <v>3.4638874245100926E-3</v>
      </c>
      <c r="C97">
        <v>5.2993586496886458E-2</v>
      </c>
      <c r="D97">
        <v>1.6658305153907316E-2</v>
      </c>
      <c r="E97">
        <v>-4.5753164466140639E-2</v>
      </c>
      <c r="F97">
        <v>2.4255529972582401E-2</v>
      </c>
      <c r="G97">
        <v>1.3888251348463942E-2</v>
      </c>
      <c r="H97">
        <v>-0.22940088065382347</v>
      </c>
      <c r="I97">
        <v>0.1597843400237422</v>
      </c>
      <c r="J97">
        <v>1.4581824955957945E-2</v>
      </c>
    </row>
    <row r="98" spans="1:10">
      <c r="A98" s="568">
        <v>43972</v>
      </c>
      <c r="B98">
        <v>3.6165039192832538E-3</v>
      </c>
      <c r="C98">
        <v>5.3566095547811887E-2</v>
      </c>
      <c r="D98">
        <v>1.7540199746818308E-2</v>
      </c>
      <c r="E98">
        <v>-4.3020824228794163E-2</v>
      </c>
      <c r="F98">
        <v>2.3193625984419208E-2</v>
      </c>
      <c r="G98">
        <v>1.407881033218561E-2</v>
      </c>
      <c r="H98">
        <v>-0.21706856151390275</v>
      </c>
      <c r="I98">
        <v>0.13440506336382718</v>
      </c>
      <c r="J98">
        <v>1.4696927969306328E-2</v>
      </c>
    </row>
    <row r="99" spans="1:10">
      <c r="A99" s="568">
        <v>43973</v>
      </c>
      <c r="B99">
        <v>3.7713296244514805E-3</v>
      </c>
      <c r="C99">
        <v>5.4138915869971438E-2</v>
      </c>
      <c r="D99">
        <v>1.7516772228073352E-2</v>
      </c>
      <c r="E99">
        <v>-4.3442840016228668E-2</v>
      </c>
      <c r="F99">
        <v>2.347589567580699E-2</v>
      </c>
      <c r="G99">
        <v>1.4125135151829893E-2</v>
      </c>
      <c r="H99">
        <v>-0.22267707172518714</v>
      </c>
      <c r="I99">
        <v>0.11346640974104516</v>
      </c>
      <c r="J99">
        <v>1.4812044040944716E-2</v>
      </c>
    </row>
    <row r="100" spans="1:10">
      <c r="A100" s="568">
        <v>43976</v>
      </c>
      <c r="B100">
        <v>4.0139285849130069E-3</v>
      </c>
      <c r="C100">
        <v>5.4712047632602401E-2</v>
      </c>
      <c r="D100">
        <v>1.9857740533634871E-2</v>
      </c>
      <c r="E100">
        <v>-4.3480671416029626E-2</v>
      </c>
      <c r="F100">
        <v>2.4108182452418969E-2</v>
      </c>
      <c r="G100">
        <v>1.5208468992941926E-2</v>
      </c>
      <c r="H100">
        <v>-0.19610956439185068</v>
      </c>
      <c r="I100">
        <v>0.11180960047256705</v>
      </c>
      <c r="J100">
        <v>1.4927173172354369E-2</v>
      </c>
    </row>
    <row r="101" spans="1:10">
      <c r="A101" s="568">
        <v>43977</v>
      </c>
      <c r="B101">
        <v>4.2072695861345988E-3</v>
      </c>
      <c r="C101">
        <v>5.5285491005033993E-2</v>
      </c>
      <c r="D101">
        <v>1.9600891056634984E-2</v>
      </c>
      <c r="E101">
        <v>-3.8075999368607283E-2</v>
      </c>
      <c r="F101">
        <v>2.3814609104916062E-2</v>
      </c>
      <c r="G101">
        <v>1.6115086308353233E-2</v>
      </c>
      <c r="H101">
        <v>-0.19684861162436618</v>
      </c>
      <c r="I101">
        <v>0.10499564519503624</v>
      </c>
      <c r="J101">
        <v>1.5042315365017211E-2</v>
      </c>
    </row>
    <row r="102" spans="1:10">
      <c r="A102" s="568">
        <v>43978</v>
      </c>
      <c r="B102">
        <v>4.3878417609779508E-3</v>
      </c>
      <c r="C102">
        <v>5.5859246156687359E-2</v>
      </c>
      <c r="D102">
        <v>1.9795865628742915E-2</v>
      </c>
      <c r="E102">
        <v>-3.5574561123149273E-2</v>
      </c>
      <c r="F102">
        <v>2.47021256991653E-2</v>
      </c>
      <c r="G102">
        <v>1.7445318920527919E-2</v>
      </c>
      <c r="H102">
        <v>-0.17756518137155208</v>
      </c>
      <c r="I102">
        <v>0.10295715956942031</v>
      </c>
      <c r="J102">
        <v>1.5157470620414726E-2</v>
      </c>
    </row>
    <row r="103" spans="1:10">
      <c r="A103" s="568">
        <v>43979</v>
      </c>
      <c r="B103">
        <v>4.4525942478383929E-3</v>
      </c>
      <c r="C103">
        <v>5.643331325707579E-2</v>
      </c>
      <c r="D103">
        <v>2.0316409471408114E-2</v>
      </c>
      <c r="E103">
        <v>-3.359950114733512E-2</v>
      </c>
      <c r="F103">
        <v>2.5417001815693174E-2</v>
      </c>
      <c r="G103">
        <v>1.8668164407892096E-2</v>
      </c>
      <c r="H103">
        <v>-0.18515451679255612</v>
      </c>
      <c r="I103">
        <v>0.11014954069527261</v>
      </c>
      <c r="J103">
        <v>1.527263894002906E-2</v>
      </c>
    </row>
    <row r="104" spans="1:10">
      <c r="A104" s="568">
        <v>43980</v>
      </c>
      <c r="B104">
        <v>4.5678100216492989E-3</v>
      </c>
      <c r="C104">
        <v>5.7007692475804728E-2</v>
      </c>
      <c r="D104">
        <v>2.0796224941211694E-2</v>
      </c>
      <c r="E104">
        <v>-3.2075156641563241E-2</v>
      </c>
      <c r="F104">
        <v>2.7384180663700963E-2</v>
      </c>
      <c r="G104">
        <v>2.0097895614801464E-2</v>
      </c>
      <c r="H104">
        <v>-0.18224745776837648</v>
      </c>
      <c r="I104">
        <v>0.11720381517163947</v>
      </c>
      <c r="J104">
        <v>1.5387820325342361E-2</v>
      </c>
    </row>
    <row r="105" spans="1:10">
      <c r="A105" s="568">
        <v>43983</v>
      </c>
      <c r="B105">
        <v>4.8679528083563905E-3</v>
      </c>
      <c r="C105">
        <v>5.7582383982571983E-2</v>
      </c>
      <c r="D105">
        <v>2.111026865322696E-2</v>
      </c>
      <c r="E105">
        <v>-2.9770702581275788E-2</v>
      </c>
      <c r="F105">
        <v>2.7866464647225753E-2</v>
      </c>
      <c r="G105">
        <v>2.0495511277691003E-2</v>
      </c>
      <c r="H105">
        <v>-0.17143523789701587</v>
      </c>
      <c r="I105">
        <v>0.13138582309923708</v>
      </c>
      <c r="J105">
        <v>1.5503014777836777E-2</v>
      </c>
    </row>
    <row r="106" spans="1:10">
      <c r="A106" s="568">
        <v>43984</v>
      </c>
      <c r="B106">
        <v>5.0759118278123072E-3</v>
      </c>
      <c r="C106">
        <v>5.8157387947167294E-2</v>
      </c>
      <c r="D106">
        <v>2.2319348232867187E-2</v>
      </c>
      <c r="E106">
        <v>-2.5673822889040743E-2</v>
      </c>
      <c r="F106">
        <v>2.7637946055754758E-2</v>
      </c>
      <c r="G106">
        <v>2.0578231460209429E-2</v>
      </c>
      <c r="H106">
        <v>-0.15501670413313517</v>
      </c>
      <c r="I106">
        <v>0.12754325804491251</v>
      </c>
      <c r="J106">
        <v>1.5618222298994899E-2</v>
      </c>
    </row>
    <row r="107" spans="1:10">
      <c r="A107" s="568">
        <v>43985</v>
      </c>
      <c r="B107">
        <v>5.2587810785549305E-3</v>
      </c>
      <c r="C107">
        <v>5.8732704539472991E-2</v>
      </c>
      <c r="D107">
        <v>2.3251481342137392E-2</v>
      </c>
      <c r="E107">
        <v>-2.1196020136741267E-2</v>
      </c>
      <c r="F107">
        <v>3.0268110234519474E-2</v>
      </c>
      <c r="G107">
        <v>2.1394280320773396E-2</v>
      </c>
      <c r="H107">
        <v>-0.13750428197644349</v>
      </c>
      <c r="I107">
        <v>0.12326672511674874</v>
      </c>
      <c r="J107">
        <v>1.5733442890299321E-2</v>
      </c>
    </row>
    <row r="108" spans="1:10">
      <c r="A108" s="568">
        <v>43986</v>
      </c>
      <c r="B108">
        <v>5.4598472517786156E-3</v>
      </c>
      <c r="C108">
        <v>5.9308333929463775E-2</v>
      </c>
      <c r="D108">
        <v>2.3756567932983863E-2</v>
      </c>
      <c r="E108">
        <v>-1.9836046540449126E-2</v>
      </c>
      <c r="F108">
        <v>3.2342180982275481E-2</v>
      </c>
      <c r="G108">
        <v>2.2219863216210722E-2</v>
      </c>
      <c r="H108">
        <v>-0.13206560955573365</v>
      </c>
      <c r="I108">
        <v>0.12560592415589489</v>
      </c>
      <c r="J108">
        <v>1.5848676553232632E-2</v>
      </c>
    </row>
    <row r="109" spans="1:10">
      <c r="A109" s="568">
        <v>43987</v>
      </c>
      <c r="B109">
        <v>5.6299168509648112E-3</v>
      </c>
      <c r="C109">
        <v>5.9884276287206717E-2</v>
      </c>
      <c r="D109">
        <v>2.4504882484821744E-2</v>
      </c>
      <c r="E109">
        <v>-1.321685610631429E-2</v>
      </c>
      <c r="F109">
        <v>3.2690455666461116E-2</v>
      </c>
      <c r="G109">
        <v>2.2446339023730832E-2</v>
      </c>
      <c r="H109">
        <v>-0.12450663717232247</v>
      </c>
      <c r="I109">
        <v>0.12280857990843241</v>
      </c>
      <c r="J109">
        <v>1.5963923289278092E-2</v>
      </c>
    </row>
    <row r="110" spans="1:10">
      <c r="A110" s="568">
        <v>43990</v>
      </c>
      <c r="B110">
        <v>6.2201220226274501E-3</v>
      </c>
      <c r="C110">
        <v>6.046053178286126E-2</v>
      </c>
      <c r="D110">
        <v>2.4646171388046811E-2</v>
      </c>
      <c r="E110">
        <v>-1.1167437861926199E-2</v>
      </c>
      <c r="F110">
        <v>3.4187136056798906E-2</v>
      </c>
      <c r="G110">
        <v>2.3431885920939921E-2</v>
      </c>
      <c r="H110">
        <v>-0.10087485411374109</v>
      </c>
      <c r="I110">
        <v>0.11600644918523262</v>
      </c>
      <c r="J110">
        <v>1.6079183099918737E-2</v>
      </c>
    </row>
    <row r="111" spans="1:10">
      <c r="A111" s="568">
        <v>43991</v>
      </c>
      <c r="B111">
        <v>6.4402786562933745E-3</v>
      </c>
      <c r="C111">
        <v>6.1037100586679438E-2</v>
      </c>
      <c r="D111">
        <v>2.4421333606309492E-2</v>
      </c>
      <c r="E111">
        <v>-1.2578288168295315E-2</v>
      </c>
      <c r="F111">
        <v>3.3542519448342301E-2</v>
      </c>
      <c r="G111">
        <v>2.345733092690816E-2</v>
      </c>
      <c r="H111">
        <v>-0.10747606710109281</v>
      </c>
      <c r="I111">
        <v>0.12030215043261538</v>
      </c>
      <c r="J111">
        <v>1.6194455986637823E-2</v>
      </c>
    </row>
    <row r="112" spans="1:10">
      <c r="A112" s="568">
        <v>43992</v>
      </c>
      <c r="B112">
        <v>6.680679426812608E-3</v>
      </c>
      <c r="C112">
        <v>6.1613982869005879E-2</v>
      </c>
      <c r="D112">
        <v>2.5317000225459019E-2</v>
      </c>
      <c r="E112">
        <v>-1.2790274460283246E-2</v>
      </c>
      <c r="F112">
        <v>3.2855670820814531E-2</v>
      </c>
      <c r="G112">
        <v>2.2677154915127673E-2</v>
      </c>
      <c r="H112">
        <v>-0.12254170803478526</v>
      </c>
      <c r="I112">
        <v>0.13153275261728714</v>
      </c>
      <c r="J112">
        <v>1.6309741950918832E-2</v>
      </c>
    </row>
    <row r="113" spans="1:10">
      <c r="A113" s="568">
        <v>43994</v>
      </c>
      <c r="B113">
        <v>6.8453576439475583E-3</v>
      </c>
      <c r="C113">
        <v>6.2191178800277802E-2</v>
      </c>
      <c r="D113">
        <v>2.5646993961386366E-2</v>
      </c>
      <c r="E113">
        <v>-1.830322258299788E-2</v>
      </c>
      <c r="F113">
        <v>3.0062424546658084E-2</v>
      </c>
      <c r="G113">
        <v>2.0685452123348824E-2</v>
      </c>
      <c r="H113">
        <v>-0.13457055916178706</v>
      </c>
      <c r="I113">
        <v>0.1098933481954345</v>
      </c>
      <c r="J113">
        <v>1.6425040994245244E-2</v>
      </c>
    </row>
    <row r="114" spans="1:10">
      <c r="A114" s="568">
        <v>43997</v>
      </c>
      <c r="B114">
        <v>7.0431398015637914E-3</v>
      </c>
      <c r="C114">
        <v>6.276868855102502E-2</v>
      </c>
      <c r="D114">
        <v>2.5797361917748507E-2</v>
      </c>
      <c r="E114">
        <v>-1.8778724142564762E-2</v>
      </c>
      <c r="F114">
        <v>3.1094624421222239E-2</v>
      </c>
      <c r="G114">
        <v>2.0398764501889044E-2</v>
      </c>
      <c r="H114">
        <v>-0.13654764480731307</v>
      </c>
      <c r="I114">
        <v>0.11710047543742896</v>
      </c>
      <c r="J114">
        <v>1.6540353118100981E-2</v>
      </c>
    </row>
    <row r="115" spans="1:10">
      <c r="A115" s="568">
        <v>43998</v>
      </c>
      <c r="B115">
        <v>7.2306695446893166E-3</v>
      </c>
      <c r="C115">
        <v>6.3346512291870161E-2</v>
      </c>
      <c r="D115">
        <v>2.5722556119454065E-2</v>
      </c>
      <c r="E115">
        <v>-1.2239762366628382E-2</v>
      </c>
      <c r="F115">
        <v>3.2208718078642562E-2</v>
      </c>
      <c r="G115">
        <v>2.1372852409546006E-2</v>
      </c>
      <c r="H115">
        <v>-0.12866855589631365</v>
      </c>
      <c r="I115">
        <v>0.15134132978239023</v>
      </c>
      <c r="J115">
        <v>1.6655678323969969E-2</v>
      </c>
    </row>
    <row r="116" spans="1:10">
      <c r="A116" s="568">
        <v>43999</v>
      </c>
      <c r="B116">
        <v>7.4066997979833626E-3</v>
      </c>
      <c r="C116">
        <v>6.3924650193528443E-2</v>
      </c>
      <c r="D116">
        <v>2.6651021792170715E-2</v>
      </c>
      <c r="E116">
        <v>-1.325468750611547E-2</v>
      </c>
      <c r="F116">
        <v>3.4933371034141292E-2</v>
      </c>
      <c r="G116">
        <v>2.1970707934865441E-2</v>
      </c>
      <c r="H116">
        <v>-0.11350163182938633</v>
      </c>
      <c r="I116">
        <v>0.15863087742053006</v>
      </c>
      <c r="J116">
        <v>1.6771016613336576E-2</v>
      </c>
    </row>
    <row r="117" spans="1:10">
      <c r="A117" s="568">
        <v>44000</v>
      </c>
      <c r="B117">
        <v>7.6582084957297347E-3</v>
      </c>
      <c r="C117">
        <v>6.4503102426808123E-2</v>
      </c>
      <c r="D117">
        <v>2.6820916612074974E-2</v>
      </c>
      <c r="E117">
        <v>-1.3377965688225357E-2</v>
      </c>
      <c r="F117">
        <v>3.5867142098003679E-2</v>
      </c>
      <c r="G117">
        <v>2.3914351436792547E-2</v>
      </c>
      <c r="H117">
        <v>-0.10748316523885648</v>
      </c>
      <c r="I117">
        <v>0.17931840342924721</v>
      </c>
      <c r="J117">
        <v>1.685684916697805E-2</v>
      </c>
    </row>
    <row r="118" spans="1:10">
      <c r="A118" s="568">
        <v>44001</v>
      </c>
      <c r="B118">
        <v>7.9593569350417948E-3</v>
      </c>
      <c r="C118">
        <v>6.5081869162610273E-2</v>
      </c>
      <c r="D118">
        <v>2.7514821625112207E-2</v>
      </c>
      <c r="E118">
        <v>-1.2189537922065119E-2</v>
      </c>
      <c r="F118">
        <v>3.5961059423439634E-2</v>
      </c>
      <c r="G118">
        <v>2.3981679563460867E-2</v>
      </c>
      <c r="H118">
        <v>-0.10346038460921225</v>
      </c>
      <c r="I118">
        <v>0.17117498257240138</v>
      </c>
      <c r="J118">
        <v>1.6942688966328889E-2</v>
      </c>
    </row>
    <row r="119" spans="1:10">
      <c r="A119" s="568">
        <v>44004</v>
      </c>
      <c r="B119">
        <v>8.1415214053435214E-3</v>
      </c>
      <c r="C119">
        <v>6.5660950571928778E-2</v>
      </c>
      <c r="D119">
        <v>2.7563206437284382E-2</v>
      </c>
      <c r="E119">
        <v>-1.2252155411390686E-2</v>
      </c>
      <c r="F119">
        <v>3.6025815571311792E-2</v>
      </c>
      <c r="G119">
        <v>2.4185522593420439E-2</v>
      </c>
      <c r="H119">
        <v>-0.10958466148329604</v>
      </c>
      <c r="I119">
        <v>0.16887889794430744</v>
      </c>
      <c r="J119">
        <v>1.7028536012000606E-2</v>
      </c>
    </row>
    <row r="120" spans="1:10">
      <c r="A120" s="568">
        <v>44005</v>
      </c>
      <c r="B120">
        <v>8.3895250368655194E-3</v>
      </c>
      <c r="C120">
        <v>6.6240346825850782E-2</v>
      </c>
      <c r="D120">
        <v>2.8323228581364379E-2</v>
      </c>
      <c r="E120">
        <v>-1.0635841468171647E-2</v>
      </c>
      <c r="F120">
        <v>3.6728108921531444E-2</v>
      </c>
      <c r="G120">
        <v>2.456768225140471E-2</v>
      </c>
      <c r="H120">
        <v>-0.10511024692671789</v>
      </c>
      <c r="I120">
        <v>0.1638411369179078</v>
      </c>
      <c r="J120">
        <v>1.7114390304605154E-2</v>
      </c>
    </row>
    <row r="121" spans="1:10">
      <c r="A121" s="568">
        <v>44006</v>
      </c>
      <c r="B121">
        <v>8.5848345717058905E-3</v>
      </c>
      <c r="C121">
        <v>6.6820058095556023E-2</v>
      </c>
      <c r="D121">
        <v>2.8513279665143276E-2</v>
      </c>
      <c r="E121">
        <v>-1.3266428285363729E-2</v>
      </c>
      <c r="F121">
        <v>3.4321348071942648E-2</v>
      </c>
      <c r="G121">
        <v>2.3608200561824555E-2</v>
      </c>
      <c r="H121">
        <v>-0.11779049884863291</v>
      </c>
      <c r="I121">
        <v>0.17671947390414156</v>
      </c>
      <c r="J121">
        <v>1.7200251844754266E-2</v>
      </c>
    </row>
    <row r="122" spans="1:10">
      <c r="A122" s="568">
        <v>44007</v>
      </c>
      <c r="B122">
        <v>8.9608962304374984E-3</v>
      </c>
      <c r="C122">
        <v>6.7400084552317496E-2</v>
      </c>
      <c r="D122">
        <v>3.0517557016144448E-2</v>
      </c>
      <c r="E122">
        <v>-1.3099448313828588E-2</v>
      </c>
      <c r="F122">
        <v>3.6733702701338355E-2</v>
      </c>
      <c r="G122">
        <v>2.4450077219642763E-2</v>
      </c>
      <c r="H122">
        <v>-0.10698188820481391</v>
      </c>
      <c r="I122">
        <v>0.18109665861134161</v>
      </c>
      <c r="J122">
        <v>1.7286120633059676E-2</v>
      </c>
    </row>
    <row r="123" spans="1:10">
      <c r="A123" s="568">
        <v>44008</v>
      </c>
      <c r="B123">
        <v>9.2805790064576232E-3</v>
      </c>
      <c r="C123">
        <v>6.7980426367501456E-2</v>
      </c>
      <c r="D123">
        <v>3.1172434651420167E-2</v>
      </c>
      <c r="E123">
        <v>-1.4972102603974413E-2</v>
      </c>
      <c r="F123">
        <v>3.4735869343202719E-2</v>
      </c>
      <c r="G123">
        <v>2.3576849583284654E-2</v>
      </c>
      <c r="H123">
        <v>-0.12497486376108835</v>
      </c>
      <c r="I123">
        <v>0.17937615792416861</v>
      </c>
      <c r="J123">
        <v>1.7371996670133116E-2</v>
      </c>
    </row>
    <row r="124" spans="1:10">
      <c r="A124" s="568">
        <v>44011</v>
      </c>
      <c r="B124">
        <v>9.6810493576220402E-3</v>
      </c>
      <c r="C124">
        <v>6.8561083712567195E-2</v>
      </c>
      <c r="D124">
        <v>3.2419687045146528E-2</v>
      </c>
      <c r="E124">
        <v>-1.5968764309074679E-2</v>
      </c>
      <c r="F124">
        <v>3.602542042232626E-2</v>
      </c>
      <c r="G124">
        <v>2.4358314254386837E-2</v>
      </c>
      <c r="H124">
        <v>-0.11061709901240857</v>
      </c>
      <c r="I124">
        <v>0.17842060925145709</v>
      </c>
      <c r="J124">
        <v>1.7457879956586764E-2</v>
      </c>
    </row>
    <row r="125" spans="1:10">
      <c r="A125" s="568">
        <v>44012</v>
      </c>
      <c r="B125">
        <v>1.0173386576537879E-2</v>
      </c>
      <c r="C125">
        <v>6.9142056759067261E-2</v>
      </c>
      <c r="D125">
        <v>3.3027153868306236E-2</v>
      </c>
      <c r="E125">
        <v>-1.462248828857271E-2</v>
      </c>
      <c r="F125">
        <v>3.7109024468204632E-2</v>
      </c>
      <c r="G125">
        <v>2.5089476599748251E-2</v>
      </c>
      <c r="H125">
        <v>-0.11193161420501396</v>
      </c>
      <c r="I125">
        <v>0.18932549846053548</v>
      </c>
      <c r="J125">
        <v>1.7543770493032351E-2</v>
      </c>
    </row>
    <row r="126" spans="1:10">
      <c r="A126" s="568">
        <v>44013</v>
      </c>
      <c r="B126">
        <v>1.042796300901605E-2</v>
      </c>
      <c r="C126">
        <v>6.9723345678647242E-2</v>
      </c>
      <c r="D126">
        <v>3.4438286529766327E-2</v>
      </c>
      <c r="E126">
        <v>-1.2628512612858245E-2</v>
      </c>
      <c r="F126">
        <v>3.8870623946340999E-2</v>
      </c>
      <c r="G126">
        <v>2.4852963098581871E-2</v>
      </c>
      <c r="H126">
        <v>-0.10205564592955219</v>
      </c>
      <c r="I126">
        <v>0.17635363710540641</v>
      </c>
      <c r="J126">
        <v>1.7629668280082056E-2</v>
      </c>
    </row>
    <row r="127" spans="1:10">
      <c r="A127" s="568">
        <v>44014</v>
      </c>
      <c r="B127">
        <v>1.065782267066151E-2</v>
      </c>
      <c r="C127">
        <v>7.0304950643046427E-2</v>
      </c>
      <c r="D127">
        <v>3.519796326291269E-2</v>
      </c>
      <c r="E127">
        <v>-1.07493356675743E-2</v>
      </c>
      <c r="F127">
        <v>3.9234029688093752E-2</v>
      </c>
      <c r="G127">
        <v>2.5374644539737812E-2</v>
      </c>
      <c r="H127">
        <v>-0.10179888382563551</v>
      </c>
      <c r="I127">
        <v>0.2061486055947539</v>
      </c>
      <c r="J127">
        <v>1.7715573318347833E-2</v>
      </c>
    </row>
    <row r="128" spans="1:10">
      <c r="A128" s="568">
        <v>44015</v>
      </c>
      <c r="B128">
        <v>1.0892718420215663E-2</v>
      </c>
      <c r="C128">
        <v>7.0886871824097364E-2</v>
      </c>
      <c r="D128">
        <v>3.6576799334678833E-2</v>
      </c>
      <c r="E128">
        <v>-1.0788471598402793E-2</v>
      </c>
      <c r="F128">
        <v>4.0843311140370764E-2</v>
      </c>
      <c r="G128">
        <v>2.6198351991805646E-2</v>
      </c>
      <c r="H128">
        <v>-9.669706495724073E-2</v>
      </c>
      <c r="I128">
        <v>0.21540159806502923</v>
      </c>
      <c r="J128">
        <v>1.7801485608441858E-2</v>
      </c>
    </row>
    <row r="129" spans="1:10">
      <c r="A129" s="568">
        <v>44018</v>
      </c>
      <c r="B129">
        <v>1.1164699649770737E-2</v>
      </c>
      <c r="C129">
        <v>7.146910939372586E-2</v>
      </c>
      <c r="D129">
        <v>3.6862218624534648E-2</v>
      </c>
      <c r="E129">
        <v>-8.5420691688442574E-3</v>
      </c>
      <c r="F129">
        <v>4.3786690347219714E-2</v>
      </c>
      <c r="G129">
        <v>2.8374871026505488E-2</v>
      </c>
      <c r="H129">
        <v>-7.9895796501333938E-2</v>
      </c>
      <c r="I129">
        <v>0.24208758086626347</v>
      </c>
      <c r="J129">
        <v>1.7887405150976532E-2</v>
      </c>
    </row>
    <row r="130" spans="1:10">
      <c r="A130" s="568">
        <v>44019</v>
      </c>
      <c r="B130">
        <v>1.1390348773804959E-2</v>
      </c>
      <c r="C130">
        <v>7.2051663523951426E-2</v>
      </c>
      <c r="D130">
        <v>3.6755091482429281E-2</v>
      </c>
      <c r="E130">
        <v>-9.3456602818570156E-3</v>
      </c>
      <c r="F130">
        <v>4.1759521156475632E-2</v>
      </c>
      <c r="G130">
        <v>2.7088757333934232E-2</v>
      </c>
      <c r="H130">
        <v>-8.6876194564698972E-2</v>
      </c>
      <c r="I130">
        <v>0.23509770933484986</v>
      </c>
      <c r="J130">
        <v>1.7973331946563809E-2</v>
      </c>
    </row>
    <row r="131" spans="1:10">
      <c r="A131" s="568">
        <v>44020</v>
      </c>
      <c r="B131">
        <v>1.159630723214744E-2</v>
      </c>
      <c r="C131">
        <v>7.2634534386887051E-2</v>
      </c>
      <c r="D131">
        <v>3.6529020680622359E-2</v>
      </c>
      <c r="E131">
        <v>-1.0098374684792799E-2</v>
      </c>
      <c r="F131">
        <v>4.4714073911004126E-2</v>
      </c>
      <c r="G131">
        <v>2.6290611087515181E-2</v>
      </c>
      <c r="H131">
        <v>-7.1477188286701798E-2</v>
      </c>
      <c r="I131">
        <v>0.25223478802114085</v>
      </c>
      <c r="J131">
        <v>1.8059265995816087E-2</v>
      </c>
    </row>
    <row r="132" spans="1:10">
      <c r="A132" s="568">
        <v>44021</v>
      </c>
      <c r="B132">
        <v>1.1830726923749868E-2</v>
      </c>
      <c r="C132">
        <v>7.3217722154738984E-2</v>
      </c>
      <c r="D132">
        <v>3.7393057717272526E-2</v>
      </c>
      <c r="E132">
        <v>-9.5569943083311237E-3</v>
      </c>
      <c r="F132">
        <v>4.4590822453742796E-2</v>
      </c>
      <c r="G132">
        <v>2.6415640992625722E-2</v>
      </c>
      <c r="H132">
        <v>-7.3383182071306563E-2</v>
      </c>
      <c r="I132">
        <v>0.25731987201814244</v>
      </c>
      <c r="J132">
        <v>1.8145207299345545E-2</v>
      </c>
    </row>
    <row r="133" spans="1:10">
      <c r="A133" s="568">
        <v>44022</v>
      </c>
      <c r="B133">
        <v>1.219951959222465E-2</v>
      </c>
      <c r="C133">
        <v>7.3801226999807623E-2</v>
      </c>
      <c r="D133">
        <v>3.8784002546919494E-2</v>
      </c>
      <c r="E133">
        <v>-9.2869563856142756E-3</v>
      </c>
      <c r="F133">
        <v>4.6658813761185858E-2</v>
      </c>
      <c r="G133">
        <v>2.7580461841599568E-2</v>
      </c>
      <c r="H133">
        <v>-6.7213730679335892E-2</v>
      </c>
      <c r="I133">
        <v>0.25275159409797476</v>
      </c>
      <c r="J133">
        <v>1.8231155857764803E-2</v>
      </c>
    </row>
    <row r="134" spans="1:10">
      <c r="A134" s="568">
        <v>44025</v>
      </c>
      <c r="B134">
        <v>1.2472128814788208E-2</v>
      </c>
      <c r="C134">
        <v>7.4385049094486622E-2</v>
      </c>
      <c r="D134">
        <v>3.9388645091912533E-2</v>
      </c>
      <c r="E134">
        <v>-7.3484232785735459E-3</v>
      </c>
      <c r="F134">
        <v>4.4642819769122877E-2</v>
      </c>
      <c r="G134">
        <v>2.8207258088746023E-2</v>
      </c>
      <c r="H134">
        <v>-7.8219713563458915E-2</v>
      </c>
      <c r="I134">
        <v>0.25531969242258334</v>
      </c>
      <c r="J134">
        <v>1.8317111671686037E-2</v>
      </c>
    </row>
    <row r="135" spans="1:10">
      <c r="A135" s="568">
        <v>44026</v>
      </c>
      <c r="B135">
        <v>1.2685441909964013E-2</v>
      </c>
      <c r="C135">
        <v>7.496918861126356E-2</v>
      </c>
      <c r="D135">
        <v>3.9967191201702335E-2</v>
      </c>
      <c r="E135">
        <v>-7.8480586621514359E-3</v>
      </c>
      <c r="F135">
        <v>4.6555196863684367E-2</v>
      </c>
      <c r="G135">
        <v>2.8525907684392449E-2</v>
      </c>
      <c r="H135">
        <v>-6.7663525189322948E-2</v>
      </c>
      <c r="I135">
        <v>0.24907939774450205</v>
      </c>
      <c r="J135">
        <v>1.840307474172187E-2</v>
      </c>
    </row>
    <row r="136" spans="1:10">
      <c r="A136" s="568">
        <v>44027</v>
      </c>
      <c r="B136">
        <v>1.2850363509005147E-2</v>
      </c>
      <c r="C136">
        <v>7.555364572271972E-2</v>
      </c>
      <c r="D136">
        <v>4.0196085647094648E-2</v>
      </c>
      <c r="E136">
        <v>-5.6531852081838085E-3</v>
      </c>
      <c r="F136">
        <v>4.8796878978111691E-2</v>
      </c>
      <c r="G136">
        <v>2.9806624662795045E-2</v>
      </c>
      <c r="H136">
        <v>-5.9367723357932389E-2</v>
      </c>
      <c r="I136">
        <v>0.26367673011269765</v>
      </c>
      <c r="J136">
        <v>1.8489045068484922E-2</v>
      </c>
    </row>
    <row r="137" spans="1:10">
      <c r="A137" s="568">
        <v>44028</v>
      </c>
      <c r="B137">
        <v>1.3062063174398064E-2</v>
      </c>
      <c r="C137">
        <v>7.613842060153031E-2</v>
      </c>
      <c r="D137">
        <v>4.0419278965214467E-2</v>
      </c>
      <c r="E137">
        <v>-4.7250113820335171E-3</v>
      </c>
      <c r="F137">
        <v>4.5810624964550684E-2</v>
      </c>
      <c r="G137">
        <v>2.8934998909046605E-2</v>
      </c>
      <c r="H137">
        <v>-6.7343116074760512E-2</v>
      </c>
      <c r="I137">
        <v>0.23304892152890777</v>
      </c>
      <c r="J137">
        <v>1.8575022652587592E-2</v>
      </c>
    </row>
    <row r="138" spans="1:10">
      <c r="A138" s="568">
        <v>44029</v>
      </c>
      <c r="B138">
        <v>1.3128995338499871E-2</v>
      </c>
      <c r="C138">
        <v>7.672351342046424E-2</v>
      </c>
      <c r="D138">
        <v>4.1123026025813525E-2</v>
      </c>
      <c r="E138">
        <v>-3.6429028946241004E-3</v>
      </c>
      <c r="F138">
        <v>5.0118054604947337E-2</v>
      </c>
      <c r="G138">
        <v>3.0941598981593543E-2</v>
      </c>
      <c r="H138">
        <v>-4.8060038958034013E-2</v>
      </c>
      <c r="I138">
        <v>0.24971000113133557</v>
      </c>
      <c r="J138">
        <v>1.8661007494642723E-2</v>
      </c>
    </row>
    <row r="139" spans="1:10">
      <c r="A139" s="568">
        <v>44032</v>
      </c>
      <c r="B139">
        <v>1.3337337282308681E-2</v>
      </c>
      <c r="C139">
        <v>7.7308924352384567E-2</v>
      </c>
      <c r="D139">
        <v>4.1494026394741423E-2</v>
      </c>
      <c r="E139">
        <v>-1.7298081426220246E-3</v>
      </c>
      <c r="F139">
        <v>5.2521503348355925E-2</v>
      </c>
      <c r="G139">
        <v>3.2767206478142796E-2</v>
      </c>
      <c r="H139">
        <v>-3.2674671990090109E-2</v>
      </c>
      <c r="I139">
        <v>0.25873980711642353</v>
      </c>
      <c r="J139">
        <v>1.8746999595262936E-2</v>
      </c>
    </row>
    <row r="140" spans="1:10">
      <c r="A140" s="568">
        <v>44033</v>
      </c>
      <c r="B140">
        <v>1.3577628302359868E-2</v>
      </c>
      <c r="C140">
        <v>7.7894653570248273E-2</v>
      </c>
      <c r="D140">
        <v>4.22895937412473E-2</v>
      </c>
      <c r="E140">
        <v>6.7118121370923767E-4</v>
      </c>
      <c r="F140">
        <v>5.2997174117674239E-2</v>
      </c>
      <c r="G140">
        <v>3.2073101283483618E-2</v>
      </c>
      <c r="H140">
        <v>-3.7228356600348178E-2</v>
      </c>
      <c r="I140">
        <v>0.25020011799589859</v>
      </c>
      <c r="J140">
        <v>1.8832998955060853E-2</v>
      </c>
    </row>
    <row r="141" spans="1:10">
      <c r="A141" s="568">
        <v>44034</v>
      </c>
      <c r="B141">
        <v>1.3778366274039611E-2</v>
      </c>
      <c r="C141">
        <v>7.8480701247106488E-2</v>
      </c>
      <c r="D141">
        <v>4.3277239130602885E-2</v>
      </c>
      <c r="E141">
        <v>2.4564319250048872E-3</v>
      </c>
      <c r="F141">
        <v>5.4048637021208545E-2</v>
      </c>
      <c r="G141">
        <v>3.3234080191419491E-2</v>
      </c>
      <c r="H141">
        <v>-3.6915255194564178E-2</v>
      </c>
      <c r="I141">
        <v>0.22957394947214027</v>
      </c>
      <c r="J141">
        <v>1.8919005574649317E-2</v>
      </c>
    </row>
    <row r="142" spans="1:10">
      <c r="A142" s="568">
        <v>44035</v>
      </c>
      <c r="B142">
        <v>1.4021589393221623E-2</v>
      </c>
      <c r="C142">
        <v>7.9067067556104043E-2</v>
      </c>
      <c r="D142">
        <v>4.3487388292552831E-2</v>
      </c>
      <c r="E142">
        <v>3.0519503391126523E-3</v>
      </c>
      <c r="F142">
        <v>5.1248697491441009E-2</v>
      </c>
      <c r="G142">
        <v>3.1581782383614865E-2</v>
      </c>
      <c r="H142">
        <v>-5.343262082692346E-2</v>
      </c>
      <c r="I142">
        <v>0.24156141731873926</v>
      </c>
      <c r="J142">
        <v>1.900501945464117E-2</v>
      </c>
    </row>
    <row r="143" spans="1:10">
      <c r="A143" s="568">
        <v>44036</v>
      </c>
      <c r="B143">
        <v>1.4295303687993144E-2</v>
      </c>
      <c r="C143">
        <v>7.9653752670480138E-2</v>
      </c>
      <c r="D143">
        <v>4.3615448824185332E-2</v>
      </c>
      <c r="E143">
        <v>2.0155004376698482E-3</v>
      </c>
      <c r="F143">
        <v>5.0876255924370506E-2</v>
      </c>
      <c r="G143">
        <v>3.1384153506933243E-2</v>
      </c>
      <c r="H143">
        <v>-5.4083682781790987E-2</v>
      </c>
      <c r="I143">
        <v>0.22296708721632519</v>
      </c>
      <c r="J143">
        <v>1.9091040595649478E-2</v>
      </c>
    </row>
    <row r="144" spans="1:10">
      <c r="A144" s="568">
        <v>44039</v>
      </c>
      <c r="B144">
        <v>1.4544498368558534E-2</v>
      </c>
      <c r="C144">
        <v>8.0240756763568344E-2</v>
      </c>
      <c r="D144">
        <v>4.4685221126434804E-2</v>
      </c>
      <c r="E144">
        <v>2.5751442485180132E-3</v>
      </c>
      <c r="F144">
        <v>5.5343122374199138E-2</v>
      </c>
      <c r="G144">
        <v>3.2863030573032637E-2</v>
      </c>
      <c r="H144">
        <v>-4.1817861123188305E-2</v>
      </c>
      <c r="I144">
        <v>0.22155328045963119</v>
      </c>
      <c r="J144">
        <v>1.9177068998287083E-2</v>
      </c>
    </row>
    <row r="145" spans="1:10">
      <c r="A145" s="568">
        <v>44040</v>
      </c>
      <c r="B145">
        <v>1.4855165675223603E-2</v>
      </c>
      <c r="C145">
        <v>8.0828080008796377E-2</v>
      </c>
      <c r="D145">
        <v>4.4932870427570659E-2</v>
      </c>
      <c r="E145">
        <v>2.8151779575997793E-3</v>
      </c>
      <c r="F145">
        <v>5.5637624062375268E-2</v>
      </c>
      <c r="G145">
        <v>3.2879724535463284E-2</v>
      </c>
      <c r="H145">
        <v>-4.4576907026213197E-2</v>
      </c>
      <c r="I145">
        <v>0.2211258845084092</v>
      </c>
      <c r="J145">
        <v>1.9263104663167052E-2</v>
      </c>
    </row>
    <row r="146" spans="1:10">
      <c r="A146" s="568">
        <v>44041</v>
      </c>
      <c r="B146">
        <v>1.5072057166983122E-2</v>
      </c>
      <c r="C146">
        <v>8.1415722579685879E-2</v>
      </c>
      <c r="D146">
        <v>4.5032153715423684E-2</v>
      </c>
      <c r="E146">
        <v>4.5149818865863889E-3</v>
      </c>
      <c r="F146">
        <v>5.8459535401984564E-2</v>
      </c>
      <c r="G146">
        <v>3.2825613109342289E-2</v>
      </c>
      <c r="H146">
        <v>-3.3096344213933371E-2</v>
      </c>
      <c r="I146">
        <v>0.23826611596799885</v>
      </c>
      <c r="J146">
        <v>1.9349147590902227E-2</v>
      </c>
    </row>
    <row r="147" spans="1:10">
      <c r="A147" s="568">
        <v>44042</v>
      </c>
      <c r="B147">
        <v>1.5342918341697098E-2</v>
      </c>
      <c r="C147">
        <v>8.2003684649853303E-2</v>
      </c>
      <c r="D147">
        <v>4.6173978932829707E-2</v>
      </c>
      <c r="E147">
        <v>4.0597005579474654E-3</v>
      </c>
      <c r="F147">
        <v>5.9091642111714693E-2</v>
      </c>
      <c r="G147">
        <v>3.3317556429079964E-2</v>
      </c>
      <c r="H147">
        <v>-3.6037334372615359E-2</v>
      </c>
      <c r="I147">
        <v>0.23055003104330374</v>
      </c>
      <c r="J147">
        <v>1.9435197782105895E-2</v>
      </c>
    </row>
    <row r="148" spans="1:10">
      <c r="A148" s="568">
        <v>44043</v>
      </c>
      <c r="B148">
        <v>1.5619425013718491E-2</v>
      </c>
      <c r="C148">
        <v>8.2591966393009475E-2</v>
      </c>
      <c r="D148">
        <v>4.7062930056045005E-2</v>
      </c>
      <c r="E148">
        <v>4.1288407024111518E-3</v>
      </c>
      <c r="F148">
        <v>5.6764395106553733E-2</v>
      </c>
      <c r="G148">
        <v>3.2738362153425626E-2</v>
      </c>
      <c r="H148">
        <v>-4.6907132129135887E-2</v>
      </c>
      <c r="I148">
        <v>0.24196897020104524</v>
      </c>
      <c r="J148">
        <v>1.9521255237391122E-2</v>
      </c>
    </row>
    <row r="149" spans="1:10">
      <c r="A149" s="568">
        <v>44046</v>
      </c>
      <c r="B149">
        <v>1.5919323505639849E-2</v>
      </c>
      <c r="C149">
        <v>8.3180567982959364E-2</v>
      </c>
      <c r="D149">
        <v>4.7531050826632226E-2</v>
      </c>
      <c r="E149">
        <v>4.550204224331944E-3</v>
      </c>
      <c r="F149">
        <v>5.7104215355131549E-2</v>
      </c>
      <c r="G149">
        <v>3.3586545506645527E-2</v>
      </c>
      <c r="H149">
        <v>-4.5267046046310933E-2</v>
      </c>
      <c r="I149">
        <v>0.26963085071679771</v>
      </c>
      <c r="J149">
        <v>1.9607319957371194E-2</v>
      </c>
    </row>
    <row r="150" spans="1:10">
      <c r="A150" s="568">
        <v>44047</v>
      </c>
      <c r="B150">
        <v>1.614023654319241E-2</v>
      </c>
      <c r="C150">
        <v>8.3769489593602531E-2</v>
      </c>
      <c r="D150">
        <v>4.8129317509429503E-2</v>
      </c>
      <c r="E150">
        <v>5.9891019477946728E-3</v>
      </c>
      <c r="F150">
        <v>5.6881270237152393E-2</v>
      </c>
      <c r="G150">
        <v>3.2932052943494439E-2</v>
      </c>
      <c r="H150">
        <v>-5.5913474425252296E-2</v>
      </c>
      <c r="I150">
        <v>0.27468480976772991</v>
      </c>
      <c r="J150">
        <v>1.96933919426594E-2</v>
      </c>
    </row>
    <row r="151" spans="1:10">
      <c r="A151" s="568">
        <v>44048</v>
      </c>
      <c r="B151">
        <v>1.6403932784670561E-2</v>
      </c>
      <c r="C151">
        <v>8.4358731398933129E-2</v>
      </c>
      <c r="D151">
        <v>4.8286308571929615E-2</v>
      </c>
      <c r="E151">
        <v>7.3823410852908999E-3</v>
      </c>
      <c r="F151">
        <v>6.1893583185808509E-2</v>
      </c>
      <c r="G151">
        <v>3.4099422003203372E-2</v>
      </c>
      <c r="H151">
        <v>-4.5529694581184832E-2</v>
      </c>
      <c r="I151">
        <v>0.28763103188623251</v>
      </c>
      <c r="J151">
        <v>1.9779471193869025E-2</v>
      </c>
    </row>
    <row r="152" spans="1:10">
      <c r="A152" s="568">
        <v>44049</v>
      </c>
      <c r="B152">
        <v>1.6686239609476905E-2</v>
      </c>
      <c r="C152">
        <v>8.4948293573040123E-2</v>
      </c>
      <c r="D152">
        <v>5.025717429634935E-2</v>
      </c>
      <c r="E152">
        <v>8.1272283020610292E-3</v>
      </c>
      <c r="F152">
        <v>6.4132251067806845E-2</v>
      </c>
      <c r="G152">
        <v>3.5136940143349449E-2</v>
      </c>
      <c r="H152">
        <v>-3.3712019790559933E-2</v>
      </c>
      <c r="I152">
        <v>0.29824355964034255</v>
      </c>
      <c r="J152">
        <v>1.9855640858158052E-2</v>
      </c>
    </row>
    <row r="153" spans="1:10">
      <c r="A153" s="568">
        <v>44050</v>
      </c>
      <c r="B153">
        <v>1.6892400720160516E-2</v>
      </c>
      <c r="C153">
        <v>8.5538176290106849E-2</v>
      </c>
      <c r="D153">
        <v>5.0328207623736132E-2</v>
      </c>
      <c r="E153">
        <v>8.5981640030312612E-3</v>
      </c>
      <c r="F153">
        <v>6.1699137544861005E-2</v>
      </c>
      <c r="G153">
        <v>3.377758054440938E-2</v>
      </c>
      <c r="H153">
        <v>-4.3469010645944994E-2</v>
      </c>
      <c r="I153">
        <v>0.30267087923458091</v>
      </c>
      <c r="J153">
        <v>1.9931816211733899E-2</v>
      </c>
    </row>
    <row r="154" spans="1:10">
      <c r="A154" s="568">
        <v>44053</v>
      </c>
      <c r="B154">
        <v>1.7128338748379157E-2</v>
      </c>
      <c r="C154">
        <v>8.612837972441123E-2</v>
      </c>
      <c r="D154">
        <v>5.0529594611496531E-2</v>
      </c>
      <c r="E154">
        <v>8.7840596744668265E-3</v>
      </c>
      <c r="F154">
        <v>6.1476877725415324E-2</v>
      </c>
      <c r="G154">
        <v>3.4883491967949487E-2</v>
      </c>
      <c r="H154">
        <v>-4.1004913136433951E-2</v>
      </c>
      <c r="I154">
        <v>0.30171268909501192</v>
      </c>
      <c r="J154">
        <v>2.0007997255021337E-2</v>
      </c>
    </row>
    <row r="155" spans="1:10">
      <c r="A155" s="568">
        <v>44054</v>
      </c>
      <c r="B155">
        <v>1.7336245277709272E-2</v>
      </c>
      <c r="C155">
        <v>8.6718904050326451E-2</v>
      </c>
      <c r="D155">
        <v>5.0717349051926819E-2</v>
      </c>
      <c r="E155">
        <v>1.0474079620746313E-2</v>
      </c>
      <c r="F155">
        <v>5.7086275979128409E-2</v>
      </c>
      <c r="G155">
        <v>3.4518438665368967E-2</v>
      </c>
      <c r="H155">
        <v>-5.0112467472326006E-2</v>
      </c>
      <c r="I155">
        <v>0.28958621756312941</v>
      </c>
      <c r="J155">
        <v>2.0084183988445359E-2</v>
      </c>
    </row>
    <row r="156" spans="1:10">
      <c r="A156" s="568">
        <v>44055</v>
      </c>
      <c r="B156">
        <v>1.7470832093565258E-2</v>
      </c>
      <c r="C156">
        <v>8.7309749442320062E-2</v>
      </c>
      <c r="D156">
        <v>5.0142399235435064E-2</v>
      </c>
      <c r="E156">
        <v>9.9581375993231802E-3</v>
      </c>
      <c r="F156">
        <v>5.9414052839442677E-2</v>
      </c>
      <c r="G156">
        <v>3.435210405678446E-2</v>
      </c>
      <c r="H156">
        <v>-5.2143137669994455E-2</v>
      </c>
      <c r="I156">
        <v>0.30832654654361735</v>
      </c>
      <c r="J156">
        <v>2.0160376412430958E-2</v>
      </c>
    </row>
    <row r="157" spans="1:10">
      <c r="A157" s="568">
        <v>44056</v>
      </c>
      <c r="B157">
        <v>1.761167047825718E-2</v>
      </c>
      <c r="C157">
        <v>8.7900916074954649E-2</v>
      </c>
      <c r="D157">
        <v>5.0465445865702119E-2</v>
      </c>
      <c r="E157">
        <v>9.716147093699945E-3</v>
      </c>
      <c r="F157">
        <v>5.8552830353556296E-2</v>
      </c>
      <c r="G157">
        <v>3.4520348709170978E-2</v>
      </c>
      <c r="H157">
        <v>-6.0850809302921971E-2</v>
      </c>
      <c r="I157">
        <v>0.29713725426338877</v>
      </c>
      <c r="J157">
        <v>2.0236574527403128E-2</v>
      </c>
    </row>
    <row r="158" spans="1:10">
      <c r="A158" s="568">
        <v>44057</v>
      </c>
      <c r="B158">
        <v>1.7769325717622575E-2</v>
      </c>
      <c r="C158">
        <v>8.8492404122887613E-2</v>
      </c>
      <c r="D158">
        <v>5.0833434812850298E-2</v>
      </c>
      <c r="E158">
        <v>9.3052198200003211E-3</v>
      </c>
      <c r="F158">
        <v>6.0626270500154122E-2</v>
      </c>
      <c r="G158">
        <v>3.3366983119395233E-2</v>
      </c>
      <c r="H158">
        <v>-5.5232809511043257E-2</v>
      </c>
      <c r="I158">
        <v>0.30481923500187569</v>
      </c>
      <c r="J158">
        <v>2.0312778333787085E-2</v>
      </c>
    </row>
    <row r="159" spans="1:10">
      <c r="A159" s="568">
        <v>44060</v>
      </c>
      <c r="B159">
        <v>1.7976078032054144E-2</v>
      </c>
      <c r="C159">
        <v>8.9084213760871167E-2</v>
      </c>
      <c r="D159">
        <v>5.0641237780174153E-2</v>
      </c>
      <c r="E159">
        <v>9.1649827345312573E-3</v>
      </c>
      <c r="F159">
        <v>6.0206907364335871E-2</v>
      </c>
      <c r="G159">
        <v>3.3569352805632668E-2</v>
      </c>
      <c r="H159">
        <v>-6.7127897271926473E-2</v>
      </c>
      <c r="I159">
        <v>0.32517820266948005</v>
      </c>
      <c r="J159">
        <v>2.0388987832007821E-2</v>
      </c>
    </row>
    <row r="160" spans="1:10">
      <c r="A160" s="568">
        <v>44061</v>
      </c>
      <c r="B160">
        <v>1.8349026015019421E-2</v>
      </c>
      <c r="C160">
        <v>8.9676345163753002E-2</v>
      </c>
      <c r="D160">
        <v>5.2264072850749299E-2</v>
      </c>
      <c r="E160">
        <v>9.4943768190050015E-3</v>
      </c>
      <c r="F160">
        <v>6.5027943998076321E-2</v>
      </c>
      <c r="G160">
        <v>3.5846920299406948E-2</v>
      </c>
      <c r="H160">
        <v>-4.8198997223312445E-2</v>
      </c>
      <c r="I160">
        <v>0.32624999342935213</v>
      </c>
      <c r="J160">
        <v>2.0465203022490552E-2</v>
      </c>
    </row>
    <row r="161" spans="1:10">
      <c r="A161" s="568">
        <v>44062</v>
      </c>
      <c r="B161">
        <v>1.8499284183038034E-2</v>
      </c>
      <c r="C161">
        <v>9.0268798506475623E-2</v>
      </c>
      <c r="D161">
        <v>5.1989961895922088E-2</v>
      </c>
      <c r="E161">
        <v>1.0406896272823873E-2</v>
      </c>
      <c r="F161">
        <v>6.0237138040875049E-2</v>
      </c>
      <c r="G161">
        <v>3.5713913905743633E-2</v>
      </c>
      <c r="H161">
        <v>-5.5908289495658292E-2</v>
      </c>
      <c r="I161">
        <v>0.33072449946114135</v>
      </c>
      <c r="J161">
        <v>2.0541423905660494E-2</v>
      </c>
    </row>
    <row r="162" spans="1:10">
      <c r="A162" s="568">
        <v>44063</v>
      </c>
      <c r="B162">
        <v>1.8706370361122104E-2</v>
      </c>
      <c r="C162">
        <v>9.086157396407657E-2</v>
      </c>
      <c r="D162">
        <v>5.2567736867742854E-2</v>
      </c>
      <c r="E162">
        <v>9.9985780611793196E-3</v>
      </c>
      <c r="F162">
        <v>6.0023453407619831E-2</v>
      </c>
      <c r="G162">
        <v>3.5495512916684291E-2</v>
      </c>
      <c r="H162">
        <v>-5.1048884086625113E-2</v>
      </c>
      <c r="I162">
        <v>0.32749140864937543</v>
      </c>
      <c r="J162">
        <v>2.061765048194264E-2</v>
      </c>
    </row>
    <row r="163" spans="1:10">
      <c r="A163" s="568">
        <v>44064</v>
      </c>
      <c r="B163">
        <v>1.8916360984375657E-2</v>
      </c>
      <c r="C163">
        <v>9.1454671711688418E-2</v>
      </c>
      <c r="D163">
        <v>5.2911315940957993E-2</v>
      </c>
      <c r="E163">
        <v>1.0682804585165018E-2</v>
      </c>
      <c r="F163">
        <v>5.9593431146383269E-2</v>
      </c>
      <c r="G163">
        <v>3.5676282566181383E-2</v>
      </c>
      <c r="H163">
        <v>-4.9924636919039811E-2</v>
      </c>
      <c r="I163">
        <v>0.35129895737273964</v>
      </c>
      <c r="J163">
        <v>2.0693882751762427E-2</v>
      </c>
    </row>
    <row r="164" spans="1:10">
      <c r="A164" s="568">
        <v>44067</v>
      </c>
      <c r="B164">
        <v>1.9117392763067231E-2</v>
      </c>
      <c r="C164">
        <v>9.2048091924539444E-2</v>
      </c>
      <c r="D164">
        <v>5.325074492116455E-2</v>
      </c>
      <c r="E164">
        <v>1.168077082129293E-2</v>
      </c>
      <c r="F164">
        <v>6.0156213283651061E-2</v>
      </c>
      <c r="G164">
        <v>3.6664170454449696E-2</v>
      </c>
      <c r="H164">
        <v>-4.3304221713683977E-2</v>
      </c>
      <c r="I164">
        <v>0.36315817816446505</v>
      </c>
      <c r="J164">
        <v>2.0770120715545071E-2</v>
      </c>
    </row>
    <row r="165" spans="1:10">
      <c r="A165" s="568">
        <v>44068</v>
      </c>
      <c r="B165">
        <v>1.9363930097201498E-2</v>
      </c>
      <c r="C165">
        <v>9.2641834777952736E-2</v>
      </c>
      <c r="D165">
        <v>5.3948372412234713E-2</v>
      </c>
      <c r="E165">
        <v>1.2434137489742536E-2</v>
      </c>
      <c r="F165">
        <v>6.0648390139364405E-2</v>
      </c>
      <c r="G165">
        <v>3.6332173387747746E-2</v>
      </c>
      <c r="H165">
        <v>-4.2433833607724458E-2</v>
      </c>
      <c r="I165">
        <v>0.35721352075917379</v>
      </c>
      <c r="J165">
        <v>2.0846364373715787E-2</v>
      </c>
    </row>
    <row r="166" spans="1:10">
      <c r="A166" s="568">
        <v>44069</v>
      </c>
      <c r="B166">
        <v>1.9572266909845704E-2</v>
      </c>
      <c r="C166">
        <v>9.3235900447346864E-2</v>
      </c>
      <c r="D166">
        <v>5.3495919627205124E-2</v>
      </c>
      <c r="E166">
        <v>1.235847469014062E-2</v>
      </c>
      <c r="F166">
        <v>6.0890530971038581E-2</v>
      </c>
      <c r="G166">
        <v>3.612423064268544E-2</v>
      </c>
      <c r="H166">
        <v>-5.0726349306500773E-2</v>
      </c>
      <c r="I166">
        <v>0.38245572849132192</v>
      </c>
      <c r="J166">
        <v>2.0922613726700012E-2</v>
      </c>
    </row>
    <row r="167" spans="1:10">
      <c r="A167" s="568">
        <v>44070</v>
      </c>
      <c r="B167">
        <v>1.9748888542580278E-2</v>
      </c>
      <c r="C167">
        <v>9.3830289108235876E-2</v>
      </c>
      <c r="D167">
        <v>5.3642867036250319E-2</v>
      </c>
      <c r="E167">
        <v>1.2897898270060715E-2</v>
      </c>
      <c r="F167">
        <v>6.0349969067457154E-2</v>
      </c>
      <c r="G167">
        <v>3.5581358127513951E-2</v>
      </c>
      <c r="H167">
        <v>-5.1160116526190902E-2</v>
      </c>
      <c r="I167">
        <v>0.37512411190637129</v>
      </c>
      <c r="J167">
        <v>2.0998868774922963E-2</v>
      </c>
    </row>
    <row r="168" spans="1:10">
      <c r="A168" s="568">
        <v>44071</v>
      </c>
      <c r="B168">
        <v>1.9913283608612664E-2</v>
      </c>
      <c r="C168">
        <v>9.4425000936229075E-2</v>
      </c>
      <c r="D168">
        <v>5.4998848357691754E-2</v>
      </c>
      <c r="E168">
        <v>1.5681767482998099E-2</v>
      </c>
      <c r="F168">
        <v>6.386248842997011E-2</v>
      </c>
      <c r="G168">
        <v>3.6842475217040205E-2</v>
      </c>
      <c r="H168">
        <v>-4.122848030047932E-2</v>
      </c>
      <c r="I168">
        <v>0.35538703722024256</v>
      </c>
      <c r="J168">
        <v>2.1075129518810076E-2</v>
      </c>
    </row>
    <row r="169" spans="1:10">
      <c r="A169" s="568">
        <v>44074</v>
      </c>
      <c r="B169">
        <v>2.0024291557598106E-2</v>
      </c>
      <c r="C169">
        <v>9.5020036107031469E-2</v>
      </c>
      <c r="D169">
        <v>5.5139300076255005E-2</v>
      </c>
      <c r="E169">
        <v>1.6405782203326336E-2</v>
      </c>
      <c r="F169">
        <v>6.229740140174056E-2</v>
      </c>
      <c r="G169">
        <v>3.5351404222311755E-2</v>
      </c>
      <c r="H169">
        <v>-5.8887042812663881E-2</v>
      </c>
      <c r="I169">
        <v>0.35578664589401687</v>
      </c>
      <c r="J169">
        <v>2.1151395958786789E-2</v>
      </c>
    </row>
    <row r="170" spans="1:10">
      <c r="A170" s="568">
        <v>44075</v>
      </c>
      <c r="B170">
        <v>2.0186232741808086E-2</v>
      </c>
      <c r="C170">
        <v>9.561539479644332E-2</v>
      </c>
      <c r="D170">
        <v>5.6110359099897256E-2</v>
      </c>
      <c r="E170">
        <v>1.8500206768167216E-2</v>
      </c>
      <c r="F170">
        <v>6.4019406147026281E-2</v>
      </c>
      <c r="G170">
        <v>3.6098935717661318E-2</v>
      </c>
      <c r="H170">
        <v>-3.8957415639217285E-2</v>
      </c>
      <c r="I170">
        <v>0.35593213185564099</v>
      </c>
      <c r="J170">
        <v>2.1227668095278762E-2</v>
      </c>
    </row>
    <row r="171" spans="1:10">
      <c r="A171" s="568">
        <v>44076</v>
      </c>
      <c r="B171">
        <v>2.0299723418215398E-2</v>
      </c>
      <c r="C171">
        <v>9.6211077180360594E-2</v>
      </c>
      <c r="D171">
        <v>5.6617130852598896E-2</v>
      </c>
      <c r="E171">
        <v>1.9380112946295824E-2</v>
      </c>
      <c r="F171">
        <v>6.3090459621475858E-2</v>
      </c>
      <c r="G171">
        <v>3.6959829984328119E-2</v>
      </c>
      <c r="H171">
        <v>-3.8912158999822255E-2</v>
      </c>
      <c r="I171">
        <v>0.36284092645153176</v>
      </c>
      <c r="J171">
        <v>2.130394592871121E-2</v>
      </c>
    </row>
    <row r="172" spans="1:10">
      <c r="A172" s="568">
        <v>44077</v>
      </c>
      <c r="B172">
        <v>2.0477832038152677E-2</v>
      </c>
      <c r="C172">
        <v>9.6807083434774954E-2</v>
      </c>
      <c r="D172">
        <v>5.8066370680129653E-2</v>
      </c>
      <c r="E172">
        <v>1.8568694647117301E-2</v>
      </c>
      <c r="F172">
        <v>5.8187563068471171E-2</v>
      </c>
      <c r="G172">
        <v>3.4595804804217423E-2</v>
      </c>
      <c r="H172">
        <v>-5.3354129837770103E-2</v>
      </c>
      <c r="I172">
        <v>0.31920252995313492</v>
      </c>
      <c r="J172">
        <v>2.1380229459509792E-2</v>
      </c>
    </row>
    <row r="173" spans="1:10">
      <c r="A173" s="568">
        <v>44078</v>
      </c>
      <c r="B173">
        <v>2.0677558697138165E-2</v>
      </c>
      <c r="C173">
        <v>9.7403413735773769E-2</v>
      </c>
      <c r="D173">
        <v>5.9102143777894245E-2</v>
      </c>
      <c r="E173">
        <v>1.7523765293995242E-2</v>
      </c>
      <c r="F173">
        <v>5.9854173975140368E-2</v>
      </c>
      <c r="G173">
        <v>3.502984502673856E-2</v>
      </c>
      <c r="H173">
        <v>-5.2466427043495356E-2</v>
      </c>
      <c r="I173">
        <v>0.30676401189328373</v>
      </c>
      <c r="J173">
        <v>2.1456518688099946E-2</v>
      </c>
    </row>
    <row r="174" spans="1:10">
      <c r="A174" s="568">
        <v>44082</v>
      </c>
      <c r="B174">
        <v>2.0784490255674637E-2</v>
      </c>
      <c r="C174">
        <v>9.8000068259539885E-2</v>
      </c>
      <c r="D174">
        <v>5.8823671974642888E-2</v>
      </c>
      <c r="E174">
        <v>1.5521962432115011E-2</v>
      </c>
      <c r="F174">
        <v>5.5399052767937107E-2</v>
      </c>
      <c r="G174">
        <v>3.4338971996563439E-2</v>
      </c>
      <c r="H174">
        <v>-6.3676595370259714E-2</v>
      </c>
      <c r="I174">
        <v>0.285879854866262</v>
      </c>
      <c r="J174">
        <v>2.1532813614907331E-2</v>
      </c>
    </row>
    <row r="175" spans="1:10">
      <c r="A175" s="568">
        <v>44083</v>
      </c>
      <c r="B175">
        <v>2.0963656223841998E-2</v>
      </c>
      <c r="C175">
        <v>9.8597047182352293E-2</v>
      </c>
      <c r="D175">
        <v>5.9590120613872477E-2</v>
      </c>
      <c r="E175">
        <v>1.6951076172870838E-2</v>
      </c>
      <c r="F175">
        <v>5.8309923338709435E-2</v>
      </c>
      <c r="G175">
        <v>3.5535092543897084E-2</v>
      </c>
      <c r="H175">
        <v>-5.4297214481938805E-2</v>
      </c>
      <c r="I175">
        <v>0.28986510732723003</v>
      </c>
      <c r="J175">
        <v>2.1609114240357608E-2</v>
      </c>
    </row>
    <row r="176" spans="1:10">
      <c r="A176" s="568">
        <v>44084</v>
      </c>
      <c r="B176">
        <v>2.1049315529265478E-2</v>
      </c>
      <c r="C176">
        <v>9.9194350680585464E-2</v>
      </c>
      <c r="D176">
        <v>5.9485944233829358E-2</v>
      </c>
      <c r="E176">
        <v>1.8118631442589184E-2</v>
      </c>
      <c r="F176">
        <v>5.5399124941530209E-2</v>
      </c>
      <c r="G176">
        <v>3.3760862002390146E-2</v>
      </c>
      <c r="H176">
        <v>-7.3626046445977256E-2</v>
      </c>
      <c r="I176">
        <v>0.27984127652441115</v>
      </c>
      <c r="J176">
        <v>2.1685420564876212E-2</v>
      </c>
    </row>
    <row r="177" spans="1:10">
      <c r="A177" s="568">
        <v>44085</v>
      </c>
      <c r="B177">
        <v>2.1175408348072189E-2</v>
      </c>
      <c r="C177">
        <v>9.9791978930710012E-2</v>
      </c>
      <c r="D177">
        <v>6.0124524051923922E-2</v>
      </c>
      <c r="E177">
        <v>1.7754015020369884E-2</v>
      </c>
      <c r="F177">
        <v>5.6356748085613084E-2</v>
      </c>
      <c r="G177">
        <v>3.4154208738683911E-2</v>
      </c>
      <c r="H177">
        <v>-7.6363504772753887E-2</v>
      </c>
      <c r="I177">
        <v>0.28632298169996728</v>
      </c>
      <c r="J177">
        <v>2.1761732588889027E-2</v>
      </c>
    </row>
    <row r="178" spans="1:10">
      <c r="A178" s="568">
        <v>44088</v>
      </c>
      <c r="B178">
        <v>2.13054096448555E-2</v>
      </c>
      <c r="C178">
        <v>0.1003899321092927</v>
      </c>
      <c r="D178">
        <v>6.1022166568392322E-2</v>
      </c>
      <c r="E178">
        <v>1.8558910664410178E-2</v>
      </c>
      <c r="F178">
        <v>5.9795013372862416E-2</v>
      </c>
      <c r="G178">
        <v>3.5458341061309184E-2</v>
      </c>
      <c r="H178">
        <v>-6.1785999441041239E-2</v>
      </c>
      <c r="I178">
        <v>0.29597782536147177</v>
      </c>
      <c r="J178">
        <v>2.1838050312821711E-2</v>
      </c>
    </row>
    <row r="179" spans="1:10">
      <c r="A179" s="568">
        <v>44089</v>
      </c>
      <c r="B179">
        <v>2.1386669210993858E-2</v>
      </c>
      <c r="C179">
        <v>0.10098821039299577</v>
      </c>
      <c r="D179">
        <v>6.1140553385766516E-2</v>
      </c>
      <c r="E179">
        <v>1.9535352138582374E-2</v>
      </c>
      <c r="F179">
        <v>6.0674811995401479E-2</v>
      </c>
      <c r="G179">
        <v>3.4670644916620086E-2</v>
      </c>
      <c r="H179">
        <v>-6.1321512301072745E-2</v>
      </c>
      <c r="I179">
        <v>0.30436822873730818</v>
      </c>
      <c r="J179">
        <v>2.1914373737099924E-2</v>
      </c>
    </row>
    <row r="180" spans="1:10">
      <c r="A180" s="568">
        <v>44090</v>
      </c>
      <c r="B180">
        <v>2.1421602778100679E-2</v>
      </c>
      <c r="C180">
        <v>0.10158681395857783</v>
      </c>
      <c r="D180">
        <v>6.0907494669946383E-2</v>
      </c>
      <c r="E180">
        <v>2.0087821028778707E-2</v>
      </c>
      <c r="F180">
        <v>5.9869109287061351E-2</v>
      </c>
      <c r="G180">
        <v>3.4231301146701476E-2</v>
      </c>
      <c r="H180">
        <v>-6.7117804669148518E-2</v>
      </c>
      <c r="I180">
        <v>0.30011060636645182</v>
      </c>
      <c r="J180">
        <v>2.1990702862149547E-2</v>
      </c>
    </row>
    <row r="181" spans="1:10">
      <c r="A181" s="568">
        <v>44091</v>
      </c>
      <c r="B181">
        <v>2.1551675529823955E-2</v>
      </c>
      <c r="C181">
        <v>0.10218574298289362</v>
      </c>
      <c r="D181">
        <v>6.1804405323987455E-2</v>
      </c>
      <c r="E181">
        <v>1.9271836871003645E-2</v>
      </c>
      <c r="F181">
        <v>5.9955270563288865E-2</v>
      </c>
      <c r="G181">
        <v>3.4085978802926631E-2</v>
      </c>
      <c r="H181">
        <v>-6.6150063011667259E-2</v>
      </c>
      <c r="I181">
        <v>0.28928190936734044</v>
      </c>
      <c r="J181">
        <v>2.206703768839624E-2</v>
      </c>
    </row>
    <row r="182" spans="1:10">
      <c r="A182" s="568">
        <v>44092</v>
      </c>
      <c r="B182">
        <v>2.1626939158379432E-2</v>
      </c>
      <c r="C182">
        <v>0.10278499764289384</v>
      </c>
      <c r="D182">
        <v>5.9772007578768216E-2</v>
      </c>
      <c r="E182">
        <v>1.8793726249381582E-2</v>
      </c>
      <c r="F182">
        <v>5.6568154836737827E-2</v>
      </c>
      <c r="G182">
        <v>3.1863531194131101E-2</v>
      </c>
      <c r="H182">
        <v>-7.8516769054761792E-2</v>
      </c>
      <c r="I182">
        <v>0.30719882004362908</v>
      </c>
      <c r="J182">
        <v>2.2143378216266107E-2</v>
      </c>
    </row>
    <row r="183" spans="1:10">
      <c r="A183" s="568">
        <v>44095</v>
      </c>
      <c r="B183">
        <v>2.1649268916149822E-2</v>
      </c>
      <c r="C183">
        <v>0.10338457811562551</v>
      </c>
      <c r="D183">
        <v>5.9045230378058866E-2</v>
      </c>
      <c r="E183">
        <v>1.3783022572299908E-2</v>
      </c>
      <c r="F183">
        <v>5.1950838187499793E-2</v>
      </c>
      <c r="G183">
        <v>3.0189323804072021E-2</v>
      </c>
      <c r="H183">
        <v>-8.8759889259818481E-2</v>
      </c>
      <c r="I183">
        <v>0.29019980401451395</v>
      </c>
      <c r="J183">
        <v>2.2219724446184808E-2</v>
      </c>
    </row>
    <row r="184" spans="1:10">
      <c r="A184" s="568">
        <v>44096</v>
      </c>
      <c r="B184">
        <v>2.1775721515827851E-2</v>
      </c>
      <c r="C184">
        <v>0.10398448457823206</v>
      </c>
      <c r="D184">
        <v>6.0762931862776037E-2</v>
      </c>
      <c r="E184">
        <v>1.3123582137838818E-2</v>
      </c>
      <c r="F184">
        <v>5.3037000823353386E-2</v>
      </c>
      <c r="G184">
        <v>3.0174729536952771E-2</v>
      </c>
      <c r="H184">
        <v>-8.5057441329510985E-2</v>
      </c>
      <c r="I184">
        <v>0.30468586999617409</v>
      </c>
      <c r="J184">
        <v>2.2296076378578222E-2</v>
      </c>
    </row>
    <row r="185" spans="1:10">
      <c r="A185" s="568">
        <v>44097</v>
      </c>
      <c r="B185">
        <v>2.1852616805124292E-2</v>
      </c>
      <c r="C185">
        <v>0.10458471720795282</v>
      </c>
      <c r="D185">
        <v>6.0473720515946239E-2</v>
      </c>
      <c r="E185">
        <v>1.1350072205791761E-2</v>
      </c>
      <c r="F185">
        <v>4.9778364930977759E-2</v>
      </c>
      <c r="G185">
        <v>2.8373260234478614E-2</v>
      </c>
      <c r="H185">
        <v>-9.7167020148366423E-2</v>
      </c>
      <c r="I185">
        <v>0.30872219536742618</v>
      </c>
      <c r="J185">
        <v>2.2372434013872233E-2</v>
      </c>
    </row>
    <row r="186" spans="1:10">
      <c r="A186" s="568">
        <v>44098</v>
      </c>
      <c r="B186">
        <v>2.2000438751141882E-2</v>
      </c>
      <c r="C186">
        <v>0.10518527618212392</v>
      </c>
      <c r="D186">
        <v>6.2297554134304933E-2</v>
      </c>
      <c r="E186">
        <v>8.9001629359248824E-3</v>
      </c>
      <c r="F186">
        <v>5.0777599269490103E-2</v>
      </c>
      <c r="G186">
        <v>2.8332890426181701E-2</v>
      </c>
      <c r="H186">
        <v>-8.9505970254041056E-2</v>
      </c>
      <c r="I186">
        <v>0.28649360125698564</v>
      </c>
      <c r="J186">
        <v>2.2448797352492944E-2</v>
      </c>
    </row>
    <row r="187" spans="1:10">
      <c r="A187" s="568">
        <v>44099</v>
      </c>
      <c r="B187">
        <v>2.2064947275672209E-2</v>
      </c>
      <c r="C187">
        <v>0.10578616167817767</v>
      </c>
      <c r="D187">
        <v>6.2607054130366047E-2</v>
      </c>
      <c r="E187">
        <v>8.5740301790202533E-3</v>
      </c>
      <c r="F187">
        <v>5.0853763293145171E-2</v>
      </c>
      <c r="G187">
        <v>2.8186121825513055E-2</v>
      </c>
      <c r="H187">
        <v>-8.8233220987007033E-2</v>
      </c>
      <c r="I187">
        <v>0.30379047708628004</v>
      </c>
      <c r="J187">
        <v>2.2525166394866458E-2</v>
      </c>
    </row>
    <row r="188" spans="1:10">
      <c r="A188" s="568">
        <v>44102</v>
      </c>
      <c r="B188">
        <v>2.2006644885959492E-2</v>
      </c>
      <c r="C188">
        <v>0.10638737387364294</v>
      </c>
      <c r="D188">
        <v>6.0617135587899496E-2</v>
      </c>
      <c r="E188">
        <v>1.0886311425473583E-2</v>
      </c>
      <c r="F188">
        <v>4.9285445945585149E-2</v>
      </c>
      <c r="G188">
        <v>2.6924943598859219E-2</v>
      </c>
      <c r="H188">
        <v>-0.10470378763004506</v>
      </c>
      <c r="I188">
        <v>0.33380431806971034</v>
      </c>
      <c r="J188">
        <v>2.2601541141418657E-2</v>
      </c>
    </row>
    <row r="189" spans="1:10">
      <c r="A189" s="568">
        <v>44103</v>
      </c>
      <c r="B189">
        <v>2.2043525595905722E-2</v>
      </c>
      <c r="C189">
        <v>0.10698891294614521</v>
      </c>
      <c r="D189">
        <v>6.1062732469269632E-2</v>
      </c>
      <c r="E189">
        <v>1.1373553764288724E-2</v>
      </c>
      <c r="F189">
        <v>4.9107959713461602E-2</v>
      </c>
      <c r="G189">
        <v>2.5665486464234943E-2</v>
      </c>
      <c r="H189">
        <v>-0.1131934279628104</v>
      </c>
      <c r="I189">
        <v>0.34295956897218161</v>
      </c>
      <c r="J189">
        <v>2.2677921592575423E-2</v>
      </c>
    </row>
    <row r="190" spans="1:10">
      <c r="A190" s="568">
        <v>44104</v>
      </c>
      <c r="B190">
        <v>2.2162085843819623E-2</v>
      </c>
      <c r="C190">
        <v>0.10759077907340631</v>
      </c>
      <c r="D190">
        <v>6.2691372650270472E-2</v>
      </c>
      <c r="E190">
        <v>1.3029655903850079E-2</v>
      </c>
      <c r="F190">
        <v>5.0050864674185291E-2</v>
      </c>
      <c r="G190">
        <v>2.5824221010543491E-2</v>
      </c>
      <c r="H190">
        <v>-0.10487555693168804</v>
      </c>
      <c r="I190">
        <v>0.34280614245074958</v>
      </c>
      <c r="J190">
        <v>2.2754307748763081E-2</v>
      </c>
    </row>
    <row r="191" spans="1:10">
      <c r="A191" s="568">
        <v>44105</v>
      </c>
      <c r="B191">
        <v>2.2082986608316979E-2</v>
      </c>
      <c r="C191">
        <v>0.10819297243324488</v>
      </c>
      <c r="D191">
        <v>6.3300027607255949E-2</v>
      </c>
      <c r="E191">
        <v>1.4819472473742268E-2</v>
      </c>
      <c r="F191">
        <v>5.2042041108363302E-2</v>
      </c>
      <c r="G191">
        <v>2.6189299883240924E-2</v>
      </c>
      <c r="H191">
        <v>-9.7344666611134389E-2</v>
      </c>
      <c r="I191">
        <v>0.35306052453529535</v>
      </c>
      <c r="J191">
        <v>2.2830699610407734E-2</v>
      </c>
    </row>
    <row r="192" spans="1:10">
      <c r="A192" s="568">
        <v>44106</v>
      </c>
      <c r="B192">
        <v>2.202725102442904E-2</v>
      </c>
      <c r="C192">
        <v>0.10879549320357595</v>
      </c>
      <c r="D192">
        <v>6.2193423068930942E-2</v>
      </c>
      <c r="E192">
        <v>1.4156118446198462E-2</v>
      </c>
      <c r="F192">
        <v>5.0351046816801581E-2</v>
      </c>
      <c r="G192">
        <v>2.5634858202778776E-2</v>
      </c>
      <c r="H192">
        <v>-0.1092620882258778</v>
      </c>
      <c r="I192">
        <v>0.34697229610188929</v>
      </c>
      <c r="J192">
        <v>2.2907097177935487E-2</v>
      </c>
    </row>
    <row r="193" spans="1:10">
      <c r="A193" s="568">
        <v>44109</v>
      </c>
      <c r="B193">
        <v>2.2037909020474533E-2</v>
      </c>
      <c r="C193">
        <v>0.10939834156241179</v>
      </c>
      <c r="D193">
        <v>6.3900619045599516E-2</v>
      </c>
      <c r="E193">
        <v>1.6118133111736155E-2</v>
      </c>
      <c r="F193">
        <v>5.2119636854283335E-2</v>
      </c>
      <c r="G193">
        <v>2.4578100436354777E-2</v>
      </c>
      <c r="H193">
        <v>-9.5379163135138612E-2</v>
      </c>
      <c r="I193">
        <v>0.34661261796323317</v>
      </c>
      <c r="J193">
        <v>2.2983500451772443E-2</v>
      </c>
    </row>
    <row r="194" spans="1:10">
      <c r="A194" s="568">
        <v>44110</v>
      </c>
      <c r="B194">
        <v>2.2152096749386452E-2</v>
      </c>
      <c r="C194">
        <v>0.11000151768786104</v>
      </c>
      <c r="D194">
        <v>6.4260931870239402E-2</v>
      </c>
      <c r="E194">
        <v>1.6732567225744344E-2</v>
      </c>
      <c r="F194">
        <v>5.1130021861249375E-2</v>
      </c>
      <c r="G194">
        <v>2.4536924153222284E-2</v>
      </c>
      <c r="H194">
        <v>-9.9129571882172196E-2</v>
      </c>
      <c r="I194">
        <v>0.34873873395632304</v>
      </c>
      <c r="J194">
        <v>2.3059909432344927E-2</v>
      </c>
    </row>
    <row r="195" spans="1:10">
      <c r="A195" s="568">
        <v>44111</v>
      </c>
      <c r="B195">
        <v>2.2281148685452834E-2</v>
      </c>
      <c r="C195">
        <v>0.11060502175812914</v>
      </c>
      <c r="D195">
        <v>6.4733710755558116E-2</v>
      </c>
      <c r="E195">
        <v>1.7328737905365932E-2</v>
      </c>
      <c r="F195">
        <v>5.1637373267657383E-2</v>
      </c>
      <c r="G195">
        <v>2.4888791719408054E-2</v>
      </c>
      <c r="H195">
        <v>-9.7825486196163935E-2</v>
      </c>
      <c r="I195">
        <v>0.36719321300354379</v>
      </c>
      <c r="J195">
        <v>2.3136324120079266E-2</v>
      </c>
    </row>
    <row r="196" spans="1:10">
      <c r="A196" s="568">
        <v>44112</v>
      </c>
      <c r="B196">
        <v>2.2476565411581939E-2</v>
      </c>
      <c r="C196">
        <v>0.1112088539515188</v>
      </c>
      <c r="D196">
        <v>6.602800722435398E-2</v>
      </c>
      <c r="E196">
        <v>1.899462402763441E-2</v>
      </c>
      <c r="F196">
        <v>5.3720516947070029E-2</v>
      </c>
      <c r="G196">
        <v>2.4969621894851191E-2</v>
      </c>
      <c r="H196">
        <v>-8.3709185431967148E-2</v>
      </c>
      <c r="I196">
        <v>0.37190549260030714</v>
      </c>
      <c r="J196">
        <v>2.3212744515401562E-2</v>
      </c>
    </row>
    <row r="197" spans="1:10">
      <c r="A197" s="568">
        <v>44113</v>
      </c>
      <c r="B197">
        <v>2.2837943282533635E-2</v>
      </c>
      <c r="C197">
        <v>0.11181301444642933</v>
      </c>
      <c r="D197">
        <v>6.7721225137131302E-2</v>
      </c>
      <c r="E197">
        <v>2.095990002074144E-2</v>
      </c>
      <c r="F197">
        <v>5.672327697845847E-2</v>
      </c>
      <c r="G197">
        <v>2.5928170324542421E-2</v>
      </c>
      <c r="H197">
        <v>-8.4947141942092963E-2</v>
      </c>
      <c r="I197">
        <v>0.36958049764001233</v>
      </c>
      <c r="J197">
        <v>2.3289170618738142E-2</v>
      </c>
    </row>
    <row r="198" spans="1:10">
      <c r="A198" s="568">
        <v>44117</v>
      </c>
      <c r="B198">
        <v>2.3167146393119564E-2</v>
      </c>
      <c r="C198">
        <v>0.11241750342135726</v>
      </c>
      <c r="D198">
        <v>6.7987725097078844E-2</v>
      </c>
      <c r="E198">
        <v>2.1409310959755956E-2</v>
      </c>
      <c r="F198">
        <v>5.6767801724640465E-2</v>
      </c>
      <c r="G198">
        <v>2.7388036030586038E-2</v>
      </c>
      <c r="H198">
        <v>-7.6596644848941464E-2</v>
      </c>
      <c r="I198">
        <v>0.40305321335486255</v>
      </c>
      <c r="J198">
        <v>2.3365602430515553E-2</v>
      </c>
    </row>
    <row r="199" spans="1:10">
      <c r="A199" s="568">
        <v>44118</v>
      </c>
      <c r="B199">
        <v>2.3323958271243894E-2</v>
      </c>
      <c r="C199">
        <v>0.11302232105489596</v>
      </c>
      <c r="D199">
        <v>6.8700198234471932E-2</v>
      </c>
      <c r="E199">
        <v>2.018761765239141E-2</v>
      </c>
      <c r="F199">
        <v>5.748765766421382E-2</v>
      </c>
      <c r="G199">
        <v>2.8209220112988653E-2</v>
      </c>
      <c r="H199">
        <v>-7.0366064475742784E-2</v>
      </c>
      <c r="I199">
        <v>0.39926901285967342</v>
      </c>
      <c r="J199">
        <v>2.3442039951159899E-2</v>
      </c>
    </row>
    <row r="200" spans="1:10">
      <c r="A200" s="568">
        <v>44119</v>
      </c>
      <c r="B200">
        <v>2.3453902420988104E-2</v>
      </c>
      <c r="C200">
        <v>0.11362746752573605</v>
      </c>
      <c r="D200">
        <v>6.8160019701723806E-2</v>
      </c>
      <c r="E200">
        <v>1.896527207951304E-2</v>
      </c>
      <c r="F200">
        <v>5.674001854025601E-2</v>
      </c>
      <c r="G200">
        <v>2.8518364485296877E-2</v>
      </c>
      <c r="H200">
        <v>-7.1332740995318167E-2</v>
      </c>
      <c r="I200">
        <v>0.39227335347802983</v>
      </c>
      <c r="J200">
        <v>2.3518483181097727E-2</v>
      </c>
    </row>
    <row r="201" spans="1:10">
      <c r="A201" s="568">
        <v>44120</v>
      </c>
      <c r="B201">
        <v>2.353455440726071E-2</v>
      </c>
      <c r="C201">
        <v>0.11423294301266518</v>
      </c>
      <c r="D201">
        <v>6.8814790180036889E-2</v>
      </c>
      <c r="E201">
        <v>2.0310895834501297E-2</v>
      </c>
      <c r="F201">
        <v>5.7510689406963467E-2</v>
      </c>
      <c r="G201">
        <v>2.9117936351720886E-2</v>
      </c>
      <c r="H201">
        <v>-7.5263236336650663E-2</v>
      </c>
      <c r="I201">
        <v>0.40129625660330714</v>
      </c>
      <c r="J201">
        <v>2.3594932120755585E-2</v>
      </c>
    </row>
    <row r="202" spans="1:10">
      <c r="A202" s="568">
        <v>44123</v>
      </c>
      <c r="B202">
        <v>2.3629334782771627E-2</v>
      </c>
      <c r="C202">
        <v>0.11483874769456848</v>
      </c>
      <c r="D202">
        <v>7.0178758710162992E-2</v>
      </c>
      <c r="E202">
        <v>2.0061078142712407E-2</v>
      </c>
      <c r="F202">
        <v>5.624410052703599E-2</v>
      </c>
      <c r="G202">
        <v>2.8087771824685914E-2</v>
      </c>
      <c r="H202">
        <v>-7.4337937640606921E-2</v>
      </c>
      <c r="I202">
        <v>0.38018382452371013</v>
      </c>
      <c r="J202">
        <v>2.3671386770559799E-2</v>
      </c>
    </row>
    <row r="203" spans="1:10">
      <c r="A203" s="568">
        <v>44124</v>
      </c>
      <c r="B203">
        <v>2.3847488460517985E-2</v>
      </c>
      <c r="C203">
        <v>0.11544488175042789</v>
      </c>
      <c r="D203">
        <v>7.1339124562348699E-2</v>
      </c>
      <c r="E203">
        <v>2.0129566021662271E-2</v>
      </c>
      <c r="F203">
        <v>5.9212697931154912E-2</v>
      </c>
      <c r="G203">
        <v>2.901286450381213E-2</v>
      </c>
      <c r="H203">
        <v>-5.9259592355741186E-2</v>
      </c>
      <c r="I203">
        <v>0.3884350026470802</v>
      </c>
      <c r="J203">
        <v>2.3747847130936917E-2</v>
      </c>
    </row>
    <row r="204" spans="1:10">
      <c r="A204" s="568">
        <v>44125</v>
      </c>
      <c r="B204">
        <v>2.3945608038825617E-2</v>
      </c>
      <c r="C204">
        <v>0.11605134535932304</v>
      </c>
      <c r="D204">
        <v>7.2605761476316477E-2</v>
      </c>
      <c r="E204">
        <v>2.150519399028572E-2</v>
      </c>
      <c r="F204">
        <v>6.2064094512437773E-2</v>
      </c>
      <c r="G204">
        <v>2.9674183672847576E-2</v>
      </c>
      <c r="H204">
        <v>-5.7489303072365217E-2</v>
      </c>
      <c r="I204">
        <v>0.3917582302582876</v>
      </c>
      <c r="J204">
        <v>2.3824313202313485E-2</v>
      </c>
    </row>
    <row r="205" spans="1:10">
      <c r="A205" s="568">
        <v>44126</v>
      </c>
      <c r="B205">
        <v>2.4037606950520374E-2</v>
      </c>
      <c r="C205">
        <v>0.11665813870043085</v>
      </c>
      <c r="D205">
        <v>7.3086494623831877E-2</v>
      </c>
      <c r="E205">
        <v>2.1112530150972697E-2</v>
      </c>
      <c r="F205">
        <v>6.2169375592972864E-2</v>
      </c>
      <c r="G205">
        <v>2.9549648656367555E-2</v>
      </c>
      <c r="H205">
        <v>-4.9402445101458747E-2</v>
      </c>
      <c r="I205">
        <v>0.3937163327835409</v>
      </c>
      <c r="J205">
        <v>2.3900784985116053E-2</v>
      </c>
    </row>
    <row r="206" spans="1:10">
      <c r="A206" s="568">
        <v>44127</v>
      </c>
      <c r="B206">
        <v>2.4146821813566088E-2</v>
      </c>
      <c r="C206">
        <v>0.11726526195302567</v>
      </c>
      <c r="D206">
        <v>7.2976603883031288E-2</v>
      </c>
      <c r="E206">
        <v>2.2499898898844739E-2</v>
      </c>
      <c r="F206">
        <v>6.3386456479341602E-2</v>
      </c>
      <c r="G206">
        <v>2.9529096936113497E-2</v>
      </c>
      <c r="H206">
        <v>-5.3999332126077215E-2</v>
      </c>
      <c r="I206">
        <v>0.3997592435206625</v>
      </c>
      <c r="J206">
        <v>2.3977262479771166E-2</v>
      </c>
    </row>
    <row r="207" spans="1:10">
      <c r="A207" s="568">
        <v>44130</v>
      </c>
      <c r="B207">
        <v>2.4285751504522723E-2</v>
      </c>
      <c r="C207">
        <v>0.11787271529647914</v>
      </c>
      <c r="D207">
        <v>7.3610075927993623E-2</v>
      </c>
      <c r="E207">
        <v>2.193503696388599E-2</v>
      </c>
      <c r="F207">
        <v>6.0501498203726856E-2</v>
      </c>
      <c r="G207">
        <v>2.8438758834207656E-2</v>
      </c>
      <c r="H207">
        <v>-5.757420542954661E-2</v>
      </c>
      <c r="I207">
        <v>0.38266062979791671</v>
      </c>
      <c r="J207">
        <v>2.4053745686705597E-2</v>
      </c>
    </row>
    <row r="208" spans="1:10">
      <c r="A208" s="568">
        <v>44131</v>
      </c>
      <c r="B208">
        <v>2.4442020771618722E-2</v>
      </c>
      <c r="C208">
        <v>0.11848049891026058</v>
      </c>
      <c r="D208">
        <v>7.3866274244055008E-2</v>
      </c>
      <c r="E208">
        <v>2.2396840947662922E-2</v>
      </c>
      <c r="F208">
        <v>5.9585625413173693E-2</v>
      </c>
      <c r="G208">
        <v>2.8076544191790287E-2</v>
      </c>
      <c r="H208">
        <v>-6.7143733140585415E-2</v>
      </c>
      <c r="I208">
        <v>0.39454523459729729</v>
      </c>
      <c r="J208">
        <v>2.4130234606345891E-2</v>
      </c>
    </row>
    <row r="209" spans="1:10">
      <c r="A209" s="568">
        <v>44132</v>
      </c>
      <c r="B209">
        <v>2.4560102408966555E-2</v>
      </c>
      <c r="C209">
        <v>0.1190886129739368</v>
      </c>
      <c r="D209">
        <v>7.4286172191254218E-2</v>
      </c>
      <c r="E209">
        <v>1.8316267893273119E-2</v>
      </c>
      <c r="F209">
        <v>5.3849089714878451E-2</v>
      </c>
      <c r="G209">
        <v>2.5405032698354368E-2</v>
      </c>
      <c r="H209">
        <v>-9.8054365161225121E-2</v>
      </c>
      <c r="I209">
        <v>0.37533262775949883</v>
      </c>
      <c r="J209">
        <v>2.4206729239118818E-2</v>
      </c>
    </row>
    <row r="210" spans="1:10">
      <c r="A210" s="568">
        <v>44133</v>
      </c>
      <c r="B210">
        <v>2.4729937964070858E-2</v>
      </c>
      <c r="C210">
        <v>0.11969705766717231</v>
      </c>
      <c r="D210">
        <v>7.5211437514666857E-2</v>
      </c>
      <c r="E210">
        <v>1.7081529275632557E-2</v>
      </c>
      <c r="F210">
        <v>5.6599467428911643E-2</v>
      </c>
      <c r="G210">
        <v>2.5478893912701972E-2</v>
      </c>
      <c r="H210">
        <v>-8.8096871585745085E-2</v>
      </c>
      <c r="I210">
        <v>0.3908876683137017</v>
      </c>
      <c r="J210">
        <v>2.4283229585450927E-2</v>
      </c>
    </row>
    <row r="211" spans="1:10">
      <c r="A211" s="568">
        <v>44134</v>
      </c>
      <c r="B211">
        <v>2.4826675150553923E-2</v>
      </c>
      <c r="C211">
        <v>0.12030583316972931</v>
      </c>
      <c r="D211">
        <v>7.5133387362205539E-2</v>
      </c>
      <c r="E211">
        <v>1.7133710516737066E-2</v>
      </c>
      <c r="F211">
        <v>5.4070324506279022E-2</v>
      </c>
      <c r="G211">
        <v>2.3538477512717648E-2</v>
      </c>
      <c r="H211">
        <v>-0.1063556643819461</v>
      </c>
      <c r="I211">
        <v>0.36483915947264611</v>
      </c>
      <c r="J211">
        <v>2.4359735645769209E-2</v>
      </c>
    </row>
    <row r="212" spans="1:10">
      <c r="A212" s="568">
        <v>44138</v>
      </c>
      <c r="B212">
        <v>2.4961630111059563E-2</v>
      </c>
      <c r="C212">
        <v>0.12091493966146771</v>
      </c>
      <c r="D212">
        <v>7.5549960169343899E-2</v>
      </c>
      <c r="E212">
        <v>2.0561365791803787E-2</v>
      </c>
      <c r="F212">
        <v>5.8413095649277658E-2</v>
      </c>
      <c r="G212">
        <v>2.5720740297160205E-2</v>
      </c>
      <c r="H212">
        <v>-9.3791719891031189E-2</v>
      </c>
      <c r="I212">
        <v>0.39369290670008295</v>
      </c>
      <c r="J212">
        <v>2.4436247420500434E-2</v>
      </c>
    </row>
    <row r="213" spans="1:10">
      <c r="A213" s="568">
        <v>44139</v>
      </c>
      <c r="B213">
        <v>2.5077300399122038E-2</v>
      </c>
      <c r="C213">
        <v>0.12152437732234511</v>
      </c>
      <c r="D213">
        <v>7.7252486109429919E-2</v>
      </c>
      <c r="E213">
        <v>2.5111570016136397E-2</v>
      </c>
      <c r="F213">
        <v>5.9874976835425642E-2</v>
      </c>
      <c r="G213">
        <v>2.5855959778506188E-2</v>
      </c>
      <c r="H213">
        <v>-7.7319698510215917E-2</v>
      </c>
      <c r="I213">
        <v>0.40581832921625494</v>
      </c>
      <c r="J213">
        <v>2.451276491007115E-2</v>
      </c>
    </row>
    <row r="214" spans="1:10">
      <c r="A214" s="568">
        <v>44140</v>
      </c>
      <c r="B214">
        <v>2.5205372433429796E-2</v>
      </c>
      <c r="C214">
        <v>0.12213414633241726</v>
      </c>
      <c r="D214">
        <v>7.8804081620741595E-2</v>
      </c>
      <c r="E214">
        <v>2.9761570864081488E-2</v>
      </c>
      <c r="F214">
        <v>6.6210861971998325E-2</v>
      </c>
      <c r="G214">
        <v>2.7182129534529809E-2</v>
      </c>
      <c r="H214">
        <v>-5.3681037997069359E-2</v>
      </c>
      <c r="I214">
        <v>0.41723225467744429</v>
      </c>
      <c r="J214">
        <v>2.458928811490857E-2</v>
      </c>
    </row>
    <row r="215" spans="1:10">
      <c r="A215" s="568">
        <v>44141</v>
      </c>
      <c r="B215">
        <v>2.5304197860075206E-2</v>
      </c>
      <c r="C215">
        <v>0.12274424687183738</v>
      </c>
      <c r="D215">
        <v>8.0393662936683485E-2</v>
      </c>
      <c r="E215">
        <v>2.9357818511033695E-2</v>
      </c>
      <c r="F215">
        <v>6.7027272667906201E-2</v>
      </c>
      <c r="G215">
        <v>2.7533414323371419E-2</v>
      </c>
      <c r="H215">
        <v>-5.0274491474686878E-2</v>
      </c>
      <c r="I215">
        <v>0.39341959592631759</v>
      </c>
      <c r="J215">
        <v>2.4665817035439463E-2</v>
      </c>
    </row>
    <row r="216" spans="1:10">
      <c r="A216" s="568">
        <v>44144</v>
      </c>
      <c r="B216">
        <v>2.5414828426209901E-2</v>
      </c>
      <c r="C216">
        <v>0.12335467912085685</v>
      </c>
      <c r="D216">
        <v>8.1846920096829034E-2</v>
      </c>
      <c r="E216">
        <v>3.5829596939047637E-2</v>
      </c>
      <c r="F216">
        <v>6.7065671929213089E-2</v>
      </c>
      <c r="G216">
        <v>2.5467548028547338E-2</v>
      </c>
      <c r="H216">
        <v>-3.5847604371828878E-2</v>
      </c>
      <c r="I216">
        <v>0.40297146780718407</v>
      </c>
      <c r="J216">
        <v>2.4742351672090601E-2</v>
      </c>
    </row>
    <row r="217" spans="1:10">
      <c r="A217" s="568">
        <v>44145</v>
      </c>
      <c r="B217">
        <v>2.5507122266266613E-2</v>
      </c>
      <c r="C217">
        <v>0.12396544325982517</v>
      </c>
      <c r="D217">
        <v>8.2287658093944671E-2</v>
      </c>
      <c r="E217">
        <v>3.6062455727477349E-2</v>
      </c>
      <c r="F217">
        <v>6.7587626529583833E-2</v>
      </c>
      <c r="G217">
        <v>2.4615097848085243E-2</v>
      </c>
      <c r="H217">
        <v>-3.0904910428414922E-2</v>
      </c>
      <c r="I217">
        <v>0.3914418762031715</v>
      </c>
      <c r="J217">
        <v>2.4818892025288974E-2</v>
      </c>
    </row>
    <row r="218" spans="1:10">
      <c r="A218" s="568">
        <v>44146</v>
      </c>
      <c r="B218">
        <v>2.5632204922802826E-2</v>
      </c>
      <c r="C218">
        <v>0.12457653946918978</v>
      </c>
      <c r="D218">
        <v>8.2312417250600234E-2</v>
      </c>
      <c r="E218">
        <v>3.6213781326681183E-2</v>
      </c>
      <c r="F218">
        <v>6.761285555775931E-2</v>
      </c>
      <c r="G218">
        <v>2.3968215584323049E-2</v>
      </c>
      <c r="H218">
        <v>-3.1881450629212216E-2</v>
      </c>
      <c r="I218">
        <v>0.39375558404503819</v>
      </c>
      <c r="J218">
        <v>2.4895438095461575E-2</v>
      </c>
    </row>
    <row r="219" spans="1:10">
      <c r="A219" s="568">
        <v>44147</v>
      </c>
      <c r="B219">
        <v>2.5740725793522934E-2</v>
      </c>
      <c r="C219">
        <v>0.12518796792949627</v>
      </c>
      <c r="D219">
        <v>8.2606056243503145E-2</v>
      </c>
      <c r="E219">
        <v>3.5239296649050456E-2</v>
      </c>
      <c r="F219">
        <v>6.2984611290107795E-2</v>
      </c>
      <c r="G219">
        <v>2.0799647685686651E-2</v>
      </c>
      <c r="H219">
        <v>-5.0794494002248336E-2</v>
      </c>
      <c r="I219">
        <v>0.40062197892091334</v>
      </c>
      <c r="J219">
        <v>2.4971989883035617E-2</v>
      </c>
    </row>
    <row r="220" spans="1:10">
      <c r="A220" s="568">
        <v>44148</v>
      </c>
      <c r="B220">
        <v>2.5886053468621606E-2</v>
      </c>
      <c r="C220">
        <v>0.12579972882138835</v>
      </c>
      <c r="D220">
        <v>8.361274748434111E-2</v>
      </c>
      <c r="E220">
        <v>3.570436196039628E-2</v>
      </c>
      <c r="F220">
        <v>6.5187938121620936E-2</v>
      </c>
      <c r="G220">
        <v>2.2328087444608125E-2</v>
      </c>
      <c r="H220">
        <v>-3.3825167116590338E-2</v>
      </c>
      <c r="I220">
        <v>0.41596387054906825</v>
      </c>
      <c r="J220">
        <v>2.504854738843787E-2</v>
      </c>
    </row>
    <row r="221" spans="1:10">
      <c r="A221" s="568">
        <v>44151</v>
      </c>
      <c r="B221">
        <v>2.6050625018782858E-2</v>
      </c>
      <c r="C221">
        <v>0.12641182232560788</v>
      </c>
      <c r="D221">
        <v>8.4925868767562918E-2</v>
      </c>
      <c r="E221">
        <v>3.8439311259797826E-2</v>
      </c>
      <c r="F221">
        <v>6.6908222822010588E-2</v>
      </c>
      <c r="G221">
        <v>2.3058240950891928E-2</v>
      </c>
      <c r="H221">
        <v>-2.1917569918428192E-2</v>
      </c>
      <c r="I221">
        <v>0.41945591678723004</v>
      </c>
      <c r="J221">
        <v>2.5125110612095547E-2</v>
      </c>
    </row>
    <row r="222" spans="1:10">
      <c r="A222" s="568">
        <v>44152</v>
      </c>
      <c r="B222">
        <v>2.6204112944788305E-2</v>
      </c>
      <c r="C222">
        <v>0.12702424862299511</v>
      </c>
      <c r="D222">
        <v>8.5908439390001368E-2</v>
      </c>
      <c r="E222">
        <v>3.8690433482614361E-2</v>
      </c>
      <c r="F222">
        <v>6.6256491285954677E-2</v>
      </c>
      <c r="G222">
        <v>2.2465150081136809E-2</v>
      </c>
      <c r="H222">
        <v>-1.6492307457126043E-2</v>
      </c>
      <c r="I222">
        <v>0.40380247678142456</v>
      </c>
      <c r="J222">
        <v>2.5201679554435863E-2</v>
      </c>
    </row>
    <row r="223" spans="1:10">
      <c r="A223" s="568">
        <v>44153</v>
      </c>
      <c r="B223">
        <v>2.6349272579474059E-2</v>
      </c>
      <c r="C223">
        <v>0.1276370078944884</v>
      </c>
      <c r="D223">
        <v>8.5826976921019815E-2</v>
      </c>
      <c r="E223">
        <v>3.9999530368829195E-2</v>
      </c>
      <c r="F223">
        <v>6.5526059148476534E-2</v>
      </c>
      <c r="G223">
        <v>2.1768980826512907E-2</v>
      </c>
      <c r="H223">
        <v>-2.5915975382812428E-2</v>
      </c>
      <c r="I223">
        <v>0.38966625095601715</v>
      </c>
      <c r="J223">
        <v>2.5278254215885809E-2</v>
      </c>
    </row>
    <row r="224" spans="1:10">
      <c r="A224" s="568">
        <v>44154</v>
      </c>
      <c r="B224">
        <v>2.6464069423024261E-2</v>
      </c>
      <c r="C224">
        <v>0.12825010032112472</v>
      </c>
      <c r="D224">
        <v>8.6729829157868421E-2</v>
      </c>
      <c r="E224">
        <v>4.0480902318020373E-2</v>
      </c>
      <c r="F224">
        <v>6.5775173433195055E-2</v>
      </c>
      <c r="G224">
        <v>2.2869345383438322E-2</v>
      </c>
      <c r="H224">
        <v>-2.1069659822727571E-2</v>
      </c>
      <c r="I224">
        <v>0.38207689440488934</v>
      </c>
      <c r="J224">
        <v>2.53548345968726E-2</v>
      </c>
    </row>
    <row r="225" spans="1:10">
      <c r="A225" s="568">
        <v>44155</v>
      </c>
      <c r="B225">
        <v>2.6543086061883603E-2</v>
      </c>
      <c r="C225">
        <v>0.12886352608403961</v>
      </c>
      <c r="D225">
        <v>8.6628496115383369E-2</v>
      </c>
      <c r="E225">
        <v>4.1176869621254664E-2</v>
      </c>
      <c r="F225">
        <v>6.5732920321703858E-2</v>
      </c>
      <c r="G225">
        <v>2.3043214016331914E-2</v>
      </c>
      <c r="H225">
        <v>-2.5444957295892356E-2</v>
      </c>
      <c r="I225">
        <v>0.39831205130555181</v>
      </c>
      <c r="J225">
        <v>2.5431420697823448E-2</v>
      </c>
    </row>
    <row r="226" spans="1:10">
      <c r="A226" s="568">
        <v>44158</v>
      </c>
      <c r="B226">
        <v>2.6656139211066465E-2</v>
      </c>
      <c r="C226">
        <v>0.12947728536446657</v>
      </c>
      <c r="D226">
        <v>8.6614598685011535E-2</v>
      </c>
      <c r="E226">
        <v>4.2255716781094854E-2</v>
      </c>
      <c r="F226">
        <v>6.794647646530505E-2</v>
      </c>
      <c r="G226">
        <v>2.3528951369684803E-2</v>
      </c>
      <c r="H226">
        <v>-1.4110619497475829E-2</v>
      </c>
      <c r="I226">
        <v>0.41765553507807485</v>
      </c>
      <c r="J226">
        <v>2.5508012519165568E-2</v>
      </c>
    </row>
    <row r="227" spans="1:10">
      <c r="A227" s="568">
        <v>44159</v>
      </c>
      <c r="B227">
        <v>2.6887942722243707E-2</v>
      </c>
      <c r="C227">
        <v>0.13009137834373807</v>
      </c>
      <c r="D227">
        <v>8.8040080451821101E-2</v>
      </c>
      <c r="E227">
        <v>4.4523643972609328E-2</v>
      </c>
      <c r="F227">
        <v>7.194963285831224E-2</v>
      </c>
      <c r="G227">
        <v>2.5320521679998098E-2</v>
      </c>
      <c r="H227">
        <v>4.5282173375942314E-3</v>
      </c>
      <c r="I227">
        <v>0.41848966212370309</v>
      </c>
      <c r="J227">
        <v>2.5584610061326174E-2</v>
      </c>
    </row>
    <row r="228" spans="1:10">
      <c r="A228" s="568">
        <v>44160</v>
      </c>
      <c r="B228">
        <v>2.7047546468189188E-2</v>
      </c>
      <c r="C228">
        <v>0.13070580520328523</v>
      </c>
      <c r="D228">
        <v>8.9152688061733043E-2</v>
      </c>
      <c r="E228">
        <v>4.5097637624761377E-2</v>
      </c>
      <c r="F228">
        <v>7.2105691966155128E-2</v>
      </c>
      <c r="G228">
        <v>2.6054185870016511E-2</v>
      </c>
      <c r="H228">
        <v>8.6733008733850259E-3</v>
      </c>
      <c r="I228">
        <v>0.39788094189843504</v>
      </c>
      <c r="J228">
        <v>2.5661213324732701E-2</v>
      </c>
    </row>
    <row r="229" spans="1:10">
      <c r="A229" s="568">
        <v>44161</v>
      </c>
      <c r="B229">
        <v>2.7191601334367599E-2</v>
      </c>
      <c r="C229">
        <v>0.13132056612463727</v>
      </c>
      <c r="D229">
        <v>9.130740564722406E-2</v>
      </c>
      <c r="E229">
        <v>4.5057197162905238E-2</v>
      </c>
      <c r="F229">
        <v>7.2312357035265062E-2</v>
      </c>
      <c r="G229">
        <v>2.6158378784406855E-2</v>
      </c>
      <c r="H229">
        <v>1.110439594374224E-2</v>
      </c>
      <c r="I229">
        <v>0.40124196430775627</v>
      </c>
      <c r="J229">
        <v>2.5737822309812364E-2</v>
      </c>
    </row>
    <row r="230" spans="1:10">
      <c r="A230" s="568">
        <v>44162</v>
      </c>
      <c r="B230">
        <v>2.7442704581707833E-2</v>
      </c>
      <c r="C230">
        <v>0.13193566128942269</v>
      </c>
      <c r="D230">
        <v>9.323917431523765E-2</v>
      </c>
      <c r="E230">
        <v>4.6458915752080943E-2</v>
      </c>
      <c r="F230">
        <v>7.457235118024097E-2</v>
      </c>
      <c r="G230">
        <v>2.6663489674430219E-2</v>
      </c>
      <c r="H230">
        <v>1.44622843472062E-2</v>
      </c>
      <c r="I230">
        <v>0.41393388041954737</v>
      </c>
      <c r="J230">
        <v>2.5814437016992597E-2</v>
      </c>
    </row>
    <row r="231" spans="1:10">
      <c r="A231" s="568">
        <v>44165</v>
      </c>
      <c r="B231">
        <v>2.7562181991407808E-2</v>
      </c>
      <c r="C231">
        <v>0.13255109087936856</v>
      </c>
      <c r="D231">
        <v>9.3718411983276573E-2</v>
      </c>
      <c r="E231">
        <v>4.682092311224495E-2</v>
      </c>
      <c r="F231">
        <v>7.3348817285749268E-2</v>
      </c>
      <c r="G231">
        <v>2.5398167322693066E-2</v>
      </c>
      <c r="H231">
        <v>3.3012777076131261E-3</v>
      </c>
      <c r="I231">
        <v>0.39559427898638488</v>
      </c>
      <c r="J231">
        <v>2.5891057446700838E-2</v>
      </c>
    </row>
    <row r="232" spans="1:10">
      <c r="A232" s="568">
        <v>44166</v>
      </c>
      <c r="B232">
        <v>2.7681511949141591E-2</v>
      </c>
      <c r="C232">
        <v>0.13316685507630055</v>
      </c>
      <c r="D232">
        <v>9.588593942579271E-2</v>
      </c>
      <c r="E232">
        <v>4.891012955297569E-2</v>
      </c>
      <c r="F232">
        <v>7.6112324512975338E-2</v>
      </c>
      <c r="G232">
        <v>2.799778534594255E-2</v>
      </c>
      <c r="H232">
        <v>2.1853097441162594E-2</v>
      </c>
      <c r="I232">
        <v>0.38699892734681374</v>
      </c>
      <c r="J232">
        <v>2.5967683599364522E-2</v>
      </c>
    </row>
    <row r="233" spans="1:10">
      <c r="A233" s="568">
        <v>44167</v>
      </c>
      <c r="B233">
        <v>2.7861630514739666E-2</v>
      </c>
      <c r="C233">
        <v>0.13378295406214336</v>
      </c>
      <c r="D233">
        <v>9.7150711983757354E-2</v>
      </c>
      <c r="E233">
        <v>5.0231619483952938E-2</v>
      </c>
      <c r="F233">
        <v>7.6781829856862327E-2</v>
      </c>
      <c r="G233">
        <v>2.9354731506681331E-2</v>
      </c>
      <c r="H233">
        <v>2.4430681359924433E-2</v>
      </c>
      <c r="I233">
        <v>0.38730286087335286</v>
      </c>
      <c r="J233">
        <v>2.6044315475410862E-2</v>
      </c>
    </row>
    <row r="234" spans="1:10">
      <c r="A234" s="568">
        <v>44168</v>
      </c>
      <c r="B234">
        <v>2.8000564110157722E-2</v>
      </c>
      <c r="C234">
        <v>0.13439938801892071</v>
      </c>
      <c r="D234">
        <v>9.9805677730129716E-2</v>
      </c>
      <c r="E234">
        <v>5.2116014553347689E-2</v>
      </c>
      <c r="F234">
        <v>7.7576331540310406E-2</v>
      </c>
      <c r="G234">
        <v>3.0101365412430692E-2</v>
      </c>
      <c r="H234">
        <v>2.6175557053853327E-2</v>
      </c>
      <c r="I234">
        <v>0.38104390491252005</v>
      </c>
      <c r="J234">
        <v>2.6120953075267739E-2</v>
      </c>
    </row>
    <row r="235" spans="1:10">
      <c r="A235" s="568">
        <v>44169</v>
      </c>
      <c r="B235">
        <v>2.8092348007705992E-2</v>
      </c>
      <c r="C235">
        <v>0.13501615712875514</v>
      </c>
      <c r="D235">
        <v>9.8401265706800078E-2</v>
      </c>
      <c r="E235">
        <v>5.3578393835307825E-2</v>
      </c>
      <c r="F235">
        <v>8.1595574463139142E-2</v>
      </c>
      <c r="G235">
        <v>3.0874379193717161E-2</v>
      </c>
      <c r="H235">
        <v>3.818974097100436E-2</v>
      </c>
      <c r="I235">
        <v>0.38623269201307453</v>
      </c>
      <c r="J235">
        <v>2.6197596399362366E-2</v>
      </c>
    </row>
    <row r="236" spans="1:10">
      <c r="A236" s="568">
        <v>44172</v>
      </c>
      <c r="B236">
        <v>2.8368165420560532E-2</v>
      </c>
      <c r="C236">
        <v>0.13563326157386824</v>
      </c>
      <c r="D236">
        <v>0.10007877672998644</v>
      </c>
      <c r="E236">
        <v>5.3890829016422614E-2</v>
      </c>
      <c r="F236">
        <v>7.9516911176489291E-2</v>
      </c>
      <c r="G236">
        <v>3.0228160761134104E-2</v>
      </c>
      <c r="H236">
        <v>3.656063403846721E-2</v>
      </c>
      <c r="I236">
        <v>0.37363157435553096</v>
      </c>
      <c r="J236">
        <v>2.6274245448122402E-2</v>
      </c>
    </row>
    <row r="237" spans="1:10">
      <c r="A237" s="568">
        <v>44173</v>
      </c>
      <c r="B237">
        <v>2.8438799454366892E-2</v>
      </c>
      <c r="C237">
        <v>0.13625070153658059</v>
      </c>
      <c r="D237">
        <v>0.10169989088012676</v>
      </c>
      <c r="E237">
        <v>5.431284480385723E-2</v>
      </c>
      <c r="F237">
        <v>7.9778372367336425E-2</v>
      </c>
      <c r="G237">
        <v>3.0400685584716536E-2</v>
      </c>
      <c r="H237">
        <v>3.8630756735378968E-2</v>
      </c>
      <c r="I237">
        <v>0.38131642537841492</v>
      </c>
      <c r="J237">
        <v>2.6350900221975504E-2</v>
      </c>
    </row>
    <row r="238" spans="1:10">
      <c r="A238" s="568">
        <v>44174</v>
      </c>
      <c r="B238">
        <v>2.8573996325512274E-2</v>
      </c>
      <c r="C238">
        <v>0.13686847719931183</v>
      </c>
      <c r="D238">
        <v>0.10369239009108289</v>
      </c>
      <c r="E238">
        <v>5.3448592998060152E-2</v>
      </c>
      <c r="F238">
        <v>7.7823396724265859E-2</v>
      </c>
      <c r="G238">
        <v>2.9605808303068137E-2</v>
      </c>
      <c r="H238">
        <v>3.1357076299505904E-2</v>
      </c>
      <c r="I238">
        <v>0.37965667713091511</v>
      </c>
      <c r="J238">
        <v>2.6427560721349108E-2</v>
      </c>
    </row>
    <row r="239" spans="1:10">
      <c r="A239" s="568">
        <v>44175</v>
      </c>
      <c r="B239">
        <v>2.8712495957176287E-2</v>
      </c>
      <c r="C239">
        <v>0.13748658874458108</v>
      </c>
      <c r="D239">
        <v>0.10464447079109251</v>
      </c>
      <c r="E239">
        <v>5.4189566621747343E-2</v>
      </c>
      <c r="F239">
        <v>7.9996573159286433E-2</v>
      </c>
      <c r="G239">
        <v>3.1978717270975787E-2</v>
      </c>
      <c r="H239">
        <v>4.4962681685402961E-2</v>
      </c>
      <c r="I239">
        <v>0.36275220699026023</v>
      </c>
      <c r="J239">
        <v>2.6504226946671094E-2</v>
      </c>
    </row>
    <row r="240" spans="1:10">
      <c r="A240" s="568">
        <v>44176</v>
      </c>
      <c r="B240">
        <v>2.8884472313914333E-2</v>
      </c>
      <c r="C240">
        <v>0.13810503635500671</v>
      </c>
      <c r="D240">
        <v>0.1063958911251679</v>
      </c>
      <c r="E240">
        <v>5.4183696232122935E-2</v>
      </c>
      <c r="F240">
        <v>7.9577973174541405E-2</v>
      </c>
      <c r="G240">
        <v>3.2596496050778301E-2</v>
      </c>
      <c r="H240">
        <v>4.9098554751483725E-2</v>
      </c>
      <c r="I240">
        <v>0.36282881093479102</v>
      </c>
      <c r="J240">
        <v>2.6580898898368899E-2</v>
      </c>
    </row>
    <row r="241" spans="1:10">
      <c r="A241" s="568">
        <v>44179</v>
      </c>
      <c r="B241">
        <v>2.9023924600160012E-2</v>
      </c>
      <c r="C241">
        <v>0.13872382021330609</v>
      </c>
      <c r="D241">
        <v>0.10723075490769762</v>
      </c>
      <c r="E241">
        <v>5.4774648787633939E-2</v>
      </c>
      <c r="F241">
        <v>7.9303995022435014E-2</v>
      </c>
      <c r="G241">
        <v>3.1396569970573163E-2</v>
      </c>
      <c r="H241">
        <v>4.585050300173088E-2</v>
      </c>
      <c r="I241">
        <v>0.36272130412438419</v>
      </c>
      <c r="J241">
        <v>2.6657576576870401E-2</v>
      </c>
    </row>
    <row r="242" spans="1:10">
      <c r="A242" s="568">
        <v>44180</v>
      </c>
      <c r="B242">
        <v>2.9228243308394353E-2</v>
      </c>
      <c r="C242">
        <v>0.1393429405022959</v>
      </c>
      <c r="D242">
        <v>0.10862644755136852</v>
      </c>
      <c r="E242">
        <v>5.6085050204876419E-2</v>
      </c>
      <c r="F242">
        <v>8.350823385248507E-2</v>
      </c>
      <c r="G242">
        <v>3.4356109177734906E-2</v>
      </c>
      <c r="H242">
        <v>5.9038420021516824E-2</v>
      </c>
      <c r="I242">
        <v>0.36834685860508531</v>
      </c>
      <c r="J242">
        <v>2.6734259982603481E-2</v>
      </c>
    </row>
    <row r="243" spans="1:10">
      <c r="A243" s="568">
        <v>44181</v>
      </c>
      <c r="B243">
        <v>2.9323112660460282E-2</v>
      </c>
      <c r="C243">
        <v>0.13996239740489247</v>
      </c>
      <c r="D243">
        <v>0.10927556224394697</v>
      </c>
      <c r="E243">
        <v>5.6994960596640221E-2</v>
      </c>
      <c r="F243">
        <v>8.5785342590490421E-2</v>
      </c>
      <c r="G243">
        <v>3.4454231453393325E-2</v>
      </c>
      <c r="H243">
        <v>7.0180573527502954E-2</v>
      </c>
      <c r="I243">
        <v>0.37806389775088634</v>
      </c>
      <c r="J243">
        <v>2.6810949115995575E-2</v>
      </c>
    </row>
    <row r="244" spans="1:10">
      <c r="A244" s="568">
        <v>44182</v>
      </c>
      <c r="B244">
        <v>2.9461084604989418E-2</v>
      </c>
      <c r="C244">
        <v>0.14058219110411141</v>
      </c>
      <c r="D244">
        <v>0.11032821950076066</v>
      </c>
      <c r="E244">
        <v>5.9954941498306047E-2</v>
      </c>
      <c r="F244">
        <v>8.881383295212375E-2</v>
      </c>
      <c r="G244">
        <v>3.5988859337796164E-2</v>
      </c>
      <c r="H244">
        <v>7.440062586417695E-2</v>
      </c>
      <c r="I244">
        <v>0.38333164708176892</v>
      </c>
      <c r="J244">
        <v>2.6887643977474784E-2</v>
      </c>
    </row>
    <row r="245" spans="1:10">
      <c r="A245" s="568">
        <v>44183</v>
      </c>
      <c r="B245">
        <v>2.9608270786839253E-2</v>
      </c>
      <c r="C245">
        <v>0.14120232178306802</v>
      </c>
      <c r="D245">
        <v>0.11109679332997757</v>
      </c>
      <c r="E245">
        <v>5.9648376706815665E-2</v>
      </c>
      <c r="F245">
        <v>8.8678562294554952E-2</v>
      </c>
      <c r="G245">
        <v>3.5600016003254131E-2</v>
      </c>
      <c r="H245">
        <v>7.2914163147048461E-2</v>
      </c>
      <c r="I245">
        <v>0.38052955569926517</v>
      </c>
      <c r="J245">
        <v>2.6964344567468768E-2</v>
      </c>
    </row>
    <row r="246" spans="1:10">
      <c r="A246" s="568">
        <v>44186</v>
      </c>
      <c r="B246">
        <v>2.9740235656067426E-2</v>
      </c>
      <c r="C246">
        <v>0.14182278962497707</v>
      </c>
      <c r="D246">
        <v>0.11188915977937874</v>
      </c>
      <c r="E246">
        <v>5.7156722444065E-2</v>
      </c>
      <c r="F246">
        <v>8.5210630008949906E-2</v>
      </c>
      <c r="G246">
        <v>3.4216610700552152E-2</v>
      </c>
      <c r="H246">
        <v>5.5888493524300253E-2</v>
      </c>
      <c r="I246">
        <v>0.38396307499418736</v>
      </c>
      <c r="J246">
        <v>2.7041050886405626E-2</v>
      </c>
    </row>
    <row r="247" spans="1:10">
      <c r="A247" s="568">
        <v>44187</v>
      </c>
      <c r="B247">
        <v>2.9963850394530311E-2</v>
      </c>
      <c r="C247">
        <v>0.14244359481315283</v>
      </c>
      <c r="D247">
        <v>0.11269216293371409</v>
      </c>
      <c r="E247">
        <v>5.7653748765587487E-2</v>
      </c>
      <c r="F247">
        <v>8.3224615332320395E-2</v>
      </c>
      <c r="G247">
        <v>3.5005734005216116E-2</v>
      </c>
      <c r="H247">
        <v>6.1948123616734518E-2</v>
      </c>
      <c r="I247">
        <v>0.38267401198275941</v>
      </c>
      <c r="J247">
        <v>2.7117762934713019E-2</v>
      </c>
    </row>
    <row r="248" spans="1:10">
      <c r="A248" s="568">
        <v>44188</v>
      </c>
      <c r="B248">
        <v>3.0128702048392686E-2</v>
      </c>
      <c r="C248">
        <v>0.14306473753100946</v>
      </c>
      <c r="D248">
        <v>0.11433668050744017</v>
      </c>
      <c r="E248">
        <v>5.8373197627318962E-2</v>
      </c>
      <c r="F248">
        <v>8.6577024384050461E-2</v>
      </c>
      <c r="G248">
        <v>3.6744110591469648E-2</v>
      </c>
      <c r="H248">
        <v>7.2522523692692076E-2</v>
      </c>
      <c r="I248">
        <v>0.39786073304786784</v>
      </c>
      <c r="J248">
        <v>2.7194480712819047E-2</v>
      </c>
    </row>
    <row r="249" spans="1:10">
      <c r="A249" s="568">
        <v>44189</v>
      </c>
      <c r="B249">
        <v>3.0274135681552794E-2</v>
      </c>
      <c r="C249">
        <v>0.1436862179620606</v>
      </c>
      <c r="D249">
        <v>0.11521823526283348</v>
      </c>
      <c r="E249">
        <v>5.9865581122914291E-2</v>
      </c>
      <c r="F249">
        <v>8.6976159112043927E-2</v>
      </c>
      <c r="G249">
        <v>3.6822574922932949E-2</v>
      </c>
      <c r="H249">
        <v>7.2381494241638755E-2</v>
      </c>
      <c r="I249">
        <v>0.38684070329695608</v>
      </c>
      <c r="J249">
        <v>2.727120422115159E-2</v>
      </c>
    </row>
    <row r="250" spans="1:10">
      <c r="A250" s="568">
        <v>44193</v>
      </c>
      <c r="B250">
        <v>3.0353458144127154E-2</v>
      </c>
      <c r="C250">
        <v>0.14430803628991962</v>
      </c>
      <c r="D250">
        <v>0.11575678771932241</v>
      </c>
      <c r="E250">
        <v>5.9823836130030505E-2</v>
      </c>
      <c r="F250">
        <v>8.8431138796881026E-2</v>
      </c>
      <c r="G250">
        <v>3.7392734167440045E-2</v>
      </c>
      <c r="H250">
        <v>8.23137909197873E-2</v>
      </c>
      <c r="I250">
        <v>0.39783781335001156</v>
      </c>
      <c r="J250">
        <v>2.7347933460138751E-2</v>
      </c>
    </row>
    <row r="251" spans="1:10">
      <c r="A251" s="568">
        <v>44194</v>
      </c>
      <c r="B251">
        <v>3.0478010781898268E-2</v>
      </c>
      <c r="C251">
        <v>0.14493019269829999</v>
      </c>
      <c r="D251">
        <v>0.11730690851216941</v>
      </c>
      <c r="E251">
        <v>6.1980878184197286E-2</v>
      </c>
      <c r="F251">
        <v>9.0218050005369532E-2</v>
      </c>
      <c r="G251">
        <v>3.8318903147406269E-2</v>
      </c>
      <c r="H251">
        <v>8.4514861508452332E-2</v>
      </c>
      <c r="I251">
        <v>0.40172652167306544</v>
      </c>
      <c r="J251">
        <v>2.742466843020841E-2</v>
      </c>
    </row>
    <row r="252" spans="1:10">
      <c r="A252" s="568">
        <v>44195</v>
      </c>
      <c r="B252">
        <v>3.0630224533138017E-2</v>
      </c>
      <c r="C252">
        <v>0.14555268737101512</v>
      </c>
      <c r="D252">
        <v>0.11842013660967821</v>
      </c>
      <c r="E252">
        <v>6.2426375530129086E-2</v>
      </c>
      <c r="F252">
        <v>9.2399592053578061E-2</v>
      </c>
      <c r="G252">
        <v>3.9893603802197752E-2</v>
      </c>
      <c r="H252">
        <v>8.3585603112455331E-2</v>
      </c>
      <c r="I252">
        <v>0.41424074448001358</v>
      </c>
      <c r="J252">
        <v>2.7501409131788668E-2</v>
      </c>
    </row>
    <row r="253" spans="1:10">
      <c r="A253" s="568">
        <v>44196</v>
      </c>
      <c r="B253">
        <v>3.0771010275779442E-2</v>
      </c>
      <c r="C253">
        <v>0.14617552049197791</v>
      </c>
      <c r="D253">
        <v>0.11929863615338654</v>
      </c>
      <c r="E253">
        <v>6.3948110973845784E-2</v>
      </c>
      <c r="F253">
        <v>9.2598846544152735E-2</v>
      </c>
      <c r="G253">
        <v>3.9783329241296128E-2</v>
      </c>
      <c r="H253">
        <v>8.3548095704091274E-2</v>
      </c>
      <c r="I253">
        <v>0.41963929130466671</v>
      </c>
      <c r="J253">
        <v>2.7578155565307849E-2</v>
      </c>
    </row>
    <row r="254" spans="1:10">
      <c r="A254" s="568">
        <v>44200</v>
      </c>
      <c r="B254">
        <v>3.0917584965933109E-2</v>
      </c>
      <c r="C254">
        <v>0.14679869224520181</v>
      </c>
      <c r="D254">
        <v>0.11969643152349385</v>
      </c>
      <c r="E254">
        <v>6.3232575705197247E-2</v>
      </c>
      <c r="F254">
        <v>9.2267659305288241E-2</v>
      </c>
      <c r="G254">
        <v>4.0472139237365479E-2</v>
      </c>
      <c r="H254">
        <v>8.1985536931377556E-2</v>
      </c>
      <c r="I254">
        <v>0.42716698104037487</v>
      </c>
      <c r="J254">
        <v>2.7654907731193834E-2</v>
      </c>
    </row>
    <row r="255" spans="1:10">
      <c r="A255" s="568">
        <v>44201</v>
      </c>
      <c r="B255">
        <v>3.1034113375260741E-2</v>
      </c>
      <c r="C255">
        <v>0.14742220281479979</v>
      </c>
      <c r="D255">
        <v>0.11987396121389482</v>
      </c>
      <c r="E255">
        <v>6.2126985659290757E-2</v>
      </c>
      <c r="F255">
        <v>9.5488099578923347E-2</v>
      </c>
      <c r="G255">
        <v>4.0694229185133768E-2</v>
      </c>
      <c r="H255">
        <v>8.6018633976536529E-2</v>
      </c>
      <c r="I255">
        <v>0.44863364636233172</v>
      </c>
      <c r="J255">
        <v>2.7731665629874946E-2</v>
      </c>
    </row>
    <row r="256" spans="1:10">
      <c r="A256" s="568">
        <v>44202</v>
      </c>
      <c r="B256">
        <v>3.1187713891938529E-2</v>
      </c>
      <c r="C256">
        <v>0.14804605238498536</v>
      </c>
      <c r="D256">
        <v>0.12015702703242903</v>
      </c>
      <c r="E256">
        <v>6.2587485112040042E-2</v>
      </c>
      <c r="F256">
        <v>9.6361402410600538E-2</v>
      </c>
      <c r="G256">
        <v>3.8848870664188961E-2</v>
      </c>
      <c r="H256">
        <v>8.0356136873996453E-2</v>
      </c>
      <c r="I256">
        <v>0.45614967588301236</v>
      </c>
      <c r="J256">
        <v>2.7808429261779288E-2</v>
      </c>
    </row>
    <row r="257" spans="1:10">
      <c r="A257" s="568">
        <v>44203</v>
      </c>
      <c r="B257">
        <v>3.134007342308065E-2</v>
      </c>
      <c r="C257">
        <v>0.14867024114007177</v>
      </c>
      <c r="D257">
        <v>0.11975630284596428</v>
      </c>
      <c r="E257">
        <v>6.2894702169044026E-2</v>
      </c>
      <c r="F257">
        <v>9.8769167264150637E-2</v>
      </c>
      <c r="G257">
        <v>3.9325232796908915E-2</v>
      </c>
      <c r="H257">
        <v>0.10716257123685291</v>
      </c>
      <c r="I257">
        <v>0.48225303326722724</v>
      </c>
      <c r="J257">
        <v>2.7885198627335184E-2</v>
      </c>
    </row>
    <row r="258" spans="1:10">
      <c r="A258" s="568">
        <v>44204</v>
      </c>
      <c r="B258">
        <v>3.1668366469810971E-2</v>
      </c>
      <c r="C258">
        <v>0.14929476926447283</v>
      </c>
      <c r="D258">
        <v>0.12018195371952656</v>
      </c>
      <c r="E258">
        <v>6.2866002486436479E-2</v>
      </c>
      <c r="F258">
        <v>0.10196712775205752</v>
      </c>
      <c r="G258">
        <v>4.0720911713249874E-2</v>
      </c>
      <c r="H258">
        <v>0.12824907070428138</v>
      </c>
      <c r="I258">
        <v>0.50449157212264617</v>
      </c>
      <c r="J258">
        <v>2.7961973726970735E-2</v>
      </c>
    </row>
    <row r="259" spans="1:10">
      <c r="A259" s="568">
        <v>44207</v>
      </c>
      <c r="B259">
        <v>3.180716190838595E-2</v>
      </c>
      <c r="C259">
        <v>0.14991963694270249</v>
      </c>
      <c r="D259">
        <v>0.11917175967578419</v>
      </c>
      <c r="E259">
        <v>6.0562200691662627E-2</v>
      </c>
      <c r="F259">
        <v>9.8834880538215319E-2</v>
      </c>
      <c r="G259">
        <v>3.9503415196518565E-2</v>
      </c>
      <c r="H259">
        <v>0.11653293661418451</v>
      </c>
      <c r="I259">
        <v>0.51397495126339376</v>
      </c>
      <c r="J259">
        <v>2.8038754561114265E-2</v>
      </c>
    </row>
    <row r="260" spans="1:10">
      <c r="A260" s="568">
        <v>44208</v>
      </c>
      <c r="B260">
        <v>3.1974744791046783E-2</v>
      </c>
      <c r="C260">
        <v>0.1505448443593751</v>
      </c>
      <c r="D260">
        <v>0.12095013929025722</v>
      </c>
      <c r="E260">
        <v>6.1223597922665185E-2</v>
      </c>
      <c r="F260">
        <v>0.10203062557100129</v>
      </c>
      <c r="G260">
        <v>3.9289359797370915E-2</v>
      </c>
      <c r="H260">
        <v>0.12275997852858689</v>
      </c>
      <c r="I260">
        <v>0.48436716071772756</v>
      </c>
      <c r="J260">
        <v>2.8115541130194099E-2</v>
      </c>
    </row>
    <row r="261" spans="1:10">
      <c r="A261" s="568">
        <v>44209</v>
      </c>
      <c r="B261">
        <v>3.2128781021923958E-2</v>
      </c>
      <c r="C261">
        <v>0.1511703916992051</v>
      </c>
      <c r="D261">
        <v>0.12074645615641488</v>
      </c>
      <c r="E261">
        <v>6.3078641043938344E-2</v>
      </c>
      <c r="F261">
        <v>0.10047995581008018</v>
      </c>
      <c r="G261">
        <v>3.7519277304228105E-2</v>
      </c>
      <c r="H261">
        <v>0.10812724983825817</v>
      </c>
      <c r="I261">
        <v>0.48729267137354215</v>
      </c>
      <c r="J261">
        <v>2.8192333434638783E-2</v>
      </c>
    </row>
    <row r="262" spans="1:10">
      <c r="A262" s="568">
        <v>44210</v>
      </c>
      <c r="B262">
        <v>3.228258410135787E-2</v>
      </c>
      <c r="C262">
        <v>0.15179627914700777</v>
      </c>
      <c r="D262">
        <v>0.12226064442753293</v>
      </c>
      <c r="E262">
        <v>6.4089000324828671E-2</v>
      </c>
      <c r="F262">
        <v>0.1023998585893795</v>
      </c>
      <c r="G262">
        <v>3.7884549789494182E-2</v>
      </c>
      <c r="H262">
        <v>0.12038205211573216</v>
      </c>
      <c r="I262">
        <v>0.47570728097584203</v>
      </c>
      <c r="J262">
        <v>2.8269131474876419E-2</v>
      </c>
    </row>
    <row r="263" spans="1:10">
      <c r="A263" s="568">
        <v>44211</v>
      </c>
      <c r="B263">
        <v>3.2851258065435207E-2</v>
      </c>
      <c r="C263">
        <v>0.15242250688769854</v>
      </c>
      <c r="D263">
        <v>0.12284981486462421</v>
      </c>
      <c r="E263">
        <v>6.43701267612804E-2</v>
      </c>
      <c r="F263">
        <v>9.9235432306236548E-2</v>
      </c>
      <c r="G263">
        <v>3.5237679501737951E-2</v>
      </c>
      <c r="H263">
        <v>9.8437129875981633E-2</v>
      </c>
      <c r="I263">
        <v>0.48245837815970893</v>
      </c>
      <c r="J263">
        <v>2.8345935251335552E-2</v>
      </c>
    </row>
    <row r="264" spans="1:10">
      <c r="A264" s="568">
        <v>44214</v>
      </c>
      <c r="B264">
        <v>3.3022731806087391E-2</v>
      </c>
      <c r="C264">
        <v>0.1530490751062934</v>
      </c>
      <c r="D264">
        <v>0.12339470124091778</v>
      </c>
      <c r="E264">
        <v>6.4327729502882791E-2</v>
      </c>
      <c r="F264">
        <v>9.8826625920753752E-2</v>
      </c>
      <c r="G264">
        <v>3.577596513334913E-2</v>
      </c>
      <c r="H264">
        <v>0.10459196461539366</v>
      </c>
      <c r="I264">
        <v>0.48606195993472023</v>
      </c>
      <c r="J264">
        <v>2.842274476444473E-2</v>
      </c>
    </row>
    <row r="265" spans="1:10">
      <c r="A265" s="568">
        <v>44215</v>
      </c>
      <c r="B265">
        <v>3.3189390309143585E-2</v>
      </c>
      <c r="C265">
        <v>0.15367598398790916</v>
      </c>
      <c r="D265">
        <v>0.1234946567610391</v>
      </c>
      <c r="E265">
        <v>6.5961002349460784E-2</v>
      </c>
      <c r="F265">
        <v>9.9472730748577654E-2</v>
      </c>
      <c r="G265">
        <v>3.6361109672193859E-2</v>
      </c>
      <c r="H265">
        <v>0.10097370613549583</v>
      </c>
      <c r="I265">
        <v>0.52145402494512338</v>
      </c>
      <c r="J265">
        <v>2.8499560014632275E-2</v>
      </c>
    </row>
    <row r="266" spans="1:10">
      <c r="A266" s="568">
        <v>44216</v>
      </c>
      <c r="B266">
        <v>3.3331631165318232E-2</v>
      </c>
      <c r="C266">
        <v>0.15430323371776322</v>
      </c>
      <c r="D266">
        <v>0.1239148566035646</v>
      </c>
      <c r="E266">
        <v>6.7219874791112355E-2</v>
      </c>
      <c r="F266">
        <v>0.10203351862413923</v>
      </c>
      <c r="G266">
        <v>3.692861550063542E-2</v>
      </c>
      <c r="H266">
        <v>9.6921508279281365E-2</v>
      </c>
      <c r="I266">
        <v>0.53873459625386877</v>
      </c>
      <c r="J266">
        <v>2.8576381002326956E-2</v>
      </c>
    </row>
    <row r="267" spans="1:10">
      <c r="A267" s="568">
        <v>44217</v>
      </c>
      <c r="B267">
        <v>3.3452517538430593E-2</v>
      </c>
      <c r="C267">
        <v>0.15493082448117357</v>
      </c>
      <c r="D267">
        <v>0.12356860594480179</v>
      </c>
      <c r="E267">
        <v>6.8374384750554462E-2</v>
      </c>
      <c r="F267">
        <v>0.10175550777163633</v>
      </c>
      <c r="G267">
        <v>3.7221436201924529E-2</v>
      </c>
      <c r="H267">
        <v>8.9401159121304863E-2</v>
      </c>
      <c r="I267">
        <v>0.55227979750867573</v>
      </c>
      <c r="J267">
        <v>2.8653207727957097E-2</v>
      </c>
    </row>
    <row r="268" spans="1:10">
      <c r="A268" s="568">
        <v>44218</v>
      </c>
      <c r="B268">
        <v>3.3711525365674122E-2</v>
      </c>
      <c r="C268">
        <v>0.15555875646355899</v>
      </c>
      <c r="D268">
        <v>0.12343938918519282</v>
      </c>
      <c r="E268">
        <v>6.6765245727987477E-2</v>
      </c>
      <c r="F268">
        <v>9.7890613809217486E-2</v>
      </c>
      <c r="G268">
        <v>3.6682543191408845E-2</v>
      </c>
      <c r="H268">
        <v>8.2752726540143984E-2</v>
      </c>
      <c r="I268">
        <v>0.56477648986309226</v>
      </c>
      <c r="J268">
        <v>2.8730040191951245E-2</v>
      </c>
    </row>
    <row r="269" spans="1:10">
      <c r="A269" s="568">
        <v>44221</v>
      </c>
      <c r="B269">
        <v>3.3853407981531358E-2</v>
      </c>
      <c r="C269">
        <v>0.15618702985043909</v>
      </c>
      <c r="D269">
        <v>0.12382882749723434</v>
      </c>
      <c r="E269">
        <v>6.6544127718806134E-2</v>
      </c>
      <c r="F269">
        <v>9.7442827185034497E-2</v>
      </c>
      <c r="G269">
        <v>3.6325360928915584E-2</v>
      </c>
      <c r="H269">
        <v>8.2502385469505946E-2</v>
      </c>
      <c r="I269">
        <v>0.57713851171504493</v>
      </c>
      <c r="J269">
        <v>2.8806878394738167E-2</v>
      </c>
    </row>
    <row r="270" spans="1:10">
      <c r="A270" s="568">
        <v>44222</v>
      </c>
      <c r="B270">
        <v>3.4073791681884513E-2</v>
      </c>
      <c r="C270">
        <v>0.15681564482743426</v>
      </c>
      <c r="D270">
        <v>0.12456177148917336</v>
      </c>
      <c r="E270">
        <v>6.6690887459412984E-2</v>
      </c>
      <c r="F270">
        <v>9.5926884604622176E-2</v>
      </c>
      <c r="G270">
        <v>3.4495352064385143E-2</v>
      </c>
      <c r="H270">
        <v>7.4493895485216788E-2</v>
      </c>
      <c r="I270">
        <v>0.5466897501298027</v>
      </c>
      <c r="J270">
        <v>2.8883722336746409E-2</v>
      </c>
    </row>
    <row r="271" spans="1:10">
      <c r="A271" s="568">
        <v>44223</v>
      </c>
      <c r="B271">
        <v>3.4251670123166766E-2</v>
      </c>
      <c r="C271">
        <v>0.15744460158026596</v>
      </c>
      <c r="D271">
        <v>0.1255046045535364</v>
      </c>
      <c r="E271">
        <v>6.5502459693252746E-2</v>
      </c>
      <c r="F271">
        <v>8.9677301455758363E-2</v>
      </c>
      <c r="G271">
        <v>3.2475669417512121E-2</v>
      </c>
      <c r="H271">
        <v>6.6229917485910006E-2</v>
      </c>
      <c r="I271">
        <v>0.52124588422678331</v>
      </c>
      <c r="J271">
        <v>2.896057201840474E-2</v>
      </c>
    </row>
    <row r="272" spans="1:10">
      <c r="A272" s="568">
        <v>44224</v>
      </c>
      <c r="B272">
        <v>3.4374151482105653E-2</v>
      </c>
      <c r="C272">
        <v>0.15807390029475665</v>
      </c>
      <c r="D272">
        <v>0.12664233740355813</v>
      </c>
      <c r="E272">
        <v>6.6112327948664396E-2</v>
      </c>
      <c r="F272">
        <v>9.3212836404897415E-2</v>
      </c>
      <c r="G272">
        <v>3.5116690584369836E-2</v>
      </c>
      <c r="H272">
        <v>8.896640299333014E-2</v>
      </c>
      <c r="I272">
        <v>0.52776807779354162</v>
      </c>
      <c r="J272">
        <v>2.9037427440141705E-2</v>
      </c>
    </row>
    <row r="273" spans="1:10">
      <c r="A273" s="568">
        <v>44225</v>
      </c>
      <c r="B273">
        <v>3.4541770405962291E-2</v>
      </c>
      <c r="C273">
        <v>0.15870354115682961</v>
      </c>
      <c r="D273">
        <v>0.12782842090391022</v>
      </c>
      <c r="E273">
        <v>6.7565575513431009E-2</v>
      </c>
      <c r="F273">
        <v>8.7219686763652993E-2</v>
      </c>
      <c r="G273">
        <v>3.3453845769677137E-2</v>
      </c>
      <c r="H273">
        <v>6.3710766178895373E-2</v>
      </c>
      <c r="I273">
        <v>0.51305874524908446</v>
      </c>
      <c r="J273">
        <v>2.9114288602386296E-2</v>
      </c>
    </row>
    <row r="274" spans="1:10">
      <c r="A274" s="568">
        <v>44228</v>
      </c>
      <c r="B274">
        <v>3.4689668303688803E-2</v>
      </c>
      <c r="C274">
        <v>0.15933352435250936</v>
      </c>
      <c r="D274">
        <v>0.12843830577420845</v>
      </c>
      <c r="E274">
        <v>6.7640586047519102E-2</v>
      </c>
      <c r="F274">
        <v>9.4707826860825906E-2</v>
      </c>
      <c r="G274">
        <v>3.7145922661949049E-2</v>
      </c>
      <c r="H274">
        <v>8.5158769717364802E-2</v>
      </c>
      <c r="I274">
        <v>0.53264905374390215</v>
      </c>
      <c r="J274">
        <v>2.9191155505567057E-2</v>
      </c>
    </row>
    <row r="275" spans="1:10">
      <c r="A275" s="568">
        <v>44229</v>
      </c>
      <c r="B275">
        <v>3.4847336729251221E-2</v>
      </c>
      <c r="C275">
        <v>0.15996385006792146</v>
      </c>
      <c r="D275">
        <v>0.12985557469572795</v>
      </c>
      <c r="E275">
        <v>6.8784659758740263E-2</v>
      </c>
      <c r="F275">
        <v>9.9797089790656601E-2</v>
      </c>
      <c r="G275">
        <v>3.8765311898796728E-2</v>
      </c>
      <c r="H275">
        <v>9.1102145093820308E-2</v>
      </c>
      <c r="I275">
        <v>0.54196108651157449</v>
      </c>
      <c r="J275">
        <v>2.9268028150112757E-2</v>
      </c>
    </row>
    <row r="276" spans="1:10">
      <c r="A276" s="568">
        <v>44230</v>
      </c>
      <c r="B276">
        <v>3.4999612239946298E-2</v>
      </c>
      <c r="C276">
        <v>0.16059451848929274</v>
      </c>
      <c r="D276">
        <v>0.13079079334260757</v>
      </c>
      <c r="E276">
        <v>7.0843861985835588E-2</v>
      </c>
      <c r="F276">
        <v>0.10294857211938213</v>
      </c>
      <c r="G276">
        <v>3.9680968817884299E-2</v>
      </c>
      <c r="H276">
        <v>0.10278844289360189</v>
      </c>
      <c r="I276">
        <v>0.55472040130222733</v>
      </c>
      <c r="J276">
        <v>2.9344906536452386E-2</v>
      </c>
    </row>
    <row r="277" spans="1:10">
      <c r="A277" s="568">
        <v>44231</v>
      </c>
      <c r="B277">
        <v>3.5175384104778162E-2</v>
      </c>
      <c r="C277">
        <v>0.16122552980295124</v>
      </c>
      <c r="D277">
        <v>0.13098441477528944</v>
      </c>
      <c r="E277">
        <v>7.1962497342018317E-2</v>
      </c>
      <c r="F277">
        <v>0.10510227894383961</v>
      </c>
      <c r="G277">
        <v>4.0754667529056876E-2</v>
      </c>
      <c r="H277">
        <v>0.10882741640673443</v>
      </c>
      <c r="I277">
        <v>0.57005949736893147</v>
      </c>
      <c r="J277">
        <v>2.9421790665014713E-2</v>
      </c>
    </row>
    <row r="278" spans="1:10">
      <c r="A278" s="568">
        <v>44232</v>
      </c>
      <c r="B278">
        <v>3.5345013023341698E-2</v>
      </c>
      <c r="C278">
        <v>0.16185688419532651</v>
      </c>
      <c r="D278">
        <v>0.13177251773256415</v>
      </c>
      <c r="E278">
        <v>7.3819497259832945E-2</v>
      </c>
      <c r="F278">
        <v>0.1088930738134648</v>
      </c>
      <c r="G278">
        <v>4.4025162369878856E-2</v>
      </c>
      <c r="H278">
        <v>0.12853316147129257</v>
      </c>
      <c r="I278">
        <v>0.56177382889954308</v>
      </c>
      <c r="J278">
        <v>2.9498680536228727E-2</v>
      </c>
    </row>
    <row r="279" spans="1:10">
      <c r="A279" s="568">
        <v>44235</v>
      </c>
      <c r="B279">
        <v>3.5504518231955773E-2</v>
      </c>
      <c r="C279">
        <v>0.16248858185294912</v>
      </c>
      <c r="D279">
        <v>0.13232389984251625</v>
      </c>
      <c r="E279">
        <v>7.5039886036169623E-2</v>
      </c>
      <c r="F279">
        <v>0.11113289849312458</v>
      </c>
      <c r="G279">
        <v>4.420243519489353E-2</v>
      </c>
      <c r="H279">
        <v>0.1307913208411231</v>
      </c>
      <c r="I279">
        <v>0.56841107330604168</v>
      </c>
      <c r="J279">
        <v>2.9575576150523419E-2</v>
      </c>
    </row>
    <row r="280" spans="1:10">
      <c r="A280" s="568">
        <v>44236</v>
      </c>
      <c r="B280">
        <v>3.5621240735746351E-2</v>
      </c>
      <c r="C280">
        <v>0.16312062296245133</v>
      </c>
      <c r="D280">
        <v>0.1321786671795917</v>
      </c>
      <c r="E280">
        <v>7.5559741650675472E-2</v>
      </c>
      <c r="F280">
        <v>0.1105985269272749</v>
      </c>
      <c r="G280">
        <v>4.3916487840061524E-2</v>
      </c>
      <c r="H280">
        <v>0.12788225286002652</v>
      </c>
      <c r="I280">
        <v>0.58002781547992877</v>
      </c>
      <c r="J280">
        <v>2.9652477508327557E-2</v>
      </c>
    </row>
    <row r="281" spans="1:10">
      <c r="A281" s="568">
        <v>44237</v>
      </c>
      <c r="B281">
        <v>3.5821674562712014E-2</v>
      </c>
      <c r="C281">
        <v>0.16375300771056667</v>
      </c>
      <c r="D281">
        <v>0.13347133452625815</v>
      </c>
      <c r="E281">
        <v>7.6294844884738255E-2</v>
      </c>
      <c r="F281">
        <v>0.10873489886097931</v>
      </c>
      <c r="G281">
        <v>4.2996152680401911E-2</v>
      </c>
      <c r="H281">
        <v>0.11479560590238802</v>
      </c>
      <c r="I281">
        <v>0.5915404346964046</v>
      </c>
      <c r="J281">
        <v>2.9729384610070353E-2</v>
      </c>
    </row>
    <row r="282" spans="1:10">
      <c r="A282" s="568">
        <v>44238</v>
      </c>
      <c r="B282">
        <v>3.6031784822576185E-2</v>
      </c>
      <c r="C282">
        <v>0.16438573628413033</v>
      </c>
      <c r="D282">
        <v>0.13416408969650639</v>
      </c>
      <c r="E282">
        <v>7.6729905982449109E-2</v>
      </c>
      <c r="F282">
        <v>0.11172698192333552</v>
      </c>
      <c r="G282">
        <v>4.3763766046928776E-2</v>
      </c>
      <c r="H282">
        <v>0.12049938705306906</v>
      </c>
      <c r="I282">
        <v>0.59629709175505963</v>
      </c>
      <c r="J282">
        <v>2.9806297456180575E-2</v>
      </c>
    </row>
    <row r="283" spans="1:10">
      <c r="A283" s="568">
        <v>44239</v>
      </c>
      <c r="B283">
        <v>3.6221236574720095E-2</v>
      </c>
      <c r="C283">
        <v>0.16501880887007903</v>
      </c>
      <c r="D283">
        <v>0.13473408732870484</v>
      </c>
      <c r="E283">
        <v>7.5714980842962021E-2</v>
      </c>
      <c r="F283">
        <v>0.11502731649780018</v>
      </c>
      <c r="G283">
        <v>4.3676519601955066E-2</v>
      </c>
      <c r="H283">
        <v>0.1221763386442245</v>
      </c>
      <c r="I283">
        <v>0.6006138696800809</v>
      </c>
      <c r="J283">
        <v>2.9883216047087435E-2</v>
      </c>
    </row>
    <row r="284" spans="1:10">
      <c r="A284" s="568">
        <v>44244</v>
      </c>
      <c r="B284">
        <v>3.6416076753355897E-2</v>
      </c>
      <c r="C284">
        <v>0.16565222565545112</v>
      </c>
      <c r="D284">
        <v>0.13482078004040443</v>
      </c>
      <c r="E284">
        <v>7.2615415121341176E-2</v>
      </c>
      <c r="F284">
        <v>0.12028804857894104</v>
      </c>
      <c r="G284">
        <v>4.5091528966039629E-2</v>
      </c>
      <c r="H284">
        <v>0.12922635531287874</v>
      </c>
      <c r="I284">
        <v>0.61609260464683291</v>
      </c>
      <c r="J284">
        <v>2.9960140383220146E-2</v>
      </c>
    </row>
    <row r="285" spans="1:10">
      <c r="A285" s="568">
        <v>44245</v>
      </c>
      <c r="B285">
        <v>3.6630630984987089E-2</v>
      </c>
      <c r="C285">
        <v>0.16628598682738671</v>
      </c>
      <c r="D285">
        <v>0.13616105757967056</v>
      </c>
      <c r="E285">
        <v>7.2488875611662174E-2</v>
      </c>
      <c r="F285">
        <v>0.11879022215850488</v>
      </c>
      <c r="G285">
        <v>4.5408284438702706E-2</v>
      </c>
      <c r="H285">
        <v>0.12227066754899552</v>
      </c>
      <c r="I285">
        <v>0.6048047935333265</v>
      </c>
      <c r="J285">
        <v>3.0037070465007698E-2</v>
      </c>
    </row>
    <row r="286" spans="1:10">
      <c r="A286" s="568">
        <v>44246</v>
      </c>
      <c r="B286">
        <v>3.6805515728802529E-2</v>
      </c>
      <c r="C286">
        <v>0.16692009257312757</v>
      </c>
      <c r="D286">
        <v>0.13661817651054298</v>
      </c>
      <c r="E286">
        <v>7.211904106533229E-2</v>
      </c>
      <c r="F286">
        <v>0.12130621850774737</v>
      </c>
      <c r="G286">
        <v>4.6755179454600837E-2</v>
      </c>
      <c r="H286">
        <v>0.12588330154711969</v>
      </c>
      <c r="I286">
        <v>0.60027174624610358</v>
      </c>
      <c r="J286">
        <v>3.0114006292879081E-2</v>
      </c>
    </row>
    <row r="287" spans="1:10">
      <c r="A287" s="568">
        <v>44249</v>
      </c>
      <c r="B287">
        <v>3.6990367198362017E-2</v>
      </c>
      <c r="C287">
        <v>0.16755454308001738</v>
      </c>
      <c r="D287">
        <v>0.13591656120721307</v>
      </c>
      <c r="E287">
        <v>6.8942508013081882E-2</v>
      </c>
      <c r="F287">
        <v>0.11506128552979522</v>
      </c>
      <c r="G287">
        <v>4.467779203174671E-2</v>
      </c>
      <c r="H287">
        <v>9.4253762677686259E-2</v>
      </c>
      <c r="I287">
        <v>0.58860874123648843</v>
      </c>
      <c r="J287">
        <v>3.0190947867263729E-2</v>
      </c>
    </row>
    <row r="288" spans="1:10">
      <c r="A288" s="568">
        <v>44250</v>
      </c>
      <c r="B288">
        <v>3.7158290728692922E-2</v>
      </c>
      <c r="C288">
        <v>0.16818933853550155</v>
      </c>
      <c r="D288">
        <v>0.13666515212804531</v>
      </c>
      <c r="E288">
        <v>6.9592816730349671E-2</v>
      </c>
      <c r="F288">
        <v>0.11695431007585544</v>
      </c>
      <c r="G288">
        <v>4.4116035453264812E-2</v>
      </c>
      <c r="H288">
        <v>0.110062559987401</v>
      </c>
      <c r="I288">
        <v>0.57906907724165624</v>
      </c>
      <c r="J288">
        <v>3.0267895188590854E-2</v>
      </c>
    </row>
    <row r="289" spans="1:10">
      <c r="A289" s="568">
        <v>44251</v>
      </c>
      <c r="B289">
        <v>3.7337652337350979E-2</v>
      </c>
      <c r="C289">
        <v>0.16882447912712761</v>
      </c>
      <c r="D289">
        <v>0.13664284712882346</v>
      </c>
      <c r="E289">
        <v>6.8832927406762057E-2</v>
      </c>
      <c r="F289">
        <v>0.12066356948352097</v>
      </c>
      <c r="G289">
        <v>4.5890835206315428E-2</v>
      </c>
      <c r="H289">
        <v>0.11683234476922233</v>
      </c>
      <c r="I289">
        <v>0.57195447605176031</v>
      </c>
      <c r="J289">
        <v>3.0344848257289669E-2</v>
      </c>
    </row>
    <row r="290" spans="1:10">
      <c r="A290" s="568">
        <v>44252</v>
      </c>
      <c r="B290">
        <v>3.7477044372998813E-2</v>
      </c>
      <c r="C290">
        <v>0.16945996504254479</v>
      </c>
      <c r="D290">
        <v>0.13598908427068013</v>
      </c>
      <c r="E290">
        <v>6.3270407104998094E-2</v>
      </c>
      <c r="F290">
        <v>0.11453666964501363</v>
      </c>
      <c r="G290">
        <v>4.3869724723551551E-2</v>
      </c>
      <c r="H290">
        <v>8.7582069290767617E-2</v>
      </c>
      <c r="I290">
        <v>0.5701838315216794</v>
      </c>
      <c r="J290">
        <v>3.0421807073789386E-2</v>
      </c>
    </row>
    <row r="291" spans="1:10">
      <c r="A291" s="568">
        <v>44253</v>
      </c>
      <c r="B291">
        <v>3.7763220674109865E-2</v>
      </c>
      <c r="C291">
        <v>0.17009579646950446</v>
      </c>
      <c r="D291">
        <v>0.13551665459446194</v>
      </c>
      <c r="E291">
        <v>6.2780555704127439E-2</v>
      </c>
      <c r="F291">
        <v>0.108152584136473</v>
      </c>
      <c r="G291">
        <v>4.1458749876288836E-2</v>
      </c>
      <c r="H291">
        <v>7.1434442289505906E-2</v>
      </c>
      <c r="I291">
        <v>0.55778979295353204</v>
      </c>
      <c r="J291">
        <v>3.049877163851944E-2</v>
      </c>
    </row>
    <row r="292" spans="1:10">
      <c r="A292" s="568">
        <v>44256</v>
      </c>
      <c r="B292">
        <v>3.7914974386493716E-2</v>
      </c>
      <c r="C292">
        <v>0.17073197359586012</v>
      </c>
      <c r="D292">
        <v>0.13537290026539051</v>
      </c>
      <c r="E292">
        <v>6.67574185418216E-2</v>
      </c>
      <c r="F292">
        <v>0.11281283101677397</v>
      </c>
      <c r="G292">
        <v>4.426754919044118E-2</v>
      </c>
      <c r="H292">
        <v>7.9431649440254937E-2</v>
      </c>
      <c r="I292">
        <v>0.6021238862000009</v>
      </c>
      <c r="J292">
        <v>3.0575741951909041E-2</v>
      </c>
    </row>
    <row r="293" spans="1:10">
      <c r="A293" s="568">
        <v>44257</v>
      </c>
      <c r="B293">
        <v>3.8083631750771119E-2</v>
      </c>
      <c r="C293">
        <v>0.17136849660956721</v>
      </c>
      <c r="D293">
        <v>0.13572171141676326</v>
      </c>
      <c r="E293">
        <v>6.6648490201015598E-2</v>
      </c>
      <c r="F293">
        <v>0.11208563726704868</v>
      </c>
      <c r="G293">
        <v>4.4477591931895377E-2</v>
      </c>
      <c r="H293">
        <v>8.1976462839216335E-2</v>
      </c>
      <c r="I293">
        <v>0.59626925026992406</v>
      </c>
      <c r="J293">
        <v>3.0652718014387625E-2</v>
      </c>
    </row>
    <row r="294" spans="1:10">
      <c r="A294" s="568">
        <v>44258</v>
      </c>
      <c r="B294">
        <v>3.8260898706174551E-2</v>
      </c>
      <c r="C294">
        <v>0.17200536569868374</v>
      </c>
      <c r="D294">
        <v>0.13610410011706819</v>
      </c>
      <c r="E294">
        <v>6.5563120386037177E-2</v>
      </c>
      <c r="F294">
        <v>0.11314357632660665</v>
      </c>
      <c r="G294">
        <v>4.4313740961883008E-2</v>
      </c>
      <c r="H294">
        <v>7.3064799106747902E-2</v>
      </c>
      <c r="I294">
        <v>0.58722257730940619</v>
      </c>
      <c r="J294">
        <v>3.0729699826384627E-2</v>
      </c>
    </row>
    <row r="295" spans="1:10">
      <c r="A295" s="568">
        <v>44259</v>
      </c>
      <c r="B295">
        <v>3.8517744650391705E-2</v>
      </c>
      <c r="C295">
        <v>0.17264258105136965</v>
      </c>
      <c r="D295">
        <v>0.13981039859838984</v>
      </c>
      <c r="E295">
        <v>6.3550881275936E-2</v>
      </c>
      <c r="F295">
        <v>0.11282201705823836</v>
      </c>
      <c r="G295">
        <v>4.0668867661945329E-2</v>
      </c>
      <c r="H295">
        <v>7.478070028213879E-2</v>
      </c>
      <c r="I295">
        <v>0.55767562409627391</v>
      </c>
      <c r="J295">
        <v>3.0806687388329479E-2</v>
      </c>
    </row>
    <row r="296" spans="1:10">
      <c r="A296" s="568">
        <v>44260</v>
      </c>
      <c r="B296">
        <v>3.8697931912989203E-2</v>
      </c>
      <c r="C296">
        <v>0.17328014285588722</v>
      </c>
      <c r="D296">
        <v>0.1429713859817241</v>
      </c>
      <c r="E296">
        <v>6.0073653821819617E-2</v>
      </c>
      <c r="F296">
        <v>0.11853671775179619</v>
      </c>
      <c r="G296">
        <v>4.0928189110366997E-2</v>
      </c>
      <c r="H296">
        <v>9.1531754941899024E-2</v>
      </c>
      <c r="I296">
        <v>0.5748862311064793</v>
      </c>
      <c r="J296">
        <v>3.0883680700651617E-2</v>
      </c>
    </row>
    <row r="297" spans="1:10">
      <c r="A297" s="568">
        <v>44263</v>
      </c>
      <c r="B297">
        <v>3.877787743628347E-2</v>
      </c>
      <c r="C297">
        <v>0.17391805130060112</v>
      </c>
      <c r="D297">
        <v>0.14201536561247297</v>
      </c>
      <c r="E297">
        <v>5.7810292488901904E-2</v>
      </c>
      <c r="F297">
        <v>0.11586887844395144</v>
      </c>
      <c r="G297">
        <v>4.0391453802870014E-2</v>
      </c>
      <c r="H297">
        <v>5.1162485119247592E-2</v>
      </c>
      <c r="I297">
        <v>0.57417678786201831</v>
      </c>
      <c r="J297">
        <v>3.0960679763780474E-2</v>
      </c>
    </row>
    <row r="298" spans="1:10">
      <c r="A298" s="568">
        <v>44264</v>
      </c>
      <c r="B298">
        <v>3.9450383324374672E-2</v>
      </c>
      <c r="C298">
        <v>0.17455630657397858</v>
      </c>
      <c r="D298">
        <v>0.14239274821573877</v>
      </c>
      <c r="E298">
        <v>5.9407690732220519E-2</v>
      </c>
      <c r="F298">
        <v>0.11473596229961958</v>
      </c>
      <c r="G298">
        <v>4.1387526522796758E-2</v>
      </c>
      <c r="H298">
        <v>5.0598873373323361E-2</v>
      </c>
      <c r="I298">
        <v>0.58369899008906501</v>
      </c>
      <c r="J298">
        <v>3.1037684578145708E-2</v>
      </c>
    </row>
    <row r="299" spans="1:10">
      <c r="A299" s="568">
        <v>44265</v>
      </c>
      <c r="B299">
        <v>3.9563036828483167E-2</v>
      </c>
      <c r="C299">
        <v>0.17519490886458899</v>
      </c>
      <c r="D299">
        <v>0.14333699215536022</v>
      </c>
      <c r="E299">
        <v>6.140688453204568E-2</v>
      </c>
      <c r="F299">
        <v>0.11498551273816693</v>
      </c>
      <c r="G299">
        <v>3.8999612580064902E-2</v>
      </c>
      <c r="H299">
        <v>5.4386398907960043E-2</v>
      </c>
      <c r="I299">
        <v>0.57266980435244697</v>
      </c>
      <c r="J299">
        <v>3.1114695144176974E-2</v>
      </c>
    </row>
    <row r="300" spans="1:10">
      <c r="A300" s="568">
        <v>44266</v>
      </c>
      <c r="B300">
        <v>3.9673702595966143E-2</v>
      </c>
      <c r="C300">
        <v>0.17583385836110454</v>
      </c>
      <c r="D300">
        <v>0.14484362314322929</v>
      </c>
      <c r="E300">
        <v>6.5456148841772643E-2</v>
      </c>
      <c r="F300">
        <v>0.1200934814071426</v>
      </c>
      <c r="G300">
        <v>4.1152676121033016E-2</v>
      </c>
      <c r="H300">
        <v>7.6133273248321975E-2</v>
      </c>
      <c r="I300">
        <v>0.577143459080389</v>
      </c>
      <c r="J300">
        <v>3.1191711462303928E-2</v>
      </c>
    </row>
    <row r="301" spans="1:10">
      <c r="A301" s="568">
        <v>44267</v>
      </c>
      <c r="B301">
        <v>3.9865377573947258E-2</v>
      </c>
      <c r="C301">
        <v>0.17647315525230001</v>
      </c>
      <c r="D301">
        <v>0.14503721616293985</v>
      </c>
      <c r="E301">
        <v>6.3177133136523622E-2</v>
      </c>
      <c r="F301">
        <v>0.12206184533496511</v>
      </c>
      <c r="G301">
        <v>4.1180702835069471E-2</v>
      </c>
      <c r="H301">
        <v>6.9598705227043478E-2</v>
      </c>
      <c r="I301">
        <v>0.56665881414579378</v>
      </c>
      <c r="J301">
        <v>3.1268733532956006E-2</v>
      </c>
    </row>
    <row r="302" spans="1:10">
      <c r="A302" s="568">
        <v>44270</v>
      </c>
      <c r="B302">
        <v>3.9983282419393529E-2</v>
      </c>
      <c r="C302">
        <v>0.17711279972705252</v>
      </c>
      <c r="D302">
        <v>0.14542096088310852</v>
      </c>
      <c r="E302">
        <v>6.3162131029705915E-2</v>
      </c>
      <c r="F302">
        <v>0.12226433525744884</v>
      </c>
      <c r="G302">
        <v>4.2186665512797816E-2</v>
      </c>
      <c r="H302">
        <v>7.5100807250985113E-2</v>
      </c>
      <c r="I302">
        <v>0.57860687092788399</v>
      </c>
      <c r="J302">
        <v>3.1345761356562862E-2</v>
      </c>
    </row>
    <row r="303" spans="1:10">
      <c r="A303" s="568">
        <v>44271</v>
      </c>
      <c r="B303">
        <v>4.0138305052683343E-2</v>
      </c>
      <c r="C303">
        <v>0.17775279197434224</v>
      </c>
      <c r="D303">
        <v>0.14634756058432763</v>
      </c>
      <c r="E303">
        <v>6.4416437612760724E-2</v>
      </c>
      <c r="F303">
        <v>0.12154897258529229</v>
      </c>
      <c r="G303">
        <v>4.3109172516644811E-2</v>
      </c>
      <c r="H303">
        <v>7.2730967298315852E-2</v>
      </c>
      <c r="I303">
        <v>0.58646673302744046</v>
      </c>
      <c r="J303">
        <v>3.1422794933554377E-2</v>
      </c>
    </row>
    <row r="304" spans="1:10">
      <c r="A304" s="568">
        <v>44272</v>
      </c>
      <c r="B304">
        <v>4.0264192708985513E-2</v>
      </c>
      <c r="C304">
        <v>0.17839313218325192</v>
      </c>
      <c r="D304">
        <v>0.14717538338299541</v>
      </c>
      <c r="E304">
        <v>6.3014066758070975E-2</v>
      </c>
      <c r="F304">
        <v>0.12463085201159219</v>
      </c>
      <c r="G304">
        <v>4.3930943954667345E-2</v>
      </c>
      <c r="H304">
        <v>8.8981412325679354E-2</v>
      </c>
      <c r="I304">
        <v>0.58799571917485949</v>
      </c>
      <c r="J304">
        <v>3.1499834264360205E-2</v>
      </c>
    </row>
    <row r="305" spans="1:10">
      <c r="A305" s="568">
        <v>44273</v>
      </c>
      <c r="B305">
        <v>4.0461013876316843E-2</v>
      </c>
      <c r="C305">
        <v>0.1790338205429669</v>
      </c>
      <c r="D305">
        <v>0.14691132262861317</v>
      </c>
      <c r="E305">
        <v>6.200435974269447E-2</v>
      </c>
      <c r="F305">
        <v>0.11912121300373202</v>
      </c>
      <c r="G305">
        <v>4.3327544544094376E-2</v>
      </c>
      <c r="H305">
        <v>6.9655422028330527E-2</v>
      </c>
      <c r="I305">
        <v>0.57385661761164952</v>
      </c>
      <c r="J305">
        <v>3.160689868662625E-2</v>
      </c>
    </row>
    <row r="306" spans="1:10">
      <c r="A306" s="568">
        <v>44274</v>
      </c>
      <c r="B306">
        <v>4.06032757313326E-2</v>
      </c>
      <c r="C306">
        <v>0.17967485724277577</v>
      </c>
      <c r="D306">
        <v>0.14630422114439057</v>
      </c>
      <c r="E306">
        <v>6.3129517754015207E-2</v>
      </c>
      <c r="F306">
        <v>0.12081182573765159</v>
      </c>
      <c r="G306">
        <v>4.3436982983977135E-2</v>
      </c>
      <c r="H306">
        <v>7.6742250923633515E-2</v>
      </c>
      <c r="I306">
        <v>0.54966807821092045</v>
      </c>
      <c r="J306">
        <v>3.1713974221633467E-2</v>
      </c>
    </row>
    <row r="307" spans="1:10">
      <c r="A307" s="568">
        <v>44277</v>
      </c>
      <c r="B307">
        <v>4.0758311317396823E-2</v>
      </c>
      <c r="C307">
        <v>0.1803162424720699</v>
      </c>
      <c r="D307">
        <v>0.14668991969768053</v>
      </c>
      <c r="E307">
        <v>6.2085892931920572E-2</v>
      </c>
      <c r="F307">
        <v>0.12038179090304379</v>
      </c>
      <c r="G307">
        <v>4.3462794670790839E-2</v>
      </c>
      <c r="H307">
        <v>6.9275493479156403E-2</v>
      </c>
      <c r="I307">
        <v>0.56265222662050651</v>
      </c>
      <c r="J307">
        <v>3.1821060870535156E-2</v>
      </c>
    </row>
    <row r="308" spans="1:10">
      <c r="A308" s="568">
        <v>44278</v>
      </c>
      <c r="B308">
        <v>4.0928520460246087E-2</v>
      </c>
      <c r="C308">
        <v>0.1809579764203435</v>
      </c>
      <c r="D308">
        <v>0.14651677422438603</v>
      </c>
      <c r="E308">
        <v>6.1406232266531413E-2</v>
      </c>
      <c r="F308">
        <v>0.11574980350509945</v>
      </c>
      <c r="G308">
        <v>4.313492266178387E-2</v>
      </c>
      <c r="H308">
        <v>5.904857939273489E-2</v>
      </c>
      <c r="I308">
        <v>0.54773350997728931</v>
      </c>
      <c r="J308">
        <v>3.1928158634484838E-2</v>
      </c>
    </row>
    <row r="309" spans="1:10">
      <c r="A309" s="568">
        <v>44279</v>
      </c>
      <c r="B309">
        <v>4.1153920772413422E-2</v>
      </c>
      <c r="C309">
        <v>0.18160005927719403</v>
      </c>
      <c r="D309">
        <v>0.14667473437865275</v>
      </c>
      <c r="E309">
        <v>6.0746791832070324E-2</v>
      </c>
      <c r="F309">
        <v>0.11508340177545295</v>
      </c>
      <c r="G309">
        <v>4.1193138091335957E-2</v>
      </c>
      <c r="H309">
        <v>4.8268421773914882E-2</v>
      </c>
      <c r="I309">
        <v>0.54271691524516852</v>
      </c>
      <c r="J309">
        <v>3.2035267514636256E-2</v>
      </c>
    </row>
    <row r="310" spans="1:10">
      <c r="A310" s="568">
        <v>44280</v>
      </c>
      <c r="B310">
        <v>4.1337132441393365E-2</v>
      </c>
      <c r="C310">
        <v>0.18224249123232172</v>
      </c>
      <c r="D310">
        <v>0.14765026652413749</v>
      </c>
      <c r="E310">
        <v>6.1040963578798069E-2</v>
      </c>
      <c r="F310">
        <v>0.11683664960478124</v>
      </c>
      <c r="G310">
        <v>4.1166922768557379E-2</v>
      </c>
      <c r="H310">
        <v>5.9991786423816196E-2</v>
      </c>
      <c r="I310">
        <v>0.54774699532147553</v>
      </c>
      <c r="J310">
        <v>3.2142387512143156E-2</v>
      </c>
    </row>
    <row r="311" spans="1:10">
      <c r="A311" s="568">
        <v>44281</v>
      </c>
      <c r="B311">
        <v>4.1595750906028961E-2</v>
      </c>
      <c r="C311">
        <v>0.1828852724755301</v>
      </c>
      <c r="D311">
        <v>0.14851638960646407</v>
      </c>
      <c r="E311">
        <v>6.179759157481679E-2</v>
      </c>
      <c r="F311">
        <v>0.12218380597502088</v>
      </c>
      <c r="G311">
        <v>4.2583102865459521E-2</v>
      </c>
      <c r="H311">
        <v>6.5350377209793198E-2</v>
      </c>
      <c r="I311">
        <v>0.58379186328508048</v>
      </c>
      <c r="J311">
        <v>3.2249518628159501E-2</v>
      </c>
    </row>
    <row r="312" spans="1:10">
      <c r="A312" s="568">
        <v>44284</v>
      </c>
      <c r="B312">
        <v>4.1757974399319941E-2</v>
      </c>
      <c r="C312">
        <v>0.18352840319672614</v>
      </c>
      <c r="D312">
        <v>0.14880660005071844</v>
      </c>
      <c r="E312">
        <v>6.0387393533961387E-2</v>
      </c>
      <c r="F312">
        <v>0.12299445584621349</v>
      </c>
      <c r="G312">
        <v>4.3349180391102582E-2</v>
      </c>
      <c r="H312">
        <v>6.6622960842489753E-2</v>
      </c>
      <c r="I312">
        <v>0.58552465910952711</v>
      </c>
      <c r="J312">
        <v>3.2356660863839259E-2</v>
      </c>
    </row>
    <row r="313" spans="1:10">
      <c r="A313" s="568">
        <v>44285</v>
      </c>
      <c r="B313">
        <v>4.1933407642678278E-2</v>
      </c>
      <c r="C313">
        <v>0.18417188358591963</v>
      </c>
      <c r="D313">
        <v>0.15019982390257525</v>
      </c>
      <c r="E313">
        <v>6.0241286058868138E-2</v>
      </c>
      <c r="F313">
        <v>0.12541233547211506</v>
      </c>
      <c r="G313">
        <v>4.2421361094277188E-2</v>
      </c>
      <c r="H313">
        <v>7.697656719465229E-2</v>
      </c>
      <c r="I313">
        <v>0.58901496606619497</v>
      </c>
      <c r="J313">
        <v>3.2463814220336618E-2</v>
      </c>
    </row>
    <row r="314" spans="1:10">
      <c r="A314" s="568">
        <v>44286</v>
      </c>
      <c r="B314">
        <v>4.2146946361586446E-2</v>
      </c>
      <c r="C314">
        <v>0.18481571383322404</v>
      </c>
      <c r="D314">
        <v>0.15126470629169897</v>
      </c>
      <c r="E314">
        <v>6.203892981492598E-2</v>
      </c>
      <c r="F314">
        <v>0.12726133710882559</v>
      </c>
      <c r="G314">
        <v>4.2133776450906879E-2</v>
      </c>
      <c r="H314">
        <v>7.8655273970188677E-2</v>
      </c>
      <c r="I314">
        <v>0.56968608273895271</v>
      </c>
      <c r="J314">
        <v>3.2570978698805986E-2</v>
      </c>
    </row>
    <row r="315" spans="1:10">
      <c r="A315" s="568">
        <v>44287</v>
      </c>
      <c r="B315">
        <v>4.2294355374392634E-2</v>
      </c>
      <c r="C315">
        <v>0.18545989412885588</v>
      </c>
      <c r="D315">
        <v>0.15193023625669144</v>
      </c>
      <c r="E315">
        <v>6.4944120413431783E-2</v>
      </c>
      <c r="F315">
        <v>0.1273632917293237</v>
      </c>
      <c r="G315">
        <v>4.243726946163151E-2</v>
      </c>
      <c r="H315">
        <v>7.2908636966724227E-2</v>
      </c>
      <c r="I315">
        <v>0.60702761077542755</v>
      </c>
      <c r="J315">
        <v>3.2678154300401774E-2</v>
      </c>
    </row>
    <row r="316" spans="1:10">
      <c r="A316" s="568">
        <v>44291</v>
      </c>
      <c r="B316">
        <v>4.2460416134816992E-2</v>
      </c>
      <c r="C316">
        <v>0.18610442466313537</v>
      </c>
      <c r="D316">
        <v>0.15220322496426197</v>
      </c>
      <c r="E316">
        <v>6.4726263731819556E-2</v>
      </c>
      <c r="F316">
        <v>0.1290934582573342</v>
      </c>
      <c r="G316">
        <v>4.2686385618222467E-2</v>
      </c>
      <c r="H316">
        <v>8.7134934681518006E-2</v>
      </c>
      <c r="I316">
        <v>0.6119179982086369</v>
      </c>
      <c r="J316">
        <v>3.2785341026278392E-2</v>
      </c>
    </row>
    <row r="317" spans="1:10">
      <c r="A317" s="568">
        <v>44292</v>
      </c>
      <c r="B317">
        <v>4.2632250392005133E-2</v>
      </c>
      <c r="C317">
        <v>0.18674930562648617</v>
      </c>
      <c r="D317">
        <v>0.15229155484664947</v>
      </c>
      <c r="E317">
        <v>6.6219951758442308E-2</v>
      </c>
      <c r="F317">
        <v>0.1285551629068773</v>
      </c>
      <c r="G317">
        <v>4.3690468240350944E-2</v>
      </c>
      <c r="H317">
        <v>9.000544183176995E-2</v>
      </c>
      <c r="I317">
        <v>0.60253094657197748</v>
      </c>
      <c r="J317">
        <v>3.2892538877590471E-2</v>
      </c>
    </row>
    <row r="318" spans="1:10">
      <c r="A318" s="568">
        <v>44293</v>
      </c>
      <c r="B318">
        <v>4.2778143258790369E-2</v>
      </c>
      <c r="C318">
        <v>0.18739453720943522</v>
      </c>
      <c r="D318">
        <v>0.15222773687374258</v>
      </c>
      <c r="E318">
        <v>6.6247346910022431E-2</v>
      </c>
      <c r="F318">
        <v>0.12881252784538222</v>
      </c>
      <c r="G318">
        <v>4.4867337633609949E-2</v>
      </c>
      <c r="H318">
        <v>9.1307806082990606E-2</v>
      </c>
      <c r="I318">
        <v>0.60370206297324969</v>
      </c>
      <c r="J318">
        <v>3.2999747855492867E-2</v>
      </c>
    </row>
    <row r="319" spans="1:10">
      <c r="A319" s="568">
        <v>44294</v>
      </c>
      <c r="B319">
        <v>4.2956361894677997E-2</v>
      </c>
      <c r="C319">
        <v>0.18804011960261313</v>
      </c>
      <c r="D319">
        <v>0.15427682584984748</v>
      </c>
      <c r="E319">
        <v>6.736859132826023E-2</v>
      </c>
      <c r="F319">
        <v>0.12896917217264625</v>
      </c>
      <c r="G319">
        <v>4.5177709254301535E-2</v>
      </c>
      <c r="H319">
        <v>0.10058315833597331</v>
      </c>
      <c r="I319">
        <v>0.5987567363543036</v>
      </c>
      <c r="J319">
        <v>3.3106967961140432E-2</v>
      </c>
    </row>
    <row r="320" spans="1:10">
      <c r="A320" s="568">
        <v>44295</v>
      </c>
      <c r="B320">
        <v>4.3115785060306999E-2</v>
      </c>
      <c r="C320">
        <v>0.18868605299675445</v>
      </c>
      <c r="D320">
        <v>0.15271547227007853</v>
      </c>
      <c r="E320">
        <v>6.6840256262074904E-2</v>
      </c>
      <c r="F320">
        <v>0.13068117981070104</v>
      </c>
      <c r="G320">
        <v>4.5985862680947065E-2</v>
      </c>
      <c r="H320">
        <v>9.8741545463120417E-2</v>
      </c>
      <c r="I320">
        <v>0.61266970637624918</v>
      </c>
      <c r="J320">
        <v>3.3214199195688021E-2</v>
      </c>
    </row>
    <row r="321" spans="1:10">
      <c r="A321" s="568">
        <v>44298</v>
      </c>
      <c r="B321">
        <v>4.329911246317697E-2</v>
      </c>
      <c r="C321">
        <v>0.18933233758269696</v>
      </c>
      <c r="D321">
        <v>0.1528317752822157</v>
      </c>
      <c r="E321">
        <v>6.6851997041323497E-2</v>
      </c>
      <c r="F321">
        <v>0.13065035642456846</v>
      </c>
      <c r="G321">
        <v>4.6844690322817684E-2</v>
      </c>
      <c r="H321">
        <v>0.10620361353797247</v>
      </c>
      <c r="I321">
        <v>0.61587217624256074</v>
      </c>
      <c r="J321">
        <v>3.3321441560290932E-2</v>
      </c>
    </row>
    <row r="322" spans="1:10">
      <c r="A322" s="568">
        <v>44299</v>
      </c>
      <c r="B322">
        <v>4.3441269744308286E-2</v>
      </c>
      <c r="C322">
        <v>0.1899789735513826</v>
      </c>
      <c r="D322">
        <v>0.15199736620218363</v>
      </c>
      <c r="E322">
        <v>6.9004473236893515E-2</v>
      </c>
      <c r="F322">
        <v>0.12980296038465444</v>
      </c>
      <c r="G322">
        <v>4.7326881555259215E-2</v>
      </c>
      <c r="H322">
        <v>0.10558373658318576</v>
      </c>
      <c r="I322">
        <v>0.61374778924747742</v>
      </c>
      <c r="J322">
        <v>3.3428695056104463E-2</v>
      </c>
    </row>
    <row r="323" spans="1:10">
      <c r="A323" s="568">
        <v>44300</v>
      </c>
      <c r="B323">
        <v>4.3602685431064492E-2</v>
      </c>
      <c r="C323">
        <v>0.19062596109385699</v>
      </c>
      <c r="D323">
        <v>0.15325454849645648</v>
      </c>
      <c r="E323">
        <v>6.9825675518779162E-2</v>
      </c>
      <c r="F323">
        <v>0.13072344253410573</v>
      </c>
      <c r="G323">
        <v>4.7440358596040566E-2</v>
      </c>
      <c r="H323">
        <v>0.1120661844882056</v>
      </c>
      <c r="I323">
        <v>0.6132614355508359</v>
      </c>
      <c r="J323">
        <v>3.3535959684283911E-2</v>
      </c>
    </row>
    <row r="324" spans="1:10">
      <c r="A324" s="568">
        <v>44301</v>
      </c>
      <c r="B324">
        <v>4.3795946927488894E-2</v>
      </c>
      <c r="C324">
        <v>0.19127330040126966</v>
      </c>
      <c r="D324">
        <v>0.15498597436367767</v>
      </c>
      <c r="E324">
        <v>7.2038160141619789E-2</v>
      </c>
      <c r="F324">
        <v>0.12846488521572996</v>
      </c>
      <c r="G324">
        <v>4.7584679357297821E-2</v>
      </c>
      <c r="H324">
        <v>0.11880455614957119</v>
      </c>
      <c r="I324">
        <v>0.61088492785895032</v>
      </c>
      <c r="J324">
        <v>3.3643235445984576E-2</v>
      </c>
    </row>
    <row r="325" spans="1:10">
      <c r="A325" s="568">
        <v>44302</v>
      </c>
      <c r="B325">
        <v>4.4020149742595605E-2</v>
      </c>
      <c r="C325">
        <v>0.19192099166487409</v>
      </c>
      <c r="D325">
        <v>0.15661364589734683</v>
      </c>
      <c r="E325">
        <v>7.3226587907780027E-2</v>
      </c>
      <c r="F325">
        <v>0.13045523661815595</v>
      </c>
      <c r="G325">
        <v>4.8952071011512777E-2</v>
      </c>
      <c r="H325">
        <v>0.12316369076975775</v>
      </c>
      <c r="I325">
        <v>0.61738674842666397</v>
      </c>
      <c r="J325">
        <v>3.3750522342362199E-2</v>
      </c>
    </row>
    <row r="326" spans="1:10">
      <c r="A326" s="568">
        <v>44305</v>
      </c>
      <c r="B326">
        <v>4.4209546104414521E-2</v>
      </c>
      <c r="C326">
        <v>0.19256903507602741</v>
      </c>
      <c r="D326">
        <v>0.15760949526099521</v>
      </c>
      <c r="E326">
        <v>7.265520331768327E-2</v>
      </c>
      <c r="F326">
        <v>0.13083120845985574</v>
      </c>
      <c r="G326">
        <v>4.927536453716308E-2</v>
      </c>
      <c r="H326">
        <v>0.12197377308932666</v>
      </c>
      <c r="I326">
        <v>0.60702737249825822</v>
      </c>
      <c r="J326">
        <v>3.3857820374572523E-2</v>
      </c>
    </row>
    <row r="327" spans="1:10">
      <c r="A327" s="568">
        <v>44306</v>
      </c>
      <c r="B327">
        <v>4.4374079469775785E-2</v>
      </c>
      <c r="C327">
        <v>0.19321743082619114</v>
      </c>
      <c r="D327">
        <v>0.15690473453098885</v>
      </c>
      <c r="E327">
        <v>7.1098897801734839E-2</v>
      </c>
      <c r="F327">
        <v>0.12779743201012717</v>
      </c>
      <c r="G327">
        <v>4.7732301133954991E-2</v>
      </c>
      <c r="H327">
        <v>0.11522983914163887</v>
      </c>
      <c r="I327">
        <v>0.59991845382918219</v>
      </c>
      <c r="J327">
        <v>3.3965129543771511E-2</v>
      </c>
    </row>
    <row r="328" spans="1:10">
      <c r="A328" s="568">
        <v>44308</v>
      </c>
      <c r="B328">
        <v>4.4561564640287044E-2</v>
      </c>
      <c r="C328">
        <v>0.19386617910693094</v>
      </c>
      <c r="D328">
        <v>0.15896896080924305</v>
      </c>
      <c r="E328">
        <v>7.2777829234279556E-2</v>
      </c>
      <c r="F328">
        <v>0.12803722282630536</v>
      </c>
      <c r="G328">
        <v>4.7299182051086408E-2</v>
      </c>
      <c r="H328">
        <v>0.11047207133243941</v>
      </c>
      <c r="I328">
        <v>0.57835848165386916</v>
      </c>
      <c r="J328">
        <v>3.4072449851114905E-2</v>
      </c>
    </row>
    <row r="329" spans="1:10">
      <c r="A329" s="568">
        <v>44309</v>
      </c>
      <c r="B329">
        <v>4.4760824201958593E-2</v>
      </c>
      <c r="C329">
        <v>0.19451528010991637</v>
      </c>
      <c r="D329">
        <v>0.16020019975448418</v>
      </c>
      <c r="E329">
        <v>7.3025037864013154E-2</v>
      </c>
      <c r="F329">
        <v>0.13113338548692721</v>
      </c>
      <c r="G329">
        <v>4.798878418824204E-2</v>
      </c>
      <c r="H329">
        <v>0.12075279748129031</v>
      </c>
      <c r="I329">
        <v>0.60423366805434608</v>
      </c>
      <c r="J329">
        <v>3.4179781297758893E-2</v>
      </c>
    </row>
    <row r="330" spans="1:10">
      <c r="A330" s="568">
        <v>44312</v>
      </c>
      <c r="B330">
        <v>4.4950551604163946E-2</v>
      </c>
      <c r="C330">
        <v>0.19516473402692136</v>
      </c>
      <c r="D330">
        <v>0.16074181616840066</v>
      </c>
      <c r="E330">
        <v>7.3621208543634742E-2</v>
      </c>
      <c r="F330">
        <v>0.13342671026453701</v>
      </c>
      <c r="G330">
        <v>4.9320223993823742E-2</v>
      </c>
      <c r="H330">
        <v>0.12345760922752547</v>
      </c>
      <c r="I330">
        <v>0.59844390240475032</v>
      </c>
      <c r="J330">
        <v>3.428712388485966E-2</v>
      </c>
    </row>
    <row r="331" spans="1:10">
      <c r="A331" s="568">
        <v>44313</v>
      </c>
      <c r="B331">
        <v>4.517717936719956E-2</v>
      </c>
      <c r="C331">
        <v>0.19581454104982399</v>
      </c>
      <c r="D331">
        <v>0.16145448093070658</v>
      </c>
      <c r="E331">
        <v>7.2381251801883595E-2</v>
      </c>
      <c r="F331">
        <v>0.13436928940190618</v>
      </c>
      <c r="G331">
        <v>4.9359455583846357E-2</v>
      </c>
      <c r="H331">
        <v>0.11725449067131932</v>
      </c>
      <c r="I331">
        <v>0.60508829416536059</v>
      </c>
      <c r="J331">
        <v>3.4394477613573615E-2</v>
      </c>
    </row>
    <row r="332" spans="1:10">
      <c r="A332" s="568">
        <v>44314</v>
      </c>
      <c r="B332">
        <v>4.5329235679189006E-2</v>
      </c>
      <c r="C332">
        <v>0.1964647013706069</v>
      </c>
      <c r="D332">
        <v>0.1623791839465083</v>
      </c>
      <c r="E332">
        <v>7.3585333940375142E-2</v>
      </c>
      <c r="F332">
        <v>0.13487591968727419</v>
      </c>
      <c r="G332">
        <v>4.9378187844250743E-2</v>
      </c>
      <c r="H332">
        <v>0.12778471125950763</v>
      </c>
      <c r="I332">
        <v>0.58693607652731394</v>
      </c>
      <c r="J332">
        <v>3.4501842485056944E-2</v>
      </c>
    </row>
    <row r="333" spans="1:10">
      <c r="A333" s="568">
        <v>44315</v>
      </c>
      <c r="B333">
        <v>4.5557321417612595E-2</v>
      </c>
      <c r="C333">
        <v>0.19711521518135688</v>
      </c>
      <c r="D333">
        <v>0.16300288275531583</v>
      </c>
      <c r="E333">
        <v>7.4833770133805544E-2</v>
      </c>
      <c r="F333">
        <v>0.13690260421234579</v>
      </c>
      <c r="G333">
        <v>4.9878706585659627E-2</v>
      </c>
      <c r="H333">
        <v>0.12577844441619823</v>
      </c>
      <c r="I333">
        <v>0.59209529084644719</v>
      </c>
      <c r="J333">
        <v>3.4609218500466499E-2</v>
      </c>
    </row>
    <row r="334" spans="1:10">
      <c r="A334" s="568">
        <v>44316</v>
      </c>
      <c r="B334">
        <v>4.5746355783055748E-2</v>
      </c>
      <c r="C334">
        <v>0.1977660826742651</v>
      </c>
      <c r="D334">
        <v>0.1634165522022526</v>
      </c>
      <c r="E334">
        <v>7.3713177981081346E-2</v>
      </c>
      <c r="F334">
        <v>0.13590895592308683</v>
      </c>
      <c r="G334">
        <v>4.8989270979445276E-2</v>
      </c>
      <c r="H334">
        <v>0.11967631129960221</v>
      </c>
      <c r="I334">
        <v>0.59520626441150548</v>
      </c>
      <c r="J334">
        <v>3.471660566095891E-2</v>
      </c>
    </row>
    <row r="335" spans="1:10">
      <c r="A335" s="568">
        <v>44319</v>
      </c>
      <c r="B335">
        <v>4.5909994810348076E-2</v>
      </c>
      <c r="C335">
        <v>0.1984173040416275</v>
      </c>
      <c r="D335">
        <v>0.1629600965087934</v>
      </c>
      <c r="E335">
        <v>7.4930305429849131E-2</v>
      </c>
      <c r="F335">
        <v>0.13535694981092528</v>
      </c>
      <c r="G335">
        <v>4.9147134734958353E-2</v>
      </c>
      <c r="H335">
        <v>0.12149793958277777</v>
      </c>
      <c r="I335">
        <v>0.59325860574763567</v>
      </c>
      <c r="J335">
        <v>3.4824003967690809E-2</v>
      </c>
    </row>
    <row r="336" spans="1:10">
      <c r="A336" s="568">
        <v>44320</v>
      </c>
      <c r="B336">
        <v>4.6053465701941798E-2</v>
      </c>
      <c r="C336">
        <v>0.1990688794758444</v>
      </c>
      <c r="D336">
        <v>0.1621071819396025</v>
      </c>
      <c r="E336">
        <v>7.3469230678916642E-2</v>
      </c>
      <c r="F336">
        <v>0.13487393658030955</v>
      </c>
      <c r="G336">
        <v>4.955554492345482E-2</v>
      </c>
      <c r="H336">
        <v>0.11379548290563402</v>
      </c>
      <c r="I336">
        <v>0.58809966181988549</v>
      </c>
      <c r="J336">
        <v>3.4931413421819268E-2</v>
      </c>
    </row>
    <row r="337" spans="1:10">
      <c r="A337" s="568">
        <v>44321</v>
      </c>
      <c r="B337">
        <v>4.6221651269986896E-2</v>
      </c>
      <c r="C337">
        <v>0.1997208091694207</v>
      </c>
      <c r="D337">
        <v>0.16305305063151598</v>
      </c>
      <c r="E337">
        <v>7.4520030421663108E-2</v>
      </c>
      <c r="F337">
        <v>0.13526220775232956</v>
      </c>
      <c r="G337">
        <v>5.1430921561874898E-2</v>
      </c>
      <c r="H337">
        <v>0.12677849765233362</v>
      </c>
      <c r="I337">
        <v>0.56559312239862058</v>
      </c>
      <c r="J337">
        <v>3.5038834024501364E-2</v>
      </c>
    </row>
    <row r="338" spans="1:10">
      <c r="A338" s="568">
        <v>44322</v>
      </c>
      <c r="B338">
        <v>4.6391125680321998E-2</v>
      </c>
      <c r="C338">
        <v>0.20037309331496611</v>
      </c>
      <c r="D338">
        <v>0.16412842288426188</v>
      </c>
      <c r="E338">
        <v>7.5411025113526264E-2</v>
      </c>
      <c r="F338">
        <v>0.13549199326761441</v>
      </c>
      <c r="G338">
        <v>5.1789672160265976E-2</v>
      </c>
      <c r="H338">
        <v>0.13211670052590896</v>
      </c>
      <c r="I338">
        <v>0.56115618430274528</v>
      </c>
      <c r="J338">
        <v>3.5176169689179915E-2</v>
      </c>
    </row>
    <row r="339" spans="1:10">
      <c r="A339" s="568">
        <v>44323</v>
      </c>
      <c r="B339">
        <v>4.6612437913180482E-2</v>
      </c>
      <c r="C339">
        <v>0.20102573210519492</v>
      </c>
      <c r="D339">
        <v>0.16513805791683334</v>
      </c>
      <c r="E339">
        <v>7.8493631931788155E-2</v>
      </c>
      <c r="F339">
        <v>0.13844384244915831</v>
      </c>
      <c r="G339">
        <v>5.3781903008272236E-2</v>
      </c>
      <c r="H339">
        <v>0.14481852336797574</v>
      </c>
      <c r="I339">
        <v>0.55389571666792636</v>
      </c>
      <c r="J339">
        <v>3.5313523576445016E-2</v>
      </c>
    </row>
    <row r="340" spans="1:10">
      <c r="A340" s="568">
        <v>44326</v>
      </c>
      <c r="B340">
        <v>4.6814732265183068E-2</v>
      </c>
      <c r="C340">
        <v>0.20167872573292622</v>
      </c>
      <c r="D340">
        <v>0.16545088552494835</v>
      </c>
      <c r="E340">
        <v>7.8975656146492934E-2</v>
      </c>
      <c r="F340">
        <v>0.13713635330578278</v>
      </c>
      <c r="G340">
        <v>5.2667704993967224E-2</v>
      </c>
      <c r="H340">
        <v>0.13917175776232171</v>
      </c>
      <c r="I340">
        <v>0.53764069219395827</v>
      </c>
      <c r="J340">
        <v>3.5450895688714734E-2</v>
      </c>
    </row>
    <row r="341" spans="1:10">
      <c r="A341" s="568">
        <v>44327</v>
      </c>
      <c r="B341">
        <v>4.7031392633536617E-2</v>
      </c>
      <c r="C341">
        <v>0.20233207439108392</v>
      </c>
      <c r="D341">
        <v>0.16706144593921568</v>
      </c>
      <c r="E341">
        <v>7.7397173603074965E-2</v>
      </c>
      <c r="F341">
        <v>0.13768550036668037</v>
      </c>
      <c r="G341">
        <v>5.2912154525537991E-2</v>
      </c>
      <c r="H341">
        <v>0.14575338706775409</v>
      </c>
      <c r="I341">
        <v>0.52611291457741771</v>
      </c>
      <c r="J341">
        <v>3.5588286028407135E-2</v>
      </c>
    </row>
    <row r="342" spans="1:10">
      <c r="A342" s="568">
        <v>44328</v>
      </c>
      <c r="B342">
        <v>4.7222058658920929E-2</v>
      </c>
      <c r="C342">
        <v>0.20298577827269693</v>
      </c>
      <c r="D342">
        <v>0.16702202848366166</v>
      </c>
      <c r="E342">
        <v>7.4448933480657731E-2</v>
      </c>
      <c r="F342">
        <v>0.1356136163442403</v>
      </c>
      <c r="G342">
        <v>5.0784490232470114E-2</v>
      </c>
      <c r="H342">
        <v>0.12081715300046802</v>
      </c>
      <c r="I342">
        <v>0.52611073747363624</v>
      </c>
      <c r="J342">
        <v>3.5725694597940727E-2</v>
      </c>
    </row>
    <row r="343" spans="1:10">
      <c r="A343" s="568">
        <v>44329</v>
      </c>
      <c r="B343">
        <v>4.7413633293402535E-2</v>
      </c>
      <c r="C343">
        <v>0.20363983757089921</v>
      </c>
      <c r="D343">
        <v>0.16742257064114052</v>
      </c>
      <c r="E343">
        <v>7.4362182167321045E-2</v>
      </c>
      <c r="F343">
        <v>0.13478090401163167</v>
      </c>
      <c r="G343">
        <v>5.0066988231235676E-2</v>
      </c>
      <c r="H343">
        <v>0.1238476578364347</v>
      </c>
      <c r="I343">
        <v>0.51577088993518982</v>
      </c>
      <c r="J343">
        <v>3.5863121399734466E-2</v>
      </c>
    </row>
    <row r="344" spans="1:10">
      <c r="A344" s="568">
        <v>44330</v>
      </c>
      <c r="B344">
        <v>4.7592599595249307E-2</v>
      </c>
      <c r="C344">
        <v>0.20429425247892929</v>
      </c>
      <c r="D344">
        <v>0.16791826563115353</v>
      </c>
      <c r="E344">
        <v>7.6811439171674323E-2</v>
      </c>
      <c r="F344">
        <v>0.13664242895529699</v>
      </c>
      <c r="G344">
        <v>5.1139963533302524E-2</v>
      </c>
      <c r="H344">
        <v>0.13261883429423693</v>
      </c>
      <c r="I344">
        <v>0.53007036067554369</v>
      </c>
      <c r="J344">
        <v>3.6000566436207304E-2</v>
      </c>
    </row>
    <row r="345" spans="1:10">
      <c r="A345" s="568">
        <v>44333</v>
      </c>
      <c r="B345">
        <v>4.7788914476472932E-2</v>
      </c>
      <c r="C345">
        <v>0.2049490231901312</v>
      </c>
      <c r="D345">
        <v>0.16962466422381661</v>
      </c>
      <c r="E345">
        <v>7.6794480268315146E-2</v>
      </c>
      <c r="F345">
        <v>0.13912241742279852</v>
      </c>
      <c r="G345">
        <v>5.2947441246725235E-2</v>
      </c>
      <c r="H345">
        <v>0.14109410816053547</v>
      </c>
      <c r="I345">
        <v>0.54059014433790975</v>
      </c>
      <c r="J345">
        <v>3.6138029709779085E-2</v>
      </c>
    </row>
    <row r="346" spans="1:10">
      <c r="A346" s="568">
        <v>44334</v>
      </c>
      <c r="B346">
        <v>4.7981486027143916E-2</v>
      </c>
      <c r="C346">
        <v>0.20560414989795373</v>
      </c>
      <c r="D346">
        <v>0.16919980047704342</v>
      </c>
      <c r="E346">
        <v>7.7306508696655341E-2</v>
      </c>
      <c r="F346">
        <v>0.13847266760358168</v>
      </c>
      <c r="G346">
        <v>5.2807382457527918E-2</v>
      </c>
      <c r="H346">
        <v>0.13937580609148492</v>
      </c>
      <c r="I346">
        <v>0.53848272853823764</v>
      </c>
      <c r="J346">
        <v>3.6275511222869428E-2</v>
      </c>
    </row>
    <row r="347" spans="1:10">
      <c r="A347" s="568">
        <v>44335</v>
      </c>
      <c r="B347">
        <v>4.8197731717782633E-2</v>
      </c>
      <c r="C347">
        <v>0.20625963279595116</v>
      </c>
      <c r="D347">
        <v>0.16962150498184392</v>
      </c>
      <c r="E347">
        <v>7.5276006152167563E-2</v>
      </c>
      <c r="F347">
        <v>0.13599891487512505</v>
      </c>
      <c r="G347">
        <v>5.1206022043670751E-2</v>
      </c>
      <c r="H347">
        <v>0.13534758716701223</v>
      </c>
      <c r="I347">
        <v>0.54644850877533102</v>
      </c>
      <c r="J347">
        <v>3.6413010977898397E-2</v>
      </c>
    </row>
    <row r="348" spans="1:10">
      <c r="A348" s="568">
        <v>44336</v>
      </c>
      <c r="B348">
        <v>4.8408317403941137E-2</v>
      </c>
      <c r="C348">
        <v>0.20691547207778282</v>
      </c>
      <c r="D348">
        <v>0.17263514239205735</v>
      </c>
      <c r="E348">
        <v>7.5857826990485266E-2</v>
      </c>
      <c r="F348">
        <v>0.13774981206158454</v>
      </c>
      <c r="G348">
        <v>5.1920328758650935E-2</v>
      </c>
      <c r="H348">
        <v>0.1403298232751875</v>
      </c>
      <c r="I348">
        <v>0.54675874906207422</v>
      </c>
      <c r="J348">
        <v>3.6550528977286501E-2</v>
      </c>
    </row>
    <row r="349" spans="1:10">
      <c r="A349" s="568">
        <v>44337</v>
      </c>
      <c r="B349">
        <v>4.8665103463695347E-2</v>
      </c>
      <c r="C349">
        <v>0.20757166793721349</v>
      </c>
      <c r="D349">
        <v>0.17365287211478853</v>
      </c>
      <c r="E349">
        <v>7.7134310601009615E-2</v>
      </c>
      <c r="F349">
        <v>0.13844302482627135</v>
      </c>
      <c r="G349">
        <v>5.1503622170901764E-2</v>
      </c>
      <c r="H349">
        <v>0.13773408723692571</v>
      </c>
      <c r="I349">
        <v>0.56321885647119507</v>
      </c>
      <c r="J349">
        <v>3.6688065223454691E-2</v>
      </c>
    </row>
    <row r="350" spans="1:10">
      <c r="A350" s="568">
        <v>44340</v>
      </c>
      <c r="B350">
        <v>4.8861830003757989E-2</v>
      </c>
      <c r="C350">
        <v>0.20822822056811319</v>
      </c>
      <c r="D350">
        <v>0.1738632834501157</v>
      </c>
      <c r="E350">
        <v>7.8550379031489204E-2</v>
      </c>
      <c r="F350">
        <v>0.14037979080928986</v>
      </c>
      <c r="G350">
        <v>5.1983338225725761E-2</v>
      </c>
      <c r="H350">
        <v>0.14809574301092265</v>
      </c>
      <c r="I350">
        <v>0.56124008953737459</v>
      </c>
      <c r="J350">
        <v>3.6825619718823921E-2</v>
      </c>
    </row>
    <row r="351" spans="1:10">
      <c r="A351" s="568">
        <v>44341</v>
      </c>
      <c r="B351">
        <v>4.9061448439376099E-2</v>
      </c>
      <c r="C351">
        <v>0.20888513016445742</v>
      </c>
      <c r="D351">
        <v>0.1740090743185525</v>
      </c>
      <c r="E351">
        <v>7.9939704575902493E-2</v>
      </c>
      <c r="F351">
        <v>0.13774805438048343</v>
      </c>
      <c r="G351">
        <v>5.2154522229206579E-2</v>
      </c>
      <c r="H351">
        <v>0.14345538435140925</v>
      </c>
      <c r="I351">
        <v>0.57922849993991932</v>
      </c>
      <c r="J351">
        <v>3.6963192465815586E-2</v>
      </c>
    </row>
    <row r="352" spans="1:10">
      <c r="A352" s="568">
        <v>44342</v>
      </c>
      <c r="B352">
        <v>4.9272113880657331E-2</v>
      </c>
      <c r="C352">
        <v>0.20954239692032695</v>
      </c>
      <c r="D352">
        <v>0.17479679849002783</v>
      </c>
      <c r="E352">
        <v>7.9278959610413979E-2</v>
      </c>
      <c r="F352">
        <v>0.1383855765829558</v>
      </c>
      <c r="G352">
        <v>5.2892934755593091E-2</v>
      </c>
      <c r="H352">
        <v>0.15033834482795561</v>
      </c>
      <c r="I352">
        <v>0.57836587495372438</v>
      </c>
      <c r="J352">
        <v>3.7100783466851528E-2</v>
      </c>
    </row>
    <row r="353" spans="1:10">
      <c r="A353" s="568">
        <v>44343</v>
      </c>
      <c r="B353">
        <v>4.9471596467422163E-2</v>
      </c>
      <c r="C353">
        <v>0.2102000210299082</v>
      </c>
      <c r="D353">
        <v>0.17601304474080703</v>
      </c>
      <c r="E353">
        <v>8.0182347347039551E-2</v>
      </c>
      <c r="F353">
        <v>0.14196730480502184</v>
      </c>
      <c r="G353">
        <v>5.4883704794139065E-2</v>
      </c>
      <c r="H353">
        <v>0.15517489289187636</v>
      </c>
      <c r="I353">
        <v>0.57477515333535201</v>
      </c>
      <c r="J353">
        <v>3.7238392724353808E-2</v>
      </c>
    </row>
    <row r="354" spans="1:10">
      <c r="A354" s="568">
        <v>44344</v>
      </c>
      <c r="B354">
        <v>4.9690524552672422E-2</v>
      </c>
      <c r="C354">
        <v>0.21085800268749333</v>
      </c>
      <c r="D354">
        <v>0.17771230049671183</v>
      </c>
      <c r="E354">
        <v>8.0779170292174962E-2</v>
      </c>
      <c r="F354">
        <v>0.14281303200922402</v>
      </c>
      <c r="G354">
        <v>5.6068833599246082E-2</v>
      </c>
      <c r="H354">
        <v>0.16512840977919097</v>
      </c>
      <c r="I354">
        <v>0.56548923465054712</v>
      </c>
      <c r="J354">
        <v>3.7376020240744712E-2</v>
      </c>
    </row>
    <row r="355" spans="1:10">
      <c r="A355" s="568">
        <v>44347</v>
      </c>
      <c r="B355">
        <v>4.9901638642214863E-2</v>
      </c>
      <c r="C355">
        <v>0.21151634208747971</v>
      </c>
      <c r="D355">
        <v>0.17787835973747268</v>
      </c>
      <c r="E355">
        <v>8.0739382095832646E-2</v>
      </c>
      <c r="F355">
        <v>0.14391889508281119</v>
      </c>
      <c r="G355">
        <v>5.6591560672343277E-2</v>
      </c>
      <c r="H355">
        <v>0.1742384105846515</v>
      </c>
      <c r="I355">
        <v>0.57309204729965413</v>
      </c>
      <c r="J355">
        <v>3.7513666018446967E-2</v>
      </c>
    </row>
    <row r="356" spans="1:10">
      <c r="A356" s="568">
        <v>44348</v>
      </c>
      <c r="B356">
        <v>5.0100038907801903E-2</v>
      </c>
      <c r="C356">
        <v>0.21217503942437088</v>
      </c>
      <c r="D356">
        <v>0.17871852532002208</v>
      </c>
      <c r="E356">
        <v>8.2123489516135573E-2</v>
      </c>
      <c r="F356">
        <v>0.14639400295663041</v>
      </c>
      <c r="G356">
        <v>5.6373045508739228E-2</v>
      </c>
      <c r="H356">
        <v>0.18031401043327966</v>
      </c>
      <c r="I356">
        <v>0.5684050062969257</v>
      </c>
      <c r="J356">
        <v>3.7651330059883525E-2</v>
      </c>
    </row>
    <row r="357" spans="1:10">
      <c r="A357" s="568">
        <v>44349</v>
      </c>
      <c r="B357">
        <v>5.0380045773399607E-2</v>
      </c>
      <c r="C357">
        <v>0.21283409489277583</v>
      </c>
      <c r="D357">
        <v>0.17994752982230522</v>
      </c>
      <c r="E357">
        <v>8.2779668623027547E-2</v>
      </c>
      <c r="F357">
        <v>0.1469381246977417</v>
      </c>
      <c r="G357">
        <v>5.7100058528658293E-2</v>
      </c>
      <c r="H357">
        <v>0.18780153156631441</v>
      </c>
      <c r="I357">
        <v>0.55210200852888169</v>
      </c>
      <c r="J357">
        <v>3.7789012367478003E-2</v>
      </c>
    </row>
    <row r="358" spans="1:10">
      <c r="A358" s="568">
        <v>44351</v>
      </c>
      <c r="B358">
        <v>5.0600362082932282E-2</v>
      </c>
      <c r="C358">
        <v>0.21349350868740968</v>
      </c>
      <c r="D358">
        <v>0.18131376611886107</v>
      </c>
      <c r="E358">
        <v>8.3975923575353439E-2</v>
      </c>
      <c r="F358">
        <v>0.14701034014842906</v>
      </c>
      <c r="G358">
        <v>5.7669134926134236E-2</v>
      </c>
      <c r="H358">
        <v>0.19333941039151648</v>
      </c>
      <c r="I358">
        <v>0.5382759586043846</v>
      </c>
      <c r="J358">
        <v>3.7926712943653795E-2</v>
      </c>
    </row>
    <row r="359" spans="1:10">
      <c r="A359" s="568">
        <v>44354</v>
      </c>
      <c r="B359">
        <v>5.0802994792904288E-2</v>
      </c>
      <c r="C359">
        <v>0.21415328100309305</v>
      </c>
      <c r="D359">
        <v>0.18120510834893233</v>
      </c>
      <c r="E359">
        <v>8.438619858353924E-2</v>
      </c>
      <c r="F359">
        <v>0.14729529812678699</v>
      </c>
      <c r="G359">
        <v>5.764401101946337E-2</v>
      </c>
      <c r="H359">
        <v>0.1927155136786125</v>
      </c>
      <c r="I359">
        <v>0.53756334864063149</v>
      </c>
      <c r="J359">
        <v>3.8064431790835185E-2</v>
      </c>
    </row>
    <row r="360" spans="1:10">
      <c r="A360" s="568">
        <v>44355</v>
      </c>
      <c r="B360">
        <v>5.099008595782073E-2</v>
      </c>
      <c r="C360">
        <v>0.21481341203475246</v>
      </c>
      <c r="D360">
        <v>0.18145454812663941</v>
      </c>
      <c r="E360">
        <v>8.517217852767911E-2</v>
      </c>
      <c r="F360">
        <v>0.14548817604290143</v>
      </c>
      <c r="G360">
        <v>5.7534165460796372E-2</v>
      </c>
      <c r="H360">
        <v>0.18815089618106628</v>
      </c>
      <c r="I360">
        <v>0.53828409680511902</v>
      </c>
      <c r="J360">
        <v>3.8202168911446233E-2</v>
      </c>
    </row>
    <row r="361" spans="1:10">
      <c r="A361" s="568">
        <v>44356</v>
      </c>
      <c r="B361">
        <v>5.1219072351183836E-2</v>
      </c>
      <c r="C361">
        <v>0.21547390197742078</v>
      </c>
      <c r="D361">
        <v>0.18211114861528954</v>
      </c>
      <c r="E361">
        <v>8.6028603147310756E-2</v>
      </c>
      <c r="F361">
        <v>0.14434358899536948</v>
      </c>
      <c r="G361">
        <v>5.7854511500040839E-2</v>
      </c>
      <c r="H361">
        <v>0.18985267568936637</v>
      </c>
      <c r="I361">
        <v>0.54040457244617257</v>
      </c>
      <c r="J361">
        <v>3.8339924307911666E-2</v>
      </c>
    </row>
    <row r="362" spans="1:10">
      <c r="A362" s="568">
        <v>44357</v>
      </c>
      <c r="B362">
        <v>5.1424471175821385E-2</v>
      </c>
      <c r="C362">
        <v>0.21613475102623658</v>
      </c>
      <c r="D362">
        <v>0.1819994785318555</v>
      </c>
      <c r="E362">
        <v>8.7232685285802303E-2</v>
      </c>
      <c r="F362">
        <v>0.14505154652448859</v>
      </c>
      <c r="G362">
        <v>5.8108573018988974E-2</v>
      </c>
      <c r="H362">
        <v>0.19330465773032746</v>
      </c>
      <c r="I362">
        <v>0.55377015755260572</v>
      </c>
      <c r="J362">
        <v>3.8477697982656434E-2</v>
      </c>
    </row>
    <row r="363" spans="1:10">
      <c r="A363" s="568">
        <v>44358</v>
      </c>
      <c r="B363">
        <v>5.1630579867720572E-2</v>
      </c>
      <c r="C363">
        <v>0.2167959593764448</v>
      </c>
      <c r="D363">
        <v>0.18196402711794857</v>
      </c>
      <c r="E363">
        <v>8.7560774839248401E-2</v>
      </c>
      <c r="F363">
        <v>0.14437149051950082</v>
      </c>
      <c r="G363">
        <v>5.7615336731271949E-2</v>
      </c>
      <c r="H363">
        <v>0.18956285382367022</v>
      </c>
      <c r="I363">
        <v>0.56730689671180223</v>
      </c>
      <c r="J363">
        <v>3.8615489938105707E-2</v>
      </c>
    </row>
    <row r="364" spans="1:10">
      <c r="A364" s="568">
        <v>44361</v>
      </c>
      <c r="B364">
        <v>5.1890308522998918E-2</v>
      </c>
      <c r="C364">
        <v>0.21745752722339629</v>
      </c>
      <c r="D364">
        <v>0.18276464631490175</v>
      </c>
      <c r="E364">
        <v>8.698221532849959E-2</v>
      </c>
      <c r="F364">
        <v>0.14707661931910021</v>
      </c>
      <c r="G364">
        <v>5.9122644234546717E-2</v>
      </c>
      <c r="H364">
        <v>0.19574637892300628</v>
      </c>
      <c r="I364">
        <v>0.55635843817211961</v>
      </c>
      <c r="J364">
        <v>3.8753300176685324E-2</v>
      </c>
    </row>
    <row r="365" spans="1:10">
      <c r="A365" s="568">
        <v>44362</v>
      </c>
      <c r="B365">
        <v>5.2100210317195472E-2</v>
      </c>
      <c r="C365">
        <v>0.21811945476254824</v>
      </c>
      <c r="D365">
        <v>0.18303842174643203</v>
      </c>
      <c r="E365">
        <v>8.6365172152436109E-2</v>
      </c>
      <c r="F365">
        <v>0.14749618941982123</v>
      </c>
      <c r="G365">
        <v>5.9963575475652897E-2</v>
      </c>
      <c r="H365">
        <v>0.19488783540724008</v>
      </c>
      <c r="I365">
        <v>0.54767672678732682</v>
      </c>
      <c r="J365">
        <v>3.889112870082112E-2</v>
      </c>
    </row>
    <row r="366" spans="1:10">
      <c r="A366" s="568">
        <v>44363</v>
      </c>
      <c r="B366">
        <v>5.2303200912431125E-2</v>
      </c>
      <c r="C366">
        <v>0.218781742189464</v>
      </c>
      <c r="D366">
        <v>0.18356472074263008</v>
      </c>
      <c r="E366">
        <v>8.4828434601901703E-2</v>
      </c>
      <c r="F366">
        <v>0.14878919375182886</v>
      </c>
      <c r="G366">
        <v>6.000283599341194E-2</v>
      </c>
      <c r="H366">
        <v>0.19245423739327494</v>
      </c>
      <c r="I366">
        <v>0.53900669841719906</v>
      </c>
      <c r="J366">
        <v>3.9028975512939157E-2</v>
      </c>
    </row>
    <row r="367" spans="1:10">
      <c r="A367" s="568">
        <v>44364</v>
      </c>
      <c r="B367">
        <v>5.2561199417244797E-2</v>
      </c>
      <c r="C367">
        <v>0.21944438969981328</v>
      </c>
      <c r="D367">
        <v>0.18170113710319513</v>
      </c>
      <c r="E367">
        <v>8.39178719446243E-2</v>
      </c>
      <c r="F367">
        <v>0.14609695015489077</v>
      </c>
      <c r="G367">
        <v>6.0064756103688888E-2</v>
      </c>
      <c r="H367">
        <v>0.18610129630030259</v>
      </c>
      <c r="I367">
        <v>0.53146075989932595</v>
      </c>
      <c r="J367">
        <v>3.9196643711258972E-2</v>
      </c>
    </row>
    <row r="368" spans="1:10">
      <c r="A368" s="568">
        <v>44365</v>
      </c>
      <c r="B368">
        <v>5.2786076393292802E-2</v>
      </c>
      <c r="C368">
        <v>0.22010739748937236</v>
      </c>
      <c r="D368">
        <v>0.18119345097677098</v>
      </c>
      <c r="E368">
        <v>8.181953378670026E-2</v>
      </c>
      <c r="F368">
        <v>0.1456274331366505</v>
      </c>
      <c r="G368">
        <v>5.9922647156684938E-2</v>
      </c>
      <c r="H368">
        <v>0.19141241089677674</v>
      </c>
      <c r="I368">
        <v>0.53462899143792098</v>
      </c>
      <c r="J368">
        <v>3.9364338966211054E-2</v>
      </c>
    </row>
    <row r="369" spans="1:10">
      <c r="A369" s="568">
        <v>44368</v>
      </c>
      <c r="B369">
        <v>5.3025271525317219E-2</v>
      </c>
      <c r="C369">
        <v>0.22077076575402388</v>
      </c>
      <c r="D369">
        <v>0.18330353310895808</v>
      </c>
      <c r="E369">
        <v>8.1878889948456823E-2</v>
      </c>
      <c r="F369">
        <v>0.14866820391626634</v>
      </c>
      <c r="G369">
        <v>6.1949539711224411E-2</v>
      </c>
      <c r="H369">
        <v>0.20141851435886271</v>
      </c>
      <c r="I369">
        <v>0.52795830857753789</v>
      </c>
      <c r="J369">
        <v>3.9532061282161246E-2</v>
      </c>
    </row>
    <row r="370" spans="1:10">
      <c r="A370" s="568">
        <v>44369</v>
      </c>
      <c r="B370">
        <v>5.3264568344904895E-2</v>
      </c>
      <c r="C370">
        <v>0.22143449468975684</v>
      </c>
      <c r="D370">
        <v>0.18267417148911735</v>
      </c>
      <c r="E370">
        <v>8.2690308247635569E-2</v>
      </c>
      <c r="F370">
        <v>0.14833501589760334</v>
      </c>
      <c r="G370">
        <v>6.3183587410785558E-2</v>
      </c>
      <c r="H370">
        <v>0.20267883963966193</v>
      </c>
      <c r="I370">
        <v>0.53192475580726661</v>
      </c>
      <c r="J370">
        <v>3.9699810663476498E-2</v>
      </c>
    </row>
    <row r="371" spans="1:10">
      <c r="A371" s="568">
        <v>44370</v>
      </c>
      <c r="B371">
        <v>5.3579246757125665E-2</v>
      </c>
      <c r="C371">
        <v>0.22209858449266684</v>
      </c>
      <c r="D371">
        <v>0.18380451166150058</v>
      </c>
      <c r="E371">
        <v>8.4313797111506661E-2</v>
      </c>
      <c r="F371">
        <v>0.14946777850773185</v>
      </c>
      <c r="G371">
        <v>6.3664135844891723E-2</v>
      </c>
      <c r="H371">
        <v>0.20593223597952415</v>
      </c>
      <c r="I371">
        <v>0.53330049838111759</v>
      </c>
      <c r="J371">
        <v>3.9867587114524428E-2</v>
      </c>
    </row>
    <row r="372" spans="1:10">
      <c r="A372" s="568">
        <v>44371</v>
      </c>
      <c r="B372">
        <v>5.3791507734520572E-2</v>
      </c>
      <c r="C372">
        <v>0.22276303535895625</v>
      </c>
      <c r="D372">
        <v>0.18522595717045243</v>
      </c>
      <c r="E372">
        <v>8.4832348194984863E-2</v>
      </c>
      <c r="F372">
        <v>0.1515276834502195</v>
      </c>
      <c r="G372">
        <v>6.4200284523183715E-2</v>
      </c>
      <c r="H372">
        <v>0.21264271636077425</v>
      </c>
      <c r="I372">
        <v>0.52864064502641273</v>
      </c>
      <c r="J372">
        <v>4.0035390639673096E-2</v>
      </c>
    </row>
    <row r="373" spans="1:10">
      <c r="A373" s="568">
        <v>44372</v>
      </c>
      <c r="B373">
        <v>5.4039945083595553E-2</v>
      </c>
      <c r="C373">
        <v>0.22342784748493405</v>
      </c>
      <c r="D373">
        <v>0.18602793789641892</v>
      </c>
      <c r="E373">
        <v>8.607230493673601E-2</v>
      </c>
      <c r="F373">
        <v>0.15397889617774418</v>
      </c>
      <c r="G373">
        <v>6.3229140683759955E-2</v>
      </c>
      <c r="H373">
        <v>0.20257943890134333</v>
      </c>
      <c r="I373">
        <v>0.54944481641719123</v>
      </c>
      <c r="J373">
        <v>4.0203221243291676E-2</v>
      </c>
    </row>
    <row r="374" spans="1:10">
      <c r="A374" s="568">
        <v>44375</v>
      </c>
      <c r="B374">
        <v>5.4262129212909516E-2</v>
      </c>
      <c r="C374">
        <v>0.22409302106701579</v>
      </c>
      <c r="D374">
        <v>0.18769878580587229</v>
      </c>
      <c r="E374">
        <v>8.6309077318248884E-2</v>
      </c>
      <c r="F374">
        <v>0.1537042214607991</v>
      </c>
      <c r="G374">
        <v>6.2817472737962676E-2</v>
      </c>
      <c r="H374">
        <v>0.2084796757113403</v>
      </c>
      <c r="I374">
        <v>0.55114668300846503</v>
      </c>
      <c r="J374">
        <v>4.037107892974956E-2</v>
      </c>
    </row>
    <row r="375" spans="1:10">
      <c r="A375" s="568">
        <v>44376</v>
      </c>
      <c r="B375">
        <v>5.4529902511491146E-2</v>
      </c>
      <c r="C375">
        <v>0.22475855630172403</v>
      </c>
      <c r="D375">
        <v>0.1882836336280127</v>
      </c>
      <c r="E375">
        <v>8.6348213249077599E-2</v>
      </c>
      <c r="F375">
        <v>0.15388677903919068</v>
      </c>
      <c r="G375">
        <v>6.2416641226239244E-2</v>
      </c>
      <c r="H375">
        <v>0.21023887524206053</v>
      </c>
      <c r="I375">
        <v>0.54989981714399705</v>
      </c>
      <c r="J375">
        <v>4.0538963703417252E-2</v>
      </c>
    </row>
    <row r="376" spans="1:10">
      <c r="A376" s="568">
        <v>44377</v>
      </c>
      <c r="B376">
        <v>5.4796161836489832E-2</v>
      </c>
      <c r="C376">
        <v>0.22542445338568795</v>
      </c>
      <c r="D376">
        <v>0.18856787283494381</v>
      </c>
      <c r="E376">
        <v>8.6372347073088385E-2</v>
      </c>
      <c r="F376">
        <v>0.15421476583003835</v>
      </c>
      <c r="G376">
        <v>6.2525589189769137E-2</v>
      </c>
      <c r="H376">
        <v>0.21041215930006807</v>
      </c>
      <c r="I376">
        <v>0.55936866041863498</v>
      </c>
      <c r="J376">
        <v>4.0706875568665923E-2</v>
      </c>
    </row>
    <row r="377" spans="1:10">
      <c r="A377" s="568">
        <v>44378</v>
      </c>
      <c r="B377">
        <v>5.5009086135102914E-2</v>
      </c>
      <c r="C377">
        <v>0.22609071251564372</v>
      </c>
      <c r="D377">
        <v>0.18891332609182476</v>
      </c>
      <c r="E377">
        <v>8.6054693767863233E-2</v>
      </c>
      <c r="F377">
        <v>0.15466823501038451</v>
      </c>
      <c r="G377">
        <v>6.1696258062802656E-2</v>
      </c>
      <c r="H377">
        <v>0.20475783427212613</v>
      </c>
      <c r="I377">
        <v>0.57178565353011757</v>
      </c>
      <c r="J377">
        <v>4.0874814529867187E-2</v>
      </c>
    </row>
    <row r="378" spans="1:10">
      <c r="A378" s="568">
        <v>44379</v>
      </c>
      <c r="B378">
        <v>5.5270659486453377E-2</v>
      </c>
      <c r="C378">
        <v>0.22675733388843478</v>
      </c>
      <c r="D378">
        <v>0.19030652267495274</v>
      </c>
      <c r="E378">
        <v>8.7754497696849842E-2</v>
      </c>
      <c r="F378">
        <v>0.15575485725299942</v>
      </c>
      <c r="G378">
        <v>6.2656798768939925E-2</v>
      </c>
      <c r="H378">
        <v>0.22021896375288597</v>
      </c>
      <c r="I378">
        <v>0.5666689550210966</v>
      </c>
      <c r="J378">
        <v>4.1042780591393546E-2</v>
      </c>
    </row>
    <row r="379" spans="1:10">
      <c r="A379" s="568">
        <v>44382</v>
      </c>
      <c r="B379">
        <v>5.5505110242066502E-2</v>
      </c>
      <c r="C379">
        <v>0.22742431770101112</v>
      </c>
      <c r="D379">
        <v>0.1908748924258441</v>
      </c>
      <c r="E379">
        <v>8.771340496947988E-2</v>
      </c>
      <c r="F379">
        <v>0.15624791609900202</v>
      </c>
      <c r="G379">
        <v>6.2939143925545116E-2</v>
      </c>
      <c r="H379">
        <v>0.21658477925210584</v>
      </c>
      <c r="I379">
        <v>0.56771529162282275</v>
      </c>
      <c r="J379">
        <v>4.1210773757618391E-2</v>
      </c>
    </row>
    <row r="380" spans="1:10">
      <c r="A380" s="568">
        <v>44383</v>
      </c>
      <c r="B380">
        <v>5.5735218656195462E-2</v>
      </c>
      <c r="C380">
        <v>0.22809166415043003</v>
      </c>
      <c r="D380">
        <v>0.19077078472884623</v>
      </c>
      <c r="E380">
        <v>8.6267984590878921E-2</v>
      </c>
      <c r="F380">
        <v>0.14862743877957429</v>
      </c>
      <c r="G380">
        <v>6.0495940365651313E-2</v>
      </c>
      <c r="H380">
        <v>0.20291968703351171</v>
      </c>
      <c r="I380">
        <v>0.58856691060818767</v>
      </c>
      <c r="J380">
        <v>4.1378794032915334E-2</v>
      </c>
    </row>
    <row r="381" spans="1:10">
      <c r="A381" s="568">
        <v>44384</v>
      </c>
      <c r="B381">
        <v>5.5992392830748638E-2</v>
      </c>
      <c r="C381">
        <v>0.22875937343385599</v>
      </c>
      <c r="D381">
        <v>0.19192918760132027</v>
      </c>
      <c r="E381">
        <v>8.5527663232705553E-2</v>
      </c>
      <c r="F381">
        <v>0.14666703814720594</v>
      </c>
      <c r="G381">
        <v>6.0891231803510637E-2</v>
      </c>
      <c r="H381">
        <v>0.21173006416397211</v>
      </c>
      <c r="I381">
        <v>0.5973298268814633</v>
      </c>
      <c r="J381">
        <v>4.1546841421659098E-2</v>
      </c>
    </row>
    <row r="382" spans="1:10">
      <c r="A382" s="568">
        <v>44385</v>
      </c>
      <c r="B382">
        <v>5.6226296395776254E-2</v>
      </c>
      <c r="C382">
        <v>0.22942744574856078</v>
      </c>
      <c r="D382">
        <v>0.19233408732722168</v>
      </c>
      <c r="E382">
        <v>8.4757989926410815E-2</v>
      </c>
      <c r="F382">
        <v>0.14101973462680562</v>
      </c>
      <c r="G382">
        <v>5.9362191258483854E-2</v>
      </c>
      <c r="H382">
        <v>0.19977186112864387</v>
      </c>
      <c r="I382">
        <v>0.57580348101919276</v>
      </c>
      <c r="J382">
        <v>4.1714915928224849E-2</v>
      </c>
    </row>
    <row r="383" spans="1:10">
      <c r="A383" s="568">
        <v>44386</v>
      </c>
      <c r="B383">
        <v>5.6469618044446168E-2</v>
      </c>
      <c r="C383">
        <v>0.23009588129192315</v>
      </c>
      <c r="D383">
        <v>0.1931767426345381</v>
      </c>
      <c r="E383">
        <v>8.6588246958159143E-2</v>
      </c>
      <c r="F383">
        <v>0.14358222513929264</v>
      </c>
      <c r="G383">
        <v>6.0125302203049236E-2</v>
      </c>
      <c r="H383">
        <v>0.20086830763337749</v>
      </c>
      <c r="I383">
        <v>0.57906866283099823</v>
      </c>
      <c r="J383">
        <v>4.1883017556988866E-2</v>
      </c>
    </row>
    <row r="384" spans="1:10">
      <c r="A384" s="568">
        <v>44389</v>
      </c>
      <c r="B384">
        <v>5.6715361983521451E-2</v>
      </c>
      <c r="C384">
        <v>0.23076468026142916</v>
      </c>
      <c r="D384">
        <v>0.19309695238061964</v>
      </c>
      <c r="E384">
        <v>8.7630567249226132E-2</v>
      </c>
      <c r="F384">
        <v>0.14720327151699042</v>
      </c>
      <c r="G384">
        <v>6.2452641104518314E-2</v>
      </c>
      <c r="H384">
        <v>0.21422014735062267</v>
      </c>
      <c r="I384">
        <v>0.58035302033112934</v>
      </c>
      <c r="J384">
        <v>4.2051146312327647E-2</v>
      </c>
    </row>
    <row r="385" spans="1:10">
      <c r="A385" s="568">
        <v>44390</v>
      </c>
      <c r="B385">
        <v>5.6951043738958207E-2</v>
      </c>
      <c r="C385">
        <v>0.2314338428546725</v>
      </c>
      <c r="D385">
        <v>0.19371620484376972</v>
      </c>
      <c r="E385">
        <v>8.6741529353904223E-2</v>
      </c>
      <c r="F385">
        <v>0.14965796057585945</v>
      </c>
      <c r="G385">
        <v>6.3731474169798519E-2</v>
      </c>
      <c r="H385">
        <v>0.21987223342804896</v>
      </c>
      <c r="I385">
        <v>0.58612700042067645</v>
      </c>
      <c r="J385">
        <v>4.221930219861858E-2</v>
      </c>
    </row>
    <row r="386" spans="1:10">
      <c r="A386" s="568">
        <v>44391</v>
      </c>
      <c r="B386">
        <v>5.7210866302876306E-2</v>
      </c>
      <c r="C386">
        <v>0.23210336926935415</v>
      </c>
      <c r="D386">
        <v>0.19534714935277186</v>
      </c>
      <c r="E386">
        <v>8.8199995042781421E-2</v>
      </c>
      <c r="F386">
        <v>0.14756533522933002</v>
      </c>
      <c r="G386">
        <v>6.4169588592963178E-2</v>
      </c>
      <c r="H386">
        <v>0.22369062908705417</v>
      </c>
      <c r="I386">
        <v>0.56715169362776541</v>
      </c>
      <c r="J386">
        <v>4.238748522023994E-2</v>
      </c>
    </row>
    <row r="387" spans="1:10">
      <c r="A387" s="568">
        <v>44392</v>
      </c>
      <c r="B387">
        <v>5.7440398625288269E-2</v>
      </c>
      <c r="C387">
        <v>0.23277325970328255</v>
      </c>
      <c r="D387">
        <v>0.19620976981948246</v>
      </c>
      <c r="E387">
        <v>8.8177818015311882E-2</v>
      </c>
      <c r="F387">
        <v>0.14465706572961801</v>
      </c>
      <c r="G387">
        <v>6.4564114176458798E-2</v>
      </c>
      <c r="H387">
        <v>0.21789743300037023</v>
      </c>
      <c r="I387">
        <v>0.57937692221491455</v>
      </c>
      <c r="J387">
        <v>4.2555695381570446E-2</v>
      </c>
    </row>
    <row r="388" spans="1:10">
      <c r="A388" s="568">
        <v>44393</v>
      </c>
      <c r="B388">
        <v>5.7702336804078769E-2</v>
      </c>
      <c r="C388">
        <v>0.23344351435437383</v>
      </c>
      <c r="D388">
        <v>0.19759611503475183</v>
      </c>
      <c r="E388">
        <v>8.8147161536162866E-2</v>
      </c>
      <c r="F388">
        <v>0.14298132741538572</v>
      </c>
      <c r="G388">
        <v>6.3771334060243268E-2</v>
      </c>
      <c r="H388">
        <v>0.21348968785340983</v>
      </c>
      <c r="I388">
        <v>0.56974914181460146</v>
      </c>
      <c r="J388">
        <v>4.2723932686989707E-2</v>
      </c>
    </row>
    <row r="389" spans="1:10">
      <c r="A389" s="568">
        <v>44396</v>
      </c>
      <c r="B389">
        <v>5.7951061226887646E-2</v>
      </c>
      <c r="C389">
        <v>0.23411413342065157</v>
      </c>
      <c r="D389">
        <v>0.19840076630083492</v>
      </c>
      <c r="E389">
        <v>8.5059336593790613E-2</v>
      </c>
      <c r="F389">
        <v>0.13114647002425639</v>
      </c>
      <c r="G389">
        <v>5.9857992049560327E-2</v>
      </c>
      <c r="H389">
        <v>0.19931665454110936</v>
      </c>
      <c r="I389">
        <v>0.57020850014343027</v>
      </c>
      <c r="J389">
        <v>4.2892197140877775E-2</v>
      </c>
    </row>
    <row r="390" spans="1:10">
      <c r="A390" s="568">
        <v>44397</v>
      </c>
      <c r="B390">
        <v>5.818440767552735E-2</v>
      </c>
      <c r="C390">
        <v>0.23478511710024708</v>
      </c>
      <c r="D390">
        <v>0.19958587489534696</v>
      </c>
      <c r="E390">
        <v>8.6339081531884077E-2</v>
      </c>
      <c r="F390">
        <v>0.1332966259942181</v>
      </c>
      <c r="G390">
        <v>6.0534586267624757E-2</v>
      </c>
      <c r="H390">
        <v>0.20879827150206465</v>
      </c>
      <c r="I390">
        <v>0.57618292298082929</v>
      </c>
      <c r="J390">
        <v>4.306048874761581E-2</v>
      </c>
    </row>
    <row r="391" spans="1:10">
      <c r="A391" s="568">
        <v>44398</v>
      </c>
      <c r="B391">
        <v>5.840745113247614E-2</v>
      </c>
      <c r="C391">
        <v>0.23545646559139932</v>
      </c>
      <c r="D391">
        <v>0.20029980755687404</v>
      </c>
      <c r="E391">
        <v>8.862722895432662E-2</v>
      </c>
      <c r="F391">
        <v>0.13887963822821647</v>
      </c>
      <c r="G391">
        <v>6.1885355857954627E-2</v>
      </c>
      <c r="H391">
        <v>0.21416004139405809</v>
      </c>
      <c r="I391">
        <v>0.57813039861789206</v>
      </c>
      <c r="J391">
        <v>4.3228807511585421E-2</v>
      </c>
    </row>
    <row r="392" spans="1:10">
      <c r="A392" s="568">
        <v>44399</v>
      </c>
      <c r="B392">
        <v>5.863986356599904E-2</v>
      </c>
      <c r="C392">
        <v>0.2361281790924552</v>
      </c>
      <c r="D392">
        <v>0.20114582725200347</v>
      </c>
      <c r="E392">
        <v>8.9012717872987812E-2</v>
      </c>
      <c r="F392">
        <v>0.14006967159671091</v>
      </c>
      <c r="G392">
        <v>6.4295876640834138E-2</v>
      </c>
      <c r="H392">
        <v>0.22682522600578992</v>
      </c>
      <c r="I392">
        <v>0.59113724730765216</v>
      </c>
      <c r="J392">
        <v>4.33971534371691E-2</v>
      </c>
    </row>
    <row r="393" spans="1:10">
      <c r="A393" s="568">
        <v>44400</v>
      </c>
      <c r="B393">
        <v>5.8888357514958356E-2</v>
      </c>
      <c r="C393">
        <v>0.23680025780186953</v>
      </c>
      <c r="D393">
        <v>0.20073887145581204</v>
      </c>
      <c r="E393">
        <v>9.0298333200705461E-2</v>
      </c>
      <c r="F393">
        <v>0.13931602181664249</v>
      </c>
      <c r="G393">
        <v>6.5678440489076007E-2</v>
      </c>
      <c r="H393">
        <v>0.22454344308930541</v>
      </c>
      <c r="I393">
        <v>0.57974314094368196</v>
      </c>
      <c r="J393">
        <v>4.3565526528749787E-2</v>
      </c>
    </row>
    <row r="394" spans="1:10">
      <c r="A394" s="568">
        <v>44403</v>
      </c>
      <c r="B394">
        <v>5.9159562951952571E-2</v>
      </c>
      <c r="C394">
        <v>0.23747270191820458</v>
      </c>
      <c r="D394">
        <v>0.20112304982550722</v>
      </c>
      <c r="E394">
        <v>9.1221288902745279E-2</v>
      </c>
      <c r="F394">
        <v>0.13885212918089818</v>
      </c>
      <c r="G394">
        <v>6.5571429732391495E-2</v>
      </c>
      <c r="H394">
        <v>0.22226426591446491</v>
      </c>
      <c r="I394">
        <v>0.54233631891358081</v>
      </c>
      <c r="J394">
        <v>4.3733926790711086E-2</v>
      </c>
    </row>
    <row r="395" spans="1:10">
      <c r="A395" s="568">
        <v>44404</v>
      </c>
      <c r="B395">
        <v>5.9432548468526747E-2</v>
      </c>
      <c r="C395">
        <v>0.23814551164013098</v>
      </c>
      <c r="D395">
        <v>0.20086698949284809</v>
      </c>
      <c r="E395">
        <v>9.0137223618794504E-2</v>
      </c>
      <c r="F395">
        <v>0.13556353189224302</v>
      </c>
      <c r="G395">
        <v>6.3971295103429693E-2</v>
      </c>
      <c r="H395">
        <v>0.20285594053660239</v>
      </c>
      <c r="I395">
        <v>0.50935331561054609</v>
      </c>
      <c r="J395">
        <v>4.3902354227437712E-2</v>
      </c>
    </row>
    <row r="396" spans="1:10">
      <c r="A396" s="568">
        <v>44405</v>
      </c>
      <c r="B396">
        <v>5.965912119829464E-2</v>
      </c>
      <c r="C396">
        <v>0.23881868716642707</v>
      </c>
      <c r="D396">
        <v>0.20146122288246615</v>
      </c>
      <c r="E396">
        <v>9.1217375309662563E-2</v>
      </c>
      <c r="F396">
        <v>0.13855550803062089</v>
      </c>
      <c r="G396">
        <v>6.4264284651892156E-2</v>
      </c>
      <c r="H396">
        <v>0.21888561625944392</v>
      </c>
      <c r="I396">
        <v>0.50942726306741704</v>
      </c>
      <c r="J396">
        <v>4.4070808843314824E-2</v>
      </c>
    </row>
    <row r="397" spans="1:10">
      <c r="A397" s="568">
        <v>44406</v>
      </c>
      <c r="B397">
        <v>5.9924062864481265E-2</v>
      </c>
      <c r="C397">
        <v>0.23949222869597975</v>
      </c>
      <c r="D397">
        <v>0.20264593370752348</v>
      </c>
      <c r="E397">
        <v>9.3124599672040453E-2</v>
      </c>
      <c r="F397">
        <v>0.14122977774175749</v>
      </c>
      <c r="G397">
        <v>6.5559963047562286E-2</v>
      </c>
      <c r="H397">
        <v>0.22193902659601394</v>
      </c>
      <c r="I397">
        <v>0.53012201829917416</v>
      </c>
      <c r="J397">
        <v>4.4239290642728246E-2</v>
      </c>
    </row>
    <row r="398" spans="1:10">
      <c r="A398" s="568">
        <v>44407</v>
      </c>
      <c r="B398">
        <v>6.0234213727884844E-2</v>
      </c>
      <c r="C398">
        <v>0.24016613642778362</v>
      </c>
      <c r="D398">
        <v>0.20235694098189483</v>
      </c>
      <c r="E398">
        <v>9.2390148703491493E-2</v>
      </c>
      <c r="F398">
        <v>0.13569830047972742</v>
      </c>
      <c r="G398">
        <v>6.5421069241720087E-2</v>
      </c>
      <c r="H398">
        <v>0.19980759065719633</v>
      </c>
      <c r="I398">
        <v>0.54390146558714791</v>
      </c>
      <c r="J398">
        <v>4.4407799630064693E-2</v>
      </c>
    </row>
    <row r="399" spans="1:10">
      <c r="A399" s="568">
        <v>44410</v>
      </c>
      <c r="B399">
        <v>6.0468363083381993E-2</v>
      </c>
      <c r="C399">
        <v>0.24084041056094141</v>
      </c>
      <c r="D399">
        <v>0.20271967370496768</v>
      </c>
      <c r="E399">
        <v>9.3135688185775223E-2</v>
      </c>
      <c r="F399">
        <v>0.13431303467594424</v>
      </c>
      <c r="G399">
        <v>6.5329845894797733E-2</v>
      </c>
      <c r="H399">
        <v>0.20631259814793257</v>
      </c>
      <c r="I399">
        <v>0.54554011098601718</v>
      </c>
      <c r="J399">
        <v>4.4576335809711543E-2</v>
      </c>
    </row>
    <row r="400" spans="1:10">
      <c r="A400" s="568">
        <v>44411</v>
      </c>
      <c r="B400">
        <v>6.0714963939177524E-2</v>
      </c>
      <c r="C400">
        <v>0.24151505129466466</v>
      </c>
      <c r="D400">
        <v>0.20365732062248076</v>
      </c>
      <c r="E400">
        <v>9.3227005357708448E-2</v>
      </c>
      <c r="F400">
        <v>0.13515001910169078</v>
      </c>
      <c r="G400">
        <v>6.5244763477670498E-2</v>
      </c>
      <c r="H400">
        <v>0.21118757530482091</v>
      </c>
      <c r="I400">
        <v>0.54806406542314168</v>
      </c>
      <c r="J400">
        <v>4.4744899186056619E-2</v>
      </c>
    </row>
    <row r="401" spans="1:10">
      <c r="A401" s="568">
        <v>44412</v>
      </c>
      <c r="B401">
        <v>6.0946886549789525E-2</v>
      </c>
      <c r="C401">
        <v>0.2421900588282726</v>
      </c>
      <c r="D401">
        <v>0.20369037149303759</v>
      </c>
      <c r="E401">
        <v>9.3151342558106531E-2</v>
      </c>
      <c r="F401">
        <v>0.13364601107534613</v>
      </c>
      <c r="G401">
        <v>6.4917407249165615E-2</v>
      </c>
      <c r="H401">
        <v>0.20213587135544819</v>
      </c>
      <c r="I401">
        <v>0.54772506926302689</v>
      </c>
      <c r="J401">
        <v>4.4913489763488634E-2</v>
      </c>
    </row>
    <row r="402" spans="1:10">
      <c r="A402" s="568">
        <v>44413</v>
      </c>
      <c r="B402">
        <v>6.1193700221587877E-2</v>
      </c>
      <c r="C402">
        <v>0.24286543336119304</v>
      </c>
      <c r="D402">
        <v>0.20241580629056521</v>
      </c>
      <c r="E402">
        <v>9.3442252977265383E-2</v>
      </c>
      <c r="F402">
        <v>0.13767738892985615</v>
      </c>
      <c r="G402">
        <v>6.6987008608080822E-2</v>
      </c>
      <c r="H402">
        <v>0.20442911324691493</v>
      </c>
      <c r="I402">
        <v>0.55158496040813687</v>
      </c>
      <c r="J402">
        <v>4.5121737373517989E-2</v>
      </c>
    </row>
    <row r="403" spans="1:10">
      <c r="A403" s="568">
        <v>44414</v>
      </c>
      <c r="B403">
        <v>6.1461449511747146E-2</v>
      </c>
      <c r="C403">
        <v>0.24354117509296258</v>
      </c>
      <c r="D403">
        <v>0.20358972570951051</v>
      </c>
      <c r="E403">
        <v>9.1371309970921244E-2</v>
      </c>
      <c r="F403">
        <v>0.14201696180729106</v>
      </c>
      <c r="G403">
        <v>6.7649397290123314E-2</v>
      </c>
      <c r="H403">
        <v>0.20874380019144168</v>
      </c>
      <c r="I403">
        <v>0.55729416200721715</v>
      </c>
      <c r="J403">
        <v>4.5330026486568809E-2</v>
      </c>
    </row>
    <row r="404" spans="1:10">
      <c r="A404" s="568">
        <v>44417</v>
      </c>
      <c r="B404">
        <v>6.1749447352630105E-2</v>
      </c>
      <c r="C404">
        <v>0.24421728422322575</v>
      </c>
      <c r="D404">
        <v>0.20383213990695737</v>
      </c>
      <c r="E404">
        <v>8.9672810572962502E-2</v>
      </c>
      <c r="F404">
        <v>0.1430561046361527</v>
      </c>
      <c r="G404">
        <v>6.7921637263834933E-2</v>
      </c>
      <c r="H404">
        <v>0.21033751552550495</v>
      </c>
      <c r="I404">
        <v>0.55724410937963276</v>
      </c>
      <c r="J404">
        <v>4.5538357110912475E-2</v>
      </c>
    </row>
    <row r="405" spans="1:10">
      <c r="A405" s="568">
        <v>44418</v>
      </c>
      <c r="B405">
        <v>6.2070913052298948E-2</v>
      </c>
      <c r="C405">
        <v>0.24489376095173587</v>
      </c>
      <c r="D405">
        <v>0.20502028594836474</v>
      </c>
      <c r="E405">
        <v>8.9969591381745539E-2</v>
      </c>
      <c r="F405">
        <v>0.14525071707022108</v>
      </c>
      <c r="G405">
        <v>6.7838795257101125E-2</v>
      </c>
      <c r="H405">
        <v>0.20834314568913781</v>
      </c>
      <c r="I405">
        <v>0.55913400611770037</v>
      </c>
      <c r="J405">
        <v>4.5746729254822149E-2</v>
      </c>
    </row>
    <row r="406" spans="1:10">
      <c r="A406" s="568">
        <v>44419</v>
      </c>
      <c r="B406">
        <v>6.2377584571803313E-2</v>
      </c>
      <c r="C406">
        <v>0.24557060547835485</v>
      </c>
      <c r="D406">
        <v>0.20556399651417778</v>
      </c>
      <c r="E406">
        <v>9.1210852654524111E-2</v>
      </c>
      <c r="F406">
        <v>0.14520365406046776</v>
      </c>
      <c r="G406">
        <v>6.8103538825471821E-2</v>
      </c>
      <c r="H406">
        <v>0.206552168776168</v>
      </c>
      <c r="I406">
        <v>0.56346716348994597</v>
      </c>
      <c r="J406">
        <v>4.5955142926572545E-2</v>
      </c>
    </row>
    <row r="407" spans="1:10">
      <c r="A407" s="568">
        <v>44420</v>
      </c>
      <c r="B407">
        <v>6.262419048743828E-2</v>
      </c>
      <c r="C407">
        <v>0.2462478180030534</v>
      </c>
      <c r="D407">
        <v>0.20539494063341324</v>
      </c>
      <c r="E407">
        <v>9.204379571565835E-2</v>
      </c>
      <c r="F407">
        <v>0.14471018016605597</v>
      </c>
      <c r="G407">
        <v>6.8792981857186852E-2</v>
      </c>
      <c r="H407">
        <v>0.19816007418585713</v>
      </c>
      <c r="I407">
        <v>0.56603980755881911</v>
      </c>
      <c r="J407">
        <v>4.6163598134440154E-2</v>
      </c>
    </row>
    <row r="408" spans="1:10">
      <c r="A408" s="568">
        <v>44421</v>
      </c>
      <c r="B408">
        <v>6.2956219677652303E-2</v>
      </c>
      <c r="C408">
        <v>0.24692539872591079</v>
      </c>
      <c r="D408">
        <v>0.20516201070846107</v>
      </c>
      <c r="E408">
        <v>9.3181999037255325E-2</v>
      </c>
      <c r="F408">
        <v>0.14174746254965598</v>
      </c>
      <c r="G408">
        <v>6.8698217041211151E-2</v>
      </c>
      <c r="H408">
        <v>0.19337476370233442</v>
      </c>
      <c r="I408">
        <v>0.55674193005765349</v>
      </c>
      <c r="J408">
        <v>4.6372094886702797E-2</v>
      </c>
    </row>
    <row r="409" spans="1:10">
      <c r="A409" s="568">
        <v>44424</v>
      </c>
      <c r="B409">
        <v>6.3246031156962257E-2</v>
      </c>
      <c r="C409">
        <v>0.24760334784711513</v>
      </c>
      <c r="D409">
        <v>0.20538253252029115</v>
      </c>
      <c r="E409">
        <v>9.3263532226481427E-2</v>
      </c>
      <c r="F409">
        <v>0.13817878116263116</v>
      </c>
      <c r="G409">
        <v>6.6759232994524353E-2</v>
      </c>
      <c r="H409">
        <v>0.16358319128207777</v>
      </c>
      <c r="I409">
        <v>0.55578681090076776</v>
      </c>
      <c r="J409">
        <v>4.6580633191640075E-2</v>
      </c>
    </row>
    <row r="410" spans="1:10">
      <c r="A410" s="568">
        <v>44425</v>
      </c>
      <c r="B410">
        <v>6.3545193152234836E-2</v>
      </c>
      <c r="C410">
        <v>0.24828166556696329</v>
      </c>
      <c r="D410">
        <v>0.20657977995947463</v>
      </c>
      <c r="E410">
        <v>9.2054884229393341E-2</v>
      </c>
      <c r="F410">
        <v>0.13592945020168834</v>
      </c>
      <c r="G410">
        <v>6.3876667178878632E-2</v>
      </c>
      <c r="H410">
        <v>0.1432017658562883</v>
      </c>
      <c r="I410">
        <v>0.5327887629542396</v>
      </c>
      <c r="J410">
        <v>4.6789213057533363E-2</v>
      </c>
    </row>
    <row r="411" spans="1:10">
      <c r="A411" s="568">
        <v>44426</v>
      </c>
      <c r="B411">
        <v>6.3839054775453263E-2</v>
      </c>
      <c r="C411">
        <v>0.24896035208586098</v>
      </c>
      <c r="D411">
        <v>0.20525731965445604</v>
      </c>
      <c r="E411">
        <v>9.2259043335215729E-2</v>
      </c>
      <c r="F411">
        <v>0.13421236623697075</v>
      </c>
      <c r="G411">
        <v>6.5767821308866159E-2</v>
      </c>
      <c r="H411">
        <v>0.13776300748281201</v>
      </c>
      <c r="I411">
        <v>0.54928816160396954</v>
      </c>
      <c r="J411">
        <v>4.6997834492665813E-2</v>
      </c>
    </row>
    <row r="412" spans="1:10">
      <c r="A412" s="568">
        <v>44427</v>
      </c>
      <c r="B412">
        <v>6.4052758495629414E-2</v>
      </c>
      <c r="C412">
        <v>0.24963940760432313</v>
      </c>
      <c r="D412">
        <v>0.2064061982316221</v>
      </c>
      <c r="E412">
        <v>9.0239629304462721E-2</v>
      </c>
      <c r="F412">
        <v>0.13276326286047069</v>
      </c>
      <c r="G412">
        <v>6.6106821762933921E-2</v>
      </c>
      <c r="H412">
        <v>0.14807969470894311</v>
      </c>
      <c r="I412">
        <v>0.54709366495636935</v>
      </c>
      <c r="J412">
        <v>4.7206497505321687E-2</v>
      </c>
    </row>
    <row r="413" spans="1:10">
      <c r="A413" s="568">
        <v>44428</v>
      </c>
      <c r="B413">
        <v>6.4495289642776177E-2</v>
      </c>
      <c r="C413">
        <v>0.25031883232297369</v>
      </c>
      <c r="D413">
        <v>0.20809396939207159</v>
      </c>
      <c r="E413">
        <v>9.0239629304462721E-2</v>
      </c>
      <c r="F413">
        <v>0.13407262130414388</v>
      </c>
      <c r="G413">
        <v>6.6549685154160931E-2</v>
      </c>
      <c r="H413">
        <v>0.15929084664747961</v>
      </c>
      <c r="I413">
        <v>0.53404820151397425</v>
      </c>
      <c r="J413">
        <v>4.7415202103787468E-2</v>
      </c>
    </row>
    <row r="414" spans="1:10">
      <c r="A414" s="568">
        <v>44431</v>
      </c>
      <c r="B414">
        <v>6.4755967944237991E-2</v>
      </c>
      <c r="C414">
        <v>0.25099862644254545</v>
      </c>
      <c r="D414">
        <v>0.20772105320878831</v>
      </c>
      <c r="E414">
        <v>9.2157289915061558E-2</v>
      </c>
      <c r="F414">
        <v>0.13599100461943814</v>
      </c>
      <c r="G414">
        <v>6.7523400919547338E-2</v>
      </c>
      <c r="H414">
        <v>0.15773188705935204</v>
      </c>
      <c r="I414">
        <v>0.55410027432265752</v>
      </c>
      <c r="J414">
        <v>4.7623948296350971E-2</v>
      </c>
    </row>
    <row r="415" spans="1:10">
      <c r="A415" s="568">
        <v>44432</v>
      </c>
      <c r="B415">
        <v>6.5046535522017779E-2</v>
      </c>
      <c r="C415">
        <v>0.25167879016388039</v>
      </c>
      <c r="D415">
        <v>0.20971309623017276</v>
      </c>
      <c r="E415">
        <v>9.4078864118743111E-2</v>
      </c>
      <c r="F415">
        <v>0.1400875121528562</v>
      </c>
      <c r="G415">
        <v>6.7718759479099111E-2</v>
      </c>
      <c r="H415">
        <v>0.1750708655051274</v>
      </c>
      <c r="I415">
        <v>0.55732895585578812</v>
      </c>
      <c r="J415">
        <v>4.7832736091301786E-2</v>
      </c>
    </row>
    <row r="416" spans="1:10">
      <c r="A416" s="568">
        <v>44433</v>
      </c>
      <c r="B416">
        <v>6.5356355616693396E-2</v>
      </c>
      <c r="C416">
        <v>0.25235932368792979</v>
      </c>
      <c r="D416">
        <v>0.21183400401224195</v>
      </c>
      <c r="E416">
        <v>9.4526318261216158E-2</v>
      </c>
      <c r="F416">
        <v>0.14257713682100781</v>
      </c>
      <c r="G416">
        <v>6.8717164210465587E-2</v>
      </c>
      <c r="H416">
        <v>0.18402595556428736</v>
      </c>
      <c r="I416">
        <v>0.54932060231169788</v>
      </c>
      <c r="J416">
        <v>4.804156549693106E-2</v>
      </c>
    </row>
    <row r="417" spans="1:10">
      <c r="A417" s="568">
        <v>44434</v>
      </c>
      <c r="B417">
        <v>6.5617426034635828E-2</v>
      </c>
      <c r="C417">
        <v>0.25304022721575414</v>
      </c>
      <c r="D417">
        <v>0.21248852593259659</v>
      </c>
      <c r="E417">
        <v>9.3737729255020996E-2</v>
      </c>
      <c r="F417">
        <v>0.14083237807452553</v>
      </c>
      <c r="G417">
        <v>6.8037548999542397E-2</v>
      </c>
      <c r="H417">
        <v>0.16889620232546765</v>
      </c>
      <c r="I417">
        <v>0.54885383533973009</v>
      </c>
      <c r="J417">
        <v>4.8250436521531714E-2</v>
      </c>
    </row>
    <row r="418" spans="1:10">
      <c r="A418" s="568">
        <v>44435</v>
      </c>
      <c r="B418">
        <v>6.5910634692052605E-2</v>
      </c>
      <c r="C418">
        <v>0.25372150094852319</v>
      </c>
      <c r="D418">
        <v>0.21440112371134568</v>
      </c>
      <c r="E418">
        <v>9.7096244385624031E-2</v>
      </c>
      <c r="F418">
        <v>0.14270698212050981</v>
      </c>
      <c r="G418">
        <v>6.8917441168671489E-2</v>
      </c>
      <c r="H418">
        <v>0.18738983145333021</v>
      </c>
      <c r="I418">
        <v>0.54499692751471573</v>
      </c>
      <c r="J418">
        <v>4.8459349173398447E-2</v>
      </c>
    </row>
    <row r="419" spans="1:10">
      <c r="A419" s="568">
        <v>44438</v>
      </c>
      <c r="B419">
        <v>6.6197049922797291E-2</v>
      </c>
      <c r="C419">
        <v>0.25440314508751616</v>
      </c>
      <c r="D419">
        <v>0.21534512562795749</v>
      </c>
      <c r="E419">
        <v>9.8554057808987405E-2</v>
      </c>
      <c r="F419">
        <v>0.14183266322588528</v>
      </c>
      <c r="G419">
        <v>6.8764473829661332E-2</v>
      </c>
      <c r="H419">
        <v>0.18280675539917213</v>
      </c>
      <c r="I419">
        <v>0.55474475355717789</v>
      </c>
      <c r="J419">
        <v>4.8668303460827067E-2</v>
      </c>
    </row>
    <row r="420" spans="1:10">
      <c r="A420" s="568">
        <v>44439</v>
      </c>
      <c r="B420">
        <v>6.6493540185761146E-2</v>
      </c>
      <c r="C420">
        <v>0.2550851598341215</v>
      </c>
      <c r="D420">
        <v>0.21511593627458891</v>
      </c>
      <c r="E420">
        <v>9.9197843871117186E-2</v>
      </c>
      <c r="F420">
        <v>0.14272200314356787</v>
      </c>
      <c r="G420">
        <v>6.922576371947331E-2</v>
      </c>
      <c r="H420">
        <v>0.17251241621974023</v>
      </c>
      <c r="I420">
        <v>0.56170489924166001</v>
      </c>
      <c r="J420">
        <v>4.8877299392115603E-2</v>
      </c>
    </row>
    <row r="421" spans="1:10">
      <c r="A421" s="568">
        <v>44440</v>
      </c>
      <c r="B421">
        <v>6.6776845686545849E-2</v>
      </c>
      <c r="C421">
        <v>0.25576754538983759</v>
      </c>
      <c r="D421">
        <v>0.21622592163931675</v>
      </c>
      <c r="E421">
        <v>0.10031647922729969</v>
      </c>
      <c r="F421">
        <v>0.14477931115507059</v>
      </c>
      <c r="G421">
        <v>6.9331831397456467E-2</v>
      </c>
      <c r="H421">
        <v>0.17305753944340463</v>
      </c>
      <c r="I421">
        <v>0.57615324223684095</v>
      </c>
      <c r="J421">
        <v>4.9086336975563638E-2</v>
      </c>
    </row>
    <row r="422" spans="1:10">
      <c r="A422" s="568">
        <v>44441</v>
      </c>
      <c r="B422">
        <v>6.7033680225263792E-2</v>
      </c>
      <c r="C422">
        <v>0.25645030195627183</v>
      </c>
      <c r="D422">
        <v>0.21587399508543381</v>
      </c>
      <c r="E422">
        <v>0.10154208612774696</v>
      </c>
      <c r="F422">
        <v>0.14499453208869917</v>
      </c>
      <c r="G422">
        <v>6.9530558130229903E-2</v>
      </c>
      <c r="H422">
        <v>0.15601315399998783</v>
      </c>
      <c r="I422">
        <v>0.57818248352970625</v>
      </c>
      <c r="J422">
        <v>4.9295416219472088E-2</v>
      </c>
    </row>
    <row r="423" spans="1:10">
      <c r="A423" s="568">
        <v>44442</v>
      </c>
      <c r="B423">
        <v>6.7302046628925805E-2</v>
      </c>
      <c r="C423">
        <v>0.25713342973514175</v>
      </c>
      <c r="D423">
        <v>0.21661820157968714</v>
      </c>
      <c r="E423">
        <v>0.10233263193048359</v>
      </c>
      <c r="F423">
        <v>0.14693208205315855</v>
      </c>
      <c r="G423">
        <v>6.9028034435802521E-2</v>
      </c>
      <c r="H423">
        <v>0.15811664994847741</v>
      </c>
      <c r="I423">
        <v>0.5791416094549624</v>
      </c>
      <c r="J423">
        <v>4.9504537132143867E-2</v>
      </c>
    </row>
    <row r="424" spans="1:10">
      <c r="A424" s="568">
        <v>44445</v>
      </c>
      <c r="B424">
        <v>6.7591326956503162E-2</v>
      </c>
      <c r="C424">
        <v>0.25781692892827412</v>
      </c>
      <c r="D424">
        <v>0.21783524646082131</v>
      </c>
      <c r="E424">
        <v>0.10229219146862745</v>
      </c>
      <c r="F424">
        <v>0.14736168821498086</v>
      </c>
      <c r="G424">
        <v>7.0163826330367218E-2</v>
      </c>
      <c r="H424">
        <v>0.16460938552340942</v>
      </c>
      <c r="I424">
        <v>0.58576876970841818</v>
      </c>
      <c r="J424">
        <v>4.971369972188322E-2</v>
      </c>
    </row>
    <row r="425" spans="1:10">
      <c r="A425" s="568">
        <v>44447</v>
      </c>
      <c r="B425">
        <v>6.7842180993785028E-2</v>
      </c>
      <c r="C425">
        <v>0.25850079973760565</v>
      </c>
      <c r="D425">
        <v>0.21743931470714051</v>
      </c>
      <c r="E425">
        <v>0.10162427158248688</v>
      </c>
      <c r="F425">
        <v>0.14743867025591451</v>
      </c>
      <c r="G425">
        <v>6.8977224014001415E-2</v>
      </c>
      <c r="H425">
        <v>0.13750002663355132</v>
      </c>
      <c r="I425">
        <v>0.61201214550233574</v>
      </c>
      <c r="J425">
        <v>4.9922903996996393E-2</v>
      </c>
    </row>
    <row r="426" spans="1:10">
      <c r="A426" s="568">
        <v>44448</v>
      </c>
      <c r="B426">
        <v>6.8105330876448544E-2</v>
      </c>
      <c r="C426">
        <v>0.25918504236518292</v>
      </c>
      <c r="D426">
        <v>0.21926523436746437</v>
      </c>
      <c r="E426">
        <v>0.10288053496208316</v>
      </c>
      <c r="F426">
        <v>0.14855848816962003</v>
      </c>
      <c r="G426">
        <v>7.2136349441848102E-2</v>
      </c>
      <c r="H426">
        <v>0.14427106053576977</v>
      </c>
      <c r="I426">
        <v>0.58085713088023017</v>
      </c>
      <c r="J426">
        <v>5.0132149965791184E-2</v>
      </c>
    </row>
    <row r="427" spans="1:10">
      <c r="A427" s="568">
        <v>44449</v>
      </c>
      <c r="B427">
        <v>6.8490466014976548E-2</v>
      </c>
      <c r="C427">
        <v>0.259869657013162</v>
      </c>
      <c r="D427">
        <v>0.22002559992471493</v>
      </c>
      <c r="E427">
        <v>0.10346887845553887</v>
      </c>
      <c r="F427">
        <v>0.14863693907686115</v>
      </c>
      <c r="G427">
        <v>7.0869113397736605E-2</v>
      </c>
      <c r="H427">
        <v>0.13980521390463485</v>
      </c>
      <c r="I427">
        <v>0.59063034248638924</v>
      </c>
      <c r="J427">
        <v>5.0341437636576947E-2</v>
      </c>
    </row>
    <row r="428" spans="1:10">
      <c r="A428" s="568">
        <v>44452</v>
      </c>
      <c r="B428">
        <v>6.8804193863577279E-2</v>
      </c>
      <c r="C428">
        <v>0.26055464388380933</v>
      </c>
      <c r="D428">
        <v>0.2212717028920661</v>
      </c>
      <c r="E428">
        <v>0.10421702699987789</v>
      </c>
      <c r="F428">
        <v>0.14968613058969837</v>
      </c>
      <c r="G428">
        <v>7.2028531890527603E-2</v>
      </c>
      <c r="H428">
        <v>0.15300168520395152</v>
      </c>
      <c r="I428">
        <v>0.56927400171579312</v>
      </c>
      <c r="J428">
        <v>5.0550767017664811E-2</v>
      </c>
    </row>
    <row r="429" spans="1:10">
      <c r="A429" s="568">
        <v>44453</v>
      </c>
      <c r="B429">
        <v>6.9085475434511601E-2</v>
      </c>
      <c r="C429">
        <v>0.26124000317950102</v>
      </c>
      <c r="D429">
        <v>0.22336458212175136</v>
      </c>
      <c r="E429">
        <v>0.10430703964078347</v>
      </c>
      <c r="F429">
        <v>0.1471386748693877</v>
      </c>
      <c r="G429">
        <v>7.1673437783507321E-2</v>
      </c>
      <c r="H429">
        <v>0.15608043098864077</v>
      </c>
      <c r="I429">
        <v>0.57053432011874516</v>
      </c>
      <c r="J429">
        <v>5.0760138117367459E-2</v>
      </c>
    </row>
    <row r="430" spans="1:10">
      <c r="A430" s="568">
        <v>44454</v>
      </c>
      <c r="B430">
        <v>6.9409086391746033E-2</v>
      </c>
      <c r="C430">
        <v>0.26192573510272332</v>
      </c>
      <c r="D430">
        <v>0.22441476824149142</v>
      </c>
      <c r="E430">
        <v>0.10460577724610798</v>
      </c>
      <c r="F430">
        <v>0.15018077270374786</v>
      </c>
      <c r="G430">
        <v>7.287532014977538E-2</v>
      </c>
      <c r="H430">
        <v>0.15408549684338935</v>
      </c>
      <c r="I430">
        <v>0.5644819513857624</v>
      </c>
      <c r="J430">
        <v>5.0969550943999131E-2</v>
      </c>
    </row>
    <row r="431" spans="1:10">
      <c r="A431" s="568">
        <v>44455</v>
      </c>
      <c r="B431">
        <v>6.9700074938679801E-2</v>
      </c>
      <c r="C431">
        <v>0.26261183985607262</v>
      </c>
      <c r="D431">
        <v>0.22504709015657487</v>
      </c>
      <c r="E431">
        <v>0.10490647164797373</v>
      </c>
      <c r="F431">
        <v>0.15210414327522259</v>
      </c>
      <c r="G431">
        <v>7.3009411466801843E-2</v>
      </c>
      <c r="H431">
        <v>0.1479250055222896</v>
      </c>
      <c r="I431">
        <v>0.55954332526866923</v>
      </c>
      <c r="J431">
        <v>5.1179005505876063E-2</v>
      </c>
    </row>
    <row r="432" spans="1:10">
      <c r="A432" s="568">
        <v>44456</v>
      </c>
      <c r="B432">
        <v>6.9971541747939847E-2</v>
      </c>
      <c r="C432">
        <v>0.26329831764225542</v>
      </c>
      <c r="D432">
        <v>0.22570874475543512</v>
      </c>
      <c r="E432">
        <v>0.10435465502329144</v>
      </c>
      <c r="F432">
        <v>0.1517221989652171</v>
      </c>
      <c r="G432">
        <v>7.117844839670795E-2</v>
      </c>
      <c r="H432">
        <v>0.13292257353953363</v>
      </c>
      <c r="I432">
        <v>0.56115209941793132</v>
      </c>
      <c r="J432">
        <v>5.1388501811315823E-2</v>
      </c>
    </row>
    <row r="433" spans="1:10">
      <c r="A433" s="568">
        <v>44459</v>
      </c>
      <c r="B433">
        <v>7.0274004458882988E-2</v>
      </c>
      <c r="C433">
        <v>0.26398516866408839</v>
      </c>
      <c r="D433">
        <v>0.22669967151368775</v>
      </c>
      <c r="E433">
        <v>0.10142598286628846</v>
      </c>
      <c r="F433">
        <v>0.14537342755237259</v>
      </c>
      <c r="G433">
        <v>6.8065522941116008E-2</v>
      </c>
      <c r="H433">
        <v>0.10974868262673043</v>
      </c>
      <c r="I433">
        <v>0.54185338373838898</v>
      </c>
      <c r="J433">
        <v>5.1598039868637757E-2</v>
      </c>
    </row>
    <row r="434" spans="1:10">
      <c r="A434" s="568">
        <v>44460</v>
      </c>
      <c r="B434">
        <v>7.0561257206231742E-2</v>
      </c>
      <c r="C434">
        <v>0.26467239312449853</v>
      </c>
      <c r="D434">
        <v>0.22850248840906828</v>
      </c>
      <c r="E434">
        <v>0.10288836214824837</v>
      </c>
      <c r="F434">
        <v>0.14637149469952182</v>
      </c>
      <c r="G434">
        <v>6.8005325911831394E-2</v>
      </c>
      <c r="H434">
        <v>0.11973039439916677</v>
      </c>
      <c r="I434">
        <v>0.52875206165541733</v>
      </c>
      <c r="J434">
        <v>5.1807619686162765E-2</v>
      </c>
    </row>
    <row r="435" spans="1:10">
      <c r="A435" s="568">
        <v>44461</v>
      </c>
      <c r="B435">
        <v>7.0872464981613037E-2</v>
      </c>
      <c r="C435">
        <v>0.26535999122652298</v>
      </c>
      <c r="D435">
        <v>0.22903720152302376</v>
      </c>
      <c r="E435">
        <v>0.10392742111174624</v>
      </c>
      <c r="F435">
        <v>0.14960431067633917</v>
      </c>
      <c r="G435">
        <v>7.0056280789574155E-2</v>
      </c>
      <c r="H435">
        <v>0.13544552375886809</v>
      </c>
      <c r="I435">
        <v>0.54341662728716744</v>
      </c>
      <c r="J435">
        <v>5.2017241272213743E-2</v>
      </c>
    </row>
    <row r="436" spans="1:10">
      <c r="A436" s="568">
        <v>44462</v>
      </c>
      <c r="B436">
        <v>7.1189072086378591E-2</v>
      </c>
      <c r="C436">
        <v>0.26604796317330948</v>
      </c>
      <c r="D436">
        <v>0.22941500924609737</v>
      </c>
      <c r="E436">
        <v>0.10392872564277389</v>
      </c>
      <c r="F436">
        <v>0.15722442465773079</v>
      </c>
      <c r="G436">
        <v>7.3097801855428024E-2</v>
      </c>
      <c r="H436">
        <v>0.15139817185397786</v>
      </c>
      <c r="I436">
        <v>0.56540925570020906</v>
      </c>
      <c r="J436">
        <v>5.2266427713040464E-2</v>
      </c>
    </row>
    <row r="437" spans="1:10">
      <c r="A437" s="568">
        <v>44463</v>
      </c>
      <c r="B437">
        <v>7.1508889735765191E-2</v>
      </c>
      <c r="C437">
        <v>0.2667363091681163</v>
      </c>
      <c r="D437">
        <v>0.23040232153369611</v>
      </c>
      <c r="E437">
        <v>0.10365477412697399</v>
      </c>
      <c r="F437">
        <v>0.16022120437977794</v>
      </c>
      <c r="G437">
        <v>7.4295800506825271E-2</v>
      </c>
      <c r="H437">
        <v>0.14817353560639512</v>
      </c>
      <c r="I437">
        <v>0.56367957387895107</v>
      </c>
      <c r="J437">
        <v>5.2515673177502942E-2</v>
      </c>
    </row>
    <row r="438" spans="1:10">
      <c r="A438" s="568">
        <v>44466</v>
      </c>
      <c r="B438">
        <v>7.1909881640942475E-2</v>
      </c>
      <c r="C438">
        <v>0.2674250294143119</v>
      </c>
      <c r="D438">
        <v>0.23097039422138943</v>
      </c>
      <c r="E438">
        <v>0.1024037288714883</v>
      </c>
      <c r="F438">
        <v>0.16252277651526525</v>
      </c>
      <c r="G438">
        <v>7.4332155158389979E-2</v>
      </c>
      <c r="H438">
        <v>0.14851610622342482</v>
      </c>
      <c r="I438">
        <v>0.56545952711615888</v>
      </c>
      <c r="J438">
        <v>5.2764977679581548E-2</v>
      </c>
    </row>
    <row r="439" spans="1:10">
      <c r="A439" s="568">
        <v>44467</v>
      </c>
      <c r="B439">
        <v>7.2243648140536854E-2</v>
      </c>
      <c r="C439">
        <v>0.2681141241153755</v>
      </c>
      <c r="D439">
        <v>0.23202971016243712</v>
      </c>
      <c r="E439">
        <v>0.10061913042570647</v>
      </c>
      <c r="F439">
        <v>0.16199114226578049</v>
      </c>
      <c r="G439">
        <v>7.2305711371363657E-2</v>
      </c>
      <c r="H439">
        <v>0.12386272067379345</v>
      </c>
      <c r="I439">
        <v>0.55926016857878125</v>
      </c>
      <c r="J439">
        <v>5.3014341233260431E-2</v>
      </c>
    </row>
    <row r="440" spans="1:10">
      <c r="A440" s="568">
        <v>44468</v>
      </c>
      <c r="B440">
        <v>7.2572182732099533E-2</v>
      </c>
      <c r="C440">
        <v>0.26880359347489713</v>
      </c>
      <c r="D440">
        <v>0.23323877376293045</v>
      </c>
      <c r="E440">
        <v>0.1016477531409834</v>
      </c>
      <c r="F440">
        <v>0.16293412781458261</v>
      </c>
      <c r="G440">
        <v>7.295288048386106E-2</v>
      </c>
      <c r="H440">
        <v>0.12796232576152189</v>
      </c>
      <c r="I440">
        <v>0.55373862914063632</v>
      </c>
      <c r="J440">
        <v>5.3263763852526846E-2</v>
      </c>
    </row>
    <row r="441" spans="1:10">
      <c r="A441" s="568">
        <v>44469</v>
      </c>
      <c r="B441">
        <v>7.2936998242995932E-2</v>
      </c>
      <c r="C441">
        <v>0.26949343769657719</v>
      </c>
      <c r="D441">
        <v>0.23372119957564474</v>
      </c>
      <c r="E441">
        <v>0.10254527048798479</v>
      </c>
      <c r="F441">
        <v>0.16293035421625901</v>
      </c>
      <c r="G441">
        <v>7.3744939651542829E-2</v>
      </c>
      <c r="H441">
        <v>0.13073985594167881</v>
      </c>
      <c r="I441">
        <v>0.55198892482595796</v>
      </c>
      <c r="J441">
        <v>5.351324555137138E-2</v>
      </c>
    </row>
    <row r="442" spans="1:10">
      <c r="A442" s="568">
        <v>44470</v>
      </c>
      <c r="B442">
        <v>7.3284278366485989E-2</v>
      </c>
      <c r="C442">
        <v>0.27018365698422686</v>
      </c>
      <c r="D442">
        <v>0.23549381816380355</v>
      </c>
      <c r="E442">
        <v>0.10291901862739739</v>
      </c>
      <c r="F442">
        <v>0.16421976689848439</v>
      </c>
      <c r="G442">
        <v>7.4282515019915119E-2</v>
      </c>
      <c r="H442">
        <v>0.14497336900525881</v>
      </c>
      <c r="I442">
        <v>0.54234897752295375</v>
      </c>
      <c r="J442">
        <v>5.3762786343787727E-2</v>
      </c>
    </row>
    <row r="443" spans="1:10">
      <c r="A443" s="568">
        <v>44473</v>
      </c>
      <c r="B443">
        <v>7.3628483773925613E-2</v>
      </c>
      <c r="C443">
        <v>0.27087425154176836</v>
      </c>
      <c r="D443">
        <v>0.23618182328019022</v>
      </c>
      <c r="E443">
        <v>0.10248526206071418</v>
      </c>
      <c r="F443">
        <v>0.16396004879585835</v>
      </c>
      <c r="G443">
        <v>7.2858602941081374E-2</v>
      </c>
      <c r="H443">
        <v>0.12339143395106045</v>
      </c>
      <c r="I443">
        <v>0.5380949758660627</v>
      </c>
      <c r="J443">
        <v>5.4012386243773358E-2</v>
      </c>
    </row>
    <row r="444" spans="1:10">
      <c r="A444" s="568">
        <v>44474</v>
      </c>
      <c r="B444">
        <v>7.396414050549116E-2</v>
      </c>
      <c r="C444">
        <v>0.27156522157323471</v>
      </c>
      <c r="D444">
        <v>0.23690330255599634</v>
      </c>
      <c r="E444">
        <v>0.103288200908213</v>
      </c>
      <c r="F444">
        <v>0.16778623622206656</v>
      </c>
      <c r="G444">
        <v>7.3401842016111551E-2</v>
      </c>
      <c r="H444">
        <v>0.11873683344808428</v>
      </c>
      <c r="I444">
        <v>0.55221461732660981</v>
      </c>
      <c r="J444">
        <v>5.4262045265328851E-2</v>
      </c>
    </row>
    <row r="445" spans="1:10">
      <c r="A445" s="568">
        <v>44475</v>
      </c>
      <c r="B445">
        <v>7.4318931676819799E-2</v>
      </c>
      <c r="C445">
        <v>0.2722565672827697</v>
      </c>
      <c r="D445">
        <v>0.23898449341643535</v>
      </c>
      <c r="E445">
        <v>0.10177298811963453</v>
      </c>
      <c r="F445">
        <v>0.16806912643477845</v>
      </c>
      <c r="G445">
        <v>7.1993471672107567E-2</v>
      </c>
      <c r="H445">
        <v>0.11140223018678386</v>
      </c>
      <c r="I445">
        <v>0.55110625313897121</v>
      </c>
      <c r="J445">
        <v>5.4511763422457893E-2</v>
      </c>
    </row>
    <row r="446" spans="1:10">
      <c r="A446" s="568">
        <v>44476</v>
      </c>
      <c r="B446">
        <v>7.4653155380772773E-2</v>
      </c>
      <c r="C446">
        <v>0.27294828887462841</v>
      </c>
      <c r="D446">
        <v>0.23946085107086557</v>
      </c>
      <c r="E446">
        <v>0.10452750538445033</v>
      </c>
      <c r="F446">
        <v>0.17105799654177245</v>
      </c>
      <c r="G446">
        <v>7.2877094625128702E-2</v>
      </c>
      <c r="H446">
        <v>0.11062152260799341</v>
      </c>
      <c r="I446">
        <v>0.58754846890509049</v>
      </c>
      <c r="J446">
        <v>5.4761540729167724E-2</v>
      </c>
    </row>
    <row r="447" spans="1:10">
      <c r="A447" s="568">
        <v>44477</v>
      </c>
      <c r="B447">
        <v>7.5016081111453747E-2</v>
      </c>
      <c r="C447">
        <v>0.27364038655317668</v>
      </c>
      <c r="D447">
        <v>0.24108444909636417</v>
      </c>
      <c r="E447">
        <v>0.10340234737312959</v>
      </c>
      <c r="F447">
        <v>0.17400346351696072</v>
      </c>
      <c r="G447">
        <v>7.264954807171331E-2</v>
      </c>
      <c r="H447">
        <v>0.12296244316000626</v>
      </c>
      <c r="I447">
        <v>0.59090744813046148</v>
      </c>
      <c r="J447">
        <v>5.5011377199468692E-2</v>
      </c>
    </row>
    <row r="448" spans="1:10">
      <c r="A448" s="568">
        <v>44480</v>
      </c>
      <c r="B448">
        <v>7.5329379557995901E-2</v>
      </c>
      <c r="C448">
        <v>0.27433286052289141</v>
      </c>
      <c r="D448">
        <v>0.24160598005129508</v>
      </c>
      <c r="E448">
        <v>0.10263789219094543</v>
      </c>
      <c r="F448">
        <v>0.17550799732791744</v>
      </c>
      <c r="G448">
        <v>7.2018643000200333E-2</v>
      </c>
      <c r="H448">
        <v>0.11391687190340272</v>
      </c>
      <c r="I448">
        <v>0.60424238911511718</v>
      </c>
      <c r="J448">
        <v>5.5261272847374698E-2</v>
      </c>
    </row>
    <row r="449" spans="1:10">
      <c r="A449" s="568">
        <v>44482</v>
      </c>
      <c r="B449">
        <v>7.5654175774758858E-2</v>
      </c>
      <c r="C449">
        <v>0.27502571098836115</v>
      </c>
      <c r="D449">
        <v>0.24272150717199015</v>
      </c>
      <c r="E449">
        <v>0.10227262350321231</v>
      </c>
      <c r="F449">
        <v>0.17158278524816106</v>
      </c>
      <c r="G449">
        <v>7.2436224246584135E-2</v>
      </c>
      <c r="H449">
        <v>0.12115137175947277</v>
      </c>
      <c r="I449">
        <v>0.58919784448662837</v>
      </c>
      <c r="J449">
        <v>5.5511227686902975E-2</v>
      </c>
    </row>
    <row r="450" spans="1:10">
      <c r="A450" s="568">
        <v>44483</v>
      </c>
      <c r="B450">
        <v>7.6042572037466227E-2</v>
      </c>
      <c r="C450">
        <v>0.27571893815428505</v>
      </c>
      <c r="D450">
        <v>0.24353097974163873</v>
      </c>
      <c r="E450">
        <v>0.10518107542928723</v>
      </c>
      <c r="F450">
        <v>0.17278815712130613</v>
      </c>
      <c r="G450">
        <v>7.3354913524396492E-2</v>
      </c>
      <c r="H450">
        <v>0.12382283871364708</v>
      </c>
      <c r="I450">
        <v>0.60446253140625861</v>
      </c>
      <c r="J450">
        <v>5.5761241732073863E-2</v>
      </c>
    </row>
    <row r="451" spans="1:10">
      <c r="A451" s="568">
        <v>44484</v>
      </c>
      <c r="B451">
        <v>7.6377789731223888E-2</v>
      </c>
      <c r="C451">
        <v>0.27641254222547418</v>
      </c>
      <c r="D451">
        <v>0.24371224765551225</v>
      </c>
      <c r="E451">
        <v>0.1059664031079135</v>
      </c>
      <c r="F451">
        <v>0.17619285765150394</v>
      </c>
      <c r="G451">
        <v>7.4528357841706194E-2</v>
      </c>
      <c r="H451">
        <v>0.12987649814564239</v>
      </c>
      <c r="I451">
        <v>0.61097547037694078</v>
      </c>
      <c r="J451">
        <v>5.6011314996911254E-2</v>
      </c>
    </row>
    <row r="452" spans="1:10">
      <c r="A452" s="568">
        <v>44487</v>
      </c>
      <c r="B452">
        <v>7.6700505351512849E-2</v>
      </c>
      <c r="C452">
        <v>0.27710652340685038</v>
      </c>
      <c r="D452">
        <v>0.24424317802497142</v>
      </c>
      <c r="E452">
        <v>0.10464491317693647</v>
      </c>
      <c r="F452">
        <v>0.17875262923770174</v>
      </c>
      <c r="G452">
        <v>7.4719780198430952E-2</v>
      </c>
      <c r="H452">
        <v>0.13008607640112468</v>
      </c>
      <c r="I452">
        <v>0.62929891477017375</v>
      </c>
      <c r="J452">
        <v>5.6261447495442152E-2</v>
      </c>
    </row>
    <row r="453" spans="1:10">
      <c r="A453" s="568">
        <v>44488</v>
      </c>
      <c r="B453">
        <v>7.7041301639429571E-2</v>
      </c>
      <c r="C453">
        <v>0.27780088190344743</v>
      </c>
      <c r="D453">
        <v>0.24279520003025024</v>
      </c>
      <c r="E453">
        <v>0.10572376033677688</v>
      </c>
      <c r="F453">
        <v>0.17849614574592532</v>
      </c>
      <c r="G453">
        <v>7.5544702500433214E-2</v>
      </c>
      <c r="H453">
        <v>0.10225816123486986</v>
      </c>
      <c r="I453">
        <v>0.6573769732795518</v>
      </c>
      <c r="J453">
        <v>5.6511639241696887E-2</v>
      </c>
    </row>
    <row r="454" spans="1:10">
      <c r="A454" s="568">
        <v>44489</v>
      </c>
      <c r="B454">
        <v>7.7366752931818716E-2</v>
      </c>
      <c r="C454">
        <v>0.27849561792041011</v>
      </c>
      <c r="D454">
        <v>0.24303332815816181</v>
      </c>
      <c r="E454">
        <v>0.10623578876511708</v>
      </c>
      <c r="F454">
        <v>0.17783242065862792</v>
      </c>
      <c r="G454">
        <v>7.5264150863467272E-2</v>
      </c>
      <c r="H454">
        <v>0.1014646883301844</v>
      </c>
      <c r="I454">
        <v>0.66217413776359102</v>
      </c>
      <c r="J454">
        <v>5.6761890249709124E-2</v>
      </c>
    </row>
    <row r="455" spans="1:10">
      <c r="A455" s="568">
        <v>44490</v>
      </c>
      <c r="B455">
        <v>7.7674933583095296E-2</v>
      </c>
      <c r="C455">
        <v>0.27919073166299513</v>
      </c>
      <c r="D455">
        <v>0.2420714017018224</v>
      </c>
      <c r="E455">
        <v>0.10635319655760278</v>
      </c>
      <c r="F455">
        <v>0.17993975530588968</v>
      </c>
      <c r="G455">
        <v>7.6093197147766967E-2</v>
      </c>
      <c r="H455">
        <v>7.6955493638378725E-2</v>
      </c>
      <c r="I455">
        <v>0.681931724311446</v>
      </c>
      <c r="J455">
        <v>5.7012200533516078E-2</v>
      </c>
    </row>
    <row r="456" spans="1:10">
      <c r="A456" s="568">
        <v>44491</v>
      </c>
      <c r="B456">
        <v>7.7992903041711692E-2</v>
      </c>
      <c r="C456">
        <v>0.27988622333657043</v>
      </c>
      <c r="D456">
        <v>0.24144546800456879</v>
      </c>
      <c r="E456">
        <v>0.10451054648109226</v>
      </c>
      <c r="F456">
        <v>0.1761425435660593</v>
      </c>
      <c r="G456">
        <v>7.5597253894231553E-2</v>
      </c>
      <c r="H456">
        <v>6.0874845431687419E-2</v>
      </c>
      <c r="I456">
        <v>0.67706500543468029</v>
      </c>
      <c r="J456">
        <v>5.7262570107158073E-2</v>
      </c>
    </row>
    <row r="457" spans="1:10">
      <c r="A457" s="568">
        <v>44494</v>
      </c>
      <c r="B457">
        <v>7.8269326299766906E-2</v>
      </c>
      <c r="C457">
        <v>0.28058209314661609</v>
      </c>
      <c r="D457">
        <v>0.24012389841609361</v>
      </c>
      <c r="E457">
        <v>0.10629775398892916</v>
      </c>
      <c r="F457">
        <v>0.17568027524365926</v>
      </c>
      <c r="G457">
        <v>7.6625324259444572E-2</v>
      </c>
      <c r="H457">
        <v>8.17654084058268E-2</v>
      </c>
      <c r="I457">
        <v>0.66352005119379598</v>
      </c>
      <c r="J457">
        <v>5.7512998984678987E-2</v>
      </c>
    </row>
    <row r="458" spans="1:10">
      <c r="A458" s="568">
        <v>44495</v>
      </c>
      <c r="B458">
        <v>7.8520240443306966E-2</v>
      </c>
      <c r="C458">
        <v>0.28127834129872342</v>
      </c>
      <c r="D458">
        <v>0.23974843023116876</v>
      </c>
      <c r="E458">
        <v>0.10735116279373069</v>
      </c>
      <c r="F458">
        <v>0.17414930956575359</v>
      </c>
      <c r="G458">
        <v>7.6159116933541382E-2</v>
      </c>
      <c r="H458">
        <v>5.9887139106174603E-2</v>
      </c>
      <c r="I458">
        <v>0.6645413020514308</v>
      </c>
      <c r="J458">
        <v>5.7763487180125583E-2</v>
      </c>
    </row>
    <row r="459" spans="1:10">
      <c r="A459" s="568">
        <v>44496</v>
      </c>
      <c r="B459">
        <v>7.8879403633245859E-2</v>
      </c>
      <c r="C459">
        <v>0.28197496799859589</v>
      </c>
      <c r="D459">
        <v>0.24123250991927181</v>
      </c>
      <c r="E459">
        <v>0.10653648316698305</v>
      </c>
      <c r="F459">
        <v>0.1683639164859112</v>
      </c>
      <c r="G459">
        <v>7.4666326902827596E-2</v>
      </c>
      <c r="H459">
        <v>5.5065064916673068E-2</v>
      </c>
      <c r="I459">
        <v>0.64738612652251493</v>
      </c>
      <c r="J459">
        <v>5.8014034707548401E-2</v>
      </c>
    </row>
    <row r="460" spans="1:10">
      <c r="A460" s="568">
        <v>44497</v>
      </c>
      <c r="B460">
        <v>7.9108132842206524E-2</v>
      </c>
      <c r="C460">
        <v>0.28267197345204842</v>
      </c>
      <c r="D460">
        <v>0.23899574191890882</v>
      </c>
      <c r="E460">
        <v>0.1050519268575536</v>
      </c>
      <c r="F460">
        <v>0.17155255304122541</v>
      </c>
      <c r="G460">
        <v>7.5669596701407826E-2</v>
      </c>
      <c r="H460">
        <v>4.9045299082011828E-2</v>
      </c>
      <c r="I460">
        <v>0.66791120483679434</v>
      </c>
      <c r="J460">
        <v>5.8323570234295685E-2</v>
      </c>
    </row>
    <row r="461" spans="1:10">
      <c r="A461" s="568">
        <v>44498</v>
      </c>
      <c r="B461">
        <v>7.9518732019790317E-2</v>
      </c>
      <c r="C461">
        <v>0.28336935786500828</v>
      </c>
      <c r="D461">
        <v>0.24274384034643881</v>
      </c>
      <c r="E461">
        <v>0.10278334740052553</v>
      </c>
      <c r="F461">
        <v>0.17392079784851444</v>
      </c>
      <c r="G461">
        <v>7.3885865095846937E-2</v>
      </c>
      <c r="H461">
        <v>3.4769191229680363E-2</v>
      </c>
      <c r="I461">
        <v>0.66503189525836026</v>
      </c>
      <c r="J461">
        <v>5.8633196319616943E-2</v>
      </c>
    </row>
    <row r="462" spans="1:10">
      <c r="A462" s="568">
        <v>44501</v>
      </c>
      <c r="B462">
        <v>7.9882807117703791E-2</v>
      </c>
      <c r="C462">
        <v>0.2840671214435142</v>
      </c>
      <c r="D462">
        <v>0.24269661341389104</v>
      </c>
      <c r="E462">
        <v>0.10323210607402622</v>
      </c>
      <c r="F462">
        <v>0.17789980009988526</v>
      </c>
      <c r="G462">
        <v>7.4711322153702797E-2</v>
      </c>
      <c r="H462">
        <v>4.5402800916895636E-2</v>
      </c>
      <c r="I462">
        <v>0.66876287751651642</v>
      </c>
      <c r="J462">
        <v>5.8942912990006313E-2</v>
      </c>
    </row>
    <row r="463" spans="1:10">
      <c r="A463" s="568">
        <v>44503</v>
      </c>
      <c r="B463">
        <v>8.0265618901272484E-2</v>
      </c>
      <c r="C463">
        <v>0.28476526439371752</v>
      </c>
      <c r="D463">
        <v>0.24771842152526258</v>
      </c>
      <c r="E463">
        <v>0.10461360443227385</v>
      </c>
      <c r="F463">
        <v>0.1798860418361814</v>
      </c>
      <c r="G463">
        <v>7.5852707240819717E-2</v>
      </c>
      <c r="H463">
        <v>5.367172255750341E-2</v>
      </c>
      <c r="I463">
        <v>0.6587897137352321</v>
      </c>
      <c r="J463">
        <v>5.9252720271965709E-2</v>
      </c>
    </row>
    <row r="464" spans="1:10">
      <c r="A464" s="568">
        <v>44504</v>
      </c>
      <c r="B464">
        <v>8.0616847571896688E-2</v>
      </c>
      <c r="C464">
        <v>0.28546378692188124</v>
      </c>
      <c r="D464">
        <v>0.24772319822724764</v>
      </c>
      <c r="E464">
        <v>0.10718418282219555</v>
      </c>
      <c r="F464">
        <v>0.17773404509860757</v>
      </c>
      <c r="G464">
        <v>7.5281436430367332E-2</v>
      </c>
      <c r="H464">
        <v>4.11333868978907E-2</v>
      </c>
      <c r="I464">
        <v>0.67734284123209765</v>
      </c>
      <c r="J464">
        <v>5.9562618192004591E-2</v>
      </c>
    </row>
    <row r="465" spans="1:10">
      <c r="A465" s="568">
        <v>44505</v>
      </c>
      <c r="B465">
        <v>8.0990183037505936E-2</v>
      </c>
      <c r="C465">
        <v>0.28616268923438049</v>
      </c>
      <c r="D465">
        <v>0.24896263082441972</v>
      </c>
      <c r="E465">
        <v>0.10930926386618567</v>
      </c>
      <c r="F465">
        <v>0.17538289253468031</v>
      </c>
      <c r="G465">
        <v>7.6670195034174826E-2</v>
      </c>
      <c r="H465">
        <v>5.6911467427197993E-2</v>
      </c>
      <c r="I465">
        <v>0.65241928435168939</v>
      </c>
      <c r="J465">
        <v>5.9872606776640191E-2</v>
      </c>
    </row>
    <row r="466" spans="1:10">
      <c r="A466" s="568">
        <v>44508</v>
      </c>
      <c r="B466">
        <v>8.1365423665350933E-2</v>
      </c>
      <c r="C466">
        <v>0.28686197153770276</v>
      </c>
      <c r="D466">
        <v>0.24987006748462437</v>
      </c>
      <c r="E466">
        <v>0.11003849671062449</v>
      </c>
      <c r="F466">
        <v>0.17526325422498634</v>
      </c>
      <c r="G466">
        <v>7.5973145370770379E-2</v>
      </c>
      <c r="H466">
        <v>5.4523904573600346E-2</v>
      </c>
      <c r="I466">
        <v>0.65825672829444137</v>
      </c>
      <c r="J466">
        <v>6.0182686052397738E-2</v>
      </c>
    </row>
    <row r="467" spans="1:10">
      <c r="A467" s="568">
        <v>44509</v>
      </c>
      <c r="B467">
        <v>8.1746199657749541E-2</v>
      </c>
      <c r="C467">
        <v>0.28756163403844792</v>
      </c>
      <c r="D467">
        <v>0.25203126075994242</v>
      </c>
      <c r="E467">
        <v>0.11135411625197755</v>
      </c>
      <c r="F467">
        <v>0.17115825118939942</v>
      </c>
      <c r="G467">
        <v>7.6597422090737721E-2</v>
      </c>
      <c r="H467">
        <v>5.9726952958626178E-2</v>
      </c>
      <c r="I467">
        <v>0.6441314366999773</v>
      </c>
      <c r="J467">
        <v>6.0492856045810228E-2</v>
      </c>
    </row>
    <row r="468" spans="1:10">
      <c r="A468" s="568">
        <v>44510</v>
      </c>
      <c r="B468">
        <v>8.2129388249737145E-2</v>
      </c>
      <c r="C468">
        <v>0.28826167694332794</v>
      </c>
      <c r="D468">
        <v>0.25331243756627875</v>
      </c>
      <c r="E468">
        <v>0.110125900289475</v>
      </c>
      <c r="F468">
        <v>0.17783827817042597</v>
      </c>
      <c r="G468">
        <v>7.6656938632249982E-2</v>
      </c>
      <c r="H468">
        <v>6.4036373374124045E-2</v>
      </c>
      <c r="I468">
        <v>0.64722459972504409</v>
      </c>
      <c r="J468">
        <v>6.0803116783417988E-2</v>
      </c>
    </row>
    <row r="469" spans="1:10">
      <c r="A469" s="568">
        <v>44511</v>
      </c>
      <c r="B469">
        <v>8.2560424606042737E-2</v>
      </c>
      <c r="C469">
        <v>0.28896210045916715</v>
      </c>
      <c r="D469">
        <v>0.2551529149988816</v>
      </c>
      <c r="E469">
        <v>0.11038484969845719</v>
      </c>
      <c r="F469">
        <v>0.18089048584184408</v>
      </c>
      <c r="G469">
        <v>7.8640800409131684E-2</v>
      </c>
      <c r="H469">
        <v>8.148980881181922E-2</v>
      </c>
      <c r="I469">
        <v>0.63950265004402329</v>
      </c>
      <c r="J469">
        <v>6.1113468291769557E-2</v>
      </c>
    </row>
    <row r="470" spans="1:10">
      <c r="A470" s="568">
        <v>44512</v>
      </c>
      <c r="B470">
        <v>8.2930153082912739E-2</v>
      </c>
      <c r="C470">
        <v>0.28966290479290246</v>
      </c>
      <c r="D470">
        <v>0.25738120871887848</v>
      </c>
      <c r="E470">
        <v>0.10973193191913433</v>
      </c>
      <c r="F470">
        <v>0.18178506639341019</v>
      </c>
      <c r="G470">
        <v>7.7497742582852247E-2</v>
      </c>
      <c r="H470">
        <v>7.2824149322533227E-2</v>
      </c>
      <c r="I470">
        <v>0.65997372404557364</v>
      </c>
      <c r="J470">
        <v>6.1423910597421028E-2</v>
      </c>
    </row>
    <row r="471" spans="1:10">
      <c r="A471" s="568">
        <v>44516</v>
      </c>
      <c r="B471">
        <v>8.3294826840912162E-2</v>
      </c>
      <c r="C471">
        <v>0.29036409015158338</v>
      </c>
      <c r="D471">
        <v>0.2575963834389392</v>
      </c>
      <c r="E471">
        <v>0.10841239878469855</v>
      </c>
      <c r="F471">
        <v>0.18515981323475761</v>
      </c>
      <c r="G471">
        <v>7.6126604365089223E-2</v>
      </c>
      <c r="H471">
        <v>5.2849516223280713E-2</v>
      </c>
      <c r="I471">
        <v>0.67886775419787093</v>
      </c>
      <c r="J471">
        <v>6.1734443726936261E-2</v>
      </c>
    </row>
    <row r="472" spans="1:10">
      <c r="A472" s="568">
        <v>44517</v>
      </c>
      <c r="B472">
        <v>8.3717092997134035E-2</v>
      </c>
      <c r="C472">
        <v>0.29106565674237195</v>
      </c>
      <c r="D472">
        <v>0.2584608398667434</v>
      </c>
      <c r="E472">
        <v>0.10837521965041153</v>
      </c>
      <c r="F472">
        <v>0.18335616600690763</v>
      </c>
      <c r="G472">
        <v>7.3691733180518249E-2</v>
      </c>
      <c r="H472">
        <v>4.0361591533347951E-2</v>
      </c>
      <c r="I472">
        <v>0.68200963915034252</v>
      </c>
      <c r="J472">
        <v>6.2045067706887114E-2</v>
      </c>
    </row>
    <row r="473" spans="1:10">
      <c r="A473" s="568">
        <v>44518</v>
      </c>
      <c r="B473">
        <v>8.4077636848375992E-2</v>
      </c>
      <c r="C473">
        <v>0.2917676047725426</v>
      </c>
      <c r="D473">
        <v>0.25927615764414158</v>
      </c>
      <c r="E473">
        <v>0.10868569803498462</v>
      </c>
      <c r="F473">
        <v>0.18377515560574276</v>
      </c>
      <c r="G473">
        <v>7.4620560532149272E-2</v>
      </c>
      <c r="H473">
        <v>4.0747077557717004E-2</v>
      </c>
      <c r="I473">
        <v>0.67706384396325991</v>
      </c>
      <c r="J473">
        <v>6.2355782563852769E-2</v>
      </c>
    </row>
    <row r="474" spans="1:10">
      <c r="A474" s="568">
        <v>44519</v>
      </c>
      <c r="B474">
        <v>8.4449303435140788E-2</v>
      </c>
      <c r="C474">
        <v>0.29246993444948277</v>
      </c>
      <c r="D474">
        <v>0.26126313087151987</v>
      </c>
      <c r="E474">
        <v>0.1081006158690978</v>
      </c>
      <c r="F474">
        <v>0.18338505681899098</v>
      </c>
      <c r="G474">
        <v>7.5045649610588017E-2</v>
      </c>
      <c r="H474">
        <v>4.7067725771647861E-2</v>
      </c>
      <c r="I474">
        <v>0.67927112366305509</v>
      </c>
      <c r="J474">
        <v>6.2666588324420625E-2</v>
      </c>
    </row>
    <row r="475" spans="1:10">
      <c r="A475" s="568">
        <v>44522</v>
      </c>
      <c r="B475">
        <v>8.4811140021584963E-2</v>
      </c>
      <c r="C475">
        <v>0.29317264598069248</v>
      </c>
      <c r="D475">
        <v>0.26083677460339194</v>
      </c>
      <c r="E475">
        <v>0.10541458648323188</v>
      </c>
      <c r="F475">
        <v>0.18773784866022503</v>
      </c>
      <c r="G475">
        <v>7.4991949475593733E-2</v>
      </c>
      <c r="H475">
        <v>2.973612767403111E-2</v>
      </c>
      <c r="I475">
        <v>0.67330638000243481</v>
      </c>
      <c r="J475">
        <v>6.2977485015185852E-2</v>
      </c>
    </row>
    <row r="476" spans="1:10">
      <c r="A476" s="568">
        <v>44523</v>
      </c>
      <c r="B476">
        <v>8.5172521223332964E-2</v>
      </c>
      <c r="C476">
        <v>0.29387573957378454</v>
      </c>
      <c r="D476">
        <v>0.26241075005524395</v>
      </c>
      <c r="E476">
        <v>0.10283357184508923</v>
      </c>
      <c r="F476">
        <v>0.19137523577220006</v>
      </c>
      <c r="G476">
        <v>7.4846910147498003E-2</v>
      </c>
      <c r="H476">
        <v>3.5285584110238188E-2</v>
      </c>
      <c r="I476">
        <v>0.66201091978090965</v>
      </c>
      <c r="J476">
        <v>6.328847266275095E-2</v>
      </c>
    </row>
    <row r="477" spans="1:10">
      <c r="A477" s="568">
        <v>44524</v>
      </c>
      <c r="B477">
        <v>8.5544073749276306E-2</v>
      </c>
      <c r="C477">
        <v>0.2945792154364848</v>
      </c>
      <c r="D477">
        <v>0.26425559828588185</v>
      </c>
      <c r="E477">
        <v>0.10223022624481581</v>
      </c>
      <c r="F477">
        <v>0.1928107491636164</v>
      </c>
      <c r="G477">
        <v>7.498525838152581E-2</v>
      </c>
      <c r="H477">
        <v>3.7288672203999118E-2</v>
      </c>
      <c r="I477">
        <v>0.66324816981634815</v>
      </c>
      <c r="J477">
        <v>6.3599551293726631E-2</v>
      </c>
    </row>
    <row r="478" spans="1:10">
      <c r="A478" s="568">
        <v>44525</v>
      </c>
      <c r="B478">
        <v>8.5880777811627951E-2</v>
      </c>
      <c r="C478">
        <v>0.29528307377663188</v>
      </c>
      <c r="D478">
        <v>0.26477084998710754</v>
      </c>
      <c r="E478">
        <v>0.10219304711052879</v>
      </c>
      <c r="F478">
        <v>0.19426789533656308</v>
      </c>
      <c r="G478">
        <v>7.5913447119610122E-2</v>
      </c>
      <c r="H478">
        <v>5.0764584641303179E-2</v>
      </c>
      <c r="I478">
        <v>0.66471920809646101</v>
      </c>
      <c r="J478">
        <v>6.3910720934731158E-2</v>
      </c>
    </row>
    <row r="479" spans="1:10">
      <c r="A479" s="568">
        <v>44526</v>
      </c>
      <c r="B479">
        <v>8.6229831537685708E-2</v>
      </c>
      <c r="C479">
        <v>0.29598731480217744</v>
      </c>
      <c r="D479">
        <v>0.26634403029326736</v>
      </c>
      <c r="E479">
        <v>9.7598488831257324E-2</v>
      </c>
      <c r="F479">
        <v>0.18200577944654595</v>
      </c>
      <c r="G479">
        <v>6.9763672564817414E-2</v>
      </c>
      <c r="H479">
        <v>1.9340019982654777E-2</v>
      </c>
      <c r="I479">
        <v>0.63050010133824475</v>
      </c>
      <c r="J479">
        <v>6.4221981612390788E-2</v>
      </c>
    </row>
    <row r="480" spans="1:10">
      <c r="A480" s="568">
        <v>44529</v>
      </c>
      <c r="B480">
        <v>8.6631794380239047E-2</v>
      </c>
      <c r="C480">
        <v>0.29669193872118638</v>
      </c>
      <c r="D480">
        <v>0.26793729259132526</v>
      </c>
      <c r="E480">
        <v>9.998643287731257E-2</v>
      </c>
      <c r="F480">
        <v>0.18424142900849572</v>
      </c>
      <c r="G480">
        <v>7.1644592706767707E-2</v>
      </c>
      <c r="H480">
        <v>2.4001952777776614E-2</v>
      </c>
      <c r="I480">
        <v>0.64303202452633412</v>
      </c>
      <c r="J480">
        <v>6.453333335333955E-2</v>
      </c>
    </row>
    <row r="481" spans="1:10">
      <c r="A481" s="568">
        <v>44530</v>
      </c>
      <c r="B481">
        <v>8.7014635795355844E-2</v>
      </c>
      <c r="C481">
        <v>0.29739694574183639</v>
      </c>
      <c r="D481">
        <v>0.26935346990953435</v>
      </c>
      <c r="E481">
        <v>9.9093481388907945E-2</v>
      </c>
      <c r="F481">
        <v>0.17657667786013564</v>
      </c>
      <c r="G481">
        <v>6.9326635620793331E-2</v>
      </c>
      <c r="H481">
        <v>7.0947723311007849E-3</v>
      </c>
      <c r="I481">
        <v>0.62972076338656224</v>
      </c>
      <c r="J481">
        <v>6.4844776184219022E-2</v>
      </c>
    </row>
    <row r="482" spans="1:10">
      <c r="A482" s="568">
        <v>44531</v>
      </c>
      <c r="B482">
        <v>8.7440166054795432E-2</v>
      </c>
      <c r="C482">
        <v>0.29810233607241865</v>
      </c>
      <c r="D482">
        <v>0.26913025130326917</v>
      </c>
      <c r="E482">
        <v>9.9770532992241812E-2</v>
      </c>
      <c r="F482">
        <v>0.17599206992121275</v>
      </c>
      <c r="G482">
        <v>6.8981792146883603E-2</v>
      </c>
      <c r="H482">
        <v>-1.172363096336726E-3</v>
      </c>
      <c r="I482">
        <v>0.62579128077345691</v>
      </c>
      <c r="J482">
        <v>6.5156310131678774E-2</v>
      </c>
    </row>
    <row r="483" spans="1:10">
      <c r="A483" s="568">
        <v>44532</v>
      </c>
      <c r="B483">
        <v>8.7826086691015437E-2</v>
      </c>
      <c r="C483">
        <v>0.29880810992133755</v>
      </c>
      <c r="D483">
        <v>0.27085311089010289</v>
      </c>
      <c r="E483">
        <v>0.10011427691801922</v>
      </c>
      <c r="F483">
        <v>0.1789528509370566</v>
      </c>
      <c r="G483">
        <v>7.0373681005642119E-2</v>
      </c>
      <c r="H483">
        <v>2.579436329483964E-2</v>
      </c>
      <c r="I483">
        <v>0.63055276818920869</v>
      </c>
      <c r="J483">
        <v>6.5467935222375928E-2</v>
      </c>
    </row>
    <row r="484" spans="1:10">
      <c r="A484" s="568">
        <v>44533</v>
      </c>
      <c r="B484">
        <v>8.8200918637924008E-2</v>
      </c>
      <c r="C484">
        <v>0.29951426749711052</v>
      </c>
      <c r="D484">
        <v>0.27357678260163421</v>
      </c>
      <c r="E484">
        <v>0.1011141999506886</v>
      </c>
      <c r="F484">
        <v>0.17646832590653228</v>
      </c>
      <c r="G484">
        <v>7.2308838363585259E-2</v>
      </c>
      <c r="H484">
        <v>3.7921848372099998E-2</v>
      </c>
      <c r="I484">
        <v>0.61613462951237463</v>
      </c>
      <c r="J484">
        <v>6.5779651482975821E-2</v>
      </c>
    </row>
    <row r="485" spans="1:10">
      <c r="A485" s="568">
        <v>44536</v>
      </c>
      <c r="B485">
        <v>8.8584660072026367E-2</v>
      </c>
      <c r="C485">
        <v>0.30022080900836867</v>
      </c>
      <c r="D485">
        <v>0.27330964667917446</v>
      </c>
      <c r="E485">
        <v>0.10200780370460727</v>
      </c>
      <c r="F485">
        <v>0.18054405201635371</v>
      </c>
      <c r="G485">
        <v>7.453105826764439E-2</v>
      </c>
      <c r="H485">
        <v>4.5953200304928776E-2</v>
      </c>
      <c r="I485">
        <v>0.61855141160976546</v>
      </c>
      <c r="J485">
        <v>6.6091458940151337E-2</v>
      </c>
    </row>
    <row r="486" spans="1:10">
      <c r="A486" s="568">
        <v>44537</v>
      </c>
      <c r="B486">
        <v>8.8969616382270855E-2</v>
      </c>
      <c r="C486">
        <v>0.30092773466385636</v>
      </c>
      <c r="D486">
        <v>0.27377477946534778</v>
      </c>
      <c r="E486">
        <v>0.10480471822782067</v>
      </c>
      <c r="F486">
        <v>0.1831653186242781</v>
      </c>
      <c r="G486">
        <v>7.4651235532527949E-2</v>
      </c>
      <c r="H486">
        <v>4.6793239731305114E-2</v>
      </c>
      <c r="I486">
        <v>0.64318046230851222</v>
      </c>
      <c r="J486">
        <v>6.6403357620583137E-2</v>
      </c>
    </row>
    <row r="487" spans="1:10">
      <c r="A487" s="568">
        <v>44538</v>
      </c>
      <c r="B487">
        <v>8.9324679852336164E-2</v>
      </c>
      <c r="C487">
        <v>0.30163504467243163</v>
      </c>
      <c r="D487">
        <v>0.27527927328141</v>
      </c>
      <c r="E487">
        <v>0.10651169707745889</v>
      </c>
      <c r="F487">
        <v>0.18218084951807079</v>
      </c>
      <c r="G487">
        <v>7.5398526086337236E-2</v>
      </c>
      <c r="H487">
        <v>5.7520799516882049E-2</v>
      </c>
      <c r="I487">
        <v>0.63469502379423592</v>
      </c>
      <c r="J487">
        <v>6.6715347550959869E-2</v>
      </c>
    </row>
    <row r="488" spans="1:10">
      <c r="A488" s="568">
        <v>44539</v>
      </c>
      <c r="B488">
        <v>8.9707186283305873E-2</v>
      </c>
      <c r="C488">
        <v>0.30234273924306598</v>
      </c>
      <c r="D488">
        <v>0.27529116383611041</v>
      </c>
      <c r="E488">
        <v>0.10520781831535464</v>
      </c>
      <c r="F488">
        <v>0.18039198957241975</v>
      </c>
      <c r="G488">
        <v>7.5243954980138694E-2</v>
      </c>
      <c r="H488">
        <v>4.5997496188145304E-2</v>
      </c>
      <c r="I488">
        <v>0.64348923506941391</v>
      </c>
      <c r="J488">
        <v>6.7086023125886074E-2</v>
      </c>
    </row>
    <row r="489" spans="1:10">
      <c r="A489" s="568">
        <v>44540</v>
      </c>
      <c r="B489">
        <v>9.0122166549580385E-2</v>
      </c>
      <c r="C489">
        <v>0.30305081858484439</v>
      </c>
      <c r="D489">
        <v>0.27680396097114413</v>
      </c>
      <c r="E489">
        <v>0.10574528509873327</v>
      </c>
      <c r="F489">
        <v>0.18135757235053185</v>
      </c>
      <c r="G489">
        <v>7.6531832679435308E-2</v>
      </c>
      <c r="H489">
        <v>6.0529520235476086E-2</v>
      </c>
      <c r="I489">
        <v>0.64968805551476971</v>
      </c>
      <c r="J489">
        <v>6.7456827507791806E-2</v>
      </c>
    </row>
    <row r="490" spans="1:10">
      <c r="A490" s="568">
        <v>44543</v>
      </c>
      <c r="B490">
        <v>9.0528976575062092E-2</v>
      </c>
      <c r="C490">
        <v>0.30375928290696552</v>
      </c>
      <c r="D490">
        <v>0.27654215275204974</v>
      </c>
      <c r="E490">
        <v>0.10625861805810088</v>
      </c>
      <c r="F490">
        <v>0.17876030012282351</v>
      </c>
      <c r="G490">
        <v>7.6709142257445295E-2</v>
      </c>
      <c r="H490">
        <v>5.8698015071093623E-2</v>
      </c>
      <c r="I490">
        <v>0.65374777450226795</v>
      </c>
      <c r="J490">
        <v>6.7827760741436371E-2</v>
      </c>
    </row>
    <row r="491" spans="1:10">
      <c r="A491" s="568">
        <v>44544</v>
      </c>
      <c r="B491">
        <v>9.0943837642880609E-2</v>
      </c>
      <c r="C491">
        <v>0.30446813241874215</v>
      </c>
      <c r="D491">
        <v>0.27710315934976437</v>
      </c>
      <c r="E491">
        <v>0.10562070238559551</v>
      </c>
      <c r="F491">
        <v>0.18031185543866579</v>
      </c>
      <c r="G491">
        <v>7.6078534472775017E-2</v>
      </c>
      <c r="H491">
        <v>4.7582122310622976E-2</v>
      </c>
      <c r="I491">
        <v>0.64165876074293848</v>
      </c>
      <c r="J491">
        <v>6.8198822871594844E-2</v>
      </c>
    </row>
    <row r="492" spans="1:10">
      <c r="A492" s="568">
        <v>44545</v>
      </c>
      <c r="B492">
        <v>9.135225994064422E-2</v>
      </c>
      <c r="C492">
        <v>0.30517736732960032</v>
      </c>
      <c r="D492">
        <v>0.27800560513608308</v>
      </c>
      <c r="E492">
        <v>0.10645364544672975</v>
      </c>
      <c r="F492">
        <v>0.18296893326559638</v>
      </c>
      <c r="G492">
        <v>7.6818086688604126E-2</v>
      </c>
      <c r="H492">
        <v>5.3364884142744762E-2</v>
      </c>
      <c r="I492">
        <v>0.64642524506280608</v>
      </c>
      <c r="J492">
        <v>6.8570013943057839E-2</v>
      </c>
    </row>
    <row r="493" spans="1:10">
      <c r="A493" s="568">
        <v>44546</v>
      </c>
      <c r="B493">
        <v>9.1768065506710794E-2</v>
      </c>
      <c r="C493">
        <v>0.30588698784908042</v>
      </c>
      <c r="D493">
        <v>0.27751886749659627</v>
      </c>
      <c r="E493">
        <v>0.10781361904302189</v>
      </c>
      <c r="F493">
        <v>0.17903129019689468</v>
      </c>
      <c r="G493">
        <v>7.6616620841170491E-2</v>
      </c>
      <c r="H493">
        <v>5.5329375494064026E-2</v>
      </c>
      <c r="I493">
        <v>0.64723841500599888</v>
      </c>
      <c r="J493">
        <v>6.8941334000631516E-2</v>
      </c>
    </row>
    <row r="494" spans="1:10">
      <c r="A494" s="568">
        <v>44547</v>
      </c>
      <c r="B494">
        <v>9.2181474027069221E-2</v>
      </c>
      <c r="C494">
        <v>0.3065969941868365</v>
      </c>
      <c r="D494">
        <v>0.2774100323236961</v>
      </c>
      <c r="E494">
        <v>0.10794863800438015</v>
      </c>
      <c r="F494">
        <v>0.17904829986506754</v>
      </c>
      <c r="G494">
        <v>7.6412427194935129E-2</v>
      </c>
      <c r="H494">
        <v>4.8154253797817015E-2</v>
      </c>
      <c r="I494">
        <v>0.62420473763423634</v>
      </c>
      <c r="J494">
        <v>6.9312783089137353E-2</v>
      </c>
    </row>
    <row r="495" spans="1:10">
      <c r="A495" s="568">
        <v>44550</v>
      </c>
      <c r="B495">
        <v>9.2638776054652094E-2</v>
      </c>
      <c r="C495">
        <v>0.30730738655263656</v>
      </c>
      <c r="D495">
        <v>0.27836544667899665</v>
      </c>
      <c r="E495">
        <v>0.10777122178462406</v>
      </c>
      <c r="F495">
        <v>0.17479498737866339</v>
      </c>
      <c r="G495">
        <v>7.3637294704861578E-2</v>
      </c>
      <c r="H495">
        <v>2.7185319697575538E-2</v>
      </c>
      <c r="I495">
        <v>0.60560521454435645</v>
      </c>
      <c r="J495">
        <v>6.9684361253412819E-2</v>
      </c>
    </row>
    <row r="496" spans="1:10">
      <c r="A496" s="568">
        <v>44551</v>
      </c>
      <c r="B496">
        <v>9.3064666197996582E-2</v>
      </c>
      <c r="C496">
        <v>0.30801816515636271</v>
      </c>
      <c r="D496">
        <v>0.27969313314724387</v>
      </c>
      <c r="E496">
        <v>0.11080034283075335</v>
      </c>
      <c r="F496">
        <v>0.17982103087748125</v>
      </c>
      <c r="G496">
        <v>7.5944903216926374E-2</v>
      </c>
      <c r="H496">
        <v>3.5006095989462249E-2</v>
      </c>
      <c r="I496">
        <v>0.63534609425783262</v>
      </c>
      <c r="J496">
        <v>7.0056068538310923E-2</v>
      </c>
    </row>
    <row r="497" spans="1:10">
      <c r="A497" s="568">
        <v>44552</v>
      </c>
      <c r="B497">
        <v>9.3478552654958413E-2</v>
      </c>
      <c r="C497">
        <v>0.30872933020801141</v>
      </c>
      <c r="D497">
        <v>0.28051680270762347</v>
      </c>
      <c r="E497">
        <v>0.1123475166295087</v>
      </c>
      <c r="F497">
        <v>0.1805812571836527</v>
      </c>
      <c r="G497">
        <v>7.5959544515441957E-2</v>
      </c>
      <c r="H497">
        <v>3.5539228250151211E-2</v>
      </c>
      <c r="I497">
        <v>0.63255353120699276</v>
      </c>
      <c r="J497">
        <v>7.0427904988699774E-2</v>
      </c>
    </row>
    <row r="498" spans="1:10">
      <c r="A498" s="568">
        <v>44553</v>
      </c>
      <c r="B498">
        <v>9.3885489107839559E-2</v>
      </c>
      <c r="C498">
        <v>0.30944088191769281</v>
      </c>
      <c r="D498">
        <v>0.28086772687485961</v>
      </c>
      <c r="E498">
        <v>0.11461870514859207</v>
      </c>
      <c r="F498">
        <v>0.18323947950429686</v>
      </c>
      <c r="G498">
        <v>7.7000837015927193E-2</v>
      </c>
      <c r="H498">
        <v>3.2117906431176513E-2</v>
      </c>
      <c r="I498">
        <v>0.64280619899596969</v>
      </c>
      <c r="J498">
        <v>7.0799870649463692E-2</v>
      </c>
    </row>
    <row r="499" spans="1:10">
      <c r="A499" s="568">
        <v>44554</v>
      </c>
      <c r="B499">
        <v>9.4310577512865867E-2</v>
      </c>
      <c r="C499">
        <v>0.31015282049563186</v>
      </c>
      <c r="D499">
        <v>0.28153583922900793</v>
      </c>
      <c r="E499">
        <v>0.11458283054533269</v>
      </c>
      <c r="F499">
        <v>0.18326172034985189</v>
      </c>
      <c r="G499">
        <v>7.7116202378527676E-2</v>
      </c>
      <c r="H499">
        <v>3.2294012987996723E-2</v>
      </c>
      <c r="I499">
        <v>0.64128925573751605</v>
      </c>
      <c r="J499">
        <v>7.1171965565502093E-2</v>
      </c>
    </row>
    <row r="500" spans="1:10">
      <c r="A500" s="568">
        <v>44557</v>
      </c>
      <c r="B500">
        <v>9.4746678117477723E-2</v>
      </c>
      <c r="C500">
        <v>0.31086514615216743</v>
      </c>
      <c r="D500">
        <v>0.28220587647352358</v>
      </c>
      <c r="E500">
        <v>0.11627545955366725</v>
      </c>
      <c r="F500">
        <v>0.18541628309466307</v>
      </c>
      <c r="G500">
        <v>7.8606711873120627E-2</v>
      </c>
      <c r="H500">
        <v>3.9599815609354438E-2</v>
      </c>
      <c r="I500">
        <v>0.64660884863059054</v>
      </c>
      <c r="J500">
        <v>7.1544189781730383E-2</v>
      </c>
    </row>
    <row r="501" spans="1:10">
      <c r="A501" s="568">
        <v>44558</v>
      </c>
      <c r="B501">
        <v>9.5148670289943782E-2</v>
      </c>
      <c r="C501">
        <v>0.31157785909775271</v>
      </c>
      <c r="D501">
        <v>0.28282286436088655</v>
      </c>
      <c r="E501">
        <v>0.11736930882032537</v>
      </c>
      <c r="F501">
        <v>0.18613368628294791</v>
      </c>
      <c r="G501">
        <v>7.89012890851295E-2</v>
      </c>
      <c r="H501">
        <v>3.5966982751996612E-2</v>
      </c>
      <c r="I501">
        <v>0.64486335015765484</v>
      </c>
      <c r="J501">
        <v>7.1916543343079287E-2</v>
      </c>
    </row>
    <row r="502" spans="1:10">
      <c r="A502" s="568">
        <v>44559</v>
      </c>
      <c r="B502">
        <v>9.5555326734893642E-2</v>
      </c>
      <c r="C502">
        <v>0.31229095954295572</v>
      </c>
      <c r="D502">
        <v>0.28229870599251217</v>
      </c>
      <c r="E502">
        <v>0.11823421289163627</v>
      </c>
      <c r="F502">
        <v>0.18726934186807154</v>
      </c>
      <c r="G502">
        <v>7.9026803699533632E-2</v>
      </c>
      <c r="H502">
        <v>2.8575062951061714E-2</v>
      </c>
      <c r="I502">
        <v>0.64725854824248508</v>
      </c>
      <c r="J502">
        <v>7.2289026294495295E-2</v>
      </c>
    </row>
    <row r="503" spans="1:10">
      <c r="A503" s="568">
        <v>44560</v>
      </c>
      <c r="B503">
        <v>9.5984857609737073E-2</v>
      </c>
      <c r="C503">
        <v>0.31300444769845837</v>
      </c>
      <c r="D503">
        <v>0.28373408848317117</v>
      </c>
      <c r="E503">
        <v>0.11708100746322181</v>
      </c>
      <c r="F503">
        <v>0.18917104425666897</v>
      </c>
      <c r="G503">
        <v>8.0701285934691613E-2</v>
      </c>
      <c r="H503">
        <v>4.1358657002631194E-2</v>
      </c>
      <c r="I503">
        <v>0.6364420480776356</v>
      </c>
      <c r="J503">
        <v>7.2661638680940666E-2</v>
      </c>
    </row>
    <row r="504" spans="1:10">
      <c r="A504" s="568">
        <v>44561</v>
      </c>
      <c r="B504">
        <v>9.6416387794898473E-2</v>
      </c>
      <c r="C504">
        <v>0.31371832377505759</v>
      </c>
      <c r="D504">
        <v>0.28447274157859614</v>
      </c>
      <c r="E504">
        <v>0.11837901583570187</v>
      </c>
      <c r="F504">
        <v>0.18915212368790391</v>
      </c>
      <c r="G504">
        <v>8.0541236960146145E-2</v>
      </c>
      <c r="H504">
        <v>4.1625451934514501E-2</v>
      </c>
      <c r="I504">
        <v>0.64678588295457984</v>
      </c>
      <c r="J504">
        <v>7.3034380547392974E-2</v>
      </c>
    </row>
    <row r="505" spans="1:10">
      <c r="A505" s="568">
        <v>44564</v>
      </c>
      <c r="B505">
        <v>9.6861050722019781E-2</v>
      </c>
      <c r="C505">
        <v>0.31443258798366491</v>
      </c>
      <c r="D505">
        <v>0.28517978164036495</v>
      </c>
      <c r="E505">
        <v>0.11776001586309692</v>
      </c>
      <c r="F505">
        <v>0.19352857184835837</v>
      </c>
      <c r="G505">
        <v>8.0774196630664985E-2</v>
      </c>
      <c r="H505">
        <v>2.9024802758445878E-2</v>
      </c>
      <c r="I505">
        <v>0.65880407652001405</v>
      </c>
      <c r="J505">
        <v>7.3407251938845341E-2</v>
      </c>
    </row>
    <row r="506" spans="1:10">
      <c r="A506" s="568">
        <v>44565</v>
      </c>
      <c r="B506">
        <v>9.7287718567848458E-2</v>
      </c>
      <c r="C506">
        <v>0.31514724053530618</v>
      </c>
      <c r="D506">
        <v>0.28485332118605045</v>
      </c>
      <c r="E506">
        <v>0.11774305695973797</v>
      </c>
      <c r="F506">
        <v>0.19624018723331749</v>
      </c>
      <c r="G506">
        <v>8.054275366585939E-2</v>
      </c>
      <c r="H506">
        <v>2.1542250919881489E-2</v>
      </c>
      <c r="I506">
        <v>0.65088006652509778</v>
      </c>
      <c r="J506">
        <v>7.3780252900307097E-2</v>
      </c>
    </row>
    <row r="507" spans="1:10">
      <c r="A507" s="568">
        <v>44566</v>
      </c>
      <c r="B507">
        <v>9.7711523059501815E-2</v>
      </c>
      <c r="C507">
        <v>0.31586228164112229</v>
      </c>
      <c r="D507">
        <v>0.28416558157119076</v>
      </c>
      <c r="E507">
        <v>0.1167196523685714</v>
      </c>
      <c r="F507">
        <v>0.19490654942719798</v>
      </c>
      <c r="G507">
        <v>7.7721158833926385E-2</v>
      </c>
      <c r="H507">
        <v>-2.1026473379349708E-3</v>
      </c>
      <c r="I507">
        <v>0.62653048707962333</v>
      </c>
      <c r="J507">
        <v>7.415338347680267E-2</v>
      </c>
    </row>
    <row r="508" spans="1:10">
      <c r="A508" s="568">
        <v>44567</v>
      </c>
      <c r="B508">
        <v>9.814593557378859E-2</v>
      </c>
      <c r="C508">
        <v>0.31657771151236869</v>
      </c>
      <c r="D508">
        <v>0.2840164655939974</v>
      </c>
      <c r="E508">
        <v>0.11500354180173966</v>
      </c>
      <c r="F508">
        <v>0.19855265935700039</v>
      </c>
      <c r="G508">
        <v>7.7253681276929997E-2</v>
      </c>
      <c r="H508">
        <v>1.4551186018678663E-3</v>
      </c>
      <c r="I508">
        <v>0.620918902937037</v>
      </c>
      <c r="J508">
        <v>7.4526643713372254E-2</v>
      </c>
    </row>
    <row r="509" spans="1:10">
      <c r="A509" s="568">
        <v>44568</v>
      </c>
      <c r="B509">
        <v>9.8589259784290784E-2</v>
      </c>
      <c r="C509">
        <v>0.31729353036041608</v>
      </c>
      <c r="D509">
        <v>0.28372729224039817</v>
      </c>
      <c r="E509">
        <v>0.11506550702555152</v>
      </c>
      <c r="F509">
        <v>0.19869012584926216</v>
      </c>
      <c r="G509">
        <v>7.7624906772082891E-2</v>
      </c>
      <c r="H509">
        <v>1.3381935407171364E-2</v>
      </c>
      <c r="I509">
        <v>0.61677227780924904</v>
      </c>
      <c r="J509">
        <v>7.4900033655071807E-2</v>
      </c>
    </row>
    <row r="510" spans="1:10">
      <c r="A510" s="568">
        <v>44571</v>
      </c>
      <c r="B510">
        <v>9.9015279659858901E-2</v>
      </c>
      <c r="C510">
        <v>0.31800973839674951</v>
      </c>
      <c r="D510">
        <v>0.28445301246913535</v>
      </c>
      <c r="E510">
        <v>0.11386794754219798</v>
      </c>
      <c r="F510">
        <v>0.20123156787616425</v>
      </c>
      <c r="G510">
        <v>7.7884101216930679E-2</v>
      </c>
      <c r="H510">
        <v>5.8143297786024117E-3</v>
      </c>
      <c r="I510">
        <v>0.62466290058375606</v>
      </c>
      <c r="J510">
        <v>7.5273553346972832E-2</v>
      </c>
    </row>
    <row r="511" spans="1:10">
      <c r="A511" s="568">
        <v>44572</v>
      </c>
      <c r="B511">
        <v>9.9449957537279143E-2</v>
      </c>
      <c r="C511">
        <v>0.3187263358329695</v>
      </c>
      <c r="D511">
        <v>0.2845253919468318</v>
      </c>
      <c r="E511">
        <v>0.11672943635127853</v>
      </c>
      <c r="F511">
        <v>0.19946222438801708</v>
      </c>
      <c r="G511">
        <v>7.8649885413760501E-2</v>
      </c>
      <c r="H511">
        <v>2.1778414178242667E-2</v>
      </c>
      <c r="I511">
        <v>0.61697715236004469</v>
      </c>
      <c r="J511">
        <v>7.5647202834162597E-2</v>
      </c>
    </row>
    <row r="512" spans="1:10">
      <c r="A512" s="568">
        <v>44573</v>
      </c>
      <c r="B512">
        <v>9.9910991256088932E-2</v>
      </c>
      <c r="C512">
        <v>0.31944332288079158</v>
      </c>
      <c r="D512">
        <v>0.2865054982403199</v>
      </c>
      <c r="E512">
        <v>0.1167653109545379</v>
      </c>
      <c r="F512">
        <v>0.19933820091213716</v>
      </c>
      <c r="G512">
        <v>7.91712577603505E-2</v>
      </c>
      <c r="H512">
        <v>4.0508753063674519E-2</v>
      </c>
      <c r="I512">
        <v>0.62711859813190451</v>
      </c>
      <c r="J512">
        <v>7.6020982161743911E-2</v>
      </c>
    </row>
    <row r="513" spans="1:10">
      <c r="A513" s="568">
        <v>44574</v>
      </c>
      <c r="B513">
        <v>0.10036559377152066</v>
      </c>
      <c r="C513">
        <v>0.32016069975204609</v>
      </c>
      <c r="D513">
        <v>0.28692514627064769</v>
      </c>
      <c r="E513">
        <v>0.11658528567272675</v>
      </c>
      <c r="F513">
        <v>0.19634599759610016</v>
      </c>
      <c r="G513">
        <v>7.949795874759169E-2</v>
      </c>
      <c r="H513">
        <v>3.8701467299413705E-2</v>
      </c>
      <c r="I513">
        <v>0.61045036632896332</v>
      </c>
      <c r="J513">
        <v>7.6394891374835572E-2</v>
      </c>
    </row>
    <row r="514" spans="1:10">
      <c r="A514" s="568">
        <v>44575</v>
      </c>
      <c r="B514">
        <v>0.10079661114562355</v>
      </c>
      <c r="C514">
        <v>0.32087846665867881</v>
      </c>
      <c r="D514">
        <v>0.28783907995237401</v>
      </c>
      <c r="E514">
        <v>0.11569494324637719</v>
      </c>
      <c r="F514">
        <v>0.20044187448982065</v>
      </c>
      <c r="G514">
        <v>7.9926936653485381E-2</v>
      </c>
      <c r="H514">
        <v>5.0195462488564102E-2</v>
      </c>
      <c r="I514">
        <v>0.60290622547663908</v>
      </c>
      <c r="J514">
        <v>7.6768930518571699E-2</v>
      </c>
    </row>
    <row r="515" spans="1:10">
      <c r="A515" s="568">
        <v>44578</v>
      </c>
      <c r="B515">
        <v>0.1012344611287026</v>
      </c>
      <c r="C515">
        <v>0.32159662381275056</v>
      </c>
      <c r="D515">
        <v>0.28696773233453365</v>
      </c>
      <c r="E515">
        <v>0.1156558073155487</v>
      </c>
      <c r="F515">
        <v>0.20160647961527078</v>
      </c>
      <c r="G515">
        <v>8.0921792555896932E-2</v>
      </c>
      <c r="H515">
        <v>4.8499487909615446E-2</v>
      </c>
      <c r="I515">
        <v>0.60094945394156407</v>
      </c>
      <c r="J515">
        <v>7.7143099638102175E-2</v>
      </c>
    </row>
    <row r="516" spans="1:10">
      <c r="A516" s="568">
        <v>44579</v>
      </c>
      <c r="B516">
        <v>0.10166746296091778</v>
      </c>
      <c r="C516">
        <v>0.32231517142643762</v>
      </c>
      <c r="D516">
        <v>0.28759020200289509</v>
      </c>
      <c r="E516">
        <v>0.11179961359790935</v>
      </c>
      <c r="F516">
        <v>0.20558845071710774</v>
      </c>
      <c r="G516">
        <v>8.0141929949328894E-2</v>
      </c>
      <c r="H516">
        <v>4.8118741689941569E-2</v>
      </c>
      <c r="I516">
        <v>0.59392105494815883</v>
      </c>
      <c r="J516">
        <v>7.7517398778592428E-2</v>
      </c>
    </row>
    <row r="517" spans="1:10">
      <c r="A517" s="568">
        <v>44580</v>
      </c>
      <c r="B517">
        <v>0.10206828234543974</v>
      </c>
      <c r="C517">
        <v>0.3230341097120315</v>
      </c>
      <c r="D517">
        <v>0.28965485994327711</v>
      </c>
      <c r="E517">
        <v>0.11325220889716237</v>
      </c>
      <c r="F517">
        <v>0.2052915221375502</v>
      </c>
      <c r="G517">
        <v>8.1017019486915309E-2</v>
      </c>
      <c r="H517">
        <v>5.921174100486537E-2</v>
      </c>
      <c r="I517">
        <v>0.56232409646408676</v>
      </c>
      <c r="J517">
        <v>7.7891827985224094E-2</v>
      </c>
    </row>
    <row r="518" spans="1:10">
      <c r="A518" s="568">
        <v>44581</v>
      </c>
      <c r="B518">
        <v>0.10252140863307124</v>
      </c>
      <c r="C518">
        <v>0.32375343888193941</v>
      </c>
      <c r="D518">
        <v>0.29148360552388364</v>
      </c>
      <c r="E518">
        <v>0.11332917622779193</v>
      </c>
      <c r="F518">
        <v>0.20768563696785947</v>
      </c>
      <c r="G518">
        <v>8.2260662206160573E-2</v>
      </c>
      <c r="H518">
        <v>6.9827387519796114E-2</v>
      </c>
      <c r="I518">
        <v>0.56571929081518069</v>
      </c>
      <c r="J518">
        <v>7.8266387303193907E-2</v>
      </c>
    </row>
    <row r="519" spans="1:10">
      <c r="A519" s="568">
        <v>44582</v>
      </c>
      <c r="B519">
        <v>0.10294953673072471</v>
      </c>
      <c r="C519">
        <v>0.32447315914868358</v>
      </c>
      <c r="D519">
        <v>0.29127803900720961</v>
      </c>
      <c r="E519">
        <v>0.11362726156760261</v>
      </c>
      <c r="F519">
        <v>0.2031201335388586</v>
      </c>
      <c r="G519">
        <v>8.0626638327971678E-2</v>
      </c>
      <c r="H519">
        <v>6.5231910694476758E-2</v>
      </c>
      <c r="I519">
        <v>0.55136241082283632</v>
      </c>
      <c r="J519">
        <v>7.8641076777714813E-2</v>
      </c>
    </row>
    <row r="520" spans="1:10">
      <c r="A520" s="568">
        <v>44585</v>
      </c>
      <c r="B520">
        <v>0.10339269504493198</v>
      </c>
      <c r="C520">
        <v>0.32519327072490212</v>
      </c>
      <c r="D520">
        <v>0.29243001535950852</v>
      </c>
      <c r="E520">
        <v>0.11132672110039787</v>
      </c>
      <c r="F520">
        <v>0.20162657306578824</v>
      </c>
      <c r="G520">
        <v>7.9175351476218347E-2</v>
      </c>
      <c r="H520">
        <v>5.8371220013782921E-2</v>
      </c>
      <c r="I520">
        <v>0.54568991740194184</v>
      </c>
      <c r="J520">
        <v>7.9015896454015078E-2</v>
      </c>
    </row>
    <row r="521" spans="1:10">
      <c r="A521" s="568">
        <v>44586</v>
      </c>
      <c r="B521">
        <v>0.10386132114637703</v>
      </c>
      <c r="C521">
        <v>0.32591377382334863</v>
      </c>
      <c r="D521">
        <v>0.29250818513917642</v>
      </c>
      <c r="E521">
        <v>0.11124649244219942</v>
      </c>
      <c r="F521">
        <v>0.20401541168679338</v>
      </c>
      <c r="G521">
        <v>8.1326404935248453E-2</v>
      </c>
      <c r="H521">
        <v>7.6967454413398473E-2</v>
      </c>
      <c r="I521">
        <v>0.51824521948753044</v>
      </c>
      <c r="J521">
        <v>7.9390846377338953E-2</v>
      </c>
    </row>
    <row r="522" spans="1:10">
      <c r="A522" s="568">
        <v>44587</v>
      </c>
      <c r="B522">
        <v>0.10430613656336507</v>
      </c>
      <c r="C522">
        <v>0.32663466865689239</v>
      </c>
      <c r="D522">
        <v>0.29279914616332814</v>
      </c>
      <c r="E522">
        <v>0.10964648513682573</v>
      </c>
      <c r="F522">
        <v>0.20907825595912644</v>
      </c>
      <c r="G522">
        <v>8.4478352196057926E-2</v>
      </c>
      <c r="H522">
        <v>8.876467171963176E-2</v>
      </c>
      <c r="I522">
        <v>0.50972112383096402</v>
      </c>
      <c r="J522">
        <v>7.9765926592946235E-2</v>
      </c>
    </row>
    <row r="523" spans="1:10">
      <c r="A523" s="568">
        <v>44588</v>
      </c>
      <c r="B523">
        <v>0.10474876807698452</v>
      </c>
      <c r="C523">
        <v>0.32735595543851859</v>
      </c>
      <c r="D523">
        <v>0.29238865541909975</v>
      </c>
      <c r="E523">
        <v>0.10975280441557667</v>
      </c>
      <c r="F523">
        <v>0.21325269673400093</v>
      </c>
      <c r="G523">
        <v>8.5631586877815913E-2</v>
      </c>
      <c r="H523">
        <v>9.696371008351945E-2</v>
      </c>
      <c r="I523">
        <v>0.48498273535584135</v>
      </c>
      <c r="J523">
        <v>8.0141137146112484E-2</v>
      </c>
    </row>
    <row r="524" spans="1:10">
      <c r="A524" s="568">
        <v>44589</v>
      </c>
      <c r="B524">
        <v>0.10517669404651997</v>
      </c>
      <c r="C524">
        <v>0.32807763438132809</v>
      </c>
      <c r="D524">
        <v>0.29331058885344286</v>
      </c>
      <c r="E524">
        <v>0.1109327527300572</v>
      </c>
      <c r="F524">
        <v>0.21403890086640653</v>
      </c>
      <c r="G524">
        <v>8.6308834216543451E-2</v>
      </c>
      <c r="H524">
        <v>9.4580430621412637E-2</v>
      </c>
      <c r="I524">
        <v>0.49465889268745666</v>
      </c>
      <c r="J524">
        <v>8.051647808212925E-2</v>
      </c>
    </row>
    <row r="525" spans="1:10">
      <c r="A525" s="568">
        <v>44592</v>
      </c>
      <c r="B525">
        <v>0.10561645462787284</v>
      </c>
      <c r="C525">
        <v>0.32879970569853745</v>
      </c>
      <c r="D525">
        <v>0.29377913889559482</v>
      </c>
      <c r="E525">
        <v>0.11345375894092946</v>
      </c>
      <c r="F525">
        <v>0.21447097677649274</v>
      </c>
      <c r="G525">
        <v>8.8512711285397616E-2</v>
      </c>
      <c r="H525">
        <v>0.10225271835168903</v>
      </c>
      <c r="I525">
        <v>0.51038473644069304</v>
      </c>
      <c r="J525">
        <v>8.0891949446303402E-2</v>
      </c>
    </row>
    <row r="526" spans="1:10">
      <c r="A526" s="568">
        <v>44593</v>
      </c>
      <c r="B526">
        <v>0.10605047065640716</v>
      </c>
      <c r="C526">
        <v>0.32952216960347935</v>
      </c>
      <c r="D526">
        <v>0.29549580076209403</v>
      </c>
      <c r="E526">
        <v>0.11534337213443457</v>
      </c>
      <c r="F526">
        <v>0.21560546539002856</v>
      </c>
      <c r="G526">
        <v>8.9332837761262773E-2</v>
      </c>
      <c r="H526">
        <v>0.10512316477571648</v>
      </c>
      <c r="I526">
        <v>0.51091733903310499</v>
      </c>
      <c r="J526">
        <v>8.1267551283957573E-2</v>
      </c>
    </row>
    <row r="527" spans="1:10">
      <c r="A527" s="568">
        <v>44594</v>
      </c>
      <c r="B527">
        <v>0.10649541513437422</v>
      </c>
      <c r="C527">
        <v>0.3302450263096024</v>
      </c>
      <c r="D527">
        <v>0.29746300851069463</v>
      </c>
      <c r="E527">
        <v>0.11634981782224196</v>
      </c>
      <c r="F527">
        <v>0.21525088626136846</v>
      </c>
      <c r="G527">
        <v>8.9118433252247664E-2</v>
      </c>
      <c r="H527">
        <v>0.10152385638484618</v>
      </c>
      <c r="I527">
        <v>0.51673184444328646</v>
      </c>
      <c r="J527">
        <v>8.1643283640430608E-2</v>
      </c>
    </row>
    <row r="528" spans="1:10">
      <c r="A528" s="568">
        <v>44595</v>
      </c>
      <c r="B528">
        <v>0.10695612176913105</v>
      </c>
      <c r="C528">
        <v>0.3309682760304713</v>
      </c>
      <c r="D528">
        <v>0.30030003309188524</v>
      </c>
      <c r="E528">
        <v>0.11459391905906791</v>
      </c>
      <c r="F528">
        <v>0.21877989716985646</v>
      </c>
      <c r="G528">
        <v>8.7878329896037721E-2</v>
      </c>
      <c r="H528">
        <v>9.3027708496724815E-2</v>
      </c>
      <c r="I528">
        <v>0.51023389900433025</v>
      </c>
      <c r="J528">
        <v>8.2077753154076394E-2</v>
      </c>
    </row>
    <row r="529" spans="1:10">
      <c r="A529" s="568">
        <v>44596</v>
      </c>
      <c r="B529">
        <v>0.10745215485761173</v>
      </c>
      <c r="C529">
        <v>0.33169191897976691</v>
      </c>
      <c r="D529">
        <v>0.30043836086617892</v>
      </c>
      <c r="E529">
        <v>0.10985586236675848</v>
      </c>
      <c r="F529">
        <v>0.2257467242264104</v>
      </c>
      <c r="G529">
        <v>8.870619121353629E-2</v>
      </c>
      <c r="H529">
        <v>9.7565182911627524E-2</v>
      </c>
      <c r="I529">
        <v>0.5224644185753049</v>
      </c>
      <c r="J529">
        <v>8.2512397183443831E-2</v>
      </c>
    </row>
    <row r="530" spans="1:10">
      <c r="A530" s="568">
        <v>44599</v>
      </c>
      <c r="B530">
        <v>0.1079581772153726</v>
      </c>
      <c r="C530">
        <v>0.33241595537128599</v>
      </c>
      <c r="D530">
        <v>0.3018403249236643</v>
      </c>
      <c r="E530">
        <v>0.11023091503719873</v>
      </c>
      <c r="F530">
        <v>0.22573294830362833</v>
      </c>
      <c r="G530">
        <v>8.8263649335485805E-2</v>
      </c>
      <c r="H530">
        <v>9.574668496348071E-2</v>
      </c>
      <c r="I530">
        <v>0.51110177487681252</v>
      </c>
      <c r="J530">
        <v>8.2947215798631735E-2</v>
      </c>
    </row>
    <row r="531" spans="1:10">
      <c r="A531" s="568">
        <v>44600</v>
      </c>
      <c r="B531">
        <v>0.10845730734959269</v>
      </c>
      <c r="C531">
        <v>0.33314038541894186</v>
      </c>
      <c r="D531">
        <v>0.30187376904032948</v>
      </c>
      <c r="E531">
        <v>0.11140694975859655</v>
      </c>
      <c r="F531">
        <v>0.2272985379864525</v>
      </c>
      <c r="G531">
        <v>8.8535446238905857E-2</v>
      </c>
      <c r="H531">
        <v>9.4541529721387407E-2</v>
      </c>
      <c r="I531">
        <v>0.51143351579116048</v>
      </c>
      <c r="J531">
        <v>8.3382209069766899E-2</v>
      </c>
    </row>
    <row r="532" spans="1:10">
      <c r="A532" s="568">
        <v>44601</v>
      </c>
      <c r="B532">
        <v>0.10897044117481469</v>
      </c>
      <c r="C532">
        <v>0.33386520933676422</v>
      </c>
      <c r="D532">
        <v>0.30149035507101085</v>
      </c>
      <c r="E532">
        <v>0.11368335640179028</v>
      </c>
      <c r="F532">
        <v>0.22765716468961528</v>
      </c>
      <c r="G532">
        <v>8.9727164468447196E-2</v>
      </c>
      <c r="H532">
        <v>9.7336017061555369E-2</v>
      </c>
      <c r="I532">
        <v>0.53164531984762498</v>
      </c>
      <c r="J532">
        <v>8.3817377067004317E-2</v>
      </c>
    </row>
    <row r="533" spans="1:10">
      <c r="A533" s="568">
        <v>44602</v>
      </c>
      <c r="B533">
        <v>0.10947274902235304</v>
      </c>
      <c r="C533">
        <v>0.33459042733889865</v>
      </c>
      <c r="D533">
        <v>0.30187472077975053</v>
      </c>
      <c r="E533">
        <v>0.10950755258238432</v>
      </c>
      <c r="F533">
        <v>0.23303383056564297</v>
      </c>
      <c r="G533">
        <v>9.1033622637751721E-2</v>
      </c>
      <c r="H533">
        <v>0.10206496194190451</v>
      </c>
      <c r="I533">
        <v>0.52678286691909237</v>
      </c>
      <c r="J533">
        <v>8.4252719860527181E-2</v>
      </c>
    </row>
    <row r="534" spans="1:10">
      <c r="A534" s="568">
        <v>44603</v>
      </c>
      <c r="B534">
        <v>0.10997928784453981</v>
      </c>
      <c r="C534">
        <v>0.33531603963960754</v>
      </c>
      <c r="D534">
        <v>0.3028345694439436</v>
      </c>
      <c r="E534">
        <v>0.10924142825275029</v>
      </c>
      <c r="F534">
        <v>0.23055472124544352</v>
      </c>
      <c r="G534">
        <v>9.057663145598438E-2</v>
      </c>
      <c r="H534">
        <v>0.10146895969811376</v>
      </c>
      <c r="I534">
        <v>0.5051790867777266</v>
      </c>
      <c r="J534">
        <v>8.4688237520546661E-2</v>
      </c>
    </row>
    <row r="535" spans="1:10">
      <c r="A535" s="568">
        <v>44606</v>
      </c>
      <c r="B535">
        <v>0.110506978077062</v>
      </c>
      <c r="C535">
        <v>0.33604204645326985</v>
      </c>
      <c r="D535">
        <v>0.30431256678301755</v>
      </c>
      <c r="E535">
        <v>0.10582747055347341</v>
      </c>
      <c r="F535">
        <v>0.23492618818393041</v>
      </c>
      <c r="G535">
        <v>9.0927418346898214E-2</v>
      </c>
      <c r="H535">
        <v>0.10637650570663371</v>
      </c>
      <c r="I535">
        <v>0.48141941362398444</v>
      </c>
      <c r="J535">
        <v>8.5123930117302571E-2</v>
      </c>
    </row>
    <row r="536" spans="1:10">
      <c r="A536" s="568">
        <v>44607</v>
      </c>
      <c r="B536">
        <v>0.11102403352870027</v>
      </c>
      <c r="C536">
        <v>0.33676844799438088</v>
      </c>
      <c r="D536">
        <v>0.30638185005222729</v>
      </c>
      <c r="E536">
        <v>0.10819519436860037</v>
      </c>
      <c r="F536">
        <v>0.23574776672979048</v>
      </c>
      <c r="G536">
        <v>9.2253434148350966E-2</v>
      </c>
      <c r="H536">
        <v>0.10828674194911292</v>
      </c>
      <c r="I536">
        <v>0.48960786907176645</v>
      </c>
      <c r="J536">
        <v>8.5559797721062703E-2</v>
      </c>
    </row>
    <row r="537" spans="1:10">
      <c r="A537" s="568">
        <v>44608</v>
      </c>
      <c r="B537">
        <v>0.11154092380227287</v>
      </c>
      <c r="C537">
        <v>0.33749524447755253</v>
      </c>
      <c r="D537">
        <v>0.30697256690412966</v>
      </c>
      <c r="E537">
        <v>0.11045464210843536</v>
      </c>
      <c r="F537">
        <v>0.23497181483243779</v>
      </c>
      <c r="G537">
        <v>9.2491295901902859E-2</v>
      </c>
      <c r="H537">
        <v>0.10992421645810668</v>
      </c>
      <c r="I537">
        <v>0.49270935734226096</v>
      </c>
      <c r="J537">
        <v>8.5995840402122825E-2</v>
      </c>
    </row>
    <row r="538" spans="1:10">
      <c r="A538" s="568">
        <v>44609</v>
      </c>
      <c r="B538">
        <v>0.11207956714184819</v>
      </c>
      <c r="C538">
        <v>0.33822243611751346</v>
      </c>
      <c r="D538">
        <v>0.30720478574735122</v>
      </c>
      <c r="E538">
        <v>0.1104226810982587</v>
      </c>
      <c r="F538">
        <v>0.23107751752546357</v>
      </c>
      <c r="G538">
        <v>9.1063392177285651E-2</v>
      </c>
      <c r="H538">
        <v>0.10269498664056464</v>
      </c>
      <c r="I538">
        <v>0.48603749276341968</v>
      </c>
      <c r="J538">
        <v>8.6432058230807352E-2</v>
      </c>
    </row>
    <row r="539" spans="1:10">
      <c r="A539" s="568">
        <v>44610</v>
      </c>
      <c r="B539">
        <v>0.11261004410488917</v>
      </c>
      <c r="C539">
        <v>0.33895002312910916</v>
      </c>
      <c r="D539">
        <v>0.30772045762869737</v>
      </c>
      <c r="E539">
        <v>0.11031831861604902</v>
      </c>
      <c r="F539">
        <v>0.22894514392737753</v>
      </c>
      <c r="G539">
        <v>9.0574607094980664E-2</v>
      </c>
      <c r="H539">
        <v>9.624869142968917E-2</v>
      </c>
      <c r="I539">
        <v>0.46568494704794805</v>
      </c>
      <c r="J539">
        <v>8.6868451277468894E-2</v>
      </c>
    </row>
    <row r="540" spans="1:10">
      <c r="A540" s="568">
        <v>44613</v>
      </c>
      <c r="B540">
        <v>0.11313586497765749</v>
      </c>
      <c r="C540">
        <v>0.33967800572730167</v>
      </c>
      <c r="D540">
        <v>0.30882904043331982</v>
      </c>
      <c r="E540">
        <v>0.11028179174727581</v>
      </c>
      <c r="F540">
        <v>0.22904849177358799</v>
      </c>
      <c r="G540">
        <v>8.9716811077670489E-2</v>
      </c>
      <c r="H540">
        <v>8.5535233926188559E-2</v>
      </c>
      <c r="I540">
        <v>0.43867156548786013</v>
      </c>
      <c r="J540">
        <v>8.7305019612488044E-2</v>
      </c>
    </row>
    <row r="541" spans="1:10">
      <c r="A541" s="568">
        <v>44614</v>
      </c>
      <c r="B541">
        <v>0.11367945086654796</v>
      </c>
      <c r="C541">
        <v>0.34040638412717028</v>
      </c>
      <c r="D541">
        <v>0.3093984983986442</v>
      </c>
      <c r="E541">
        <v>0.10677260328298255</v>
      </c>
      <c r="F541">
        <v>0.23193052747195031</v>
      </c>
      <c r="G541">
        <v>8.9828812859030771E-2</v>
      </c>
      <c r="H541">
        <v>9.388972965044351E-2</v>
      </c>
      <c r="I541">
        <v>0.4201853281700334</v>
      </c>
      <c r="J541">
        <v>8.7741763306273812E-2</v>
      </c>
    </row>
    <row r="542" spans="1:10">
      <c r="A542" s="568">
        <v>44615</v>
      </c>
      <c r="B542">
        <v>0.11420163294553221</v>
      </c>
      <c r="C542">
        <v>0.34113515854391085</v>
      </c>
      <c r="D542">
        <v>0.31129587569441242</v>
      </c>
      <c r="E542">
        <v>0.1024161219162516</v>
      </c>
      <c r="F542">
        <v>0.23395368970185237</v>
      </c>
      <c r="G542">
        <v>8.9369798347416873E-2</v>
      </c>
      <c r="H542">
        <v>8.4630686554649781E-2</v>
      </c>
      <c r="I542">
        <v>0.40771182304091469</v>
      </c>
      <c r="J542">
        <v>8.8178682429263633E-2</v>
      </c>
    </row>
    <row r="543" spans="1:10">
      <c r="A543" s="568">
        <v>44616</v>
      </c>
      <c r="B543">
        <v>0.11469761449907478</v>
      </c>
      <c r="C543">
        <v>0.34186432919283649</v>
      </c>
      <c r="D543">
        <v>0.31197958416126248</v>
      </c>
      <c r="E543">
        <v>9.6496812378433994E-2</v>
      </c>
      <c r="F543">
        <v>0.23372462478751888</v>
      </c>
      <c r="G543">
        <v>8.9305107731348254E-2</v>
      </c>
      <c r="H543">
        <v>8.2574994483457509E-2</v>
      </c>
      <c r="I543">
        <v>0.41141305972428865</v>
      </c>
      <c r="J543">
        <v>8.8615777051922917E-2</v>
      </c>
    </row>
    <row r="544" spans="1:10">
      <c r="A544" s="568">
        <v>44617</v>
      </c>
      <c r="B544">
        <v>0.11520075293662813</v>
      </c>
      <c r="C544">
        <v>0.34259389628937731</v>
      </c>
      <c r="D544">
        <v>0.31294654411529277</v>
      </c>
      <c r="E544">
        <v>0.10519933886367516</v>
      </c>
      <c r="F544">
        <v>0.23513837083823375</v>
      </c>
      <c r="G544">
        <v>9.0077622655973633E-2</v>
      </c>
      <c r="H544">
        <v>9.5132740847596819E-2</v>
      </c>
      <c r="I544">
        <v>0.44098303507459535</v>
      </c>
      <c r="J544">
        <v>8.905304724474572E-2</v>
      </c>
    </row>
    <row r="545" spans="1:10">
      <c r="A545" s="568">
        <v>44622</v>
      </c>
      <c r="B545">
        <v>0.11568570898563157</v>
      </c>
      <c r="C545">
        <v>0.34332386004908066</v>
      </c>
      <c r="D545">
        <v>0.31332665305909213</v>
      </c>
      <c r="E545">
        <v>8.2640083803073194E-2</v>
      </c>
      <c r="F545">
        <v>0.23024577139892655</v>
      </c>
      <c r="G545">
        <v>9.1334203238835565E-2</v>
      </c>
      <c r="H545">
        <v>0.10981963602552747</v>
      </c>
      <c r="I545">
        <v>0.42891424274381373</v>
      </c>
      <c r="J545">
        <v>8.9490493078254074E-2</v>
      </c>
    </row>
    <row r="546" spans="1:10">
      <c r="A546" s="568">
        <v>44623</v>
      </c>
      <c r="B546">
        <v>0.11617904730079864</v>
      </c>
      <c r="C546">
        <v>0.34405422068761093</v>
      </c>
      <c r="D546">
        <v>0.31393794299512745</v>
      </c>
      <c r="E546">
        <v>8.4689502047461396E-2</v>
      </c>
      <c r="F546">
        <v>0.23294776114264315</v>
      </c>
      <c r="G546">
        <v>9.2426270221882989E-2</v>
      </c>
      <c r="H546">
        <v>0.11035707093271241</v>
      </c>
      <c r="I546">
        <v>0.41039681276271511</v>
      </c>
      <c r="J546">
        <v>8.9928114622998656E-2</v>
      </c>
    </row>
    <row r="547" spans="1:10">
      <c r="A547" s="568">
        <v>44624</v>
      </c>
      <c r="B547">
        <v>0.11667852953232383</v>
      </c>
      <c r="C547">
        <v>0.34478497842074973</v>
      </c>
      <c r="D547">
        <v>0.31382103985724719</v>
      </c>
      <c r="E547">
        <v>7.8674309479113802E-2</v>
      </c>
      <c r="F547">
        <v>0.23444704832039576</v>
      </c>
      <c r="G547">
        <v>9.1219128886142808E-2</v>
      </c>
      <c r="H547">
        <v>0.10093004364759994</v>
      </c>
      <c r="I547">
        <v>0.39510561792214371</v>
      </c>
      <c r="J547">
        <v>9.0365911949558342E-2</v>
      </c>
    </row>
    <row r="548" spans="1:10">
      <c r="A548" s="568">
        <v>44627</v>
      </c>
      <c r="B548">
        <v>0.11716567297775349</v>
      </c>
      <c r="C548">
        <v>0.34551613346439591</v>
      </c>
      <c r="D548">
        <v>0.31417151948397515</v>
      </c>
      <c r="E548">
        <v>6.9667827264437543E-2</v>
      </c>
      <c r="F548">
        <v>0.23757089130135789</v>
      </c>
      <c r="G548">
        <v>9.1270991933656287E-2</v>
      </c>
      <c r="H548">
        <v>8.0632636957858717E-2</v>
      </c>
      <c r="I548">
        <v>0.35533275459449065</v>
      </c>
      <c r="J548">
        <v>9.0803885128540429E-2</v>
      </c>
    </row>
    <row r="549" spans="1:10">
      <c r="A549" s="568">
        <v>44628</v>
      </c>
      <c r="B549">
        <v>0.1176788628600558</v>
      </c>
      <c r="C549">
        <v>0.34624768603456602</v>
      </c>
      <c r="D549">
        <v>0.31538442143874845</v>
      </c>
      <c r="E549">
        <v>6.9345608100615852E-2</v>
      </c>
      <c r="F549">
        <v>0.24279644230105735</v>
      </c>
      <c r="G549">
        <v>9.3081271866373161E-2</v>
      </c>
      <c r="H549">
        <v>8.0986233149232811E-2</v>
      </c>
      <c r="I549">
        <v>0.32893518957088119</v>
      </c>
      <c r="J549">
        <v>9.1242034230580416E-2</v>
      </c>
    </row>
    <row r="550" spans="1:10">
      <c r="A550" s="568">
        <v>44629</v>
      </c>
      <c r="B550">
        <v>0.11819182439354803</v>
      </c>
      <c r="C550">
        <v>0.34697963634739382</v>
      </c>
      <c r="D550">
        <v>0.31785557796887765</v>
      </c>
      <c r="E550">
        <v>7.4065401358538674E-2</v>
      </c>
      <c r="F550">
        <v>0.24502321572968988</v>
      </c>
      <c r="G550">
        <v>9.4327358658556459E-2</v>
      </c>
      <c r="H550">
        <v>0.10372678213690034</v>
      </c>
      <c r="I550">
        <v>0.34018716266476323</v>
      </c>
      <c r="J550">
        <v>9.1680359326342442E-2</v>
      </c>
    </row>
    <row r="551" spans="1:10">
      <c r="A551" s="568">
        <v>44630</v>
      </c>
      <c r="B551">
        <v>0.11871263257863673</v>
      </c>
      <c r="C551">
        <v>0.34771198461913078</v>
      </c>
      <c r="D551">
        <v>0.31898183006438141</v>
      </c>
      <c r="E551">
        <v>7.1749206519002628E-2</v>
      </c>
      <c r="F551">
        <v>0.25112674132177704</v>
      </c>
      <c r="G551">
        <v>9.4156747311681555E-2</v>
      </c>
      <c r="H551">
        <v>0.10149710751840835</v>
      </c>
      <c r="I551">
        <v>0.34428770083771165</v>
      </c>
      <c r="J551">
        <v>9.2118860486518628E-2</v>
      </c>
    </row>
    <row r="552" spans="1:10">
      <c r="A552" s="568">
        <v>44631</v>
      </c>
      <c r="B552">
        <v>0.11924576594944658</v>
      </c>
      <c r="C552">
        <v>0.3484447310661456</v>
      </c>
      <c r="D552">
        <v>0.32036683403550481</v>
      </c>
      <c r="E552">
        <v>7.2743259162047602E-2</v>
      </c>
      <c r="F552">
        <v>0.25204441686972956</v>
      </c>
      <c r="G552">
        <v>9.3787149261055136E-2</v>
      </c>
      <c r="H552">
        <v>8.2981013060582365E-2</v>
      </c>
      <c r="I552">
        <v>0.32789149532405371</v>
      </c>
      <c r="J552">
        <v>9.2557537781829957E-2</v>
      </c>
    </row>
    <row r="553" spans="1:10">
      <c r="A553" s="568">
        <v>44634</v>
      </c>
      <c r="B553">
        <v>0.11975451362448641</v>
      </c>
      <c r="C553">
        <v>0.34917787590492488</v>
      </c>
      <c r="D553">
        <v>0.320801729534123</v>
      </c>
      <c r="E553">
        <v>6.6692844255954231E-2</v>
      </c>
      <c r="F553">
        <v>0.25443842065489153</v>
      </c>
      <c r="G553">
        <v>9.4547327590729813E-2</v>
      </c>
      <c r="H553">
        <v>7.0394376139793602E-2</v>
      </c>
      <c r="I553">
        <v>0.296020630971914</v>
      </c>
      <c r="J553">
        <v>9.2996391283025392E-2</v>
      </c>
    </row>
    <row r="554" spans="1:10">
      <c r="A554" s="568">
        <v>44635</v>
      </c>
      <c r="B554">
        <v>0.120267627043668</v>
      </c>
      <c r="C554">
        <v>0.34991141935207293</v>
      </c>
      <c r="D554">
        <v>0.32275029383786857</v>
      </c>
      <c r="E554">
        <v>6.6076453345404573E-2</v>
      </c>
      <c r="F554">
        <v>0.2541834921998305</v>
      </c>
      <c r="G554">
        <v>9.4879875619515719E-2</v>
      </c>
      <c r="H554">
        <v>7.0476471796969031E-2</v>
      </c>
      <c r="I554">
        <v>0.28023750770127398</v>
      </c>
      <c r="J554">
        <v>9.343542106088254E-2</v>
      </c>
    </row>
    <row r="555" spans="1:10">
      <c r="A555" s="568">
        <v>44636</v>
      </c>
      <c r="B555">
        <v>0.12079759813291613</v>
      </c>
      <c r="C555">
        <v>0.35064536162431192</v>
      </c>
      <c r="D555">
        <v>0.32351037562552953</v>
      </c>
      <c r="E555">
        <v>7.4038006206958773E-2</v>
      </c>
      <c r="F555">
        <v>0.25882270403297514</v>
      </c>
      <c r="G555">
        <v>9.533409592783304E-2</v>
      </c>
      <c r="H555">
        <v>8.389192755159236E-2</v>
      </c>
      <c r="I555">
        <v>0.35155986633581038</v>
      </c>
      <c r="J555">
        <v>9.3874627186207427E-2</v>
      </c>
    </row>
    <row r="556" spans="1:10">
      <c r="A556" s="568">
        <v>44637</v>
      </c>
      <c r="B556">
        <v>0.12133714106016624</v>
      </c>
      <c r="C556">
        <v>0.35137970293848153</v>
      </c>
      <c r="D556">
        <v>0.32657130167618686</v>
      </c>
      <c r="E556">
        <v>8.2694221840719395E-2</v>
      </c>
      <c r="F556">
        <v>0.2631233299338589</v>
      </c>
      <c r="G556">
        <v>9.6677179736661234E-2</v>
      </c>
      <c r="H556">
        <v>9.8300575853942584E-2</v>
      </c>
      <c r="I556">
        <v>0.38022360694383162</v>
      </c>
      <c r="J556">
        <v>9.4353079659867944E-2</v>
      </c>
    </row>
    <row r="557" spans="1:10">
      <c r="A557" s="568">
        <v>44638</v>
      </c>
      <c r="B557">
        <v>0.12187861826419089</v>
      </c>
      <c r="C557">
        <v>0.35211444351153953</v>
      </c>
      <c r="D557">
        <v>0.32920375268693491</v>
      </c>
      <c r="E557">
        <v>8.316189621412029E-2</v>
      </c>
      <c r="F557">
        <v>0.26725885951142714</v>
      </c>
      <c r="G557">
        <v>9.8230422369837589E-2</v>
      </c>
      <c r="H557">
        <v>0.11696089765909345</v>
      </c>
      <c r="I557">
        <v>0.38311979387480433</v>
      </c>
      <c r="J557">
        <v>9.4831741405015268E-2</v>
      </c>
    </row>
    <row r="558" spans="1:10">
      <c r="A558" s="568">
        <v>44641</v>
      </c>
      <c r="B558">
        <v>0.12241615423802488</v>
      </c>
      <c r="C558">
        <v>0.35284958356056162</v>
      </c>
      <c r="D558">
        <v>0.33050325921568069</v>
      </c>
      <c r="E558">
        <v>8.0071462209692745E-2</v>
      </c>
      <c r="F558">
        <v>0.27739356416140737</v>
      </c>
      <c r="G558">
        <v>0.10042898508509679</v>
      </c>
      <c r="H558">
        <v>0.12426491328805045</v>
      </c>
      <c r="I558">
        <v>0.36723319838199853</v>
      </c>
      <c r="J558">
        <v>9.5310612513183068E-2</v>
      </c>
    </row>
    <row r="559" spans="1:10">
      <c r="A559" s="568">
        <v>44642</v>
      </c>
      <c r="B559">
        <v>0.12296267412670514</v>
      </c>
      <c r="C559">
        <v>0.35358512330274139</v>
      </c>
      <c r="D559">
        <v>0.33289773679545753</v>
      </c>
      <c r="E559">
        <v>7.9436155599242664E-2</v>
      </c>
      <c r="F559">
        <v>0.28252403796813685</v>
      </c>
      <c r="G559">
        <v>0.10235127842008618</v>
      </c>
      <c r="H559">
        <v>0.13735093163944745</v>
      </c>
      <c r="I559">
        <v>0.38757789057948822</v>
      </c>
      <c r="J559">
        <v>9.5789693075945204E-2</v>
      </c>
    </row>
    <row r="560" spans="1:10">
      <c r="A560" s="568">
        <v>44643</v>
      </c>
      <c r="B560">
        <v>0.12351004642194652</v>
      </c>
      <c r="C560">
        <v>0.35432106295539101</v>
      </c>
      <c r="D560">
        <v>0.33502505361004742</v>
      </c>
      <c r="E560">
        <v>8.1015290408174456E-2</v>
      </c>
      <c r="F560">
        <v>0.28459294031071991</v>
      </c>
      <c r="G560">
        <v>0.10355621808637805</v>
      </c>
      <c r="H560">
        <v>0.14196731830409282</v>
      </c>
      <c r="I560">
        <v>0.3731006382191604</v>
      </c>
      <c r="J560">
        <v>9.6268983184915502E-2</v>
      </c>
    </row>
    <row r="561" spans="1:10">
      <c r="A561" s="568">
        <v>44644</v>
      </c>
      <c r="B561">
        <v>0.12413682659498848</v>
      </c>
      <c r="C561">
        <v>0.35505740273594011</v>
      </c>
      <c r="D561">
        <v>0.33989000228572874</v>
      </c>
      <c r="E561">
        <v>8.1140525386825813E-2</v>
      </c>
      <c r="F561">
        <v>0.28907878298280654</v>
      </c>
      <c r="G561">
        <v>0.10367544664735906</v>
      </c>
      <c r="H561">
        <v>0.15888267626050379</v>
      </c>
      <c r="I561">
        <v>0.37019695343687764</v>
      </c>
      <c r="J561">
        <v>9.6748482931747981E-2</v>
      </c>
    </row>
    <row r="562" spans="1:10">
      <c r="A562" s="568">
        <v>44645</v>
      </c>
      <c r="B562">
        <v>0.1247028972268025</v>
      </c>
      <c r="C562">
        <v>0.35579414286193711</v>
      </c>
      <c r="D562">
        <v>0.34311041601100589</v>
      </c>
      <c r="E562">
        <v>7.73097700242249E-2</v>
      </c>
      <c r="F562">
        <v>0.29718577381110567</v>
      </c>
      <c r="G562">
        <v>0.10517268362009613</v>
      </c>
      <c r="H562">
        <v>0.16475542412197508</v>
      </c>
      <c r="I562">
        <v>0.34413762848701568</v>
      </c>
      <c r="J562">
        <v>9.7228192408136405E-2</v>
      </c>
    </row>
    <row r="563" spans="1:10">
      <c r="A563" s="568">
        <v>44648</v>
      </c>
      <c r="B563">
        <v>0.12527025215843235</v>
      </c>
      <c r="C563">
        <v>0.35653128355104835</v>
      </c>
      <c r="D563">
        <v>0.34391282215873975</v>
      </c>
      <c r="E563">
        <v>7.8387312653037444E-2</v>
      </c>
      <c r="F563">
        <v>0.29620974022084323</v>
      </c>
      <c r="G563">
        <v>0.10520105933620938</v>
      </c>
      <c r="H563">
        <v>0.1597757369296855</v>
      </c>
      <c r="I563">
        <v>0.35874694764058823</v>
      </c>
      <c r="J563">
        <v>9.770811170581517E-2</v>
      </c>
    </row>
    <row r="564" spans="1:10">
      <c r="A564" s="568">
        <v>44649</v>
      </c>
      <c r="B564">
        <v>0.1258265519969417</v>
      </c>
      <c r="C564">
        <v>0.35726882502105872</v>
      </c>
      <c r="D564">
        <v>0.34471523412912508</v>
      </c>
      <c r="E564">
        <v>8.7335090971470963E-2</v>
      </c>
      <c r="F564">
        <v>0.29307716577692</v>
      </c>
      <c r="G564">
        <v>0.1052564285991</v>
      </c>
      <c r="H564">
        <v>0.16677531603745721</v>
      </c>
      <c r="I564">
        <v>0.37383619803005419</v>
      </c>
      <c r="J564">
        <v>9.8188240916558422E-2</v>
      </c>
    </row>
    <row r="565" spans="1:10">
      <c r="A565" s="568">
        <v>44650</v>
      </c>
      <c r="B565">
        <v>0.12635387218499416</v>
      </c>
      <c r="C565">
        <v>0.35800676748987126</v>
      </c>
      <c r="D565">
        <v>0.3446910025609391</v>
      </c>
      <c r="E565">
        <v>8.9520832708245068E-2</v>
      </c>
      <c r="F565">
        <v>0.29173710309134848</v>
      </c>
      <c r="G565">
        <v>0.10459234184618205</v>
      </c>
      <c r="H565">
        <v>0.16324839977581118</v>
      </c>
      <c r="I565">
        <v>0.38544229333375624</v>
      </c>
      <c r="J565">
        <v>9.8668580132180495E-2</v>
      </c>
    </row>
    <row r="566" spans="1:10">
      <c r="A566" s="568">
        <v>44651</v>
      </c>
      <c r="B566">
        <v>0.12692400631509626</v>
      </c>
      <c r="C566">
        <v>0.35874511117550778</v>
      </c>
      <c r="D566">
        <v>0.34556687754884363</v>
      </c>
      <c r="E566">
        <v>8.9531268956466015E-2</v>
      </c>
      <c r="F566">
        <v>0.28979100368702881</v>
      </c>
      <c r="G566">
        <v>0.10405247815532004</v>
      </c>
      <c r="H566">
        <v>0.16471136789268925</v>
      </c>
      <c r="I566">
        <v>0.36178791051220505</v>
      </c>
      <c r="J566">
        <v>9.9149129444535911E-2</v>
      </c>
    </row>
    <row r="567" spans="1:10">
      <c r="A567" s="568">
        <v>44652</v>
      </c>
      <c r="B567">
        <v>0.12749097461322756</v>
      </c>
      <c r="C567">
        <v>0.35948385629610868</v>
      </c>
      <c r="D567">
        <v>0.34867051202213828</v>
      </c>
      <c r="E567">
        <v>8.8204560901378404E-2</v>
      </c>
      <c r="F567">
        <v>0.29777363042375038</v>
      </c>
      <c r="G567">
        <v>0.10765220706109169</v>
      </c>
      <c r="H567">
        <v>0.18449107905093109</v>
      </c>
      <c r="I567">
        <v>0.35032197578847413</v>
      </c>
      <c r="J567">
        <v>9.9629888945519385E-2</v>
      </c>
    </row>
    <row r="568" spans="1:10">
      <c r="A568" s="568">
        <v>44655</v>
      </c>
      <c r="B568">
        <v>0.12803661660132448</v>
      </c>
      <c r="C568">
        <v>0.36022300306993249</v>
      </c>
      <c r="D568">
        <v>0.34972617435036701</v>
      </c>
      <c r="E568">
        <v>9.0655122436759106E-2</v>
      </c>
      <c r="F568">
        <v>0.30015212099904121</v>
      </c>
      <c r="G568">
        <v>0.10855310516627292</v>
      </c>
      <c r="H568">
        <v>0.18297865997308449</v>
      </c>
      <c r="I568">
        <v>0.36118532254569091</v>
      </c>
      <c r="J568">
        <v>0.10011085872706604</v>
      </c>
    </row>
    <row r="569" spans="1:10">
      <c r="A569" s="568">
        <v>44656</v>
      </c>
      <c r="B569">
        <v>0.12857419599858622</v>
      </c>
      <c r="C569">
        <v>0.36096255171535696</v>
      </c>
      <c r="D569">
        <v>0.34928208399917171</v>
      </c>
      <c r="E569">
        <v>8.4092026836811939E-2</v>
      </c>
      <c r="F569">
        <v>0.30281046435023273</v>
      </c>
      <c r="G569">
        <v>0.10838671423021129</v>
      </c>
      <c r="H569">
        <v>0.16629098598352887</v>
      </c>
      <c r="I569">
        <v>0.36186615557220758</v>
      </c>
      <c r="J569">
        <v>0.10059203888115076</v>
      </c>
    </row>
    <row r="570" spans="1:10">
      <c r="A570" s="568">
        <v>44657</v>
      </c>
      <c r="B570">
        <v>0.12913971944635083</v>
      </c>
      <c r="C570">
        <v>0.3617025024508782</v>
      </c>
      <c r="D570">
        <v>0.3505520452656723</v>
      </c>
      <c r="E570">
        <v>8.211761912651161E-2</v>
      </c>
      <c r="F570">
        <v>0.30214777368539236</v>
      </c>
      <c r="G570">
        <v>0.10757356631693837</v>
      </c>
      <c r="H570">
        <v>0.15667736803101295</v>
      </c>
      <c r="I570">
        <v>0.35437262167474093</v>
      </c>
      <c r="J570">
        <v>0.10107342949978904</v>
      </c>
    </row>
    <row r="571" spans="1:10">
      <c r="A571" s="568">
        <v>44658</v>
      </c>
      <c r="B571">
        <v>0.12967754346300708</v>
      </c>
      <c r="C571">
        <v>0.36244285549511113</v>
      </c>
      <c r="D571">
        <v>0.35240212811063842</v>
      </c>
      <c r="E571">
        <v>8.0839178719445792E-2</v>
      </c>
      <c r="F571">
        <v>0.30293034266149288</v>
      </c>
      <c r="G571">
        <v>0.1085485508873496</v>
      </c>
      <c r="H571">
        <v>0.16374097315313851</v>
      </c>
      <c r="I571">
        <v>0.34737235222126817</v>
      </c>
      <c r="J571">
        <v>0.10155503067503635</v>
      </c>
    </row>
    <row r="572" spans="1:10">
      <c r="A572" s="568">
        <v>44659</v>
      </c>
      <c r="B572">
        <v>0.13019667806394253</v>
      </c>
      <c r="C572">
        <v>0.36318361106678987</v>
      </c>
      <c r="D572">
        <v>0.35296879304213991</v>
      </c>
      <c r="E572">
        <v>7.8485804745622501E-2</v>
      </c>
      <c r="F572">
        <v>0.30747325591346963</v>
      </c>
      <c r="G572">
        <v>0.11013698242469006</v>
      </c>
      <c r="H572">
        <v>0.1644765343818313</v>
      </c>
      <c r="I572">
        <v>0.33972700875143547</v>
      </c>
      <c r="J572">
        <v>0.10203684249898859</v>
      </c>
    </row>
    <row r="573" spans="1:10">
      <c r="A573" s="568">
        <v>44662</v>
      </c>
      <c r="B573">
        <v>0.13074961207153146</v>
      </c>
      <c r="C573">
        <v>0.36392476938476714</v>
      </c>
      <c r="D573">
        <v>0.35171640702916185</v>
      </c>
      <c r="E573">
        <v>7.5827822776850295E-2</v>
      </c>
      <c r="F573">
        <v>0.30501180075557666</v>
      </c>
      <c r="G573">
        <v>0.10930353758763789</v>
      </c>
      <c r="H573">
        <v>0.15406051419071543</v>
      </c>
      <c r="I573">
        <v>0.30444068507836786</v>
      </c>
      <c r="J573">
        <v>0.10251886506378205</v>
      </c>
    </row>
    <row r="574" spans="1:10">
      <c r="A574" s="568">
        <v>44663</v>
      </c>
      <c r="B574">
        <v>0.13128557540910335</v>
      </c>
      <c r="C574">
        <v>0.36466633066801468</v>
      </c>
      <c r="D574">
        <v>0.35314405474840105</v>
      </c>
      <c r="E574">
        <v>8.055283415888348E-2</v>
      </c>
      <c r="F574">
        <v>0.30289506790662934</v>
      </c>
      <c r="G574">
        <v>0.10966527552670446</v>
      </c>
      <c r="H574">
        <v>0.15239863758036298</v>
      </c>
      <c r="I574">
        <v>0.30345994960537293</v>
      </c>
      <c r="J574">
        <v>0.103001098461593</v>
      </c>
    </row>
    <row r="575" spans="1:10">
      <c r="A575" s="568">
        <v>44664</v>
      </c>
      <c r="B575">
        <v>0.13183857018779821</v>
      </c>
      <c r="C575">
        <v>0.36540829513562323</v>
      </c>
      <c r="D575">
        <v>0.35499751610962393</v>
      </c>
      <c r="E575">
        <v>8.0795476930020538E-2</v>
      </c>
      <c r="F575">
        <v>0.30300161955866911</v>
      </c>
      <c r="G575">
        <v>0.11121945857790694</v>
      </c>
      <c r="H575">
        <v>0.16180163080368093</v>
      </c>
      <c r="I575">
        <v>0.31656758100138016</v>
      </c>
      <c r="J575">
        <v>0.10348354278463834</v>
      </c>
    </row>
    <row r="576" spans="1:10">
      <c r="A576" s="568">
        <v>44665</v>
      </c>
      <c r="B576">
        <v>0.1323811186847903</v>
      </c>
      <c r="C576">
        <v>0.36615066300680299</v>
      </c>
      <c r="D576">
        <v>0.35648275215957459</v>
      </c>
      <c r="E576">
        <v>7.7917681483094636E-2</v>
      </c>
      <c r="F576">
        <v>0.30708006550278544</v>
      </c>
      <c r="G576">
        <v>0.11075503874102521</v>
      </c>
      <c r="H576">
        <v>0.15693599696837701</v>
      </c>
      <c r="I576">
        <v>0.31412689737561861</v>
      </c>
      <c r="J576">
        <v>0.10396619812517516</v>
      </c>
    </row>
    <row r="577" spans="1:10">
      <c r="A577" s="568">
        <v>44669</v>
      </c>
      <c r="B577">
        <v>0.13295393461300242</v>
      </c>
      <c r="C577">
        <v>0.36689343450088296</v>
      </c>
      <c r="D577">
        <v>0.35888131096207498</v>
      </c>
      <c r="E577">
        <v>7.7104958652888689E-2</v>
      </c>
      <c r="F577">
        <v>0.30856775464048214</v>
      </c>
      <c r="G577">
        <v>0.11068294367154019</v>
      </c>
      <c r="H577">
        <v>0.1563968222905141</v>
      </c>
      <c r="I577">
        <v>0.30602722156505724</v>
      </c>
      <c r="J577">
        <v>0.10444906457550074</v>
      </c>
    </row>
    <row r="578" spans="1:10">
      <c r="A578" s="568">
        <v>44670</v>
      </c>
      <c r="B578">
        <v>0.13348820231339364</v>
      </c>
      <c r="C578">
        <v>0.36763660983731183</v>
      </c>
      <c r="D578">
        <v>0.35965051577712082</v>
      </c>
      <c r="E578">
        <v>7.4868340206037276E-2</v>
      </c>
      <c r="F578">
        <v>0.31133829783214084</v>
      </c>
      <c r="G578">
        <v>0.1123927190039451</v>
      </c>
      <c r="H578">
        <v>0.15246861235721076</v>
      </c>
      <c r="I578">
        <v>0.30384103942842744</v>
      </c>
      <c r="J578">
        <v>0.104932142227953</v>
      </c>
    </row>
    <row r="579" spans="1:10">
      <c r="A579" s="568">
        <v>44671</v>
      </c>
      <c r="B579">
        <v>0.1340344281718755</v>
      </c>
      <c r="C579">
        <v>0.36838018923565707</v>
      </c>
      <c r="D579">
        <v>0.36108527219099429</v>
      </c>
      <c r="E579">
        <v>7.8413403273589921E-2</v>
      </c>
      <c r="F579">
        <v>0.31204347261158993</v>
      </c>
      <c r="G579">
        <v>0.11301933577105849</v>
      </c>
      <c r="H579">
        <v>0.15560846869857126</v>
      </c>
      <c r="I579">
        <v>0.29124197703636012</v>
      </c>
      <c r="J579">
        <v>0.10541543117491026</v>
      </c>
    </row>
    <row r="580" spans="1:10">
      <c r="A580" s="568">
        <v>44673</v>
      </c>
      <c r="B580">
        <v>0.13458222049592794</v>
      </c>
      <c r="C580">
        <v>0.36912417291560584</v>
      </c>
      <c r="D580">
        <v>0.36186064108066951</v>
      </c>
      <c r="E580">
        <v>6.8444177160531305E-2</v>
      </c>
      <c r="F580">
        <v>0.31645619079664877</v>
      </c>
      <c r="G580">
        <v>0.11006828794024281</v>
      </c>
      <c r="H580">
        <v>0.12489181963908669</v>
      </c>
      <c r="I580">
        <v>0.28097426687206339</v>
      </c>
      <c r="J580">
        <v>0.10589893150879104</v>
      </c>
    </row>
    <row r="581" spans="1:10">
      <c r="A581" s="568">
        <v>44676</v>
      </c>
      <c r="B581">
        <v>0.135154935781435</v>
      </c>
      <c r="C581">
        <v>0.36986856109696453</v>
      </c>
      <c r="D581">
        <v>0.36332322422507657</v>
      </c>
      <c r="E581">
        <v>6.8463745125945552E-2</v>
      </c>
      <c r="F581">
        <v>0.31369003618993196</v>
      </c>
      <c r="G581">
        <v>0.10913552456617048</v>
      </c>
      <c r="H581">
        <v>0.12337969359275602</v>
      </c>
      <c r="I581">
        <v>0.27066806385044151</v>
      </c>
      <c r="J581">
        <v>0.10638264332205427</v>
      </c>
    </row>
    <row r="582" spans="1:10">
      <c r="A582" s="568">
        <v>44677</v>
      </c>
      <c r="B582">
        <v>0.13569500667934586</v>
      </c>
      <c r="C582">
        <v>0.37061335399965945</v>
      </c>
      <c r="D582">
        <v>0.36347690666257448</v>
      </c>
      <c r="E582">
        <v>6.942192316573137E-2</v>
      </c>
      <c r="F582">
        <v>0.31242763109273808</v>
      </c>
      <c r="G582">
        <v>0.1082477247436151</v>
      </c>
      <c r="H582">
        <v>0.10992272418371818</v>
      </c>
      <c r="I582">
        <v>0.27511246513693699</v>
      </c>
      <c r="J582">
        <v>0.10686656670719952</v>
      </c>
    </row>
    <row r="583" spans="1:10">
      <c r="A583" s="568">
        <v>44678</v>
      </c>
      <c r="B583">
        <v>0.13625826618664783</v>
      </c>
      <c r="C583">
        <v>0.3713585518437359</v>
      </c>
      <c r="D583">
        <v>0.36572588107021597</v>
      </c>
      <c r="E583">
        <v>6.6165161455282506E-2</v>
      </c>
      <c r="F583">
        <v>0.3155659826987891</v>
      </c>
      <c r="G583">
        <v>0.10890858399409464</v>
      </c>
      <c r="H583">
        <v>0.11551843915350424</v>
      </c>
      <c r="I583">
        <v>0.27495059345437944</v>
      </c>
      <c r="J583">
        <v>0.10735070175676675</v>
      </c>
    </row>
    <row r="584" spans="1:10">
      <c r="A584" s="568">
        <v>44679</v>
      </c>
      <c r="B584">
        <v>0.1368200268866282</v>
      </c>
      <c r="C584">
        <v>0.37210415484935933</v>
      </c>
      <c r="D584">
        <v>0.36753310520876048</v>
      </c>
      <c r="E584">
        <v>6.6757418541820934E-2</v>
      </c>
      <c r="F584">
        <v>0.31922887443919135</v>
      </c>
      <c r="G584">
        <v>0.11193316912450535</v>
      </c>
      <c r="H584">
        <v>0.1266791983810216</v>
      </c>
      <c r="I584">
        <v>0.29725273870465596</v>
      </c>
      <c r="J584">
        <v>0.10783504856333659</v>
      </c>
    </row>
    <row r="585" spans="1:10">
      <c r="A585" s="568">
        <v>44680</v>
      </c>
      <c r="B585">
        <v>0.1374013653840771</v>
      </c>
      <c r="C585">
        <v>0.37285016323681486</v>
      </c>
      <c r="D585">
        <v>0.36806079961495874</v>
      </c>
      <c r="E585">
        <v>6.4347949733810195E-2</v>
      </c>
      <c r="F585">
        <v>0.32096474319004553</v>
      </c>
      <c r="G585">
        <v>0.11367291254243339</v>
      </c>
      <c r="H585">
        <v>0.11258740880007667</v>
      </c>
      <c r="I585">
        <v>0.30159623602635377</v>
      </c>
      <c r="J585">
        <v>0.1083196072195296</v>
      </c>
    </row>
    <row r="586" spans="1:10">
      <c r="A586" s="568">
        <v>44683</v>
      </c>
      <c r="B586">
        <v>0.13796662493681566</v>
      </c>
      <c r="C586">
        <v>0.37359657722650708</v>
      </c>
      <c r="D586">
        <v>0.36833645210760269</v>
      </c>
      <c r="E586">
        <v>6.0442183837121188E-2</v>
      </c>
      <c r="F586">
        <v>0.3213348461695249</v>
      </c>
      <c r="G586">
        <v>0.11197792357636516</v>
      </c>
      <c r="H586">
        <v>0.10237208655385688</v>
      </c>
      <c r="I586">
        <v>0.32274608485896539</v>
      </c>
      <c r="J586">
        <v>0.10880437781800745</v>
      </c>
    </row>
    <row r="587" spans="1:10">
      <c r="A587" s="568">
        <v>44684</v>
      </c>
      <c r="B587">
        <v>0.13852616112644567</v>
      </c>
      <c r="C587">
        <v>0.37434339703896047</v>
      </c>
      <c r="D587">
        <v>0.36927710751190235</v>
      </c>
      <c r="E587">
        <v>6.3884188953491794E-2</v>
      </c>
      <c r="F587">
        <v>0.32257130465860806</v>
      </c>
      <c r="G587">
        <v>0.11367499491702526</v>
      </c>
      <c r="H587">
        <v>0.10395259253824274</v>
      </c>
      <c r="I587">
        <v>0.30645656440071778</v>
      </c>
      <c r="J587">
        <v>0.10928936045147197</v>
      </c>
    </row>
    <row r="588" spans="1:10">
      <c r="A588" s="568">
        <v>44685</v>
      </c>
      <c r="B588">
        <v>0.13907857322942707</v>
      </c>
      <c r="C588">
        <v>0.37509062289481965</v>
      </c>
      <c r="D588">
        <v>0.37221242662607046</v>
      </c>
      <c r="E588">
        <v>6.9891554335673733E-2</v>
      </c>
      <c r="F588">
        <v>0.32832688739301696</v>
      </c>
      <c r="G588">
        <v>0.11505297752155808</v>
      </c>
      <c r="H588">
        <v>0.12493313369283765</v>
      </c>
      <c r="I588">
        <v>0.3091930968662211</v>
      </c>
      <c r="J588">
        <v>0.10977455521266566</v>
      </c>
    </row>
    <row r="589" spans="1:10">
      <c r="A589" s="568">
        <v>44686</v>
      </c>
      <c r="B589">
        <v>0.13968104828080374</v>
      </c>
      <c r="C589">
        <v>0.37583825501484891</v>
      </c>
      <c r="D589">
        <v>0.37153251482009586</v>
      </c>
      <c r="E589">
        <v>6.3182351260633318E-2</v>
      </c>
      <c r="F589">
        <v>0.32815373319263541</v>
      </c>
      <c r="G589">
        <v>0.11400655622500233</v>
      </c>
      <c r="H589">
        <v>9.7401894018916968E-2</v>
      </c>
      <c r="I589">
        <v>0.30154089381584281</v>
      </c>
      <c r="J589">
        <v>0.11029924797805268</v>
      </c>
    </row>
    <row r="590" spans="1:10">
      <c r="A590" s="568">
        <v>44687</v>
      </c>
      <c r="B590">
        <v>0.14031766167967907</v>
      </c>
      <c r="C590">
        <v>0.37658629361993268</v>
      </c>
      <c r="D590">
        <v>0.37160724395748113</v>
      </c>
      <c r="E590">
        <v>5.9642506317191257E-2</v>
      </c>
      <c r="F590">
        <v>0.32759126084538193</v>
      </c>
      <c r="G590">
        <v>0.11250138244907704</v>
      </c>
      <c r="H590">
        <v>9.0595054385277374E-2</v>
      </c>
      <c r="I590">
        <v>0.28207924606608326</v>
      </c>
      <c r="J590">
        <v>0.11082418881409217</v>
      </c>
    </row>
    <row r="591" spans="1:10">
      <c r="A591" s="568">
        <v>44690</v>
      </c>
      <c r="B591">
        <v>0.14094695246125499</v>
      </c>
      <c r="C591">
        <v>0.3773347389310755</v>
      </c>
      <c r="D591">
        <v>0.37229594084073492</v>
      </c>
      <c r="E591">
        <v>5.7148242992385079E-2</v>
      </c>
      <c r="F591">
        <v>0.32486359001876841</v>
      </c>
      <c r="G591">
        <v>0.10798405042017345</v>
      </c>
      <c r="H591">
        <v>6.9362635228524816E-2</v>
      </c>
      <c r="I591">
        <v>0.26885555092172919</v>
      </c>
      <c r="J591">
        <v>0.11134937783807008</v>
      </c>
    </row>
    <row r="592" spans="1:10">
      <c r="A592" s="568">
        <v>44691</v>
      </c>
      <c r="B592">
        <v>0.14153506431888374</v>
      </c>
      <c r="C592">
        <v>0.37808359116940227</v>
      </c>
      <c r="D592">
        <v>0.37214957342065702</v>
      </c>
      <c r="E592">
        <v>5.8199042735131767E-2</v>
      </c>
      <c r="F592">
        <v>0.32589008278599696</v>
      </c>
      <c r="G592">
        <v>0.10871663507746132</v>
      </c>
      <c r="H592">
        <v>7.635154004863276E-2</v>
      </c>
      <c r="I592">
        <v>0.25458291277572975</v>
      </c>
      <c r="J592">
        <v>0.11187481516732767</v>
      </c>
    </row>
    <row r="593" spans="1:10">
      <c r="A593" s="568">
        <v>44692</v>
      </c>
      <c r="B593">
        <v>0.14215677058887888</v>
      </c>
      <c r="C593">
        <v>0.37883285055615779</v>
      </c>
      <c r="D593">
        <v>0.37408291659493842</v>
      </c>
      <c r="E593">
        <v>6.1452543118011516E-2</v>
      </c>
      <c r="F593">
        <v>0.32784801559136389</v>
      </c>
      <c r="G593">
        <v>0.10901718655428128</v>
      </c>
      <c r="H593">
        <v>8.0495076307747215E-2</v>
      </c>
      <c r="I593">
        <v>0.25233216401371639</v>
      </c>
      <c r="J593">
        <v>0.1124005009192619</v>
      </c>
    </row>
    <row r="594" spans="1:10">
      <c r="A594" s="568">
        <v>44693</v>
      </c>
      <c r="B594">
        <v>0.14275165250263133</v>
      </c>
      <c r="C594">
        <v>0.3795825173127072</v>
      </c>
      <c r="D594">
        <v>0.37547210330660352</v>
      </c>
      <c r="E594">
        <v>6.1061183809726138E-2</v>
      </c>
      <c r="F594">
        <v>0.32737142761464799</v>
      </c>
      <c r="G594">
        <v>0.10799076730815438</v>
      </c>
      <c r="H594">
        <v>8.3564074709379543E-2</v>
      </c>
      <c r="I594">
        <v>0.23599163883416607</v>
      </c>
      <c r="J594">
        <v>0.11292643521132484</v>
      </c>
    </row>
    <row r="595" spans="1:10">
      <c r="A595" s="568">
        <v>44694</v>
      </c>
      <c r="B595">
        <v>0.14335849166820624</v>
      </c>
      <c r="C595">
        <v>0.38033259166053623</v>
      </c>
      <c r="D595">
        <v>0.37716502486225578</v>
      </c>
      <c r="E595">
        <v>6.2447248026570312E-2</v>
      </c>
      <c r="F595">
        <v>0.33121703165583094</v>
      </c>
      <c r="G595">
        <v>0.11195187057712763</v>
      </c>
      <c r="H595">
        <v>9.6771425123609811E-2</v>
      </c>
      <c r="I595">
        <v>0.25271463507619618</v>
      </c>
      <c r="J595">
        <v>0.11345261816102448</v>
      </c>
    </row>
    <row r="596" spans="1:10">
      <c r="A596" s="568">
        <v>44697</v>
      </c>
      <c r="B596">
        <v>0.14393537469694917</v>
      </c>
      <c r="C596">
        <v>0.38108307382125095</v>
      </c>
      <c r="D596">
        <v>0.37927260814719976</v>
      </c>
      <c r="E596">
        <v>6.4190101479468353E-2</v>
      </c>
      <c r="F596">
        <v>0.33284105540041442</v>
      </c>
      <c r="G596">
        <v>0.11205499048327061</v>
      </c>
      <c r="H596">
        <v>0.10599428660555943</v>
      </c>
      <c r="I596">
        <v>0.25365856123301289</v>
      </c>
      <c r="J596">
        <v>0.11397904988592411</v>
      </c>
    </row>
    <row r="597" spans="1:10">
      <c r="A597" s="568">
        <v>44698</v>
      </c>
      <c r="B597">
        <v>0.14453419244963062</v>
      </c>
      <c r="C597">
        <v>0.38183396401657776</v>
      </c>
      <c r="D597">
        <v>0.37937080539157919</v>
      </c>
      <c r="E597">
        <v>6.367350719253162E-2</v>
      </c>
      <c r="F597">
        <v>0.33432268260244369</v>
      </c>
      <c r="G597">
        <v>0.11435443961170177</v>
      </c>
      <c r="H597">
        <v>0.11754237127853484</v>
      </c>
      <c r="I597">
        <v>0.26887926153470088</v>
      </c>
      <c r="J597">
        <v>0.11450573050364277</v>
      </c>
    </row>
    <row r="598" spans="1:10">
      <c r="A598" s="568">
        <v>44699</v>
      </c>
      <c r="B598">
        <v>0.14514633984917524</v>
      </c>
      <c r="C598">
        <v>0.38258526246836366</v>
      </c>
      <c r="D598">
        <v>0.37940380279645747</v>
      </c>
      <c r="E598">
        <v>6.031433979641454E-2</v>
      </c>
      <c r="F598">
        <v>0.33253694427279301</v>
      </c>
      <c r="G598">
        <v>0.11174174888917565</v>
      </c>
      <c r="H598">
        <v>9.7424388148755758E-2</v>
      </c>
      <c r="I598">
        <v>0.24815327222191574</v>
      </c>
      <c r="J598">
        <v>0.1150326601318552</v>
      </c>
    </row>
    <row r="599" spans="1:10">
      <c r="A599" s="568">
        <v>44700</v>
      </c>
      <c r="B599">
        <v>0.14582572008623296</v>
      </c>
      <c r="C599">
        <v>0.3833369693985762</v>
      </c>
      <c r="D599">
        <v>0.3796090594086079</v>
      </c>
      <c r="E599">
        <v>6.095355999994756E-2</v>
      </c>
      <c r="F599">
        <v>0.33395460966062118</v>
      </c>
      <c r="G599">
        <v>0.11302918051587141</v>
      </c>
      <c r="H599">
        <v>0.10513661332060087</v>
      </c>
      <c r="I599">
        <v>0.22415752986253312</v>
      </c>
      <c r="J599">
        <v>0.11555983888829147</v>
      </c>
    </row>
    <row r="600" spans="1:10">
      <c r="A600" s="568">
        <v>44701</v>
      </c>
      <c r="B600">
        <v>0.14641556034293979</v>
      </c>
      <c r="C600">
        <v>0.38408908502930394</v>
      </c>
      <c r="D600">
        <v>0.38015309587293378</v>
      </c>
      <c r="E600">
        <v>6.2929924506789137E-2</v>
      </c>
      <c r="F600">
        <v>0.33478915117864627</v>
      </c>
      <c r="G600">
        <v>0.11362746328953288</v>
      </c>
      <c r="H600">
        <v>0.11383316121940368</v>
      </c>
      <c r="I600">
        <v>0.230355018931093</v>
      </c>
      <c r="J600">
        <v>0.11608726689073734</v>
      </c>
    </row>
    <row r="601" spans="1:10">
      <c r="A601" s="568">
        <v>44704</v>
      </c>
      <c r="B601">
        <v>0.14701960012221416</v>
      </c>
      <c r="C601">
        <v>0.38484160958275582</v>
      </c>
      <c r="D601">
        <v>0.3807812264107111</v>
      </c>
      <c r="E601">
        <v>6.5405924397208715E-2</v>
      </c>
      <c r="F601">
        <v>0.33646110238317495</v>
      </c>
      <c r="G601">
        <v>0.11490540877816757</v>
      </c>
      <c r="H601">
        <v>0.12860254238683555</v>
      </c>
      <c r="I601">
        <v>0.22511730374255534</v>
      </c>
      <c r="J601">
        <v>0.11661494425703456</v>
      </c>
    </row>
    <row r="602" spans="1:10">
      <c r="A602" s="568">
        <v>44705</v>
      </c>
      <c r="B602">
        <v>0.14761422041407202</v>
      </c>
      <c r="C602">
        <v>0.38559454328126175</v>
      </c>
      <c r="D602">
        <v>0.37984889823577639</v>
      </c>
      <c r="E602">
        <v>6.7596884258093626E-2</v>
      </c>
      <c r="F602">
        <v>0.33384343138302786</v>
      </c>
      <c r="G602">
        <v>0.11342608392421383</v>
      </c>
      <c r="H602">
        <v>0.12569268274010659</v>
      </c>
      <c r="I602">
        <v>0.21126667210147287</v>
      </c>
      <c r="J602">
        <v>0.11714287110508037</v>
      </c>
    </row>
    <row r="603" spans="1:10">
      <c r="A603" s="568">
        <v>44706</v>
      </c>
      <c r="B603">
        <v>0.14821599302253197</v>
      </c>
      <c r="C603">
        <v>0.38634788634727246</v>
      </c>
      <c r="D603">
        <v>0.3811389704475876</v>
      </c>
      <c r="E603">
        <v>7.3065478325869071E-2</v>
      </c>
      <c r="F603">
        <v>0.33499704823110776</v>
      </c>
      <c r="G603">
        <v>0.11552248498175177</v>
      </c>
      <c r="H603">
        <v>0.13041325106970914</v>
      </c>
      <c r="I603">
        <v>0.21293214431145957</v>
      </c>
      <c r="J603">
        <v>0.11767104755282776</v>
      </c>
    </row>
    <row r="604" spans="1:10">
      <c r="A604" s="568">
        <v>44707</v>
      </c>
      <c r="B604">
        <v>0.14881115932557187</v>
      </c>
      <c r="C604">
        <v>0.38710163900335992</v>
      </c>
      <c r="D604">
        <v>0.38235629972266172</v>
      </c>
      <c r="E604">
        <v>7.7493708899119218E-2</v>
      </c>
      <c r="F604">
        <v>0.33797825802084858</v>
      </c>
      <c r="G604">
        <v>0.11797959882361631</v>
      </c>
      <c r="H604">
        <v>0.14185425643664473</v>
      </c>
      <c r="I604">
        <v>0.21458511633519928</v>
      </c>
      <c r="J604">
        <v>0.11819947371828543</v>
      </c>
    </row>
    <row r="605" spans="1:10">
      <c r="A605" s="568">
        <v>44708</v>
      </c>
      <c r="B605">
        <v>0.14940617770899989</v>
      </c>
      <c r="C605">
        <v>0.38785580147221665</v>
      </c>
      <c r="D605">
        <v>0.38242291269136919</v>
      </c>
      <c r="E605">
        <v>8.140338838889094E-2</v>
      </c>
      <c r="F605">
        <v>0.33870623211443007</v>
      </c>
      <c r="G605">
        <v>0.11913798617383753</v>
      </c>
      <c r="H605">
        <v>0.1448857955775491</v>
      </c>
      <c r="I605">
        <v>0.24338526796151938</v>
      </c>
      <c r="J605">
        <v>0.11872814971951806</v>
      </c>
    </row>
    <row r="606" spans="1:10">
      <c r="A606" s="568">
        <v>44711</v>
      </c>
      <c r="B606">
        <v>0.14999596340856436</v>
      </c>
      <c r="C606">
        <v>0.38861037397665643</v>
      </c>
      <c r="D606">
        <v>0.38229456040703691</v>
      </c>
      <c r="E606">
        <v>8.1367513785631562E-2</v>
      </c>
      <c r="F606">
        <v>0.33706501247541754</v>
      </c>
      <c r="G606">
        <v>0.11948635689466758</v>
      </c>
      <c r="H606">
        <v>0.13780283577827634</v>
      </c>
      <c r="I606">
        <v>0.25758850540665601</v>
      </c>
      <c r="J606">
        <v>0.11925707567464605</v>
      </c>
    </row>
    <row r="607" spans="1:10">
      <c r="A607" s="568">
        <v>44712</v>
      </c>
      <c r="B607">
        <v>0.15058896553531875</v>
      </c>
      <c r="C607">
        <v>0.38936535673961448</v>
      </c>
      <c r="D607">
        <v>0.38440512897665657</v>
      </c>
      <c r="E607">
        <v>8.0890055429523322E-2</v>
      </c>
      <c r="F607">
        <v>0.34029807000453194</v>
      </c>
      <c r="G607">
        <v>0.11853467883319579</v>
      </c>
      <c r="H607">
        <v>0.1353669568474114</v>
      </c>
      <c r="I607">
        <v>0.26323114578483708</v>
      </c>
      <c r="J607">
        <v>0.11978625170184576</v>
      </c>
    </row>
    <row r="608" spans="1:10">
      <c r="A608" s="568">
        <v>44713</v>
      </c>
      <c r="B608">
        <v>0.15117241305161366</v>
      </c>
      <c r="C608">
        <v>0.39012074998414681</v>
      </c>
      <c r="D608">
        <v>0.3851452650307392</v>
      </c>
      <c r="E608">
        <v>7.8677570806682695E-2</v>
      </c>
      <c r="F608">
        <v>0.34143688791366822</v>
      </c>
      <c r="G608">
        <v>0.11861084046400494</v>
      </c>
      <c r="H608">
        <v>0.13783350733299593</v>
      </c>
      <c r="I608">
        <v>0.26766178776357141</v>
      </c>
      <c r="J608">
        <v>0.12031567791934927</v>
      </c>
    </row>
    <row r="609" spans="1:10">
      <c r="A609" s="568">
        <v>44714</v>
      </c>
      <c r="B609">
        <v>0.15176587431250477</v>
      </c>
      <c r="C609">
        <v>0.39087655393343068</v>
      </c>
      <c r="D609">
        <v>0.38564853499339002</v>
      </c>
      <c r="E609">
        <v>8.1412520106084241E-2</v>
      </c>
      <c r="F609">
        <v>0.34178747091985051</v>
      </c>
      <c r="G609">
        <v>0.11994092639906406</v>
      </c>
      <c r="H609">
        <v>0.14958158382897357</v>
      </c>
      <c r="I609">
        <v>0.27196409935852617</v>
      </c>
      <c r="J609">
        <v>0.12084535444544464</v>
      </c>
    </row>
    <row r="610" spans="1:10">
      <c r="A610" s="568">
        <v>44715</v>
      </c>
      <c r="B610">
        <v>0.15233734034011781</v>
      </c>
      <c r="C610">
        <v>0.39163276881076525</v>
      </c>
      <c r="D610">
        <v>0.38690913840354391</v>
      </c>
      <c r="E610">
        <v>8.0207785702078649E-2</v>
      </c>
      <c r="F610">
        <v>0.34290435010264386</v>
      </c>
      <c r="G610">
        <v>0.11893089458649242</v>
      </c>
      <c r="H610">
        <v>0.13997539466453945</v>
      </c>
      <c r="I610">
        <v>0.26219904959253104</v>
      </c>
      <c r="J610">
        <v>0.12137528139847564</v>
      </c>
    </row>
    <row r="611" spans="1:10">
      <c r="A611" s="568">
        <v>44718</v>
      </c>
      <c r="B611">
        <v>0.15293388979130906</v>
      </c>
      <c r="C611">
        <v>0.39238939483957047</v>
      </c>
      <c r="D611">
        <v>0.38770262905072217</v>
      </c>
      <c r="E611">
        <v>7.727193862442383E-2</v>
      </c>
      <c r="F611">
        <v>0.34404486221713326</v>
      </c>
      <c r="G611">
        <v>0.11844207183529698</v>
      </c>
      <c r="H611">
        <v>0.13191903807830108</v>
      </c>
      <c r="I611">
        <v>0.27989515682922339</v>
      </c>
      <c r="J611">
        <v>0.12190545889684246</v>
      </c>
    </row>
    <row r="612" spans="1:10">
      <c r="A612" s="568">
        <v>44719</v>
      </c>
      <c r="B612">
        <v>0.15353091991453915</v>
      </c>
      <c r="C612">
        <v>0.39314643224338797</v>
      </c>
      <c r="D612">
        <v>0.38697045648157125</v>
      </c>
      <c r="E612">
        <v>7.695232852265721E-2</v>
      </c>
      <c r="F612">
        <v>0.34491829511942007</v>
      </c>
      <c r="G612">
        <v>0.11842560092761611</v>
      </c>
      <c r="H612">
        <v>0.13253780476209642</v>
      </c>
      <c r="I612">
        <v>0.29569338637308351</v>
      </c>
      <c r="J612">
        <v>0.12243588705900077</v>
      </c>
    </row>
    <row r="613" spans="1:10">
      <c r="A613" s="568">
        <v>44720</v>
      </c>
      <c r="B613">
        <v>0.15414014624039196</v>
      </c>
      <c r="C613">
        <v>0.39390388124588105</v>
      </c>
      <c r="D613">
        <v>0.38739412416039354</v>
      </c>
      <c r="E613">
        <v>7.5326882862244871E-2</v>
      </c>
      <c r="F613">
        <v>0.34725451057684231</v>
      </c>
      <c r="G613">
        <v>0.11957769280900354</v>
      </c>
      <c r="H613">
        <v>0.12059090179704435</v>
      </c>
      <c r="I613">
        <v>0.30831658311187193</v>
      </c>
      <c r="J613">
        <v>0.12296656600346245</v>
      </c>
    </row>
    <row r="614" spans="1:10">
      <c r="A614" s="568">
        <v>44721</v>
      </c>
      <c r="B614">
        <v>0.15474508771632878</v>
      </c>
      <c r="C614">
        <v>0.39466174207083449</v>
      </c>
      <c r="D614">
        <v>0.38840559372229122</v>
      </c>
      <c r="E614">
        <v>7.2105995755055385E-2</v>
      </c>
      <c r="F614">
        <v>0.3498731754175437</v>
      </c>
      <c r="G614">
        <v>0.11951282178781364</v>
      </c>
      <c r="H614">
        <v>0.11073580593282184</v>
      </c>
      <c r="I614">
        <v>0.29446364376632439</v>
      </c>
      <c r="J614">
        <v>0.12349749584879555</v>
      </c>
    </row>
    <row r="615" spans="1:10">
      <c r="A615" s="568">
        <v>44722</v>
      </c>
      <c r="B615">
        <v>0.15536163674940595</v>
      </c>
      <c r="C615">
        <v>0.39542001494215473</v>
      </c>
      <c r="D615">
        <v>0.389273763606937</v>
      </c>
      <c r="E615">
        <v>6.0789841355981311E-2</v>
      </c>
      <c r="F615">
        <v>0.35541794420712436</v>
      </c>
      <c r="G615">
        <v>0.11726266312526734</v>
      </c>
      <c r="H615">
        <v>9.550685936474812E-2</v>
      </c>
      <c r="I615">
        <v>0.28162756257999177</v>
      </c>
      <c r="J615">
        <v>0.12402867671362383</v>
      </c>
    </row>
    <row r="616" spans="1:10">
      <c r="A616" s="568">
        <v>44725</v>
      </c>
      <c r="B616">
        <v>0.15597595166083478</v>
      </c>
      <c r="C616">
        <v>0.39617870008387013</v>
      </c>
      <c r="D616">
        <v>0.38919761637194683</v>
      </c>
      <c r="E616">
        <v>4.1268839058702156E-2</v>
      </c>
      <c r="F616">
        <v>0.36271250069185235</v>
      </c>
      <c r="G616">
        <v>0.11611027604395407</v>
      </c>
      <c r="H616">
        <v>7.4331583905719922E-2</v>
      </c>
      <c r="I616">
        <v>0.25303013271588126</v>
      </c>
      <c r="J616">
        <v>0.12456010871662748</v>
      </c>
    </row>
    <row r="617" spans="1:10">
      <c r="A617" s="568">
        <v>44726</v>
      </c>
      <c r="B617">
        <v>0.15661964598628009</v>
      </c>
      <c r="C617">
        <v>0.39693779772013049</v>
      </c>
      <c r="D617">
        <v>0.3896413388279607</v>
      </c>
      <c r="E617">
        <v>3.790314900744729E-2</v>
      </c>
      <c r="F617">
        <v>0.36127593231918653</v>
      </c>
      <c r="G617">
        <v>0.1170491868072614</v>
      </c>
      <c r="H617">
        <v>7.1465006340504234E-2</v>
      </c>
      <c r="I617">
        <v>0.25169173564829128</v>
      </c>
      <c r="J617">
        <v>0.12509179197654285</v>
      </c>
    </row>
    <row r="618" spans="1:10">
      <c r="A618" s="568">
        <v>44727</v>
      </c>
      <c r="B618">
        <v>0.15723170048983559</v>
      </c>
      <c r="C618">
        <v>0.39769730807520798</v>
      </c>
      <c r="D618">
        <v>0.3929488728778594</v>
      </c>
      <c r="E618">
        <v>4.8069359305676018E-2</v>
      </c>
      <c r="F618">
        <v>0.36177301426788921</v>
      </c>
      <c r="G618">
        <v>0.11816942010291864</v>
      </c>
      <c r="H618">
        <v>8.0980405756986507E-2</v>
      </c>
      <c r="I618">
        <v>0.25135180401115131</v>
      </c>
      <c r="J618">
        <v>0.12562372661216203</v>
      </c>
    </row>
    <row r="619" spans="1:10">
      <c r="A619" s="568">
        <v>44729</v>
      </c>
      <c r="B619">
        <v>0.15787462360795224</v>
      </c>
      <c r="C619">
        <v>0.3984572313734962</v>
      </c>
      <c r="D619">
        <v>0.39412447074363799</v>
      </c>
      <c r="E619">
        <v>4.3207372165742886E-2</v>
      </c>
      <c r="F619">
        <v>0.35799450907573949</v>
      </c>
      <c r="G619">
        <v>0.1168157722199985</v>
      </c>
      <c r="H619">
        <v>6.0936462265876568E-2</v>
      </c>
      <c r="I619">
        <v>0.24219185085564865</v>
      </c>
      <c r="J619">
        <v>0.12617570423587887</v>
      </c>
    </row>
    <row r="620" spans="1:10">
      <c r="A620" s="568">
        <v>44732</v>
      </c>
      <c r="B620">
        <v>0.15849906020428617</v>
      </c>
      <c r="C620">
        <v>0.3992175678395109</v>
      </c>
      <c r="D620">
        <v>0.39414450777700583</v>
      </c>
      <c r="E620">
        <v>4.3172802093511153E-2</v>
      </c>
      <c r="F620">
        <v>0.35901600938586609</v>
      </c>
      <c r="G620">
        <v>0.11627404199360258</v>
      </c>
      <c r="H620">
        <v>5.7165655846416419E-2</v>
      </c>
      <c r="I620">
        <v>0.25439727125708411</v>
      </c>
      <c r="J620">
        <v>0.12672795253556823</v>
      </c>
    </row>
    <row r="621" spans="1:10">
      <c r="A621" s="568">
        <v>44733</v>
      </c>
      <c r="B621">
        <v>0.15912308697206545</v>
      </c>
      <c r="C621">
        <v>0.39997831769789016</v>
      </c>
      <c r="D621">
        <v>0.39432620486785463</v>
      </c>
      <c r="E621">
        <v>4.7140533214012015E-2</v>
      </c>
      <c r="F621">
        <v>0.35932911946213841</v>
      </c>
      <c r="G621">
        <v>0.11689603408062488</v>
      </c>
      <c r="H621">
        <v>5.4972299982282813E-2</v>
      </c>
      <c r="I621">
        <v>0.26905705627294507</v>
      </c>
      <c r="J621">
        <v>0.12728047164396306</v>
      </c>
    </row>
    <row r="622" spans="1:10">
      <c r="A622" s="568">
        <v>44734</v>
      </c>
      <c r="B622">
        <v>0.15974882192394313</v>
      </c>
      <c r="C622">
        <v>0.40073948117339397</v>
      </c>
      <c r="D622">
        <v>0.39494795653359049</v>
      </c>
      <c r="E622">
        <v>4.9716981993558118E-2</v>
      </c>
      <c r="F622">
        <v>0.35692518137887119</v>
      </c>
      <c r="G622">
        <v>0.11608018350910232</v>
      </c>
      <c r="H622">
        <v>5.5603339993751666E-2</v>
      </c>
      <c r="I622">
        <v>0.25741877708857341</v>
      </c>
      <c r="J622">
        <v>0.12783326169386111</v>
      </c>
    </row>
    <row r="623" spans="1:10">
      <c r="A623" s="568">
        <v>44735</v>
      </c>
      <c r="B623">
        <v>0.16038691016691398</v>
      </c>
      <c r="C623">
        <v>0.40150105849090467</v>
      </c>
      <c r="D623">
        <v>0.39671898526067961</v>
      </c>
      <c r="E623">
        <v>5.0219226439190967E-2</v>
      </c>
      <c r="F623">
        <v>0.35675553037600083</v>
      </c>
      <c r="G623">
        <v>0.1162500893601921</v>
      </c>
      <c r="H623">
        <v>4.7502916104582127E-2</v>
      </c>
      <c r="I623">
        <v>0.28058177049536992</v>
      </c>
      <c r="J623">
        <v>0.12838632281812523</v>
      </c>
    </row>
    <row r="624" spans="1:10">
      <c r="A624" s="568">
        <v>44736</v>
      </c>
      <c r="B624">
        <v>0.16101825860795693</v>
      </c>
      <c r="C624">
        <v>0.40226304987542649</v>
      </c>
      <c r="D624">
        <v>0.39675488352814559</v>
      </c>
      <c r="E624">
        <v>5.2066442374298472E-2</v>
      </c>
      <c r="F624">
        <v>0.35634841867542599</v>
      </c>
      <c r="G624">
        <v>0.11696873824474374</v>
      </c>
      <c r="H624">
        <v>4.8414002488482044E-2</v>
      </c>
      <c r="I624">
        <v>0.31918572561358083</v>
      </c>
      <c r="J624">
        <v>0.12893965514968353</v>
      </c>
    </row>
    <row r="625" spans="1:10">
      <c r="A625" s="568">
        <v>44739</v>
      </c>
      <c r="B625">
        <v>0.16169658666246156</v>
      </c>
      <c r="C625">
        <v>0.40302545555208646</v>
      </c>
      <c r="D625">
        <v>0.39703545037670507</v>
      </c>
      <c r="E625">
        <v>5.1123918706844185E-2</v>
      </c>
      <c r="F625">
        <v>0.35746690551694038</v>
      </c>
      <c r="G625">
        <v>0.11831407689277862</v>
      </c>
      <c r="H625">
        <v>6.2416417678448077E-2</v>
      </c>
      <c r="I625">
        <v>0.32337333314642125</v>
      </c>
      <c r="J625">
        <v>0.12949325882152918</v>
      </c>
    </row>
    <row r="626" spans="1:10">
      <c r="A626" s="568">
        <v>44740</v>
      </c>
      <c r="B626">
        <v>0.16232221686251669</v>
      </c>
      <c r="C626">
        <v>0.40378827574613374</v>
      </c>
      <c r="D626">
        <v>0.39628149877696228</v>
      </c>
      <c r="E626">
        <v>4.8087622740062841E-2</v>
      </c>
      <c r="F626">
        <v>0.35799008640690788</v>
      </c>
      <c r="G626">
        <v>0.12065711414708757</v>
      </c>
      <c r="H626">
        <v>6.2349014623136911E-2</v>
      </c>
      <c r="I626">
        <v>0.31401474249092631</v>
      </c>
      <c r="J626">
        <v>0.13004713396672085</v>
      </c>
    </row>
    <row r="627" spans="1:10">
      <c r="A627" s="568">
        <v>44741</v>
      </c>
      <c r="B627">
        <v>0.16294487203451657</v>
      </c>
      <c r="C627">
        <v>0.40455151068294026</v>
      </c>
      <c r="D627">
        <v>0.39704906981468424</v>
      </c>
      <c r="E627">
        <v>4.8544860865242789E-2</v>
      </c>
      <c r="F627">
        <v>0.35747715302496297</v>
      </c>
      <c r="G627">
        <v>0.12014619724437492</v>
      </c>
      <c r="H627">
        <v>5.7465946467902818E-2</v>
      </c>
      <c r="I627">
        <v>0.29105558386447195</v>
      </c>
      <c r="J627">
        <v>0.13060128071838206</v>
      </c>
    </row>
    <row r="628" spans="1:10">
      <c r="A628" s="568">
        <v>44742</v>
      </c>
      <c r="B628">
        <v>0.16355563468001888</v>
      </c>
      <c r="C628">
        <v>0.40531516058799988</v>
      </c>
      <c r="D628">
        <v>0.39837536360066683</v>
      </c>
      <c r="E628">
        <v>4.8393535266038956E-2</v>
      </c>
      <c r="F628">
        <v>0.35713532304387918</v>
      </c>
      <c r="G628">
        <v>0.1192587595810819</v>
      </c>
      <c r="H628">
        <v>5.5044051861537158E-2</v>
      </c>
      <c r="I628">
        <v>0.28358812165255798</v>
      </c>
      <c r="J628">
        <v>0.13115569920970183</v>
      </c>
    </row>
    <row r="629" spans="1:10">
      <c r="A629" s="568">
        <v>44743</v>
      </c>
      <c r="B629">
        <v>0.16417805624091697</v>
      </c>
      <c r="C629">
        <v>0.40607922568692967</v>
      </c>
      <c r="D629">
        <v>0.39744050189180147</v>
      </c>
      <c r="E629">
        <v>5.2140148377358475E-2</v>
      </c>
      <c r="F629">
        <v>0.35724749039196335</v>
      </c>
      <c r="G629">
        <v>0.11815998860078092</v>
      </c>
      <c r="H629">
        <v>5.7205203721276243E-2</v>
      </c>
      <c r="I629">
        <v>0.31373157112012318</v>
      </c>
      <c r="J629">
        <v>0.13171038957393444</v>
      </c>
    </row>
    <row r="630" spans="1:10">
      <c r="A630" s="568">
        <v>44746</v>
      </c>
      <c r="B630">
        <v>0.16478779879683692</v>
      </c>
      <c r="C630">
        <v>0.40684370620546906</v>
      </c>
      <c r="D630">
        <v>0.39689926953634336</v>
      </c>
      <c r="E630">
        <v>5.2106882836154389E-2</v>
      </c>
      <c r="F630">
        <v>0.3575408576252439</v>
      </c>
      <c r="G630">
        <v>0.11926383366247117</v>
      </c>
      <c r="H630">
        <v>5.097065184530214E-2</v>
      </c>
      <c r="I630">
        <v>0.3025691635636556</v>
      </c>
      <c r="J630">
        <v>0.1322653519443997</v>
      </c>
    </row>
    <row r="631" spans="1:10">
      <c r="A631" s="568">
        <v>44747</v>
      </c>
      <c r="B631">
        <v>0.16540583217151572</v>
      </c>
      <c r="C631">
        <v>0.40760860236948027</v>
      </c>
      <c r="D631">
        <v>0.39645151949076629</v>
      </c>
      <c r="E631">
        <v>5.2343002952153439E-2</v>
      </c>
      <c r="F631">
        <v>0.35575323382377166</v>
      </c>
      <c r="G631">
        <v>0.11861422579771563</v>
      </c>
      <c r="H631">
        <v>4.4076451493215041E-2</v>
      </c>
      <c r="I631">
        <v>0.31621043364290369</v>
      </c>
      <c r="J631">
        <v>0.13282058645448247</v>
      </c>
    </row>
    <row r="632" spans="1:10">
      <c r="A632" s="568">
        <v>44748</v>
      </c>
      <c r="B632">
        <v>0.16602331829104133</v>
      </c>
      <c r="C632">
        <v>0.40837391440494852</v>
      </c>
      <c r="D632">
        <v>0.39600100411429295</v>
      </c>
      <c r="E632">
        <v>4.9452814460465344E-2</v>
      </c>
      <c r="F632">
        <v>0.35737455972572119</v>
      </c>
      <c r="G632">
        <v>0.11781159506158545</v>
      </c>
      <c r="H632">
        <v>4.3938558856316146E-2</v>
      </c>
      <c r="I632">
        <v>0.31374842968127137</v>
      </c>
      <c r="J632">
        <v>0.13337609323763333</v>
      </c>
    </row>
    <row r="633" spans="1:10">
      <c r="A633" s="568">
        <v>44749</v>
      </c>
      <c r="B633">
        <v>0.16659978147698551</v>
      </c>
      <c r="C633">
        <v>0.40913964253798141</v>
      </c>
      <c r="D633">
        <v>0.39611590664330887</v>
      </c>
      <c r="E633">
        <v>5.235409146588843E-2</v>
      </c>
      <c r="F633">
        <v>0.36224676646154785</v>
      </c>
      <c r="G633">
        <v>0.1200958405999355</v>
      </c>
      <c r="H633">
        <v>5.7536560379792157E-2</v>
      </c>
      <c r="I633">
        <v>0.31853297690088844</v>
      </c>
      <c r="J633">
        <v>0.13393187242736815</v>
      </c>
    </row>
    <row r="634" spans="1:10">
      <c r="A634" s="568">
        <v>44750</v>
      </c>
      <c r="B634">
        <v>0.16725878251719206</v>
      </c>
      <c r="C634">
        <v>0.40990578699480995</v>
      </c>
      <c r="D634">
        <v>0.39505478014433426</v>
      </c>
      <c r="E634">
        <v>5.3001791121100927E-2</v>
      </c>
      <c r="F634">
        <v>0.3620958240387171</v>
      </c>
      <c r="G634">
        <v>0.12024132369759544</v>
      </c>
      <c r="H634">
        <v>5.3673180553765798E-2</v>
      </c>
      <c r="I634">
        <v>0.31095482093791582</v>
      </c>
      <c r="J634">
        <v>0.13448792415726807</v>
      </c>
    </row>
    <row r="635" spans="1:10">
      <c r="A635" s="568">
        <v>44753</v>
      </c>
      <c r="B635">
        <v>0.16789017146841134</v>
      </c>
      <c r="C635">
        <v>0.41067234800178798</v>
      </c>
      <c r="D635">
        <v>0.39379349805506014</v>
      </c>
      <c r="E635">
        <v>5.330183325745308E-2</v>
      </c>
      <c r="F635">
        <v>0.3610149907850293</v>
      </c>
      <c r="G635">
        <v>0.12020999241540697</v>
      </c>
      <c r="H635">
        <v>3.5625697706537673E-2</v>
      </c>
      <c r="I635">
        <v>0.30184350205661659</v>
      </c>
      <c r="J635">
        <v>0.13504424856098018</v>
      </c>
    </row>
    <row r="636" spans="1:10">
      <c r="A636" s="568">
        <v>44754</v>
      </c>
      <c r="B636">
        <v>0.16851945889662434</v>
      </c>
      <c r="C636">
        <v>0.41143932578539255</v>
      </c>
      <c r="D636">
        <v>0.39457934490069912</v>
      </c>
      <c r="E636">
        <v>5.2416708955214109E-2</v>
      </c>
      <c r="F636">
        <v>0.36055562708305944</v>
      </c>
      <c r="G636">
        <v>0.11852983598531064</v>
      </c>
      <c r="H636">
        <v>3.3989050682688982E-2</v>
      </c>
      <c r="I636">
        <v>0.29413293172929178</v>
      </c>
      <c r="J636">
        <v>0.13560084577221687</v>
      </c>
    </row>
    <row r="637" spans="1:10">
      <c r="A637" s="568">
        <v>44755</v>
      </c>
      <c r="B637">
        <v>0.16914971098154097</v>
      </c>
      <c r="C637">
        <v>0.41220672057222352</v>
      </c>
      <c r="D637">
        <v>0.3949117115879055</v>
      </c>
      <c r="E637">
        <v>5.3548389621672854E-2</v>
      </c>
      <c r="F637">
        <v>0.3623069357751596</v>
      </c>
      <c r="G637">
        <v>0.11912490731036618</v>
      </c>
      <c r="H637">
        <v>3.396978764210945E-2</v>
      </c>
      <c r="I637">
        <v>0.28443497657709704</v>
      </c>
      <c r="J637">
        <v>0.13615771592475601</v>
      </c>
    </row>
    <row r="638" spans="1:10">
      <c r="A638" s="568">
        <v>44756</v>
      </c>
      <c r="B638">
        <v>0.1697752046088381</v>
      </c>
      <c r="C638">
        <v>0.41297453258900418</v>
      </c>
      <c r="D638">
        <v>0.39439841355247851</v>
      </c>
      <c r="E638">
        <v>4.8020439392140624E-2</v>
      </c>
      <c r="F638">
        <v>0.36401458867075731</v>
      </c>
      <c r="G638">
        <v>0.12062364533442538</v>
      </c>
      <c r="H638">
        <v>2.4926830801039079E-2</v>
      </c>
      <c r="I638">
        <v>0.29029246408219134</v>
      </c>
      <c r="J638">
        <v>0.13671485915244119</v>
      </c>
    </row>
    <row r="639" spans="1:10">
      <c r="A639" s="568">
        <v>44757</v>
      </c>
      <c r="B639">
        <v>0.17039978120227195</v>
      </c>
      <c r="C639">
        <v>0.41374276206258087</v>
      </c>
      <c r="D639">
        <v>0.3957226152746951</v>
      </c>
      <c r="E639">
        <v>5.4506567661458449E-2</v>
      </c>
      <c r="F639">
        <v>0.36164843362977672</v>
      </c>
      <c r="G639">
        <v>0.12060646424932009</v>
      </c>
      <c r="H639">
        <v>3.1482056362567956E-2</v>
      </c>
      <c r="I639">
        <v>0.28532127666016249</v>
      </c>
      <c r="J639">
        <v>0.13727227558918154</v>
      </c>
    </row>
    <row r="640" spans="1:10">
      <c r="A640" s="568">
        <v>44760</v>
      </c>
      <c r="B640">
        <v>0.17104184066676265</v>
      </c>
      <c r="C640">
        <v>0.41451140921992358</v>
      </c>
      <c r="D640">
        <v>0.39347402671655551</v>
      </c>
      <c r="E640">
        <v>5.766614181034968E-2</v>
      </c>
      <c r="F640">
        <v>0.36039506470930305</v>
      </c>
      <c r="G640">
        <v>0.12170729163933958</v>
      </c>
      <c r="H640">
        <v>2.9300055130200287E-2</v>
      </c>
      <c r="I640">
        <v>0.29961449717244815</v>
      </c>
      <c r="J640">
        <v>0.13782996536895187</v>
      </c>
    </row>
    <row r="641" spans="1:10">
      <c r="A641" s="568">
        <v>44761</v>
      </c>
      <c r="B641">
        <v>0.17166004922865041</v>
      </c>
      <c r="C641">
        <v>0.41528047428812553</v>
      </c>
      <c r="D641">
        <v>0.39236992371420643</v>
      </c>
      <c r="E641">
        <v>6.1230772843316572E-2</v>
      </c>
      <c r="F641">
        <v>0.3600512642365592</v>
      </c>
      <c r="G641">
        <v>0.12230151431159531</v>
      </c>
      <c r="H641">
        <v>3.7626480613434987E-2</v>
      </c>
      <c r="I641">
        <v>0.30953471393730858</v>
      </c>
      <c r="J641">
        <v>0.13838792862579297</v>
      </c>
    </row>
    <row r="642" spans="1:10">
      <c r="A642" s="568">
        <v>44762</v>
      </c>
      <c r="B642">
        <v>0.17225222613155111</v>
      </c>
      <c r="C642">
        <v>0.41604995749440365</v>
      </c>
      <c r="D642">
        <v>0.39404886342898138</v>
      </c>
      <c r="E642">
        <v>6.395919948758011E-2</v>
      </c>
      <c r="F642">
        <v>0.36292427743314049</v>
      </c>
      <c r="G642">
        <v>0.12342580982039442</v>
      </c>
      <c r="H642">
        <v>4.1407706754395646E-2</v>
      </c>
      <c r="I642">
        <v>0.329298189659329</v>
      </c>
      <c r="J642">
        <v>0.13894616549381089</v>
      </c>
    </row>
    <row r="643" spans="1:10">
      <c r="A643" s="568">
        <v>44763</v>
      </c>
      <c r="B643">
        <v>0.17286369759610554</v>
      </c>
      <c r="C643">
        <v>0.41681985906609786</v>
      </c>
      <c r="D643">
        <v>0.39379739767151989</v>
      </c>
      <c r="E643">
        <v>6.841743427446545E-2</v>
      </c>
      <c r="F643">
        <v>0.36101645281892436</v>
      </c>
      <c r="G643">
        <v>0.123230926231233</v>
      </c>
      <c r="H643">
        <v>4.6847344369387756E-2</v>
      </c>
      <c r="I643">
        <v>0.33833023086786174</v>
      </c>
      <c r="J643">
        <v>0.13950467610717787</v>
      </c>
    </row>
    <row r="644" spans="1:10">
      <c r="A644" s="568">
        <v>44764</v>
      </c>
      <c r="B644">
        <v>0.17350800532478217</v>
      </c>
      <c r="C644">
        <v>0.41759017923067221</v>
      </c>
      <c r="D644">
        <v>0.3946958962804703</v>
      </c>
      <c r="E644">
        <v>7.3315296017658182E-2</v>
      </c>
      <c r="F644">
        <v>0.35991790127350121</v>
      </c>
      <c r="G644">
        <v>0.12239789331662698</v>
      </c>
      <c r="H644">
        <v>4.2970422445029355E-2</v>
      </c>
      <c r="I644">
        <v>0.33192316004837097</v>
      </c>
      <c r="J644">
        <v>0.14006346060013164</v>
      </c>
    </row>
    <row r="645" spans="1:10">
      <c r="A645" s="568">
        <v>44767</v>
      </c>
      <c r="B645">
        <v>0.1741207512861882</v>
      </c>
      <c r="C645">
        <v>0.41836091821571419</v>
      </c>
      <c r="D645">
        <v>0.39450534121969394</v>
      </c>
      <c r="E645">
        <v>7.3903639511113894E-2</v>
      </c>
      <c r="F645">
        <v>0.36021672799983273</v>
      </c>
      <c r="G645">
        <v>0.12156788092773185</v>
      </c>
      <c r="H645">
        <v>5.0536079269594358E-2</v>
      </c>
      <c r="I645">
        <v>0.30935380447618743</v>
      </c>
      <c r="J645">
        <v>0.1406225191069761</v>
      </c>
    </row>
    <row r="646" spans="1:10">
      <c r="A646" s="568">
        <v>44768</v>
      </c>
      <c r="B646">
        <v>0.17474302469107394</v>
      </c>
      <c r="C646">
        <v>0.41913207624893523</v>
      </c>
      <c r="D646">
        <v>0.3945020827164043</v>
      </c>
      <c r="E646">
        <v>7.0853645968542489E-2</v>
      </c>
      <c r="F646">
        <v>0.36186879274316897</v>
      </c>
      <c r="G646">
        <v>0.12183331736129643</v>
      </c>
      <c r="H646">
        <v>4.430356358851073E-2</v>
      </c>
      <c r="I646">
        <v>0.30421747869041149</v>
      </c>
      <c r="J646">
        <v>0.14118185176208042</v>
      </c>
    </row>
    <row r="647" spans="1:10">
      <c r="A647" s="568">
        <v>44769</v>
      </c>
      <c r="B647">
        <v>0.17535795366674023</v>
      </c>
      <c r="C647">
        <v>0.41990365355817016</v>
      </c>
      <c r="D647">
        <v>0.39583938067058799</v>
      </c>
      <c r="E647">
        <v>7.6930803760701938E-2</v>
      </c>
      <c r="F647">
        <v>0.36183696799796117</v>
      </c>
      <c r="G647">
        <v>0.12369315737944242</v>
      </c>
      <c r="H647">
        <v>6.5560382992958965E-2</v>
      </c>
      <c r="I647">
        <v>0.29762774250021384</v>
      </c>
      <c r="J647">
        <v>0.14174145869988042</v>
      </c>
    </row>
    <row r="648" spans="1:10">
      <c r="A648" s="568">
        <v>44770</v>
      </c>
      <c r="B648">
        <v>0.17598820426975093</v>
      </c>
      <c r="C648">
        <v>0.420675650371378</v>
      </c>
      <c r="D648">
        <v>0.39727346326638968</v>
      </c>
      <c r="E648">
        <v>8.6021428226659369E-2</v>
      </c>
      <c r="F648">
        <v>0.36152673317235551</v>
      </c>
      <c r="G648">
        <v>0.12310059962046727</v>
      </c>
      <c r="H648">
        <v>7.8207941274993642E-2</v>
      </c>
      <c r="I648">
        <v>0.29339127685630495</v>
      </c>
      <c r="J648">
        <v>0.14230134005487716</v>
      </c>
    </row>
    <row r="649" spans="1:10">
      <c r="A649" s="568">
        <v>44771</v>
      </c>
      <c r="B649">
        <v>0.17663115129419849</v>
      </c>
      <c r="C649">
        <v>0.42144806691664183</v>
      </c>
      <c r="D649">
        <v>0.39881959605437878</v>
      </c>
      <c r="E649">
        <v>9.0398129824318385E-2</v>
      </c>
      <c r="F649">
        <v>0.36121946902673185</v>
      </c>
      <c r="G649">
        <v>0.12389811326430022</v>
      </c>
      <c r="H649">
        <v>8.6604231104451479E-2</v>
      </c>
      <c r="I649">
        <v>0.29437081226300754</v>
      </c>
      <c r="J649">
        <v>0.14286149596163811</v>
      </c>
    </row>
    <row r="650" spans="1:10">
      <c r="A650" s="568">
        <v>44774</v>
      </c>
      <c r="B650">
        <v>0.17726112673827354</v>
      </c>
      <c r="C650">
        <v>0.42222090342216845</v>
      </c>
      <c r="D650">
        <v>0.39899872933879932</v>
      </c>
      <c r="E650">
        <v>9.2907395255942271E-2</v>
      </c>
      <c r="F650">
        <v>0.36089837669335867</v>
      </c>
      <c r="G650">
        <v>0.12351148965742142</v>
      </c>
      <c r="H650">
        <v>8.066822304136001E-2</v>
      </c>
      <c r="I650">
        <v>0.29028123159738817</v>
      </c>
      <c r="J650">
        <v>0.14342192655479646</v>
      </c>
    </row>
    <row r="651" spans="1:10">
      <c r="A651" s="568">
        <v>44775</v>
      </c>
      <c r="B651">
        <v>0.17786879305863135</v>
      </c>
      <c r="C651">
        <v>0.42299416011628876</v>
      </c>
      <c r="D651">
        <v>0.39846072270911614</v>
      </c>
      <c r="E651">
        <v>8.5696600000782608E-2</v>
      </c>
      <c r="F651">
        <v>0.36360368124360565</v>
      </c>
      <c r="G651">
        <v>0.12463164583161435</v>
      </c>
      <c r="H651">
        <v>8.8916931721429338E-2</v>
      </c>
      <c r="I651">
        <v>0.29245853529172505</v>
      </c>
      <c r="J651">
        <v>0.14398263196905159</v>
      </c>
    </row>
    <row r="652" spans="1:10">
      <c r="A652" s="568">
        <v>44776</v>
      </c>
      <c r="B652">
        <v>0.17850269290508347</v>
      </c>
      <c r="C652">
        <v>0.42376783722745781</v>
      </c>
      <c r="D652">
        <v>0.39948735916710931</v>
      </c>
      <c r="E652">
        <v>8.9447778970698888E-2</v>
      </c>
      <c r="F652">
        <v>0.36801996330289399</v>
      </c>
      <c r="G652">
        <v>0.12641345831025386</v>
      </c>
      <c r="H652">
        <v>0.10183010900176104</v>
      </c>
      <c r="I652">
        <v>0.30381645145488201</v>
      </c>
      <c r="J652">
        <v>0.14454361233916879</v>
      </c>
    </row>
    <row r="653" spans="1:10">
      <c r="A653" s="568">
        <v>44777</v>
      </c>
      <c r="B653">
        <v>0.17918467978755181</v>
      </c>
      <c r="C653">
        <v>0.42454193498425497</v>
      </c>
      <c r="D653">
        <v>0.40446848645798972</v>
      </c>
      <c r="E653">
        <v>9.378077877893265E-2</v>
      </c>
      <c r="F653">
        <v>0.36799536260205667</v>
      </c>
      <c r="G653">
        <v>0.12593623056040504</v>
      </c>
      <c r="H653">
        <v>0.12526318552205029</v>
      </c>
      <c r="I653">
        <v>0.3051223563816623</v>
      </c>
      <c r="J653">
        <v>0.1451249035762181</v>
      </c>
    </row>
    <row r="654" spans="1:10">
      <c r="A654" s="568">
        <v>44778</v>
      </c>
      <c r="B654">
        <v>0.17983935932892803</v>
      </c>
      <c r="C654">
        <v>0.42531645361538395</v>
      </c>
      <c r="D654">
        <v>0.4049959753237462</v>
      </c>
      <c r="E654">
        <v>9.0763398512051729E-2</v>
      </c>
      <c r="F654">
        <v>0.3714497437508133</v>
      </c>
      <c r="G654">
        <v>0.12763994991356298</v>
      </c>
      <c r="H654">
        <v>0.12972598054515894</v>
      </c>
      <c r="I654">
        <v>0.3017637449651096</v>
      </c>
      <c r="J654">
        <v>0.14570649003967784</v>
      </c>
    </row>
    <row r="655" spans="1:10">
      <c r="A655" s="568">
        <v>44781</v>
      </c>
      <c r="B655">
        <v>0.18050887430262708</v>
      </c>
      <c r="C655">
        <v>0.42609139334967261</v>
      </c>
      <c r="D655">
        <v>0.40648177583369205</v>
      </c>
      <c r="E655">
        <v>9.5268596415931217E-2</v>
      </c>
      <c r="F655">
        <v>0.3722893570064032</v>
      </c>
      <c r="G655">
        <v>0.12929565606354543</v>
      </c>
      <c r="H655">
        <v>0.14417770884368641</v>
      </c>
      <c r="I655">
        <v>0.28651399540461209</v>
      </c>
      <c r="J655">
        <v>0.14628837187948784</v>
      </c>
    </row>
    <row r="656" spans="1:10">
      <c r="A656" s="568">
        <v>44782</v>
      </c>
      <c r="B656">
        <v>0.18114848712912113</v>
      </c>
      <c r="C656">
        <v>0.42686675441607336</v>
      </c>
      <c r="D656">
        <v>0.40548549851975157</v>
      </c>
      <c r="E656">
        <v>9.2896306742207502E-2</v>
      </c>
      <c r="F656">
        <v>0.37272724077043073</v>
      </c>
      <c r="G656">
        <v>0.12811905396903178</v>
      </c>
      <c r="H656">
        <v>0.14059034790629754</v>
      </c>
      <c r="I656">
        <v>0.28740209394508298</v>
      </c>
      <c r="J656">
        <v>0.14687054924566367</v>
      </c>
    </row>
    <row r="657" spans="1:10">
      <c r="A657" s="568">
        <v>44783</v>
      </c>
      <c r="B657">
        <v>0.18180919477541302</v>
      </c>
      <c r="C657">
        <v>0.42764253704366295</v>
      </c>
      <c r="D657">
        <v>0.40571888326266903</v>
      </c>
      <c r="E657">
        <v>0.10027277743787466</v>
      </c>
      <c r="F657">
        <v>0.36961035568259382</v>
      </c>
      <c r="G657">
        <v>0.12835891096460639</v>
      </c>
      <c r="H657">
        <v>0.15489896182228891</v>
      </c>
      <c r="I657">
        <v>0.28145083929426939</v>
      </c>
      <c r="J657">
        <v>0.14745302228829771</v>
      </c>
    </row>
    <row r="658" spans="1:10">
      <c r="A658" s="568">
        <v>44784</v>
      </c>
      <c r="B658">
        <v>0.18254857057551077</v>
      </c>
      <c r="C658">
        <v>0.42841874146164294</v>
      </c>
      <c r="D658">
        <v>0.4048366826272225</v>
      </c>
      <c r="E658">
        <v>0.10155839276559275</v>
      </c>
      <c r="F658">
        <v>0.36768060530859259</v>
      </c>
      <c r="G658">
        <v>0.12728733637940359</v>
      </c>
      <c r="H658">
        <v>0.14276751079219219</v>
      </c>
      <c r="I658">
        <v>0.31248116578150742</v>
      </c>
      <c r="J658">
        <v>0.14803579115755805</v>
      </c>
    </row>
    <row r="659" spans="1:10">
      <c r="A659" s="568">
        <v>44785</v>
      </c>
      <c r="B659">
        <v>0.18321377160466712</v>
      </c>
      <c r="C659">
        <v>0.42919536789933921</v>
      </c>
      <c r="D659">
        <v>0.40630759877257994</v>
      </c>
      <c r="E659">
        <v>0.10505453591960956</v>
      </c>
      <c r="F659">
        <v>0.36850079630125943</v>
      </c>
      <c r="G659">
        <v>0.13183110644106777</v>
      </c>
      <c r="H659">
        <v>0.16703412120079464</v>
      </c>
      <c r="I659">
        <v>0.3093832830558938</v>
      </c>
      <c r="J659">
        <v>0.14861885600368918</v>
      </c>
    </row>
    <row r="660" spans="1:10">
      <c r="A660" s="568">
        <v>44788</v>
      </c>
      <c r="B660">
        <v>0.18388447363103766</v>
      </c>
      <c r="C660">
        <v>0.42997241658620244</v>
      </c>
      <c r="D660">
        <v>0.40771248711156072</v>
      </c>
      <c r="E660">
        <v>0.10628470867865336</v>
      </c>
      <c r="F660">
        <v>0.37126096806995101</v>
      </c>
      <c r="G660">
        <v>0.13271693741263579</v>
      </c>
      <c r="H660">
        <v>0.17098088495464281</v>
      </c>
      <c r="I660">
        <v>0.31497627947035345</v>
      </c>
      <c r="J660">
        <v>0.14920221697701197</v>
      </c>
    </row>
    <row r="661" spans="1:10">
      <c r="A661" s="568">
        <v>44789</v>
      </c>
      <c r="B661">
        <v>0.18450264348977008</v>
      </c>
      <c r="C661">
        <v>0.43074988775180834</v>
      </c>
      <c r="D661">
        <v>0.40614241996457978</v>
      </c>
      <c r="E661">
        <v>0.10529522189420493</v>
      </c>
      <c r="F661">
        <v>0.3719522935207511</v>
      </c>
      <c r="G661">
        <v>0.13210171755953248</v>
      </c>
      <c r="H661">
        <v>0.16365819203231458</v>
      </c>
      <c r="I661">
        <v>0.32189963696146995</v>
      </c>
      <c r="J661">
        <v>0.14978587422792367</v>
      </c>
    </row>
    <row r="662" spans="1:10">
      <c r="A662" s="568">
        <v>44790</v>
      </c>
      <c r="B662">
        <v>0.18515031541460347</v>
      </c>
      <c r="C662">
        <v>0.43152778162585692</v>
      </c>
      <c r="D662">
        <v>0.40552845137469817</v>
      </c>
      <c r="E662">
        <v>9.9221325429614371E-2</v>
      </c>
      <c r="F662">
        <v>0.37456020703652215</v>
      </c>
      <c r="G662">
        <v>0.13420242864178489</v>
      </c>
      <c r="H662">
        <v>0.16694230410202282</v>
      </c>
      <c r="I662">
        <v>0.32197454277401727</v>
      </c>
      <c r="J662">
        <v>0.15036982790689768</v>
      </c>
    </row>
    <row r="663" spans="1:10">
      <c r="A663" s="568">
        <v>44791</v>
      </c>
      <c r="B663">
        <v>0.18584259636468992</v>
      </c>
      <c r="C663">
        <v>0.43230609843817325</v>
      </c>
      <c r="D663">
        <v>0.40565758553873632</v>
      </c>
      <c r="E663">
        <v>0.10163014197211151</v>
      </c>
      <c r="F663">
        <v>0.37919243534130453</v>
      </c>
      <c r="G663">
        <v>0.13637685336383054</v>
      </c>
      <c r="H663">
        <v>0.16800634723256969</v>
      </c>
      <c r="I663">
        <v>0.32377284112242899</v>
      </c>
      <c r="J663">
        <v>0.15095407816448425</v>
      </c>
    </row>
    <row r="664" spans="1:10">
      <c r="A664" s="568">
        <v>44792</v>
      </c>
      <c r="B664">
        <v>0.18649027603359558</v>
      </c>
      <c r="C664">
        <v>0.4330848384187076</v>
      </c>
      <c r="D664">
        <v>0.40518286509232504</v>
      </c>
      <c r="E664">
        <v>9.6018049491298108E-2</v>
      </c>
      <c r="F664">
        <v>0.38171086016514799</v>
      </c>
      <c r="G664">
        <v>0.13584477725149635</v>
      </c>
      <c r="H664">
        <v>0.1508493336078689</v>
      </c>
      <c r="I664">
        <v>0.31357227540957178</v>
      </c>
      <c r="J664">
        <v>0.15153862515130978</v>
      </c>
    </row>
    <row r="665" spans="1:10">
      <c r="A665" s="568">
        <v>44795</v>
      </c>
      <c r="B665">
        <v>0.1871577435851437</v>
      </c>
      <c r="C665">
        <v>0.43386400179753504</v>
      </c>
      <c r="D665">
        <v>0.40500374379454018</v>
      </c>
      <c r="E665">
        <v>9.1542203535539768E-2</v>
      </c>
      <c r="F665">
        <v>0.38629791325794982</v>
      </c>
      <c r="G665">
        <v>0.13660988728848555</v>
      </c>
      <c r="H665">
        <v>0.14688965559973188</v>
      </c>
      <c r="I665">
        <v>0.2949943828108883</v>
      </c>
      <c r="J665">
        <v>0.15212346901807705</v>
      </c>
    </row>
    <row r="666" spans="1:10">
      <c r="A666" s="568">
        <v>44796</v>
      </c>
      <c r="B666">
        <v>0.18780805058452588</v>
      </c>
      <c r="C666">
        <v>0.43464358880485587</v>
      </c>
      <c r="D666">
        <v>0.40632468121323928</v>
      </c>
      <c r="E666">
        <v>9.3910579616180767E-2</v>
      </c>
      <c r="F666">
        <v>0.38655656417411444</v>
      </c>
      <c r="G666">
        <v>0.13791477233280847</v>
      </c>
      <c r="H666">
        <v>0.16791708412770379</v>
      </c>
      <c r="I666">
        <v>0.27989510450549493</v>
      </c>
      <c r="J666">
        <v>0.15270860991556567</v>
      </c>
    </row>
    <row r="667" spans="1:10">
      <c r="A667" s="568">
        <v>44797</v>
      </c>
      <c r="B667">
        <v>0.18846571462202477</v>
      </c>
      <c r="C667">
        <v>0.43542359967099542</v>
      </c>
      <c r="D667">
        <v>0.40619610613943236</v>
      </c>
      <c r="E667">
        <v>9.5789104295950889E-2</v>
      </c>
      <c r="F667">
        <v>0.38875119404669412</v>
      </c>
      <c r="G667">
        <v>0.14060969198701856</v>
      </c>
      <c r="H667">
        <v>0.17840307562660596</v>
      </c>
      <c r="I667">
        <v>0.27712221602556997</v>
      </c>
      <c r="J667">
        <v>0.15329404799463187</v>
      </c>
    </row>
    <row r="668" spans="1:10">
      <c r="A668" s="568">
        <v>44798</v>
      </c>
      <c r="B668">
        <v>0.18911311880893344</v>
      </c>
      <c r="C668">
        <v>0.43620403462640422</v>
      </c>
      <c r="D668">
        <v>0.40492471630064242</v>
      </c>
      <c r="E668">
        <v>9.9804450798959721E-2</v>
      </c>
      <c r="F668">
        <v>0.3871925835745329</v>
      </c>
      <c r="G668">
        <v>0.14051222044363043</v>
      </c>
      <c r="H668">
        <v>0.17885520297766688</v>
      </c>
      <c r="I668">
        <v>0.304212044006692</v>
      </c>
      <c r="J668">
        <v>0.153879783406208</v>
      </c>
    </row>
    <row r="669" spans="1:10">
      <c r="A669" s="568">
        <v>44799</v>
      </c>
      <c r="B669">
        <v>0.18977761129207926</v>
      </c>
      <c r="C669">
        <v>0.43698489390165829</v>
      </c>
      <c r="D669">
        <v>0.40579469959077019</v>
      </c>
      <c r="E669">
        <v>9.6976227531083481E-2</v>
      </c>
      <c r="F669">
        <v>0.38925791038349611</v>
      </c>
      <c r="G669">
        <v>0.14165647896033162</v>
      </c>
      <c r="H669">
        <v>0.17471118248012929</v>
      </c>
      <c r="I669">
        <v>0.27755245593459099</v>
      </c>
      <c r="J669">
        <v>0.15446581630130374</v>
      </c>
    </row>
    <row r="670" spans="1:10">
      <c r="A670" s="568">
        <v>44802</v>
      </c>
      <c r="B670">
        <v>0.19043520978143857</v>
      </c>
      <c r="C670">
        <v>0.43776617772745885</v>
      </c>
      <c r="D670">
        <v>0.40422020348131871</v>
      </c>
      <c r="E670">
        <v>9.3090681865322544E-2</v>
      </c>
      <c r="F670">
        <v>0.39091892727405009</v>
      </c>
      <c r="G670">
        <v>0.14300481701860179</v>
      </c>
      <c r="H670">
        <v>0.18332425668027774</v>
      </c>
      <c r="I670">
        <v>0.2591125685311737</v>
      </c>
      <c r="J670">
        <v>0.15505214683100488</v>
      </c>
    </row>
    <row r="671" spans="1:10">
      <c r="A671" s="568">
        <v>44803</v>
      </c>
      <c r="B671">
        <v>0.19111286344241418</v>
      </c>
      <c r="C671">
        <v>0.4385478863346326</v>
      </c>
      <c r="D671">
        <v>0.40425357248312355</v>
      </c>
      <c r="E671">
        <v>9.1611995945517277E-2</v>
      </c>
      <c r="F671">
        <v>0.38932543771651096</v>
      </c>
      <c r="G671">
        <v>0.14236020443701358</v>
      </c>
      <c r="H671">
        <v>0.17065351483794156</v>
      </c>
      <c r="I671">
        <v>0.26364436523172197</v>
      </c>
      <c r="J671">
        <v>0.15563877514647428</v>
      </c>
    </row>
    <row r="672" spans="1:10">
      <c r="A672" s="568">
        <v>44804</v>
      </c>
      <c r="B672">
        <v>0.19175775955081109</v>
      </c>
      <c r="C672">
        <v>0.43933001995413168</v>
      </c>
      <c r="D672">
        <v>0.40472675405300618</v>
      </c>
      <c r="E672">
        <v>8.8438071955322162E-2</v>
      </c>
      <c r="F672">
        <v>0.3905597112871928</v>
      </c>
      <c r="G672">
        <v>0.14241050249535037</v>
      </c>
      <c r="H672">
        <v>0.17105915817944628</v>
      </c>
      <c r="I672">
        <v>0.27648585876261311</v>
      </c>
      <c r="J672">
        <v>0.15622570139895164</v>
      </c>
    </row>
    <row r="673" spans="1:10">
      <c r="A673" s="568">
        <v>44805</v>
      </c>
      <c r="B673">
        <v>0.19243037278731601</v>
      </c>
      <c r="C673">
        <v>0.44011257881703392</v>
      </c>
      <c r="D673">
        <v>0.40675005192352498</v>
      </c>
      <c r="E673">
        <v>8.5726604214417579E-2</v>
      </c>
      <c r="F673">
        <v>0.39332602201106726</v>
      </c>
      <c r="G673">
        <v>0.14436479734048757</v>
      </c>
      <c r="H673">
        <v>0.1840479108982418</v>
      </c>
      <c r="I673">
        <v>0.27429166445978215</v>
      </c>
      <c r="J673">
        <v>0.15681292573975303</v>
      </c>
    </row>
    <row r="674" spans="1:10">
      <c r="A674" s="568">
        <v>44806</v>
      </c>
      <c r="B674">
        <v>0.19307268687156087</v>
      </c>
      <c r="C674">
        <v>0.44089556315454259</v>
      </c>
      <c r="D674">
        <v>0.40697980342661277</v>
      </c>
      <c r="E674">
        <v>9.0370082407224661E-2</v>
      </c>
      <c r="F674">
        <v>0.39275300610556596</v>
      </c>
      <c r="G674">
        <v>0.14557317842065642</v>
      </c>
      <c r="H674">
        <v>0.19260287407404664</v>
      </c>
      <c r="I674">
        <v>0.25390679252459702</v>
      </c>
      <c r="J674">
        <v>0.157400448320272</v>
      </c>
    </row>
    <row r="675" spans="1:10">
      <c r="A675" s="568">
        <v>44809</v>
      </c>
      <c r="B675">
        <v>0.19373773537782446</v>
      </c>
      <c r="C675">
        <v>0.44167897319798688</v>
      </c>
      <c r="D675">
        <v>0.40672468306178455</v>
      </c>
      <c r="E675">
        <v>9.0334860069479106E-2</v>
      </c>
      <c r="F675">
        <v>0.39547003134758651</v>
      </c>
      <c r="G675">
        <v>0.14747526684997769</v>
      </c>
      <c r="H675">
        <v>0.20293678098685142</v>
      </c>
      <c r="I675">
        <v>0.24554463343304311</v>
      </c>
      <c r="J675">
        <v>0.15798826929197829</v>
      </c>
    </row>
    <row r="676" spans="1:10">
      <c r="A676" s="568">
        <v>44810</v>
      </c>
      <c r="B676">
        <v>0.1944230306675323</v>
      </c>
      <c r="C676">
        <v>0.44246280917882164</v>
      </c>
      <c r="D676">
        <v>0.40581843806766393</v>
      </c>
      <c r="E676">
        <v>8.5305892958010832E-2</v>
      </c>
      <c r="F676">
        <v>0.39505543202383686</v>
      </c>
      <c r="G676">
        <v>0.14603927628783309</v>
      </c>
      <c r="H676">
        <v>0.1814802002973106</v>
      </c>
      <c r="I676">
        <v>0.25336738913698009</v>
      </c>
      <c r="J676">
        <v>0.15857638880641911</v>
      </c>
    </row>
    <row r="677" spans="1:10">
      <c r="A677" s="568">
        <v>44812</v>
      </c>
      <c r="B677">
        <v>0.19509065601933973</v>
      </c>
      <c r="C677">
        <v>0.44324707132862762</v>
      </c>
      <c r="D677">
        <v>0.4065640619903923</v>
      </c>
      <c r="E677">
        <v>9.2568869454275227E-2</v>
      </c>
      <c r="F677">
        <v>0.39267932314798037</v>
      </c>
      <c r="G677">
        <v>0.14561601952269476</v>
      </c>
      <c r="H677">
        <v>0.1799183476440771</v>
      </c>
      <c r="I677">
        <v>0.26012637246391468</v>
      </c>
      <c r="J677">
        <v>0.15916480701521851</v>
      </c>
    </row>
    <row r="678" spans="1:10">
      <c r="A678" s="568">
        <v>44813</v>
      </c>
      <c r="B678">
        <v>0.19577035685270761</v>
      </c>
      <c r="C678">
        <v>0.44403175987911148</v>
      </c>
      <c r="D678">
        <v>0.4071556593557466</v>
      </c>
      <c r="E678">
        <v>9.5877160140314999E-2</v>
      </c>
      <c r="F678">
        <v>0.39669482727197525</v>
      </c>
      <c r="G678">
        <v>0.14622587168211854</v>
      </c>
      <c r="H678">
        <v>0.19728417734369486</v>
      </c>
      <c r="I678">
        <v>0.27066428873186088</v>
      </c>
      <c r="J678">
        <v>0.15975352407007737</v>
      </c>
    </row>
    <row r="679" spans="1:10">
      <c r="A679" s="568">
        <v>44816</v>
      </c>
      <c r="B679">
        <v>0.19643455778498176</v>
      </c>
      <c r="C679">
        <v>0.44481687506210577</v>
      </c>
      <c r="D679">
        <v>0.40668859331472551</v>
      </c>
      <c r="E679">
        <v>9.8416429785573634E-2</v>
      </c>
      <c r="F679">
        <v>0.39638006590335695</v>
      </c>
      <c r="G679">
        <v>0.14690572903118482</v>
      </c>
      <c r="H679">
        <v>0.20216104478090147</v>
      </c>
      <c r="I679">
        <v>0.27140015285170405</v>
      </c>
      <c r="J679">
        <v>0.16034254012277382</v>
      </c>
    </row>
    <row r="680" spans="1:10">
      <c r="A680" s="568">
        <v>44817</v>
      </c>
      <c r="B680">
        <v>0.19708369937173131</v>
      </c>
      <c r="C680">
        <v>0.44560241710956916</v>
      </c>
      <c r="D680">
        <v>0.40633084582998147</v>
      </c>
      <c r="E680">
        <v>9.1109751499883984E-2</v>
      </c>
      <c r="F680">
        <v>0.40091673433187891</v>
      </c>
      <c r="G680">
        <v>0.14783076666758621</v>
      </c>
      <c r="H680">
        <v>0.18614863537256343</v>
      </c>
      <c r="I680">
        <v>0.25828223560777697</v>
      </c>
      <c r="J680">
        <v>0.16093185532516308</v>
      </c>
    </row>
    <row r="681" spans="1:10">
      <c r="A681" s="568">
        <v>44818</v>
      </c>
      <c r="B681">
        <v>0.19774159504620736</v>
      </c>
      <c r="C681">
        <v>0.44638838625358646</v>
      </c>
      <c r="D681">
        <v>0.40668343135040108</v>
      </c>
      <c r="E681">
        <v>8.9816308986000459E-2</v>
      </c>
      <c r="F681">
        <v>0.40333378486869242</v>
      </c>
      <c r="G681">
        <v>0.14878479993282179</v>
      </c>
      <c r="H681">
        <v>0.18919390861884877</v>
      </c>
      <c r="I681">
        <v>0.2457415929165474</v>
      </c>
      <c r="J681">
        <v>0.16152146982917714</v>
      </c>
    </row>
    <row r="682" spans="1:10">
      <c r="A682" s="568">
        <v>44819</v>
      </c>
      <c r="B682">
        <v>0.19843299245326662</v>
      </c>
      <c r="C682">
        <v>0.44717478272636857</v>
      </c>
      <c r="D682">
        <v>0.40600591257185403</v>
      </c>
      <c r="E682">
        <v>8.5292847647734371E-2</v>
      </c>
      <c r="F682">
        <v>0.40697367995677136</v>
      </c>
      <c r="G682">
        <v>0.14885421242041819</v>
      </c>
      <c r="H682">
        <v>0.17903895598938724</v>
      </c>
      <c r="I682">
        <v>0.24942879863071465</v>
      </c>
      <c r="J682">
        <v>0.16211138378682577</v>
      </c>
    </row>
    <row r="683" spans="1:10">
      <c r="A683" s="568">
        <v>44820</v>
      </c>
      <c r="B683">
        <v>0.19908861351458129</v>
      </c>
      <c r="C683">
        <v>0.44796160676025276</v>
      </c>
      <c r="D683">
        <v>0.40718719089634825</v>
      </c>
      <c r="E683">
        <v>8.413964221931991E-2</v>
      </c>
      <c r="F683">
        <v>0.40551655421347776</v>
      </c>
      <c r="G683">
        <v>0.14806405221528784</v>
      </c>
      <c r="H683">
        <v>0.17260978711210861</v>
      </c>
      <c r="I683">
        <v>0.23591117562862274</v>
      </c>
      <c r="J683">
        <v>0.16270159735019529</v>
      </c>
    </row>
    <row r="684" spans="1:10">
      <c r="A684" s="568">
        <v>44823</v>
      </c>
      <c r="B684">
        <v>0.19975323358412767</v>
      </c>
      <c r="C684">
        <v>0.44874885858770264</v>
      </c>
      <c r="D684">
        <v>0.40785769939583894</v>
      </c>
      <c r="E684">
        <v>8.411289933325361E-2</v>
      </c>
      <c r="F684">
        <v>0.40689737737400189</v>
      </c>
      <c r="G684">
        <v>0.1485779852463196</v>
      </c>
      <c r="H684">
        <v>0.18667089785283397</v>
      </c>
      <c r="I684">
        <v>0.21843130942564604</v>
      </c>
      <c r="J684">
        <v>0.16329211067144977</v>
      </c>
    </row>
    <row r="685" spans="1:10">
      <c r="A685" s="568">
        <v>44824</v>
      </c>
      <c r="B685">
        <v>0.20042342113540612</v>
      </c>
      <c r="C685">
        <v>0.44953653844130792</v>
      </c>
      <c r="D685">
        <v>0.40787686606090823</v>
      </c>
      <c r="E685">
        <v>8.217632302275435E-2</v>
      </c>
      <c r="F685">
        <v>0.41204021905146315</v>
      </c>
      <c r="G685">
        <v>0.1500072895483695</v>
      </c>
      <c r="H685">
        <v>0.19317287686090245</v>
      </c>
      <c r="I685">
        <v>0.21289319375881699</v>
      </c>
      <c r="J685">
        <v>0.1638829239028301</v>
      </c>
    </row>
    <row r="686" spans="1:10">
      <c r="A686" s="568">
        <v>44825</v>
      </c>
      <c r="B686">
        <v>0.20110728890214014</v>
      </c>
      <c r="C686">
        <v>0.45032464655378512</v>
      </c>
      <c r="D686">
        <v>0.40931517271577489</v>
      </c>
      <c r="E686">
        <v>8.1901066975927028E-2</v>
      </c>
      <c r="F686">
        <v>0.41634396045786004</v>
      </c>
      <c r="G686">
        <v>0.15049607529236031</v>
      </c>
      <c r="H686">
        <v>0.1925144132590404</v>
      </c>
      <c r="I686">
        <v>0.19315841852719018</v>
      </c>
      <c r="J686">
        <v>0.1644740371966551</v>
      </c>
    </row>
    <row r="687" spans="1:10">
      <c r="A687" s="568">
        <v>44826</v>
      </c>
      <c r="B687">
        <v>0.20178122348083694</v>
      </c>
      <c r="C687">
        <v>0.4511131831579771</v>
      </c>
      <c r="D687">
        <v>0.41096290992167051</v>
      </c>
      <c r="E687">
        <v>7.560344344010006E-2</v>
      </c>
      <c r="F687">
        <v>0.42174230129607304</v>
      </c>
      <c r="G687">
        <v>0.15155008654256497</v>
      </c>
      <c r="H687">
        <v>0.21419615557919602</v>
      </c>
      <c r="I687">
        <v>0.17741445447722803</v>
      </c>
      <c r="J687">
        <v>0.16506545070532042</v>
      </c>
    </row>
    <row r="688" spans="1:10">
      <c r="A688" s="568">
        <v>44827</v>
      </c>
      <c r="B688">
        <v>0.20244069846436052</v>
      </c>
      <c r="C688">
        <v>0.45190214848685328</v>
      </c>
      <c r="D688">
        <v>0.40991177652124744</v>
      </c>
      <c r="E688">
        <v>6.6970057099322577E-2</v>
      </c>
      <c r="F688">
        <v>0.42704426774858373</v>
      </c>
      <c r="G688">
        <v>0.15156071886384992</v>
      </c>
      <c r="H688">
        <v>0.19609160711517726</v>
      </c>
      <c r="I688">
        <v>0.17671537436624685</v>
      </c>
      <c r="J688">
        <v>0.1656571645812992</v>
      </c>
    </row>
    <row r="689" spans="1:10">
      <c r="A689" s="568">
        <v>44830</v>
      </c>
      <c r="B689">
        <v>0.2031329950287406</v>
      </c>
      <c r="C689">
        <v>0.45269154277350987</v>
      </c>
      <c r="D689">
        <v>0.4088188854364343</v>
      </c>
      <c r="E689">
        <v>5.4483738368474643E-2</v>
      </c>
      <c r="F689">
        <v>0.42803062183340757</v>
      </c>
      <c r="G689">
        <v>0.15246375593613903</v>
      </c>
      <c r="H689">
        <v>0.16825845443726517</v>
      </c>
      <c r="I689">
        <v>0.18565441642926794</v>
      </c>
      <c r="J689">
        <v>0.16624917897714209</v>
      </c>
    </row>
    <row r="690" spans="1:10">
      <c r="A690" s="568">
        <v>44831</v>
      </c>
      <c r="B690">
        <v>0.20377965627624639</v>
      </c>
      <c r="C690">
        <v>0.45348136625116964</v>
      </c>
      <c r="D690">
        <v>0.40945520703090099</v>
      </c>
      <c r="E690">
        <v>5.5673470665662306E-2</v>
      </c>
      <c r="F690">
        <v>0.42768427951776222</v>
      </c>
      <c r="G690">
        <v>0.15224358338173904</v>
      </c>
      <c r="H690">
        <v>0.15958725249287964</v>
      </c>
      <c r="I690">
        <v>0.18388881215713937</v>
      </c>
      <c r="J690">
        <v>0.16684149404547743</v>
      </c>
    </row>
    <row r="691" spans="1:10">
      <c r="A691" s="568">
        <v>44832</v>
      </c>
      <c r="B691">
        <v>0.20452927881958738</v>
      </c>
      <c r="C691">
        <v>0.45427161915318259</v>
      </c>
      <c r="D691">
        <v>0.40870664486660124</v>
      </c>
      <c r="E691">
        <v>6.2597269094746055E-2</v>
      </c>
      <c r="F691">
        <v>0.42302432169650395</v>
      </c>
      <c r="G691">
        <v>0.1520502892831026</v>
      </c>
      <c r="H691">
        <v>0.16265182706749659</v>
      </c>
      <c r="I691">
        <v>0.17990050030595905</v>
      </c>
      <c r="J691">
        <v>0.16743410993901064</v>
      </c>
    </row>
    <row r="692" spans="1:10">
      <c r="A692" s="568">
        <v>44833</v>
      </c>
      <c r="B692">
        <v>0.20513191038956524</v>
      </c>
      <c r="C692">
        <v>0.45506230171302509</v>
      </c>
      <c r="D692">
        <v>0.40911614661618034</v>
      </c>
      <c r="E692">
        <v>5.6103313639262575E-2</v>
      </c>
      <c r="F692">
        <v>0.42370529938994794</v>
      </c>
      <c r="G692">
        <v>0.15280698195162024</v>
      </c>
      <c r="H692">
        <v>0.15860905155858984</v>
      </c>
      <c r="I692">
        <v>0.16987461956744365</v>
      </c>
      <c r="J692">
        <v>0.16802702681052506</v>
      </c>
    </row>
    <row r="693" spans="1:10">
      <c r="A693" s="568">
        <v>44834</v>
      </c>
      <c r="B693">
        <v>0.20574597713995568</v>
      </c>
      <c r="C693">
        <v>0.4558534141643007</v>
      </c>
      <c r="D693">
        <v>0.41030655522402304</v>
      </c>
      <c r="E693">
        <v>5.370428107947256E-2</v>
      </c>
      <c r="F693">
        <v>0.42498881329762983</v>
      </c>
      <c r="G693">
        <v>0.15346512686224356</v>
      </c>
      <c r="H693">
        <v>0.17676468973006632</v>
      </c>
      <c r="I693">
        <v>0.16034252384908365</v>
      </c>
      <c r="J693">
        <v>0.16862024481288151</v>
      </c>
    </row>
    <row r="694" spans="1:10">
      <c r="A694" s="568">
        <v>44837</v>
      </c>
      <c r="B694">
        <v>0.20655909094202096</v>
      </c>
      <c r="C694">
        <v>0.45664495674073979</v>
      </c>
      <c r="D694">
        <v>0.41114346009045266</v>
      </c>
      <c r="E694">
        <v>6.2410721157796667E-2</v>
      </c>
      <c r="F694">
        <v>0.42702755272012327</v>
      </c>
      <c r="G694">
        <v>0.15406114735630227</v>
      </c>
      <c r="H694">
        <v>0.23017802645438845</v>
      </c>
      <c r="I694">
        <v>0.13854460262359347</v>
      </c>
      <c r="J694">
        <v>0.16921376409901856</v>
      </c>
    </row>
    <row r="695" spans="1:10">
      <c r="A695" s="568">
        <v>44838</v>
      </c>
      <c r="B695">
        <v>0.20724096182358176</v>
      </c>
      <c r="C695">
        <v>0.4574369296762002</v>
      </c>
      <c r="D695">
        <v>0.41171575562375673</v>
      </c>
      <c r="E695">
        <v>6.9975044321441082E-2</v>
      </c>
      <c r="F695">
        <v>0.42399577397589927</v>
      </c>
      <c r="G695">
        <v>0.15323436476773034</v>
      </c>
      <c r="H695">
        <v>0.22715065407861057</v>
      </c>
      <c r="I695">
        <v>0.16462694849021964</v>
      </c>
      <c r="J695">
        <v>0.16980758482195202</v>
      </c>
    </row>
    <row r="696" spans="1:10">
      <c r="A696" s="568">
        <v>44839</v>
      </c>
      <c r="B696">
        <v>0.20795691822865114</v>
      </c>
      <c r="C696">
        <v>0.45822933320466652</v>
      </c>
      <c r="D696">
        <v>0.41253269945238924</v>
      </c>
      <c r="E696">
        <v>6.6456724139954737E-2</v>
      </c>
      <c r="F696">
        <v>0.42491514227606042</v>
      </c>
      <c r="G696">
        <v>0.15516026353151191</v>
      </c>
      <c r="H696">
        <v>0.23160215193955525</v>
      </c>
      <c r="I696">
        <v>0.18670284405924686</v>
      </c>
      <c r="J696">
        <v>0.17040170713477587</v>
      </c>
    </row>
    <row r="697" spans="1:10">
      <c r="A697" s="568">
        <v>44840</v>
      </c>
      <c r="B697">
        <v>0.20866598413123394</v>
      </c>
      <c r="C697">
        <v>0.4590221675602506</v>
      </c>
      <c r="D697">
        <v>0.41236410776744048</v>
      </c>
      <c r="E697">
        <v>6.5887296346399449E-2</v>
      </c>
      <c r="F697">
        <v>0.42842515864670117</v>
      </c>
      <c r="G697">
        <v>0.15641685847761688</v>
      </c>
      <c r="H697">
        <v>0.23632103303759577</v>
      </c>
      <c r="I697">
        <v>0.18369476901199744</v>
      </c>
      <c r="J697">
        <v>0.17099613119066182</v>
      </c>
    </row>
    <row r="698" spans="1:10">
      <c r="A698" s="568">
        <v>44841</v>
      </c>
      <c r="B698">
        <v>0.2093261469002794</v>
      </c>
      <c r="C698">
        <v>0.45981543297719196</v>
      </c>
      <c r="D698">
        <v>0.41262598955936536</v>
      </c>
      <c r="E698">
        <v>6.0918989927715383E-2</v>
      </c>
      <c r="F698">
        <v>0.431351280061955</v>
      </c>
      <c r="G698">
        <v>0.15732056920414772</v>
      </c>
      <c r="H698">
        <v>0.22724750410501815</v>
      </c>
      <c r="I698">
        <v>0.15666217482514688</v>
      </c>
      <c r="J698">
        <v>0.17159085714285904</v>
      </c>
    </row>
    <row r="699" spans="1:10">
      <c r="A699" s="568">
        <v>44844</v>
      </c>
      <c r="B699">
        <v>0.21003538917408449</v>
      </c>
      <c r="C699">
        <v>0.4606091296898569</v>
      </c>
      <c r="D699">
        <v>0.41303807138870163</v>
      </c>
      <c r="E699">
        <v>6.087985399688689E-2</v>
      </c>
      <c r="F699">
        <v>0.43296759263167606</v>
      </c>
      <c r="G699">
        <v>0.15765301607784221</v>
      </c>
      <c r="H699">
        <v>0.22583736363651052</v>
      </c>
      <c r="I699">
        <v>0.13390139485311292</v>
      </c>
      <c r="J699">
        <v>0.17218588514469491</v>
      </c>
    </row>
    <row r="700" spans="1:10">
      <c r="A700" s="568">
        <v>44845</v>
      </c>
      <c r="B700">
        <v>0.21068538842353979</v>
      </c>
      <c r="C700">
        <v>0.46140325793273962</v>
      </c>
      <c r="D700">
        <v>0.41330202312042119</v>
      </c>
      <c r="E700">
        <v>5.7563736124681242E-2</v>
      </c>
      <c r="F700">
        <v>0.43165954381573202</v>
      </c>
      <c r="G700">
        <v>0.15706053400792164</v>
      </c>
      <c r="H700">
        <v>0.21314436661952496</v>
      </c>
      <c r="I700">
        <v>0.13003843626079092</v>
      </c>
      <c r="J700">
        <v>0.17278121534957447</v>
      </c>
    </row>
    <row r="701" spans="1:10">
      <c r="A701" s="568">
        <v>44847</v>
      </c>
      <c r="B701">
        <v>0.2113596071188939</v>
      </c>
      <c r="C701">
        <v>0.46219781794046177</v>
      </c>
      <c r="D701">
        <v>0.41400635767863769</v>
      </c>
      <c r="E701">
        <v>5.3260740530082451E-2</v>
      </c>
      <c r="F701">
        <v>0.42771168348482291</v>
      </c>
      <c r="G701">
        <v>0.15753124648738415</v>
      </c>
      <c r="H701">
        <v>0.20972280766792606</v>
      </c>
      <c r="I701">
        <v>0.13095155538523118</v>
      </c>
      <c r="J701">
        <v>0.17337684791098074</v>
      </c>
    </row>
    <row r="702" spans="1:10">
      <c r="A702" s="568">
        <v>44848</v>
      </c>
      <c r="B702">
        <v>0.21204048635049388</v>
      </c>
      <c r="C702">
        <v>0.46299280994777225</v>
      </c>
      <c r="D702">
        <v>0.41496017224274429</v>
      </c>
      <c r="E702">
        <v>5.0384249614184196E-2</v>
      </c>
      <c r="F702">
        <v>0.43115142472698276</v>
      </c>
      <c r="G702">
        <v>0.15839896559391553</v>
      </c>
      <c r="H702">
        <v>0.19324299419201552</v>
      </c>
      <c r="I702">
        <v>0.13369500638716447</v>
      </c>
      <c r="J702">
        <v>0.17397278298247465</v>
      </c>
    </row>
    <row r="703" spans="1:10">
      <c r="A703" s="568">
        <v>44851</v>
      </c>
      <c r="B703">
        <v>0.21275046739248049</v>
      </c>
      <c r="C703">
        <v>0.46378823418954784</v>
      </c>
      <c r="D703">
        <v>0.41574319298041096</v>
      </c>
      <c r="E703">
        <v>5.5537799438790003E-2</v>
      </c>
      <c r="F703">
        <v>0.42864354923307713</v>
      </c>
      <c r="G703">
        <v>0.15812049816588747</v>
      </c>
      <c r="H703">
        <v>0.20710983252390136</v>
      </c>
      <c r="I703">
        <v>0.1443390118293415</v>
      </c>
      <c r="J703">
        <v>0.17456902071769509</v>
      </c>
    </row>
    <row r="704" spans="1:10">
      <c r="A704" s="568">
        <v>44852</v>
      </c>
      <c r="B704">
        <v>0.2134698834572093</v>
      </c>
      <c r="C704">
        <v>0.46458409090079278</v>
      </c>
      <c r="D704">
        <v>0.41712296479490307</v>
      </c>
      <c r="E704">
        <v>5.9324200746451838E-2</v>
      </c>
      <c r="F704">
        <v>0.4300697686743693</v>
      </c>
      <c r="G704">
        <v>0.15906221405327536</v>
      </c>
      <c r="H704">
        <v>0.22367943655495326</v>
      </c>
      <c r="I704">
        <v>0.1571111675452912</v>
      </c>
      <c r="J704">
        <v>0.17516556127035909</v>
      </c>
    </row>
    <row r="705" spans="1:10">
      <c r="A705" s="568">
        <v>44853</v>
      </c>
      <c r="B705">
        <v>0.21415066959469398</v>
      </c>
      <c r="C705">
        <v>0.46538038031663942</v>
      </c>
      <c r="D705">
        <v>0.41762664133179928</v>
      </c>
      <c r="E705">
        <v>5.3167466561607757E-2</v>
      </c>
      <c r="F705">
        <v>0.43359095950123705</v>
      </c>
      <c r="G705">
        <v>0.16070971615078711</v>
      </c>
      <c r="H705">
        <v>0.22963241982240068</v>
      </c>
      <c r="I705">
        <v>0.14046611854261215</v>
      </c>
      <c r="J705">
        <v>0.17576240479426164</v>
      </c>
    </row>
    <row r="706" spans="1:10">
      <c r="A706" s="568">
        <v>44854</v>
      </c>
      <c r="B706">
        <v>0.21481687381818015</v>
      </c>
      <c r="C706">
        <v>0.4661771026723478</v>
      </c>
      <c r="D706">
        <v>0.41847121261739129</v>
      </c>
      <c r="E706">
        <v>5.001832866093725E-2</v>
      </c>
      <c r="F706">
        <v>0.43509561008135256</v>
      </c>
      <c r="G706">
        <v>0.16120057647027486</v>
      </c>
      <c r="H706">
        <v>0.2352767937075364</v>
      </c>
      <c r="I706">
        <v>0.12023808035527495</v>
      </c>
      <c r="J706">
        <v>0.17635955144327586</v>
      </c>
    </row>
    <row r="707" spans="1:10">
      <c r="A707" s="568">
        <v>44855</v>
      </c>
      <c r="B707">
        <v>0.2154833275454946</v>
      </c>
      <c r="C707">
        <v>0.46697425820330585</v>
      </c>
      <c r="D707">
        <v>0.4196172987553235</v>
      </c>
      <c r="E707">
        <v>5.4286754183304087E-2</v>
      </c>
      <c r="F707">
        <v>0.43507296958789654</v>
      </c>
      <c r="G707">
        <v>0.16190044285953342</v>
      </c>
      <c r="H707">
        <v>0.25400077977546354</v>
      </c>
      <c r="I707">
        <v>0.1250978511309333</v>
      </c>
      <c r="J707">
        <v>0.17695700137135306</v>
      </c>
    </row>
    <row r="708" spans="1:10">
      <c r="A708" s="568">
        <v>44858</v>
      </c>
      <c r="B708">
        <v>0.21615584641174213</v>
      </c>
      <c r="C708">
        <v>0.46777184714502962</v>
      </c>
      <c r="D708">
        <v>0.41956780364096025</v>
      </c>
      <c r="E708">
        <v>5.5742610810125992E-2</v>
      </c>
      <c r="F708">
        <v>0.43470156756727629</v>
      </c>
      <c r="G708">
        <v>0.15973516128369969</v>
      </c>
      <c r="H708">
        <v>0.22576322745234689</v>
      </c>
      <c r="I708">
        <v>0.12020427538333234</v>
      </c>
      <c r="J708">
        <v>0.17755475473252269</v>
      </c>
    </row>
    <row r="709" spans="1:10">
      <c r="A709" s="568">
        <v>44859</v>
      </c>
      <c r="B709">
        <v>0.21684401445026968</v>
      </c>
      <c r="C709">
        <v>0.46856986973316284</v>
      </c>
      <c r="D709">
        <v>0.42010620340684479</v>
      </c>
      <c r="E709">
        <v>6.32919318669527E-2</v>
      </c>
      <c r="F709">
        <v>0.43098335625187989</v>
      </c>
      <c r="G709">
        <v>0.15826195741925786</v>
      </c>
      <c r="H709">
        <v>0.21309410603290191</v>
      </c>
      <c r="I709">
        <v>0.13555900386057917</v>
      </c>
      <c r="J709">
        <v>0.17815281168089259</v>
      </c>
    </row>
    <row r="710" spans="1:10">
      <c r="A710" s="568">
        <v>44860</v>
      </c>
      <c r="B710">
        <v>0.21752567620936869</v>
      </c>
      <c r="C710">
        <v>0.46936832620347757</v>
      </c>
      <c r="D710">
        <v>0.42006015373464178</v>
      </c>
      <c r="E710">
        <v>6.7181391125796575E-2</v>
      </c>
      <c r="F710">
        <v>0.42610618201717188</v>
      </c>
      <c r="G710">
        <v>0.15864045997341347</v>
      </c>
      <c r="H710">
        <v>0.19739288413969192</v>
      </c>
      <c r="I710">
        <v>0.14836235827314104</v>
      </c>
      <c r="J710">
        <v>0.17875117237064853</v>
      </c>
    </row>
    <row r="711" spans="1:10">
      <c r="A711" s="568">
        <v>44861</v>
      </c>
      <c r="B711">
        <v>0.21820674029142384</v>
      </c>
      <c r="C711">
        <v>0.47016721679187423</v>
      </c>
      <c r="D711">
        <v>0.42154600382537644</v>
      </c>
      <c r="E711">
        <v>7.2079905134502908E-2</v>
      </c>
      <c r="F711">
        <v>0.42976288927131145</v>
      </c>
      <c r="G711">
        <v>0.15617557306868668</v>
      </c>
      <c r="H711">
        <v>0.21819678606529358</v>
      </c>
      <c r="I711">
        <v>0.13949262201541712</v>
      </c>
      <c r="J711">
        <v>0.17934983695605511</v>
      </c>
    </row>
    <row r="712" spans="1:10">
      <c r="A712" s="568">
        <v>44862</v>
      </c>
      <c r="B712">
        <v>0.21893398251379459</v>
      </c>
      <c r="C712">
        <v>0.47096654173438135</v>
      </c>
      <c r="D712">
        <v>0.42280638118947</v>
      </c>
      <c r="E712">
        <v>7.1944886173144429E-2</v>
      </c>
      <c r="F712">
        <v>0.43174377687720189</v>
      </c>
      <c r="G712">
        <v>0.15776638778670304</v>
      </c>
      <c r="H712">
        <v>0.22352365408752561</v>
      </c>
      <c r="I712">
        <v>0.133145852811549</v>
      </c>
      <c r="J712">
        <v>0.17994880559145465</v>
      </c>
    </row>
    <row r="713" spans="1:10">
      <c r="A713" s="568">
        <v>44865</v>
      </c>
      <c r="B713">
        <v>0.21956380066991277</v>
      </c>
      <c r="C713">
        <v>0.4717663012671558</v>
      </c>
      <c r="D713">
        <v>0.42560076096719834</v>
      </c>
      <c r="E713">
        <v>6.9142753525820444E-2</v>
      </c>
      <c r="F713">
        <v>0.43743640113761062</v>
      </c>
      <c r="G713">
        <v>0.16088144066564913</v>
      </c>
      <c r="H713">
        <v>0.24516759813466438</v>
      </c>
      <c r="I713">
        <v>0.10648074944396901</v>
      </c>
      <c r="J713">
        <v>0.1805480784312683</v>
      </c>
    </row>
    <row r="714" spans="1:10">
      <c r="A714" s="568">
        <v>44866</v>
      </c>
      <c r="B714">
        <v>0.22028201250766322</v>
      </c>
      <c r="C714">
        <v>0.47256649562648279</v>
      </c>
      <c r="D714">
        <v>0.42592608854973824</v>
      </c>
      <c r="E714">
        <v>7.2232535264734166E-2</v>
      </c>
      <c r="F714">
        <v>0.43801240677201814</v>
      </c>
      <c r="G714">
        <v>0.16055311676213524</v>
      </c>
      <c r="H714">
        <v>0.24701603414457507</v>
      </c>
      <c r="I714">
        <v>0.11830788716528517</v>
      </c>
      <c r="J714">
        <v>0.18114765562999557</v>
      </c>
    </row>
    <row r="715" spans="1:10">
      <c r="A715" s="568">
        <v>44868</v>
      </c>
      <c r="B715">
        <v>0.22094945386487397</v>
      </c>
      <c r="C715">
        <v>0.47336712504877609</v>
      </c>
      <c r="D715">
        <v>0.42564782386138922</v>
      </c>
      <c r="E715">
        <v>6.3926586211888958E-2</v>
      </c>
      <c r="F715">
        <v>0.43972573722888031</v>
      </c>
      <c r="G715">
        <v>0.16289855643327256</v>
      </c>
      <c r="H715">
        <v>0.24773294374634891</v>
      </c>
      <c r="I715">
        <v>0.10232974864443123</v>
      </c>
      <c r="J715">
        <v>0.18174753734221438</v>
      </c>
    </row>
    <row r="716" spans="1:10">
      <c r="A716" s="568">
        <v>44869</v>
      </c>
      <c r="B716">
        <v>0.2216255564295837</v>
      </c>
      <c r="C716">
        <v>0.47416818977057784</v>
      </c>
      <c r="D716">
        <v>0.42635889373989722</v>
      </c>
      <c r="E716">
        <v>6.9809368880933365E-2</v>
      </c>
      <c r="F716">
        <v>0.43887595799875578</v>
      </c>
      <c r="G716">
        <v>0.16221005305638747</v>
      </c>
      <c r="H716">
        <v>0.25946890559167324</v>
      </c>
      <c r="I716">
        <v>0.12451613408756046</v>
      </c>
      <c r="J716">
        <v>0.18234772372258101</v>
      </c>
    </row>
    <row r="717" spans="1:10">
      <c r="A717" s="568">
        <v>44872</v>
      </c>
      <c r="B717">
        <v>0.22230708380538022</v>
      </c>
      <c r="C717">
        <v>0.47496969002855915</v>
      </c>
      <c r="D717">
        <v>0.42513980295397147</v>
      </c>
      <c r="E717">
        <v>7.0879736589094078E-2</v>
      </c>
      <c r="F717">
        <v>0.43450523232247829</v>
      </c>
      <c r="G717">
        <v>0.16048754266845422</v>
      </c>
      <c r="H717">
        <v>0.2375851176848367</v>
      </c>
      <c r="I717">
        <v>0.15747751305875357</v>
      </c>
      <c r="J717">
        <v>0.18294821492583058</v>
      </c>
    </row>
    <row r="718" spans="1:10">
      <c r="A718" s="568">
        <v>44873</v>
      </c>
      <c r="B718">
        <v>0.22301058034218513</v>
      </c>
      <c r="C718">
        <v>0.47577162605951928</v>
      </c>
      <c r="D718">
        <v>0.42530801316432432</v>
      </c>
      <c r="E718">
        <v>7.3602292843733208E-2</v>
      </c>
      <c r="F718">
        <v>0.42993433884208976</v>
      </c>
      <c r="G718">
        <v>0.15951742721698281</v>
      </c>
      <c r="H718">
        <v>0.23850689136168857</v>
      </c>
      <c r="I718">
        <v>0.15875291806274783</v>
      </c>
      <c r="J718">
        <v>0.18354901110677657</v>
      </c>
    </row>
    <row r="719" spans="1:10">
      <c r="A719" s="568">
        <v>44874</v>
      </c>
      <c r="B719">
        <v>0.22368796036804328</v>
      </c>
      <c r="C719">
        <v>0.4765739981003867</v>
      </c>
      <c r="D719">
        <v>0.42461028629448094</v>
      </c>
      <c r="E719">
        <v>7.1624623805863985E-2</v>
      </c>
      <c r="F719">
        <v>0.42970625150754782</v>
      </c>
      <c r="G719">
        <v>0.15919092352260145</v>
      </c>
      <c r="H719">
        <v>0.22576121851716646</v>
      </c>
      <c r="I719">
        <v>0.14833113141703369</v>
      </c>
      <c r="J719">
        <v>0.18415011242031132</v>
      </c>
    </row>
    <row r="720" spans="1:10">
      <c r="A720" s="568">
        <v>44875</v>
      </c>
      <c r="B720">
        <v>0.22399900600465061</v>
      </c>
      <c r="C720">
        <v>0.47737680638821844</v>
      </c>
      <c r="D720">
        <v>0.4250846952148053</v>
      </c>
      <c r="E720">
        <v>7.1624623805863985E-2</v>
      </c>
      <c r="F720">
        <v>0.43085940617973506</v>
      </c>
      <c r="G720">
        <v>0.1576342118398828</v>
      </c>
      <c r="H720">
        <v>0.19598779988232296</v>
      </c>
      <c r="I720">
        <v>0.19458242835232253</v>
      </c>
      <c r="J720">
        <v>0.18475151902140552</v>
      </c>
    </row>
    <row r="721" spans="1:10">
      <c r="A721" s="568">
        <v>44879</v>
      </c>
      <c r="B721">
        <v>0.22466028630515411</v>
      </c>
      <c r="C721">
        <v>0.47818005116020057</v>
      </c>
      <c r="D721">
        <v>0.42946162746858563</v>
      </c>
      <c r="E721">
        <v>7.1119268430817506E-2</v>
      </c>
      <c r="F721">
        <v>0.43074218005168086</v>
      </c>
      <c r="G721">
        <v>0.15741216840926131</v>
      </c>
      <c r="H721">
        <v>0.20858465814569227</v>
      </c>
      <c r="I721">
        <v>0.22968245430084577</v>
      </c>
      <c r="J721">
        <v>0.1853532310651087</v>
      </c>
    </row>
    <row r="722" spans="1:10">
      <c r="A722" s="568">
        <v>44881</v>
      </c>
      <c r="B722">
        <v>0.22531610663072077</v>
      </c>
      <c r="C722">
        <v>0.47898373265364813</v>
      </c>
      <c r="D722">
        <v>0.42767380819131495</v>
      </c>
      <c r="E722">
        <v>7.8321542060750371E-2</v>
      </c>
      <c r="F722">
        <v>0.4293441479066793</v>
      </c>
      <c r="G722">
        <v>0.15761980300789125</v>
      </c>
      <c r="H722">
        <v>0.18293023948026077</v>
      </c>
      <c r="I722">
        <v>0.25920642746627465</v>
      </c>
      <c r="J722">
        <v>0.18595524870654923</v>
      </c>
    </row>
    <row r="723" spans="1:10">
      <c r="A723" s="568">
        <v>44882</v>
      </c>
      <c r="B723">
        <v>0.22598775017799055</v>
      </c>
      <c r="C723">
        <v>0.47978785110600497</v>
      </c>
      <c r="D723">
        <v>0.42829827793615727</v>
      </c>
      <c r="E723">
        <v>7.3622376763167408E-2</v>
      </c>
      <c r="F723">
        <v>0.4289741252217687</v>
      </c>
      <c r="G723">
        <v>0.15840794467116748</v>
      </c>
      <c r="H723">
        <v>0.1724915477958362</v>
      </c>
      <c r="I723">
        <v>0.25572318179169429</v>
      </c>
      <c r="J723">
        <v>0.18655757210093427</v>
      </c>
    </row>
    <row r="724" spans="1:10">
      <c r="A724" s="568">
        <v>44883</v>
      </c>
      <c r="B724">
        <v>0.22669370432069003</v>
      </c>
      <c r="C724">
        <v>0.48059240675484416</v>
      </c>
      <c r="D724">
        <v>0.4279425891629689</v>
      </c>
      <c r="E724">
        <v>7.4045851773649307E-2</v>
      </c>
      <c r="F724">
        <v>0.42681225382046795</v>
      </c>
      <c r="G724">
        <v>0.15972631552665528</v>
      </c>
      <c r="H724">
        <v>0.17109768833891326</v>
      </c>
      <c r="I724">
        <v>0.24823399536164037</v>
      </c>
      <c r="J724">
        <v>0.18716020140354961</v>
      </c>
    </row>
    <row r="725" spans="1:10">
      <c r="A725" s="568">
        <v>44886</v>
      </c>
      <c r="B725">
        <v>0.22737254832270692</v>
      </c>
      <c r="C725">
        <v>0.481397399837868</v>
      </c>
      <c r="D725">
        <v>0.42949782593865682</v>
      </c>
      <c r="E725">
        <v>7.3610222646552481E-2</v>
      </c>
      <c r="F725">
        <v>0.42667172173628032</v>
      </c>
      <c r="G725">
        <v>0.15947061530097661</v>
      </c>
      <c r="H725">
        <v>0.18408149041316602</v>
      </c>
      <c r="I725">
        <v>0.22665232159198734</v>
      </c>
      <c r="J725">
        <v>0.18776313676976009</v>
      </c>
    </row>
    <row r="726" spans="1:10">
      <c r="A726" s="568">
        <v>44887</v>
      </c>
      <c r="B726">
        <v>0.22803776493676353</v>
      </c>
      <c r="C726">
        <v>0.48220283059290803</v>
      </c>
      <c r="D726">
        <v>0.42767784961237387</v>
      </c>
      <c r="E726">
        <v>7.8084856631930988E-2</v>
      </c>
      <c r="F726">
        <v>0.42522323428560727</v>
      </c>
      <c r="G726">
        <v>0.15971595469874345</v>
      </c>
      <c r="H726">
        <v>0.17619097987619714</v>
      </c>
      <c r="I726">
        <v>0.23666932758267079</v>
      </c>
      <c r="J726">
        <v>0.18836637835500936</v>
      </c>
    </row>
    <row r="727" spans="1:10">
      <c r="A727" s="568">
        <v>44888</v>
      </c>
      <c r="B727">
        <v>0.22873323061140782</v>
      </c>
      <c r="C727">
        <v>0.483008699257925</v>
      </c>
      <c r="D727">
        <v>0.42620446419082736</v>
      </c>
      <c r="E727">
        <v>8.3707734792256794E-2</v>
      </c>
      <c r="F727">
        <v>0.42202302117829871</v>
      </c>
      <c r="G727">
        <v>0.16026476155173164</v>
      </c>
      <c r="H727">
        <v>0.17205478162478882</v>
      </c>
      <c r="I727">
        <v>0.24451925252650808</v>
      </c>
      <c r="J727">
        <v>0.18896992631482012</v>
      </c>
    </row>
    <row r="728" spans="1:10">
      <c r="A728" s="568">
        <v>44889</v>
      </c>
      <c r="B728">
        <v>0.22942002574782028</v>
      </c>
      <c r="C728">
        <v>0.48381500607100891</v>
      </c>
      <c r="D728">
        <v>0.4287820111468188</v>
      </c>
      <c r="E728">
        <v>8.3675750274848859E-2</v>
      </c>
      <c r="F728">
        <v>0.42307518137397193</v>
      </c>
      <c r="G728">
        <v>0.15910921154734536</v>
      </c>
      <c r="H728">
        <v>0.19130032613520509</v>
      </c>
      <c r="I728">
        <v>0.25224630512538582</v>
      </c>
      <c r="J728">
        <v>0.18957378080479415</v>
      </c>
    </row>
    <row r="729" spans="1:10">
      <c r="A729" s="568">
        <v>44890</v>
      </c>
      <c r="B729">
        <v>0.23009803102962567</v>
      </c>
      <c r="C729">
        <v>0.48462175127037965</v>
      </c>
      <c r="D729">
        <v>0.42672454603175414</v>
      </c>
      <c r="E729">
        <v>8.6162866348494571E-2</v>
      </c>
      <c r="F729">
        <v>0.42406486396166843</v>
      </c>
      <c r="G729">
        <v>0.15964328302474229</v>
      </c>
      <c r="H729">
        <v>0.17271164369440672</v>
      </c>
      <c r="I729">
        <v>0.25396272337404868</v>
      </c>
      <c r="J729">
        <v>0.19017794198061178</v>
      </c>
    </row>
    <row r="730" spans="1:10">
      <c r="A730" s="568">
        <v>44893</v>
      </c>
      <c r="B730">
        <v>0.23074633583797199</v>
      </c>
      <c r="C730">
        <v>0.48542893509438612</v>
      </c>
      <c r="D730">
        <v>0.42849133494288982</v>
      </c>
      <c r="E730">
        <v>8.5012063412154948E-2</v>
      </c>
      <c r="F730">
        <v>0.42445917223307972</v>
      </c>
      <c r="G730">
        <v>0.15923200692938355</v>
      </c>
      <c r="H730">
        <v>0.16903899904915143</v>
      </c>
      <c r="I730">
        <v>0.23367422626571654</v>
      </c>
      <c r="J730">
        <v>0.19078240999803286</v>
      </c>
    </row>
    <row r="731" spans="1:10">
      <c r="A731" s="568">
        <v>44894</v>
      </c>
      <c r="B731">
        <v>0.23144199489639972</v>
      </c>
      <c r="C731">
        <v>0.48623655778150732</v>
      </c>
      <c r="D731">
        <v>0.43388686368304863</v>
      </c>
      <c r="E731">
        <v>8.3637368853959115E-2</v>
      </c>
      <c r="F731">
        <v>0.42558736141583431</v>
      </c>
      <c r="G731">
        <v>0.15694563766488945</v>
      </c>
      <c r="H731">
        <v>0.18317846086136669</v>
      </c>
      <c r="I731">
        <v>0.24162660244672529</v>
      </c>
      <c r="J731">
        <v>0.19138718501289631</v>
      </c>
    </row>
    <row r="732" spans="1:10">
      <c r="A732" s="568">
        <v>44895</v>
      </c>
      <c r="B732">
        <v>0.23212230801452538</v>
      </c>
      <c r="C732">
        <v>0.4870446195703515</v>
      </c>
      <c r="D732">
        <v>0.436515191909014</v>
      </c>
      <c r="E732">
        <v>9.2136294819612052E-2</v>
      </c>
      <c r="F732">
        <v>0.42824128272889816</v>
      </c>
      <c r="G732">
        <v>0.15724354610349711</v>
      </c>
      <c r="H732">
        <v>0.19712252101758443</v>
      </c>
      <c r="I732">
        <v>0.26179022860352763</v>
      </c>
      <c r="J732">
        <v>0.19199226718112006</v>
      </c>
    </row>
    <row r="733" spans="1:10">
      <c r="A733" s="568">
        <v>44896</v>
      </c>
      <c r="B733">
        <v>0.23276905702255135</v>
      </c>
      <c r="C733">
        <v>0.48785312069965658</v>
      </c>
      <c r="D733">
        <v>0.43566415921502077</v>
      </c>
      <c r="E733">
        <v>9.8250455167324668E-2</v>
      </c>
      <c r="F733">
        <v>0.42581631300479827</v>
      </c>
      <c r="G733">
        <v>0.1569906789102995</v>
      </c>
      <c r="H733">
        <v>0.18906086597662508</v>
      </c>
      <c r="I733">
        <v>0.26863939019835814</v>
      </c>
      <c r="J733">
        <v>0.19259765665870132</v>
      </c>
    </row>
    <row r="734" spans="1:10">
      <c r="A734" s="568">
        <v>44897</v>
      </c>
      <c r="B734">
        <v>0.2334490785203327</v>
      </c>
      <c r="C734">
        <v>0.48866206140829083</v>
      </c>
      <c r="D734">
        <v>0.437513921581002</v>
      </c>
      <c r="E734">
        <v>0.10108812155176183</v>
      </c>
      <c r="F734">
        <v>0.42856112339517627</v>
      </c>
      <c r="G734">
        <v>0.1561330073253957</v>
      </c>
      <c r="H734">
        <v>0.19773472038246975</v>
      </c>
      <c r="I734">
        <v>0.27411848716138065</v>
      </c>
      <c r="J734">
        <v>0.19320335360171637</v>
      </c>
    </row>
    <row r="735" spans="1:10">
      <c r="A735" s="568">
        <v>44900</v>
      </c>
      <c r="B735">
        <v>0.23412614860553171</v>
      </c>
      <c r="C735">
        <v>0.48947144193525172</v>
      </c>
      <c r="D735">
        <v>0.43695400349009117</v>
      </c>
      <c r="E735">
        <v>9.4819795830142883E-2</v>
      </c>
      <c r="F735">
        <v>0.42706875808312494</v>
      </c>
      <c r="G735">
        <v>0.15695381906813521</v>
      </c>
      <c r="H735">
        <v>0.17502350598680394</v>
      </c>
      <c r="I735">
        <v>0.29412692101995441</v>
      </c>
      <c r="J735">
        <v>0.19380935816632094</v>
      </c>
    </row>
    <row r="736" spans="1:10">
      <c r="A736" s="568">
        <v>44901</v>
      </c>
      <c r="B736">
        <v>0.23481513306236401</v>
      </c>
      <c r="C736">
        <v>0.4902812625196673</v>
      </c>
      <c r="D736">
        <v>0.43701345952048154</v>
      </c>
      <c r="E736">
        <v>9.5410230021494513E-2</v>
      </c>
      <c r="F736">
        <v>0.4258586733528491</v>
      </c>
      <c r="G736">
        <v>0.15561883443553182</v>
      </c>
      <c r="H736">
        <v>0.17073410581641113</v>
      </c>
      <c r="I736">
        <v>0.27012600653881069</v>
      </c>
      <c r="J736">
        <v>0.19441567050875008</v>
      </c>
    </row>
    <row r="737" spans="1:10">
      <c r="A737" s="568">
        <v>44902</v>
      </c>
      <c r="B737">
        <v>0.23549665137692322</v>
      </c>
      <c r="C737">
        <v>0.49109152340079509</v>
      </c>
      <c r="D737">
        <v>0.43843720149602317</v>
      </c>
      <c r="E737">
        <v>0.10005630102018004</v>
      </c>
      <c r="F737">
        <v>0.42800707283649286</v>
      </c>
      <c r="G737">
        <v>0.15509725348415082</v>
      </c>
      <c r="H737">
        <v>0.1658721055868988</v>
      </c>
      <c r="I737">
        <v>0.24886894067783638</v>
      </c>
      <c r="J737">
        <v>0.19502229078531785</v>
      </c>
    </row>
    <row r="738" spans="1:10">
      <c r="A738" s="568">
        <v>44903</v>
      </c>
      <c r="B738">
        <v>0.23617412784569858</v>
      </c>
      <c r="C738">
        <v>0.49190222481802315</v>
      </c>
      <c r="D738">
        <v>0.43917025328756698</v>
      </c>
      <c r="E738">
        <v>9.8759008994111497E-2</v>
      </c>
      <c r="F738">
        <v>0.42674972956821011</v>
      </c>
      <c r="G738">
        <v>0.15532410251324191</v>
      </c>
      <c r="H738">
        <v>0.15425301007144565</v>
      </c>
      <c r="I738">
        <v>0.27221743022289036</v>
      </c>
      <c r="J738">
        <v>0.19562921915241827</v>
      </c>
    </row>
    <row r="739" spans="1:10">
      <c r="A739" s="568">
        <v>44904</v>
      </c>
      <c r="B739">
        <v>0.23684207437974547</v>
      </c>
      <c r="C739">
        <v>0.49271336701086921</v>
      </c>
      <c r="D739">
        <v>0.43777971393885773</v>
      </c>
      <c r="E739">
        <v>9.6941648714989226E-2</v>
      </c>
      <c r="F739">
        <v>0.42582789252347375</v>
      </c>
      <c r="G739">
        <v>0.15516009751741411</v>
      </c>
      <c r="H739">
        <v>0.15304301147153976</v>
      </c>
      <c r="I739">
        <v>0.28271335389056462</v>
      </c>
      <c r="J739">
        <v>0.19623645576652415</v>
      </c>
    </row>
    <row r="740" spans="1:10">
      <c r="A740" s="568">
        <v>44907</v>
      </c>
      <c r="B740">
        <v>0.23750598856781679</v>
      </c>
      <c r="C740">
        <v>0.49352495021898157</v>
      </c>
      <c r="D740">
        <v>0.436219402036786</v>
      </c>
      <c r="E740">
        <v>9.7318426330055496E-2</v>
      </c>
      <c r="F740">
        <v>0.42578586953784647</v>
      </c>
      <c r="G740">
        <v>0.15583713071778371</v>
      </c>
      <c r="H740">
        <v>0.13718368686583071</v>
      </c>
      <c r="I740">
        <v>0.28640452409469597</v>
      </c>
      <c r="J740">
        <v>0.19684400078418829</v>
      </c>
    </row>
    <row r="741" spans="1:10">
      <c r="A741" s="568">
        <v>44908</v>
      </c>
      <c r="B741">
        <v>0.23819406682166488</v>
      </c>
      <c r="C741">
        <v>0.49433697468213889</v>
      </c>
      <c r="D741">
        <v>0.43601237665515291</v>
      </c>
      <c r="E741">
        <v>0.10716965769171827</v>
      </c>
      <c r="F741">
        <v>0.4248021260918764</v>
      </c>
      <c r="G741">
        <v>0.15616452799807456</v>
      </c>
      <c r="H741">
        <v>0.12452497052252554</v>
      </c>
      <c r="I741">
        <v>0.28975033464846756</v>
      </c>
      <c r="J741">
        <v>0.19745185436204271</v>
      </c>
    </row>
    <row r="742" spans="1:10">
      <c r="A742" s="568">
        <v>44909</v>
      </c>
      <c r="B742">
        <v>0.23885437186206038</v>
      </c>
      <c r="C742">
        <v>0.4951494406402499</v>
      </c>
      <c r="D742">
        <v>0.43601761398858074</v>
      </c>
      <c r="E742">
        <v>0.10849125795101666</v>
      </c>
      <c r="F742">
        <v>0.42711683486532959</v>
      </c>
      <c r="G742">
        <v>0.15771092679100396</v>
      </c>
      <c r="H742">
        <v>0.13466707305440084</v>
      </c>
      <c r="I742">
        <v>0.29580199828161491</v>
      </c>
      <c r="J742">
        <v>0.19806001665679918</v>
      </c>
    </row>
    <row r="743" spans="1:10">
      <c r="A743" s="568">
        <v>44910</v>
      </c>
      <c r="B743">
        <v>0.23950921888753141</v>
      </c>
      <c r="C743">
        <v>0.49596234833335395</v>
      </c>
      <c r="D743">
        <v>0.437188429657829</v>
      </c>
      <c r="E743">
        <v>0.10642569781680833</v>
      </c>
      <c r="F743">
        <v>0.42897847452852567</v>
      </c>
      <c r="G743">
        <v>0.15783970321867202</v>
      </c>
      <c r="H743">
        <v>0.13623625940419815</v>
      </c>
      <c r="I743">
        <v>0.27278975059685573</v>
      </c>
      <c r="J743">
        <v>0.19866848782524893</v>
      </c>
    </row>
    <row r="744" spans="1:10">
      <c r="A744" s="568">
        <v>44911</v>
      </c>
      <c r="B744">
        <v>0.24017098408848625</v>
      </c>
      <c r="C744">
        <v>0.49677569800162069</v>
      </c>
      <c r="D744">
        <v>0.43678646695098933</v>
      </c>
      <c r="E744">
        <v>0.10326690687759443</v>
      </c>
      <c r="F744">
        <v>0.42856035057657582</v>
      </c>
      <c r="G744">
        <v>0.15837071710709183</v>
      </c>
      <c r="H744">
        <v>0.12973134484445947</v>
      </c>
      <c r="I744">
        <v>0.26337347878678807</v>
      </c>
      <c r="J744">
        <v>0.19927726802426293</v>
      </c>
    </row>
    <row r="745" spans="1:10">
      <c r="A745" s="568">
        <v>44914</v>
      </c>
      <c r="B745">
        <v>0.24084619759583026</v>
      </c>
      <c r="C745">
        <v>0.49758948988535079</v>
      </c>
      <c r="D745">
        <v>0.43746373268684158</v>
      </c>
      <c r="E745">
        <v>0.10012090974534393</v>
      </c>
      <c r="F745">
        <v>0.43026933680576751</v>
      </c>
      <c r="G745">
        <v>0.15787824951383977</v>
      </c>
      <c r="H745">
        <v>0.14268281727596088</v>
      </c>
      <c r="I745">
        <v>0.25285627465132787</v>
      </c>
      <c r="J745">
        <v>0.19988635741079164</v>
      </c>
    </row>
    <row r="746" spans="1:10">
      <c r="A746" s="568">
        <v>44915</v>
      </c>
      <c r="B746">
        <v>0.24152160744004814</v>
      </c>
      <c r="C746">
        <v>0.49840372422497525</v>
      </c>
      <c r="D746">
        <v>0.4404285619738777</v>
      </c>
      <c r="E746">
        <v>9.9602120872986255E-2</v>
      </c>
      <c r="F746">
        <v>0.4316120188125856</v>
      </c>
      <c r="G746">
        <v>0.15881539079464702</v>
      </c>
      <c r="H746">
        <v>0.15996577098490161</v>
      </c>
      <c r="I746">
        <v>0.2292309919035862</v>
      </c>
      <c r="J746">
        <v>0.20049575614186521</v>
      </c>
    </row>
    <row r="747" spans="1:10">
      <c r="A747" s="568">
        <v>44916</v>
      </c>
      <c r="B747">
        <v>0.24220452518213986</v>
      </c>
      <c r="C747">
        <v>0.49921840126105566</v>
      </c>
      <c r="D747">
        <v>0.44115361687656462</v>
      </c>
      <c r="E747">
        <v>0.10487828686460943</v>
      </c>
      <c r="F747">
        <v>0.43331506622817906</v>
      </c>
      <c r="G747">
        <v>0.16015513613895171</v>
      </c>
      <c r="H747">
        <v>0.16486797492224703</v>
      </c>
      <c r="I747">
        <v>0.24138651976770542</v>
      </c>
      <c r="J747">
        <v>0.20110546437459376</v>
      </c>
    </row>
    <row r="748" spans="1:10">
      <c r="A748" s="568">
        <v>44917</v>
      </c>
      <c r="B748">
        <v>0.24287029754554634</v>
      </c>
      <c r="C748">
        <v>0.50003352123428479</v>
      </c>
      <c r="D748">
        <v>0.44253783427475368</v>
      </c>
      <c r="E748">
        <v>0.10276411026394072</v>
      </c>
      <c r="F748">
        <v>0.4336828346779884</v>
      </c>
      <c r="G748">
        <v>0.16010012692090103</v>
      </c>
      <c r="H748">
        <v>0.16643579457708091</v>
      </c>
      <c r="I748">
        <v>0.24661273651409421</v>
      </c>
      <c r="J748">
        <v>0.20171548226616731</v>
      </c>
    </row>
    <row r="749" spans="1:10">
      <c r="A749" s="568">
        <v>44918</v>
      </c>
      <c r="B749">
        <v>0.24355791065410015</v>
      </c>
      <c r="C749">
        <v>0.50084908438548603</v>
      </c>
      <c r="D749">
        <v>0.44482291564115961</v>
      </c>
      <c r="E749">
        <v>0.10332575838962521</v>
      </c>
      <c r="F749">
        <v>0.43523756798970692</v>
      </c>
      <c r="G749">
        <v>0.16043427189121817</v>
      </c>
      <c r="H749">
        <v>0.18187509102444221</v>
      </c>
      <c r="I749">
        <v>0.23505992898836503</v>
      </c>
      <c r="J749">
        <v>0.20232580997385519</v>
      </c>
    </row>
    <row r="750" spans="1:10">
      <c r="A750" s="568">
        <v>44921</v>
      </c>
      <c r="B750">
        <v>0.24422607417266251</v>
      </c>
      <c r="C750">
        <v>0.50166509095561373</v>
      </c>
      <c r="D750">
        <v>0.44520420901417901</v>
      </c>
      <c r="E750">
        <v>0.10328737696873569</v>
      </c>
      <c r="F750">
        <v>0.43543170242288398</v>
      </c>
      <c r="G750">
        <v>0.16028611081106625</v>
      </c>
      <c r="H750">
        <v>0.17525573266232009</v>
      </c>
      <c r="I750">
        <v>0.23803995649778731</v>
      </c>
      <c r="J750">
        <v>0.20293644765500707</v>
      </c>
    </row>
    <row r="751" spans="1:10">
      <c r="A751" s="568">
        <v>44922</v>
      </c>
      <c r="B751">
        <v>0.24490976441671219</v>
      </c>
      <c r="C751">
        <v>0.50248154118575306</v>
      </c>
      <c r="D751">
        <v>0.44582235906495571</v>
      </c>
      <c r="E751">
        <v>0.10048553324379506</v>
      </c>
      <c r="F751">
        <v>0.43550517395845412</v>
      </c>
      <c r="G751">
        <v>0.16061437978707604</v>
      </c>
      <c r="H751">
        <v>0.16999586265877586</v>
      </c>
      <c r="I751">
        <v>0.25256908201338035</v>
      </c>
      <c r="J751">
        <v>0.20354739546705236</v>
      </c>
    </row>
    <row r="752" spans="1:10">
      <c r="A752" s="568">
        <v>44923</v>
      </c>
      <c r="B752">
        <v>0.24562477996425258</v>
      </c>
      <c r="C752">
        <v>0.5032984353171206</v>
      </c>
      <c r="D752">
        <v>0.44913923475809847</v>
      </c>
      <c r="E752">
        <v>9.7842972415546514E-2</v>
      </c>
      <c r="F752">
        <v>0.43618494030932387</v>
      </c>
      <c r="G752">
        <v>0.16160789922005514</v>
      </c>
      <c r="H752">
        <v>0.1851122965501657</v>
      </c>
      <c r="I752">
        <v>0.24710704164258557</v>
      </c>
      <c r="J752">
        <v>0.20415865356750063</v>
      </c>
    </row>
    <row r="753" spans="1:10">
      <c r="A753" s="568">
        <v>44924</v>
      </c>
      <c r="B753">
        <v>0.24630919965684628</v>
      </c>
      <c r="C753">
        <v>0.50411577359106419</v>
      </c>
      <c r="D753">
        <v>0.44973553823496193</v>
      </c>
      <c r="E753">
        <v>9.9490175062058261E-2</v>
      </c>
      <c r="F753">
        <v>0.43714955120568866</v>
      </c>
      <c r="G753">
        <v>0.16199647307327103</v>
      </c>
      <c r="H753">
        <v>0.18667791656764599</v>
      </c>
      <c r="I753">
        <v>0.26134421540117647</v>
      </c>
      <c r="J753">
        <v>0.20477022211394091</v>
      </c>
    </row>
    <row r="754" spans="1:10">
      <c r="A754" s="568">
        <v>44925</v>
      </c>
      <c r="B754">
        <v>0.24698384559921926</v>
      </c>
      <c r="C754">
        <v>0.50493355624906244</v>
      </c>
      <c r="D754">
        <v>0.45051817040085096</v>
      </c>
      <c r="E754">
        <v>9.8823617719275614E-2</v>
      </c>
      <c r="F754">
        <v>0.43770345463991367</v>
      </c>
      <c r="G754">
        <v>0.16270508175233944</v>
      </c>
      <c r="H754">
        <v>0.186161070055054</v>
      </c>
      <c r="I754">
        <v>0.26514424397492764</v>
      </c>
      <c r="J754">
        <v>0.20538210126404288</v>
      </c>
    </row>
    <row r="755" spans="1:10">
      <c r="A755" s="568">
        <v>44928</v>
      </c>
      <c r="B755">
        <v>0.24765401463249992</v>
      </c>
      <c r="C755">
        <v>0.50575178353272543</v>
      </c>
      <c r="D755">
        <v>0.4481725252440194</v>
      </c>
      <c r="E755">
        <v>9.8787795059778638E-2</v>
      </c>
      <c r="F755">
        <v>0.43709323693593238</v>
      </c>
      <c r="G755">
        <v>0.16232002561729542</v>
      </c>
      <c r="H755">
        <v>0.15840244701803696</v>
      </c>
      <c r="I755">
        <v>0.27446364274324764</v>
      </c>
      <c r="J755">
        <v>0.20599429117555612</v>
      </c>
    </row>
    <row r="756" spans="1:10">
      <c r="A756" s="568">
        <v>44929</v>
      </c>
      <c r="B756">
        <v>0.2483377355824703</v>
      </c>
      <c r="C756">
        <v>0.50657045568379466</v>
      </c>
      <c r="D756">
        <v>0.44675476011633797</v>
      </c>
      <c r="E756">
        <v>0.10064289706944263</v>
      </c>
      <c r="F756">
        <v>0.44003380480643628</v>
      </c>
      <c r="G756">
        <v>0.16085726305891379</v>
      </c>
      <c r="H756">
        <v>0.13536420743532118</v>
      </c>
      <c r="I756">
        <v>0.29711430743898304</v>
      </c>
      <c r="J756">
        <v>0.20660679200631016</v>
      </c>
    </row>
    <row r="757" spans="1:10">
      <c r="A757" s="568">
        <v>44930</v>
      </c>
      <c r="B757">
        <v>0.24903639047455228</v>
      </c>
      <c r="C757">
        <v>0.50738957294414289</v>
      </c>
      <c r="D757">
        <v>0.44665301484846243</v>
      </c>
      <c r="E757">
        <v>0.10567214258667601</v>
      </c>
      <c r="F757">
        <v>0.44009566290793378</v>
      </c>
      <c r="G757">
        <v>0.15970476653641441</v>
      </c>
      <c r="H757">
        <v>0.14314404326236829</v>
      </c>
      <c r="I757">
        <v>0.31701766776096596</v>
      </c>
      <c r="J757">
        <v>0.20721960391421468</v>
      </c>
    </row>
    <row r="758" spans="1:10">
      <c r="A758" s="568">
        <v>44931</v>
      </c>
      <c r="B758">
        <v>0.2497663227489475</v>
      </c>
      <c r="C758">
        <v>0.50820913555577474</v>
      </c>
      <c r="D758">
        <v>0.4486519192464169</v>
      </c>
      <c r="E758">
        <v>0.10362257471117164</v>
      </c>
      <c r="F758">
        <v>0.4400215919491357</v>
      </c>
      <c r="G758">
        <v>0.16073088597393781</v>
      </c>
      <c r="H758">
        <v>0.15788476284971886</v>
      </c>
      <c r="I758">
        <v>0.30179925698869403</v>
      </c>
      <c r="J758">
        <v>0.20783272705725975</v>
      </c>
    </row>
    <row r="759" spans="1:10">
      <c r="A759" s="568">
        <v>44932</v>
      </c>
      <c r="B759">
        <v>0.25031358734014342</v>
      </c>
      <c r="C759">
        <v>0.50902914376082609</v>
      </c>
      <c r="D759">
        <v>0.4508815491075906</v>
      </c>
      <c r="E759">
        <v>0.11400474906180746</v>
      </c>
      <c r="F759">
        <v>0.44025188589116104</v>
      </c>
      <c r="G759">
        <v>0.16046143495375098</v>
      </c>
      <c r="H759">
        <v>0.16600346467221527</v>
      </c>
      <c r="I759">
        <v>0.29677972705126732</v>
      </c>
      <c r="J759">
        <v>0.20844616159351559</v>
      </c>
    </row>
    <row r="760" spans="1:10">
      <c r="A760" s="568">
        <v>44935</v>
      </c>
      <c r="B760">
        <v>0.25115518440909179</v>
      </c>
      <c r="C760">
        <v>0.50984959780156469</v>
      </c>
      <c r="D760">
        <v>0.45151008559193828</v>
      </c>
      <c r="E760">
        <v>0.11892396783915737</v>
      </c>
      <c r="F760">
        <v>0.44159781138776855</v>
      </c>
      <c r="G760">
        <v>0.16072538431360228</v>
      </c>
      <c r="H760">
        <v>0.16684988125816647</v>
      </c>
      <c r="I760">
        <v>0.31521005034887328</v>
      </c>
      <c r="J760">
        <v>0.20905990768113258</v>
      </c>
    </row>
    <row r="761" spans="1:10">
      <c r="A761" s="568">
        <v>44936</v>
      </c>
      <c r="B761">
        <v>0.25186585449573951</v>
      </c>
      <c r="C761">
        <v>0.51067049792038977</v>
      </c>
      <c r="D761">
        <v>0.45482778585177286</v>
      </c>
      <c r="E761">
        <v>0.11748850269788647</v>
      </c>
      <c r="F761">
        <v>0.44120472508524866</v>
      </c>
      <c r="G761">
        <v>0.16127134149049116</v>
      </c>
      <c r="H761">
        <v>0.18149982054533931</v>
      </c>
      <c r="I761">
        <v>0.3131720706549157</v>
      </c>
      <c r="J761">
        <v>0.20967396547834172</v>
      </c>
    </row>
    <row r="762" spans="1:10">
      <c r="A762" s="568">
        <v>44937</v>
      </c>
      <c r="B762">
        <v>0.2525528319071022</v>
      </c>
      <c r="C762">
        <v>0.51149184435983264</v>
      </c>
      <c r="D762">
        <v>0.4580639960325501</v>
      </c>
      <c r="E762">
        <v>0.12343570386472935</v>
      </c>
      <c r="F762">
        <v>0.44346162737231554</v>
      </c>
      <c r="G762">
        <v>0.16143447205841177</v>
      </c>
      <c r="H762">
        <v>0.20079065763481063</v>
      </c>
      <c r="I762">
        <v>0.31919680434919817</v>
      </c>
      <c r="J762">
        <v>0.21028833514345413</v>
      </c>
    </row>
    <row r="763" spans="1:10">
      <c r="A763" s="568">
        <v>44938</v>
      </c>
      <c r="B763">
        <v>0.25079766933289127</v>
      </c>
      <c r="C763">
        <v>0.51231363736255608</v>
      </c>
      <c r="D763">
        <v>0.45942583384447322</v>
      </c>
      <c r="E763">
        <v>0.13165444545788807</v>
      </c>
      <c r="F763">
        <v>0.44846638885380363</v>
      </c>
      <c r="G763">
        <v>0.1632260400344705</v>
      </c>
      <c r="H763">
        <v>0.19685343847402459</v>
      </c>
      <c r="I763">
        <v>0.3080148841972068</v>
      </c>
      <c r="J763">
        <v>0.21090301683486135</v>
      </c>
    </row>
    <row r="764" spans="1:10">
      <c r="A764" s="568">
        <v>44939</v>
      </c>
      <c r="B764">
        <v>0.2507248329078664</v>
      </c>
      <c r="C764">
        <v>0.51313587717135523</v>
      </c>
      <c r="D764">
        <v>0.45984707543979986</v>
      </c>
      <c r="E764">
        <v>0.13117211893537539</v>
      </c>
      <c r="F764">
        <v>0.45190958516760227</v>
      </c>
      <c r="G764">
        <v>0.16306643496377426</v>
      </c>
      <c r="H764">
        <v>0.19403029185573861</v>
      </c>
      <c r="I764">
        <v>0.31860024459837466</v>
      </c>
      <c r="J764">
        <v>0.21151801071103526</v>
      </c>
    </row>
    <row r="765" spans="1:10">
      <c r="A765" s="568">
        <v>44942</v>
      </c>
      <c r="B765">
        <v>0.25090406963212719</v>
      </c>
      <c r="C765">
        <v>0.51395856402915685</v>
      </c>
      <c r="D765">
        <v>0.45904822451048499</v>
      </c>
      <c r="E765">
        <v>0.13113629627587842</v>
      </c>
      <c r="F765">
        <v>0.45348746156572806</v>
      </c>
      <c r="G765">
        <v>0.1631012046252156</v>
      </c>
      <c r="H765">
        <v>0.1872156314283997</v>
      </c>
      <c r="I765">
        <v>0.32922702655602887</v>
      </c>
      <c r="J765">
        <v>0.21213331693052861</v>
      </c>
    </row>
    <row r="766" spans="1:10">
      <c r="A766" s="568">
        <v>44943</v>
      </c>
      <c r="B766">
        <v>0.2513217829130896</v>
      </c>
      <c r="C766">
        <v>0.51478169817902009</v>
      </c>
      <c r="D766">
        <v>0.46097669008428754</v>
      </c>
      <c r="E766">
        <v>0.13047421676553284</v>
      </c>
      <c r="F766">
        <v>0.45310599218750647</v>
      </c>
      <c r="G766">
        <v>0.1637478382918689</v>
      </c>
      <c r="H766">
        <v>0.20070243493219708</v>
      </c>
      <c r="I766">
        <v>0.31526489997718388</v>
      </c>
      <c r="J766">
        <v>0.2127489356519745</v>
      </c>
    </row>
    <row r="767" spans="1:10">
      <c r="A767" s="568">
        <v>44944</v>
      </c>
      <c r="B767">
        <v>0.25175245163272009</v>
      </c>
      <c r="C767">
        <v>0.51560527986413618</v>
      </c>
      <c r="D767">
        <v>0.46109798346331021</v>
      </c>
      <c r="E767">
        <v>0.13615018922475586</v>
      </c>
      <c r="F767">
        <v>0.45252938993834646</v>
      </c>
      <c r="G767">
        <v>0.16299261160982859</v>
      </c>
      <c r="H767">
        <v>0.21056323863892934</v>
      </c>
      <c r="I767">
        <v>0.31815949184833148</v>
      </c>
      <c r="J767">
        <v>0.21336486703408641</v>
      </c>
    </row>
    <row r="768" spans="1:10">
      <c r="A768" s="568">
        <v>44945</v>
      </c>
      <c r="B768">
        <v>0.25182804021844629</v>
      </c>
      <c r="C768">
        <v>0.51642930932782849</v>
      </c>
      <c r="D768">
        <v>0.46218054715916712</v>
      </c>
      <c r="E768">
        <v>0.13344685781343202</v>
      </c>
      <c r="F768">
        <v>0.45402390611538235</v>
      </c>
      <c r="G768">
        <v>0.16272382637708049</v>
      </c>
      <c r="H768">
        <v>0.21741905898717295</v>
      </c>
      <c r="I768">
        <v>0.31468275929419742</v>
      </c>
      <c r="J768">
        <v>0.21398111123565844</v>
      </c>
    </row>
    <row r="769" spans="1:10">
      <c r="A769" s="568">
        <v>44946</v>
      </c>
      <c r="B769">
        <v>0.25246562386234483</v>
      </c>
      <c r="C769">
        <v>0.51725378681355272</v>
      </c>
      <c r="D769">
        <v>0.46017424941653418</v>
      </c>
      <c r="E769">
        <v>0.13205681068688047</v>
      </c>
      <c r="F769">
        <v>0.45512550618680447</v>
      </c>
      <c r="G769">
        <v>0.16319111835559519</v>
      </c>
      <c r="H769">
        <v>0.20936906746306372</v>
      </c>
      <c r="I769">
        <v>0.34141958081506374</v>
      </c>
      <c r="J769">
        <v>0.21459766841556571</v>
      </c>
    </row>
    <row r="770" spans="1:10">
      <c r="A770" s="568">
        <v>44949</v>
      </c>
      <c r="B770">
        <v>0.25310402148528199</v>
      </c>
      <c r="C770">
        <v>0.5180787125648969</v>
      </c>
      <c r="D770">
        <v>0.45970853860624716</v>
      </c>
      <c r="E770">
        <v>0.13304001475200233</v>
      </c>
      <c r="F770">
        <v>0.45679929128040797</v>
      </c>
      <c r="G770">
        <v>0.16343034652346233</v>
      </c>
      <c r="H770">
        <v>0.20315557320854838</v>
      </c>
      <c r="I770">
        <v>0.34943482089554401</v>
      </c>
      <c r="J770">
        <v>0.21521453873276353</v>
      </c>
    </row>
    <row r="771" spans="1:10">
      <c r="A771" s="568">
        <v>44950</v>
      </c>
      <c r="B771">
        <v>0.25379795758901258</v>
      </c>
      <c r="C771">
        <v>0.51890408682558142</v>
      </c>
      <c r="D771">
        <v>0.4624437508068544</v>
      </c>
      <c r="E771">
        <v>0.13681930532893127</v>
      </c>
      <c r="F771">
        <v>0.45753860800730561</v>
      </c>
      <c r="G771">
        <v>0.16432166386879521</v>
      </c>
      <c r="H771">
        <v>0.21355901827460211</v>
      </c>
      <c r="I771">
        <v>0.33874287024484606</v>
      </c>
      <c r="J771">
        <v>0.21583172234628845</v>
      </c>
    </row>
    <row r="772" spans="1:10">
      <c r="A772" s="568">
        <v>44951</v>
      </c>
      <c r="B772">
        <v>0.25445261977032696</v>
      </c>
      <c r="C772">
        <v>0.51972990983945944</v>
      </c>
      <c r="D772">
        <v>0.46323955183826859</v>
      </c>
      <c r="E772">
        <v>0.1375549492293151</v>
      </c>
      <c r="F772">
        <v>0.45726645767226071</v>
      </c>
      <c r="G772">
        <v>0.16664651685136134</v>
      </c>
      <c r="H772">
        <v>0.22746046630477745</v>
      </c>
      <c r="I772">
        <v>0.3275610919769576</v>
      </c>
      <c r="J772">
        <v>0.21644921941525741</v>
      </c>
    </row>
    <row r="773" spans="1:10">
      <c r="A773" s="568">
        <v>44952</v>
      </c>
      <c r="B773">
        <v>0.2551322599505379</v>
      </c>
      <c r="C773">
        <v>0.52055618185051644</v>
      </c>
      <c r="D773">
        <v>0.46278258599008737</v>
      </c>
      <c r="E773">
        <v>0.13806798088853944</v>
      </c>
      <c r="F773">
        <v>0.45693301561957966</v>
      </c>
      <c r="G773">
        <v>0.16744267169323535</v>
      </c>
      <c r="H773">
        <v>0.2290157083380524</v>
      </c>
      <c r="I773">
        <v>0.34529279693873005</v>
      </c>
      <c r="J773">
        <v>0.21706703009886819</v>
      </c>
    </row>
    <row r="774" spans="1:10">
      <c r="A774" s="568">
        <v>44953</v>
      </c>
      <c r="B774">
        <v>0.25581250658833721</v>
      </c>
      <c r="C774">
        <v>0.52138290310287094</v>
      </c>
      <c r="D774">
        <v>0.46137665429011943</v>
      </c>
      <c r="E774">
        <v>0.13802384225451658</v>
      </c>
      <c r="F774">
        <v>0.45860437889843197</v>
      </c>
      <c r="G774">
        <v>0.16700375105394527</v>
      </c>
      <c r="H774">
        <v>0.22101401885913385</v>
      </c>
      <c r="I774">
        <v>0.35677438487579427</v>
      </c>
      <c r="J774">
        <v>0.21768515455639958</v>
      </c>
    </row>
    <row r="775" spans="1:10">
      <c r="A775" s="568">
        <v>44956</v>
      </c>
      <c r="B775">
        <v>0.25650625476816225</v>
      </c>
      <c r="C775">
        <v>0.52221007384077356</v>
      </c>
      <c r="D775">
        <v>0.46209989801665885</v>
      </c>
      <c r="E775">
        <v>0.13497123991309734</v>
      </c>
      <c r="F775">
        <v>0.45623042942409175</v>
      </c>
      <c r="G775">
        <v>0.16712531797651708</v>
      </c>
      <c r="H775">
        <v>0.21918327388248837</v>
      </c>
      <c r="I775">
        <v>0.33532944414403798</v>
      </c>
      <c r="J775">
        <v>0.21830359294721124</v>
      </c>
    </row>
    <row r="776" spans="1:10">
      <c r="A776" s="568">
        <v>44957</v>
      </c>
      <c r="B776">
        <v>0.25717538404018314</v>
      </c>
      <c r="C776">
        <v>0.52303769430860836</v>
      </c>
      <c r="D776">
        <v>0.4627982279910583</v>
      </c>
      <c r="E776">
        <v>0.13814474373031871</v>
      </c>
      <c r="F776">
        <v>0.45692340858468983</v>
      </c>
      <c r="G776">
        <v>0.16714869887595585</v>
      </c>
      <c r="H776">
        <v>0.23004735566844836</v>
      </c>
      <c r="I776">
        <v>0.33267045926831873</v>
      </c>
      <c r="J776">
        <v>0.21892234543074363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2"/>
  <sheetViews>
    <sheetView showGridLines="0" workbookViewId="0">
      <selection activeCell="I22" sqref="I22"/>
    </sheetView>
  </sheetViews>
  <sheetFormatPr defaultRowHeight="18.75"/>
  <cols>
    <col min="2" max="2" width="18.3984375" customWidth="1"/>
    <col min="3" max="3" width="8.8984375" customWidth="1"/>
    <col min="5" max="5" width="11.796875" customWidth="1"/>
    <col min="8" max="8" width="16" customWidth="1"/>
    <col min="10" max="10" width="19.3984375" customWidth="1"/>
    <col min="14" max="14" width="13.59765625" customWidth="1"/>
  </cols>
  <sheetData>
    <row r="2" spans="2:15" ht="20.25">
      <c r="B2" s="552" t="s">
        <v>2546</v>
      </c>
    </row>
    <row r="4" spans="2:15">
      <c r="B4" s="551" t="s">
        <v>2741</v>
      </c>
      <c r="C4" s="551" t="s">
        <v>2547</v>
      </c>
      <c r="E4" s="551" t="s">
        <v>655</v>
      </c>
      <c r="F4" s="551" t="s">
        <v>2547</v>
      </c>
      <c r="H4" s="551" t="s">
        <v>703</v>
      </c>
      <c r="I4" s="551" t="s">
        <v>2547</v>
      </c>
    </row>
    <row r="5" spans="2:15">
      <c r="B5" s="548" t="s">
        <v>2548</v>
      </c>
      <c r="C5" s="591">
        <v>0.47500000000000009</v>
      </c>
      <c r="E5" s="548" t="s">
        <v>2555</v>
      </c>
      <c r="F5" s="591">
        <v>0.2</v>
      </c>
      <c r="H5" s="548" t="s">
        <v>2548</v>
      </c>
      <c r="I5" s="591">
        <v>0.47500000000000009</v>
      </c>
    </row>
    <row r="6" spans="2:15">
      <c r="B6" s="548" t="s">
        <v>2549</v>
      </c>
      <c r="C6" s="591">
        <v>0.33500000000000008</v>
      </c>
      <c r="E6" s="548" t="s">
        <v>2494</v>
      </c>
      <c r="F6" s="591">
        <v>0.05</v>
      </c>
      <c r="H6" s="548" t="s">
        <v>2549</v>
      </c>
      <c r="I6" s="591">
        <v>0.33500000000000008</v>
      </c>
    </row>
    <row r="7" spans="2:15">
      <c r="B7" s="548" t="s">
        <v>2550</v>
      </c>
      <c r="C7" s="591">
        <v>0.19</v>
      </c>
      <c r="E7" s="548" t="s">
        <v>2493</v>
      </c>
      <c r="F7" s="591">
        <v>0.21000000000000002</v>
      </c>
      <c r="H7" s="548" t="s">
        <v>2550</v>
      </c>
      <c r="I7" s="591">
        <v>0.19</v>
      </c>
      <c r="J7" s="592"/>
      <c r="K7" s="592"/>
      <c r="N7" s="592"/>
      <c r="O7" s="592"/>
    </row>
    <row r="8" spans="2:15">
      <c r="E8" s="548" t="s">
        <v>4326</v>
      </c>
      <c r="F8" s="591">
        <v>1.4999999999999999E-2</v>
      </c>
    </row>
    <row r="9" spans="2:15">
      <c r="E9" s="548" t="s">
        <v>2495</v>
      </c>
      <c r="F9" s="591">
        <v>0.27500000000000002</v>
      </c>
    </row>
    <row r="10" spans="2:15">
      <c r="E10" s="548" t="s">
        <v>2496</v>
      </c>
      <c r="F10" s="591">
        <v>6.0000000000000005E-2</v>
      </c>
    </row>
    <row r="11" spans="2:15">
      <c r="E11" s="548" t="s">
        <v>2497</v>
      </c>
      <c r="F11" s="591">
        <v>0.16</v>
      </c>
    </row>
    <row r="12" spans="2:15">
      <c r="E12" s="548" t="s">
        <v>4327</v>
      </c>
      <c r="F12" s="591">
        <v>3.0000000000000002E-2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W65"/>
  <sheetViews>
    <sheetView showGridLines="0" topLeftCell="A4" workbookViewId="0">
      <selection activeCell="A18" sqref="A18"/>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552" t="s">
        <v>2467</v>
      </c>
    </row>
    <row r="3" spans="2:9" ht="8.25" customHeight="1"/>
    <row r="4" spans="2:9" s="328" customFormat="1" ht="31.5" customHeight="1">
      <c r="B4" s="551"/>
      <c r="C4" s="551" t="s">
        <v>2465</v>
      </c>
      <c r="D4" s="551" t="s">
        <v>2444</v>
      </c>
      <c r="E4" s="551" t="s">
        <v>2445</v>
      </c>
      <c r="F4" s="551" t="s">
        <v>2446</v>
      </c>
    </row>
    <row r="5" spans="2:9">
      <c r="B5" s="548" t="s">
        <v>1425</v>
      </c>
      <c r="C5" s="549">
        <v>0.3713317817657753</v>
      </c>
      <c r="D5" s="549">
        <v>0.10828399096626362</v>
      </c>
      <c r="E5" s="549">
        <v>5.1326332954847807E-2</v>
      </c>
      <c r="F5" s="550">
        <v>0.81258540717363414</v>
      </c>
    </row>
    <row r="6" spans="2:9">
      <c r="B6" s="548" t="s">
        <v>64</v>
      </c>
      <c r="C6" s="549">
        <v>0.21892234543074363</v>
      </c>
      <c r="D6" s="549">
        <v>6.6576961803419099E-2</v>
      </c>
      <c r="E6" s="549">
        <v>2.6962687951847062E-3</v>
      </c>
      <c r="F6" s="550">
        <v>0</v>
      </c>
    </row>
    <row r="9" spans="2:9" ht="20.25">
      <c r="B9" s="552" t="s">
        <v>2466</v>
      </c>
    </row>
    <row r="10" spans="2:9" ht="8.25" customHeight="1"/>
    <row r="11" spans="2:9" s="328" customFormat="1" ht="30">
      <c r="B11" s="551"/>
      <c r="C11" s="551" t="s">
        <v>2447</v>
      </c>
      <c r="D11" s="551" t="s">
        <v>2448</v>
      </c>
      <c r="E11" s="551" t="s">
        <v>2449</v>
      </c>
      <c r="F11" s="551" t="s">
        <v>2450</v>
      </c>
      <c r="G11" s="551" t="s">
        <v>2451</v>
      </c>
      <c r="H11" s="551" t="s">
        <v>2568</v>
      </c>
      <c r="I11" s="551" t="s">
        <v>4323</v>
      </c>
    </row>
    <row r="12" spans="2:9">
      <c r="B12" s="548" t="s">
        <v>1425</v>
      </c>
      <c r="C12" s="549">
        <v>1.6101324120634253E-2</v>
      </c>
      <c r="D12" s="549">
        <v>1.6101324120634253E-2</v>
      </c>
      <c r="E12" s="549">
        <v>7.228949273531704E-2</v>
      </c>
      <c r="F12" s="549">
        <v>0.13779463324127272</v>
      </c>
      <c r="G12" s="549">
        <v>0.24592433007470293</v>
      </c>
      <c r="H12" s="554">
        <v>5000000</v>
      </c>
      <c r="I12" s="554">
        <v>6856658.9088288769</v>
      </c>
    </row>
    <row r="13" spans="2:9">
      <c r="B13" s="548" t="s">
        <v>64</v>
      </c>
      <c r="C13" s="549">
        <v>1.1233155156776142E-2</v>
      </c>
      <c r="D13" s="549">
        <v>1.1233155156776142E-2</v>
      </c>
      <c r="E13" s="549">
        <v>6.655298978736357E-2</v>
      </c>
      <c r="F13" s="549">
        <v>0.12770045706709698</v>
      </c>
      <c r="G13" s="549">
        <v>0.1844382678683143</v>
      </c>
      <c r="H13" s="554">
        <v>5000000</v>
      </c>
      <c r="I13" s="554">
        <v>6094611.7271537185</v>
      </c>
    </row>
    <row r="16" spans="2:9" ht="20.25">
      <c r="B16" s="552" t="s">
        <v>2468</v>
      </c>
    </row>
    <row r="17" spans="2:49" ht="8.25" customHeight="1"/>
    <row r="18" spans="2:49" s="531" customFormat="1">
      <c r="B18" s="551"/>
      <c r="C18" s="551" t="s">
        <v>2569</v>
      </c>
      <c r="D18" s="551" t="s">
        <v>2570</v>
      </c>
      <c r="E18" s="551" t="s">
        <v>2571</v>
      </c>
      <c r="F18" s="551" t="s">
        <v>2572</v>
      </c>
      <c r="G18" s="551" t="s">
        <v>2573</v>
      </c>
      <c r="H18" s="551" t="s">
        <v>2574</v>
      </c>
      <c r="I18" s="551" t="s">
        <v>2575</v>
      </c>
      <c r="J18" s="551" t="s">
        <v>2576</v>
      </c>
      <c r="K18" s="551" t="s">
        <v>2577</v>
      </c>
      <c r="L18" s="551" t="s">
        <v>2521</v>
      </c>
      <c r="M18" s="551" t="s">
        <v>2522</v>
      </c>
      <c r="N18" s="551" t="s">
        <v>2523</v>
      </c>
      <c r="O18" s="551" t="s">
        <v>2524</v>
      </c>
      <c r="P18" s="551" t="s">
        <v>2525</v>
      </c>
      <c r="Q18" s="551" t="s">
        <v>2526</v>
      </c>
      <c r="R18" s="551" t="s">
        <v>2527</v>
      </c>
      <c r="S18" s="551" t="s">
        <v>2528</v>
      </c>
      <c r="T18" s="551" t="s">
        <v>2529</v>
      </c>
      <c r="U18" s="551" t="s">
        <v>2530</v>
      </c>
      <c r="V18" s="551" t="s">
        <v>2544</v>
      </c>
      <c r="W18" s="551" t="s">
        <v>2531</v>
      </c>
      <c r="X18" s="551" t="s">
        <v>2532</v>
      </c>
      <c r="Y18" s="551" t="s">
        <v>2533</v>
      </c>
      <c r="Z18" s="551" t="s">
        <v>2534</v>
      </c>
      <c r="AA18" s="551" t="s">
        <v>2535</v>
      </c>
      <c r="AB18" s="551" t="s">
        <v>2536</v>
      </c>
      <c r="AC18" s="551" t="s">
        <v>2537</v>
      </c>
      <c r="AD18" s="551" t="s">
        <v>2538</v>
      </c>
      <c r="AE18" s="551" t="s">
        <v>2539</v>
      </c>
      <c r="AF18" s="551" t="s">
        <v>2540</v>
      </c>
      <c r="AG18" s="551" t="s">
        <v>2541</v>
      </c>
      <c r="AH18" s="551" t="s">
        <v>2545</v>
      </c>
      <c r="AI18" s="551" t="s">
        <v>2542</v>
      </c>
      <c r="AJ18" s="551" t="s">
        <v>2543</v>
      </c>
      <c r="AK18" s="551" t="s">
        <v>2676</v>
      </c>
      <c r="AL18" s="551" t="s">
        <v>4283</v>
      </c>
      <c r="AM18" s="551" t="s">
        <v>4324</v>
      </c>
      <c r="AN18" s="551"/>
      <c r="AO18" s="551"/>
      <c r="AP18" s="551"/>
      <c r="AQ18" s="551"/>
      <c r="AR18" s="551"/>
      <c r="AS18" s="551"/>
      <c r="AT18" s="551"/>
      <c r="AU18" s="551"/>
      <c r="AV18" s="551"/>
      <c r="AW18" s="551"/>
    </row>
    <row r="19" spans="2:49">
      <c r="B19" s="548" t="s">
        <v>1425</v>
      </c>
      <c r="C19" s="549">
        <v>3.6858917691284798E-3</v>
      </c>
      <c r="D19" s="549">
        <v>-9.3886910897352793E-3</v>
      </c>
      <c r="E19" s="549">
        <v>-4.6451637763958553E-2</v>
      </c>
      <c r="F19" s="549">
        <v>2.9005530758515086E-2</v>
      </c>
      <c r="G19" s="549">
        <v>1.8781985623868902E-2</v>
      </c>
      <c r="H19" s="549">
        <v>2.2947964022393297E-2</v>
      </c>
      <c r="I19" s="549">
        <v>2.3516616802935042E-2</v>
      </c>
      <c r="J19" s="549">
        <v>5.5994714034555138E-3</v>
      </c>
      <c r="K19" s="549">
        <v>-9.3556408231632027E-3</v>
      </c>
      <c r="L19" s="549">
        <v>4.9608341187314942E-3</v>
      </c>
      <c r="M19" s="549">
        <v>3.0042450870950255E-2</v>
      </c>
      <c r="N19" s="549">
        <v>2.5285278411574463E-2</v>
      </c>
      <c r="O19" s="549">
        <v>3.8657186081203498E-4</v>
      </c>
      <c r="P19" s="549">
        <v>1.0463501600117775E-2</v>
      </c>
      <c r="Q19" s="549">
        <v>1.0696286909379404E-2</v>
      </c>
      <c r="R19" s="549">
        <v>1.2700287434033397E-2</v>
      </c>
      <c r="S19" s="549">
        <v>1.3806209408325998E-2</v>
      </c>
      <c r="T19" s="549">
        <v>1.0966685333072101E-2</v>
      </c>
      <c r="U19" s="549">
        <v>-1.7074547421405128E-3</v>
      </c>
      <c r="V19" s="549">
        <v>2.8079239873604056E-3</v>
      </c>
      <c r="W19" s="549">
        <v>4.2973291776207123E-3</v>
      </c>
      <c r="X19" s="549">
        <v>-5.9120990919954153E-3</v>
      </c>
      <c r="Y19" s="549">
        <v>1.9481660302647086E-3</v>
      </c>
      <c r="Z19" s="549">
        <v>1.4623515646349894E-2</v>
      </c>
      <c r="AA19" s="549">
        <v>1.6718909121587355E-2</v>
      </c>
      <c r="AB19" s="549">
        <v>7.6023722985274489E-3</v>
      </c>
      <c r="AC19" s="549">
        <v>2.9158161739693211E-2</v>
      </c>
      <c r="AD19" s="549">
        <v>4.071283378078272E-3</v>
      </c>
      <c r="AE19" s="549">
        <v>1.2512718989184712E-2</v>
      </c>
      <c r="AF19" s="549">
        <v>-3.1422618428238458E-3</v>
      </c>
      <c r="AG19" s="549">
        <v>9.6766398211594051E-3</v>
      </c>
      <c r="AH19" s="549">
        <v>2.2902757336310753E-2</v>
      </c>
      <c r="AI19" s="549">
        <v>8.7242689104214399E-3</v>
      </c>
      <c r="AJ19" s="549">
        <v>1.6181203064025151E-2</v>
      </c>
      <c r="AK19" s="549">
        <v>4.4916149991136578E-4</v>
      </c>
      <c r="AL19" s="549">
        <v>6.0093852290850069E-3</v>
      </c>
      <c r="AM19" s="549">
        <v>1.6101324120634253E-2</v>
      </c>
      <c r="AN19" s="549"/>
      <c r="AO19" s="549"/>
      <c r="AP19" s="549"/>
      <c r="AQ19" s="549"/>
      <c r="AR19" s="549"/>
      <c r="AS19" s="549"/>
      <c r="AT19" s="549"/>
      <c r="AU19" s="549"/>
      <c r="AV19" s="549"/>
      <c r="AW19" s="549"/>
    </row>
    <row r="20" spans="2:49">
      <c r="B20" s="548" t="s">
        <v>64</v>
      </c>
      <c r="C20" s="549">
        <v>3.7662362888968293E-3</v>
      </c>
      <c r="D20" s="549">
        <v>2.93727438624658E-3</v>
      </c>
      <c r="E20" s="549">
        <v>3.383698486890685E-3</v>
      </c>
      <c r="F20" s="549">
        <v>2.8492620001472346E-3</v>
      </c>
      <c r="G20" s="549">
        <v>2.358076395826858E-3</v>
      </c>
      <c r="H20" s="549">
        <v>2.1232775541852877E-3</v>
      </c>
      <c r="I20" s="549">
        <v>1.943390350078289E-3</v>
      </c>
      <c r="J20" s="549">
        <v>1.598927646699444E-3</v>
      </c>
      <c r="K20" s="549">
        <v>1.5697102274154773E-3</v>
      </c>
      <c r="L20" s="549">
        <v>1.5697102274154773E-3</v>
      </c>
      <c r="M20" s="549">
        <v>1.4949062791567158E-3</v>
      </c>
      <c r="N20" s="549">
        <v>1.6445197629524344E-3</v>
      </c>
      <c r="O20" s="549">
        <v>1.4949062791567158E-3</v>
      </c>
      <c r="P20" s="549">
        <v>1.3453151428046706E-3</v>
      </c>
      <c r="Q20" s="549">
        <v>2.0108777587299898E-3</v>
      </c>
      <c r="R20" s="549">
        <v>2.0779462200810617E-3</v>
      </c>
      <c r="S20" s="549">
        <v>2.703213944943883E-3</v>
      </c>
      <c r="T20" s="549">
        <v>3.0777517972109258E-3</v>
      </c>
      <c r="U20" s="549">
        <v>3.5561637462773188E-3</v>
      </c>
      <c r="V20" s="549">
        <v>4.2794584295848814E-3</v>
      </c>
      <c r="W20" s="549">
        <v>4.4199127599982013E-3</v>
      </c>
      <c r="X20" s="549">
        <v>4.8598826733934342E-3</v>
      </c>
      <c r="Y20" s="549">
        <v>5.8675468388829088E-3</v>
      </c>
      <c r="Z20" s="549">
        <v>7.6908903028305442E-3</v>
      </c>
      <c r="AA20" s="549">
        <v>7.3227559539157383E-3</v>
      </c>
      <c r="AB20" s="549">
        <v>7.5503363704603199E-3</v>
      </c>
      <c r="AC20" s="549">
        <v>9.2705146230787072E-3</v>
      </c>
      <c r="AD20" s="549">
        <v>8.343251638317728E-3</v>
      </c>
      <c r="AE20" s="549">
        <v>1.0345972775022139E-2</v>
      </c>
      <c r="AF20" s="549">
        <v>1.0153230128139956E-2</v>
      </c>
      <c r="AG20" s="549">
        <v>1.0348528288470549E-2</v>
      </c>
      <c r="AH20" s="549">
        <v>1.169363521698541E-2</v>
      </c>
      <c r="AI20" s="549">
        <v>1.0719830392053487E-2</v>
      </c>
      <c r="AJ20" s="549">
        <v>1.0206766202562889E-2</v>
      </c>
      <c r="AK20" s="549">
        <v>9.6939624560303805E-3</v>
      </c>
      <c r="AL20" s="549">
        <v>1.1233155156776142E-2</v>
      </c>
      <c r="AM20" s="549">
        <v>1.1233155156776142E-2</v>
      </c>
      <c r="AN20" s="549"/>
      <c r="AO20" s="549"/>
      <c r="AP20" s="549"/>
      <c r="AQ20" s="549"/>
      <c r="AR20" s="549"/>
      <c r="AS20" s="549"/>
      <c r="AT20" s="549"/>
      <c r="AU20" s="549"/>
      <c r="AV20" s="549"/>
      <c r="AW20" s="549"/>
    </row>
    <row r="21" spans="2:49">
      <c r="B21" s="548" t="s">
        <v>1356</v>
      </c>
      <c r="C21" s="549">
        <v>0.97866715904012402</v>
      </c>
      <c r="D21" s="549">
        <v>-3.1963956563597367</v>
      </c>
      <c r="E21" s="549">
        <v>-13.728066476349504</v>
      </c>
      <c r="F21" s="549">
        <v>10.180015301160875</v>
      </c>
      <c r="G21" s="549">
        <v>7.964960616673749</v>
      </c>
      <c r="H21" s="549">
        <v>10.807802294692719</v>
      </c>
      <c r="I21" s="549">
        <v>12.100819993259554</v>
      </c>
      <c r="J21" s="549">
        <v>3.5020167516736085</v>
      </c>
      <c r="K21" s="549">
        <v>-5.9601069418826649</v>
      </c>
      <c r="L21" s="549">
        <v>3.1603502557917911</v>
      </c>
      <c r="M21" s="549">
        <v>20.096544706399488</v>
      </c>
      <c r="N21" s="549">
        <v>15.375478593324639</v>
      </c>
      <c r="O21" s="549">
        <v>0.25859270658097855</v>
      </c>
      <c r="P21" s="549">
        <v>7.7777327164427783</v>
      </c>
      <c r="Q21" s="549">
        <v>5.3192128974238893</v>
      </c>
      <c r="R21" s="549">
        <v>6.1119423165523274</v>
      </c>
      <c r="S21" s="549">
        <v>5.1073313801703568</v>
      </c>
      <c r="T21" s="549">
        <v>3.5632130384945815</v>
      </c>
      <c r="U21" s="549">
        <v>-0.48013951661475635</v>
      </c>
      <c r="V21" s="549">
        <v>0.65614003116576169</v>
      </c>
      <c r="W21" s="549">
        <v>0.97226561042405302</v>
      </c>
      <c r="X21" s="549">
        <v>-1.2165106627702325</v>
      </c>
      <c r="Y21" s="549">
        <v>0.3320239418209075</v>
      </c>
      <c r="Z21" s="549">
        <v>1.9014073885526459</v>
      </c>
      <c r="AA21" s="549">
        <v>2.2831443826346773</v>
      </c>
      <c r="AB21" s="549">
        <v>1.0068918688537789</v>
      </c>
      <c r="AC21" s="549">
        <v>3.1452581572014049</v>
      </c>
      <c r="AD21" s="549">
        <v>0.48797322130142246</v>
      </c>
      <c r="AE21" s="549">
        <v>1.2094289499189155</v>
      </c>
      <c r="AF21" s="549">
        <v>-0.30948395763383524</v>
      </c>
      <c r="AG21" s="549">
        <v>0.93507400776401173</v>
      </c>
      <c r="AH21" s="549">
        <v>1.9585660841415427</v>
      </c>
      <c r="AI21" s="549">
        <v>0.813843931419723</v>
      </c>
      <c r="AJ21" s="549">
        <v>1.5853408163657259</v>
      </c>
      <c r="AK21" s="549">
        <v>4.6334148904399068E-2</v>
      </c>
      <c r="AL21" s="549">
        <v>0.53496859477276815</v>
      </c>
      <c r="AM21" s="549">
        <v>1.4333750309610473</v>
      </c>
      <c r="AN21" s="549"/>
      <c r="AO21" s="549"/>
      <c r="AP21" s="549"/>
      <c r="AQ21" s="549"/>
      <c r="AR21" s="549"/>
      <c r="AS21" s="549"/>
      <c r="AT21" s="549"/>
      <c r="AU21" s="549"/>
      <c r="AV21" s="549"/>
      <c r="AW21" s="549"/>
    </row>
    <row r="24" spans="2:49" ht="20.25">
      <c r="B24" s="552" t="s">
        <v>2500</v>
      </c>
    </row>
    <row r="25" spans="2:49" ht="8.25" customHeight="1"/>
    <row r="26" spans="2:49" s="328" customFormat="1" ht="45">
      <c r="B26" s="551"/>
      <c r="C26" s="551" t="s">
        <v>2501</v>
      </c>
      <c r="D26" s="551" t="s">
        <v>2502</v>
      </c>
      <c r="E26" s="551" t="s">
        <v>2503</v>
      </c>
      <c r="F26" s="551" t="s">
        <v>2504</v>
      </c>
      <c r="G26" s="551" t="s">
        <v>2505</v>
      </c>
      <c r="H26" s="551" t="s">
        <v>2506</v>
      </c>
    </row>
    <row r="27" spans="2:49">
      <c r="B27" s="548" t="s">
        <v>1425</v>
      </c>
      <c r="C27" s="553">
        <v>31</v>
      </c>
      <c r="D27" s="553">
        <v>6</v>
      </c>
      <c r="E27" s="549">
        <v>3.0042450870950255E-2</v>
      </c>
      <c r="F27" s="549">
        <v>-4.6451637763958553E-2</v>
      </c>
      <c r="G27" s="553">
        <v>21</v>
      </c>
      <c r="H27" s="553">
        <v>16</v>
      </c>
    </row>
    <row r="28" spans="2:49">
      <c r="B28" s="548" t="s">
        <v>64</v>
      </c>
      <c r="C28" s="553">
        <v>37</v>
      </c>
      <c r="D28" s="553">
        <v>0</v>
      </c>
      <c r="E28" s="549">
        <v>1.169363521698541E-2</v>
      </c>
      <c r="F28" s="549">
        <v>1.3453151428046706E-3</v>
      </c>
      <c r="G28" s="553">
        <v>0</v>
      </c>
      <c r="H28" s="553">
        <v>0</v>
      </c>
    </row>
    <row r="31" spans="2:49" ht="20.25">
      <c r="B31" s="552" t="s">
        <v>2469</v>
      </c>
    </row>
    <row r="32" spans="2:49" ht="8.25" customHeight="1"/>
    <row r="33" spans="2:10" s="328" customFormat="1">
      <c r="B33" s="551"/>
      <c r="C33" s="551" t="s">
        <v>2447</v>
      </c>
      <c r="D33" s="551" t="s">
        <v>2448</v>
      </c>
      <c r="E33" s="551" t="s">
        <v>2449</v>
      </c>
      <c r="F33" s="551" t="s">
        <v>2450</v>
      </c>
      <c r="G33" s="551" t="s">
        <v>2451</v>
      </c>
    </row>
    <row r="34" spans="2:10">
      <c r="B34" s="548" t="s">
        <v>1425</v>
      </c>
      <c r="C34" s="549">
        <v>2.6392967119454231E-2</v>
      </c>
      <c r="D34" s="549">
        <v>2.6392967119454231E-2</v>
      </c>
      <c r="E34" s="549">
        <v>3.1989921470949097E-2</v>
      </c>
      <c r="F34" s="549">
        <v>3.1930497738351188E-2</v>
      </c>
      <c r="G34" s="549">
        <v>3.3912389727186104E-2</v>
      </c>
    </row>
    <row r="35" spans="2:10">
      <c r="B35" s="548" t="s">
        <v>64</v>
      </c>
      <c r="C35" s="549">
        <v>0</v>
      </c>
      <c r="D35" s="549">
        <v>0</v>
      </c>
      <c r="E35" s="549">
        <v>4.2202856410132806E-5</v>
      </c>
      <c r="F35" s="549">
        <v>6.2073890571986046E-4</v>
      </c>
      <c r="G35" s="549">
        <v>2.5111113170097703E-3</v>
      </c>
    </row>
    <row r="38" spans="2:10" ht="20.25">
      <c r="B38" s="552" t="s">
        <v>2470</v>
      </c>
    </row>
    <row r="39" spans="2:10" ht="8.25" customHeight="1"/>
    <row r="40" spans="2:10" s="328" customFormat="1" ht="45">
      <c r="B40" s="551"/>
      <c r="C40" s="551" t="s">
        <v>2447</v>
      </c>
      <c r="D40" s="551" t="s">
        <v>2448</v>
      </c>
      <c r="E40" s="551" t="s">
        <v>2449</v>
      </c>
      <c r="F40" s="551" t="s">
        <v>2450</v>
      </c>
      <c r="G40" s="551" t="s">
        <v>2451</v>
      </c>
      <c r="H40" s="551" t="s">
        <v>2452</v>
      </c>
      <c r="I40" s="551" t="s">
        <v>2455</v>
      </c>
      <c r="J40" s="551" t="s">
        <v>2453</v>
      </c>
    </row>
    <row r="41" spans="2:10">
      <c r="B41" s="548" t="s">
        <v>1425</v>
      </c>
      <c r="C41" s="549">
        <v>-2.2051759042310826E-3</v>
      </c>
      <c r="D41" s="549">
        <v>-2.2051759042310826E-3</v>
      </c>
      <c r="E41" s="549">
        <v>-1.1326425737321011E-2</v>
      </c>
      <c r="F41" s="549">
        <v>-1.1326425737321011E-2</v>
      </c>
      <c r="G41" s="549">
        <v>-1.3855372666146115E-2</v>
      </c>
      <c r="H41" s="549">
        <v>-9.2943702770610703E-2</v>
      </c>
      <c r="I41" s="597" t="s">
        <v>4325</v>
      </c>
      <c r="J41" s="555">
        <v>60</v>
      </c>
    </row>
    <row r="42" spans="2:10">
      <c r="B42" s="548" t="s">
        <v>64</v>
      </c>
      <c r="C42" s="549">
        <v>0</v>
      </c>
      <c r="D42" s="549">
        <v>0</v>
      </c>
      <c r="E42" s="549">
        <v>0</v>
      </c>
      <c r="F42" s="549">
        <v>0</v>
      </c>
      <c r="G42" s="549">
        <v>0</v>
      </c>
      <c r="H42" s="549">
        <v>0</v>
      </c>
      <c r="I42" s="556" t="s">
        <v>34</v>
      </c>
      <c r="J42" s="556" t="s">
        <v>34</v>
      </c>
    </row>
    <row r="45" spans="2:10" ht="20.25">
      <c r="B45" s="552" t="s">
        <v>2471</v>
      </c>
    </row>
    <row r="46" spans="2:10" ht="8.25" customHeight="1"/>
    <row r="47" spans="2:10" ht="45">
      <c r="B47" s="551"/>
      <c r="C47" s="551" t="s">
        <v>2463</v>
      </c>
    </row>
    <row r="48" spans="2:10">
      <c r="B48" s="548" t="s">
        <v>2548</v>
      </c>
      <c r="C48" s="549">
        <v>0.17524057890348346</v>
      </c>
    </row>
    <row r="49" spans="2:3">
      <c r="B49" s="548" t="s">
        <v>2549</v>
      </c>
      <c r="C49" s="549">
        <v>0.13302994261877421</v>
      </c>
    </row>
    <row r="50" spans="2:3">
      <c r="B50" s="548" t="s">
        <v>2550</v>
      </c>
      <c r="C50" s="549">
        <v>6.3061260243517325E-2</v>
      </c>
    </row>
    <row r="51" spans="2:3">
      <c r="B51" s="548" t="s">
        <v>1426</v>
      </c>
      <c r="C51" s="549">
        <v>0.37133178176577497</v>
      </c>
    </row>
    <row r="54" spans="2:3" ht="20.25">
      <c r="B54" s="552" t="s">
        <v>4771</v>
      </c>
    </row>
    <row r="55" spans="2:3" ht="8.25" customHeight="1"/>
    <row r="56" spans="2:3" ht="45">
      <c r="B56" s="551"/>
      <c r="C56" s="551" t="s">
        <v>2464</v>
      </c>
    </row>
    <row r="57" spans="2:3">
      <c r="B57" s="548" t="s">
        <v>2555</v>
      </c>
      <c r="C57" s="549">
        <v>5.5827879328434686E-2</v>
      </c>
    </row>
    <row r="58" spans="2:3">
      <c r="B58" s="548" t="s">
        <v>2494</v>
      </c>
      <c r="C58" s="549">
        <v>2.4296777466986559E-2</v>
      </c>
    </row>
    <row r="59" spans="2:3">
      <c r="B59" s="548" t="s">
        <v>2493</v>
      </c>
      <c r="C59" s="549">
        <v>9.2739143278720154E-2</v>
      </c>
    </row>
    <row r="60" spans="2:3">
      <c r="B60" s="548" t="s">
        <v>4326</v>
      </c>
      <c r="C60" s="549">
        <v>2.3767788293420629E-3</v>
      </c>
    </row>
    <row r="61" spans="2:3">
      <c r="B61" s="548" t="s">
        <v>2495</v>
      </c>
      <c r="C61" s="549">
        <v>0.12207454366841436</v>
      </c>
    </row>
    <row r="62" spans="2:3">
      <c r="B62" s="548" t="s">
        <v>2496</v>
      </c>
      <c r="C62" s="549">
        <v>1.0955398950359834E-2</v>
      </c>
    </row>
    <row r="63" spans="2:3">
      <c r="B63" s="548" t="s">
        <v>2497</v>
      </c>
      <c r="C63" s="549">
        <v>5.3159189729333714E-2</v>
      </c>
    </row>
    <row r="64" spans="2:3">
      <c r="B64" s="548" t="s">
        <v>4327</v>
      </c>
      <c r="C64" s="549">
        <v>9.9020705141836321E-3</v>
      </c>
    </row>
    <row r="65" spans="2:3">
      <c r="B65" s="548" t="s">
        <v>1426</v>
      </c>
      <c r="C65" s="549">
        <v>0.37133178176577497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76"/>
  <sheetViews>
    <sheetView showGridLines="0" workbookViewId="0">
      <selection activeCell="L25" sqref="L25"/>
    </sheetView>
  </sheetViews>
  <sheetFormatPr defaultRowHeight="18.75"/>
  <cols>
    <col min="2" max="2" width="11.796875" style="1" customWidth="1"/>
    <col min="3" max="3" width="10.09765625" style="529" customWidth="1"/>
    <col min="4" max="4" width="8.796875" style="529"/>
  </cols>
  <sheetData>
    <row r="2" spans="2:7" s="328" customFormat="1" ht="30">
      <c r="C2" s="577" t="s">
        <v>1425</v>
      </c>
      <c r="D2" s="577" t="s">
        <v>64</v>
      </c>
      <c r="E2"/>
      <c r="F2"/>
      <c r="G2"/>
    </row>
    <row r="3" spans="2:7">
      <c r="B3" s="532">
        <v>43832</v>
      </c>
      <c r="C3" s="529">
        <v>4.7124292995339582E-3</v>
      </c>
      <c r="D3" s="529">
        <v>1.7088558920153041E-4</v>
      </c>
    </row>
    <row r="4" spans="2:7">
      <c r="B4" s="532">
        <v>43833</v>
      </c>
      <c r="C4" s="529">
        <v>3.631207438849815E-3</v>
      </c>
      <c r="D4" s="529">
        <v>3.4180038028774895E-4</v>
      </c>
    </row>
    <row r="5" spans="2:7">
      <c r="B5" s="532">
        <v>43836</v>
      </c>
      <c r="C5" s="529">
        <v>2.4466753622733872E-3</v>
      </c>
      <c r="D5" s="529">
        <v>5.1274437824866403E-4</v>
      </c>
    </row>
    <row r="6" spans="2:7">
      <c r="B6" s="532">
        <v>43837</v>
      </c>
      <c r="C6" s="529">
        <v>2.6645895297727762E-3</v>
      </c>
      <c r="D6" s="529">
        <v>6.8371758807539429E-4</v>
      </c>
    </row>
    <row r="7" spans="2:7">
      <c r="B7" s="532">
        <v>43838</v>
      </c>
      <c r="C7" s="529">
        <v>2.1816139565005166E-3</v>
      </c>
      <c r="D7" s="529">
        <v>8.5472001475972448E-4</v>
      </c>
    </row>
    <row r="8" spans="2:7">
      <c r="B8" s="532">
        <v>43839</v>
      </c>
      <c r="C8" s="529">
        <v>2.9209014314224291E-3</v>
      </c>
      <c r="D8" s="529">
        <v>1.0257516632945496E-3</v>
      </c>
    </row>
    <row r="9" spans="2:7">
      <c r="B9" s="532">
        <v>43840</v>
      </c>
      <c r="C9" s="529">
        <v>2.9855061542671812E-3</v>
      </c>
      <c r="D9" s="529">
        <v>1.1968125386734307E-3</v>
      </c>
    </row>
    <row r="10" spans="2:7">
      <c r="B10" s="532">
        <v>43843</v>
      </c>
      <c r="C10" s="529">
        <v>6.307296709668897E-3</v>
      </c>
      <c r="D10" s="529">
        <v>1.3679026458908172E-3</v>
      </c>
    </row>
    <row r="11" spans="2:7">
      <c r="B11" s="532">
        <v>43844</v>
      </c>
      <c r="C11" s="529">
        <v>7.0076341624973892E-3</v>
      </c>
      <c r="D11" s="529">
        <v>1.5390219899420465E-3</v>
      </c>
    </row>
    <row r="12" spans="2:7">
      <c r="B12" s="532">
        <v>43845</v>
      </c>
      <c r="C12" s="529">
        <v>6.1536675554769715E-3</v>
      </c>
      <c r="D12" s="529">
        <v>1.7101705758231223E-3</v>
      </c>
    </row>
    <row r="13" spans="2:7">
      <c r="B13" s="532">
        <v>43846</v>
      </c>
      <c r="C13" s="529">
        <v>6.793032690411982E-3</v>
      </c>
      <c r="D13" s="529">
        <v>1.8813484085311583E-3</v>
      </c>
    </row>
    <row r="14" spans="2:7">
      <c r="B14" s="532">
        <v>43847</v>
      </c>
      <c r="C14" s="529">
        <v>9.6252161224421595E-3</v>
      </c>
      <c r="D14" s="529">
        <v>2.0525554930639345E-3</v>
      </c>
    </row>
    <row r="15" spans="2:7">
      <c r="B15" s="532">
        <v>43850</v>
      </c>
      <c r="C15" s="529">
        <v>1.0756288578062767E-2</v>
      </c>
      <c r="D15" s="529">
        <v>2.2237918344203411E-3</v>
      </c>
    </row>
    <row r="16" spans="2:7">
      <c r="B16" s="532">
        <v>43851</v>
      </c>
      <c r="C16" s="529">
        <v>7.8376924202370191E-3</v>
      </c>
      <c r="D16" s="529">
        <v>2.3950574375997125E-3</v>
      </c>
    </row>
    <row r="17" spans="2:4">
      <c r="B17" s="532">
        <v>43852</v>
      </c>
      <c r="C17" s="529">
        <v>1.0015850823264616E-2</v>
      </c>
      <c r="D17" s="529">
        <v>2.566352307602715E-3</v>
      </c>
    </row>
    <row r="18" spans="2:4">
      <c r="B18" s="532">
        <v>43853</v>
      </c>
      <c r="C18" s="529">
        <v>1.1597934838385449E-2</v>
      </c>
      <c r="D18" s="529">
        <v>2.7376764494304595E-3</v>
      </c>
    </row>
    <row r="19" spans="2:4">
      <c r="B19" s="532">
        <v>43854</v>
      </c>
      <c r="C19" s="529">
        <v>9.5337384162874628E-3</v>
      </c>
      <c r="D19" s="529">
        <v>2.9090298680851667E-3</v>
      </c>
    </row>
    <row r="20" spans="2:4">
      <c r="B20" s="532">
        <v>43857</v>
      </c>
      <c r="C20" s="529">
        <v>3.490264190627812E-3</v>
      </c>
      <c r="D20" s="529">
        <v>3.0804125685697237E-3</v>
      </c>
    </row>
    <row r="21" spans="2:4">
      <c r="B21" s="532">
        <v>43858</v>
      </c>
      <c r="C21" s="529">
        <v>7.241749730465985E-3</v>
      </c>
      <c r="D21" s="529">
        <v>3.2518245558881276E-3</v>
      </c>
    </row>
    <row r="22" spans="2:4">
      <c r="B22" s="532">
        <v>43859</v>
      </c>
      <c r="C22" s="529">
        <v>6.3734292714605623E-3</v>
      </c>
      <c r="D22" s="529">
        <v>3.4232658350448197E-3</v>
      </c>
    </row>
    <row r="23" spans="2:4">
      <c r="B23" s="532">
        <v>43860</v>
      </c>
      <c r="C23" s="529">
        <v>5.7972337899938609E-3</v>
      </c>
      <c r="D23" s="529">
        <v>3.5947364110455737E-3</v>
      </c>
    </row>
    <row r="24" spans="2:4">
      <c r="B24" s="532">
        <v>43861</v>
      </c>
      <c r="C24" s="529">
        <v>3.6858917691284798E-3</v>
      </c>
      <c r="D24" s="529">
        <v>3.7662362888968293E-3</v>
      </c>
    </row>
    <row r="25" spans="2:4">
      <c r="B25" s="532">
        <v>43864</v>
      </c>
      <c r="C25" s="529">
        <v>5.0721977453784817E-3</v>
      </c>
      <c r="D25" s="529">
        <v>3.9377654736056922E-3</v>
      </c>
    </row>
    <row r="26" spans="2:4">
      <c r="B26" s="532">
        <v>43865</v>
      </c>
      <c r="C26" s="529">
        <v>7.4867805986491565E-3</v>
      </c>
      <c r="D26" s="529">
        <v>4.1093239701803785E-3</v>
      </c>
    </row>
    <row r="27" spans="2:4">
      <c r="B27" s="532">
        <v>43866</v>
      </c>
      <c r="C27" s="529">
        <v>9.8970500127986138E-3</v>
      </c>
      <c r="D27" s="529">
        <v>4.2809117836297705E-3</v>
      </c>
    </row>
    <row r="28" spans="2:4">
      <c r="B28" s="532">
        <v>43867</v>
      </c>
      <c r="C28" s="529">
        <v>9.332824463019973E-3</v>
      </c>
      <c r="D28" s="529">
        <v>4.4429726838108863E-3</v>
      </c>
    </row>
    <row r="29" spans="2:4">
      <c r="B29" s="532">
        <v>43868</v>
      </c>
      <c r="C29" s="529">
        <v>7.0841496825815309E-3</v>
      </c>
      <c r="D29" s="529">
        <v>4.6050597357738532E-3</v>
      </c>
    </row>
    <row r="30" spans="2:4">
      <c r="B30" s="532">
        <v>43871</v>
      </c>
      <c r="C30" s="529">
        <v>4.7913273627433473E-3</v>
      </c>
      <c r="D30" s="529">
        <v>4.767172943738851E-3</v>
      </c>
    </row>
    <row r="31" spans="2:4">
      <c r="B31" s="532">
        <v>43872</v>
      </c>
      <c r="C31" s="529">
        <v>9.770126060475226E-3</v>
      </c>
      <c r="D31" s="529">
        <v>4.9293123119267257E-3</v>
      </c>
    </row>
    <row r="32" spans="2:4">
      <c r="B32" s="532">
        <v>43873</v>
      </c>
      <c r="C32" s="529">
        <v>1.2787557403758143E-2</v>
      </c>
      <c r="D32" s="529">
        <v>5.0914778445587672E-3</v>
      </c>
    </row>
    <row r="33" spans="2:4">
      <c r="B33" s="532">
        <v>43874</v>
      </c>
      <c r="C33" s="529">
        <v>1.1923143222319688E-2</v>
      </c>
      <c r="D33" s="529">
        <v>5.2536695458573757E-3</v>
      </c>
    </row>
    <row r="34" spans="2:4">
      <c r="B34" s="532">
        <v>43875</v>
      </c>
      <c r="C34" s="529">
        <v>1.0600105695616424E-2</v>
      </c>
      <c r="D34" s="529">
        <v>5.4158874200451734E-3</v>
      </c>
    </row>
    <row r="35" spans="2:4">
      <c r="B35" s="532">
        <v>43878</v>
      </c>
      <c r="C35" s="529">
        <v>1.2498250705072822E-2</v>
      </c>
      <c r="D35" s="529">
        <v>5.5781314713456709E-3</v>
      </c>
    </row>
    <row r="36" spans="2:4">
      <c r="B36" s="532">
        <v>43879</v>
      </c>
      <c r="C36" s="529">
        <v>1.2164145469449217E-2</v>
      </c>
      <c r="D36" s="529">
        <v>5.7404017039832667E-3</v>
      </c>
    </row>
    <row r="37" spans="2:4">
      <c r="B37" s="532">
        <v>43880</v>
      </c>
      <c r="C37" s="529">
        <v>1.495443422791376E-2</v>
      </c>
      <c r="D37" s="529">
        <v>5.9026981221828034E-3</v>
      </c>
    </row>
    <row r="38" spans="2:4">
      <c r="B38" s="532">
        <v>43881</v>
      </c>
      <c r="C38" s="529">
        <v>1.2403952511812477E-2</v>
      </c>
      <c r="D38" s="529">
        <v>6.06502073016979E-3</v>
      </c>
    </row>
    <row r="39" spans="2:4">
      <c r="B39" s="532">
        <v>43882</v>
      </c>
      <c r="C39" s="529">
        <v>1.0817641207198081E-2</v>
      </c>
      <c r="D39" s="529">
        <v>6.2273695321704015E-3</v>
      </c>
    </row>
    <row r="40" spans="2:4">
      <c r="B40" s="532">
        <v>43887</v>
      </c>
      <c r="C40" s="529">
        <v>-2.6177712423468558E-3</v>
      </c>
      <c r="D40" s="529">
        <v>6.3897445324117008E-3</v>
      </c>
    </row>
    <row r="41" spans="2:4">
      <c r="B41" s="532">
        <v>43888</v>
      </c>
      <c r="C41" s="529">
        <v>-7.2004996814047928E-3</v>
      </c>
      <c r="D41" s="529">
        <v>6.5521457351211954E-3</v>
      </c>
    </row>
    <row r="42" spans="2:4">
      <c r="B42" s="532">
        <v>43889</v>
      </c>
      <c r="C42" s="529">
        <v>-5.7374050198172322E-3</v>
      </c>
      <c r="D42" s="529">
        <v>6.7145731445272805E-3</v>
      </c>
    </row>
    <row r="43" spans="2:4">
      <c r="B43" s="532">
        <v>43892</v>
      </c>
      <c r="C43" s="529">
        <v>6.2892360554789306E-4</v>
      </c>
      <c r="D43" s="529">
        <v>6.8770267648587957E-3</v>
      </c>
    </row>
    <row r="44" spans="2:4">
      <c r="B44" s="532">
        <v>43893</v>
      </c>
      <c r="C44" s="529">
        <v>1.7407206745101433E-4</v>
      </c>
      <c r="D44" s="529">
        <v>7.0395066003456908E-3</v>
      </c>
    </row>
    <row r="45" spans="2:4">
      <c r="B45" s="532">
        <v>43894</v>
      </c>
      <c r="C45" s="529">
        <v>5.2501885072417931E-3</v>
      </c>
      <c r="D45" s="529">
        <v>7.2020126552179153E-3</v>
      </c>
    </row>
    <row r="46" spans="2:4">
      <c r="B46" s="532">
        <v>43895</v>
      </c>
      <c r="C46" s="529">
        <v>-3.4050708577713085E-3</v>
      </c>
      <c r="D46" s="529">
        <v>7.3645449337067515E-3</v>
      </c>
    </row>
    <row r="47" spans="2:4">
      <c r="B47" s="532">
        <v>43896</v>
      </c>
      <c r="C47" s="529">
        <v>-1.1419039935529285E-2</v>
      </c>
      <c r="D47" s="529">
        <v>7.5271034400439252E-3</v>
      </c>
    </row>
    <row r="48" spans="2:4">
      <c r="B48" s="532">
        <v>43899</v>
      </c>
      <c r="C48" s="529">
        <v>-3.2601832698277766E-2</v>
      </c>
      <c r="D48" s="529">
        <v>7.6896881784616067E-3</v>
      </c>
    </row>
    <row r="49" spans="2:4">
      <c r="B49" s="532">
        <v>43900</v>
      </c>
      <c r="C49" s="529">
        <v>-2.0910105734278761E-2</v>
      </c>
      <c r="D49" s="529">
        <v>7.8522991531930764E-3</v>
      </c>
    </row>
    <row r="50" spans="2:4">
      <c r="B50" s="532">
        <v>43901</v>
      </c>
      <c r="C50" s="529">
        <v>-3.4926271785617802E-2</v>
      </c>
      <c r="D50" s="529">
        <v>8.0149363684720587E-3</v>
      </c>
    </row>
    <row r="51" spans="2:4">
      <c r="B51" s="532">
        <v>43902</v>
      </c>
      <c r="C51" s="529">
        <v>-6.0479517083251833E-2</v>
      </c>
      <c r="D51" s="529">
        <v>8.1775998285329443E-3</v>
      </c>
    </row>
    <row r="52" spans="2:4">
      <c r="B52" s="532">
        <v>43903</v>
      </c>
      <c r="C52" s="529">
        <v>-3.852384167723133E-2</v>
      </c>
      <c r="D52" s="529">
        <v>8.3402895376107899E-3</v>
      </c>
    </row>
    <row r="53" spans="2:4">
      <c r="B53" s="532">
        <v>43906</v>
      </c>
      <c r="C53" s="529">
        <v>-5.8938341459939037E-2</v>
      </c>
      <c r="D53" s="529">
        <v>8.5030054999415405E-3</v>
      </c>
    </row>
    <row r="54" spans="2:4">
      <c r="B54" s="532">
        <v>43907</v>
      </c>
      <c r="C54" s="529">
        <v>-5.2665586782809304E-2</v>
      </c>
      <c r="D54" s="529">
        <v>8.6657477197615851E-3</v>
      </c>
    </row>
    <row r="55" spans="2:4">
      <c r="B55" s="532">
        <v>43908</v>
      </c>
      <c r="C55" s="529">
        <v>-7.1428211108871209E-2</v>
      </c>
      <c r="D55" s="529">
        <v>8.8285162013082008E-3</v>
      </c>
    </row>
    <row r="56" spans="2:4">
      <c r="B56" s="532">
        <v>43909</v>
      </c>
      <c r="C56" s="529">
        <v>-7.0171892574237282E-2</v>
      </c>
      <c r="D56" s="529">
        <v>8.97204288688358E-3</v>
      </c>
    </row>
    <row r="57" spans="2:4">
      <c r="B57" s="532">
        <v>43910</v>
      </c>
      <c r="C57" s="529">
        <v>-7.22485749134264E-2</v>
      </c>
      <c r="D57" s="529">
        <v>9.1155899920933869E-3</v>
      </c>
    </row>
    <row r="58" spans="2:4">
      <c r="B58" s="532">
        <v>43913</v>
      </c>
      <c r="C58" s="529">
        <v>-7.9379189032679154E-2</v>
      </c>
      <c r="D58" s="529">
        <v>9.2591575198426312E-3</v>
      </c>
    </row>
    <row r="59" spans="2:4">
      <c r="B59" s="532">
        <v>43914</v>
      </c>
      <c r="C59" s="529">
        <v>-6.4897959038048736E-2</v>
      </c>
      <c r="D59" s="529">
        <v>9.4027454730369886E-3</v>
      </c>
    </row>
    <row r="60" spans="2:4">
      <c r="B60" s="532">
        <v>43915</v>
      </c>
      <c r="C60" s="529">
        <v>-5.5244016765682691E-2</v>
      </c>
      <c r="D60" s="529">
        <v>9.5463538545823567E-3</v>
      </c>
    </row>
    <row r="61" spans="2:4">
      <c r="B61" s="532">
        <v>43916</v>
      </c>
      <c r="C61" s="529">
        <v>-4.7403563078028399E-2</v>
      </c>
      <c r="D61" s="529">
        <v>9.6899826673850775E-3</v>
      </c>
    </row>
    <row r="62" spans="2:4">
      <c r="B62" s="532">
        <v>43917</v>
      </c>
      <c r="C62" s="529">
        <v>-5.3072235613877639E-2</v>
      </c>
      <c r="D62" s="529">
        <v>9.8336319143519368E-3</v>
      </c>
    </row>
    <row r="63" spans="2:4">
      <c r="B63" s="532">
        <v>43920</v>
      </c>
      <c r="C63" s="529">
        <v>-4.9066223217639204E-2</v>
      </c>
      <c r="D63" s="529">
        <v>9.9773015983899427E-3</v>
      </c>
    </row>
    <row r="64" spans="2:4">
      <c r="B64" s="532">
        <v>43921</v>
      </c>
      <c r="C64" s="529">
        <v>-5.192253092409016E-2</v>
      </c>
      <c r="D64" s="529">
        <v>1.0120991722406769E-2</v>
      </c>
    </row>
    <row r="65" spans="2:4">
      <c r="B65" s="532">
        <v>43922</v>
      </c>
      <c r="C65" s="529">
        <v>-5.6663019884312327E-2</v>
      </c>
      <c r="D65" s="529">
        <v>1.0264702289310534E-2</v>
      </c>
    </row>
    <row r="66" spans="2:4">
      <c r="B66" s="532">
        <v>43923</v>
      </c>
      <c r="C66" s="529">
        <v>-5.4600324146663048E-2</v>
      </c>
      <c r="D66" s="529">
        <v>1.0408433302009579E-2</v>
      </c>
    </row>
    <row r="67" spans="2:4">
      <c r="B67" s="532">
        <v>43924</v>
      </c>
      <c r="C67" s="529">
        <v>-5.8590501469807044E-2</v>
      </c>
      <c r="D67" s="529">
        <v>1.0552184763412908E-2</v>
      </c>
    </row>
    <row r="68" spans="2:4">
      <c r="B68" s="532">
        <v>43927</v>
      </c>
      <c r="C68" s="529">
        <v>-4.8541154010923959E-2</v>
      </c>
      <c r="D68" s="529">
        <v>1.069595667642953E-2</v>
      </c>
    </row>
    <row r="69" spans="2:4">
      <c r="B69" s="532">
        <v>43928</v>
      </c>
      <c r="C69" s="529">
        <v>-4.433855609416526E-2</v>
      </c>
      <c r="D69" s="529">
        <v>1.0839749043969338E-2</v>
      </c>
    </row>
    <row r="70" spans="2:4">
      <c r="B70" s="532">
        <v>43929</v>
      </c>
      <c r="C70" s="529">
        <v>-4.0717349401340197E-2</v>
      </c>
      <c r="D70" s="529">
        <v>1.0983561868942227E-2</v>
      </c>
    </row>
    <row r="71" spans="2:4">
      <c r="B71" s="532">
        <v>43930</v>
      </c>
      <c r="C71" s="529">
        <v>-4.0735202557126371E-2</v>
      </c>
      <c r="D71" s="529">
        <v>1.1127395154258757E-2</v>
      </c>
    </row>
    <row r="72" spans="2:4">
      <c r="B72" s="532">
        <v>43934</v>
      </c>
      <c r="C72" s="529">
        <v>-3.8254337114721593E-2</v>
      </c>
      <c r="D72" s="529">
        <v>1.1271248902829933E-2</v>
      </c>
    </row>
    <row r="73" spans="2:4">
      <c r="B73" s="532">
        <v>43935</v>
      </c>
      <c r="C73" s="529">
        <v>-3.3145155799027326E-2</v>
      </c>
      <c r="D73" s="529">
        <v>1.1415123117566983E-2</v>
      </c>
    </row>
    <row r="74" spans="2:4">
      <c r="B74" s="532">
        <v>43936</v>
      </c>
      <c r="C74" s="529">
        <v>-3.4172455353001396E-2</v>
      </c>
      <c r="D74" s="529">
        <v>1.1559017801381577E-2</v>
      </c>
    </row>
    <row r="75" spans="2:4">
      <c r="B75" s="532">
        <v>43937</v>
      </c>
      <c r="C75" s="529">
        <v>-3.3847092212895724E-2</v>
      </c>
      <c r="D75" s="529">
        <v>1.170293295718583E-2</v>
      </c>
    </row>
    <row r="76" spans="2:4">
      <c r="B76" s="532">
        <v>43938</v>
      </c>
      <c r="C76" s="529">
        <v>-3.1743327355948647E-2</v>
      </c>
      <c r="D76" s="529">
        <v>1.1846868587892523E-2</v>
      </c>
    </row>
    <row r="77" spans="2:4">
      <c r="B77" s="532">
        <v>43941</v>
      </c>
      <c r="C77" s="529">
        <v>-2.9853274668048435E-2</v>
      </c>
      <c r="D77" s="529">
        <v>1.1990824696414437E-2</v>
      </c>
    </row>
    <row r="78" spans="2:4">
      <c r="B78" s="532">
        <v>43943</v>
      </c>
      <c r="C78" s="529">
        <v>-2.3775383634082603E-2</v>
      </c>
      <c r="D78" s="529">
        <v>1.213480128566502E-2</v>
      </c>
    </row>
    <row r="79" spans="2:4">
      <c r="B79" s="532">
        <v>43944</v>
      </c>
      <c r="C79" s="529">
        <v>-2.5438160858363479E-2</v>
      </c>
      <c r="D79" s="529">
        <v>1.2278798358558163E-2</v>
      </c>
    </row>
    <row r="80" spans="2:4">
      <c r="B80" s="532">
        <v>43945</v>
      </c>
      <c r="C80" s="529">
        <v>-3.4030513369803006E-2</v>
      </c>
      <c r="D80" s="529">
        <v>1.2422815918007979E-2</v>
      </c>
    </row>
    <row r="81" spans="2:4">
      <c r="B81" s="532">
        <v>43948</v>
      </c>
      <c r="C81" s="529">
        <v>-2.8841243748788159E-2</v>
      </c>
      <c r="D81" s="529">
        <v>1.2566853966929026E-2</v>
      </c>
    </row>
    <row r="82" spans="2:4">
      <c r="B82" s="532">
        <v>43949</v>
      </c>
      <c r="C82" s="529">
        <v>-2.3647958244857326E-2</v>
      </c>
      <c r="D82" s="529">
        <v>1.2710912508236527E-2</v>
      </c>
    </row>
    <row r="83" spans="2:4">
      <c r="B83" s="532">
        <v>43950</v>
      </c>
      <c r="C83" s="529">
        <v>-2.0936872883979607E-2</v>
      </c>
      <c r="D83" s="529">
        <v>1.2854991544845928E-2</v>
      </c>
    </row>
    <row r="84" spans="2:4">
      <c r="B84" s="532">
        <v>43951</v>
      </c>
      <c r="C84" s="529">
        <v>-2.4423040733353552E-2</v>
      </c>
      <c r="D84" s="529">
        <v>1.299909107967312E-2</v>
      </c>
    </row>
    <row r="85" spans="2:4">
      <c r="B85" s="532">
        <v>43955</v>
      </c>
      <c r="C85" s="529">
        <v>-2.7416825351199159E-2</v>
      </c>
      <c r="D85" s="529">
        <v>1.3143211115634212E-2</v>
      </c>
    </row>
    <row r="86" spans="2:4">
      <c r="B86" s="532">
        <v>43956</v>
      </c>
      <c r="C86" s="529">
        <v>-2.5590129170037779E-2</v>
      </c>
      <c r="D86" s="529">
        <v>1.3287351655645985E-2</v>
      </c>
    </row>
    <row r="87" spans="2:4">
      <c r="B87" s="532">
        <v>43957</v>
      </c>
      <c r="C87" s="529">
        <v>-2.4766664181511189E-2</v>
      </c>
      <c r="D87" s="529">
        <v>1.3431512702625659E-2</v>
      </c>
    </row>
    <row r="88" spans="2:4">
      <c r="B88" s="532">
        <v>43958</v>
      </c>
      <c r="C88" s="529">
        <v>-2.3802132868803394E-2</v>
      </c>
      <c r="D88" s="529">
        <v>1.3546485214516846E-2</v>
      </c>
    </row>
    <row r="89" spans="2:4">
      <c r="B89" s="532">
        <v>43959</v>
      </c>
      <c r="C89" s="529">
        <v>-2.0913427704378651E-2</v>
      </c>
      <c r="D89" s="529">
        <v>1.366147076989277E-2</v>
      </c>
    </row>
    <row r="90" spans="2:4">
      <c r="B90" s="532">
        <v>43962</v>
      </c>
      <c r="C90" s="529">
        <v>-2.1837921731643006E-2</v>
      </c>
      <c r="D90" s="529">
        <v>1.3776469370233135E-2</v>
      </c>
    </row>
    <row r="91" spans="2:4">
      <c r="B91" s="532">
        <v>43963</v>
      </c>
      <c r="C91" s="529">
        <v>-2.4521771434864004E-2</v>
      </c>
      <c r="D91" s="529">
        <v>1.389148101701787E-2</v>
      </c>
    </row>
    <row r="92" spans="2:4">
      <c r="B92" s="532">
        <v>43964</v>
      </c>
      <c r="C92" s="529">
        <v>-2.429092794465415E-2</v>
      </c>
      <c r="D92" s="529">
        <v>1.4006505711727346E-2</v>
      </c>
    </row>
    <row r="93" spans="2:4">
      <c r="B93" s="532">
        <v>43965</v>
      </c>
      <c r="C93" s="529">
        <v>-2.2829851224854814E-2</v>
      </c>
      <c r="D93" s="529">
        <v>1.412154345584149E-2</v>
      </c>
    </row>
    <row r="94" spans="2:4">
      <c r="B94" s="532">
        <v>43966</v>
      </c>
      <c r="C94" s="529">
        <v>-2.4696365117865549E-2</v>
      </c>
      <c r="D94" s="529">
        <v>1.4236594250840895E-2</v>
      </c>
    </row>
    <row r="95" spans="2:4">
      <c r="B95" s="532">
        <v>43969</v>
      </c>
      <c r="C95" s="529">
        <v>-1.9121656450638902E-2</v>
      </c>
      <c r="D95" s="529">
        <v>1.4351658098206377E-2</v>
      </c>
    </row>
    <row r="96" spans="2:4">
      <c r="B96" s="532">
        <v>43970</v>
      </c>
      <c r="C96" s="529">
        <v>-1.8482783239632816E-2</v>
      </c>
      <c r="D96" s="529">
        <v>1.4466734999418307E-2</v>
      </c>
    </row>
    <row r="97" spans="2:4">
      <c r="B97" s="532">
        <v>43971</v>
      </c>
      <c r="C97" s="529">
        <v>-1.7184125917487414E-2</v>
      </c>
      <c r="D97" s="529">
        <v>1.4581824955957945E-2</v>
      </c>
    </row>
    <row r="98" spans="2:4">
      <c r="B98" s="532">
        <v>43972</v>
      </c>
      <c r="C98" s="529">
        <v>-1.5304028699662187E-2</v>
      </c>
      <c r="D98" s="529">
        <v>1.4696927969306328E-2</v>
      </c>
    </row>
    <row r="99" spans="2:4">
      <c r="B99" s="532">
        <v>43973</v>
      </c>
      <c r="C99" s="529">
        <v>-1.6854626326500255E-2</v>
      </c>
      <c r="D99" s="529">
        <v>1.4812044040944716E-2</v>
      </c>
    </row>
    <row r="100" spans="2:4">
      <c r="B100" s="532">
        <v>43976</v>
      </c>
      <c r="C100" s="529">
        <v>-1.0743464314156626E-2</v>
      </c>
      <c r="D100" s="529">
        <v>1.4927173172354369E-2</v>
      </c>
    </row>
    <row r="101" spans="2:4">
      <c r="B101" s="532">
        <v>43977</v>
      </c>
      <c r="C101" s="529">
        <v>-1.0999325404434823E-2</v>
      </c>
      <c r="D101" s="529">
        <v>1.5042315365017211E-2</v>
      </c>
    </row>
    <row r="102" spans="2:4">
      <c r="B102" s="532">
        <v>43978</v>
      </c>
      <c r="C102" s="529">
        <v>-6.8005627108124189E-3</v>
      </c>
      <c r="D102" s="529">
        <v>1.5157470620414726E-2</v>
      </c>
    </row>
    <row r="103" spans="2:4">
      <c r="B103" s="532">
        <v>43979</v>
      </c>
      <c r="C103" s="529">
        <v>-7.6337356441760207E-3</v>
      </c>
      <c r="D103" s="529">
        <v>1.527263894002906E-2</v>
      </c>
    </row>
    <row r="104" spans="2:4">
      <c r="B104" s="532">
        <v>43980</v>
      </c>
      <c r="C104" s="529">
        <v>-6.0997683094298205E-3</v>
      </c>
      <c r="D104" s="529">
        <v>1.5387820325342361E-2</v>
      </c>
    </row>
    <row r="105" spans="2:4">
      <c r="B105" s="532">
        <v>43983</v>
      </c>
      <c r="C105" s="529">
        <v>-3.2810038052540902E-3</v>
      </c>
      <c r="D105" s="529">
        <v>1.5503014777836777E-2</v>
      </c>
    </row>
    <row r="106" spans="2:4">
      <c r="B106" s="532">
        <v>43984</v>
      </c>
      <c r="C106" s="529">
        <v>1.0077111744499767E-4</v>
      </c>
      <c r="D106" s="529">
        <v>1.5618222298994899E-2</v>
      </c>
    </row>
    <row r="107" spans="2:4">
      <c r="B107" s="532">
        <v>43985</v>
      </c>
      <c r="C107" s="529">
        <v>4.379249040695532E-3</v>
      </c>
      <c r="D107" s="529">
        <v>1.5733442890299321E-2</v>
      </c>
    </row>
    <row r="108" spans="2:4">
      <c r="B108" s="532">
        <v>43986</v>
      </c>
      <c r="C108" s="529">
        <v>6.2526073148629902E-3</v>
      </c>
      <c r="D108" s="529">
        <v>1.5848676553232632E-2</v>
      </c>
    </row>
    <row r="109" spans="2:4">
      <c r="B109" s="532">
        <v>43987</v>
      </c>
      <c r="C109" s="529">
        <v>8.0042792219880976E-3</v>
      </c>
      <c r="D109" s="529">
        <v>1.5963923289278092E-2</v>
      </c>
    </row>
    <row r="110" spans="2:4">
      <c r="B110" s="532">
        <v>43990</v>
      </c>
      <c r="C110" s="529">
        <v>1.2840817568407825E-2</v>
      </c>
      <c r="D110" s="529">
        <v>1.6079183099918737E-2</v>
      </c>
    </row>
    <row r="111" spans="2:4">
      <c r="B111" s="532">
        <v>43991</v>
      </c>
      <c r="C111" s="529">
        <v>1.1599407432037356E-2</v>
      </c>
      <c r="D111" s="529">
        <v>1.6194455986637823E-2</v>
      </c>
    </row>
    <row r="112" spans="2:4">
      <c r="B112" s="532">
        <v>43992</v>
      </c>
      <c r="C112" s="529">
        <v>9.1986998077666637E-3</v>
      </c>
      <c r="D112" s="529">
        <v>1.6309741950918832E-2</v>
      </c>
    </row>
    <row r="113" spans="2:4">
      <c r="B113" s="532">
        <v>43994</v>
      </c>
      <c r="C113" s="529">
        <v>5.5817776470803437E-3</v>
      </c>
      <c r="D113" s="529">
        <v>1.6425040994245244E-2</v>
      </c>
    </row>
    <row r="114" spans="2:4">
      <c r="B114" s="532">
        <v>43997</v>
      </c>
      <c r="C114" s="529">
        <v>5.760767358639729E-3</v>
      </c>
      <c r="D114" s="529">
        <v>1.6540353118100981E-2</v>
      </c>
    </row>
    <row r="115" spans="2:4">
      <c r="B115" s="532">
        <v>43998</v>
      </c>
      <c r="C115" s="529">
        <v>8.6604274334343145E-3</v>
      </c>
      <c r="D115" s="529">
        <v>1.6655678323969969E-2</v>
      </c>
    </row>
    <row r="116" spans="2:4">
      <c r="B116" s="532">
        <v>43999</v>
      </c>
      <c r="C116" s="529">
        <v>1.2667665391374872E-2</v>
      </c>
      <c r="D116" s="529">
        <v>1.6771016613336576E-2</v>
      </c>
    </row>
    <row r="117" spans="2:4">
      <c r="B117" s="532">
        <v>44000</v>
      </c>
      <c r="C117" s="529">
        <v>1.4788318142908707E-2</v>
      </c>
      <c r="D117" s="529">
        <v>1.685684916697805E-2</v>
      </c>
    </row>
    <row r="118" spans="2:4">
      <c r="B118" s="532">
        <v>44001</v>
      </c>
      <c r="C118" s="529">
        <v>1.5589816626889963E-2</v>
      </c>
      <c r="D118" s="529">
        <v>1.6942688966328889E-2</v>
      </c>
    </row>
    <row r="119" spans="2:4">
      <c r="B119" s="532">
        <v>44004</v>
      </c>
      <c r="C119" s="529">
        <v>1.4523065751252062E-2</v>
      </c>
      <c r="D119" s="529">
        <v>1.7028536012000606E-2</v>
      </c>
    </row>
    <row r="120" spans="2:4">
      <c r="B120" s="532">
        <v>44005</v>
      </c>
      <c r="C120" s="529">
        <v>1.5679392335299136E-2</v>
      </c>
      <c r="D120" s="529">
        <v>1.7114390304605154E-2</v>
      </c>
    </row>
    <row r="121" spans="2:4">
      <c r="B121" s="532">
        <v>44006</v>
      </c>
      <c r="C121" s="529">
        <v>1.3074247234099445E-2</v>
      </c>
      <c r="D121" s="529">
        <v>1.7200251844754266E-2</v>
      </c>
    </row>
    <row r="122" spans="2:4">
      <c r="B122" s="532">
        <v>44007</v>
      </c>
      <c r="C122" s="529">
        <v>1.6393211910646022E-2</v>
      </c>
      <c r="D122" s="529">
        <v>1.7286120633059676E-2</v>
      </c>
    </row>
    <row r="123" spans="2:4">
      <c r="B123" s="532">
        <v>44008</v>
      </c>
      <c r="C123" s="529">
        <v>1.2680328333018576E-2</v>
      </c>
      <c r="D123" s="529">
        <v>1.7371996670133116E-2</v>
      </c>
    </row>
    <row r="124" spans="2:4">
      <c r="B124" s="532">
        <v>44011</v>
      </c>
      <c r="C124" s="529">
        <v>1.6057554387521877E-2</v>
      </c>
      <c r="D124" s="529">
        <v>1.7457879956586764E-2</v>
      </c>
    </row>
    <row r="125" spans="2:4">
      <c r="B125" s="532">
        <v>44012</v>
      </c>
      <c r="C125" s="529">
        <v>1.670821844925352E-2</v>
      </c>
      <c r="D125" s="529">
        <v>1.7543770493032351E-2</v>
      </c>
    </row>
    <row r="126" spans="2:4">
      <c r="B126" s="532">
        <v>44013</v>
      </c>
      <c r="C126" s="529">
        <v>1.9046826764953506E-2</v>
      </c>
      <c r="D126" s="529">
        <v>1.7629668280082056E-2</v>
      </c>
    </row>
    <row r="127" spans="2:4">
      <c r="B127" s="532">
        <v>44014</v>
      </c>
      <c r="C127" s="529">
        <v>2.0257239361039181E-2</v>
      </c>
      <c r="D127" s="529">
        <v>1.7715573318347833E-2</v>
      </c>
    </row>
    <row r="128" spans="2:4">
      <c r="B128" s="532">
        <v>44015</v>
      </c>
      <c r="C128" s="529">
        <v>2.226284244788812E-2</v>
      </c>
      <c r="D128" s="529">
        <v>1.7801485608441858E-2</v>
      </c>
    </row>
    <row r="129" spans="2:4">
      <c r="B129" s="532">
        <v>44018</v>
      </c>
      <c r="C129" s="529">
        <v>2.7080227011302638E-2</v>
      </c>
      <c r="D129" s="529">
        <v>1.7887405150976532E-2</v>
      </c>
    </row>
    <row r="130" spans="2:4">
      <c r="B130" s="532">
        <v>44019</v>
      </c>
      <c r="C130" s="529">
        <v>2.507348485505978E-2</v>
      </c>
      <c r="D130" s="529">
        <v>1.7973331946563809E-2</v>
      </c>
    </row>
    <row r="131" spans="2:4">
      <c r="B131" s="532">
        <v>44020</v>
      </c>
      <c r="C131" s="529">
        <v>2.9028769630195184E-2</v>
      </c>
      <c r="D131" s="529">
        <v>1.8059265995816087E-2</v>
      </c>
    </row>
    <row r="132" spans="2:4">
      <c r="B132" s="532">
        <v>44021</v>
      </c>
      <c r="C132" s="529">
        <v>2.9054540524308559E-2</v>
      </c>
      <c r="D132" s="529">
        <v>1.8145207299345545E-2</v>
      </c>
    </row>
    <row r="133" spans="2:4">
      <c r="B133" s="532">
        <v>44022</v>
      </c>
      <c r="C133" s="529">
        <v>3.1065866955076737E-2</v>
      </c>
      <c r="D133" s="529">
        <v>1.8231155857764803E-2</v>
      </c>
    </row>
    <row r="134" spans="2:4">
      <c r="B134" s="532">
        <v>44025</v>
      </c>
      <c r="C134" s="529">
        <v>2.8914240041556738E-2</v>
      </c>
      <c r="D134" s="529">
        <v>1.8317111671686037E-2</v>
      </c>
    </row>
    <row r="135" spans="2:4">
      <c r="B135" s="532">
        <v>44026</v>
      </c>
      <c r="C135" s="529">
        <v>3.1367034589479648E-2</v>
      </c>
      <c r="D135" s="529">
        <v>1.840307474172187E-2</v>
      </c>
    </row>
    <row r="136" spans="2:4">
      <c r="B136" s="532">
        <v>44027</v>
      </c>
      <c r="C136" s="529">
        <v>3.4025036316064572E-2</v>
      </c>
      <c r="D136" s="529">
        <v>1.8489045068484922E-2</v>
      </c>
    </row>
    <row r="137" spans="2:4">
      <c r="B137" s="532">
        <v>44028</v>
      </c>
      <c r="C137" s="529">
        <v>3.1140665441858006E-2</v>
      </c>
      <c r="D137" s="529">
        <v>1.8575022652587592E-2</v>
      </c>
    </row>
    <row r="138" spans="2:4">
      <c r="B138" s="532">
        <v>44029</v>
      </c>
      <c r="C138" s="529">
        <v>3.6463258458938164E-2</v>
      </c>
      <c r="D138" s="529">
        <v>1.8661007494642723E-2</v>
      </c>
    </row>
    <row r="139" spans="2:4">
      <c r="B139" s="532">
        <v>44032</v>
      </c>
      <c r="C139" s="529">
        <v>4.0308853101214792E-2</v>
      </c>
      <c r="D139" s="529">
        <v>1.8746999595262936E-2</v>
      </c>
    </row>
    <row r="140" spans="2:4">
      <c r="B140" s="532">
        <v>44033</v>
      </c>
      <c r="C140" s="529">
        <v>3.9682928524758188E-2</v>
      </c>
      <c r="D140" s="529">
        <v>1.8832998955060853E-2</v>
      </c>
    </row>
    <row r="141" spans="2:4">
      <c r="B141" s="532">
        <v>44034</v>
      </c>
      <c r="C141" s="529">
        <v>3.9882260245696521E-2</v>
      </c>
      <c r="D141" s="529">
        <v>1.8919005574649317E-2</v>
      </c>
    </row>
    <row r="142" spans="2:4">
      <c r="B142" s="532">
        <v>44035</v>
      </c>
      <c r="C142" s="529">
        <v>3.6604896359384576E-2</v>
      </c>
      <c r="D142" s="529">
        <v>1.900501945464117E-2</v>
      </c>
    </row>
    <row r="143" spans="2:4">
      <c r="B143" s="532">
        <v>44036</v>
      </c>
      <c r="C143" s="529">
        <v>3.6006954584177686E-2</v>
      </c>
      <c r="D143" s="529">
        <v>1.9091040595649478E-2</v>
      </c>
    </row>
    <row r="144" spans="2:4">
      <c r="B144" s="532">
        <v>44039</v>
      </c>
      <c r="C144" s="529">
        <v>3.9731371474901467E-2</v>
      </c>
      <c r="D144" s="529">
        <v>1.9177068998287083E-2</v>
      </c>
    </row>
    <row r="145" spans="2:4">
      <c r="B145" s="532">
        <v>44040</v>
      </c>
      <c r="C145" s="529">
        <v>3.9469672681920143E-2</v>
      </c>
      <c r="D145" s="529">
        <v>1.9263104663167052E-2</v>
      </c>
    </row>
    <row r="146" spans="2:4">
      <c r="B146" s="532">
        <v>44041</v>
      </c>
      <c r="C146" s="529">
        <v>4.2786593466085376E-2</v>
      </c>
      <c r="D146" s="529">
        <v>1.9349147590902227E-2</v>
      </c>
    </row>
    <row r="147" spans="2:4">
      <c r="B147" s="532">
        <v>44042</v>
      </c>
      <c r="C147" s="529">
        <v>4.2601400601799622E-2</v>
      </c>
      <c r="D147" s="529">
        <v>1.9435197782105895E-2</v>
      </c>
    </row>
    <row r="148" spans="2:4">
      <c r="B148" s="532">
        <v>44043</v>
      </c>
      <c r="C148" s="529">
        <v>4.061775602291906E-2</v>
      </c>
      <c r="D148" s="529">
        <v>1.9521255237391122E-2</v>
      </c>
    </row>
    <row r="149" spans="2:4">
      <c r="B149" s="532">
        <v>44046</v>
      </c>
      <c r="C149" s="529">
        <v>4.1936883270007996E-2</v>
      </c>
      <c r="D149" s="529">
        <v>1.9607319957371194E-2</v>
      </c>
    </row>
    <row r="150" spans="2:4">
      <c r="B150" s="532">
        <v>44047</v>
      </c>
      <c r="C150" s="529">
        <v>4.0323267442913924E-2</v>
      </c>
      <c r="D150" s="529">
        <v>1.96933919426594E-2</v>
      </c>
    </row>
    <row r="151" spans="2:4">
      <c r="B151" s="532">
        <v>44048</v>
      </c>
      <c r="C151" s="529">
        <v>4.4034952534953486E-2</v>
      </c>
      <c r="D151" s="529">
        <v>1.9779471193869025E-2</v>
      </c>
    </row>
    <row r="152" spans="2:4">
      <c r="B152" s="532">
        <v>44049</v>
      </c>
      <c r="C152" s="529">
        <v>4.7539645765596106E-2</v>
      </c>
      <c r="D152" s="529">
        <v>1.9855640858158052E-2</v>
      </c>
    </row>
    <row r="153" spans="2:4">
      <c r="B153" s="532">
        <v>44050</v>
      </c>
      <c r="C153" s="529">
        <v>4.530639656072788E-2</v>
      </c>
      <c r="D153" s="529">
        <v>1.9931816211733899E-2</v>
      </c>
    </row>
    <row r="154" spans="2:4">
      <c r="B154" s="532">
        <v>44053</v>
      </c>
      <c r="C154" s="529">
        <v>4.5842994957055572E-2</v>
      </c>
      <c r="D154" s="529">
        <v>2.0007997255021337E-2</v>
      </c>
    </row>
    <row r="155" spans="2:4">
      <c r="B155" s="532">
        <v>44054</v>
      </c>
      <c r="C155" s="529">
        <v>4.288648715057497E-2</v>
      </c>
      <c r="D155" s="529">
        <v>2.0084183988445359E-2</v>
      </c>
    </row>
    <row r="156" spans="2:4">
      <c r="B156" s="532">
        <v>44055</v>
      </c>
      <c r="C156" s="529">
        <v>4.3534024084484146E-2</v>
      </c>
      <c r="D156" s="529">
        <v>2.0160376412430958E-2</v>
      </c>
    </row>
    <row r="157" spans="2:4">
      <c r="B157" s="532">
        <v>44056</v>
      </c>
      <c r="C157" s="529">
        <v>4.1630240872084778E-2</v>
      </c>
      <c r="D157" s="529">
        <v>2.0236574527403128E-2</v>
      </c>
    </row>
    <row r="158" spans="2:4">
      <c r="B158" s="532">
        <v>44057</v>
      </c>
      <c r="C158" s="529">
        <v>4.3434535581422962E-2</v>
      </c>
      <c r="D158" s="529">
        <v>2.0312778333787085E-2</v>
      </c>
    </row>
    <row r="159" spans="2:4">
      <c r="B159" s="532">
        <v>44060</v>
      </c>
      <c r="C159" s="529">
        <v>4.1748288266602485E-2</v>
      </c>
      <c r="D159" s="529">
        <v>2.0388987832007821E-2</v>
      </c>
    </row>
    <row r="160" spans="2:4">
      <c r="B160" s="532">
        <v>44061</v>
      </c>
      <c r="C160" s="529">
        <v>4.7043762335210237E-2</v>
      </c>
      <c r="D160" s="529">
        <v>2.0465203022490552E-2</v>
      </c>
    </row>
    <row r="161" spans="2:4">
      <c r="B161" s="532">
        <v>44062</v>
      </c>
      <c r="C161" s="529">
        <v>4.4505811284845986E-2</v>
      </c>
      <c r="D161" s="529">
        <v>2.0541423905660494E-2</v>
      </c>
    </row>
    <row r="162" spans="2:4">
      <c r="B162" s="532">
        <v>44063</v>
      </c>
      <c r="C162" s="529">
        <v>4.5403781842400681E-2</v>
      </c>
      <c r="D162" s="529">
        <v>2.061765048194264E-2</v>
      </c>
    </row>
    <row r="163" spans="2:4">
      <c r="B163" s="532">
        <v>44064</v>
      </c>
      <c r="C163" s="529">
        <v>4.6212526657322561E-2</v>
      </c>
      <c r="D163" s="529">
        <v>2.0693882751762427E-2</v>
      </c>
    </row>
    <row r="164" spans="2:4">
      <c r="B164" s="532">
        <v>44067</v>
      </c>
      <c r="C164" s="529">
        <v>4.8023164992913703E-2</v>
      </c>
      <c r="D164" s="529">
        <v>2.0770120715545071E-2</v>
      </c>
    </row>
    <row r="165" spans="2:4">
      <c r="B165" s="532">
        <v>44068</v>
      </c>
      <c r="C165" s="529">
        <v>4.8388949052229124E-2</v>
      </c>
      <c r="D165" s="529">
        <v>2.0846364373715787E-2</v>
      </c>
    </row>
    <row r="166" spans="2:4">
      <c r="B166" s="532">
        <v>44069</v>
      </c>
      <c r="C166" s="529">
        <v>4.7550120397782614E-2</v>
      </c>
      <c r="D166" s="529">
        <v>2.0922613726700012E-2</v>
      </c>
    </row>
    <row r="167" spans="2:4">
      <c r="B167" s="532">
        <v>44070</v>
      </c>
      <c r="C167" s="529">
        <v>4.7230979210520108E-2</v>
      </c>
      <c r="D167" s="529">
        <v>2.0998868774922963E-2</v>
      </c>
    </row>
    <row r="168" spans="2:4">
      <c r="B168" s="532">
        <v>44071</v>
      </c>
      <c r="C168" s="529">
        <v>4.995283603422096E-2</v>
      </c>
      <c r="D168" s="529">
        <v>2.1075129518810076E-2</v>
      </c>
    </row>
    <row r="169" spans="2:4">
      <c r="B169" s="532">
        <v>44074</v>
      </c>
      <c r="C169" s="529">
        <v>4.6444665389698159E-2</v>
      </c>
      <c r="D169" s="529">
        <v>2.1151395958786789E-2</v>
      </c>
    </row>
    <row r="170" spans="2:4">
      <c r="B170" s="532">
        <v>44075</v>
      </c>
      <c r="C170" s="529">
        <v>5.080174460237652E-2</v>
      </c>
      <c r="D170" s="529">
        <v>2.1227668095278762E-2</v>
      </c>
    </row>
    <row r="171" spans="2:4">
      <c r="B171" s="532">
        <v>44076</v>
      </c>
      <c r="C171" s="529">
        <v>5.0941833721548591E-2</v>
      </c>
      <c r="D171" s="529">
        <v>2.130394592871121E-2</v>
      </c>
    </row>
    <row r="172" spans="2:4">
      <c r="B172" s="532">
        <v>44077</v>
      </c>
      <c r="C172" s="529">
        <v>4.6284321058311262E-2</v>
      </c>
      <c r="D172" s="529">
        <v>2.1380229459509792E-2</v>
      </c>
    </row>
    <row r="173" spans="2:4">
      <c r="B173" s="532">
        <v>44078</v>
      </c>
      <c r="C173" s="529">
        <v>4.6893233863728456E-2</v>
      </c>
      <c r="D173" s="529">
        <v>2.1456518688099946E-2</v>
      </c>
    </row>
    <row r="174" spans="2:4">
      <c r="B174" s="532">
        <v>44082</v>
      </c>
      <c r="C174" s="529">
        <v>4.311918759019373E-2</v>
      </c>
      <c r="D174" s="529">
        <v>2.1532813614907331E-2</v>
      </c>
    </row>
    <row r="175" spans="2:4">
      <c r="B175" s="532">
        <v>44083</v>
      </c>
      <c r="C175" s="529">
        <v>4.5997155178712612E-2</v>
      </c>
      <c r="D175" s="529">
        <v>2.1609114240357608E-2</v>
      </c>
    </row>
    <row r="176" spans="2:4">
      <c r="B176" s="532">
        <v>44084</v>
      </c>
      <c r="C176" s="529">
        <v>4.1476420020269966E-2</v>
      </c>
      <c r="D176" s="529">
        <v>2.1685420564876212E-2</v>
      </c>
    </row>
    <row r="177" spans="2:4">
      <c r="B177" s="532">
        <v>44085</v>
      </c>
      <c r="C177" s="529">
        <v>4.1606153510209909E-2</v>
      </c>
      <c r="D177" s="529">
        <v>2.1761732588889027E-2</v>
      </c>
    </row>
    <row r="178" spans="2:4">
      <c r="B178" s="532">
        <v>44088</v>
      </c>
      <c r="C178" s="529">
        <v>4.5734533964110424E-2</v>
      </c>
      <c r="D178" s="529">
        <v>2.1838050312821711E-2</v>
      </c>
    </row>
    <row r="179" spans="2:4">
      <c r="B179" s="532">
        <v>44089</v>
      </c>
      <c r="C179" s="529">
        <v>4.6296090362391462E-2</v>
      </c>
      <c r="D179" s="529">
        <v>2.1914373737099924E-2</v>
      </c>
    </row>
    <row r="180" spans="2:4">
      <c r="B180" s="532">
        <v>44090</v>
      </c>
      <c r="C180" s="529">
        <v>4.4910526925660665E-2</v>
      </c>
      <c r="D180" s="529">
        <v>2.1990702862149547E-2</v>
      </c>
    </row>
    <row r="181" spans="2:4">
      <c r="B181" s="532">
        <v>44091</v>
      </c>
      <c r="C181" s="529">
        <v>4.5065408933758766E-2</v>
      </c>
      <c r="D181" s="529">
        <v>2.206703768839624E-2</v>
      </c>
    </row>
    <row r="182" spans="2:4">
      <c r="B182" s="532">
        <v>44092</v>
      </c>
      <c r="C182" s="529">
        <v>4.185002737511434E-2</v>
      </c>
      <c r="D182" s="529">
        <v>2.2143378216266107E-2</v>
      </c>
    </row>
    <row r="183" spans="2:4">
      <c r="B183" s="532">
        <v>44095</v>
      </c>
      <c r="C183" s="529">
        <v>3.8043073440058306E-2</v>
      </c>
      <c r="D183" s="529">
        <v>2.2219724446184808E-2</v>
      </c>
    </row>
    <row r="184" spans="2:4">
      <c r="B184" s="532">
        <v>44096</v>
      </c>
      <c r="C184" s="529">
        <v>3.9758760468819654E-2</v>
      </c>
      <c r="D184" s="529">
        <v>2.2296076378578222E-2</v>
      </c>
    </row>
    <row r="185" spans="2:4">
      <c r="B185" s="532">
        <v>44097</v>
      </c>
      <c r="C185" s="529">
        <v>3.6616574340965657E-2</v>
      </c>
      <c r="D185" s="529">
        <v>2.2372434013872233E-2</v>
      </c>
    </row>
    <row r="186" spans="2:4">
      <c r="B186" s="532">
        <v>44098</v>
      </c>
      <c r="C186" s="529">
        <v>3.8159568731517046E-2</v>
      </c>
      <c r="D186" s="529">
        <v>2.2448797352492944E-2</v>
      </c>
    </row>
    <row r="187" spans="2:4">
      <c r="B187" s="532">
        <v>44099</v>
      </c>
      <c r="C187" s="529">
        <v>3.8922118543007311E-2</v>
      </c>
      <c r="D187" s="529">
        <v>2.2525166394866458E-2</v>
      </c>
    </row>
    <row r="188" spans="2:4">
      <c r="B188" s="532">
        <v>44102</v>
      </c>
      <c r="C188" s="529">
        <v>3.5777501158547276E-2</v>
      </c>
      <c r="D188" s="529">
        <v>2.2601541141418657E-2</v>
      </c>
    </row>
    <row r="189" spans="2:4">
      <c r="B189" s="532">
        <v>44103</v>
      </c>
      <c r="C189" s="529">
        <v>3.442941451416881E-2</v>
      </c>
      <c r="D189" s="529">
        <v>2.2677921592575423E-2</v>
      </c>
    </row>
    <row r="190" spans="2:4">
      <c r="B190" s="532">
        <v>44104</v>
      </c>
      <c r="C190" s="529">
        <v>3.6654504958997025E-2</v>
      </c>
      <c r="D190" s="529">
        <v>2.2754307748763081E-2</v>
      </c>
    </row>
    <row r="191" spans="2:4">
      <c r="B191" s="532">
        <v>44105</v>
      </c>
      <c r="C191" s="529">
        <v>3.9014476882166527E-2</v>
      </c>
      <c r="D191" s="529">
        <v>2.2830699610407734E-2</v>
      </c>
    </row>
    <row r="192" spans="2:4">
      <c r="B192" s="532">
        <v>44106</v>
      </c>
      <c r="C192" s="529">
        <v>3.5966086756545668E-2</v>
      </c>
      <c r="D192" s="529">
        <v>2.2907097177935487E-2</v>
      </c>
    </row>
    <row r="193" spans="2:4">
      <c r="B193" s="532">
        <v>44109</v>
      </c>
      <c r="C193" s="529">
        <v>3.936691950016491E-2</v>
      </c>
      <c r="D193" s="529">
        <v>2.2983500451772443E-2</v>
      </c>
    </row>
    <row r="194" spans="2:4">
      <c r="B194" s="532">
        <v>44110</v>
      </c>
      <c r="C194" s="529">
        <v>3.8590179303027661E-2</v>
      </c>
      <c r="D194" s="529">
        <v>2.3059909432344927E-2</v>
      </c>
    </row>
    <row r="195" spans="2:4">
      <c r="B195" s="532">
        <v>44111</v>
      </c>
      <c r="C195" s="529">
        <v>3.9576796158182992E-2</v>
      </c>
      <c r="D195" s="529">
        <v>2.3136324120079266E-2</v>
      </c>
    </row>
    <row r="196" spans="2:4">
      <c r="B196" s="532">
        <v>44112</v>
      </c>
      <c r="C196" s="529">
        <v>4.3217020101639525E-2</v>
      </c>
      <c r="D196" s="529">
        <v>2.3212744515401562E-2</v>
      </c>
    </row>
    <row r="197" spans="2:4">
      <c r="B197" s="532">
        <v>44113</v>
      </c>
      <c r="C197" s="529">
        <v>4.4294783789569303E-2</v>
      </c>
      <c r="D197" s="529">
        <v>2.3289170618738142E-2</v>
      </c>
    </row>
    <row r="198" spans="2:4">
      <c r="B198" s="532">
        <v>44117</v>
      </c>
      <c r="C198" s="529">
        <v>4.684375523992923E-2</v>
      </c>
      <c r="D198" s="529">
        <v>2.3365602430515553E-2</v>
      </c>
    </row>
    <row r="199" spans="2:4">
      <c r="B199" s="532">
        <v>44118</v>
      </c>
      <c r="C199" s="529">
        <v>4.8323936026341663E-2</v>
      </c>
      <c r="D199" s="529">
        <v>2.3442039951159899E-2</v>
      </c>
    </row>
    <row r="200" spans="2:4">
      <c r="B200" s="532">
        <v>44119</v>
      </c>
      <c r="C200" s="529">
        <v>4.7732386661208048E-2</v>
      </c>
      <c r="D200" s="529">
        <v>2.3518483181097727E-2</v>
      </c>
    </row>
    <row r="201" spans="2:4">
      <c r="B201" s="532">
        <v>44120</v>
      </c>
      <c r="C201" s="529">
        <v>4.7673975624759057E-2</v>
      </c>
      <c r="D201" s="529">
        <v>2.3594932120755585E-2</v>
      </c>
    </row>
    <row r="202" spans="2:4">
      <c r="B202" s="532">
        <v>44123</v>
      </c>
      <c r="C202" s="529">
        <v>4.728497402311449E-2</v>
      </c>
      <c r="D202" s="529">
        <v>2.3671386770559799E-2</v>
      </c>
    </row>
    <row r="203" spans="2:4">
      <c r="B203" s="532">
        <v>44124</v>
      </c>
      <c r="C203" s="529">
        <v>5.1380932647244304E-2</v>
      </c>
      <c r="D203" s="529">
        <v>2.3747847130936917E-2</v>
      </c>
    </row>
    <row r="204" spans="2:4">
      <c r="B204" s="532">
        <v>44125</v>
      </c>
      <c r="C204" s="529">
        <v>5.2922902332550148E-2</v>
      </c>
      <c r="D204" s="529">
        <v>2.3824313202313485E-2</v>
      </c>
    </row>
    <row r="205" spans="2:4">
      <c r="B205" s="532">
        <v>44126</v>
      </c>
      <c r="C205" s="529">
        <v>5.4574453845334325E-2</v>
      </c>
      <c r="D205" s="529">
        <v>2.3900784985116053E-2</v>
      </c>
    </row>
    <row r="206" spans="2:4">
      <c r="B206" s="532">
        <v>44127</v>
      </c>
      <c r="C206" s="529">
        <v>5.4276693084624794E-2</v>
      </c>
      <c r="D206" s="529">
        <v>2.3977262479771166E-2</v>
      </c>
    </row>
    <row r="207" spans="2:4">
      <c r="B207" s="532">
        <v>44130</v>
      </c>
      <c r="C207" s="529">
        <v>5.257857260907417E-2</v>
      </c>
      <c r="D207" s="529">
        <v>2.4053745686705597E-2</v>
      </c>
    </row>
    <row r="208" spans="2:4">
      <c r="B208" s="532">
        <v>44131</v>
      </c>
      <c r="C208" s="529">
        <v>5.0988296381643261E-2</v>
      </c>
      <c r="D208" s="529">
        <v>2.4130234606345891E-2</v>
      </c>
    </row>
    <row r="209" spans="2:4">
      <c r="B209" s="532">
        <v>44132</v>
      </c>
      <c r="C209" s="529">
        <v>4.3329483244106459E-2</v>
      </c>
      <c r="D209" s="529">
        <v>2.4206729239118818E-2</v>
      </c>
    </row>
    <row r="210" spans="2:4">
      <c r="B210" s="532">
        <v>44133</v>
      </c>
      <c r="C210" s="529">
        <v>4.6512421041532415E-2</v>
      </c>
      <c r="D210" s="529">
        <v>2.4283229585450927E-2</v>
      </c>
    </row>
    <row r="211" spans="2:4">
      <c r="B211" s="532">
        <v>44134</v>
      </c>
      <c r="C211" s="529">
        <v>4.1797175996533875E-2</v>
      </c>
      <c r="D211" s="529">
        <v>2.4359735645769209E-2</v>
      </c>
    </row>
    <row r="212" spans="2:4">
      <c r="B212" s="532">
        <v>44138</v>
      </c>
      <c r="C212" s="529">
        <v>4.6308221540731553E-2</v>
      </c>
      <c r="D212" s="529">
        <v>2.4436247420500434E-2</v>
      </c>
    </row>
    <row r="213" spans="2:4">
      <c r="B213" s="532">
        <v>44139</v>
      </c>
      <c r="C213" s="529">
        <v>5.0499830455647432E-2</v>
      </c>
      <c r="D213" s="529">
        <v>2.451276491007115E-2</v>
      </c>
    </row>
    <row r="214" spans="2:4">
      <c r="B214" s="532">
        <v>44140</v>
      </c>
      <c r="C214" s="529">
        <v>5.7314303010374879E-2</v>
      </c>
      <c r="D214" s="529">
        <v>2.458928811490857E-2</v>
      </c>
    </row>
    <row r="215" spans="2:4">
      <c r="B215" s="532">
        <v>44141</v>
      </c>
      <c r="C215" s="529">
        <v>5.8004729123672716E-2</v>
      </c>
      <c r="D215" s="529">
        <v>2.4665817035439463E-2</v>
      </c>
    </row>
    <row r="216" spans="2:4">
      <c r="B216" s="532">
        <v>44144</v>
      </c>
      <c r="C216" s="529">
        <v>6.1126855490744036E-2</v>
      </c>
      <c r="D216" s="529">
        <v>2.4742351672090601E-2</v>
      </c>
    </row>
    <row r="217" spans="2:4">
      <c r="B217" s="532">
        <v>44145</v>
      </c>
      <c r="C217" s="529">
        <v>6.1967740492308687E-2</v>
      </c>
      <c r="D217" s="529">
        <v>2.4818892025288974E-2</v>
      </c>
    </row>
    <row r="218" spans="2:4">
      <c r="B218" s="532">
        <v>44146</v>
      </c>
      <c r="C218" s="529">
        <v>6.1878373300931599E-2</v>
      </c>
      <c r="D218" s="529">
        <v>2.4895438095461575E-2</v>
      </c>
    </row>
    <row r="219" spans="2:4">
      <c r="B219" s="532">
        <v>44147</v>
      </c>
      <c r="C219" s="529">
        <v>5.7349934646478751E-2</v>
      </c>
      <c r="D219" s="529">
        <v>2.4971989883035617E-2</v>
      </c>
    </row>
    <row r="220" spans="2:4">
      <c r="B220" s="532">
        <v>44148</v>
      </c>
      <c r="C220" s="529">
        <v>6.1691812454246708E-2</v>
      </c>
      <c r="D220" s="529">
        <v>2.504854738843787E-2</v>
      </c>
    </row>
    <row r="221" spans="2:4">
      <c r="B221" s="532">
        <v>44151</v>
      </c>
      <c r="C221" s="529">
        <v>6.4756106999936058E-2</v>
      </c>
      <c r="D221" s="529">
        <v>2.5125110612095547E-2</v>
      </c>
    </row>
    <row r="222" spans="2:4">
      <c r="B222" s="532">
        <v>44152</v>
      </c>
      <c r="C222" s="529">
        <v>6.5400081008936573E-2</v>
      </c>
      <c r="D222" s="529">
        <v>2.5201679554435863E-2</v>
      </c>
    </row>
    <row r="223" spans="2:4">
      <c r="B223" s="532">
        <v>44153</v>
      </c>
      <c r="C223" s="529">
        <v>6.3263120672219175E-2</v>
      </c>
      <c r="D223" s="529">
        <v>2.5278254215885809E-2</v>
      </c>
    </row>
    <row r="224" spans="2:4">
      <c r="B224" s="532">
        <v>44154</v>
      </c>
      <c r="C224" s="529">
        <v>6.431811287376199E-2</v>
      </c>
      <c r="D224" s="529">
        <v>2.53548345968726E-2</v>
      </c>
    </row>
    <row r="225" spans="2:4">
      <c r="B225" s="532">
        <v>44155</v>
      </c>
      <c r="C225" s="529">
        <v>6.3966485400069217E-2</v>
      </c>
      <c r="D225" s="529">
        <v>2.5431420697823448E-2</v>
      </c>
    </row>
    <row r="226" spans="2:4">
      <c r="B226" s="532">
        <v>44158</v>
      </c>
      <c r="C226" s="529">
        <v>6.7091977049679841E-2</v>
      </c>
      <c r="D226" s="529">
        <v>2.5508012519165568E-2</v>
      </c>
    </row>
    <row r="227" spans="2:4">
      <c r="B227" s="532">
        <v>44159</v>
      </c>
      <c r="C227" s="529">
        <v>7.1956710596006834E-2</v>
      </c>
      <c r="D227" s="529">
        <v>2.5584610061326174E-2</v>
      </c>
    </row>
    <row r="228" spans="2:4">
      <c r="B228" s="532">
        <v>44160</v>
      </c>
      <c r="C228" s="529">
        <v>7.2587650923175984E-2</v>
      </c>
      <c r="D228" s="529">
        <v>2.5661213324732701E-2</v>
      </c>
    </row>
    <row r="229" spans="2:4">
      <c r="B229" s="532">
        <v>44161</v>
      </c>
      <c r="C229" s="529">
        <v>7.3646266650667203E-2</v>
      </c>
      <c r="D229" s="529">
        <v>2.5737822309812364E-2</v>
      </c>
    </row>
    <row r="230" spans="2:4">
      <c r="B230" s="532">
        <v>44162</v>
      </c>
      <c r="C230" s="529">
        <v>7.5664868178426437E-2</v>
      </c>
      <c r="D230" s="529">
        <v>2.5814437016992597E-2</v>
      </c>
    </row>
    <row r="231" spans="2:4">
      <c r="B231" s="532">
        <v>44165</v>
      </c>
      <c r="C231" s="529">
        <v>7.3095316473904548E-2</v>
      </c>
      <c r="D231" s="529">
        <v>2.5891057446700838E-2</v>
      </c>
    </row>
    <row r="232" spans="2:4">
      <c r="B232" s="532">
        <v>44166</v>
      </c>
      <c r="C232" s="529">
        <v>7.7527657264180538E-2</v>
      </c>
      <c r="D232" s="529">
        <v>2.5967683599364522E-2</v>
      </c>
    </row>
    <row r="233" spans="2:4">
      <c r="B233" s="532">
        <v>44167</v>
      </c>
      <c r="C233" s="529">
        <v>7.8587899213943935E-2</v>
      </c>
      <c r="D233" s="529">
        <v>2.6044315475410862E-2</v>
      </c>
    </row>
    <row r="234" spans="2:4">
      <c r="B234" s="532">
        <v>44168</v>
      </c>
      <c r="C234" s="529">
        <v>7.9637266805919538E-2</v>
      </c>
      <c r="D234" s="529">
        <v>2.6120953075267739E-2</v>
      </c>
    </row>
    <row r="235" spans="2:4">
      <c r="B235" s="532">
        <v>44169</v>
      </c>
      <c r="C235" s="529">
        <v>8.2719010303011764E-2</v>
      </c>
      <c r="D235" s="529">
        <v>2.6197596399362366E-2</v>
      </c>
    </row>
    <row r="236" spans="2:4">
      <c r="B236" s="532">
        <v>44172</v>
      </c>
      <c r="C236" s="529">
        <v>8.1978552381301917E-2</v>
      </c>
      <c r="D236" s="529">
        <v>2.6274245448122402E-2</v>
      </c>
    </row>
    <row r="237" spans="2:4">
      <c r="B237" s="532">
        <v>44173</v>
      </c>
      <c r="C237" s="529">
        <v>8.2974425708024047E-2</v>
      </c>
      <c r="D237" s="529">
        <v>2.6350900221975504E-2</v>
      </c>
    </row>
    <row r="238" spans="2:4">
      <c r="B238" s="532">
        <v>44174</v>
      </c>
      <c r="C238" s="529">
        <v>8.1588486294303042E-2</v>
      </c>
      <c r="D238" s="529">
        <v>2.6427560721349108E-2</v>
      </c>
    </row>
    <row r="239" spans="2:4">
      <c r="B239" s="532">
        <v>44175</v>
      </c>
      <c r="C239" s="529">
        <v>8.4488985518211379E-2</v>
      </c>
      <c r="D239" s="529">
        <v>2.6504226946671094E-2</v>
      </c>
    </row>
    <row r="240" spans="2:4">
      <c r="B240" s="532">
        <v>44176</v>
      </c>
      <c r="C240" s="529">
        <v>8.5527682320606591E-2</v>
      </c>
      <c r="D240" s="529">
        <v>2.6580898898368899E-2</v>
      </c>
    </row>
    <row r="241" spans="2:4">
      <c r="B241" s="532">
        <v>44179</v>
      </c>
      <c r="C241" s="529">
        <v>8.5076012242940813E-2</v>
      </c>
      <c r="D241" s="529">
        <v>2.6657576576870401E-2</v>
      </c>
    </row>
    <row r="242" spans="2:4">
      <c r="B242" s="532">
        <v>44180</v>
      </c>
      <c r="C242" s="529">
        <v>8.9128802099711635E-2</v>
      </c>
      <c r="D242" s="529">
        <v>2.6734259982603481E-2</v>
      </c>
    </row>
    <row r="243" spans="2:4">
      <c r="B243" s="532">
        <v>44181</v>
      </c>
      <c r="C243" s="529">
        <v>9.2027557193841591E-2</v>
      </c>
      <c r="D243" s="529">
        <v>2.6810949115995575E-2</v>
      </c>
    </row>
    <row r="244" spans="2:4">
      <c r="B244" s="532">
        <v>44182</v>
      </c>
      <c r="C244" s="529">
        <v>9.4099059347467984E-2</v>
      </c>
      <c r="D244" s="529">
        <v>2.6887643977474784E-2</v>
      </c>
    </row>
    <row r="245" spans="2:4">
      <c r="B245" s="532">
        <v>44183</v>
      </c>
      <c r="C245" s="529">
        <v>9.3943682197664025E-2</v>
      </c>
      <c r="D245" s="529">
        <v>2.6964344567468768E-2</v>
      </c>
    </row>
    <row r="246" spans="2:4">
      <c r="B246" s="532">
        <v>44186</v>
      </c>
      <c r="C246" s="529">
        <v>9.0384854320504138E-2</v>
      </c>
      <c r="D246" s="529">
        <v>2.7041050886405626E-2</v>
      </c>
    </row>
    <row r="247" spans="2:4">
      <c r="B247" s="532">
        <v>44187</v>
      </c>
      <c r="C247" s="529">
        <v>9.1106820536713151E-2</v>
      </c>
      <c r="D247" s="529">
        <v>2.7117762934713019E-2</v>
      </c>
    </row>
    <row r="248" spans="2:4">
      <c r="B248" s="532">
        <v>44188</v>
      </c>
      <c r="C248" s="529">
        <v>9.4657656908432308E-2</v>
      </c>
      <c r="D248" s="529">
        <v>2.7194480712819047E-2</v>
      </c>
    </row>
    <row r="249" spans="2:4">
      <c r="B249" s="532">
        <v>44189</v>
      </c>
      <c r="C249" s="529">
        <v>9.4756961035457499E-2</v>
      </c>
      <c r="D249" s="529">
        <v>2.727120422115159E-2</v>
      </c>
    </row>
    <row r="250" spans="2:4">
      <c r="B250" s="532">
        <v>44193</v>
      </c>
      <c r="C250" s="529">
        <v>9.7235813838412399E-2</v>
      </c>
      <c r="D250" s="529">
        <v>2.7347933460138751E-2</v>
      </c>
    </row>
    <row r="251" spans="2:4">
      <c r="B251" s="532">
        <v>44194</v>
      </c>
      <c r="C251" s="529">
        <v>9.8648540812371621E-2</v>
      </c>
      <c r="D251" s="529">
        <v>2.742466843020841E-2</v>
      </c>
    </row>
    <row r="252" spans="2:4">
      <c r="B252" s="532">
        <v>44195</v>
      </c>
      <c r="C252" s="529">
        <v>9.9795819944806796E-2</v>
      </c>
      <c r="D252" s="529">
        <v>2.7501409131788668E-2</v>
      </c>
    </row>
    <row r="253" spans="2:4">
      <c r="B253" s="532">
        <v>44196</v>
      </c>
      <c r="C253" s="529">
        <v>0.10022883031310403</v>
      </c>
      <c r="D253" s="529">
        <v>2.7578155565307849E-2</v>
      </c>
    </row>
    <row r="254" spans="2:4">
      <c r="B254" s="532">
        <v>44200</v>
      </c>
      <c r="C254" s="529">
        <v>0.10023422548274596</v>
      </c>
      <c r="D254" s="529">
        <v>2.7654907731193834E-2</v>
      </c>
    </row>
    <row r="255" spans="2:4">
      <c r="B255" s="532">
        <v>44201</v>
      </c>
      <c r="C255" s="529">
        <v>0.10236730400576022</v>
      </c>
      <c r="D255" s="529">
        <v>2.7731665629874946E-2</v>
      </c>
    </row>
    <row r="256" spans="2:4">
      <c r="B256" s="532">
        <v>44202</v>
      </c>
      <c r="C256" s="529">
        <v>0.10187213030347864</v>
      </c>
      <c r="D256" s="529">
        <v>2.7808429261779288E-2</v>
      </c>
    </row>
    <row r="257" spans="2:4">
      <c r="B257" s="532">
        <v>44203</v>
      </c>
      <c r="C257" s="529">
        <v>0.10751944711842998</v>
      </c>
      <c r="D257" s="529">
        <v>2.7885198627335184E-2</v>
      </c>
    </row>
    <row r="258" spans="2:4">
      <c r="B258" s="532">
        <v>44204</v>
      </c>
      <c r="C258" s="529">
        <v>0.11255712009852514</v>
      </c>
      <c r="D258" s="529">
        <v>2.7961973726970735E-2</v>
      </c>
    </row>
    <row r="259" spans="2:4">
      <c r="B259" s="532">
        <v>44207</v>
      </c>
      <c r="C259" s="529">
        <v>0.10978456976625717</v>
      </c>
      <c r="D259" s="529">
        <v>2.8038754561114265E-2</v>
      </c>
    </row>
    <row r="260" spans="2:4">
      <c r="B260" s="532">
        <v>44208</v>
      </c>
      <c r="C260" s="529">
        <v>0.1114445784448852</v>
      </c>
      <c r="D260" s="529">
        <v>2.8115541130194099E-2</v>
      </c>
    </row>
    <row r="261" spans="2:4">
      <c r="B261" s="532">
        <v>44209</v>
      </c>
      <c r="C261" s="529">
        <v>0.10869912340015131</v>
      </c>
      <c r="D261" s="529">
        <v>2.8192333434638783E-2</v>
      </c>
    </row>
    <row r="262" spans="2:4">
      <c r="B262" s="532">
        <v>44210</v>
      </c>
      <c r="C262" s="529">
        <v>0.11135070067401909</v>
      </c>
      <c r="D262" s="529">
        <v>2.8269131474876419E-2</v>
      </c>
    </row>
    <row r="263" spans="2:4">
      <c r="B263" s="532">
        <v>44211</v>
      </c>
      <c r="C263" s="529">
        <v>0.10725259246198049</v>
      </c>
      <c r="D263" s="529">
        <v>2.8345935251335552E-2</v>
      </c>
    </row>
    <row r="264" spans="2:4">
      <c r="B264" s="532">
        <v>44214</v>
      </c>
      <c r="C264" s="529">
        <v>0.1084263579473097</v>
      </c>
      <c r="D264" s="529">
        <v>2.842274476444473E-2</v>
      </c>
    </row>
    <row r="265" spans="2:4">
      <c r="B265" s="532">
        <v>44215</v>
      </c>
      <c r="C265" s="529">
        <v>0.10896630027221699</v>
      </c>
      <c r="D265" s="529">
        <v>2.8499560014632275E-2</v>
      </c>
    </row>
    <row r="266" spans="2:4">
      <c r="B266" s="532">
        <v>44216</v>
      </c>
      <c r="C266" s="529">
        <v>0.10960526943556759</v>
      </c>
      <c r="D266" s="529">
        <v>2.8576381002326956E-2</v>
      </c>
    </row>
    <row r="267" spans="2:4">
      <c r="B267" s="532">
        <v>44217</v>
      </c>
      <c r="C267" s="529">
        <v>0.10862529711792623</v>
      </c>
      <c r="D267" s="529">
        <v>2.8653207727957097E-2</v>
      </c>
    </row>
    <row r="268" spans="2:4">
      <c r="B268" s="532">
        <v>44218</v>
      </c>
      <c r="C268" s="529">
        <v>0.10674038125956775</v>
      </c>
      <c r="D268" s="529">
        <v>2.8730040191951245E-2</v>
      </c>
    </row>
    <row r="269" spans="2:4">
      <c r="B269" s="532">
        <v>44221</v>
      </c>
      <c r="C269" s="529">
        <v>0.10695232289560708</v>
      </c>
      <c r="D269" s="529">
        <v>2.8806878394738167E-2</v>
      </c>
    </row>
    <row r="270" spans="2:4">
      <c r="B270" s="532">
        <v>44222</v>
      </c>
      <c r="C270" s="529">
        <v>0.104694284397993</v>
      </c>
      <c r="D270" s="529">
        <v>2.8883722336746409E-2</v>
      </c>
    </row>
    <row r="271" spans="2:4">
      <c r="B271" s="532">
        <v>44223</v>
      </c>
      <c r="C271" s="529">
        <v>0.10117198330620703</v>
      </c>
      <c r="D271" s="529">
        <v>2.896057201840474E-2</v>
      </c>
    </row>
    <row r="272" spans="2:4">
      <c r="B272" s="532">
        <v>44224</v>
      </c>
      <c r="C272" s="529">
        <v>0.1065214359466331</v>
      </c>
      <c r="D272" s="529">
        <v>2.9037427440141705E-2</v>
      </c>
    </row>
    <row r="273" spans="2:4">
      <c r="B273" s="532">
        <v>44225</v>
      </c>
      <c r="C273" s="529">
        <v>0.10065414781935722</v>
      </c>
      <c r="D273" s="529">
        <v>2.9114288602386296E-2</v>
      </c>
    </row>
    <row r="274" spans="2:4">
      <c r="B274" s="532">
        <v>44228</v>
      </c>
      <c r="C274" s="529">
        <v>0.107140688192227</v>
      </c>
      <c r="D274" s="529">
        <v>2.9191155505567057E-2</v>
      </c>
    </row>
    <row r="275" spans="2:4">
      <c r="B275" s="532">
        <v>44229</v>
      </c>
      <c r="C275" s="529">
        <v>0.11020550090232017</v>
      </c>
      <c r="D275" s="529">
        <v>2.9268028150112757E-2</v>
      </c>
    </row>
    <row r="276" spans="2:4">
      <c r="B276" s="532">
        <v>44230</v>
      </c>
      <c r="C276" s="529">
        <v>0.1136051417486692</v>
      </c>
      <c r="D276" s="529">
        <v>2.9344906536452386E-2</v>
      </c>
    </row>
    <row r="277" spans="2:4">
      <c r="B277" s="532">
        <v>44231</v>
      </c>
      <c r="C277" s="529">
        <v>0.11570304837226519</v>
      </c>
      <c r="D277" s="529">
        <v>2.9421790665014713E-2</v>
      </c>
    </row>
    <row r="278" spans="2:4">
      <c r="B278" s="532">
        <v>44232</v>
      </c>
      <c r="C278" s="529">
        <v>0.12022086296005785</v>
      </c>
      <c r="D278" s="529">
        <v>2.9498680536228727E-2</v>
      </c>
    </row>
    <row r="279" spans="2:4">
      <c r="B279" s="532">
        <v>44235</v>
      </c>
      <c r="C279" s="529">
        <v>0.12155466019573735</v>
      </c>
      <c r="D279" s="529">
        <v>2.9575576150523419E-2</v>
      </c>
    </row>
    <row r="280" spans="2:4">
      <c r="B280" s="532">
        <v>44236</v>
      </c>
      <c r="C280" s="529">
        <v>0.12120916350894739</v>
      </c>
      <c r="D280" s="529">
        <v>2.9652477508327557E-2</v>
      </c>
    </row>
    <row r="281" spans="2:4">
      <c r="B281" s="532">
        <v>44237</v>
      </c>
      <c r="C281" s="529">
        <v>0.11915027496542696</v>
      </c>
      <c r="D281" s="529">
        <v>2.9729384610070353E-2</v>
      </c>
    </row>
    <row r="282" spans="2:4">
      <c r="B282" s="532">
        <v>44238</v>
      </c>
      <c r="C282" s="529">
        <v>0.12127301415580027</v>
      </c>
      <c r="D282" s="529">
        <v>2.9806297456180575E-2</v>
      </c>
    </row>
    <row r="283" spans="2:4">
      <c r="B283" s="532">
        <v>44239</v>
      </c>
      <c r="C283" s="529">
        <v>0.1227162140087501</v>
      </c>
      <c r="D283" s="529">
        <v>2.9883216047087435E-2</v>
      </c>
    </row>
    <row r="284" spans="2:4">
      <c r="B284" s="532">
        <v>44244</v>
      </c>
      <c r="C284" s="529">
        <v>0.12576071307132963</v>
      </c>
      <c r="D284" s="529">
        <v>2.9960140383220146E-2</v>
      </c>
    </row>
    <row r="285" spans="2:4">
      <c r="B285" s="532">
        <v>44245</v>
      </c>
      <c r="C285" s="529">
        <v>0.1243763184557698</v>
      </c>
      <c r="D285" s="529">
        <v>3.0037070465007698E-2</v>
      </c>
    </row>
    <row r="286" spans="2:4">
      <c r="B286" s="532">
        <v>44246</v>
      </c>
      <c r="C286" s="529">
        <v>0.12580010333153613</v>
      </c>
      <c r="D286" s="529">
        <v>3.0114006292879081E-2</v>
      </c>
    </row>
    <row r="287" spans="2:4">
      <c r="B287" s="532">
        <v>44249</v>
      </c>
      <c r="C287" s="529">
        <v>0.11851008429431631</v>
      </c>
      <c r="D287" s="529">
        <v>3.0190947867263729E-2</v>
      </c>
    </row>
    <row r="288" spans="2:4">
      <c r="B288" s="532">
        <v>44250</v>
      </c>
      <c r="C288" s="529">
        <v>0.12161179802423061</v>
      </c>
      <c r="D288" s="529">
        <v>3.0267895188590854E-2</v>
      </c>
    </row>
    <row r="289" spans="2:4">
      <c r="B289" s="532">
        <v>44251</v>
      </c>
      <c r="C289" s="529">
        <v>0.12374602893674247</v>
      </c>
      <c r="D289" s="529">
        <v>3.0344848257289669E-2</v>
      </c>
    </row>
    <row r="290" spans="2:4">
      <c r="B290" s="532">
        <v>44252</v>
      </c>
      <c r="C290" s="529">
        <v>0.11701650678159625</v>
      </c>
      <c r="D290" s="529">
        <v>3.0421807073789386E-2</v>
      </c>
    </row>
    <row r="291" spans="2:4">
      <c r="B291" s="532">
        <v>44253</v>
      </c>
      <c r="C291" s="529">
        <v>0.11217084425624191</v>
      </c>
      <c r="D291" s="529">
        <v>3.049877163851944E-2</v>
      </c>
    </row>
    <row r="292" spans="2:4">
      <c r="B292" s="532">
        <v>44256</v>
      </c>
      <c r="C292" s="529">
        <v>0.11601040908780047</v>
      </c>
      <c r="D292" s="529">
        <v>3.0575741951909041E-2</v>
      </c>
    </row>
    <row r="293" spans="2:4">
      <c r="B293" s="532">
        <v>44257</v>
      </c>
      <c r="C293" s="529">
        <v>0.11625884536162578</v>
      </c>
      <c r="D293" s="529">
        <v>3.0652718014387625E-2</v>
      </c>
    </row>
    <row r="294" spans="2:4">
      <c r="B294" s="532">
        <v>44258</v>
      </c>
      <c r="C294" s="529">
        <v>0.1150098872114873</v>
      </c>
      <c r="D294" s="529">
        <v>3.0729699826384627E-2</v>
      </c>
    </row>
    <row r="295" spans="2:4">
      <c r="B295" s="532">
        <v>44259</v>
      </c>
      <c r="C295" s="529">
        <v>0.11516815972279937</v>
      </c>
      <c r="D295" s="529">
        <v>3.0806687388329479E-2</v>
      </c>
    </row>
    <row r="296" spans="2:4">
      <c r="B296" s="532">
        <v>44260</v>
      </c>
      <c r="C296" s="529">
        <v>0.12057399210192976</v>
      </c>
      <c r="D296" s="529">
        <v>3.0883680700651617E-2</v>
      </c>
    </row>
    <row r="297" spans="2:4">
      <c r="B297" s="532">
        <v>44263</v>
      </c>
      <c r="C297" s="529">
        <v>0.11297324296879085</v>
      </c>
      <c r="D297" s="529">
        <v>3.0960679763780474E-2</v>
      </c>
    </row>
    <row r="298" spans="2:4">
      <c r="B298" s="532">
        <v>44264</v>
      </c>
      <c r="C298" s="529">
        <v>0.11310973356680964</v>
      </c>
      <c r="D298" s="529">
        <v>3.1037684578145708E-2</v>
      </c>
    </row>
    <row r="299" spans="2:4">
      <c r="B299" s="532">
        <v>44265</v>
      </c>
      <c r="C299" s="529">
        <v>0.11371372495694176</v>
      </c>
      <c r="D299" s="529">
        <v>3.1114695144176974E-2</v>
      </c>
    </row>
    <row r="300" spans="2:4">
      <c r="B300" s="532">
        <v>44266</v>
      </c>
      <c r="C300" s="529">
        <v>0.11945152702586226</v>
      </c>
      <c r="D300" s="529">
        <v>3.1191711462303928E-2</v>
      </c>
    </row>
    <row r="301" spans="2:4">
      <c r="B301" s="532">
        <v>44267</v>
      </c>
      <c r="C301" s="529">
        <v>0.11875899243650889</v>
      </c>
      <c r="D301" s="529">
        <v>3.1268733532956006E-2</v>
      </c>
    </row>
    <row r="302" spans="2:4">
      <c r="B302" s="532">
        <v>44270</v>
      </c>
      <c r="C302" s="529">
        <v>0.12019041461665303</v>
      </c>
      <c r="D302" s="529">
        <v>3.1345761356562862E-2</v>
      </c>
    </row>
    <row r="303" spans="2:4">
      <c r="B303" s="532">
        <v>44271</v>
      </c>
      <c r="C303" s="529">
        <v>0.12009976351722562</v>
      </c>
      <c r="D303" s="529">
        <v>3.1422794933554377E-2</v>
      </c>
    </row>
    <row r="304" spans="2:4">
      <c r="B304" s="532">
        <v>44272</v>
      </c>
      <c r="C304" s="529">
        <v>0.12395168844579896</v>
      </c>
      <c r="D304" s="529">
        <v>3.1499834264360205E-2</v>
      </c>
    </row>
    <row r="305" spans="2:4">
      <c r="B305" s="532">
        <v>44273</v>
      </c>
      <c r="C305" s="529">
        <v>0.11890953743433563</v>
      </c>
      <c r="D305" s="529">
        <v>3.160689868662625E-2</v>
      </c>
    </row>
    <row r="306" spans="2:4">
      <c r="B306" s="532">
        <v>44274</v>
      </c>
      <c r="C306" s="529">
        <v>0.1200060384377748</v>
      </c>
      <c r="D306" s="529">
        <v>3.1713974221633467E-2</v>
      </c>
    </row>
    <row r="307" spans="2:4">
      <c r="B307" s="532">
        <v>44277</v>
      </c>
      <c r="C307" s="529">
        <v>0.11905483396527528</v>
      </c>
      <c r="D307" s="529">
        <v>3.1821060870535156E-2</v>
      </c>
    </row>
    <row r="308" spans="2:4">
      <c r="B308" s="532">
        <v>44278</v>
      </c>
      <c r="C308" s="529">
        <v>0.11574925331995356</v>
      </c>
      <c r="D308" s="529">
        <v>3.1928158634484838E-2</v>
      </c>
    </row>
    <row r="309" spans="2:4">
      <c r="B309" s="532">
        <v>44279</v>
      </c>
      <c r="C309" s="529">
        <v>0.11361624701130668</v>
      </c>
      <c r="D309" s="529">
        <v>3.2035267514636256E-2</v>
      </c>
    </row>
    <row r="310" spans="2:4">
      <c r="B310" s="532">
        <v>44280</v>
      </c>
      <c r="C310" s="529">
        <v>0.11647072678659809</v>
      </c>
      <c r="D310" s="529">
        <v>3.2142387512143156E-2</v>
      </c>
    </row>
    <row r="311" spans="2:4">
      <c r="B311" s="532">
        <v>44281</v>
      </c>
      <c r="C311" s="529">
        <v>0.11998961167313649</v>
      </c>
      <c r="D311" s="529">
        <v>3.2249518628159501E-2</v>
      </c>
    </row>
    <row r="312" spans="2:4">
      <c r="B312" s="532">
        <v>44284</v>
      </c>
      <c r="C312" s="529">
        <v>0.12061475029476187</v>
      </c>
      <c r="D312" s="529">
        <v>3.2356660863839259E-2</v>
      </c>
    </row>
    <row r="313" spans="2:4">
      <c r="B313" s="532">
        <v>44285</v>
      </c>
      <c r="C313" s="529">
        <v>0.12338419188994587</v>
      </c>
      <c r="D313" s="529">
        <v>3.2463814220336618E-2</v>
      </c>
    </row>
    <row r="314" spans="2:4">
      <c r="B314" s="532">
        <v>44286</v>
      </c>
      <c r="C314" s="529">
        <v>0.12406694269865359</v>
      </c>
      <c r="D314" s="529">
        <v>3.2570978698805986E-2</v>
      </c>
    </row>
    <row r="315" spans="2:4">
      <c r="B315" s="532">
        <v>44287</v>
      </c>
      <c r="C315" s="529">
        <v>0.12420352844676374</v>
      </c>
      <c r="D315" s="529">
        <v>3.2678154300401774E-2</v>
      </c>
    </row>
    <row r="316" spans="2:4">
      <c r="B316" s="532">
        <v>44291</v>
      </c>
      <c r="C316" s="529">
        <v>0.1273006556227021</v>
      </c>
      <c r="D316" s="529">
        <v>3.2785341026278392E-2</v>
      </c>
    </row>
    <row r="317" spans="2:4">
      <c r="B317" s="532">
        <v>44292</v>
      </c>
      <c r="C317" s="529">
        <v>0.12760697689975875</v>
      </c>
      <c r="D317" s="529">
        <v>3.2892538877590471E-2</v>
      </c>
    </row>
    <row r="318" spans="2:4">
      <c r="B318" s="532">
        <v>44293</v>
      </c>
      <c r="C318" s="529">
        <v>0.12804380078576405</v>
      </c>
      <c r="D318" s="529">
        <v>3.2999747855492867E-2</v>
      </c>
    </row>
    <row r="319" spans="2:4">
      <c r="B319" s="532">
        <v>44294</v>
      </c>
      <c r="C319" s="529">
        <v>0.13004490463933571</v>
      </c>
      <c r="D319" s="529">
        <v>3.3106967961140432E-2</v>
      </c>
    </row>
    <row r="320" spans="2:4">
      <c r="B320" s="532">
        <v>44295</v>
      </c>
      <c r="C320" s="529">
        <v>0.13029693381910934</v>
      </c>
      <c r="D320" s="529">
        <v>3.3214199195688021E-2</v>
      </c>
    </row>
    <row r="321" spans="2:4">
      <c r="B321" s="532">
        <v>44298</v>
      </c>
      <c r="C321" s="529">
        <v>0.13173429251354052</v>
      </c>
      <c r="D321" s="529">
        <v>3.3321441560290932E-2</v>
      </c>
    </row>
    <row r="322" spans="2:4">
      <c r="B322" s="532">
        <v>44299</v>
      </c>
      <c r="C322" s="529">
        <v>0.13131004568869331</v>
      </c>
      <c r="D322" s="529">
        <v>3.3428695056104463E-2</v>
      </c>
    </row>
    <row r="323" spans="2:4">
      <c r="B323" s="532">
        <v>44300</v>
      </c>
      <c r="C323" s="529">
        <v>0.13296002783170069</v>
      </c>
      <c r="D323" s="529">
        <v>3.3535959684283911E-2</v>
      </c>
    </row>
    <row r="324" spans="2:4">
      <c r="B324" s="532">
        <v>44301</v>
      </c>
      <c r="C324" s="529">
        <v>0.13386049689424073</v>
      </c>
      <c r="D324" s="529">
        <v>3.3643235445984576E-2</v>
      </c>
    </row>
    <row r="325" spans="2:4">
      <c r="B325" s="532">
        <v>44302</v>
      </c>
      <c r="C325" s="529">
        <v>0.13577734923371709</v>
      </c>
      <c r="D325" s="529">
        <v>3.3750522342362199E-2</v>
      </c>
    </row>
    <row r="326" spans="2:4">
      <c r="B326" s="532">
        <v>44305</v>
      </c>
      <c r="C326" s="529">
        <v>0.13575984157238552</v>
      </c>
      <c r="D326" s="529">
        <v>3.3857820374572523E-2</v>
      </c>
    </row>
    <row r="327" spans="2:4">
      <c r="B327" s="532">
        <v>44306</v>
      </c>
      <c r="C327" s="529">
        <v>0.13347543118967486</v>
      </c>
      <c r="D327" s="529">
        <v>3.3965129543771511E-2</v>
      </c>
    </row>
    <row r="328" spans="2:4">
      <c r="B328" s="532">
        <v>44308</v>
      </c>
      <c r="C328" s="529">
        <v>0.13280453321389629</v>
      </c>
      <c r="D328" s="529">
        <v>3.4072449851114905E-2</v>
      </c>
    </row>
    <row r="329" spans="2:4">
      <c r="B329" s="532">
        <v>44309</v>
      </c>
      <c r="C329" s="529">
        <v>0.13627010639265746</v>
      </c>
      <c r="D329" s="529">
        <v>3.4179781297758893E-2</v>
      </c>
    </row>
    <row r="330" spans="2:4">
      <c r="B330" s="532">
        <v>44312</v>
      </c>
      <c r="C330" s="529">
        <v>0.13749900808555537</v>
      </c>
      <c r="D330" s="529">
        <v>3.428712388485966E-2</v>
      </c>
    </row>
    <row r="331" spans="2:4">
      <c r="B331" s="532">
        <v>44313</v>
      </c>
      <c r="C331" s="529">
        <v>0.13710586648983392</v>
      </c>
      <c r="D331" s="529">
        <v>3.4394477613573615E-2</v>
      </c>
    </row>
    <row r="332" spans="2:4">
      <c r="B332" s="532">
        <v>44314</v>
      </c>
      <c r="C332" s="529">
        <v>0.13884898971245074</v>
      </c>
      <c r="D332" s="529">
        <v>3.4501842485056944E-2</v>
      </c>
    </row>
    <row r="333" spans="2:4">
      <c r="B333" s="532">
        <v>44315</v>
      </c>
      <c r="C333" s="529">
        <v>0.13945664055918572</v>
      </c>
      <c r="D333" s="529">
        <v>3.4609218500466499E-2</v>
      </c>
    </row>
    <row r="334" spans="2:4">
      <c r="B334" s="532">
        <v>44316</v>
      </c>
      <c r="C334" s="529">
        <v>0.13834291596602166</v>
      </c>
      <c r="D334" s="529">
        <v>3.471660566095891E-2</v>
      </c>
    </row>
    <row r="335" spans="2:4">
      <c r="B335" s="532">
        <v>44319</v>
      </c>
      <c r="C335" s="529">
        <v>0.13844782901493735</v>
      </c>
      <c r="D335" s="529">
        <v>3.4824003967690809E-2</v>
      </c>
    </row>
    <row r="336" spans="2:4">
      <c r="B336" s="532">
        <v>44320</v>
      </c>
      <c r="C336" s="529">
        <v>0.13684325539012665</v>
      </c>
      <c r="D336" s="529">
        <v>3.4931413421819268E-2</v>
      </c>
    </row>
    <row r="337" spans="2:4">
      <c r="B337" s="532">
        <v>44321</v>
      </c>
      <c r="C337" s="529">
        <v>0.13898749161820967</v>
      </c>
      <c r="D337" s="529">
        <v>3.5038834024501364E-2</v>
      </c>
    </row>
    <row r="338" spans="2:4">
      <c r="B338" s="532">
        <v>44322</v>
      </c>
      <c r="C338" s="529">
        <v>0.14014392239287554</v>
      </c>
      <c r="D338" s="529">
        <v>3.5176169689179915E-2</v>
      </c>
    </row>
    <row r="339" spans="2:4">
      <c r="B339" s="532">
        <v>44323</v>
      </c>
      <c r="C339" s="529">
        <v>0.14331210950650819</v>
      </c>
      <c r="D339" s="529">
        <v>3.5313523576445016E-2</v>
      </c>
    </row>
    <row r="340" spans="2:4">
      <c r="B340" s="532">
        <v>44326</v>
      </c>
      <c r="C340" s="529">
        <v>0.14176479345489734</v>
      </c>
      <c r="D340" s="529">
        <v>3.5450895688714734E-2</v>
      </c>
    </row>
    <row r="341" spans="2:4">
      <c r="B341" s="532">
        <v>44327</v>
      </c>
      <c r="C341" s="529">
        <v>0.14311558338718222</v>
      </c>
      <c r="D341" s="529">
        <v>3.5588286028407135E-2</v>
      </c>
    </row>
    <row r="342" spans="2:4">
      <c r="B342" s="532">
        <v>44328</v>
      </c>
      <c r="C342" s="529">
        <v>0.13844151748014055</v>
      </c>
      <c r="D342" s="529">
        <v>3.5725694597940727E-2</v>
      </c>
    </row>
    <row r="343" spans="2:4">
      <c r="B343" s="532">
        <v>44329</v>
      </c>
      <c r="C343" s="529">
        <v>0.13857969287946714</v>
      </c>
      <c r="D343" s="529">
        <v>3.5863121399734466E-2</v>
      </c>
    </row>
    <row r="344" spans="2:4">
      <c r="B344" s="532">
        <v>44330</v>
      </c>
      <c r="C344" s="529">
        <v>0.14111746923638746</v>
      </c>
      <c r="D344" s="529">
        <v>3.6000566436207304E-2</v>
      </c>
    </row>
    <row r="345" spans="2:4">
      <c r="B345" s="532">
        <v>44333</v>
      </c>
      <c r="C345" s="529">
        <v>0.14394511004786947</v>
      </c>
      <c r="D345" s="529">
        <v>3.6138029709779085E-2</v>
      </c>
    </row>
    <row r="346" spans="2:4">
      <c r="B346" s="532">
        <v>44334</v>
      </c>
      <c r="C346" s="529">
        <v>0.14342802597120108</v>
      </c>
      <c r="D346" s="529">
        <v>3.6275511222869428E-2</v>
      </c>
    </row>
    <row r="347" spans="2:4">
      <c r="B347" s="532">
        <v>44335</v>
      </c>
      <c r="C347" s="529">
        <v>0.14230378417511291</v>
      </c>
      <c r="D347" s="529">
        <v>3.6413010977898397E-2</v>
      </c>
    </row>
    <row r="348" spans="2:4">
      <c r="B348" s="532">
        <v>44336</v>
      </c>
      <c r="C348" s="529">
        <v>0.14434774826058683</v>
      </c>
      <c r="D348" s="529">
        <v>3.6550528977286501E-2</v>
      </c>
    </row>
    <row r="349" spans="2:4">
      <c r="B349" s="532">
        <v>44337</v>
      </c>
      <c r="C349" s="529">
        <v>0.14477693987248075</v>
      </c>
      <c r="D349" s="529">
        <v>3.6688065223454691E-2</v>
      </c>
    </row>
    <row r="350" spans="2:4">
      <c r="B350" s="532">
        <v>44340</v>
      </c>
      <c r="C350" s="529">
        <v>0.14710825082211176</v>
      </c>
      <c r="D350" s="529">
        <v>3.6825619718823921E-2</v>
      </c>
    </row>
    <row r="351" spans="2:4">
      <c r="B351" s="532">
        <v>44341</v>
      </c>
      <c r="C351" s="529">
        <v>0.14617306935592889</v>
      </c>
      <c r="D351" s="529">
        <v>3.6963192465815586E-2</v>
      </c>
    </row>
    <row r="352" spans="2:4">
      <c r="B352" s="532">
        <v>44342</v>
      </c>
      <c r="C352" s="529">
        <v>0.14771123147293297</v>
      </c>
      <c r="D352" s="529">
        <v>3.7100783466851528E-2</v>
      </c>
    </row>
    <row r="353" spans="2:4">
      <c r="B353" s="532">
        <v>44343</v>
      </c>
      <c r="C353" s="529">
        <v>0.14986700189454649</v>
      </c>
      <c r="D353" s="529">
        <v>3.7238392724353808E-2</v>
      </c>
    </row>
    <row r="354" spans="2:4">
      <c r="B354" s="532">
        <v>44344</v>
      </c>
      <c r="C354" s="529">
        <v>0.15199820299799471</v>
      </c>
      <c r="D354" s="529">
        <v>3.7376020240744712E-2</v>
      </c>
    </row>
    <row r="355" spans="2:4">
      <c r="B355" s="532">
        <v>44347</v>
      </c>
      <c r="C355" s="529">
        <v>0.15405911664233285</v>
      </c>
      <c r="D355" s="529">
        <v>3.7513666018446967E-2</v>
      </c>
    </row>
    <row r="356" spans="2:4">
      <c r="B356" s="532">
        <v>44348</v>
      </c>
      <c r="C356" s="529">
        <v>0.15585374571862576</v>
      </c>
      <c r="D356" s="529">
        <v>3.7651330059883525E-2</v>
      </c>
    </row>
    <row r="357" spans="2:4">
      <c r="B357" s="532">
        <v>44349</v>
      </c>
      <c r="C357" s="529">
        <v>0.15722173943483742</v>
      </c>
      <c r="D357" s="529">
        <v>3.7789012367478003E-2</v>
      </c>
    </row>
    <row r="358" spans="2:4">
      <c r="B358" s="532">
        <v>44351</v>
      </c>
      <c r="C358" s="529">
        <v>0.1582137154678569</v>
      </c>
      <c r="D358" s="529">
        <v>3.7926712943653795E-2</v>
      </c>
    </row>
    <row r="359" spans="2:4">
      <c r="B359" s="532">
        <v>44354</v>
      </c>
      <c r="C359" s="529">
        <v>0.15823857924067197</v>
      </c>
      <c r="D359" s="529">
        <v>3.8064431790835185E-2</v>
      </c>
    </row>
    <row r="360" spans="2:4">
      <c r="B360" s="532">
        <v>44355</v>
      </c>
      <c r="C360" s="529">
        <v>0.15717341050862221</v>
      </c>
      <c r="D360" s="529">
        <v>3.8202168911446233E-2</v>
      </c>
    </row>
    <row r="361" spans="2:4">
      <c r="B361" s="532">
        <v>44356</v>
      </c>
      <c r="C361" s="529">
        <v>0.15742014221052192</v>
      </c>
      <c r="D361" s="529">
        <v>3.8339924307911666E-2</v>
      </c>
    </row>
    <row r="362" spans="2:4">
      <c r="B362" s="532">
        <v>44357</v>
      </c>
      <c r="C362" s="529">
        <v>0.15854525441896627</v>
      </c>
      <c r="D362" s="529">
        <v>3.8477697982656434E-2</v>
      </c>
    </row>
    <row r="363" spans="2:4">
      <c r="B363" s="532">
        <v>44358</v>
      </c>
      <c r="C363" s="529">
        <v>0.15812004961823356</v>
      </c>
      <c r="D363" s="529">
        <v>3.8615489938105707E-2</v>
      </c>
    </row>
    <row r="364" spans="2:4">
      <c r="B364" s="532">
        <v>44361</v>
      </c>
      <c r="C364" s="529">
        <v>0.1599366268893494</v>
      </c>
      <c r="D364" s="529">
        <v>3.8753300176685324E-2</v>
      </c>
    </row>
    <row r="365" spans="2:4">
      <c r="B365" s="532">
        <v>44362</v>
      </c>
      <c r="C365" s="529">
        <v>0.15990552762320487</v>
      </c>
      <c r="D365" s="529">
        <v>3.889112870082112E-2</v>
      </c>
    </row>
    <row r="366" spans="2:4">
      <c r="B366" s="532">
        <v>44363</v>
      </c>
      <c r="C366" s="529">
        <v>0.15985465841540258</v>
      </c>
      <c r="D366" s="529">
        <v>3.9028975512939157E-2</v>
      </c>
    </row>
    <row r="367" spans="2:4">
      <c r="B367" s="532">
        <v>44364</v>
      </c>
      <c r="C367" s="529">
        <v>0.15764222400969219</v>
      </c>
      <c r="D367" s="529">
        <v>3.9196643711258972E-2</v>
      </c>
    </row>
    <row r="368" spans="2:4">
      <c r="B368" s="532">
        <v>44365</v>
      </c>
      <c r="C368" s="529">
        <v>0.15834660675892986</v>
      </c>
      <c r="D368" s="529">
        <v>3.9364338966211054E-2</v>
      </c>
    </row>
    <row r="369" spans="2:4">
      <c r="B369" s="532">
        <v>44368</v>
      </c>
      <c r="C369" s="529">
        <v>0.16125012597066268</v>
      </c>
      <c r="D369" s="529">
        <v>3.9532061282161246E-2</v>
      </c>
    </row>
    <row r="370" spans="2:4">
      <c r="B370" s="532">
        <v>44369</v>
      </c>
      <c r="C370" s="529">
        <v>0.16149151517740901</v>
      </c>
      <c r="D370" s="529">
        <v>3.9699810663476498E-2</v>
      </c>
    </row>
    <row r="371" spans="2:4">
      <c r="B371" s="532">
        <v>44370</v>
      </c>
      <c r="C371" s="529">
        <v>0.16273232401125504</v>
      </c>
      <c r="D371" s="529">
        <v>3.9867587114524428E-2</v>
      </c>
    </row>
    <row r="372" spans="2:4">
      <c r="B372" s="532">
        <v>44371</v>
      </c>
      <c r="C372" s="529">
        <v>0.16464969472419755</v>
      </c>
      <c r="D372" s="529">
        <v>4.0035390639673096E-2</v>
      </c>
    </row>
    <row r="373" spans="2:4">
      <c r="B373" s="532">
        <v>44372</v>
      </c>
      <c r="C373" s="529">
        <v>0.16446883832148562</v>
      </c>
      <c r="D373" s="529">
        <v>4.0203221243291676E-2</v>
      </c>
    </row>
    <row r="374" spans="2:4">
      <c r="B374" s="532">
        <v>44375</v>
      </c>
      <c r="C374" s="529">
        <v>0.16574711153597477</v>
      </c>
      <c r="D374" s="529">
        <v>4.037107892974956E-2</v>
      </c>
    </row>
    <row r="375" spans="2:4">
      <c r="B375" s="532">
        <v>44376</v>
      </c>
      <c r="C375" s="529">
        <v>0.16622695331137871</v>
      </c>
      <c r="D375" s="529">
        <v>4.0538963703417252E-2</v>
      </c>
    </row>
    <row r="376" spans="2:4">
      <c r="B376" s="532">
        <v>44377</v>
      </c>
      <c r="C376" s="529">
        <v>0.1667153198303124</v>
      </c>
      <c r="D376" s="529">
        <v>4.0706875568665923E-2</v>
      </c>
    </row>
    <row r="377" spans="2:4">
      <c r="B377" s="532">
        <v>44378</v>
      </c>
      <c r="C377" s="529">
        <v>0.16633832858677255</v>
      </c>
      <c r="D377" s="529">
        <v>4.0874814529867187E-2</v>
      </c>
    </row>
    <row r="378" spans="2:4">
      <c r="B378" s="532">
        <v>44379</v>
      </c>
      <c r="C378" s="529">
        <v>0.16938840972604208</v>
      </c>
      <c r="D378" s="529">
        <v>4.1042780591393546E-2</v>
      </c>
    </row>
    <row r="379" spans="2:4">
      <c r="B379" s="532">
        <v>44382</v>
      </c>
      <c r="C379" s="529">
        <v>0.16921077334347978</v>
      </c>
      <c r="D379" s="529">
        <v>4.1210773757618391E-2</v>
      </c>
    </row>
    <row r="380" spans="2:4">
      <c r="B380" s="532">
        <v>44383</v>
      </c>
      <c r="C380" s="529">
        <v>0.16533365502974218</v>
      </c>
      <c r="D380" s="529">
        <v>4.1378794032915334E-2</v>
      </c>
    </row>
    <row r="381" spans="2:4">
      <c r="B381" s="532">
        <v>44384</v>
      </c>
      <c r="C381" s="529">
        <v>0.166685836973538</v>
      </c>
      <c r="D381" s="529">
        <v>4.1546841421659098E-2</v>
      </c>
    </row>
    <row r="382" spans="2:4">
      <c r="B382" s="532">
        <v>44385</v>
      </c>
      <c r="C382" s="529">
        <v>0.1628451732792926</v>
      </c>
      <c r="D382" s="529">
        <v>4.1714915928224849E-2</v>
      </c>
    </row>
    <row r="383" spans="2:4">
      <c r="B383" s="532">
        <v>44386</v>
      </c>
      <c r="C383" s="529">
        <v>0.16414311336331688</v>
      </c>
      <c r="D383" s="529">
        <v>4.1883017556988866E-2</v>
      </c>
    </row>
    <row r="384" spans="2:4">
      <c r="B384" s="532">
        <v>44389</v>
      </c>
      <c r="C384" s="529">
        <v>0.16749572179229899</v>
      </c>
      <c r="D384" s="529">
        <v>4.2051146312327647E-2</v>
      </c>
    </row>
    <row r="385" spans="2:4">
      <c r="B385" s="532">
        <v>44390</v>
      </c>
      <c r="C385" s="529">
        <v>0.16946127280014345</v>
      </c>
      <c r="D385" s="529">
        <v>4.221930219861858E-2</v>
      </c>
    </row>
    <row r="386" spans="2:4">
      <c r="B386" s="532">
        <v>44391</v>
      </c>
      <c r="C386" s="529">
        <v>0.16951913462476398</v>
      </c>
      <c r="D386" s="529">
        <v>4.238748522023994E-2</v>
      </c>
    </row>
    <row r="387" spans="2:4">
      <c r="B387" s="532">
        <v>44392</v>
      </c>
      <c r="C387" s="529">
        <v>0.16837735198924775</v>
      </c>
      <c r="D387" s="529">
        <v>4.2555695381570446E-2</v>
      </c>
    </row>
    <row r="388" spans="2:4">
      <c r="B388" s="532">
        <v>44393</v>
      </c>
      <c r="C388" s="529">
        <v>0.1673380451569324</v>
      </c>
      <c r="D388" s="529">
        <v>4.2723932686989707E-2</v>
      </c>
    </row>
    <row r="389" spans="2:4">
      <c r="B389" s="532">
        <v>44396</v>
      </c>
      <c r="C389" s="529">
        <v>0.16178690652855088</v>
      </c>
      <c r="D389" s="529">
        <v>4.2892197140877775E-2</v>
      </c>
    </row>
    <row r="390" spans="2:4">
      <c r="B390" s="532">
        <v>44397</v>
      </c>
      <c r="C390" s="529">
        <v>0.16438557076364635</v>
      </c>
      <c r="D390" s="529">
        <v>4.306048874761581E-2</v>
      </c>
    </row>
    <row r="391" spans="2:4">
      <c r="B391" s="532">
        <v>44398</v>
      </c>
      <c r="C391" s="529">
        <v>0.16718457677808662</v>
      </c>
      <c r="D391" s="529">
        <v>4.3228807511585421E-2</v>
      </c>
    </row>
    <row r="392" spans="2:4">
      <c r="B392" s="532">
        <v>44399</v>
      </c>
      <c r="C392" s="529">
        <v>0.17017751763862354</v>
      </c>
      <c r="D392" s="529">
        <v>4.33971534371691E-2</v>
      </c>
    </row>
    <row r="393" spans="2:4">
      <c r="B393" s="532">
        <v>44400</v>
      </c>
      <c r="C393" s="529">
        <v>0.16948059102685509</v>
      </c>
      <c r="D393" s="529">
        <v>4.3565526528749787E-2</v>
      </c>
    </row>
    <row r="394" spans="2:4">
      <c r="B394" s="532">
        <v>44403</v>
      </c>
      <c r="C394" s="529">
        <v>0.16834868573441897</v>
      </c>
      <c r="D394" s="529">
        <v>4.3733926790711086E-2</v>
      </c>
    </row>
    <row r="395" spans="2:4">
      <c r="B395" s="532">
        <v>44404</v>
      </c>
      <c r="C395" s="529">
        <v>0.16361999174088848</v>
      </c>
      <c r="D395" s="529">
        <v>4.3902354227437712E-2</v>
      </c>
    </row>
    <row r="396" spans="2:4">
      <c r="B396" s="532">
        <v>44405</v>
      </c>
      <c r="C396" s="529">
        <v>0.16718475529414034</v>
      </c>
      <c r="D396" s="529">
        <v>4.4070808843314824E-2</v>
      </c>
    </row>
    <row r="397" spans="2:4">
      <c r="B397" s="532">
        <v>44406</v>
      </c>
      <c r="C397" s="529">
        <v>0.16933421512035274</v>
      </c>
      <c r="D397" s="529">
        <v>4.4239290642728246E-2</v>
      </c>
    </row>
    <row r="398" spans="2:4">
      <c r="B398" s="532">
        <v>44407</v>
      </c>
      <c r="C398" s="529">
        <v>0.16472320622474035</v>
      </c>
      <c r="D398" s="529">
        <v>4.4407799630064693E-2</v>
      </c>
    </row>
    <row r="399" spans="2:4">
      <c r="B399" s="532">
        <v>44410</v>
      </c>
      <c r="C399" s="529">
        <v>0.16554281221648193</v>
      </c>
      <c r="D399" s="529">
        <v>4.4576335809711543E-2</v>
      </c>
    </row>
    <row r="400" spans="2:4">
      <c r="B400" s="532">
        <v>44411</v>
      </c>
      <c r="C400" s="529">
        <v>0.16686264341555201</v>
      </c>
      <c r="D400" s="529">
        <v>4.4744899186056619E-2</v>
      </c>
    </row>
    <row r="401" spans="2:4">
      <c r="B401" s="532">
        <v>44412</v>
      </c>
      <c r="C401" s="529">
        <v>0.16510129889267122</v>
      </c>
      <c r="D401" s="529">
        <v>4.4913489763488634E-2</v>
      </c>
    </row>
    <row r="402" spans="2:4">
      <c r="B402" s="532">
        <v>44413</v>
      </c>
      <c r="C402" s="529">
        <v>0.1666507866968201</v>
      </c>
      <c r="D402" s="529">
        <v>4.5121737373517989E-2</v>
      </c>
    </row>
    <row r="403" spans="2:4">
      <c r="B403" s="532">
        <v>44414</v>
      </c>
      <c r="C403" s="529">
        <v>0.16901213027985085</v>
      </c>
      <c r="D403" s="529">
        <v>4.5330026486568809E-2</v>
      </c>
    </row>
    <row r="404" spans="2:4">
      <c r="B404" s="532">
        <v>44417</v>
      </c>
      <c r="C404" s="529">
        <v>0.16968538987875958</v>
      </c>
      <c r="D404" s="529">
        <v>4.5538357110912475E-2</v>
      </c>
    </row>
    <row r="405" spans="2:4">
      <c r="B405" s="532">
        <v>44418</v>
      </c>
      <c r="C405" s="529">
        <v>0.17038156773038193</v>
      </c>
      <c r="D405" s="529">
        <v>4.5746729254822149E-2</v>
      </c>
    </row>
    <row r="406" spans="2:4">
      <c r="B406" s="532">
        <v>44419</v>
      </c>
      <c r="C406" s="529">
        <v>0.17043607506567238</v>
      </c>
      <c r="D406" s="529">
        <v>4.5955142926572545E-2</v>
      </c>
    </row>
    <row r="407" spans="2:4">
      <c r="B407" s="532">
        <v>44420</v>
      </c>
      <c r="C407" s="529">
        <v>0.16916303448405534</v>
      </c>
      <c r="D407" s="529">
        <v>4.6163598134440154E-2</v>
      </c>
    </row>
    <row r="408" spans="2:4">
      <c r="B408" s="532">
        <v>44421</v>
      </c>
      <c r="C408" s="529">
        <v>0.16744497763844879</v>
      </c>
      <c r="D408" s="529">
        <v>4.6372094886702797E-2</v>
      </c>
    </row>
    <row r="409" spans="2:4">
      <c r="B409" s="532">
        <v>44424</v>
      </c>
      <c r="C409" s="529">
        <v>0.16177140711094329</v>
      </c>
      <c r="D409" s="529">
        <v>4.6580633191640075E-2</v>
      </c>
    </row>
    <row r="410" spans="2:4">
      <c r="B410" s="532">
        <v>44425</v>
      </c>
      <c r="C410" s="529">
        <v>0.15750052118428326</v>
      </c>
      <c r="D410" s="529">
        <v>4.6789213057533363E-2</v>
      </c>
    </row>
    <row r="411" spans="2:4">
      <c r="B411" s="532">
        <v>44426</v>
      </c>
      <c r="C411" s="529">
        <v>0.15646777254411437</v>
      </c>
      <c r="D411" s="529">
        <v>4.6997834492665813E-2</v>
      </c>
    </row>
    <row r="412" spans="2:4">
      <c r="B412" s="532">
        <v>44427</v>
      </c>
      <c r="C412" s="529">
        <v>0.15798951175003695</v>
      </c>
      <c r="D412" s="529">
        <v>4.7206497505321687E-2</v>
      </c>
    </row>
    <row r="413" spans="2:4">
      <c r="B413" s="532">
        <v>44428</v>
      </c>
      <c r="C413" s="529">
        <v>0.16037080725091868</v>
      </c>
      <c r="D413" s="529">
        <v>4.7415202103787468E-2</v>
      </c>
    </row>
    <row r="414" spans="2:4">
      <c r="B414" s="532">
        <v>44431</v>
      </c>
      <c r="C414" s="529">
        <v>0.1612232930109827</v>
      </c>
      <c r="D414" s="529">
        <v>4.7623948296350971E-2</v>
      </c>
    </row>
    <row r="415" spans="2:4">
      <c r="B415" s="532">
        <v>44432</v>
      </c>
      <c r="C415" s="529">
        <v>0.16577039812360361</v>
      </c>
      <c r="D415" s="529">
        <v>4.7832736091301786E-2</v>
      </c>
    </row>
    <row r="416" spans="2:4">
      <c r="B416" s="532">
        <v>44433</v>
      </c>
      <c r="C416" s="529">
        <v>0.168313381792631</v>
      </c>
      <c r="D416" s="529">
        <v>4.804156549693106E-2</v>
      </c>
    </row>
    <row r="417" spans="2:4">
      <c r="B417" s="532">
        <v>44434</v>
      </c>
      <c r="C417" s="529">
        <v>0.16558790086463571</v>
      </c>
      <c r="D417" s="529">
        <v>4.8250436521531714E-2</v>
      </c>
    </row>
    <row r="418" spans="2:4">
      <c r="B418" s="532">
        <v>44435</v>
      </c>
      <c r="C418" s="529">
        <v>0.16957137552605173</v>
      </c>
      <c r="D418" s="529">
        <v>4.8459349173398447E-2</v>
      </c>
    </row>
    <row r="419" spans="2:4">
      <c r="B419" s="532">
        <v>44438</v>
      </c>
      <c r="C419" s="529">
        <v>0.1691232122572337</v>
      </c>
      <c r="D419" s="529">
        <v>4.8668303460827067E-2</v>
      </c>
    </row>
    <row r="420" spans="2:4">
      <c r="B420" s="532">
        <v>44439</v>
      </c>
      <c r="C420" s="529">
        <v>0.16799366045413411</v>
      </c>
      <c r="D420" s="529">
        <v>4.8877299392115603E-2</v>
      </c>
    </row>
    <row r="421" spans="2:4">
      <c r="B421" s="532">
        <v>44440</v>
      </c>
      <c r="C421" s="529">
        <v>0.16932563606186379</v>
      </c>
      <c r="D421" s="529">
        <v>4.9086336975563638E-2</v>
      </c>
    </row>
    <row r="422" spans="2:4">
      <c r="B422" s="532">
        <v>44441</v>
      </c>
      <c r="C422" s="529">
        <v>0.16676244276541552</v>
      </c>
      <c r="D422" s="529">
        <v>4.9295416219472088E-2</v>
      </c>
    </row>
    <row r="423" spans="2:4">
      <c r="B423" s="532">
        <v>44442</v>
      </c>
      <c r="C423" s="529">
        <v>0.16788640687753453</v>
      </c>
      <c r="D423" s="529">
        <v>4.9504537132143867E-2</v>
      </c>
    </row>
    <row r="424" spans="2:4">
      <c r="B424" s="532">
        <v>44445</v>
      </c>
      <c r="C424" s="529">
        <v>0.16961555202778578</v>
      </c>
      <c r="D424" s="529">
        <v>4.971369972188322E-2</v>
      </c>
    </row>
    <row r="425" spans="2:4">
      <c r="B425" s="532">
        <v>44447</v>
      </c>
      <c r="C425" s="529">
        <v>0.16578014446796052</v>
      </c>
      <c r="D425" s="529">
        <v>4.9922903996996393E-2</v>
      </c>
    </row>
    <row r="426" spans="2:4">
      <c r="B426" s="532">
        <v>44448</v>
      </c>
      <c r="C426" s="529">
        <v>0.1672103678423591</v>
      </c>
      <c r="D426" s="529">
        <v>5.0132149965791184E-2</v>
      </c>
    </row>
    <row r="427" spans="2:4">
      <c r="B427" s="532">
        <v>44449</v>
      </c>
      <c r="C427" s="529">
        <v>0.16691523832380528</v>
      </c>
      <c r="D427" s="529">
        <v>5.0341437636576947E-2</v>
      </c>
    </row>
    <row r="428" spans="2:4">
      <c r="B428" s="532">
        <v>44452</v>
      </c>
      <c r="C428" s="529">
        <v>0.16933820057625559</v>
      </c>
      <c r="D428" s="529">
        <v>5.0550767017664811E-2</v>
      </c>
    </row>
    <row r="429" spans="2:4">
      <c r="B429" s="532">
        <v>44453</v>
      </c>
      <c r="C429" s="529">
        <v>0.1696457693757083</v>
      </c>
      <c r="D429" s="529">
        <v>5.0760138117367459E-2</v>
      </c>
    </row>
    <row r="430" spans="2:4">
      <c r="B430" s="532">
        <v>44454</v>
      </c>
      <c r="C430" s="529">
        <v>0.17043751482330372</v>
      </c>
      <c r="D430" s="529">
        <v>5.0969550943999131E-2</v>
      </c>
    </row>
    <row r="431" spans="2:4">
      <c r="B431" s="532">
        <v>44455</v>
      </c>
      <c r="C431" s="529">
        <v>0.17010127435614719</v>
      </c>
      <c r="D431" s="529">
        <v>5.1179005505876063E-2</v>
      </c>
    </row>
    <row r="432" spans="2:4">
      <c r="B432" s="532">
        <v>44456</v>
      </c>
      <c r="C432" s="529">
        <v>0.16767939858268588</v>
      </c>
      <c r="D432" s="529">
        <v>5.1388501811315823E-2</v>
      </c>
    </row>
    <row r="433" spans="2:4">
      <c r="B433" s="532">
        <v>44459</v>
      </c>
      <c r="C433" s="529">
        <v>0.16170063368711118</v>
      </c>
      <c r="D433" s="529">
        <v>5.1598039868637757E-2</v>
      </c>
    </row>
    <row r="434" spans="2:4">
      <c r="B434" s="532">
        <v>44460</v>
      </c>
      <c r="C434" s="529">
        <v>0.16382639834472523</v>
      </c>
      <c r="D434" s="529">
        <v>5.1807619686162765E-2</v>
      </c>
    </row>
    <row r="435" spans="2:4">
      <c r="B435" s="532">
        <v>44461</v>
      </c>
      <c r="C435" s="529">
        <v>0.16803354595777087</v>
      </c>
      <c r="D435" s="529">
        <v>5.2017241272213743E-2</v>
      </c>
    </row>
    <row r="436" spans="2:4">
      <c r="B436" s="532">
        <v>44462</v>
      </c>
      <c r="C436" s="529">
        <v>0.17366310320886047</v>
      </c>
      <c r="D436" s="529">
        <v>5.2266427713040464E-2</v>
      </c>
    </row>
    <row r="437" spans="2:4">
      <c r="B437" s="532">
        <v>44463</v>
      </c>
      <c r="C437" s="529">
        <v>0.17430826979597325</v>
      </c>
      <c r="D437" s="529">
        <v>5.2515673177502942E-2</v>
      </c>
    </row>
    <row r="438" spans="2:4">
      <c r="B438" s="532">
        <v>44466</v>
      </c>
      <c r="C438" s="529">
        <v>0.17526113757791473</v>
      </c>
      <c r="D438" s="529">
        <v>5.2764977679581548E-2</v>
      </c>
    </row>
    <row r="439" spans="2:4">
      <c r="B439" s="532">
        <v>44467</v>
      </c>
      <c r="C439" s="529">
        <v>0.17109329564725462</v>
      </c>
      <c r="D439" s="529">
        <v>5.3014341233260431E-2</v>
      </c>
    </row>
    <row r="440" spans="2:4">
      <c r="B440" s="532">
        <v>44468</v>
      </c>
      <c r="C440" s="529">
        <v>0.17231751132891082</v>
      </c>
      <c r="D440" s="529">
        <v>5.3263763852526846E-2</v>
      </c>
    </row>
    <row r="441" spans="2:4">
      <c r="B441" s="532">
        <v>44469</v>
      </c>
      <c r="C441" s="529">
        <v>0.17301291369047989</v>
      </c>
      <c r="D441" s="529">
        <v>5.351324555137138E-2</v>
      </c>
    </row>
    <row r="442" spans="2:4">
      <c r="B442" s="532">
        <v>44470</v>
      </c>
      <c r="C442" s="529">
        <v>0.17601745455920215</v>
      </c>
      <c r="D442" s="529">
        <v>5.3762786343787727E-2</v>
      </c>
    </row>
    <row r="443" spans="2:4">
      <c r="B443" s="532">
        <v>44473</v>
      </c>
      <c r="C443" s="529">
        <v>0.17244572802098901</v>
      </c>
      <c r="D443" s="529">
        <v>5.4012386243773358E-2</v>
      </c>
    </row>
    <row r="444" spans="2:4">
      <c r="B444" s="532">
        <v>44474</v>
      </c>
      <c r="C444" s="529">
        <v>0.17334854458155524</v>
      </c>
      <c r="D444" s="529">
        <v>5.4262045265328851E-2</v>
      </c>
    </row>
    <row r="445" spans="2:4">
      <c r="B445" s="532">
        <v>44475</v>
      </c>
      <c r="C445" s="529">
        <v>0.17257822523834188</v>
      </c>
      <c r="D445" s="529">
        <v>5.4511763422457893E-2</v>
      </c>
    </row>
    <row r="446" spans="2:4">
      <c r="B446" s="532">
        <v>44476</v>
      </c>
      <c r="C446" s="529">
        <v>0.17439949035896296</v>
      </c>
      <c r="D446" s="529">
        <v>5.4761540729167724E-2</v>
      </c>
    </row>
    <row r="447" spans="2:4">
      <c r="B447" s="532">
        <v>44477</v>
      </c>
      <c r="C447" s="529">
        <v>0.17777570313272428</v>
      </c>
      <c r="D447" s="529">
        <v>5.5011377199468692E-2</v>
      </c>
    </row>
    <row r="448" spans="2:4">
      <c r="B448" s="532">
        <v>44480</v>
      </c>
      <c r="C448" s="529">
        <v>0.17711980387434023</v>
      </c>
      <c r="D448" s="529">
        <v>5.5261272847374698E-2</v>
      </c>
    </row>
    <row r="449" spans="2:4">
      <c r="B449" s="532">
        <v>44482</v>
      </c>
      <c r="C449" s="529">
        <v>0.17727778134237671</v>
      </c>
      <c r="D449" s="529">
        <v>5.5511227686902975E-2</v>
      </c>
    </row>
    <row r="450" spans="2:4">
      <c r="B450" s="532">
        <v>44483</v>
      </c>
      <c r="C450" s="529">
        <v>0.17878410994742211</v>
      </c>
      <c r="D450" s="529">
        <v>5.5761241732073863E-2</v>
      </c>
    </row>
    <row r="451" spans="2:4">
      <c r="B451" s="532">
        <v>44484</v>
      </c>
      <c r="C451" s="529">
        <v>0.18111615511807599</v>
      </c>
      <c r="D451" s="529">
        <v>5.6011314996911254E-2</v>
      </c>
    </row>
    <row r="452" spans="2:4">
      <c r="B452" s="532">
        <v>44487</v>
      </c>
      <c r="C452" s="529">
        <v>0.18246138830687175</v>
      </c>
      <c r="D452" s="529">
        <v>5.6261447495442152E-2</v>
      </c>
    </row>
    <row r="453" spans="2:4">
      <c r="B453" s="532">
        <v>44488</v>
      </c>
      <c r="C453" s="529">
        <v>0.17823294251741717</v>
      </c>
      <c r="D453" s="529">
        <v>5.6511639241696887E-2</v>
      </c>
    </row>
    <row r="454" spans="2:4">
      <c r="B454" s="532">
        <v>44489</v>
      </c>
      <c r="C454" s="529">
        <v>0.17815745074267419</v>
      </c>
      <c r="D454" s="529">
        <v>5.6761890249709124E-2</v>
      </c>
    </row>
    <row r="455" spans="2:4">
      <c r="B455" s="532">
        <v>44490</v>
      </c>
      <c r="C455" s="529">
        <v>0.17492708784061994</v>
      </c>
      <c r="D455" s="529">
        <v>5.7012200533516078E-2</v>
      </c>
    </row>
    <row r="456" spans="2:4">
      <c r="B456" s="532">
        <v>44491</v>
      </c>
      <c r="C456" s="529">
        <v>0.17089342727660184</v>
      </c>
      <c r="D456" s="529">
        <v>5.7262570107158073E-2</v>
      </c>
    </row>
    <row r="457" spans="2:4">
      <c r="B457" s="532">
        <v>44494</v>
      </c>
      <c r="C457" s="529">
        <v>0.1740979818666919</v>
      </c>
      <c r="D457" s="529">
        <v>5.7512998984678987E-2</v>
      </c>
    </row>
    <row r="458" spans="2:4">
      <c r="B458" s="532">
        <v>44495</v>
      </c>
      <c r="C458" s="529">
        <v>0.1698980259104621</v>
      </c>
      <c r="D458" s="529">
        <v>5.7763487180125583E-2</v>
      </c>
    </row>
    <row r="459" spans="2:4">
      <c r="B459" s="532">
        <v>44496</v>
      </c>
      <c r="C459" s="529">
        <v>0.16739301240261462</v>
      </c>
      <c r="D459" s="529">
        <v>5.8014034707548401E-2</v>
      </c>
    </row>
    <row r="460" spans="2:4">
      <c r="B460" s="532">
        <v>44497</v>
      </c>
      <c r="C460" s="529">
        <v>0.16732114881940241</v>
      </c>
      <c r="D460" s="529">
        <v>5.8323570234295685E-2</v>
      </c>
    </row>
    <row r="461" spans="2:4">
      <c r="B461" s="532">
        <v>44498</v>
      </c>
      <c r="C461" s="529">
        <v>0.16607794510855167</v>
      </c>
      <c r="D461" s="529">
        <v>5.8633196319616943E-2</v>
      </c>
    </row>
    <row r="462" spans="2:4">
      <c r="B462" s="532">
        <v>44501</v>
      </c>
      <c r="C462" s="529">
        <v>0.16932246936374895</v>
      </c>
      <c r="D462" s="529">
        <v>5.8942912990006313E-2</v>
      </c>
    </row>
    <row r="463" spans="2:4">
      <c r="B463" s="532">
        <v>44503</v>
      </c>
      <c r="C463" s="529">
        <v>0.17233839493035674</v>
      </c>
      <c r="D463" s="529">
        <v>5.9252720271965709E-2</v>
      </c>
    </row>
    <row r="464" spans="2:4">
      <c r="B464" s="532">
        <v>44504</v>
      </c>
      <c r="C464" s="529">
        <v>0.17002429955143827</v>
      </c>
      <c r="D464" s="529">
        <v>5.9562618192004591E-2</v>
      </c>
    </row>
    <row r="465" spans="2:4">
      <c r="B465" s="532">
        <v>44505</v>
      </c>
      <c r="C465" s="529">
        <v>0.17217850382648026</v>
      </c>
      <c r="D465" s="529">
        <v>5.9872606776640191E-2</v>
      </c>
    </row>
    <row r="466" spans="2:4">
      <c r="B466" s="532">
        <v>44508</v>
      </c>
      <c r="C466" s="529">
        <v>0.1721043643516873</v>
      </c>
      <c r="D466" s="529">
        <v>6.0182686052397738E-2</v>
      </c>
    </row>
    <row r="467" spans="2:4">
      <c r="B467" s="532">
        <v>44509</v>
      </c>
      <c r="C467" s="529">
        <v>0.17220597080054456</v>
      </c>
      <c r="D467" s="529">
        <v>6.0492856045810228E-2</v>
      </c>
    </row>
    <row r="468" spans="2:4">
      <c r="B468" s="532">
        <v>44510</v>
      </c>
      <c r="C468" s="529">
        <v>0.17522473469367017</v>
      </c>
      <c r="D468" s="529">
        <v>6.0803116783417988E-2</v>
      </c>
    </row>
    <row r="469" spans="2:4">
      <c r="B469" s="532">
        <v>44511</v>
      </c>
      <c r="C469" s="529">
        <v>0.17960334527260535</v>
      </c>
      <c r="D469" s="529">
        <v>6.1113468291769557E-2</v>
      </c>
    </row>
    <row r="470" spans="2:4">
      <c r="B470" s="532">
        <v>44512</v>
      </c>
      <c r="C470" s="529">
        <v>0.17924566749919402</v>
      </c>
      <c r="D470" s="529">
        <v>6.1423910597421028E-2</v>
      </c>
    </row>
    <row r="471" spans="2:4">
      <c r="B471" s="532">
        <v>44516</v>
      </c>
      <c r="C471" s="529">
        <v>0.17710421571990342</v>
      </c>
      <c r="D471" s="529">
        <v>6.1734443726936261E-2</v>
      </c>
    </row>
    <row r="472" spans="2:4">
      <c r="B472" s="532">
        <v>44517</v>
      </c>
      <c r="C472" s="529">
        <v>0.17457708482566159</v>
      </c>
      <c r="D472" s="529">
        <v>6.2045067706887114E-2</v>
      </c>
    </row>
    <row r="473" spans="2:4">
      <c r="B473" s="532">
        <v>44518</v>
      </c>
      <c r="C473" s="529">
        <v>0.17499326545977567</v>
      </c>
      <c r="D473" s="529">
        <v>6.2355782563852769E-2</v>
      </c>
    </row>
    <row r="474" spans="2:4">
      <c r="B474" s="532">
        <v>44519</v>
      </c>
      <c r="C474" s="529">
        <v>0.17659536317221081</v>
      </c>
      <c r="D474" s="529">
        <v>6.2666588324420625E-2</v>
      </c>
    </row>
    <row r="475" spans="2:4">
      <c r="B475" s="532">
        <v>44522</v>
      </c>
      <c r="C475" s="529">
        <v>0.17452470898343342</v>
      </c>
      <c r="D475" s="529">
        <v>6.2977485015185852E-2</v>
      </c>
    </row>
    <row r="476" spans="2:4">
      <c r="B476" s="532">
        <v>44523</v>
      </c>
      <c r="C476" s="529">
        <v>0.17665621475844184</v>
      </c>
      <c r="D476" s="529">
        <v>6.328847266275095E-2</v>
      </c>
    </row>
    <row r="477" spans="2:4">
      <c r="B477" s="532">
        <v>44524</v>
      </c>
      <c r="C477" s="529">
        <v>0.1779097347948122</v>
      </c>
      <c r="D477" s="529">
        <v>6.3599551293726631E-2</v>
      </c>
    </row>
    <row r="478" spans="2:4">
      <c r="B478" s="532">
        <v>44525</v>
      </c>
      <c r="C478" s="529">
        <v>0.18105147604449034</v>
      </c>
      <c r="D478" s="529">
        <v>6.3910720934731158E-2</v>
      </c>
    </row>
    <row r="479" spans="2:4">
      <c r="B479" s="532">
        <v>44526</v>
      </c>
      <c r="C479" s="529">
        <v>0.17127468576309735</v>
      </c>
      <c r="D479" s="529">
        <v>6.4221981612390788E-2</v>
      </c>
    </row>
    <row r="480" spans="2:4">
      <c r="B480" s="532">
        <v>44529</v>
      </c>
      <c r="C480" s="529">
        <v>0.17360084848639001</v>
      </c>
      <c r="D480" s="529">
        <v>6.453333335333955E-2</v>
      </c>
    </row>
    <row r="481" spans="2:4">
      <c r="B481" s="532">
        <v>44530</v>
      </c>
      <c r="C481" s="529">
        <v>0.16834965854985251</v>
      </c>
      <c r="D481" s="529">
        <v>6.4844776184219022E-2</v>
      </c>
    </row>
    <row r="482" spans="2:4">
      <c r="B482" s="532">
        <v>44531</v>
      </c>
      <c r="C482" s="529">
        <v>0.16663924491364424</v>
      </c>
      <c r="D482" s="529">
        <v>6.5156310131678774E-2</v>
      </c>
    </row>
    <row r="483" spans="2:4">
      <c r="B483" s="532">
        <v>44532</v>
      </c>
      <c r="C483" s="529">
        <v>0.17313278118108211</v>
      </c>
      <c r="D483" s="529">
        <v>6.5467935222375928E-2</v>
      </c>
    </row>
    <row r="484" spans="2:4">
      <c r="B484" s="532">
        <v>44533</v>
      </c>
      <c r="C484" s="529">
        <v>0.17514478864175942</v>
      </c>
      <c r="D484" s="529">
        <v>6.5779651482975821E-2</v>
      </c>
    </row>
    <row r="485" spans="2:4">
      <c r="B485" s="532">
        <v>44536</v>
      </c>
      <c r="C485" s="529">
        <v>0.17799546830490609</v>
      </c>
      <c r="D485" s="529">
        <v>6.6091458940151337E-2</v>
      </c>
    </row>
    <row r="486" spans="2:4">
      <c r="B486" s="532">
        <v>44537</v>
      </c>
      <c r="C486" s="529">
        <v>0.17966234753962995</v>
      </c>
      <c r="D486" s="529">
        <v>6.6403357620583137E-2</v>
      </c>
    </row>
    <row r="487" spans="2:4">
      <c r="B487" s="532">
        <v>44538</v>
      </c>
      <c r="C487" s="529">
        <v>0.18162209288263553</v>
      </c>
      <c r="D487" s="529">
        <v>6.6715347550959869E-2</v>
      </c>
    </row>
    <row r="488" spans="2:4">
      <c r="B488" s="532">
        <v>44539</v>
      </c>
      <c r="C488" s="529">
        <v>0.17934734364407956</v>
      </c>
      <c r="D488" s="529">
        <v>6.7086023125886074E-2</v>
      </c>
    </row>
    <row r="489" spans="2:4">
      <c r="B489" s="532">
        <v>44540</v>
      </c>
      <c r="C489" s="529">
        <v>0.18287666144502523</v>
      </c>
      <c r="D489" s="529">
        <v>6.7456827507791806E-2</v>
      </c>
    </row>
    <row r="490" spans="2:4">
      <c r="B490" s="532">
        <v>44543</v>
      </c>
      <c r="C490" s="529">
        <v>0.18201140669958593</v>
      </c>
      <c r="D490" s="529">
        <v>6.7827760741436371E-2</v>
      </c>
    </row>
    <row r="491" spans="2:4">
      <c r="B491" s="532">
        <v>44544</v>
      </c>
      <c r="C491" s="529">
        <v>0.18037373411571522</v>
      </c>
      <c r="D491" s="529">
        <v>6.8198822871594844E-2</v>
      </c>
    </row>
    <row r="492" spans="2:4">
      <c r="B492" s="532">
        <v>44545</v>
      </c>
      <c r="C492" s="529">
        <v>0.18260745051640415</v>
      </c>
      <c r="D492" s="529">
        <v>6.8570013943057839E-2</v>
      </c>
    </row>
    <row r="493" spans="2:4">
      <c r="B493" s="532">
        <v>44546</v>
      </c>
      <c r="C493" s="529">
        <v>0.1819315431288242</v>
      </c>
      <c r="D493" s="529">
        <v>6.8941334000631516E-2</v>
      </c>
    </row>
    <row r="494" spans="2:4">
      <c r="B494" s="532">
        <v>44547</v>
      </c>
      <c r="C494" s="529">
        <v>0.18024388127787905</v>
      </c>
      <c r="D494" s="529">
        <v>6.9312783089137353E-2</v>
      </c>
    </row>
    <row r="495" spans="2:4">
      <c r="B495" s="532">
        <v>44550</v>
      </c>
      <c r="C495" s="529">
        <v>0.17502062528025197</v>
      </c>
      <c r="D495" s="529">
        <v>6.9684361253412819E-2</v>
      </c>
    </row>
    <row r="496" spans="2:4">
      <c r="B496" s="532">
        <v>44551</v>
      </c>
      <c r="C496" s="529">
        <v>0.17906696715237924</v>
      </c>
      <c r="D496" s="529">
        <v>7.0056068538310923E-2</v>
      </c>
    </row>
    <row r="497" spans="2:4">
      <c r="B497" s="532">
        <v>44552</v>
      </c>
      <c r="C497" s="529">
        <v>0.17961897652475245</v>
      </c>
      <c r="D497" s="529">
        <v>7.0427904988699774E-2</v>
      </c>
    </row>
    <row r="498" spans="2:4">
      <c r="B498" s="532">
        <v>44553</v>
      </c>
      <c r="C498" s="529">
        <v>0.18024044016147611</v>
      </c>
      <c r="D498" s="529">
        <v>7.0799870649463692E-2</v>
      </c>
    </row>
    <row r="499" spans="2:4">
      <c r="B499" s="532">
        <v>44554</v>
      </c>
      <c r="C499" s="529">
        <v>0.18050617784727918</v>
      </c>
      <c r="D499" s="529">
        <v>7.1171965565502093E-2</v>
      </c>
    </row>
    <row r="500" spans="2:4">
      <c r="B500" s="532">
        <v>44557</v>
      </c>
      <c r="C500" s="529">
        <v>0.18292954824721575</v>
      </c>
      <c r="D500" s="529">
        <v>7.1544189781730383E-2</v>
      </c>
    </row>
    <row r="501" spans="2:4">
      <c r="B501" s="532">
        <v>44558</v>
      </c>
      <c r="C501" s="529">
        <v>0.18270274986489077</v>
      </c>
      <c r="D501" s="529">
        <v>7.1916543343079287E-2</v>
      </c>
    </row>
    <row r="502" spans="2:4">
      <c r="B502" s="532">
        <v>44559</v>
      </c>
      <c r="C502" s="529">
        <v>0.18175608104641294</v>
      </c>
      <c r="D502" s="529">
        <v>7.2289026294495295E-2</v>
      </c>
    </row>
    <row r="503" spans="2:4">
      <c r="B503" s="532">
        <v>44560</v>
      </c>
      <c r="C503" s="529">
        <v>0.18488814942610454</v>
      </c>
      <c r="D503" s="529">
        <v>7.2661638680940666E-2</v>
      </c>
    </row>
    <row r="504" spans="2:4">
      <c r="B504" s="532">
        <v>44561</v>
      </c>
      <c r="C504" s="529">
        <v>0.18543503806206374</v>
      </c>
      <c r="D504" s="529">
        <v>7.3034380547392974E-2</v>
      </c>
    </row>
    <row r="505" spans="2:4">
      <c r="B505" s="532">
        <v>44564</v>
      </c>
      <c r="C505" s="529">
        <v>0.18487078666241286</v>
      </c>
      <c r="D505" s="529">
        <v>7.3407251938845341E-2</v>
      </c>
    </row>
    <row r="506" spans="2:4">
      <c r="B506" s="532">
        <v>44565</v>
      </c>
      <c r="C506" s="529">
        <v>0.18410843573187918</v>
      </c>
      <c r="D506" s="529">
        <v>7.3780252900307097E-2</v>
      </c>
    </row>
    <row r="507" spans="2:4">
      <c r="B507" s="532">
        <v>44566</v>
      </c>
      <c r="C507" s="529">
        <v>0.17862499589552305</v>
      </c>
      <c r="D507" s="529">
        <v>7.415338347680267E-2</v>
      </c>
    </row>
    <row r="508" spans="2:4">
      <c r="B508" s="532">
        <v>44567</v>
      </c>
      <c r="C508" s="529">
        <v>0.18020310539801065</v>
      </c>
      <c r="D508" s="529">
        <v>7.4526643713372254E-2</v>
      </c>
    </row>
    <row r="509" spans="2:4">
      <c r="B509" s="532">
        <v>44568</v>
      </c>
      <c r="C509" s="529">
        <v>0.18249559556889849</v>
      </c>
      <c r="D509" s="529">
        <v>7.4900033655071807E-2</v>
      </c>
    </row>
    <row r="510" spans="2:4">
      <c r="B510" s="532">
        <v>44571</v>
      </c>
      <c r="C510" s="529">
        <v>0.18220756180809428</v>
      </c>
      <c r="D510" s="529">
        <v>7.5273553346972832E-2</v>
      </c>
    </row>
    <row r="511" spans="2:4">
      <c r="B511" s="532">
        <v>44572</v>
      </c>
      <c r="C511" s="529">
        <v>0.18479871513868495</v>
      </c>
      <c r="D511" s="529">
        <v>7.5647202834162597E-2</v>
      </c>
    </row>
    <row r="512" spans="2:4">
      <c r="B512" s="532">
        <v>44573</v>
      </c>
      <c r="C512" s="529">
        <v>0.189012985505288</v>
      </c>
      <c r="D512" s="529">
        <v>7.6020982161743911E-2</v>
      </c>
    </row>
    <row r="513" spans="2:4">
      <c r="B513" s="532">
        <v>44574</v>
      </c>
      <c r="C513" s="529">
        <v>0.18773214819751338</v>
      </c>
      <c r="D513" s="529">
        <v>7.6394891374835572E-2</v>
      </c>
    </row>
    <row r="514" spans="2:4">
      <c r="B514" s="532">
        <v>44575</v>
      </c>
      <c r="C514" s="529">
        <v>0.19110296964413598</v>
      </c>
      <c r="D514" s="529">
        <v>7.6768930518571699E-2</v>
      </c>
    </row>
    <row r="515" spans="2:4">
      <c r="B515" s="532">
        <v>44578</v>
      </c>
      <c r="C515" s="529">
        <v>0.1910924637889011</v>
      </c>
      <c r="D515" s="529">
        <v>7.7143099638102175E-2</v>
      </c>
    </row>
    <row r="516" spans="2:4">
      <c r="B516" s="532">
        <v>44579</v>
      </c>
      <c r="C516" s="529">
        <v>0.19208555989551179</v>
      </c>
      <c r="D516" s="529">
        <v>7.7517398778592428E-2</v>
      </c>
    </row>
    <row r="517" spans="2:4">
      <c r="B517" s="532">
        <v>44580</v>
      </c>
      <c r="C517" s="529">
        <v>0.19391643305743567</v>
      </c>
      <c r="D517" s="529">
        <v>7.7891827985224094E-2</v>
      </c>
    </row>
    <row r="518" spans="2:4">
      <c r="B518" s="532">
        <v>44581</v>
      </c>
      <c r="C518" s="529">
        <v>0.19713075989200202</v>
      </c>
      <c r="D518" s="529">
        <v>7.8266387303193907E-2</v>
      </c>
    </row>
    <row r="519" spans="2:4">
      <c r="B519" s="532">
        <v>44582</v>
      </c>
      <c r="C519" s="529">
        <v>0.19471599858468136</v>
      </c>
      <c r="D519" s="529">
        <v>7.8641076777714813E-2</v>
      </c>
    </row>
    <row r="520" spans="2:4">
      <c r="B520" s="532">
        <v>44585</v>
      </c>
      <c r="C520" s="529">
        <v>0.19316496032910546</v>
      </c>
      <c r="D520" s="529">
        <v>7.9015896454015078E-2</v>
      </c>
    </row>
    <row r="521" spans="2:4">
      <c r="B521" s="532">
        <v>44586</v>
      </c>
      <c r="C521" s="529">
        <v>0.19682639129669588</v>
      </c>
      <c r="D521" s="529">
        <v>7.9390846377338953E-2</v>
      </c>
    </row>
    <row r="522" spans="2:4">
      <c r="B522" s="532">
        <v>44587</v>
      </c>
      <c r="C522" s="529">
        <v>0.20047543953481917</v>
      </c>
      <c r="D522" s="529">
        <v>7.9765926592946235E-2</v>
      </c>
    </row>
    <row r="523" spans="2:4">
      <c r="B523" s="532">
        <v>44588</v>
      </c>
      <c r="C523" s="529">
        <v>0.20259870037052918</v>
      </c>
      <c r="D523" s="529">
        <v>8.0141137146112484E-2</v>
      </c>
    </row>
    <row r="524" spans="2:4">
      <c r="B524" s="532">
        <v>44589</v>
      </c>
      <c r="C524" s="529">
        <v>0.20300025282277812</v>
      </c>
      <c r="D524" s="529">
        <v>8.051647808212925E-2</v>
      </c>
    </row>
    <row r="525" spans="2:4">
      <c r="B525" s="532">
        <v>44592</v>
      </c>
      <c r="C525" s="529">
        <v>0.20525421873296845</v>
      </c>
      <c r="D525" s="529">
        <v>8.0891949446303402E-2</v>
      </c>
    </row>
    <row r="526" spans="2:4">
      <c r="B526" s="532">
        <v>44593</v>
      </c>
      <c r="C526" s="529">
        <v>0.20662716325578123</v>
      </c>
      <c r="D526" s="529">
        <v>8.1267551283957573E-2</v>
      </c>
    </row>
    <row r="527" spans="2:4">
      <c r="B527" s="532">
        <v>44594</v>
      </c>
      <c r="C527" s="529">
        <v>0.20655763563508822</v>
      </c>
      <c r="D527" s="529">
        <v>8.1643283640430608E-2</v>
      </c>
    </row>
    <row r="528" spans="2:4">
      <c r="B528" s="532">
        <v>44595</v>
      </c>
      <c r="C528" s="529">
        <v>0.20645350353793201</v>
      </c>
      <c r="D528" s="529">
        <v>8.2077753154076394E-2</v>
      </c>
    </row>
    <row r="529" spans="2:4">
      <c r="B529" s="532">
        <v>44596</v>
      </c>
      <c r="C529" s="529">
        <v>0.20959048041893791</v>
      </c>
      <c r="D529" s="529">
        <v>8.2512397183443831E-2</v>
      </c>
    </row>
    <row r="530" spans="2:4">
      <c r="B530" s="532">
        <v>44599</v>
      </c>
      <c r="C530" s="529">
        <v>0.20938915438845274</v>
      </c>
      <c r="D530" s="529">
        <v>8.2947215798631735E-2</v>
      </c>
    </row>
    <row r="531" spans="2:4">
      <c r="B531" s="532">
        <v>44600</v>
      </c>
      <c r="C531" s="529">
        <v>0.20979479814260449</v>
      </c>
      <c r="D531" s="529">
        <v>8.3382209069766899E-2</v>
      </c>
    </row>
    <row r="532" spans="2:4">
      <c r="B532" s="532">
        <v>44601</v>
      </c>
      <c r="C532" s="529">
        <v>0.21105826815258766</v>
      </c>
      <c r="D532" s="529">
        <v>8.3817377067004317E-2</v>
      </c>
    </row>
    <row r="533" spans="2:4">
      <c r="B533" s="532">
        <v>44602</v>
      </c>
      <c r="C533" s="529">
        <v>0.21347330516647278</v>
      </c>
      <c r="D533" s="529">
        <v>8.4252719860527181E-2</v>
      </c>
    </row>
    <row r="534" spans="2:4">
      <c r="B534" s="532">
        <v>44603</v>
      </c>
      <c r="C534" s="529">
        <v>0.21247906107542747</v>
      </c>
      <c r="D534" s="529">
        <v>8.4688237520546661E-2</v>
      </c>
    </row>
    <row r="535" spans="2:4">
      <c r="B535" s="532">
        <v>44606</v>
      </c>
      <c r="C535" s="529">
        <v>0.21435824277275595</v>
      </c>
      <c r="D535" s="529">
        <v>8.5123930117302571E-2</v>
      </c>
    </row>
    <row r="536" spans="2:4">
      <c r="B536" s="532">
        <v>44607</v>
      </c>
      <c r="C536" s="529">
        <v>0.21579548864767739</v>
      </c>
      <c r="D536" s="529">
        <v>8.5559797721062703E-2</v>
      </c>
    </row>
    <row r="537" spans="2:4">
      <c r="B537" s="532">
        <v>44608</v>
      </c>
      <c r="C537" s="529">
        <v>0.21626359458373678</v>
      </c>
      <c r="D537" s="529">
        <v>8.5995840402122825E-2</v>
      </c>
    </row>
    <row r="538" spans="2:4">
      <c r="B538" s="532">
        <v>44609</v>
      </c>
      <c r="C538" s="529">
        <v>0.21387872092747573</v>
      </c>
      <c r="D538" s="529">
        <v>8.6432058230807352E-2</v>
      </c>
    </row>
    <row r="539" spans="2:4">
      <c r="B539" s="532">
        <v>44610</v>
      </c>
      <c r="C539" s="529">
        <v>0.21188138105430476</v>
      </c>
      <c r="D539" s="529">
        <v>8.6868451277468894E-2</v>
      </c>
    </row>
    <row r="540" spans="2:4">
      <c r="B540" s="532">
        <v>44613</v>
      </c>
      <c r="C540" s="529">
        <v>0.20964981760967616</v>
      </c>
      <c r="D540" s="529">
        <v>8.7305019612488044E-2</v>
      </c>
    </row>
    <row r="541" spans="2:4">
      <c r="B541" s="532">
        <v>44614</v>
      </c>
      <c r="C541" s="529">
        <v>0.21166478130417965</v>
      </c>
      <c r="D541" s="529">
        <v>8.7741763306273812E-2</v>
      </c>
    </row>
    <row r="542" spans="2:4">
      <c r="B542" s="532">
        <v>44615</v>
      </c>
      <c r="C542" s="529">
        <v>0.21066490039620311</v>
      </c>
      <c r="D542" s="529">
        <v>8.8178682429263633E-2</v>
      </c>
    </row>
    <row r="543" spans="2:4">
      <c r="B543" s="532">
        <v>44616</v>
      </c>
      <c r="C543" s="529">
        <v>0.21050289537749944</v>
      </c>
      <c r="D543" s="529">
        <v>8.8615777051922917E-2</v>
      </c>
    </row>
    <row r="544" spans="2:4">
      <c r="B544" s="532">
        <v>44617</v>
      </c>
      <c r="C544" s="529">
        <v>0.21441701001814817</v>
      </c>
      <c r="D544" s="529">
        <v>8.905304724474572E-2</v>
      </c>
    </row>
    <row r="545" spans="2:4">
      <c r="B545" s="532">
        <v>44622</v>
      </c>
      <c r="C545" s="529">
        <v>0.21531947318446787</v>
      </c>
      <c r="D545" s="529">
        <v>8.9490493078254074E-2</v>
      </c>
    </row>
    <row r="546" spans="2:4">
      <c r="B546" s="532">
        <v>44623</v>
      </c>
      <c r="C546" s="529">
        <v>0.21604197104491374</v>
      </c>
      <c r="D546" s="529">
        <v>8.9928114622998656E-2</v>
      </c>
    </row>
    <row r="547" spans="2:4">
      <c r="B547" s="532">
        <v>44624</v>
      </c>
      <c r="C547" s="529">
        <v>0.21433860499493096</v>
      </c>
      <c r="D547" s="529">
        <v>9.0365911949558342E-2</v>
      </c>
    </row>
    <row r="548" spans="2:4">
      <c r="B548" s="532">
        <v>44627</v>
      </c>
      <c r="C548" s="529">
        <v>0.2106213253929341</v>
      </c>
      <c r="D548" s="529">
        <v>9.0803885128540429E-2</v>
      </c>
    </row>
    <row r="549" spans="2:4">
      <c r="B549" s="532">
        <v>44628</v>
      </c>
      <c r="C549" s="529">
        <v>0.21187686838433795</v>
      </c>
      <c r="D549" s="529">
        <v>9.1242034230580416E-2</v>
      </c>
    </row>
    <row r="550" spans="2:4">
      <c r="B550" s="532">
        <v>44629</v>
      </c>
      <c r="C550" s="529">
        <v>0.21764628847771572</v>
      </c>
      <c r="D550" s="529">
        <v>9.1680359326342442E-2</v>
      </c>
    </row>
    <row r="551" spans="2:4">
      <c r="B551" s="532">
        <v>44630</v>
      </c>
      <c r="C551" s="529">
        <v>0.21932032743393126</v>
      </c>
      <c r="D551" s="529">
        <v>9.2118860486518628E-2</v>
      </c>
    </row>
    <row r="552" spans="2:4">
      <c r="B552" s="532">
        <v>44631</v>
      </c>
      <c r="C552" s="529">
        <v>0.21625113023164477</v>
      </c>
      <c r="D552" s="529">
        <v>9.2557537781829957E-2</v>
      </c>
    </row>
    <row r="553" spans="2:4">
      <c r="B553" s="532">
        <v>44634</v>
      </c>
      <c r="C553" s="529">
        <v>0.21392881276958264</v>
      </c>
      <c r="D553" s="529">
        <v>9.2996391283025392E-2</v>
      </c>
    </row>
    <row r="554" spans="2:4">
      <c r="B554" s="532">
        <v>44635</v>
      </c>
      <c r="C554" s="529">
        <v>0.21396431527307458</v>
      </c>
      <c r="D554" s="529">
        <v>9.343542106088254E-2</v>
      </c>
    </row>
    <row r="555" spans="2:4">
      <c r="B555" s="532">
        <v>44636</v>
      </c>
      <c r="C555" s="529">
        <v>0.22012284101222823</v>
      </c>
      <c r="D555" s="529">
        <v>9.3874627186207427E-2</v>
      </c>
    </row>
    <row r="556" spans="2:4">
      <c r="B556" s="532">
        <v>44637</v>
      </c>
      <c r="C556" s="529">
        <v>0.22562107336937065</v>
      </c>
      <c r="D556" s="529">
        <v>9.4353079659867944E-2</v>
      </c>
    </row>
    <row r="557" spans="2:4">
      <c r="B557" s="532">
        <v>44638</v>
      </c>
      <c r="C557" s="529">
        <v>0.23090801951925211</v>
      </c>
      <c r="D557" s="529">
        <v>9.4831741405015268E-2</v>
      </c>
    </row>
    <row r="558" spans="2:4">
      <c r="B558" s="532">
        <v>44641</v>
      </c>
      <c r="C558" s="529">
        <v>0.23497813485713337</v>
      </c>
      <c r="D558" s="529">
        <v>9.5310612513183068E-2</v>
      </c>
    </row>
    <row r="559" spans="2:4">
      <c r="B559" s="532">
        <v>44642</v>
      </c>
      <c r="C559" s="529">
        <v>0.23993253726160368</v>
      </c>
      <c r="D559" s="529">
        <v>9.5789693075945204E-2</v>
      </c>
    </row>
    <row r="560" spans="2:4">
      <c r="B560" s="532">
        <v>44643</v>
      </c>
      <c r="C560" s="529">
        <v>0.24157841932052326</v>
      </c>
      <c r="D560" s="529">
        <v>9.6268983184915502E-2</v>
      </c>
    </row>
    <row r="561" spans="2:4">
      <c r="B561" s="532">
        <v>44644</v>
      </c>
      <c r="C561" s="529">
        <v>0.24676710327485263</v>
      </c>
      <c r="D561" s="529">
        <v>9.6748482931747981E-2</v>
      </c>
    </row>
    <row r="562" spans="2:4">
      <c r="B562" s="532">
        <v>44645</v>
      </c>
      <c r="C562" s="529">
        <v>0.25004685042464359</v>
      </c>
      <c r="D562" s="529">
        <v>9.7228192408136405E-2</v>
      </c>
    </row>
    <row r="563" spans="2:4">
      <c r="B563" s="532">
        <v>44648</v>
      </c>
      <c r="C563" s="529">
        <v>0.24967831049264855</v>
      </c>
      <c r="D563" s="529">
        <v>9.770811170581517E-2</v>
      </c>
    </row>
    <row r="564" spans="2:4">
      <c r="B564" s="532">
        <v>44649</v>
      </c>
      <c r="C564" s="529">
        <v>0.25094438031448929</v>
      </c>
      <c r="D564" s="529">
        <v>9.8188240916558422E-2</v>
      </c>
    </row>
    <row r="565" spans="2:4">
      <c r="B565" s="532">
        <v>44650</v>
      </c>
      <c r="C565" s="529">
        <v>0.25043897296273077</v>
      </c>
      <c r="D565" s="529">
        <v>9.8668580132180495E-2</v>
      </c>
    </row>
    <row r="566" spans="2:4">
      <c r="B566" s="532">
        <v>44651</v>
      </c>
      <c r="C566" s="529">
        <v>0.24982717761569151</v>
      </c>
      <c r="D566" s="529">
        <v>9.9149129444535911E-2</v>
      </c>
    </row>
    <row r="567" spans="2:4">
      <c r="B567" s="532">
        <v>44652</v>
      </c>
      <c r="C567" s="529">
        <v>0.25602151322323641</v>
      </c>
      <c r="D567" s="529">
        <v>9.9629888945519385E-2</v>
      </c>
    </row>
    <row r="568" spans="2:4">
      <c r="B568" s="532">
        <v>44655</v>
      </c>
      <c r="C568" s="529">
        <v>0.25716699008810573</v>
      </c>
      <c r="D568" s="529">
        <v>0.10011085872706604</v>
      </c>
    </row>
    <row r="569" spans="2:4">
      <c r="B569" s="532">
        <v>44656</v>
      </c>
      <c r="C569" s="529">
        <v>0.25499759305798064</v>
      </c>
      <c r="D569" s="529">
        <v>0.10059203888115076</v>
      </c>
    </row>
    <row r="570" spans="2:4">
      <c r="B570" s="532">
        <v>44657</v>
      </c>
      <c r="C570" s="529">
        <v>0.2532781257782255</v>
      </c>
      <c r="D570" s="529">
        <v>0.10107342949978904</v>
      </c>
    </row>
    <row r="571" spans="2:4">
      <c r="B571" s="532">
        <v>44658</v>
      </c>
      <c r="C571" s="529">
        <v>0.25507346748034632</v>
      </c>
      <c r="D571" s="529">
        <v>0.10155503067503635</v>
      </c>
    </row>
    <row r="572" spans="2:4">
      <c r="B572" s="532">
        <v>44659</v>
      </c>
      <c r="C572" s="529">
        <v>0.25651697778487703</v>
      </c>
      <c r="D572" s="529">
        <v>0.10203684249898859</v>
      </c>
    </row>
    <row r="573" spans="2:4">
      <c r="B573" s="532">
        <v>44662</v>
      </c>
      <c r="C573" s="529">
        <v>0.25288513023753389</v>
      </c>
      <c r="D573" s="529">
        <v>0.10251886506378205</v>
      </c>
    </row>
    <row r="574" spans="2:4">
      <c r="B574" s="532">
        <v>44663</v>
      </c>
      <c r="C574" s="529">
        <v>0.25254711988616196</v>
      </c>
      <c r="D574" s="529">
        <v>0.103001098461593</v>
      </c>
    </row>
    <row r="575" spans="2:4">
      <c r="B575" s="532">
        <v>44664</v>
      </c>
      <c r="C575" s="529">
        <v>0.25521465536996657</v>
      </c>
      <c r="D575" s="529">
        <v>0.10348354278463834</v>
      </c>
    </row>
    <row r="576" spans="2:4">
      <c r="B576" s="532">
        <v>44665</v>
      </c>
      <c r="C576" s="529">
        <v>0.25574597317159564</v>
      </c>
      <c r="D576" s="529">
        <v>0.10396619812517516</v>
      </c>
    </row>
    <row r="577" spans="2:4">
      <c r="B577" s="532">
        <v>44669</v>
      </c>
      <c r="C577" s="529">
        <v>0.2564215691601317</v>
      </c>
      <c r="D577" s="529">
        <v>0.10444906457550074</v>
      </c>
    </row>
    <row r="578" spans="2:4">
      <c r="B578" s="532">
        <v>44670</v>
      </c>
      <c r="C578" s="529">
        <v>0.25678605470344751</v>
      </c>
      <c r="D578" s="529">
        <v>0.104932142227953</v>
      </c>
    </row>
    <row r="579" spans="2:4">
      <c r="B579" s="532">
        <v>44671</v>
      </c>
      <c r="C579" s="529">
        <v>0.2576938810602023</v>
      </c>
      <c r="D579" s="529">
        <v>0.10541543117491026</v>
      </c>
    </row>
    <row r="580" spans="2:4">
      <c r="B580" s="532">
        <v>44673</v>
      </c>
      <c r="C580" s="529">
        <v>0.2531399394948699</v>
      </c>
      <c r="D580" s="529">
        <v>0.10589893150879104</v>
      </c>
    </row>
    <row r="581" spans="2:4">
      <c r="B581" s="532">
        <v>44676</v>
      </c>
      <c r="C581" s="529">
        <v>0.25222420824140857</v>
      </c>
      <c r="D581" s="529">
        <v>0.10638264332205427</v>
      </c>
    </row>
    <row r="582" spans="2:4">
      <c r="B582" s="532">
        <v>44677</v>
      </c>
      <c r="C582" s="529">
        <v>0.24976416613410257</v>
      </c>
      <c r="D582" s="529">
        <v>0.10686656670719952</v>
      </c>
    </row>
    <row r="583" spans="2:4">
      <c r="B583" s="532">
        <v>44678</v>
      </c>
      <c r="C583" s="529">
        <v>0.25216782599719645</v>
      </c>
      <c r="D583" s="529">
        <v>0.10735070175676675</v>
      </c>
    </row>
    <row r="584" spans="2:4">
      <c r="B584" s="532">
        <v>44679</v>
      </c>
      <c r="C584" s="529">
        <v>0.25650932456341202</v>
      </c>
      <c r="D584" s="529">
        <v>0.10783504856333659</v>
      </c>
    </row>
    <row r="585" spans="2:4">
      <c r="B585" s="532">
        <v>44680</v>
      </c>
      <c r="C585" s="529">
        <v>0.25491557822938882</v>
      </c>
      <c r="D585" s="529">
        <v>0.1083196072195296</v>
      </c>
    </row>
    <row r="586" spans="2:4">
      <c r="B586" s="532">
        <v>44683</v>
      </c>
      <c r="C586" s="529">
        <v>0.25380874071670689</v>
      </c>
      <c r="D586" s="529">
        <v>0.10880437781800745</v>
      </c>
    </row>
    <row r="587" spans="2:4">
      <c r="B587" s="532">
        <v>44684</v>
      </c>
      <c r="C587" s="529">
        <v>0.25447003725492023</v>
      </c>
      <c r="D587" s="529">
        <v>0.10928936045147197</v>
      </c>
    </row>
    <row r="588" spans="2:4">
      <c r="B588" s="532">
        <v>44685</v>
      </c>
      <c r="C588" s="529">
        <v>0.26078468418387768</v>
      </c>
      <c r="D588" s="529">
        <v>0.10977455521266566</v>
      </c>
    </row>
    <row r="589" spans="2:4">
      <c r="B589" s="532">
        <v>44686</v>
      </c>
      <c r="C589" s="529">
        <v>0.25542831752488859</v>
      </c>
      <c r="D589" s="529">
        <v>0.11029924797805268</v>
      </c>
    </row>
    <row r="590" spans="2:4">
      <c r="B590" s="532">
        <v>44687</v>
      </c>
      <c r="C590" s="529">
        <v>0.2534972917082372</v>
      </c>
      <c r="D590" s="529">
        <v>0.11082418881409217</v>
      </c>
    </row>
    <row r="591" spans="2:4">
      <c r="B591" s="532">
        <v>44690</v>
      </c>
      <c r="C591" s="529">
        <v>0.24845150360565449</v>
      </c>
      <c r="D591" s="529">
        <v>0.11134937783807008</v>
      </c>
    </row>
    <row r="592" spans="2:4">
      <c r="B592" s="532">
        <v>44691</v>
      </c>
      <c r="C592" s="529">
        <v>0.24980453396557722</v>
      </c>
      <c r="D592" s="529">
        <v>0.11187481516732767</v>
      </c>
    </row>
    <row r="593" spans="2:4">
      <c r="B593" s="532">
        <v>44692</v>
      </c>
      <c r="C593" s="529">
        <v>0.25163248344857814</v>
      </c>
      <c r="D593" s="529">
        <v>0.1124005009192619</v>
      </c>
    </row>
    <row r="594" spans="2:4">
      <c r="B594" s="532">
        <v>44693</v>
      </c>
      <c r="C594" s="529">
        <v>0.25194152776106438</v>
      </c>
      <c r="D594" s="529">
        <v>0.11292643521132484</v>
      </c>
    </row>
    <row r="595" spans="2:4">
      <c r="B595" s="532">
        <v>44694</v>
      </c>
      <c r="C595" s="529">
        <v>0.25667234212008849</v>
      </c>
      <c r="D595" s="529">
        <v>0.11345261816102448</v>
      </c>
    </row>
    <row r="596" spans="2:4">
      <c r="B596" s="532">
        <v>44697</v>
      </c>
      <c r="C596" s="529">
        <v>0.25941590118778457</v>
      </c>
      <c r="D596" s="529">
        <v>0.11397904988592411</v>
      </c>
    </row>
    <row r="597" spans="2:4">
      <c r="B597" s="532">
        <v>44698</v>
      </c>
      <c r="C597" s="529">
        <v>0.26269562209227426</v>
      </c>
      <c r="D597" s="529">
        <v>0.11450573050364277</v>
      </c>
    </row>
    <row r="598" spans="2:4">
      <c r="B598" s="532">
        <v>44699</v>
      </c>
      <c r="C598" s="529">
        <v>0.25791348482156629</v>
      </c>
      <c r="D598" s="529">
        <v>0.1150326601318552</v>
      </c>
    </row>
    <row r="599" spans="2:4">
      <c r="B599" s="532">
        <v>44700</v>
      </c>
      <c r="C599" s="529">
        <v>0.25929195796532012</v>
      </c>
      <c r="D599" s="529">
        <v>0.11555983888829147</v>
      </c>
    </row>
    <row r="600" spans="2:4">
      <c r="B600" s="532">
        <v>44701</v>
      </c>
      <c r="C600" s="529">
        <v>0.26162938223056531</v>
      </c>
      <c r="D600" s="529">
        <v>0.11608726689073734</v>
      </c>
    </row>
    <row r="601" spans="2:4">
      <c r="B601" s="532">
        <v>44704</v>
      </c>
      <c r="C601" s="529">
        <v>0.26499828252128044</v>
      </c>
      <c r="D601" s="529">
        <v>0.11661494425703456</v>
      </c>
    </row>
    <row r="602" spans="2:4">
      <c r="B602" s="532">
        <v>44705</v>
      </c>
      <c r="C602" s="529">
        <v>0.26329051168438911</v>
      </c>
      <c r="D602" s="529">
        <v>0.11714287110508037</v>
      </c>
    </row>
    <row r="603" spans="2:4">
      <c r="B603" s="532">
        <v>44706</v>
      </c>
      <c r="C603" s="529">
        <v>0.26514533712364319</v>
      </c>
      <c r="D603" s="529">
        <v>0.11767104755282776</v>
      </c>
    </row>
    <row r="604" spans="2:4">
      <c r="B604" s="532">
        <v>44707</v>
      </c>
      <c r="C604" s="529">
        <v>0.26866797113872631</v>
      </c>
      <c r="D604" s="529">
        <v>0.11819947371828543</v>
      </c>
    </row>
    <row r="605" spans="2:4">
      <c r="B605" s="532">
        <v>44708</v>
      </c>
      <c r="C605" s="529">
        <v>0.27062585350857593</v>
      </c>
      <c r="D605" s="529">
        <v>0.11872814971951806</v>
      </c>
    </row>
    <row r="606" spans="2:4">
      <c r="B606" s="532">
        <v>44711</v>
      </c>
      <c r="C606" s="529">
        <v>0.2695384289812579</v>
      </c>
      <c r="D606" s="529">
        <v>0.11925707567464605</v>
      </c>
    </row>
    <row r="607" spans="2:4">
      <c r="B607" s="532">
        <v>44712</v>
      </c>
      <c r="C607" s="529">
        <v>0.27061798421492345</v>
      </c>
      <c r="D607" s="529">
        <v>0.11978625170184576</v>
      </c>
    </row>
    <row r="608" spans="2:4">
      <c r="B608" s="532">
        <v>44713</v>
      </c>
      <c r="C608" s="529">
        <v>0.27176247087461158</v>
      </c>
      <c r="D608" s="529">
        <v>0.12031567791934927</v>
      </c>
    </row>
    <row r="609" spans="2:4">
      <c r="B609" s="532">
        <v>44714</v>
      </c>
      <c r="C609" s="529">
        <v>0.2744861354491237</v>
      </c>
      <c r="D609" s="529">
        <v>0.12084535444544464</v>
      </c>
    </row>
    <row r="610" spans="2:4">
      <c r="B610" s="532">
        <v>44715</v>
      </c>
      <c r="C610" s="529">
        <v>0.27309469669863717</v>
      </c>
      <c r="D610" s="529">
        <v>0.12137528139847564</v>
      </c>
    </row>
    <row r="611" spans="2:4">
      <c r="B611" s="532">
        <v>44718</v>
      </c>
      <c r="C611" s="529">
        <v>0.27272206725070358</v>
      </c>
      <c r="D611" s="529">
        <v>0.12190545889684246</v>
      </c>
    </row>
    <row r="612" spans="2:4">
      <c r="B612" s="532">
        <v>44719</v>
      </c>
      <c r="C612" s="529">
        <v>0.27355072966917682</v>
      </c>
      <c r="D612" s="529">
        <v>0.12243588705900077</v>
      </c>
    </row>
    <row r="613" spans="2:4">
      <c r="B613" s="532">
        <v>44720</v>
      </c>
      <c r="C613" s="529">
        <v>0.27268253355574634</v>
      </c>
      <c r="D613" s="529">
        <v>0.12296656600346245</v>
      </c>
    </row>
    <row r="614" spans="2:4">
      <c r="B614" s="532">
        <v>44721</v>
      </c>
      <c r="C614" s="529">
        <v>0.27146896376610585</v>
      </c>
      <c r="D614" s="529">
        <v>0.12349749584879555</v>
      </c>
    </row>
    <row r="615" spans="2:4">
      <c r="B615" s="532">
        <v>44722</v>
      </c>
      <c r="C615" s="529">
        <v>0.26972039259581693</v>
      </c>
      <c r="D615" s="529">
        <v>0.12402867671362383</v>
      </c>
    </row>
    <row r="616" spans="2:4">
      <c r="B616" s="532">
        <v>44725</v>
      </c>
      <c r="C616" s="529">
        <v>0.26654864346482143</v>
      </c>
      <c r="D616" s="529">
        <v>0.12456010871662748</v>
      </c>
    </row>
    <row r="617" spans="2:4">
      <c r="B617" s="532">
        <v>44726</v>
      </c>
      <c r="C617" s="529">
        <v>0.26586312582606775</v>
      </c>
      <c r="D617" s="529">
        <v>0.12509179197654285</v>
      </c>
    </row>
    <row r="618" spans="2:4">
      <c r="B618" s="532">
        <v>44727</v>
      </c>
      <c r="C618" s="529">
        <v>0.26884186996367676</v>
      </c>
      <c r="D618" s="529">
        <v>0.12562372661216203</v>
      </c>
    </row>
    <row r="619" spans="2:4">
      <c r="B619" s="532">
        <v>44729</v>
      </c>
      <c r="C619" s="529">
        <v>0.26405058112604052</v>
      </c>
      <c r="D619" s="529">
        <v>0.12617570423587887</v>
      </c>
    </row>
    <row r="620" spans="2:4">
      <c r="B620" s="532">
        <v>44732</v>
      </c>
      <c r="C620" s="529">
        <v>0.26410293170923915</v>
      </c>
      <c r="D620" s="529">
        <v>0.12672795253556823</v>
      </c>
    </row>
    <row r="621" spans="2:4">
      <c r="B621" s="532">
        <v>44733</v>
      </c>
      <c r="C621" s="529">
        <v>0.26452611412850602</v>
      </c>
      <c r="D621" s="529">
        <v>0.12728047164396306</v>
      </c>
    </row>
    <row r="622" spans="2:4">
      <c r="B622" s="532">
        <v>44734</v>
      </c>
      <c r="C622" s="529">
        <v>0.26396482120897491</v>
      </c>
      <c r="D622" s="529">
        <v>0.12783326169386111</v>
      </c>
    </row>
    <row r="623" spans="2:4">
      <c r="B623" s="532">
        <v>44735</v>
      </c>
      <c r="C623" s="529">
        <v>0.26359903341132496</v>
      </c>
      <c r="D623" s="529">
        <v>0.12838632281812523</v>
      </c>
    </row>
    <row r="624" spans="2:4">
      <c r="B624" s="532">
        <v>44736</v>
      </c>
      <c r="C624" s="529">
        <v>0.26507419159793466</v>
      </c>
      <c r="D624" s="529">
        <v>0.12893965514968353</v>
      </c>
    </row>
    <row r="625" spans="2:4">
      <c r="B625" s="532">
        <v>44739</v>
      </c>
      <c r="C625" s="529">
        <v>0.26849492891825588</v>
      </c>
      <c r="D625" s="529">
        <v>0.12949325882152918</v>
      </c>
    </row>
    <row r="626" spans="2:4">
      <c r="B626" s="532">
        <v>44740</v>
      </c>
      <c r="C626" s="529">
        <v>0.26847923171895771</v>
      </c>
      <c r="D626" s="529">
        <v>0.13004713396672085</v>
      </c>
    </row>
    <row r="627" spans="2:4">
      <c r="B627" s="532">
        <v>44741</v>
      </c>
      <c r="C627" s="529">
        <v>0.26704010620021212</v>
      </c>
      <c r="D627" s="529">
        <v>0.13060128071838206</v>
      </c>
    </row>
    <row r="628" spans="2:4">
      <c r="B628" s="532">
        <v>44742</v>
      </c>
      <c r="C628" s="529">
        <v>0.2666253698063199</v>
      </c>
      <c r="D628" s="529">
        <v>0.13115569920970183</v>
      </c>
    </row>
    <row r="629" spans="2:4">
      <c r="B629" s="532">
        <v>44743</v>
      </c>
      <c r="C629" s="529">
        <v>0.26794705163038723</v>
      </c>
      <c r="D629" s="529">
        <v>0.13171038957393444</v>
      </c>
    </row>
    <row r="630" spans="2:4">
      <c r="B630" s="532">
        <v>44746</v>
      </c>
      <c r="C630" s="529">
        <v>0.26664150582988255</v>
      </c>
      <c r="D630" s="529">
        <v>0.1322653519443997</v>
      </c>
    </row>
    <row r="631" spans="2:4">
      <c r="B631" s="532">
        <v>44747</v>
      </c>
      <c r="C631" s="529">
        <v>0.26529508623240239</v>
      </c>
      <c r="D631" s="529">
        <v>0.13282058645448247</v>
      </c>
    </row>
    <row r="632" spans="2:4">
      <c r="B632" s="532">
        <v>44748</v>
      </c>
      <c r="C632" s="529">
        <v>0.26558961994632346</v>
      </c>
      <c r="D632" s="529">
        <v>0.13337609323763333</v>
      </c>
    </row>
    <row r="633" spans="2:4">
      <c r="B633" s="532">
        <v>44749</v>
      </c>
      <c r="C633" s="529">
        <v>0.27000384947479916</v>
      </c>
      <c r="D633" s="529">
        <v>0.13393187242736815</v>
      </c>
    </row>
    <row r="634" spans="2:4">
      <c r="B634" s="532">
        <v>44750</v>
      </c>
      <c r="C634" s="529">
        <v>0.26900076579001708</v>
      </c>
      <c r="D634" s="529">
        <v>0.13448792415726807</v>
      </c>
    </row>
    <row r="635" spans="2:4">
      <c r="B635" s="532">
        <v>44753</v>
      </c>
      <c r="C635" s="529">
        <v>0.26491569587043817</v>
      </c>
      <c r="D635" s="529">
        <v>0.13504424856098018</v>
      </c>
    </row>
    <row r="636" spans="2:4">
      <c r="B636" s="532">
        <v>44754</v>
      </c>
      <c r="C636" s="529">
        <v>0.26444438660181424</v>
      </c>
      <c r="D636" s="529">
        <v>0.13560084577221687</v>
      </c>
    </row>
    <row r="637" spans="2:4">
      <c r="B637" s="532">
        <v>44755</v>
      </c>
      <c r="C637" s="529">
        <v>0.26489875449301348</v>
      </c>
      <c r="D637" s="529">
        <v>0.13615771592475601</v>
      </c>
    </row>
    <row r="638" spans="2:4">
      <c r="B638" s="532">
        <v>44756</v>
      </c>
      <c r="C638" s="529">
        <v>0.26381188047446802</v>
      </c>
      <c r="D638" s="529">
        <v>0.13671485915244119</v>
      </c>
    </row>
    <row r="639" spans="2:4">
      <c r="B639" s="532">
        <v>44757</v>
      </c>
      <c r="C639" s="529">
        <v>0.26489372309348447</v>
      </c>
      <c r="D639" s="529">
        <v>0.13727227558918154</v>
      </c>
    </row>
    <row r="640" spans="2:4">
      <c r="B640" s="532">
        <v>44760</v>
      </c>
      <c r="C640" s="529">
        <v>0.26444402563625236</v>
      </c>
      <c r="D640" s="529">
        <v>0.13782996536895187</v>
      </c>
    </row>
    <row r="641" spans="2:4">
      <c r="B641" s="532">
        <v>44761</v>
      </c>
      <c r="C641" s="529">
        <v>0.26634387566919471</v>
      </c>
      <c r="D641" s="529">
        <v>0.13838792862579297</v>
      </c>
    </row>
    <row r="642" spans="2:4">
      <c r="B642" s="532">
        <v>44762</v>
      </c>
      <c r="C642" s="529">
        <v>0.26899926761408821</v>
      </c>
      <c r="D642" s="529">
        <v>0.13894616549381089</v>
      </c>
    </row>
    <row r="643" spans="2:4">
      <c r="B643" s="532">
        <v>44763</v>
      </c>
      <c r="C643" s="529">
        <v>0.27001535727525816</v>
      </c>
      <c r="D643" s="529">
        <v>0.13950467610717787</v>
      </c>
    </row>
    <row r="644" spans="2:4">
      <c r="B644" s="532">
        <v>44764</v>
      </c>
      <c r="C644" s="529">
        <v>0.26917531416612706</v>
      </c>
      <c r="D644" s="529">
        <v>0.14006346060013164</v>
      </c>
    </row>
    <row r="645" spans="2:4">
      <c r="B645" s="532">
        <v>44767</v>
      </c>
      <c r="C645" s="529">
        <v>0.2701646201938448</v>
      </c>
      <c r="D645" s="529">
        <v>0.1406225191069761</v>
      </c>
    </row>
    <row r="646" spans="2:4">
      <c r="B646" s="532">
        <v>44768</v>
      </c>
      <c r="C646" s="529">
        <v>0.26936616786900847</v>
      </c>
      <c r="D646" s="529">
        <v>0.14118185176208042</v>
      </c>
    </row>
    <row r="647" spans="2:4">
      <c r="B647" s="532">
        <v>44769</v>
      </c>
      <c r="C647" s="529">
        <v>0.27395703004582828</v>
      </c>
      <c r="D647" s="529">
        <v>0.14174145869988042</v>
      </c>
    </row>
    <row r="648" spans="2:4">
      <c r="B648" s="532">
        <v>44770</v>
      </c>
      <c r="C648" s="529">
        <v>0.27673893750062306</v>
      </c>
      <c r="D648" s="529">
        <v>0.14230134005487716</v>
      </c>
    </row>
    <row r="649" spans="2:4">
      <c r="B649" s="532">
        <v>44771</v>
      </c>
      <c r="C649" s="529">
        <v>0.27888204729827848</v>
      </c>
      <c r="D649" s="529">
        <v>0.14286149596163811</v>
      </c>
    </row>
    <row r="650" spans="2:4">
      <c r="B650" s="532">
        <v>44774</v>
      </c>
      <c r="C650" s="529">
        <v>0.27778389621192434</v>
      </c>
      <c r="D650" s="529">
        <v>0.14342192655479646</v>
      </c>
    </row>
    <row r="651" spans="2:4">
      <c r="B651" s="532">
        <v>44775</v>
      </c>
      <c r="C651" s="529">
        <v>0.28012106549251681</v>
      </c>
      <c r="D651" s="529">
        <v>0.14398263196905159</v>
      </c>
    </row>
    <row r="652" spans="2:4">
      <c r="B652" s="532">
        <v>44776</v>
      </c>
      <c r="C652" s="529">
        <v>0.28458554311260964</v>
      </c>
      <c r="D652" s="529">
        <v>0.14454361233916879</v>
      </c>
    </row>
    <row r="653" spans="2:4">
      <c r="B653" s="532">
        <v>44777</v>
      </c>
      <c r="C653" s="529">
        <v>0.29017669256385403</v>
      </c>
      <c r="D653" s="529">
        <v>0.1451249035762181</v>
      </c>
    </row>
    <row r="654" spans="2:4">
      <c r="B654" s="532">
        <v>44778</v>
      </c>
      <c r="C654" s="529">
        <v>0.29213553806870407</v>
      </c>
      <c r="D654" s="529">
        <v>0.14570649003967784</v>
      </c>
    </row>
    <row r="655" spans="2:4">
      <c r="B655" s="532">
        <v>44781</v>
      </c>
      <c r="C655" s="529">
        <v>0.29520627610836558</v>
      </c>
      <c r="D655" s="529">
        <v>0.14628837187948784</v>
      </c>
    </row>
    <row r="656" spans="2:4">
      <c r="B656" s="532">
        <v>44782</v>
      </c>
      <c r="C656" s="529">
        <v>0.29455685952433908</v>
      </c>
      <c r="D656" s="529">
        <v>0.14687054924566367</v>
      </c>
    </row>
    <row r="657" spans="2:4">
      <c r="B657" s="532">
        <v>44783</v>
      </c>
      <c r="C657" s="529">
        <v>0.29654015668118672</v>
      </c>
      <c r="D657" s="529">
        <v>0.14745302228829771</v>
      </c>
    </row>
    <row r="658" spans="2:4">
      <c r="B658" s="532">
        <v>44784</v>
      </c>
      <c r="C658" s="529">
        <v>0.29477602203608733</v>
      </c>
      <c r="D658" s="529">
        <v>0.14803579115755805</v>
      </c>
    </row>
    <row r="659" spans="2:4">
      <c r="B659" s="532">
        <v>44785</v>
      </c>
      <c r="C659" s="529">
        <v>0.30013731890208795</v>
      </c>
      <c r="D659" s="529">
        <v>0.14861885600368918</v>
      </c>
    </row>
    <row r="660" spans="2:4">
      <c r="B660" s="532">
        <v>44788</v>
      </c>
      <c r="C660" s="529">
        <v>0.30226681415686851</v>
      </c>
      <c r="D660" s="529">
        <v>0.14920221697701197</v>
      </c>
    </row>
    <row r="661" spans="2:4">
      <c r="B661" s="532">
        <v>44789</v>
      </c>
      <c r="C661" s="529">
        <v>0.30115653856846625</v>
      </c>
      <c r="D661" s="529">
        <v>0.14978587422792367</v>
      </c>
    </row>
    <row r="662" spans="2:4">
      <c r="B662" s="532">
        <v>44790</v>
      </c>
      <c r="C662" s="529">
        <v>0.30252243254405364</v>
      </c>
      <c r="D662" s="529">
        <v>0.15036982790689768</v>
      </c>
    </row>
    <row r="663" spans="2:4">
      <c r="B663" s="532">
        <v>44791</v>
      </c>
      <c r="C663" s="529">
        <v>0.3043780667915621</v>
      </c>
      <c r="D663" s="529">
        <v>0.15095407816448425</v>
      </c>
    </row>
    <row r="664" spans="2:4">
      <c r="B664" s="532">
        <v>44792</v>
      </c>
      <c r="C664" s="529">
        <v>0.30161501661181545</v>
      </c>
      <c r="D664" s="529">
        <v>0.15153862515130978</v>
      </c>
    </row>
    <row r="665" spans="2:4">
      <c r="B665" s="532">
        <v>44795</v>
      </c>
      <c r="C665" s="529">
        <v>0.3016543852835647</v>
      </c>
      <c r="D665" s="529">
        <v>0.15212346901807705</v>
      </c>
    </row>
    <row r="666" spans="2:4">
      <c r="B666" s="532">
        <v>44796</v>
      </c>
      <c r="C666" s="529">
        <v>0.30565126114430075</v>
      </c>
      <c r="D666" s="529">
        <v>0.15270860991556567</v>
      </c>
    </row>
    <row r="667" spans="2:4">
      <c r="B667" s="532">
        <v>44797</v>
      </c>
      <c r="C667" s="529">
        <v>0.30838449792275857</v>
      </c>
      <c r="D667" s="529">
        <v>0.15329404799463187</v>
      </c>
    </row>
    <row r="668" spans="2:4">
      <c r="B668" s="532">
        <v>44798</v>
      </c>
      <c r="C668" s="529">
        <v>0.30888849273380936</v>
      </c>
      <c r="D668" s="529">
        <v>0.153879783406208</v>
      </c>
    </row>
    <row r="669" spans="2:4">
      <c r="B669" s="532">
        <v>44799</v>
      </c>
      <c r="C669" s="529">
        <v>0.30826593928166157</v>
      </c>
      <c r="D669" s="529">
        <v>0.15446581630130374</v>
      </c>
    </row>
    <row r="670" spans="2:4">
      <c r="B670" s="532">
        <v>44802</v>
      </c>
      <c r="C670" s="529">
        <v>0.30956003724668291</v>
      </c>
      <c r="D670" s="529">
        <v>0.15505214683100488</v>
      </c>
    </row>
    <row r="671" spans="2:4">
      <c r="B671" s="532">
        <v>44803</v>
      </c>
      <c r="C671" s="529">
        <v>0.30716561285596478</v>
      </c>
      <c r="D671" s="529">
        <v>0.15563877514647428</v>
      </c>
    </row>
    <row r="672" spans="2:4">
      <c r="B672" s="532">
        <v>44804</v>
      </c>
      <c r="C672" s="529">
        <v>0.30817197248931549</v>
      </c>
      <c r="D672" s="529">
        <v>0.15622570139895164</v>
      </c>
    </row>
    <row r="673" spans="2:4">
      <c r="B673" s="532">
        <v>44805</v>
      </c>
      <c r="C673" s="529">
        <v>0.3118060031129648</v>
      </c>
      <c r="D673" s="529">
        <v>0.15681292573975303</v>
      </c>
    </row>
    <row r="674" spans="2:4">
      <c r="B674" s="532">
        <v>44806</v>
      </c>
      <c r="C674" s="529">
        <v>0.31293382301958927</v>
      </c>
      <c r="D674" s="529">
        <v>0.157400448320272</v>
      </c>
    </row>
    <row r="675" spans="2:4">
      <c r="B675" s="532">
        <v>44809</v>
      </c>
      <c r="C675" s="529">
        <v>0.31545799377610773</v>
      </c>
      <c r="D675" s="529">
        <v>0.15798826929197829</v>
      </c>
    </row>
    <row r="676" spans="2:4">
      <c r="B676" s="532">
        <v>44810</v>
      </c>
      <c r="C676" s="529">
        <v>0.31166324382934585</v>
      </c>
      <c r="D676" s="529">
        <v>0.15857638880641911</v>
      </c>
    </row>
    <row r="677" spans="2:4">
      <c r="B677" s="532">
        <v>44812</v>
      </c>
      <c r="C677" s="529">
        <v>0.31141462685958499</v>
      </c>
      <c r="D677" s="529">
        <v>0.15916480701521851</v>
      </c>
    </row>
    <row r="678" spans="2:4">
      <c r="B678" s="532">
        <v>44813</v>
      </c>
      <c r="C678" s="529">
        <v>0.31627375165636851</v>
      </c>
      <c r="D678" s="529">
        <v>0.15975352407007737</v>
      </c>
    </row>
    <row r="679" spans="2:4">
      <c r="B679" s="532">
        <v>44816</v>
      </c>
      <c r="C679" s="529">
        <v>0.31725574486094987</v>
      </c>
      <c r="D679" s="529">
        <v>0.16034254012277382</v>
      </c>
    </row>
    <row r="680" spans="2:4">
      <c r="B680" s="532">
        <v>44817</v>
      </c>
      <c r="C680" s="529">
        <v>0.31525834262484498</v>
      </c>
      <c r="D680" s="529">
        <v>0.16093185532516308</v>
      </c>
    </row>
    <row r="681" spans="2:4">
      <c r="B681" s="532">
        <v>44818</v>
      </c>
      <c r="C681" s="529">
        <v>0.31632118953004817</v>
      </c>
      <c r="D681" s="529">
        <v>0.16152146982917714</v>
      </c>
    </row>
    <row r="682" spans="2:4">
      <c r="B682" s="532">
        <v>44819</v>
      </c>
      <c r="C682" s="529">
        <v>0.31555592574661184</v>
      </c>
      <c r="D682" s="529">
        <v>0.16211138378682577</v>
      </c>
    </row>
    <row r="683" spans="2:4">
      <c r="B683" s="532">
        <v>44820</v>
      </c>
      <c r="C683" s="529">
        <v>0.31394304263042661</v>
      </c>
      <c r="D683" s="529">
        <v>0.16270159735019529</v>
      </c>
    </row>
    <row r="684" spans="2:4">
      <c r="B684" s="532">
        <v>44823</v>
      </c>
      <c r="C684" s="529">
        <v>0.31660912175292544</v>
      </c>
      <c r="D684" s="529">
        <v>0.16329211067144977</v>
      </c>
    </row>
    <row r="685" spans="2:4">
      <c r="B685" s="532">
        <v>44824</v>
      </c>
      <c r="C685" s="529">
        <v>0.31915701416819964</v>
      </c>
      <c r="D685" s="529">
        <v>0.1638829239028301</v>
      </c>
    </row>
    <row r="686" spans="2:4">
      <c r="B686" s="532">
        <v>44825</v>
      </c>
      <c r="C686" s="529">
        <v>0.32000008081510312</v>
      </c>
      <c r="D686" s="529">
        <v>0.1644740371966551</v>
      </c>
    </row>
    <row r="687" spans="2:4">
      <c r="B687" s="532">
        <v>44826</v>
      </c>
      <c r="C687" s="529">
        <v>0.32516646485239331</v>
      </c>
      <c r="D687" s="529">
        <v>0.16506545070532042</v>
      </c>
    </row>
    <row r="688" spans="2:4">
      <c r="B688" s="532">
        <v>44827</v>
      </c>
      <c r="C688" s="529">
        <v>0.3231557201445765</v>
      </c>
      <c r="D688" s="529">
        <v>0.1656571645812992</v>
      </c>
    </row>
    <row r="689" spans="2:4">
      <c r="B689" s="532">
        <v>44830</v>
      </c>
      <c r="C689" s="529">
        <v>0.31858530924623651</v>
      </c>
      <c r="D689" s="529">
        <v>0.16624917897714209</v>
      </c>
    </row>
    <row r="690" spans="2:4">
      <c r="B690" s="532">
        <v>44831</v>
      </c>
      <c r="C690" s="529">
        <v>0.31718239987110608</v>
      </c>
      <c r="D690" s="529">
        <v>0.16684149404547743</v>
      </c>
    </row>
    <row r="691" spans="2:4">
      <c r="B691" s="532">
        <v>44832</v>
      </c>
      <c r="C691" s="529">
        <v>0.31659322357535014</v>
      </c>
      <c r="D691" s="529">
        <v>0.16743410993901064</v>
      </c>
    </row>
    <row r="692" spans="2:4">
      <c r="B692" s="532">
        <v>44833</v>
      </c>
      <c r="C692" s="529">
        <v>0.31587747061258531</v>
      </c>
      <c r="D692" s="529">
        <v>0.16802702681052506</v>
      </c>
    </row>
    <row r="693" spans="2:4">
      <c r="B693" s="532">
        <v>44834</v>
      </c>
      <c r="C693" s="529">
        <v>0.31958481655838811</v>
      </c>
      <c r="D693" s="529">
        <v>0.16862024481288151</v>
      </c>
    </row>
    <row r="694" spans="2:4">
      <c r="B694" s="532">
        <v>44837</v>
      </c>
      <c r="C694" s="529">
        <v>0.32952642269884436</v>
      </c>
      <c r="D694" s="529">
        <v>0.16921376409901856</v>
      </c>
    </row>
    <row r="695" spans="2:4">
      <c r="B695" s="532">
        <v>44838</v>
      </c>
      <c r="C695" s="529">
        <v>0.32952436446975897</v>
      </c>
      <c r="D695" s="529">
        <v>0.16980758482195202</v>
      </c>
    </row>
    <row r="696" spans="2:4">
      <c r="B696" s="532">
        <v>44839</v>
      </c>
      <c r="C696" s="529">
        <v>0.3317111722388113</v>
      </c>
      <c r="D696" s="529">
        <v>0.17040170713477587</v>
      </c>
    </row>
    <row r="697" spans="2:4">
      <c r="B697" s="532">
        <v>44840</v>
      </c>
      <c r="C697" s="529">
        <v>0.33356383040531967</v>
      </c>
      <c r="D697" s="529">
        <v>0.17099613119066182</v>
      </c>
    </row>
    <row r="698" spans="2:4">
      <c r="B698" s="532">
        <v>44841</v>
      </c>
      <c r="C698" s="529">
        <v>0.33203860964424181</v>
      </c>
      <c r="D698" s="529">
        <v>0.17159085714285904</v>
      </c>
    </row>
    <row r="699" spans="2:4">
      <c r="B699" s="532">
        <v>44844</v>
      </c>
      <c r="C699" s="529">
        <v>0.3317172874966825</v>
      </c>
      <c r="D699" s="529">
        <v>0.17218588514469491</v>
      </c>
    </row>
    <row r="700" spans="2:4">
      <c r="B700" s="532">
        <v>44845</v>
      </c>
      <c r="C700" s="529">
        <v>0.32916877101833952</v>
      </c>
      <c r="D700" s="529">
        <v>0.17278121534957447</v>
      </c>
    </row>
    <row r="701" spans="2:4">
      <c r="B701" s="532">
        <v>44847</v>
      </c>
      <c r="C701" s="529">
        <v>0.32786784512997591</v>
      </c>
      <c r="D701" s="529">
        <v>0.17337684791098074</v>
      </c>
    </row>
    <row r="702" spans="2:4">
      <c r="B702" s="532">
        <v>44848</v>
      </c>
      <c r="C702" s="529">
        <v>0.32632876951698342</v>
      </c>
      <c r="D702" s="529">
        <v>0.17397278298247465</v>
      </c>
    </row>
    <row r="703" spans="2:4">
      <c r="B703" s="532">
        <v>44851</v>
      </c>
      <c r="C703" s="529">
        <v>0.32895340403497353</v>
      </c>
      <c r="D703" s="529">
        <v>0.17456902071769509</v>
      </c>
    </row>
    <row r="704" spans="2:4">
      <c r="B704" s="532">
        <v>44852</v>
      </c>
      <c r="C704" s="529">
        <v>0.33328409586281604</v>
      </c>
      <c r="D704" s="529">
        <v>0.17516556127035909</v>
      </c>
    </row>
    <row r="705" spans="2:4">
      <c r="B705" s="532">
        <v>44853</v>
      </c>
      <c r="C705" s="529">
        <v>0.334932133953731</v>
      </c>
      <c r="D705" s="529">
        <v>0.17576240479426164</v>
      </c>
    </row>
    <row r="706" spans="2:4">
      <c r="B706" s="532">
        <v>44854</v>
      </c>
      <c r="C706" s="529">
        <v>0.33591135411656059</v>
      </c>
      <c r="D706" s="529">
        <v>0.17635955144327586</v>
      </c>
    </row>
    <row r="707" spans="2:4">
      <c r="B707" s="532">
        <v>44855</v>
      </c>
      <c r="C707" s="529">
        <v>0.33985865325048059</v>
      </c>
      <c r="D707" s="529">
        <v>0.17695700137135306</v>
      </c>
    </row>
    <row r="708" spans="2:4">
      <c r="B708" s="532">
        <v>44858</v>
      </c>
      <c r="C708" s="529">
        <v>0.33481393916859403</v>
      </c>
      <c r="D708" s="529">
        <v>0.17755475473252269</v>
      </c>
    </row>
    <row r="709" spans="2:4">
      <c r="B709" s="532">
        <v>44859</v>
      </c>
      <c r="C709" s="529">
        <v>0.33253921426853705</v>
      </c>
      <c r="D709" s="529">
        <v>0.17815281168089259</v>
      </c>
    </row>
    <row r="710" spans="2:4">
      <c r="B710" s="532">
        <v>44860</v>
      </c>
      <c r="C710" s="529">
        <v>0.32925712275181107</v>
      </c>
      <c r="D710" s="529">
        <v>0.17875117237064853</v>
      </c>
    </row>
    <row r="711" spans="2:4">
      <c r="B711" s="532">
        <v>44861</v>
      </c>
      <c r="C711" s="529">
        <v>0.33398038644488937</v>
      </c>
      <c r="D711" s="529">
        <v>0.17934983695605511</v>
      </c>
    </row>
    <row r="712" spans="2:4">
      <c r="B712" s="532">
        <v>44862</v>
      </c>
      <c r="C712" s="529">
        <v>0.33575056014095228</v>
      </c>
      <c r="D712" s="529">
        <v>0.17994880559145465</v>
      </c>
    </row>
    <row r="713" spans="2:4">
      <c r="B713" s="532">
        <v>44865</v>
      </c>
      <c r="C713" s="529">
        <v>0.34093728643532395</v>
      </c>
      <c r="D713" s="529">
        <v>0.1805480784312683</v>
      </c>
    </row>
    <row r="714" spans="2:4">
      <c r="B714" s="532">
        <v>44866</v>
      </c>
      <c r="C714" s="529">
        <v>0.34212757450154085</v>
      </c>
      <c r="D714" s="529">
        <v>0.18114765562999557</v>
      </c>
    </row>
    <row r="715" spans="2:4">
      <c r="B715" s="532">
        <v>44868</v>
      </c>
      <c r="C715" s="529">
        <v>0.34225059208747455</v>
      </c>
      <c r="D715" s="529">
        <v>0.18174753734221438</v>
      </c>
    </row>
    <row r="716" spans="2:4">
      <c r="B716" s="532">
        <v>44869</v>
      </c>
      <c r="C716" s="529">
        <v>0.34525255535008359</v>
      </c>
      <c r="D716" s="529">
        <v>0.18234772372258101</v>
      </c>
    </row>
    <row r="717" spans="2:4">
      <c r="B717" s="532">
        <v>44872</v>
      </c>
      <c r="C717" s="529">
        <v>0.34141764803561214</v>
      </c>
      <c r="D717" s="529">
        <v>0.18294821492583058</v>
      </c>
    </row>
    <row r="718" spans="2:4">
      <c r="B718" s="532">
        <v>44873</v>
      </c>
      <c r="C718" s="529">
        <v>0.34065441990931045</v>
      </c>
      <c r="D718" s="529">
        <v>0.18354901110677657</v>
      </c>
    </row>
    <row r="719" spans="2:4">
      <c r="B719" s="532">
        <v>44874</v>
      </c>
      <c r="C719" s="529">
        <v>0.33801381414521647</v>
      </c>
      <c r="D719" s="529">
        <v>0.18415011242031132</v>
      </c>
    </row>
    <row r="720" spans="2:4">
      <c r="B720" s="532">
        <v>44875</v>
      </c>
      <c r="C720" s="529">
        <v>0.33481748054264049</v>
      </c>
      <c r="D720" s="529">
        <v>0.18475151902140552</v>
      </c>
    </row>
    <row r="721" spans="2:4">
      <c r="B721" s="532">
        <v>44879</v>
      </c>
      <c r="C721" s="529">
        <v>0.33923012584316492</v>
      </c>
      <c r="D721" s="529">
        <v>0.1853532310651087</v>
      </c>
    </row>
    <row r="722" spans="2:4">
      <c r="B722" s="532">
        <v>44881</v>
      </c>
      <c r="C722" s="529">
        <v>0.33526405429390738</v>
      </c>
      <c r="D722" s="529">
        <v>0.18595524870654923</v>
      </c>
    </row>
    <row r="723" spans="2:4">
      <c r="B723" s="532">
        <v>44882</v>
      </c>
      <c r="C723" s="529">
        <v>0.33344550764351455</v>
      </c>
      <c r="D723" s="529">
        <v>0.18655757210093427</v>
      </c>
    </row>
    <row r="724" spans="2:4">
      <c r="B724" s="532">
        <v>44883</v>
      </c>
      <c r="C724" s="529">
        <v>0.33261754858365999</v>
      </c>
      <c r="D724" s="529">
        <v>0.18716020140354961</v>
      </c>
    </row>
    <row r="725" spans="2:4">
      <c r="B725" s="532">
        <v>44886</v>
      </c>
      <c r="C725" s="529">
        <v>0.33471694184373302</v>
      </c>
      <c r="D725" s="529">
        <v>0.18776313676976009</v>
      </c>
    </row>
    <row r="726" spans="2:4">
      <c r="B726" s="532">
        <v>44887</v>
      </c>
      <c r="C726" s="529">
        <v>0.33317267291315611</v>
      </c>
      <c r="D726" s="529">
        <v>0.18836637835500936</v>
      </c>
    </row>
    <row r="727" spans="2:4">
      <c r="B727" s="532">
        <v>44888</v>
      </c>
      <c r="C727" s="529">
        <v>0.33189367774622691</v>
      </c>
      <c r="D727" s="529">
        <v>0.18896992631482012</v>
      </c>
    </row>
    <row r="728" spans="2:4">
      <c r="B728" s="532">
        <v>44889</v>
      </c>
      <c r="C728" s="529">
        <v>0.33652240530111732</v>
      </c>
      <c r="D728" s="529">
        <v>0.18957378080479415</v>
      </c>
    </row>
    <row r="729" spans="2:4">
      <c r="B729" s="532">
        <v>44890</v>
      </c>
      <c r="C729" s="529">
        <v>0.33335876292537936</v>
      </c>
      <c r="D729" s="529">
        <v>0.19017794198061178</v>
      </c>
    </row>
    <row r="730" spans="2:4">
      <c r="B730" s="532">
        <v>44893</v>
      </c>
      <c r="C730" s="529">
        <v>0.3326189522652514</v>
      </c>
      <c r="D730" s="529">
        <v>0.19078240999803286</v>
      </c>
    </row>
    <row r="731" spans="2:4">
      <c r="B731" s="532">
        <v>44894</v>
      </c>
      <c r="C731" s="529">
        <v>0.33680664381680581</v>
      </c>
      <c r="D731" s="529">
        <v>0.19138718501289631</v>
      </c>
    </row>
    <row r="732" spans="2:4">
      <c r="B732" s="532">
        <v>44895</v>
      </c>
      <c r="C732" s="529">
        <v>0.34153958383818672</v>
      </c>
      <c r="D732" s="529">
        <v>0.19199226718112006</v>
      </c>
    </row>
    <row r="733" spans="2:4">
      <c r="B733" s="532">
        <v>44896</v>
      </c>
      <c r="C733" s="529">
        <v>0.33979166399995142</v>
      </c>
      <c r="D733" s="529">
        <v>0.19259765665870132</v>
      </c>
    </row>
    <row r="734" spans="2:4">
      <c r="B734" s="532">
        <v>44897</v>
      </c>
      <c r="C734" s="529">
        <v>0.34277735899156836</v>
      </c>
      <c r="D734" s="529">
        <v>0.19320335360171637</v>
      </c>
    </row>
    <row r="735" spans="2:4">
      <c r="B735" s="532">
        <v>44900</v>
      </c>
      <c r="C735" s="529">
        <v>0.33896698618125143</v>
      </c>
      <c r="D735" s="529">
        <v>0.19380935816632094</v>
      </c>
    </row>
    <row r="736" spans="2:4">
      <c r="B736" s="532">
        <v>44901</v>
      </c>
      <c r="C736" s="529">
        <v>0.33724338989672953</v>
      </c>
      <c r="D736" s="529">
        <v>0.19441567050875008</v>
      </c>
    </row>
    <row r="737" spans="2:4">
      <c r="B737" s="532">
        <v>44902</v>
      </c>
      <c r="C737" s="529">
        <v>0.33674856402982045</v>
      </c>
      <c r="D737" s="529">
        <v>0.19502229078531785</v>
      </c>
    </row>
    <row r="738" spans="2:4">
      <c r="B738" s="532">
        <v>44903</v>
      </c>
      <c r="C738" s="529">
        <v>0.33536120892211674</v>
      </c>
      <c r="D738" s="529">
        <v>0.19562921915241827</v>
      </c>
    </row>
    <row r="739" spans="2:4">
      <c r="B739" s="532">
        <v>44904</v>
      </c>
      <c r="C739" s="529">
        <v>0.33509562649583557</v>
      </c>
      <c r="D739" s="529">
        <v>0.19623645576652415</v>
      </c>
    </row>
    <row r="740" spans="2:4">
      <c r="B740" s="532">
        <v>44907</v>
      </c>
      <c r="C740" s="529">
        <v>0.33219111862723927</v>
      </c>
      <c r="D740" s="529">
        <v>0.19684400078418829</v>
      </c>
    </row>
    <row r="741" spans="2:4">
      <c r="B741" s="532">
        <v>44908</v>
      </c>
      <c r="C741" s="529">
        <v>0.33001565218396989</v>
      </c>
      <c r="D741" s="529">
        <v>0.19745185436204271</v>
      </c>
    </row>
    <row r="742" spans="2:4">
      <c r="B742" s="532">
        <v>44909</v>
      </c>
      <c r="C742" s="529">
        <v>0.33302591517474878</v>
      </c>
      <c r="D742" s="529">
        <v>0.19806001665679918</v>
      </c>
    </row>
    <row r="743" spans="2:4">
      <c r="B743" s="532">
        <v>44910</v>
      </c>
      <c r="C743" s="529">
        <v>0.33346591221459576</v>
      </c>
      <c r="D743" s="529">
        <v>0.19866848782524893</v>
      </c>
    </row>
    <row r="744" spans="2:4">
      <c r="B744" s="532">
        <v>44911</v>
      </c>
      <c r="C744" s="529">
        <v>0.33192111560398829</v>
      </c>
      <c r="D744" s="529">
        <v>0.19927726802426293</v>
      </c>
    </row>
    <row r="745" spans="2:4">
      <c r="B745" s="532">
        <v>44914</v>
      </c>
      <c r="C745" s="529">
        <v>0.33469190730710063</v>
      </c>
      <c r="D745" s="529">
        <v>0.19988635741079164</v>
      </c>
    </row>
    <row r="746" spans="2:4">
      <c r="B746" s="532">
        <v>44915</v>
      </c>
      <c r="C746" s="529">
        <v>0.33832640343327047</v>
      </c>
      <c r="D746" s="529">
        <v>0.20049575614186521</v>
      </c>
    </row>
    <row r="747" spans="2:4">
      <c r="B747" s="532">
        <v>44916</v>
      </c>
      <c r="C747" s="529">
        <v>0.34058045752980837</v>
      </c>
      <c r="D747" s="529">
        <v>0.20110546437459376</v>
      </c>
    </row>
    <row r="748" spans="2:4">
      <c r="B748" s="532">
        <v>44917</v>
      </c>
      <c r="C748" s="529">
        <v>0.34154130642356084</v>
      </c>
      <c r="D748" s="529">
        <v>0.20171548226616731</v>
      </c>
    </row>
    <row r="749" spans="2:4">
      <c r="B749" s="532">
        <v>44918</v>
      </c>
      <c r="C749" s="529">
        <v>0.34507414412947579</v>
      </c>
      <c r="D749" s="529">
        <v>0.20232580997385519</v>
      </c>
    </row>
    <row r="750" spans="2:4">
      <c r="B750" s="532">
        <v>44921</v>
      </c>
      <c r="C750" s="529">
        <v>0.34426084373675847</v>
      </c>
      <c r="D750" s="529">
        <v>0.20293644765500707</v>
      </c>
    </row>
    <row r="751" spans="2:4">
      <c r="B751" s="532">
        <v>44922</v>
      </c>
      <c r="C751" s="529">
        <v>0.34406706693574929</v>
      </c>
      <c r="D751" s="529">
        <v>0.20354739546705236</v>
      </c>
    </row>
    <row r="752" spans="2:4">
      <c r="B752" s="532">
        <v>44923</v>
      </c>
      <c r="C752" s="529">
        <v>0.34770381100094228</v>
      </c>
      <c r="D752" s="529">
        <v>0.20415865356750063</v>
      </c>
    </row>
    <row r="753" spans="2:4">
      <c r="B753" s="532">
        <v>44924</v>
      </c>
      <c r="C753" s="529">
        <v>0.34905774883611906</v>
      </c>
      <c r="D753" s="529">
        <v>0.20477022211394091</v>
      </c>
    </row>
    <row r="754" spans="2:4">
      <c r="B754" s="532">
        <v>44925</v>
      </c>
      <c r="C754" s="529">
        <v>0.34960141199753725</v>
      </c>
      <c r="D754" s="529">
        <v>0.20538210126404288</v>
      </c>
    </row>
    <row r="755" spans="2:4">
      <c r="B755" s="532">
        <v>44928</v>
      </c>
      <c r="C755" s="529">
        <v>0.34438473760709432</v>
      </c>
      <c r="D755" s="529">
        <v>0.20599429117555612</v>
      </c>
    </row>
    <row r="756" spans="2:4">
      <c r="B756" s="532">
        <v>44929</v>
      </c>
      <c r="C756" s="529">
        <v>0.34142013277770711</v>
      </c>
      <c r="D756" s="529">
        <v>0.20660679200631016</v>
      </c>
    </row>
    <row r="757" spans="2:4">
      <c r="B757" s="532">
        <v>44930</v>
      </c>
      <c r="C757" s="529">
        <v>0.34370300282135879</v>
      </c>
      <c r="D757" s="529">
        <v>0.20721960391421468</v>
      </c>
    </row>
    <row r="758" spans="2:4">
      <c r="B758" s="532">
        <v>44931</v>
      </c>
      <c r="C758" s="529">
        <v>0.34660794872295786</v>
      </c>
      <c r="D758" s="529">
        <v>0.20783272705725975</v>
      </c>
    </row>
    <row r="759" spans="2:4">
      <c r="B759" s="532">
        <v>44932</v>
      </c>
      <c r="C759" s="529">
        <v>0.34878316293736455</v>
      </c>
      <c r="D759" s="529">
        <v>0.20844616159351559</v>
      </c>
    </row>
    <row r="760" spans="2:4">
      <c r="B760" s="532">
        <v>44935</v>
      </c>
      <c r="C760" s="529">
        <v>0.35031021686941322</v>
      </c>
      <c r="D760" s="529">
        <v>0.20905990768113258</v>
      </c>
    </row>
    <row r="761" spans="2:4">
      <c r="B761" s="532">
        <v>44936</v>
      </c>
      <c r="C761" s="529">
        <v>0.35370909222009161</v>
      </c>
      <c r="D761" s="529">
        <v>0.20967396547834172</v>
      </c>
    </row>
    <row r="762" spans="2:4">
      <c r="B762" s="532">
        <v>44937</v>
      </c>
      <c r="C762" s="529">
        <v>0.35895200958017859</v>
      </c>
      <c r="D762" s="529">
        <v>0.21028833514345413</v>
      </c>
    </row>
    <row r="763" spans="2:4">
      <c r="B763" s="532">
        <v>44938</v>
      </c>
      <c r="C763" s="529">
        <v>0.35938678300963756</v>
      </c>
      <c r="D763" s="529">
        <v>0.21090301683486135</v>
      </c>
    </row>
    <row r="764" spans="2:4">
      <c r="B764" s="532">
        <v>44939</v>
      </c>
      <c r="C764" s="529">
        <v>0.36017605525893726</v>
      </c>
      <c r="D764" s="529">
        <v>0.21151801071103526</v>
      </c>
    </row>
    <row r="765" spans="2:4">
      <c r="B765" s="532">
        <v>44942</v>
      </c>
      <c r="C765" s="529">
        <v>0.35959079642801761</v>
      </c>
      <c r="D765" s="529">
        <v>0.21213331693052861</v>
      </c>
    </row>
    <row r="766" spans="2:4">
      <c r="B766" s="532">
        <v>44943</v>
      </c>
      <c r="C766" s="529">
        <v>0.36207398484158193</v>
      </c>
      <c r="D766" s="529">
        <v>0.2127489356519745</v>
      </c>
    </row>
    <row r="767" spans="2:4">
      <c r="B767" s="532">
        <v>44944</v>
      </c>
      <c r="C767" s="529">
        <v>0.36400913105333488</v>
      </c>
      <c r="D767" s="529">
        <v>0.21336486703408641</v>
      </c>
    </row>
    <row r="768" spans="2:4">
      <c r="B768" s="532">
        <v>44945</v>
      </c>
      <c r="C768" s="529">
        <v>0.36572130872340525</v>
      </c>
      <c r="D768" s="529">
        <v>0.21398111123565844</v>
      </c>
    </row>
    <row r="769" spans="2:4">
      <c r="B769" s="532">
        <v>44946</v>
      </c>
      <c r="C769" s="529">
        <v>0.36518472261235502</v>
      </c>
      <c r="D769" s="529">
        <v>0.21459766841556571</v>
      </c>
    </row>
    <row r="770" spans="2:4">
      <c r="B770" s="532">
        <v>44949</v>
      </c>
      <c r="C770" s="529">
        <v>0.36485851043668571</v>
      </c>
      <c r="D770" s="529">
        <v>0.21521453873276353</v>
      </c>
    </row>
    <row r="771" spans="2:4">
      <c r="B771" s="532">
        <v>44950</v>
      </c>
      <c r="C771" s="529">
        <v>0.36746919685876756</v>
      </c>
      <c r="D771" s="529">
        <v>0.21583172234628845</v>
      </c>
    </row>
    <row r="772" spans="2:4">
      <c r="B772" s="532">
        <v>44951</v>
      </c>
      <c r="C772" s="529">
        <v>0.37007599510940303</v>
      </c>
      <c r="D772" s="529">
        <v>0.21644921941525741</v>
      </c>
    </row>
    <row r="773" spans="2:4">
      <c r="B773" s="532">
        <v>44952</v>
      </c>
      <c r="C773" s="529">
        <v>0.37097773860843763</v>
      </c>
      <c r="D773" s="529">
        <v>0.21706703009886819</v>
      </c>
    </row>
    <row r="774" spans="2:4">
      <c r="B774" s="532">
        <v>44953</v>
      </c>
      <c r="C774" s="529">
        <v>0.37021055416046567</v>
      </c>
      <c r="D774" s="529">
        <v>0.21768515455639958</v>
      </c>
    </row>
    <row r="775" spans="2:4">
      <c r="B775" s="532">
        <v>44956</v>
      </c>
      <c r="C775" s="529">
        <v>0.36890332761587152</v>
      </c>
      <c r="D775" s="529">
        <v>0.21830359294721124</v>
      </c>
    </row>
    <row r="776" spans="2:4">
      <c r="B776" s="532">
        <v>44957</v>
      </c>
      <c r="C776" s="529">
        <v>0.3713317817657753</v>
      </c>
      <c r="D776" s="529">
        <v>0.21892234543074363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558" customWidth="1"/>
    <col min="2" max="2" width="20.8984375" style="558" customWidth="1"/>
    <col min="3" max="21" width="3.69921875" style="565" customWidth="1"/>
    <col min="22" max="28" width="4.3984375" style="524" customWidth="1"/>
    <col min="29" max="16384" width="8.796875" style="558"/>
  </cols>
  <sheetData>
    <row r="2" spans="1:28">
      <c r="B2" s="561"/>
    </row>
    <row r="3" spans="1:28" s="557" customFormat="1" ht="18.75" customHeight="1">
      <c r="A3" s="567"/>
    </row>
    <row r="4" spans="1:28" ht="15" customHeight="1">
      <c r="A4" s="566"/>
      <c r="C4" s="558"/>
      <c r="D4" s="558"/>
      <c r="E4" s="558"/>
      <c r="F4" s="558"/>
      <c r="G4" s="558"/>
      <c r="H4" s="558"/>
      <c r="I4" s="558"/>
      <c r="J4" s="558"/>
      <c r="K4" s="558"/>
      <c r="L4" s="558"/>
      <c r="M4" s="558"/>
      <c r="N4" s="558"/>
      <c r="O4" s="558"/>
      <c r="P4" s="558"/>
      <c r="Q4" s="558"/>
      <c r="R4" s="558"/>
      <c r="S4" s="558"/>
      <c r="T4" s="558"/>
      <c r="U4" s="558"/>
      <c r="V4" s="558"/>
      <c r="W4" s="558"/>
      <c r="X4" s="558"/>
      <c r="Y4" s="558"/>
      <c r="Z4" s="558"/>
      <c r="AA4" s="558"/>
      <c r="AB4" s="558"/>
    </row>
    <row r="5" spans="1:28" ht="15" customHeight="1">
      <c r="A5" s="566"/>
      <c r="C5" s="558"/>
      <c r="D5" s="558"/>
      <c r="E5" s="558"/>
      <c r="F5" s="558"/>
      <c r="G5" s="558"/>
      <c r="H5" s="558"/>
      <c r="I5" s="558"/>
      <c r="J5" s="558"/>
      <c r="K5" s="558"/>
      <c r="L5" s="558"/>
      <c r="M5" s="558"/>
      <c r="N5" s="558"/>
      <c r="O5" s="558"/>
      <c r="P5" s="558"/>
      <c r="Q5" s="558"/>
      <c r="R5" s="558"/>
      <c r="S5" s="558"/>
      <c r="T5" s="558"/>
      <c r="U5" s="558"/>
      <c r="V5" s="558"/>
      <c r="W5" s="558"/>
      <c r="X5" s="558"/>
      <c r="Y5" s="558"/>
      <c r="Z5" s="558"/>
      <c r="AA5" s="558"/>
      <c r="AB5" s="558"/>
    </row>
    <row r="6" spans="1:28" ht="15" customHeight="1">
      <c r="A6" s="566"/>
      <c r="C6" s="558" t="s">
        <v>2473</v>
      </c>
      <c r="D6" s="558" t="s">
        <v>2474</v>
      </c>
      <c r="E6" s="558" t="s">
        <v>2475</v>
      </c>
      <c r="F6" s="558" t="s">
        <v>2476</v>
      </c>
      <c r="G6" s="558" t="s">
        <v>2477</v>
      </c>
      <c r="H6" s="558" t="s">
        <v>2478</v>
      </c>
      <c r="I6" s="558" t="s">
        <v>2479</v>
      </c>
      <c r="J6" s="558" t="s">
        <v>2480</v>
      </c>
      <c r="K6" s="558" t="s">
        <v>2481</v>
      </c>
      <c r="L6" s="558" t="s">
        <v>2482</v>
      </c>
      <c r="M6" s="558" t="s">
        <v>2483</v>
      </c>
      <c r="N6" s="558" t="s">
        <v>2484</v>
      </c>
      <c r="O6" s="558" t="s">
        <v>2485</v>
      </c>
      <c r="P6" s="558" t="s">
        <v>2486</v>
      </c>
      <c r="Q6" s="558" t="s">
        <v>2487</v>
      </c>
      <c r="R6" s="558" t="s">
        <v>2488</v>
      </c>
      <c r="S6" s="558" t="s">
        <v>2489</v>
      </c>
      <c r="T6" s="558" t="s">
        <v>2490</v>
      </c>
      <c r="U6" s="558" t="s">
        <v>2491</v>
      </c>
      <c r="V6" s="558"/>
      <c r="W6" s="558"/>
      <c r="X6" s="558"/>
      <c r="Y6" s="558"/>
      <c r="Z6" s="558"/>
      <c r="AA6" s="558"/>
      <c r="AB6" s="558"/>
    </row>
    <row r="7" spans="1:28" ht="15" customHeight="1">
      <c r="A7" s="566"/>
      <c r="B7" s="558" t="s">
        <v>2472</v>
      </c>
      <c r="C7" s="558">
        <v>1</v>
      </c>
      <c r="D7" s="558" t="s">
        <v>34</v>
      </c>
      <c r="E7" s="558" t="s">
        <v>34</v>
      </c>
      <c r="F7" s="558" t="s">
        <v>34</v>
      </c>
      <c r="G7" s="558" t="s">
        <v>34</v>
      </c>
      <c r="H7" s="558" t="s">
        <v>34</v>
      </c>
      <c r="I7" s="558" t="s">
        <v>34</v>
      </c>
      <c r="J7" s="558" t="s">
        <v>34</v>
      </c>
      <c r="K7" s="558" t="s">
        <v>34</v>
      </c>
      <c r="L7" s="558" t="s">
        <v>34</v>
      </c>
      <c r="M7" s="558" t="s">
        <v>34</v>
      </c>
      <c r="N7" s="558" t="s">
        <v>34</v>
      </c>
      <c r="O7" s="558" t="s">
        <v>34</v>
      </c>
      <c r="P7" s="558" t="s">
        <v>34</v>
      </c>
      <c r="Q7" s="558" t="s">
        <v>34</v>
      </c>
      <c r="R7" s="558" t="s">
        <v>34</v>
      </c>
      <c r="S7" s="558" t="s">
        <v>34</v>
      </c>
      <c r="T7" s="558" t="s">
        <v>34</v>
      </c>
      <c r="U7" s="558" t="s">
        <v>34</v>
      </c>
      <c r="V7" s="558"/>
      <c r="W7" s="558"/>
      <c r="X7" s="558"/>
      <c r="Y7" s="558"/>
      <c r="Z7" s="558"/>
      <c r="AA7" s="558"/>
      <c r="AB7" s="558"/>
    </row>
    <row r="8" spans="1:28" ht="15" customHeight="1">
      <c r="A8" s="566"/>
      <c r="B8" s="558" t="s">
        <v>2580</v>
      </c>
      <c r="C8" s="558">
        <v>0.21956051062366622</v>
      </c>
      <c r="D8" s="558">
        <v>1</v>
      </c>
      <c r="E8" s="558" t="s">
        <v>34</v>
      </c>
      <c r="F8" s="558" t="s">
        <v>34</v>
      </c>
      <c r="G8" s="558" t="s">
        <v>34</v>
      </c>
      <c r="H8" s="558" t="s">
        <v>34</v>
      </c>
      <c r="I8" s="558" t="s">
        <v>34</v>
      </c>
      <c r="J8" s="558" t="s">
        <v>34</v>
      </c>
      <c r="K8" s="558" t="s">
        <v>34</v>
      </c>
      <c r="L8" s="558" t="s">
        <v>34</v>
      </c>
      <c r="M8" s="558" t="s">
        <v>34</v>
      </c>
      <c r="N8" s="558" t="s">
        <v>34</v>
      </c>
      <c r="O8" s="558" t="s">
        <v>34</v>
      </c>
      <c r="P8" s="558" t="s">
        <v>34</v>
      </c>
      <c r="Q8" s="558" t="s">
        <v>34</v>
      </c>
      <c r="R8" s="558" t="s">
        <v>34</v>
      </c>
      <c r="S8" s="558" t="s">
        <v>34</v>
      </c>
      <c r="T8" s="558" t="s">
        <v>34</v>
      </c>
      <c r="U8" s="558" t="s">
        <v>34</v>
      </c>
      <c r="V8" s="558"/>
      <c r="W8" s="558"/>
      <c r="X8" s="558"/>
      <c r="Y8" s="558"/>
      <c r="Z8" s="558"/>
      <c r="AA8" s="558"/>
      <c r="AB8" s="558"/>
    </row>
    <row r="9" spans="1:28" ht="15" customHeight="1">
      <c r="A9" s="566"/>
      <c r="B9" s="558" t="s">
        <v>2581</v>
      </c>
      <c r="C9" s="558">
        <v>0.16980746102882427</v>
      </c>
      <c r="D9" s="558">
        <v>0.77250252128656771</v>
      </c>
      <c r="E9" s="558">
        <v>1</v>
      </c>
      <c r="F9" s="558" t="s">
        <v>34</v>
      </c>
      <c r="G9" s="558" t="s">
        <v>34</v>
      </c>
      <c r="H9" s="558" t="s">
        <v>34</v>
      </c>
      <c r="I9" s="558" t="s">
        <v>34</v>
      </c>
      <c r="J9" s="558" t="s">
        <v>34</v>
      </c>
      <c r="K9" s="558" t="s">
        <v>34</v>
      </c>
      <c r="L9" s="558" t="s">
        <v>34</v>
      </c>
      <c r="M9" s="558" t="s">
        <v>34</v>
      </c>
      <c r="N9" s="558" t="s">
        <v>34</v>
      </c>
      <c r="O9" s="558" t="s">
        <v>34</v>
      </c>
      <c r="P9" s="558" t="s">
        <v>34</v>
      </c>
      <c r="Q9" s="558" t="s">
        <v>34</v>
      </c>
      <c r="R9" s="558" t="s">
        <v>34</v>
      </c>
      <c r="S9" s="558" t="s">
        <v>34</v>
      </c>
      <c r="T9" s="558" t="s">
        <v>34</v>
      </c>
      <c r="U9" s="558" t="s">
        <v>34</v>
      </c>
      <c r="V9" s="558"/>
      <c r="W9" s="558"/>
      <c r="X9" s="558"/>
      <c r="Y9" s="558"/>
      <c r="Z9" s="558"/>
      <c r="AA9" s="558"/>
      <c r="AB9" s="558"/>
    </row>
    <row r="10" spans="1:28" ht="15" customHeight="1">
      <c r="A10" s="566"/>
      <c r="B10" s="558" t="s">
        <v>2582</v>
      </c>
      <c r="C10" s="558">
        <v>0.15122092868455644</v>
      </c>
      <c r="D10" s="558">
        <v>9.3158099032385772E-3</v>
      </c>
      <c r="E10" s="558">
        <v>-1.0424908733676216E-3</v>
      </c>
      <c r="F10" s="558">
        <v>1</v>
      </c>
      <c r="G10" s="558" t="s">
        <v>34</v>
      </c>
      <c r="H10" s="558" t="s">
        <v>34</v>
      </c>
      <c r="I10" s="558" t="s">
        <v>34</v>
      </c>
      <c r="J10" s="558" t="s">
        <v>34</v>
      </c>
      <c r="K10" s="558" t="s">
        <v>34</v>
      </c>
      <c r="L10" s="558" t="s">
        <v>34</v>
      </c>
      <c r="M10" s="558" t="s">
        <v>34</v>
      </c>
      <c r="N10" s="558" t="s">
        <v>34</v>
      </c>
      <c r="O10" s="558" t="s">
        <v>34</v>
      </c>
      <c r="P10" s="558" t="s">
        <v>34</v>
      </c>
      <c r="Q10" s="558" t="s">
        <v>34</v>
      </c>
      <c r="R10" s="558" t="s">
        <v>34</v>
      </c>
      <c r="S10" s="558" t="s">
        <v>34</v>
      </c>
      <c r="T10" s="558" t="s">
        <v>34</v>
      </c>
      <c r="U10" s="558" t="s">
        <v>34</v>
      </c>
      <c r="V10" s="558"/>
      <c r="W10" s="558"/>
      <c r="X10" s="558"/>
      <c r="Y10" s="558"/>
      <c r="Z10" s="558"/>
      <c r="AA10" s="558"/>
      <c r="AB10" s="558"/>
    </row>
    <row r="11" spans="1:28" ht="15" customHeight="1">
      <c r="A11" s="566"/>
      <c r="B11" s="558" t="s">
        <v>2583</v>
      </c>
      <c r="C11" s="558">
        <v>2.0591045163845443E-2</v>
      </c>
      <c r="D11" s="558">
        <v>-0.13266648667291212</v>
      </c>
      <c r="E11" s="558">
        <v>-0.18980981405391703</v>
      </c>
      <c r="F11" s="558">
        <v>3.2687135316561866E-2</v>
      </c>
      <c r="G11" s="558">
        <v>1</v>
      </c>
      <c r="H11" s="558" t="s">
        <v>34</v>
      </c>
      <c r="I11" s="558" t="s">
        <v>34</v>
      </c>
      <c r="J11" s="558" t="s">
        <v>34</v>
      </c>
      <c r="K11" s="558" t="s">
        <v>34</v>
      </c>
      <c r="L11" s="558" t="s">
        <v>34</v>
      </c>
      <c r="M11" s="558" t="s">
        <v>34</v>
      </c>
      <c r="N11" s="558" t="s">
        <v>34</v>
      </c>
      <c r="O11" s="558" t="s">
        <v>34</v>
      </c>
      <c r="P11" s="558" t="s">
        <v>34</v>
      </c>
      <c r="Q11" s="558" t="s">
        <v>34</v>
      </c>
      <c r="R11" s="558" t="s">
        <v>34</v>
      </c>
      <c r="S11" s="558" t="s">
        <v>34</v>
      </c>
      <c r="T11" s="558" t="s">
        <v>34</v>
      </c>
      <c r="U11" s="558" t="s">
        <v>34</v>
      </c>
      <c r="V11" s="558"/>
      <c r="W11" s="558"/>
      <c r="X11" s="558"/>
      <c r="Y11" s="558"/>
      <c r="Z11" s="558"/>
      <c r="AA11" s="558"/>
      <c r="AB11" s="558"/>
    </row>
    <row r="12" spans="1:28" ht="15" customHeight="1">
      <c r="A12" s="566"/>
      <c r="B12" s="558" t="s">
        <v>2584</v>
      </c>
      <c r="C12" s="558">
        <v>7.8395385633032638E-2</v>
      </c>
      <c r="D12" s="558">
        <v>4.176941154787772E-3</v>
      </c>
      <c r="E12" s="558">
        <v>-2.4329412435131387E-2</v>
      </c>
      <c r="F12" s="558">
        <v>2.2001705357312197E-2</v>
      </c>
      <c r="G12" s="558">
        <v>0.22819662589735942</v>
      </c>
      <c r="H12" s="558">
        <v>1</v>
      </c>
      <c r="I12" s="558" t="s">
        <v>34</v>
      </c>
      <c r="J12" s="558" t="s">
        <v>34</v>
      </c>
      <c r="K12" s="558" t="s">
        <v>34</v>
      </c>
      <c r="L12" s="558" t="s">
        <v>34</v>
      </c>
      <c r="M12" s="558" t="s">
        <v>34</v>
      </c>
      <c r="N12" s="558" t="s">
        <v>34</v>
      </c>
      <c r="O12" s="558" t="s">
        <v>34</v>
      </c>
      <c r="P12" s="558" t="s">
        <v>34</v>
      </c>
      <c r="Q12" s="558" t="s">
        <v>34</v>
      </c>
      <c r="R12" s="558" t="s">
        <v>34</v>
      </c>
      <c r="S12" s="558" t="s">
        <v>34</v>
      </c>
      <c r="T12" s="558" t="s">
        <v>34</v>
      </c>
      <c r="U12" s="558" t="s">
        <v>34</v>
      </c>
      <c r="V12" s="558"/>
      <c r="W12" s="558"/>
      <c r="X12" s="558"/>
      <c r="Y12" s="558"/>
      <c r="Z12" s="558"/>
      <c r="AA12" s="558"/>
      <c r="AB12" s="558"/>
    </row>
    <row r="13" spans="1:28" ht="15" customHeight="1">
      <c r="A13" s="566"/>
      <c r="B13" s="558" t="s">
        <v>2585</v>
      </c>
      <c r="C13" s="558">
        <v>0.11626473953786146</v>
      </c>
      <c r="D13" s="558">
        <v>4.0870532027760136E-2</v>
      </c>
      <c r="E13" s="558">
        <v>-1.6959826420257684E-2</v>
      </c>
      <c r="F13" s="558">
        <v>4.8560072922861422E-2</v>
      </c>
      <c r="G13" s="558">
        <v>0.55884090258799135</v>
      </c>
      <c r="H13" s="558">
        <v>0.28332298179245646</v>
      </c>
      <c r="I13" s="558">
        <v>1</v>
      </c>
      <c r="J13" s="558" t="s">
        <v>34</v>
      </c>
      <c r="K13" s="558" t="s">
        <v>34</v>
      </c>
      <c r="L13" s="558" t="s">
        <v>34</v>
      </c>
      <c r="M13" s="558" t="s">
        <v>34</v>
      </c>
      <c r="N13" s="558" t="s">
        <v>34</v>
      </c>
      <c r="O13" s="558" t="s">
        <v>34</v>
      </c>
      <c r="P13" s="558" t="s">
        <v>34</v>
      </c>
      <c r="Q13" s="558" t="s">
        <v>34</v>
      </c>
      <c r="R13" s="558" t="s">
        <v>34</v>
      </c>
      <c r="S13" s="558" t="s">
        <v>34</v>
      </c>
      <c r="T13" s="558" t="s">
        <v>34</v>
      </c>
      <c r="U13" s="558" t="s">
        <v>34</v>
      </c>
      <c r="V13" s="558"/>
      <c r="W13" s="558"/>
      <c r="X13" s="558"/>
      <c r="Y13" s="558"/>
      <c r="Z13" s="558"/>
      <c r="AA13" s="558"/>
      <c r="AB13" s="558"/>
    </row>
    <row r="14" spans="1:28" ht="15" customHeight="1">
      <c r="A14" s="566"/>
      <c r="B14" s="558" t="s">
        <v>2586</v>
      </c>
      <c r="C14" s="558">
        <v>8.0137468457427349E-2</v>
      </c>
      <c r="D14" s="558">
        <v>3.4293751223482841E-2</v>
      </c>
      <c r="E14" s="558">
        <v>-5.4972580015740909E-2</v>
      </c>
      <c r="F14" s="558">
        <v>5.9297429096149323E-2</v>
      </c>
      <c r="G14" s="558">
        <v>0.32959990772532977</v>
      </c>
      <c r="H14" s="558">
        <v>0.38040221160170035</v>
      </c>
      <c r="I14" s="558">
        <v>0.52559641084676201</v>
      </c>
      <c r="J14" s="558">
        <v>1</v>
      </c>
      <c r="K14" s="558" t="s">
        <v>34</v>
      </c>
      <c r="L14" s="558" t="s">
        <v>34</v>
      </c>
      <c r="M14" s="558" t="s">
        <v>34</v>
      </c>
      <c r="N14" s="558" t="s">
        <v>34</v>
      </c>
      <c r="O14" s="558" t="s">
        <v>34</v>
      </c>
      <c r="P14" s="558" t="s">
        <v>34</v>
      </c>
      <c r="Q14" s="558" t="s">
        <v>34</v>
      </c>
      <c r="R14" s="558" t="s">
        <v>34</v>
      </c>
      <c r="S14" s="558" t="s">
        <v>34</v>
      </c>
      <c r="T14" s="558" t="s">
        <v>34</v>
      </c>
      <c r="U14" s="558" t="s">
        <v>34</v>
      </c>
      <c r="V14" s="558"/>
      <c r="W14" s="558"/>
      <c r="X14" s="558"/>
      <c r="Y14" s="558"/>
      <c r="Z14" s="558"/>
      <c r="AA14" s="558"/>
      <c r="AB14" s="558"/>
    </row>
    <row r="15" spans="1:28" ht="15" customHeight="1">
      <c r="A15" s="566"/>
      <c r="B15" s="558" t="s">
        <v>2587</v>
      </c>
      <c r="C15" s="558">
        <v>4.7280883290105574E-2</v>
      </c>
      <c r="D15" s="558">
        <v>-5.0791574029894059E-2</v>
      </c>
      <c r="E15" s="558">
        <v>-0.15720979635347071</v>
      </c>
      <c r="F15" s="558">
        <v>-8.4982989898546839E-3</v>
      </c>
      <c r="G15" s="558">
        <v>0.55595436529599673</v>
      </c>
      <c r="H15" s="558">
        <v>0.29659657444065196</v>
      </c>
      <c r="I15" s="558">
        <v>0.53839176802421318</v>
      </c>
      <c r="J15" s="558">
        <v>0.48984455895256362</v>
      </c>
      <c r="K15" s="558">
        <v>1</v>
      </c>
      <c r="L15" s="558" t="s">
        <v>34</v>
      </c>
      <c r="M15" s="558" t="s">
        <v>34</v>
      </c>
      <c r="N15" s="558" t="s">
        <v>34</v>
      </c>
      <c r="O15" s="558" t="s">
        <v>34</v>
      </c>
      <c r="P15" s="558" t="s">
        <v>34</v>
      </c>
      <c r="Q15" s="558" t="s">
        <v>34</v>
      </c>
      <c r="R15" s="558" t="s">
        <v>34</v>
      </c>
      <c r="S15" s="558" t="s">
        <v>34</v>
      </c>
      <c r="T15" s="558" t="s">
        <v>34</v>
      </c>
      <c r="U15" s="558" t="s">
        <v>34</v>
      </c>
      <c r="V15" s="558"/>
      <c r="W15" s="558"/>
      <c r="X15" s="558"/>
      <c r="Y15" s="558"/>
      <c r="Z15" s="558"/>
      <c r="AA15" s="558"/>
      <c r="AB15" s="558"/>
    </row>
    <row r="16" spans="1:28" ht="15" customHeight="1">
      <c r="A16" s="566"/>
      <c r="B16" s="558" t="s">
        <v>2588</v>
      </c>
      <c r="C16" s="558">
        <v>2.5618892571188528E-2</v>
      </c>
      <c r="D16" s="558">
        <v>-2.1076312097144459E-2</v>
      </c>
      <c r="E16" s="558">
        <v>-0.11297026386066536</v>
      </c>
      <c r="F16" s="558">
        <v>-8.5311155998084639E-3</v>
      </c>
      <c r="G16" s="558">
        <v>0.50689922841357515</v>
      </c>
      <c r="H16" s="558">
        <v>0.20553655065110604</v>
      </c>
      <c r="I16" s="558">
        <v>0.59130812982555736</v>
      </c>
      <c r="J16" s="558">
        <v>0.53396533728529938</v>
      </c>
      <c r="K16" s="558">
        <v>0.67351063206729855</v>
      </c>
      <c r="L16" s="558">
        <v>1</v>
      </c>
      <c r="M16" s="558" t="s">
        <v>34</v>
      </c>
      <c r="N16" s="558" t="s">
        <v>34</v>
      </c>
      <c r="O16" s="558" t="s">
        <v>34</v>
      </c>
      <c r="P16" s="558" t="s">
        <v>34</v>
      </c>
      <c r="Q16" s="558" t="s">
        <v>34</v>
      </c>
      <c r="R16" s="558" t="s">
        <v>34</v>
      </c>
      <c r="S16" s="558" t="s">
        <v>34</v>
      </c>
      <c r="T16" s="558" t="s">
        <v>34</v>
      </c>
      <c r="U16" s="558" t="s">
        <v>34</v>
      </c>
      <c r="V16" s="558"/>
      <c r="W16" s="558"/>
      <c r="X16" s="558"/>
      <c r="Y16" s="558"/>
      <c r="Z16" s="558"/>
      <c r="AA16" s="558"/>
      <c r="AB16" s="558"/>
    </row>
    <row r="17" spans="1:28" ht="15" customHeight="1">
      <c r="A17" s="566"/>
      <c r="B17" s="558" t="s">
        <v>2589</v>
      </c>
      <c r="C17" s="558">
        <v>3.459151415149099E-2</v>
      </c>
      <c r="D17" s="558">
        <v>-1.4607594166787375E-2</v>
      </c>
      <c r="E17" s="558">
        <v>-5.6207048780160057E-2</v>
      </c>
      <c r="F17" s="558">
        <v>3.0194199191146142E-2</v>
      </c>
      <c r="G17" s="558">
        <v>0.39581889304963908</v>
      </c>
      <c r="H17" s="558">
        <v>0.27059487202356924</v>
      </c>
      <c r="I17" s="558">
        <v>0.48641633059304024</v>
      </c>
      <c r="J17" s="558">
        <v>0.39529836081065006</v>
      </c>
      <c r="K17" s="558">
        <v>0.30179393729362303</v>
      </c>
      <c r="L17" s="558">
        <v>0.31893549692202278</v>
      </c>
      <c r="M17" s="558">
        <v>1</v>
      </c>
      <c r="N17" s="558" t="s">
        <v>34</v>
      </c>
      <c r="O17" s="558" t="s">
        <v>34</v>
      </c>
      <c r="P17" s="558" t="s">
        <v>34</v>
      </c>
      <c r="Q17" s="558" t="s">
        <v>34</v>
      </c>
      <c r="R17" s="558" t="s">
        <v>34</v>
      </c>
      <c r="S17" s="558" t="s">
        <v>34</v>
      </c>
      <c r="T17" s="558" t="s">
        <v>34</v>
      </c>
      <c r="U17" s="558" t="s">
        <v>34</v>
      </c>
      <c r="V17" s="558"/>
      <c r="W17" s="558"/>
      <c r="X17" s="558"/>
      <c r="Y17" s="558"/>
      <c r="Z17" s="558"/>
      <c r="AA17" s="558"/>
      <c r="AB17" s="558"/>
    </row>
    <row r="18" spans="1:28" ht="15" customHeight="1">
      <c r="A18" s="566"/>
      <c r="B18" s="558" t="s">
        <v>2590</v>
      </c>
      <c r="C18" s="558">
        <v>5.476668958719192E-2</v>
      </c>
      <c r="D18" s="558">
        <v>8.314619861625977E-2</v>
      </c>
      <c r="E18" s="558">
        <v>-6.2032915386838984E-3</v>
      </c>
      <c r="F18" s="558">
        <v>-5.3395548630960958E-2</v>
      </c>
      <c r="G18" s="558">
        <v>0.19062518418820271</v>
      </c>
      <c r="H18" s="558">
        <v>3.8697998697095518E-2</v>
      </c>
      <c r="I18" s="558">
        <v>0.18401808222361205</v>
      </c>
      <c r="J18" s="558">
        <v>0.19615175522144226</v>
      </c>
      <c r="K18" s="558">
        <v>0.24794078699486163</v>
      </c>
      <c r="L18" s="558">
        <v>0.34880756928987716</v>
      </c>
      <c r="M18" s="558">
        <v>4.0560473661337908E-2</v>
      </c>
      <c r="N18" s="558">
        <v>1</v>
      </c>
      <c r="O18" s="558" t="s">
        <v>34</v>
      </c>
      <c r="P18" s="558" t="s">
        <v>34</v>
      </c>
      <c r="Q18" s="558" t="s">
        <v>34</v>
      </c>
      <c r="R18" s="558" t="s">
        <v>34</v>
      </c>
      <c r="S18" s="558" t="s">
        <v>34</v>
      </c>
      <c r="T18" s="558" t="s">
        <v>34</v>
      </c>
      <c r="U18" s="558" t="s">
        <v>34</v>
      </c>
      <c r="V18" s="558"/>
      <c r="W18" s="558"/>
      <c r="X18" s="558"/>
      <c r="Y18" s="558"/>
      <c r="Z18" s="558"/>
      <c r="AA18" s="558"/>
      <c r="AB18" s="558"/>
    </row>
    <row r="19" spans="1:28" ht="15" customHeight="1">
      <c r="A19" s="566"/>
      <c r="B19" s="558" t="s">
        <v>2591</v>
      </c>
      <c r="C19" s="558">
        <v>-5.2374611075726172E-3</v>
      </c>
      <c r="D19" s="558">
        <v>-3.2757570861963979E-2</v>
      </c>
      <c r="E19" s="558">
        <v>-0.13094934067843617</v>
      </c>
      <c r="F19" s="558">
        <v>-2.2594605068200865E-2</v>
      </c>
      <c r="G19" s="558">
        <v>0.53342690406394133</v>
      </c>
      <c r="H19" s="558">
        <v>0.12774523722938105</v>
      </c>
      <c r="I19" s="558">
        <v>0.46786983353358247</v>
      </c>
      <c r="J19" s="558">
        <v>0.39019599203338967</v>
      </c>
      <c r="K19" s="558">
        <v>0.57603767811796647</v>
      </c>
      <c r="L19" s="558">
        <v>0.74826371657801594</v>
      </c>
      <c r="M19" s="558">
        <v>0.20649837844727748</v>
      </c>
      <c r="N19" s="558">
        <v>0.38073313726372499</v>
      </c>
      <c r="O19" s="558">
        <v>1</v>
      </c>
      <c r="P19" s="558" t="s">
        <v>34</v>
      </c>
      <c r="Q19" s="558" t="s">
        <v>34</v>
      </c>
      <c r="R19" s="558" t="s">
        <v>34</v>
      </c>
      <c r="S19" s="558" t="s">
        <v>34</v>
      </c>
      <c r="T19" s="558" t="s">
        <v>34</v>
      </c>
      <c r="U19" s="558" t="s">
        <v>34</v>
      </c>
      <c r="V19" s="558"/>
      <c r="W19" s="558"/>
      <c r="X19" s="558"/>
      <c r="Y19" s="558"/>
      <c r="Z19" s="558"/>
      <c r="AA19" s="558"/>
      <c r="AB19" s="558"/>
    </row>
    <row r="20" spans="1:28" ht="15" customHeight="1">
      <c r="A20" s="566"/>
      <c r="B20" s="558" t="s">
        <v>2592</v>
      </c>
      <c r="C20" s="558">
        <v>-3.7613178812556727E-2</v>
      </c>
      <c r="D20" s="558">
        <v>9.8162685326451497E-3</v>
      </c>
      <c r="E20" s="558">
        <v>-5.1534244365236015E-2</v>
      </c>
      <c r="F20" s="558">
        <v>-3.3578380352844862E-2</v>
      </c>
      <c r="G20" s="558">
        <v>0.47487879337218281</v>
      </c>
      <c r="H20" s="558">
        <v>9.7485744672270086E-2</v>
      </c>
      <c r="I20" s="558">
        <v>0.42245334257540829</v>
      </c>
      <c r="J20" s="558">
        <v>0.34631883391494589</v>
      </c>
      <c r="K20" s="558">
        <v>0.53590900941819208</v>
      </c>
      <c r="L20" s="558">
        <v>0.66957514411447994</v>
      </c>
      <c r="M20" s="558">
        <v>0.21178919469585017</v>
      </c>
      <c r="N20" s="558">
        <v>0.41202908584836401</v>
      </c>
      <c r="O20" s="558">
        <v>0.8060126724228297</v>
      </c>
      <c r="P20" s="558">
        <v>1</v>
      </c>
      <c r="Q20" s="558" t="s">
        <v>34</v>
      </c>
      <c r="R20" s="558" t="s">
        <v>34</v>
      </c>
      <c r="S20" s="558" t="s">
        <v>34</v>
      </c>
      <c r="T20" s="558" t="s">
        <v>34</v>
      </c>
      <c r="U20" s="558" t="s">
        <v>34</v>
      </c>
      <c r="V20" s="558"/>
      <c r="W20" s="558"/>
      <c r="X20" s="558"/>
      <c r="Y20" s="558"/>
      <c r="Z20" s="558"/>
      <c r="AA20" s="558"/>
      <c r="AB20" s="558"/>
    </row>
    <row r="21" spans="1:28" ht="15" customHeight="1">
      <c r="A21" s="566"/>
      <c r="B21" s="558" t="s">
        <v>2593</v>
      </c>
      <c r="C21" s="558">
        <v>-7.1931071020265164E-3</v>
      </c>
      <c r="D21" s="558">
        <v>-4.5959775601403775E-2</v>
      </c>
      <c r="E21" s="558">
        <v>-0.1308003304739645</v>
      </c>
      <c r="F21" s="558">
        <v>-3.6965462754682619E-2</v>
      </c>
      <c r="G21" s="558">
        <v>0.55740704792018492</v>
      </c>
      <c r="H21" s="558">
        <v>0.10570953861454814</v>
      </c>
      <c r="I21" s="558">
        <v>0.5112779285391269</v>
      </c>
      <c r="J21" s="558">
        <v>0.38278073950774344</v>
      </c>
      <c r="K21" s="558">
        <v>0.6016614036099327</v>
      </c>
      <c r="L21" s="558">
        <v>0.75165843666041565</v>
      </c>
      <c r="M21" s="558">
        <v>0.20476471446926564</v>
      </c>
      <c r="N21" s="558">
        <v>0.36566660606538726</v>
      </c>
      <c r="O21" s="558">
        <v>0.95253158597415188</v>
      </c>
      <c r="P21" s="558">
        <v>0.79623968926069333</v>
      </c>
      <c r="Q21" s="558">
        <v>1</v>
      </c>
      <c r="R21" s="558" t="s">
        <v>34</v>
      </c>
      <c r="S21" s="558" t="s">
        <v>34</v>
      </c>
      <c r="T21" s="558" t="s">
        <v>34</v>
      </c>
      <c r="U21" s="558" t="s">
        <v>34</v>
      </c>
      <c r="V21" s="558"/>
      <c r="W21" s="558"/>
      <c r="X21" s="558"/>
      <c r="Y21" s="558"/>
      <c r="Z21" s="558"/>
      <c r="AA21" s="558"/>
      <c r="AB21" s="558"/>
    </row>
    <row r="22" spans="1:28" ht="15" customHeight="1">
      <c r="A22" s="566"/>
      <c r="B22" s="558" t="s">
        <v>2594</v>
      </c>
      <c r="C22" s="558">
        <v>1.4479460985642957E-3</v>
      </c>
      <c r="D22" s="558">
        <v>-6.4521145213045977E-3</v>
      </c>
      <c r="E22" s="558">
        <v>-8.8141853241684234E-2</v>
      </c>
      <c r="F22" s="558">
        <v>-4.3001828650719366E-2</v>
      </c>
      <c r="G22" s="558">
        <v>0.49349093269297906</v>
      </c>
      <c r="H22" s="558">
        <v>0.14165714096448248</v>
      </c>
      <c r="I22" s="558">
        <v>0.46428542102694931</v>
      </c>
      <c r="J22" s="558">
        <v>0.38141806877704393</v>
      </c>
      <c r="K22" s="558">
        <v>0.53760696160977206</v>
      </c>
      <c r="L22" s="558">
        <v>0.64259698277903909</v>
      </c>
      <c r="M22" s="558">
        <v>0.24225164385808926</v>
      </c>
      <c r="N22" s="558">
        <v>0.42097029305921546</v>
      </c>
      <c r="O22" s="558">
        <v>0.86342485742224606</v>
      </c>
      <c r="P22" s="558">
        <v>0.73261691457129152</v>
      </c>
      <c r="Q22" s="558">
        <v>0.844327451361366</v>
      </c>
      <c r="R22" s="558">
        <v>1</v>
      </c>
      <c r="S22" s="558" t="s">
        <v>34</v>
      </c>
      <c r="T22" s="558" t="s">
        <v>34</v>
      </c>
      <c r="U22" s="558" t="s">
        <v>34</v>
      </c>
      <c r="V22" s="558"/>
      <c r="W22" s="558"/>
      <c r="X22" s="558"/>
      <c r="Y22" s="558"/>
      <c r="Z22" s="558"/>
      <c r="AA22" s="558"/>
      <c r="AB22" s="558"/>
    </row>
    <row r="23" spans="1:28" ht="15" customHeight="1">
      <c r="A23" s="566"/>
      <c r="B23" s="558" t="s">
        <v>2595</v>
      </c>
      <c r="C23" s="558">
        <v>9.0283226718103557E-3</v>
      </c>
      <c r="D23" s="558">
        <v>5.1110739352383174E-2</v>
      </c>
      <c r="E23" s="558">
        <v>6.3694428318015278E-2</v>
      </c>
      <c r="F23" s="558">
        <v>-4.9675037738128952E-2</v>
      </c>
      <c r="G23" s="558">
        <v>0.30931021742839737</v>
      </c>
      <c r="H23" s="558">
        <v>-3.0863273302201798E-2</v>
      </c>
      <c r="I23" s="558">
        <v>0.11540061123467843</v>
      </c>
      <c r="J23" s="558">
        <v>3.9319214018765133E-2</v>
      </c>
      <c r="K23" s="558">
        <v>0.19324593647328783</v>
      </c>
      <c r="L23" s="558">
        <v>0.3974998583808485</v>
      </c>
      <c r="M23" s="558">
        <v>9.3012249809523231E-2</v>
      </c>
      <c r="N23" s="558">
        <v>0.44030336019651845</v>
      </c>
      <c r="O23" s="558">
        <v>0.67447219394819957</v>
      </c>
      <c r="P23" s="558">
        <v>0.50084916903787968</v>
      </c>
      <c r="Q23" s="558">
        <v>0.65950520365159016</v>
      </c>
      <c r="R23" s="558">
        <v>0.60087965697777845</v>
      </c>
      <c r="S23" s="558">
        <v>1</v>
      </c>
      <c r="T23" s="558" t="s">
        <v>34</v>
      </c>
      <c r="U23" s="558" t="s">
        <v>34</v>
      </c>
      <c r="V23" s="558"/>
      <c r="W23" s="558"/>
      <c r="X23" s="558"/>
      <c r="Y23" s="558"/>
      <c r="Z23" s="558"/>
      <c r="AA23" s="558"/>
      <c r="AB23" s="558"/>
    </row>
    <row r="24" spans="1:28" ht="15" customHeight="1">
      <c r="A24" s="566"/>
      <c r="B24" s="558" t="s">
        <v>2596</v>
      </c>
      <c r="C24" s="558">
        <v>-9.9590563471492217E-3</v>
      </c>
      <c r="D24" s="558">
        <v>-2.4334793109179294E-2</v>
      </c>
      <c r="E24" s="558">
        <v>-0.12911423611308506</v>
      </c>
      <c r="F24" s="558">
        <v>-2.0537659048950295E-2</v>
      </c>
      <c r="G24" s="558">
        <v>0.50893833354368045</v>
      </c>
      <c r="H24" s="558">
        <v>0.1832065571977583</v>
      </c>
      <c r="I24" s="558">
        <v>0.52054816615203203</v>
      </c>
      <c r="J24" s="558">
        <v>0.5307900987970785</v>
      </c>
      <c r="K24" s="558">
        <v>0.58943086484019391</v>
      </c>
      <c r="L24" s="558">
        <v>0.70701043787280227</v>
      </c>
      <c r="M24" s="558">
        <v>0.27064072840120973</v>
      </c>
      <c r="N24" s="558">
        <v>0.37264140565461679</v>
      </c>
      <c r="O24" s="558">
        <v>0.87447733312464815</v>
      </c>
      <c r="P24" s="558">
        <v>0.71862605090638043</v>
      </c>
      <c r="Q24" s="558">
        <v>0.86655655593108583</v>
      </c>
      <c r="R24" s="558">
        <v>0.80958410776936851</v>
      </c>
      <c r="S24" s="558">
        <v>0.51698767129016887</v>
      </c>
      <c r="T24" s="558">
        <v>1</v>
      </c>
      <c r="U24" s="558" t="s">
        <v>34</v>
      </c>
      <c r="V24" s="558"/>
      <c r="W24" s="558"/>
      <c r="X24" s="558"/>
      <c r="Y24" s="558"/>
      <c r="Z24" s="558"/>
      <c r="AA24" s="558"/>
      <c r="AB24" s="558"/>
    </row>
    <row r="25" spans="1:28" ht="15" customHeight="1">
      <c r="A25" s="566"/>
      <c r="B25" s="558" t="s">
        <v>2492</v>
      </c>
      <c r="C25" s="558">
        <v>-4.7566778628801161E-2</v>
      </c>
      <c r="D25" s="558">
        <v>-9.4977740638642338E-2</v>
      </c>
      <c r="E25" s="558">
        <v>-0.12643290901713058</v>
      </c>
      <c r="F25" s="558">
        <v>-1.1818326847935341E-2</v>
      </c>
      <c r="G25" s="558">
        <v>0.51765803796222654</v>
      </c>
      <c r="H25" s="558">
        <v>2.1798833471579539E-2</v>
      </c>
      <c r="I25" s="558">
        <v>0.41550754572688375</v>
      </c>
      <c r="J25" s="558">
        <v>0.22371930922402591</v>
      </c>
      <c r="K25" s="558">
        <v>0.45739271142841892</v>
      </c>
      <c r="L25" s="558">
        <v>0.52569690464562413</v>
      </c>
      <c r="M25" s="558">
        <v>0.22593786094228699</v>
      </c>
      <c r="N25" s="558">
        <v>0.27458770219613482</v>
      </c>
      <c r="O25" s="558">
        <v>0.71758164810776015</v>
      </c>
      <c r="P25" s="558">
        <v>0.59269487581348157</v>
      </c>
      <c r="Q25" s="558">
        <v>0.73250557194472476</v>
      </c>
      <c r="R25" s="558">
        <v>0.67950465216824685</v>
      </c>
      <c r="S25" s="558">
        <v>0.37206667145463607</v>
      </c>
      <c r="T25" s="558">
        <v>0.6559728384181458</v>
      </c>
      <c r="U25" s="558">
        <v>1</v>
      </c>
      <c r="V25" s="558"/>
      <c r="W25" s="558"/>
      <c r="X25" s="558"/>
      <c r="Y25" s="558"/>
      <c r="Z25" s="558"/>
      <c r="AA25" s="558"/>
      <c r="AB25" s="558"/>
    </row>
    <row r="26" spans="1:28" ht="15" customHeight="1">
      <c r="A26" s="566"/>
      <c r="C26" s="558"/>
      <c r="D26" s="558"/>
      <c r="E26" s="558"/>
      <c r="F26" s="558"/>
      <c r="G26" s="558"/>
      <c r="H26" s="558"/>
      <c r="I26" s="558"/>
      <c r="J26" s="558"/>
      <c r="K26" s="558"/>
      <c r="L26" s="558"/>
      <c r="M26" s="558"/>
      <c r="N26" s="558"/>
      <c r="O26" s="558"/>
      <c r="P26" s="558"/>
      <c r="Q26" s="558"/>
      <c r="R26" s="558"/>
      <c r="S26" s="558"/>
      <c r="T26" s="558"/>
      <c r="U26" s="558"/>
      <c r="V26" s="558"/>
      <c r="W26" s="558"/>
      <c r="X26" s="558"/>
      <c r="Y26" s="558"/>
      <c r="Z26" s="558"/>
      <c r="AA26" s="558"/>
      <c r="AB26" s="558"/>
    </row>
    <row r="27" spans="1:28" ht="15" customHeight="1">
      <c r="A27" s="566"/>
      <c r="C27" s="558"/>
      <c r="D27" s="558"/>
      <c r="E27" s="558"/>
      <c r="F27" s="558"/>
      <c r="G27" s="558"/>
      <c r="H27" s="558"/>
      <c r="I27" s="558"/>
      <c r="J27" s="558"/>
      <c r="K27" s="558"/>
      <c r="L27" s="558"/>
      <c r="M27" s="558"/>
      <c r="N27" s="558"/>
      <c r="O27" s="558"/>
      <c r="P27" s="558"/>
      <c r="Q27" s="558"/>
      <c r="R27" s="558"/>
      <c r="S27" s="558"/>
      <c r="T27" s="558"/>
      <c r="U27" s="558"/>
      <c r="V27" s="558"/>
      <c r="W27" s="558"/>
      <c r="X27" s="558"/>
      <c r="Y27" s="558"/>
      <c r="Z27" s="558"/>
      <c r="AA27" s="558"/>
      <c r="AB27" s="558"/>
    </row>
    <row r="28" spans="1:28" ht="15" customHeight="1">
      <c r="A28" s="566"/>
      <c r="C28" s="558"/>
      <c r="D28" s="558"/>
      <c r="E28" s="558"/>
      <c r="F28" s="558"/>
      <c r="G28" s="558"/>
      <c r="H28" s="558"/>
      <c r="I28" s="558"/>
      <c r="J28" s="558"/>
      <c r="K28" s="558"/>
      <c r="L28" s="558"/>
      <c r="M28" s="558"/>
      <c r="N28" s="558"/>
      <c r="O28" s="558"/>
      <c r="P28" s="558"/>
      <c r="Q28" s="558"/>
      <c r="R28" s="558"/>
      <c r="S28" s="558"/>
      <c r="T28" s="558"/>
      <c r="U28" s="558"/>
      <c r="V28" s="558"/>
      <c r="W28" s="558"/>
      <c r="X28" s="558"/>
      <c r="Y28" s="558"/>
      <c r="Z28" s="558"/>
      <c r="AA28" s="558"/>
      <c r="AB28" s="558"/>
    </row>
    <row r="29" spans="1:28">
      <c r="A29" s="566"/>
      <c r="C29" s="558"/>
      <c r="D29" s="558"/>
      <c r="E29" s="558"/>
      <c r="F29" s="558"/>
      <c r="G29" s="558"/>
      <c r="H29" s="558"/>
      <c r="I29" s="558"/>
      <c r="J29" s="558"/>
      <c r="K29" s="558"/>
      <c r="L29" s="558"/>
      <c r="M29" s="558"/>
      <c r="N29" s="558"/>
      <c r="O29" s="558"/>
      <c r="P29" s="558"/>
      <c r="Q29" s="558"/>
      <c r="R29" s="558"/>
      <c r="S29" s="558"/>
      <c r="T29" s="558"/>
      <c r="U29" s="558"/>
      <c r="V29" s="558"/>
      <c r="W29" s="558"/>
      <c r="X29" s="558"/>
      <c r="Y29" s="558"/>
      <c r="Z29" s="558"/>
      <c r="AA29" s="558"/>
      <c r="AB29" s="558"/>
    </row>
    <row r="30" spans="1:28">
      <c r="A30" s="566"/>
    </row>
    <row r="31" spans="1:28">
      <c r="A31" s="566"/>
    </row>
    <row r="32" spans="1:28">
      <c r="A32" s="566"/>
    </row>
    <row r="33" spans="1:1">
      <c r="A33" s="566"/>
    </row>
    <row r="34" spans="1:1">
      <c r="A34" s="566"/>
    </row>
    <row r="35" spans="1:1">
      <c r="A35" s="566"/>
    </row>
    <row r="36" spans="1:1">
      <c r="A36" s="566"/>
    </row>
    <row r="37" spans="1:1">
      <c r="A37" s="566"/>
    </row>
    <row r="38" spans="1:1">
      <c r="A38" s="566"/>
    </row>
    <row r="39" spans="1:1">
      <c r="A39" s="566"/>
    </row>
    <row r="40" spans="1:1">
      <c r="A40" s="566"/>
    </row>
    <row r="41" spans="1:1">
      <c r="A41" s="566"/>
    </row>
    <row r="42" spans="1:1">
      <c r="A42" s="566"/>
    </row>
    <row r="43" spans="1:1">
      <c r="A43" s="566"/>
    </row>
    <row r="44" spans="1:1">
      <c r="A44" s="566"/>
    </row>
    <row r="45" spans="1:1">
      <c r="A45" s="566"/>
    </row>
    <row r="46" spans="1:1">
      <c r="A46" s="566"/>
    </row>
    <row r="47" spans="1:1">
      <c r="A47" s="566"/>
    </row>
    <row r="48" spans="1:1">
      <c r="A48" s="566"/>
    </row>
    <row r="49" spans="1:1">
      <c r="A49" s="566"/>
    </row>
    <row r="50" spans="1:1">
      <c r="A50" s="566"/>
    </row>
    <row r="51" spans="1:1">
      <c r="A51" s="566"/>
    </row>
    <row r="52" spans="1:1">
      <c r="A52" s="566"/>
    </row>
    <row r="53" spans="1:1">
      <c r="A53" s="566"/>
    </row>
    <row r="54" spans="1:1">
      <c r="A54" s="566"/>
    </row>
    <row r="55" spans="1:1">
      <c r="A55" s="566"/>
    </row>
    <row r="56" spans="1:1">
      <c r="A56" s="566"/>
    </row>
    <row r="57" spans="1:1">
      <c r="A57" s="566"/>
    </row>
    <row r="58" spans="1:1">
      <c r="A58" s="566"/>
    </row>
    <row r="59" spans="1:1">
      <c r="A59" s="566"/>
    </row>
    <row r="60" spans="1:1">
      <c r="A60" s="566"/>
    </row>
    <row r="61" spans="1:1">
      <c r="A61" s="566"/>
    </row>
    <row r="62" spans="1:1">
      <c r="A62" s="566"/>
    </row>
    <row r="63" spans="1:1">
      <c r="A63" s="566"/>
    </row>
    <row r="64" spans="1:1">
      <c r="A64" s="566"/>
    </row>
    <row r="65" spans="1:1">
      <c r="A65" s="566"/>
    </row>
    <row r="66" spans="1:1">
      <c r="A66" s="566"/>
    </row>
    <row r="67" spans="1:1">
      <c r="A67" s="566"/>
    </row>
    <row r="68" spans="1:1">
      <c r="A68" s="566"/>
    </row>
    <row r="69" spans="1:1">
      <c r="A69" s="566"/>
    </row>
    <row r="70" spans="1:1">
      <c r="A70" s="566"/>
    </row>
    <row r="71" spans="1:1">
      <c r="A71" s="566"/>
    </row>
    <row r="72" spans="1:1">
      <c r="A72" s="566"/>
    </row>
    <row r="73" spans="1:1">
      <c r="A73" s="566"/>
    </row>
    <row r="74" spans="1:1">
      <c r="A74" s="566"/>
    </row>
    <row r="75" spans="1:1">
      <c r="A75" s="566"/>
    </row>
    <row r="76" spans="1:1">
      <c r="A76" s="566"/>
    </row>
    <row r="77" spans="1:1">
      <c r="A77" s="566"/>
    </row>
    <row r="78" spans="1:1">
      <c r="A78" s="566"/>
    </row>
    <row r="79" spans="1:1">
      <c r="A79" s="566"/>
    </row>
    <row r="80" spans="1:1">
      <c r="A80" s="566"/>
    </row>
    <row r="81" spans="1:1">
      <c r="A81" s="566"/>
    </row>
    <row r="82" spans="1:1">
      <c r="A82" s="566"/>
    </row>
    <row r="83" spans="1:1">
      <c r="A83" s="566"/>
    </row>
    <row r="84" spans="1:1">
      <c r="A84" s="566"/>
    </row>
    <row r="85" spans="1:1">
      <c r="A85" s="566"/>
    </row>
    <row r="86" spans="1:1">
      <c r="A86" s="566"/>
    </row>
    <row r="87" spans="1:1">
      <c r="A87" s="566"/>
    </row>
    <row r="88" spans="1:1">
      <c r="A88" s="566"/>
    </row>
    <row r="89" spans="1:1">
      <c r="A89" s="566"/>
    </row>
    <row r="90" spans="1:1">
      <c r="A90" s="566"/>
    </row>
    <row r="91" spans="1:1">
      <c r="A91" s="566"/>
    </row>
    <row r="92" spans="1:1">
      <c r="A92" s="566"/>
    </row>
    <row r="93" spans="1:1">
      <c r="A93" s="566"/>
    </row>
    <row r="94" spans="1:1">
      <c r="A94" s="566"/>
    </row>
    <row r="95" spans="1:1">
      <c r="A95" s="566"/>
    </row>
    <row r="96" spans="1:1">
      <c r="A96" s="566"/>
    </row>
    <row r="97" spans="1:1">
      <c r="A97" s="566"/>
    </row>
    <row r="98" spans="1:1">
      <c r="A98" s="566"/>
    </row>
    <row r="99" spans="1:1">
      <c r="A99" s="566"/>
    </row>
    <row r="100" spans="1:1">
      <c r="A100" s="566"/>
    </row>
    <row r="101" spans="1:1">
      <c r="A101" s="566"/>
    </row>
    <row r="102" spans="1:1">
      <c r="A102" s="566"/>
    </row>
    <row r="103" spans="1:1">
      <c r="A103" s="566"/>
    </row>
    <row r="104" spans="1:1">
      <c r="A104" s="566"/>
    </row>
    <row r="105" spans="1:1">
      <c r="A105" s="566"/>
    </row>
    <row r="106" spans="1:1">
      <c r="A106" s="566"/>
    </row>
    <row r="107" spans="1:1">
      <c r="A107" s="566"/>
    </row>
    <row r="108" spans="1:1">
      <c r="A108" s="566"/>
    </row>
    <row r="109" spans="1:1">
      <c r="A109" s="566"/>
    </row>
    <row r="110" spans="1:1">
      <c r="A110" s="566"/>
    </row>
    <row r="111" spans="1:1">
      <c r="A111" s="566"/>
    </row>
    <row r="112" spans="1:1">
      <c r="A112" s="566"/>
    </row>
    <row r="113" spans="1:1">
      <c r="A113" s="566"/>
    </row>
    <row r="114" spans="1:1">
      <c r="A114" s="566"/>
    </row>
    <row r="115" spans="1:1">
      <c r="A115" s="566"/>
    </row>
    <row r="116" spans="1:1">
      <c r="A116" s="566"/>
    </row>
    <row r="117" spans="1:1">
      <c r="A117" s="566"/>
    </row>
    <row r="118" spans="1:1">
      <c r="A118" s="566"/>
    </row>
    <row r="119" spans="1:1">
      <c r="A119" s="566"/>
    </row>
    <row r="120" spans="1:1">
      <c r="A120" s="566"/>
    </row>
    <row r="121" spans="1:1">
      <c r="A121" s="566"/>
    </row>
    <row r="122" spans="1:1">
      <c r="A122" s="566"/>
    </row>
    <row r="123" spans="1:1">
      <c r="A123" s="566"/>
    </row>
    <row r="124" spans="1:1">
      <c r="A124" s="566"/>
    </row>
    <row r="125" spans="1:1">
      <c r="A125" s="566"/>
    </row>
    <row r="126" spans="1:1">
      <c r="A126" s="566"/>
    </row>
    <row r="127" spans="1:1">
      <c r="A127" s="566"/>
    </row>
    <row r="128" spans="1:1">
      <c r="A128" s="566"/>
    </row>
    <row r="129" spans="1:1">
      <c r="A129" s="566"/>
    </row>
    <row r="130" spans="1:1">
      <c r="A130" s="566"/>
    </row>
    <row r="131" spans="1:1">
      <c r="A131" s="566"/>
    </row>
    <row r="132" spans="1:1">
      <c r="A132" s="566"/>
    </row>
    <row r="133" spans="1:1">
      <c r="A133" s="566"/>
    </row>
    <row r="134" spans="1:1">
      <c r="A134" s="566"/>
    </row>
    <row r="135" spans="1:1">
      <c r="A135" s="566"/>
    </row>
    <row r="136" spans="1:1">
      <c r="A136" s="566"/>
    </row>
    <row r="137" spans="1:1">
      <c r="A137" s="566"/>
    </row>
    <row r="138" spans="1:1">
      <c r="A138" s="566"/>
    </row>
    <row r="139" spans="1:1">
      <c r="A139" s="566"/>
    </row>
    <row r="140" spans="1:1">
      <c r="A140" s="566"/>
    </row>
    <row r="141" spans="1:1">
      <c r="A141" s="566"/>
    </row>
    <row r="142" spans="1:1">
      <c r="A142" s="566"/>
    </row>
    <row r="143" spans="1:1">
      <c r="A143" s="566"/>
    </row>
    <row r="144" spans="1:1">
      <c r="A144" s="566"/>
    </row>
    <row r="145" spans="1:1">
      <c r="A145" s="566"/>
    </row>
    <row r="146" spans="1:1">
      <c r="A146" s="566"/>
    </row>
    <row r="147" spans="1:1">
      <c r="A147" s="566"/>
    </row>
    <row r="148" spans="1:1">
      <c r="A148" s="566"/>
    </row>
    <row r="149" spans="1:1">
      <c r="A149" s="566"/>
    </row>
    <row r="150" spans="1:1">
      <c r="A150" s="566"/>
    </row>
    <row r="151" spans="1:1">
      <c r="A151" s="566"/>
    </row>
    <row r="152" spans="1:1">
      <c r="A152" s="566"/>
    </row>
    <row r="153" spans="1:1">
      <c r="A153" s="566"/>
    </row>
    <row r="154" spans="1:1">
      <c r="A154" s="566"/>
    </row>
    <row r="155" spans="1:1">
      <c r="A155" s="566"/>
    </row>
    <row r="156" spans="1:1">
      <c r="A156" s="566"/>
    </row>
    <row r="157" spans="1:1">
      <c r="A157" s="566"/>
    </row>
    <row r="158" spans="1:1">
      <c r="A158" s="566"/>
    </row>
    <row r="159" spans="1:1">
      <c r="A159" s="566"/>
    </row>
    <row r="160" spans="1:1">
      <c r="A160" s="566"/>
    </row>
    <row r="161" spans="1:1">
      <c r="A161" s="566"/>
    </row>
    <row r="162" spans="1:1">
      <c r="A162" s="566"/>
    </row>
    <row r="163" spans="1:1">
      <c r="A163" s="566"/>
    </row>
    <row r="164" spans="1:1">
      <c r="A164" s="566"/>
    </row>
    <row r="165" spans="1:1">
      <c r="A165" s="566"/>
    </row>
    <row r="166" spans="1:1">
      <c r="A166" s="566"/>
    </row>
    <row r="167" spans="1:1">
      <c r="A167" s="566"/>
    </row>
    <row r="168" spans="1:1">
      <c r="A168" s="566"/>
    </row>
    <row r="169" spans="1:1">
      <c r="A169" s="566"/>
    </row>
    <row r="170" spans="1:1">
      <c r="A170" s="566"/>
    </row>
    <row r="171" spans="1:1">
      <c r="A171" s="566"/>
    </row>
    <row r="172" spans="1:1">
      <c r="A172" s="566"/>
    </row>
    <row r="173" spans="1:1">
      <c r="A173" s="566"/>
    </row>
    <row r="174" spans="1:1">
      <c r="A174" s="566"/>
    </row>
    <row r="175" spans="1:1">
      <c r="A175" s="566"/>
    </row>
    <row r="176" spans="1:1">
      <c r="A176" s="566"/>
    </row>
    <row r="177" spans="1:1">
      <c r="A177" s="566"/>
    </row>
    <row r="178" spans="1:1">
      <c r="A178" s="566"/>
    </row>
    <row r="179" spans="1:1">
      <c r="A179" s="566"/>
    </row>
    <row r="180" spans="1:1">
      <c r="A180" s="566"/>
    </row>
    <row r="181" spans="1:1">
      <c r="A181" s="566"/>
    </row>
    <row r="182" spans="1:1">
      <c r="A182" s="566"/>
    </row>
    <row r="183" spans="1:1">
      <c r="A183" s="566"/>
    </row>
    <row r="184" spans="1:1">
      <c r="A184" s="566"/>
    </row>
    <row r="185" spans="1:1">
      <c r="A185" s="566"/>
    </row>
    <row r="186" spans="1:1">
      <c r="A186" s="566"/>
    </row>
    <row r="187" spans="1:1">
      <c r="A187" s="566"/>
    </row>
    <row r="188" spans="1:1">
      <c r="A188" s="566"/>
    </row>
    <row r="189" spans="1:1">
      <c r="A189" s="566"/>
    </row>
    <row r="190" spans="1:1">
      <c r="A190" s="566"/>
    </row>
    <row r="191" spans="1:1">
      <c r="A191" s="566"/>
    </row>
    <row r="192" spans="1:1">
      <c r="A192" s="566"/>
    </row>
    <row r="193" spans="1:1">
      <c r="A193" s="566"/>
    </row>
    <row r="194" spans="1:1">
      <c r="A194" s="566"/>
    </row>
    <row r="195" spans="1:1">
      <c r="A195" s="566"/>
    </row>
    <row r="196" spans="1:1">
      <c r="A196" s="566"/>
    </row>
    <row r="197" spans="1:1">
      <c r="A197" s="566"/>
    </row>
    <row r="198" spans="1:1">
      <c r="A198" s="566"/>
    </row>
    <row r="199" spans="1:1">
      <c r="A199" s="566"/>
    </row>
    <row r="200" spans="1:1">
      <c r="A200" s="566"/>
    </row>
    <row r="201" spans="1:1">
      <c r="A201" s="566"/>
    </row>
    <row r="202" spans="1:1">
      <c r="A202" s="566"/>
    </row>
    <row r="203" spans="1:1">
      <c r="A203" s="566"/>
    </row>
    <row r="204" spans="1:1">
      <c r="A204" s="566"/>
    </row>
    <row r="205" spans="1:1">
      <c r="A205" s="566"/>
    </row>
    <row r="206" spans="1:1">
      <c r="A206" s="566"/>
    </row>
    <row r="207" spans="1:1">
      <c r="A207" s="566"/>
    </row>
    <row r="208" spans="1:1">
      <c r="A208" s="566"/>
    </row>
    <row r="209" spans="1:1">
      <c r="A209" s="566"/>
    </row>
    <row r="210" spans="1:1">
      <c r="A210" s="566"/>
    </row>
    <row r="211" spans="1:1">
      <c r="A211" s="566"/>
    </row>
    <row r="212" spans="1:1">
      <c r="A212" s="566"/>
    </row>
    <row r="213" spans="1:1">
      <c r="A213" s="566"/>
    </row>
    <row r="214" spans="1:1">
      <c r="A214" s="566"/>
    </row>
    <row r="215" spans="1:1">
      <c r="A215" s="566"/>
    </row>
    <row r="216" spans="1:1">
      <c r="A216" s="566"/>
    </row>
    <row r="217" spans="1:1">
      <c r="A217" s="566"/>
    </row>
    <row r="218" spans="1:1">
      <c r="A218" s="566"/>
    </row>
    <row r="219" spans="1:1">
      <c r="A219" s="566"/>
    </row>
    <row r="220" spans="1:1">
      <c r="A220" s="566"/>
    </row>
    <row r="221" spans="1:1">
      <c r="A221" s="566"/>
    </row>
    <row r="222" spans="1:1">
      <c r="A222" s="566"/>
    </row>
    <row r="223" spans="1:1">
      <c r="A223" s="566"/>
    </row>
    <row r="224" spans="1:1">
      <c r="A224" s="566"/>
    </row>
    <row r="225" spans="1:1">
      <c r="A225" s="566"/>
    </row>
    <row r="226" spans="1:1">
      <c r="A226" s="566"/>
    </row>
    <row r="227" spans="1:1">
      <c r="A227" s="566"/>
    </row>
    <row r="228" spans="1:1">
      <c r="A228" s="566"/>
    </row>
    <row r="229" spans="1:1">
      <c r="A229" s="566"/>
    </row>
    <row r="230" spans="1:1">
      <c r="A230" s="566"/>
    </row>
    <row r="231" spans="1:1">
      <c r="A231" s="566"/>
    </row>
    <row r="232" spans="1:1">
      <c r="A232" s="566"/>
    </row>
    <row r="233" spans="1:1">
      <c r="A233" s="566"/>
    </row>
    <row r="234" spans="1:1">
      <c r="A234" s="566"/>
    </row>
    <row r="235" spans="1:1">
      <c r="A235" s="566"/>
    </row>
    <row r="236" spans="1:1">
      <c r="A236" s="566"/>
    </row>
    <row r="237" spans="1:1">
      <c r="A237" s="566"/>
    </row>
    <row r="238" spans="1:1">
      <c r="A238" s="566"/>
    </row>
    <row r="239" spans="1:1">
      <c r="A239" s="566"/>
    </row>
    <row r="240" spans="1:1">
      <c r="A240" s="566"/>
    </row>
    <row r="241" spans="1:1">
      <c r="A241" s="566"/>
    </row>
    <row r="242" spans="1:1">
      <c r="A242" s="566"/>
    </row>
    <row r="243" spans="1:1">
      <c r="A243" s="566"/>
    </row>
    <row r="244" spans="1:1">
      <c r="A244" s="566"/>
    </row>
    <row r="245" spans="1:1">
      <c r="A245" s="566"/>
    </row>
    <row r="246" spans="1:1">
      <c r="A246" s="566"/>
    </row>
    <row r="247" spans="1:1">
      <c r="A247" s="566"/>
    </row>
    <row r="248" spans="1:1">
      <c r="A248" s="566"/>
    </row>
    <row r="249" spans="1:1">
      <c r="A249" s="566"/>
    </row>
    <row r="250" spans="1:1">
      <c r="A250" s="566"/>
    </row>
    <row r="251" spans="1:1">
      <c r="A251" s="566"/>
    </row>
    <row r="252" spans="1:1">
      <c r="A252" s="566"/>
    </row>
    <row r="253" spans="1:1">
      <c r="A253" s="566"/>
    </row>
    <row r="254" spans="1:1">
      <c r="A254" s="566"/>
    </row>
    <row r="255" spans="1:1">
      <c r="A255" s="566"/>
    </row>
    <row r="256" spans="1:1">
      <c r="A256" s="566"/>
    </row>
    <row r="257" spans="1:1">
      <c r="A257" s="566"/>
    </row>
    <row r="258" spans="1:1">
      <c r="A258" s="566"/>
    </row>
    <row r="259" spans="1:1">
      <c r="A259" s="566"/>
    </row>
    <row r="260" spans="1:1">
      <c r="A260" s="566"/>
    </row>
    <row r="261" spans="1:1">
      <c r="A261" s="566"/>
    </row>
    <row r="262" spans="1:1">
      <c r="A262" s="566"/>
    </row>
    <row r="263" spans="1:1">
      <c r="A263" s="566"/>
    </row>
    <row r="264" spans="1:1">
      <c r="A264" s="566"/>
    </row>
    <row r="265" spans="1:1">
      <c r="A265" s="566"/>
    </row>
    <row r="266" spans="1:1">
      <c r="A266" s="566"/>
    </row>
    <row r="267" spans="1:1">
      <c r="A267" s="566"/>
    </row>
    <row r="268" spans="1:1">
      <c r="A268" s="566"/>
    </row>
    <row r="269" spans="1:1">
      <c r="A269" s="566"/>
    </row>
    <row r="270" spans="1:1">
      <c r="A270" s="566"/>
    </row>
    <row r="271" spans="1:1">
      <c r="A271" s="566"/>
    </row>
    <row r="272" spans="1:1">
      <c r="A272" s="566"/>
    </row>
    <row r="273" spans="1:1">
      <c r="A273" s="566"/>
    </row>
    <row r="274" spans="1:1">
      <c r="A274" s="566"/>
    </row>
    <row r="275" spans="1:1">
      <c r="A275" s="566"/>
    </row>
    <row r="276" spans="1:1">
      <c r="A276" s="566"/>
    </row>
    <row r="277" spans="1:1">
      <c r="A277" s="566"/>
    </row>
    <row r="278" spans="1:1">
      <c r="A278" s="566"/>
    </row>
    <row r="279" spans="1:1">
      <c r="A279" s="566"/>
    </row>
    <row r="280" spans="1:1">
      <c r="A280" s="566"/>
    </row>
    <row r="281" spans="1:1">
      <c r="A281" s="566"/>
    </row>
    <row r="282" spans="1:1">
      <c r="A282" s="566"/>
    </row>
    <row r="283" spans="1:1">
      <c r="A283" s="566"/>
    </row>
    <row r="284" spans="1:1">
      <c r="A284" s="566"/>
    </row>
    <row r="285" spans="1:1">
      <c r="A285" s="566"/>
    </row>
    <row r="286" spans="1:1">
      <c r="A286" s="566"/>
    </row>
    <row r="287" spans="1:1">
      <c r="A287" s="566"/>
    </row>
    <row r="288" spans="1:1">
      <c r="A288" s="566"/>
    </row>
    <row r="289" spans="1:1">
      <c r="A289" s="566"/>
    </row>
    <row r="290" spans="1:1">
      <c r="A290" s="566"/>
    </row>
    <row r="291" spans="1:1">
      <c r="A291" s="566"/>
    </row>
    <row r="292" spans="1:1">
      <c r="A292" s="566"/>
    </row>
    <row r="293" spans="1:1">
      <c r="A293" s="566"/>
    </row>
    <row r="294" spans="1:1">
      <c r="A294" s="566"/>
    </row>
    <row r="295" spans="1:1">
      <c r="A295" s="566"/>
    </row>
    <row r="296" spans="1:1">
      <c r="A296" s="566"/>
    </row>
    <row r="297" spans="1:1">
      <c r="A297" s="566"/>
    </row>
    <row r="298" spans="1:1">
      <c r="A298" s="566"/>
    </row>
    <row r="299" spans="1:1">
      <c r="A299" s="566"/>
    </row>
    <row r="300" spans="1:1">
      <c r="A300" s="566"/>
    </row>
    <row r="301" spans="1:1">
      <c r="A301" s="566"/>
    </row>
    <row r="302" spans="1:1">
      <c r="A302" s="566"/>
    </row>
    <row r="303" spans="1:1">
      <c r="A303" s="566"/>
    </row>
    <row r="304" spans="1:1">
      <c r="A304" s="566"/>
    </row>
    <row r="305" spans="1:1">
      <c r="A305" s="566"/>
    </row>
    <row r="306" spans="1:1">
      <c r="A306" s="566"/>
    </row>
    <row r="307" spans="1:1">
      <c r="A307" s="566"/>
    </row>
    <row r="308" spans="1:1">
      <c r="A308" s="566"/>
    </row>
    <row r="309" spans="1:1">
      <c r="A309" s="566"/>
    </row>
    <row r="310" spans="1:1">
      <c r="A310" s="566"/>
    </row>
    <row r="311" spans="1:1">
      <c r="A311" s="566"/>
    </row>
    <row r="312" spans="1:1">
      <c r="A312" s="566"/>
    </row>
    <row r="313" spans="1:1">
      <c r="A313" s="566"/>
    </row>
    <row r="314" spans="1:1">
      <c r="A314" s="566"/>
    </row>
    <row r="315" spans="1:1">
      <c r="A315" s="566"/>
    </row>
    <row r="316" spans="1:1">
      <c r="A316" s="566"/>
    </row>
    <row r="317" spans="1:1">
      <c r="A317" s="566"/>
    </row>
    <row r="318" spans="1:1">
      <c r="A318" s="566"/>
    </row>
    <row r="319" spans="1:1">
      <c r="A319" s="566"/>
    </row>
    <row r="320" spans="1:1">
      <c r="A320" s="566"/>
    </row>
    <row r="321" spans="1:1">
      <c r="A321" s="566"/>
    </row>
    <row r="322" spans="1:1">
      <c r="A322" s="566"/>
    </row>
    <row r="323" spans="1:1">
      <c r="A323" s="566"/>
    </row>
    <row r="324" spans="1:1">
      <c r="A324" s="566"/>
    </row>
    <row r="325" spans="1:1">
      <c r="A325" s="566"/>
    </row>
    <row r="326" spans="1:1">
      <c r="A326" s="566"/>
    </row>
    <row r="327" spans="1:1">
      <c r="A327" s="566"/>
    </row>
    <row r="328" spans="1:1">
      <c r="A328" s="566"/>
    </row>
    <row r="329" spans="1:1">
      <c r="A329" s="566"/>
    </row>
    <row r="330" spans="1:1">
      <c r="A330" s="566"/>
    </row>
    <row r="331" spans="1:1">
      <c r="A331" s="566"/>
    </row>
    <row r="332" spans="1:1">
      <c r="A332" s="566"/>
    </row>
    <row r="333" spans="1:1">
      <c r="A333" s="566"/>
    </row>
    <row r="334" spans="1:1">
      <c r="A334" s="566"/>
    </row>
    <row r="335" spans="1:1">
      <c r="A335" s="566"/>
    </row>
    <row r="336" spans="1:1">
      <c r="A336" s="566"/>
    </row>
    <row r="337" spans="1:1">
      <c r="A337" s="566"/>
    </row>
    <row r="338" spans="1:1">
      <c r="A338" s="566"/>
    </row>
    <row r="339" spans="1:1">
      <c r="A339" s="566"/>
    </row>
    <row r="340" spans="1:1">
      <c r="A340" s="566"/>
    </row>
    <row r="341" spans="1:1">
      <c r="A341" s="566"/>
    </row>
    <row r="342" spans="1:1">
      <c r="A342" s="566"/>
    </row>
    <row r="343" spans="1:1">
      <c r="A343" s="566"/>
    </row>
    <row r="344" spans="1:1">
      <c r="A344" s="566"/>
    </row>
    <row r="345" spans="1:1">
      <c r="A345" s="566"/>
    </row>
    <row r="346" spans="1:1">
      <c r="A346" s="566"/>
    </row>
    <row r="347" spans="1:1">
      <c r="A347" s="566"/>
    </row>
    <row r="348" spans="1:1">
      <c r="A348" s="566"/>
    </row>
    <row r="349" spans="1:1">
      <c r="A349" s="566"/>
    </row>
    <row r="350" spans="1:1">
      <c r="A350" s="566"/>
    </row>
    <row r="351" spans="1:1">
      <c r="A351" s="566"/>
    </row>
    <row r="352" spans="1:1">
      <c r="A352" s="566"/>
    </row>
    <row r="353" spans="1:1">
      <c r="A353" s="566"/>
    </row>
    <row r="354" spans="1:1">
      <c r="A354" s="566"/>
    </row>
    <row r="355" spans="1:1">
      <c r="A355" s="566"/>
    </row>
    <row r="356" spans="1:1">
      <c r="A356" s="566"/>
    </row>
    <row r="357" spans="1:1">
      <c r="A357" s="566"/>
    </row>
    <row r="358" spans="1:1">
      <c r="A358" s="566"/>
    </row>
    <row r="359" spans="1:1">
      <c r="A359" s="566"/>
    </row>
    <row r="360" spans="1:1">
      <c r="A360" s="566"/>
    </row>
    <row r="361" spans="1:1">
      <c r="A361" s="566"/>
    </row>
    <row r="362" spans="1:1">
      <c r="A362" s="566"/>
    </row>
    <row r="363" spans="1:1">
      <c r="A363" s="566"/>
    </row>
    <row r="364" spans="1:1">
      <c r="A364" s="566"/>
    </row>
    <row r="365" spans="1:1">
      <c r="A365" s="566"/>
    </row>
    <row r="366" spans="1:1">
      <c r="A366" s="566"/>
    </row>
    <row r="367" spans="1:1">
      <c r="A367" s="566"/>
    </row>
    <row r="368" spans="1:1">
      <c r="A368" s="566"/>
    </row>
    <row r="369" spans="1:1">
      <c r="A369" s="566"/>
    </row>
    <row r="370" spans="1:1">
      <c r="A370" s="566"/>
    </row>
    <row r="371" spans="1:1">
      <c r="A371" s="566"/>
    </row>
    <row r="372" spans="1:1">
      <c r="A372" s="566"/>
    </row>
    <row r="373" spans="1:1">
      <c r="A373" s="566"/>
    </row>
    <row r="374" spans="1:1">
      <c r="A374" s="566"/>
    </row>
    <row r="375" spans="1:1">
      <c r="A375" s="566"/>
    </row>
    <row r="376" spans="1:1">
      <c r="A376" s="566"/>
    </row>
    <row r="377" spans="1:1">
      <c r="A377" s="566"/>
    </row>
    <row r="378" spans="1:1">
      <c r="A378" s="566"/>
    </row>
    <row r="379" spans="1:1">
      <c r="A379" s="566"/>
    </row>
    <row r="380" spans="1:1">
      <c r="A380" s="566"/>
    </row>
    <row r="381" spans="1:1">
      <c r="A381" s="566"/>
    </row>
    <row r="382" spans="1:1">
      <c r="A382" s="566"/>
    </row>
    <row r="383" spans="1:1">
      <c r="A383" s="566"/>
    </row>
    <row r="384" spans="1:1">
      <c r="A384" s="566"/>
    </row>
    <row r="385" spans="1:1">
      <c r="A385" s="566"/>
    </row>
    <row r="386" spans="1:1">
      <c r="A386" s="566"/>
    </row>
    <row r="387" spans="1:1">
      <c r="A387" s="566"/>
    </row>
    <row r="388" spans="1:1">
      <c r="A388" s="566"/>
    </row>
    <row r="389" spans="1:1">
      <c r="A389" s="566"/>
    </row>
    <row r="390" spans="1:1">
      <c r="A390" s="566"/>
    </row>
    <row r="391" spans="1:1">
      <c r="A391" s="566"/>
    </row>
    <row r="392" spans="1:1">
      <c r="A392" s="566"/>
    </row>
    <row r="393" spans="1:1">
      <c r="A393" s="566"/>
    </row>
    <row r="394" spans="1:1">
      <c r="A394" s="566"/>
    </row>
    <row r="395" spans="1:1">
      <c r="A395" s="566"/>
    </row>
    <row r="396" spans="1:1">
      <c r="A396" s="566"/>
    </row>
    <row r="397" spans="1:1">
      <c r="A397" s="566"/>
    </row>
    <row r="398" spans="1:1">
      <c r="A398" s="566"/>
    </row>
    <row r="399" spans="1:1">
      <c r="A399" s="566"/>
    </row>
    <row r="400" spans="1:1">
      <c r="A400" s="566"/>
    </row>
    <row r="401" spans="1:1">
      <c r="A401" s="566"/>
    </row>
    <row r="402" spans="1:1">
      <c r="A402" s="566"/>
    </row>
    <row r="403" spans="1:1">
      <c r="A403" s="566"/>
    </row>
    <row r="404" spans="1:1">
      <c r="A404" s="566"/>
    </row>
    <row r="405" spans="1:1">
      <c r="A405" s="566"/>
    </row>
    <row r="406" spans="1:1">
      <c r="A406" s="566"/>
    </row>
    <row r="407" spans="1:1">
      <c r="A407" s="566"/>
    </row>
    <row r="408" spans="1:1">
      <c r="A408" s="566"/>
    </row>
    <row r="409" spans="1:1">
      <c r="A409" s="566"/>
    </row>
    <row r="410" spans="1:1">
      <c r="A410" s="566"/>
    </row>
    <row r="411" spans="1:1">
      <c r="A411" s="566"/>
    </row>
    <row r="412" spans="1:1">
      <c r="A412" s="566"/>
    </row>
    <row r="413" spans="1:1">
      <c r="A413" s="566"/>
    </row>
    <row r="414" spans="1:1">
      <c r="A414" s="566"/>
    </row>
    <row r="415" spans="1:1">
      <c r="A415" s="566"/>
    </row>
    <row r="416" spans="1:1">
      <c r="A416" s="566"/>
    </row>
    <row r="417" spans="1:1">
      <c r="A417" s="566"/>
    </row>
    <row r="418" spans="1:1">
      <c r="A418" s="566"/>
    </row>
    <row r="419" spans="1:1">
      <c r="A419" s="566"/>
    </row>
    <row r="420" spans="1:1">
      <c r="A420" s="566"/>
    </row>
    <row r="421" spans="1:1">
      <c r="A421" s="566"/>
    </row>
    <row r="422" spans="1:1">
      <c r="A422" s="566"/>
    </row>
    <row r="423" spans="1:1">
      <c r="A423" s="566"/>
    </row>
    <row r="424" spans="1:1">
      <c r="A424" s="566"/>
    </row>
    <row r="425" spans="1:1">
      <c r="A425" s="566"/>
    </row>
    <row r="426" spans="1:1">
      <c r="A426" s="566"/>
    </row>
    <row r="427" spans="1:1">
      <c r="A427" s="566"/>
    </row>
    <row r="428" spans="1:1">
      <c r="A428" s="566"/>
    </row>
    <row r="429" spans="1:1">
      <c r="A429" s="566"/>
    </row>
    <row r="430" spans="1:1">
      <c r="A430" s="566"/>
    </row>
    <row r="431" spans="1:1">
      <c r="A431" s="566"/>
    </row>
    <row r="432" spans="1:1">
      <c r="A432" s="566"/>
    </row>
    <row r="433" spans="1:1">
      <c r="A433" s="566"/>
    </row>
    <row r="434" spans="1:1">
      <c r="A434" s="566"/>
    </row>
    <row r="435" spans="1:1">
      <c r="A435" s="566"/>
    </row>
    <row r="436" spans="1:1">
      <c r="A436" s="566"/>
    </row>
    <row r="437" spans="1:1">
      <c r="A437" s="566"/>
    </row>
    <row r="438" spans="1:1">
      <c r="A438" s="566"/>
    </row>
    <row r="439" spans="1:1">
      <c r="A439" s="566"/>
    </row>
    <row r="440" spans="1:1">
      <c r="A440" s="566"/>
    </row>
    <row r="441" spans="1:1">
      <c r="A441" s="566"/>
    </row>
    <row r="442" spans="1:1">
      <c r="A442" s="566"/>
    </row>
    <row r="443" spans="1:1">
      <c r="A443" s="566"/>
    </row>
    <row r="444" spans="1:1">
      <c r="A444" s="566"/>
    </row>
    <row r="445" spans="1:1">
      <c r="A445" s="566"/>
    </row>
    <row r="446" spans="1:1">
      <c r="A446" s="566"/>
    </row>
    <row r="447" spans="1:1">
      <c r="A447" s="566"/>
    </row>
    <row r="448" spans="1:1">
      <c r="A448" s="566"/>
    </row>
    <row r="449" spans="1:1">
      <c r="A449" s="566"/>
    </row>
    <row r="450" spans="1:1">
      <c r="A450" s="566"/>
    </row>
    <row r="451" spans="1:1">
      <c r="A451" s="566"/>
    </row>
    <row r="452" spans="1:1">
      <c r="A452" s="566"/>
    </row>
    <row r="453" spans="1:1">
      <c r="A453" s="566"/>
    </row>
    <row r="454" spans="1:1">
      <c r="A454" s="566"/>
    </row>
    <row r="455" spans="1:1">
      <c r="A455" s="566"/>
    </row>
    <row r="456" spans="1:1">
      <c r="A456" s="566"/>
    </row>
    <row r="457" spans="1:1">
      <c r="A457" s="566"/>
    </row>
    <row r="458" spans="1:1">
      <c r="A458" s="566"/>
    </row>
    <row r="459" spans="1:1">
      <c r="A459" s="566"/>
    </row>
    <row r="460" spans="1:1">
      <c r="A460" s="566"/>
    </row>
    <row r="461" spans="1:1">
      <c r="A461" s="566"/>
    </row>
    <row r="462" spans="1:1">
      <c r="A462" s="566"/>
    </row>
    <row r="463" spans="1:1">
      <c r="A463" s="566"/>
    </row>
    <row r="464" spans="1:1">
      <c r="A464" s="566"/>
    </row>
    <row r="465" spans="1:1">
      <c r="A465" s="566"/>
    </row>
    <row r="466" spans="1:1">
      <c r="A466" s="566"/>
    </row>
    <row r="467" spans="1:1">
      <c r="A467" s="566"/>
    </row>
    <row r="468" spans="1:1">
      <c r="A468" s="566"/>
    </row>
    <row r="469" spans="1:1">
      <c r="A469" s="566"/>
    </row>
    <row r="470" spans="1:1">
      <c r="A470" s="566"/>
    </row>
    <row r="471" spans="1:1">
      <c r="A471" s="566"/>
    </row>
    <row r="472" spans="1:1">
      <c r="A472" s="566"/>
    </row>
    <row r="473" spans="1:1">
      <c r="A473" s="566"/>
    </row>
    <row r="474" spans="1:1">
      <c r="A474" s="566"/>
    </row>
    <row r="475" spans="1:1">
      <c r="A475" s="566"/>
    </row>
    <row r="476" spans="1:1">
      <c r="A476" s="566"/>
    </row>
    <row r="477" spans="1:1">
      <c r="A477" s="566"/>
    </row>
    <row r="478" spans="1:1">
      <c r="A478" s="566"/>
    </row>
    <row r="479" spans="1:1">
      <c r="A479" s="566"/>
    </row>
    <row r="480" spans="1:1">
      <c r="A480" s="566"/>
    </row>
    <row r="481" spans="1:1">
      <c r="A481" s="566"/>
    </row>
    <row r="482" spans="1:1">
      <c r="A482" s="566"/>
    </row>
    <row r="483" spans="1:1">
      <c r="A483" s="566"/>
    </row>
    <row r="484" spans="1:1">
      <c r="A484" s="566"/>
    </row>
    <row r="485" spans="1:1">
      <c r="A485" s="566"/>
    </row>
    <row r="486" spans="1:1">
      <c r="A486" s="566"/>
    </row>
    <row r="487" spans="1:1">
      <c r="A487" s="566"/>
    </row>
    <row r="488" spans="1:1">
      <c r="A488" s="566"/>
    </row>
    <row r="489" spans="1:1">
      <c r="A489" s="566"/>
    </row>
    <row r="490" spans="1:1">
      <c r="A490" s="566"/>
    </row>
    <row r="491" spans="1:1">
      <c r="A491" s="566"/>
    </row>
    <row r="492" spans="1:1">
      <c r="A492" s="566"/>
    </row>
    <row r="493" spans="1:1">
      <c r="A493" s="566"/>
    </row>
    <row r="494" spans="1:1">
      <c r="A494" s="566"/>
    </row>
    <row r="495" spans="1:1">
      <c r="A495" s="566"/>
    </row>
    <row r="496" spans="1:1">
      <c r="A496" s="566"/>
    </row>
    <row r="497" spans="1:1">
      <c r="A497" s="566"/>
    </row>
    <row r="498" spans="1:1">
      <c r="A498" s="566"/>
    </row>
    <row r="499" spans="1:1">
      <c r="A499" s="566"/>
    </row>
    <row r="500" spans="1:1">
      <c r="A500" s="566"/>
    </row>
    <row r="501" spans="1:1">
      <c r="A501" s="566"/>
    </row>
    <row r="502" spans="1:1">
      <c r="A502" s="566"/>
    </row>
    <row r="503" spans="1:1">
      <c r="A503" s="566"/>
    </row>
    <row r="504" spans="1:1">
      <c r="A504" s="566"/>
    </row>
    <row r="505" spans="1:1">
      <c r="A505" s="566"/>
    </row>
    <row r="506" spans="1:1">
      <c r="A506" s="566"/>
    </row>
    <row r="507" spans="1:1">
      <c r="A507" s="566"/>
    </row>
    <row r="508" spans="1:1">
      <c r="A508" s="566"/>
    </row>
    <row r="509" spans="1:1">
      <c r="A509" s="566"/>
    </row>
    <row r="510" spans="1:1">
      <c r="A510" s="566"/>
    </row>
    <row r="511" spans="1:1">
      <c r="A511" s="566"/>
    </row>
    <row r="512" spans="1:1">
      <c r="A512" s="566"/>
    </row>
    <row r="513" spans="1:1">
      <c r="A513" s="566"/>
    </row>
    <row r="514" spans="1:1">
      <c r="A514" s="566"/>
    </row>
    <row r="515" spans="1:1">
      <c r="A515" s="566"/>
    </row>
    <row r="516" spans="1:1">
      <c r="A516" s="566"/>
    </row>
    <row r="517" spans="1:1">
      <c r="A517" s="566"/>
    </row>
    <row r="518" spans="1:1">
      <c r="A518" s="566"/>
    </row>
    <row r="519" spans="1:1">
      <c r="A519" s="566"/>
    </row>
    <row r="520" spans="1:1">
      <c r="A520" s="566"/>
    </row>
    <row r="521" spans="1:1">
      <c r="A521" s="566"/>
    </row>
    <row r="522" spans="1:1">
      <c r="A522" s="566"/>
    </row>
    <row r="523" spans="1:1">
      <c r="A523" s="566"/>
    </row>
    <row r="524" spans="1:1">
      <c r="A524" s="566"/>
    </row>
    <row r="525" spans="1:1">
      <c r="A525" s="566"/>
    </row>
    <row r="526" spans="1:1">
      <c r="A526" s="566"/>
    </row>
    <row r="527" spans="1:1">
      <c r="A527" s="566"/>
    </row>
    <row r="528" spans="1:1">
      <c r="A528" s="566"/>
    </row>
    <row r="529" spans="1:1">
      <c r="A529" s="566"/>
    </row>
    <row r="530" spans="1:1">
      <c r="A530" s="566"/>
    </row>
    <row r="531" spans="1:1">
      <c r="A531" s="566"/>
    </row>
    <row r="532" spans="1:1">
      <c r="A532" s="566"/>
    </row>
    <row r="533" spans="1:1">
      <c r="A533" s="566"/>
    </row>
    <row r="534" spans="1:1">
      <c r="A534" s="566"/>
    </row>
    <row r="535" spans="1:1">
      <c r="A535" s="566"/>
    </row>
    <row r="536" spans="1:1">
      <c r="A536" s="566"/>
    </row>
    <row r="537" spans="1:1">
      <c r="A537" s="566"/>
    </row>
    <row r="538" spans="1:1">
      <c r="A538" s="566"/>
    </row>
    <row r="539" spans="1:1">
      <c r="A539" s="566"/>
    </row>
    <row r="540" spans="1:1">
      <c r="A540" s="566"/>
    </row>
    <row r="541" spans="1:1">
      <c r="A541" s="566"/>
    </row>
    <row r="542" spans="1:1">
      <c r="A542" s="566"/>
    </row>
    <row r="543" spans="1:1">
      <c r="A543" s="566"/>
    </row>
    <row r="544" spans="1:1">
      <c r="A544" s="566"/>
    </row>
    <row r="545" spans="1:1">
      <c r="A545" s="566"/>
    </row>
    <row r="546" spans="1:1">
      <c r="A546" s="566"/>
    </row>
    <row r="547" spans="1:1">
      <c r="A547" s="566"/>
    </row>
    <row r="548" spans="1:1">
      <c r="A548" s="566"/>
    </row>
    <row r="549" spans="1:1">
      <c r="A549" s="566"/>
    </row>
    <row r="550" spans="1:1">
      <c r="A550" s="566"/>
    </row>
    <row r="551" spans="1:1">
      <c r="A551" s="566"/>
    </row>
    <row r="552" spans="1:1">
      <c r="A552" s="566"/>
    </row>
    <row r="553" spans="1:1">
      <c r="A553" s="566"/>
    </row>
    <row r="554" spans="1:1">
      <c r="A554" s="566"/>
    </row>
    <row r="555" spans="1:1">
      <c r="A555" s="566"/>
    </row>
    <row r="556" spans="1:1">
      <c r="A556" s="566"/>
    </row>
    <row r="557" spans="1:1">
      <c r="A557" s="566"/>
    </row>
    <row r="558" spans="1:1">
      <c r="A558" s="566"/>
    </row>
    <row r="559" spans="1:1">
      <c r="A559" s="566"/>
    </row>
    <row r="560" spans="1:1">
      <c r="A560" s="566"/>
    </row>
    <row r="561" spans="1:1">
      <c r="A561" s="566"/>
    </row>
    <row r="562" spans="1:1">
      <c r="A562" s="566"/>
    </row>
    <row r="563" spans="1:1">
      <c r="A563" s="566"/>
    </row>
    <row r="564" spans="1:1">
      <c r="A564" s="566"/>
    </row>
    <row r="565" spans="1:1">
      <c r="A565" s="566"/>
    </row>
    <row r="566" spans="1:1">
      <c r="A566" s="566"/>
    </row>
    <row r="567" spans="1:1">
      <c r="A567" s="566"/>
    </row>
    <row r="568" spans="1:1">
      <c r="A568" s="566"/>
    </row>
    <row r="569" spans="1:1">
      <c r="A569" s="566"/>
    </row>
    <row r="570" spans="1:1">
      <c r="A570" s="566"/>
    </row>
    <row r="571" spans="1:1">
      <c r="A571" s="566"/>
    </row>
    <row r="572" spans="1:1">
      <c r="A572" s="566"/>
    </row>
    <row r="573" spans="1:1">
      <c r="A573" s="566"/>
    </row>
    <row r="574" spans="1:1">
      <c r="A574" s="566"/>
    </row>
    <row r="575" spans="1:1">
      <c r="A575" s="566"/>
    </row>
    <row r="576" spans="1:1">
      <c r="A576" s="566"/>
    </row>
    <row r="577" spans="1:1">
      <c r="A577" s="566"/>
    </row>
    <row r="578" spans="1:1">
      <c r="A578" s="566"/>
    </row>
    <row r="579" spans="1:1">
      <c r="A579" s="566"/>
    </row>
    <row r="580" spans="1:1">
      <c r="A580" s="566"/>
    </row>
    <row r="581" spans="1:1">
      <c r="A581" s="566"/>
    </row>
    <row r="582" spans="1:1">
      <c r="A582" s="566"/>
    </row>
    <row r="583" spans="1:1">
      <c r="A583" s="566"/>
    </row>
    <row r="584" spans="1:1">
      <c r="A584" s="566"/>
    </row>
    <row r="585" spans="1:1">
      <c r="A585" s="566"/>
    </row>
    <row r="586" spans="1:1">
      <c r="A586" s="566"/>
    </row>
    <row r="587" spans="1:1">
      <c r="A587" s="566"/>
    </row>
    <row r="588" spans="1:1">
      <c r="A588" s="566"/>
    </row>
    <row r="589" spans="1:1">
      <c r="A589" s="566"/>
    </row>
    <row r="590" spans="1:1">
      <c r="A590" s="566"/>
    </row>
    <row r="591" spans="1:1">
      <c r="A591" s="566"/>
    </row>
    <row r="592" spans="1:1">
      <c r="A592" s="566"/>
    </row>
    <row r="593" spans="1:1">
      <c r="A593" s="566"/>
    </row>
    <row r="594" spans="1:1">
      <c r="A594" s="566"/>
    </row>
    <row r="595" spans="1:1">
      <c r="A595" s="566"/>
    </row>
    <row r="596" spans="1:1">
      <c r="A596" s="566"/>
    </row>
    <row r="597" spans="1:1">
      <c r="A597" s="566"/>
    </row>
    <row r="598" spans="1:1">
      <c r="A598" s="566"/>
    </row>
    <row r="599" spans="1:1">
      <c r="A599" s="566"/>
    </row>
    <row r="600" spans="1:1">
      <c r="A600" s="566"/>
    </row>
    <row r="601" spans="1:1">
      <c r="A601" s="566"/>
    </row>
    <row r="602" spans="1:1">
      <c r="A602" s="566"/>
    </row>
    <row r="603" spans="1:1">
      <c r="A603" s="566"/>
    </row>
    <row r="604" spans="1:1">
      <c r="A604" s="566"/>
    </row>
    <row r="605" spans="1:1">
      <c r="A605" s="566"/>
    </row>
    <row r="606" spans="1:1">
      <c r="A606" s="566"/>
    </row>
    <row r="607" spans="1:1">
      <c r="A607" s="566"/>
    </row>
    <row r="608" spans="1:1">
      <c r="A608" s="566"/>
    </row>
    <row r="609" spans="1:1">
      <c r="A609" s="566"/>
    </row>
    <row r="610" spans="1:1">
      <c r="A610" s="566"/>
    </row>
    <row r="611" spans="1:1">
      <c r="A611" s="566"/>
    </row>
    <row r="612" spans="1:1">
      <c r="A612" s="566"/>
    </row>
    <row r="613" spans="1:1">
      <c r="A613" s="566"/>
    </row>
    <row r="614" spans="1:1">
      <c r="A614" s="566"/>
    </row>
    <row r="615" spans="1:1">
      <c r="A615" s="566"/>
    </row>
    <row r="616" spans="1:1">
      <c r="A616" s="566"/>
    </row>
    <row r="617" spans="1:1">
      <c r="A617" s="566"/>
    </row>
    <row r="618" spans="1:1">
      <c r="A618" s="566"/>
    </row>
    <row r="619" spans="1:1">
      <c r="A619" s="566"/>
    </row>
    <row r="620" spans="1:1">
      <c r="A620" s="566"/>
    </row>
    <row r="621" spans="1:1">
      <c r="A621" s="566"/>
    </row>
    <row r="622" spans="1:1">
      <c r="A622" s="566"/>
    </row>
    <row r="623" spans="1:1">
      <c r="A623" s="566"/>
    </row>
    <row r="624" spans="1:1">
      <c r="A624" s="566"/>
    </row>
    <row r="625" spans="1:1">
      <c r="A625" s="566"/>
    </row>
    <row r="626" spans="1:1">
      <c r="A626" s="566"/>
    </row>
    <row r="627" spans="1:1">
      <c r="A627" s="566"/>
    </row>
    <row r="628" spans="1:1">
      <c r="A628" s="566"/>
    </row>
    <row r="629" spans="1:1">
      <c r="A629" s="566"/>
    </row>
    <row r="630" spans="1:1">
      <c r="A630" s="566"/>
    </row>
    <row r="631" spans="1:1">
      <c r="A631" s="566"/>
    </row>
    <row r="632" spans="1:1">
      <c r="A632" s="566"/>
    </row>
    <row r="633" spans="1:1">
      <c r="A633" s="566"/>
    </row>
    <row r="634" spans="1:1">
      <c r="A634" s="566"/>
    </row>
    <row r="635" spans="1:1">
      <c r="A635" s="566"/>
    </row>
    <row r="636" spans="1:1">
      <c r="A636" s="566"/>
    </row>
    <row r="637" spans="1:1">
      <c r="A637" s="566"/>
    </row>
    <row r="638" spans="1:1">
      <c r="A638" s="566"/>
    </row>
    <row r="639" spans="1:1">
      <c r="A639" s="566"/>
    </row>
    <row r="640" spans="1:1">
      <c r="A640" s="566"/>
    </row>
    <row r="641" spans="1:1">
      <c r="A641" s="566"/>
    </row>
    <row r="642" spans="1:1">
      <c r="A642" s="566"/>
    </row>
    <row r="643" spans="1:1">
      <c r="A643" s="566"/>
    </row>
    <row r="644" spans="1:1">
      <c r="A644" s="566"/>
    </row>
    <row r="645" spans="1:1">
      <c r="A645" s="566"/>
    </row>
    <row r="646" spans="1:1">
      <c r="A646" s="566"/>
    </row>
    <row r="647" spans="1:1">
      <c r="A647" s="566"/>
    </row>
    <row r="648" spans="1:1">
      <c r="A648" s="566"/>
    </row>
    <row r="649" spans="1:1">
      <c r="A649" s="566"/>
    </row>
    <row r="650" spans="1:1">
      <c r="A650" s="566"/>
    </row>
    <row r="651" spans="1:1">
      <c r="A651" s="566"/>
    </row>
    <row r="652" spans="1:1">
      <c r="A652" s="566"/>
    </row>
    <row r="653" spans="1:1">
      <c r="A653" s="566"/>
    </row>
    <row r="654" spans="1:1">
      <c r="A654" s="566"/>
    </row>
    <row r="655" spans="1:1">
      <c r="A655" s="566"/>
    </row>
    <row r="656" spans="1:1">
      <c r="A656" s="566"/>
    </row>
    <row r="657" spans="1:1">
      <c r="A657" s="566"/>
    </row>
    <row r="658" spans="1:1">
      <c r="A658" s="566"/>
    </row>
    <row r="659" spans="1:1">
      <c r="A659" s="566"/>
    </row>
    <row r="660" spans="1:1">
      <c r="A660" s="566"/>
    </row>
    <row r="661" spans="1:1">
      <c r="A661" s="566"/>
    </row>
    <row r="662" spans="1:1">
      <c r="A662" s="566"/>
    </row>
    <row r="663" spans="1:1">
      <c r="A663" s="566"/>
    </row>
    <row r="664" spans="1:1">
      <c r="A664" s="566"/>
    </row>
    <row r="665" spans="1:1">
      <c r="A665" s="566"/>
    </row>
    <row r="666" spans="1:1">
      <c r="A666" s="566"/>
    </row>
    <row r="667" spans="1:1">
      <c r="A667" s="566"/>
    </row>
    <row r="668" spans="1:1">
      <c r="A668" s="566"/>
    </row>
    <row r="669" spans="1:1">
      <c r="A669" s="566"/>
    </row>
    <row r="670" spans="1:1">
      <c r="A670" s="566"/>
    </row>
    <row r="671" spans="1:1">
      <c r="A671" s="566"/>
    </row>
    <row r="672" spans="1:1">
      <c r="A672" s="566"/>
    </row>
    <row r="673" spans="1:1">
      <c r="A673" s="566"/>
    </row>
    <row r="674" spans="1:1">
      <c r="A674" s="566"/>
    </row>
    <row r="675" spans="1:1">
      <c r="A675" s="566"/>
    </row>
    <row r="676" spans="1:1">
      <c r="A676" s="566"/>
    </row>
    <row r="677" spans="1:1">
      <c r="A677" s="566"/>
    </row>
    <row r="678" spans="1:1">
      <c r="A678" s="566"/>
    </row>
    <row r="679" spans="1:1">
      <c r="A679" s="566"/>
    </row>
    <row r="680" spans="1:1">
      <c r="A680" s="566"/>
    </row>
    <row r="681" spans="1:1">
      <c r="A681" s="566"/>
    </row>
    <row r="682" spans="1:1">
      <c r="A682" s="566"/>
    </row>
    <row r="683" spans="1:1">
      <c r="A683" s="566"/>
    </row>
    <row r="684" spans="1:1">
      <c r="A684" s="566"/>
    </row>
    <row r="685" spans="1:1">
      <c r="A685" s="566"/>
    </row>
    <row r="686" spans="1:1">
      <c r="A686" s="566"/>
    </row>
    <row r="687" spans="1:1">
      <c r="A687" s="566"/>
    </row>
    <row r="688" spans="1:1">
      <c r="A688" s="566"/>
    </row>
    <row r="689" spans="1:1">
      <c r="A689" s="566"/>
    </row>
    <row r="690" spans="1:1">
      <c r="A690" s="566"/>
    </row>
    <row r="691" spans="1:1">
      <c r="A691" s="566"/>
    </row>
    <row r="692" spans="1:1">
      <c r="A692" s="566"/>
    </row>
    <row r="693" spans="1:1">
      <c r="A693" s="566"/>
    </row>
    <row r="694" spans="1:1">
      <c r="A694" s="566"/>
    </row>
    <row r="695" spans="1:1">
      <c r="A695" s="566"/>
    </row>
    <row r="696" spans="1:1">
      <c r="A696" s="566"/>
    </row>
    <row r="697" spans="1:1">
      <c r="A697" s="566"/>
    </row>
    <row r="698" spans="1:1">
      <c r="A698" s="566"/>
    </row>
    <row r="699" spans="1:1">
      <c r="A699" s="566"/>
    </row>
    <row r="700" spans="1:1">
      <c r="A700" s="566"/>
    </row>
  </sheetData>
  <pageMargins left="0.7" right="0.7" top="0.75" bottom="0.75" header="0" footer="0"/>
  <pageSetup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755"/>
  <sheetViews>
    <sheetView showGridLines="0" workbookViewId="0">
      <selection activeCell="L25" sqref="L25"/>
    </sheetView>
  </sheetViews>
  <sheetFormatPr defaultRowHeight="18.75"/>
  <cols>
    <col min="2" max="2" width="10.59765625" style="69" customWidth="1"/>
    <col min="3" max="3" width="15.09765625" style="1" customWidth="1"/>
    <col min="4" max="4" width="8.796875" style="1"/>
  </cols>
  <sheetData>
    <row r="2" spans="2:4">
      <c r="C2" s="551" t="s">
        <v>1425</v>
      </c>
      <c r="D2" s="551" t="s">
        <v>64</v>
      </c>
    </row>
    <row r="3" spans="2:4">
      <c r="B3" s="533">
        <v>43861</v>
      </c>
      <c r="C3" s="85">
        <v>3.7344291914512703E-2</v>
      </c>
      <c r="D3" s="85">
        <v>0</v>
      </c>
    </row>
    <row r="4" spans="2:4">
      <c r="B4" s="533">
        <v>43864</v>
      </c>
      <c r="C4" s="85">
        <v>3.4640085827862141E-2</v>
      </c>
      <c r="D4" s="85">
        <v>0</v>
      </c>
    </row>
    <row r="5" spans="2:4">
      <c r="B5" s="533">
        <v>43865</v>
      </c>
      <c r="C5" s="85">
        <v>3.4759330208656347E-2</v>
      </c>
      <c r="D5" s="85">
        <v>0</v>
      </c>
    </row>
    <row r="6" spans="2:4">
      <c r="B6" s="533">
        <v>43866</v>
      </c>
      <c r="C6" s="85">
        <v>3.5317671558354316E-2</v>
      </c>
      <c r="D6" s="85">
        <v>0</v>
      </c>
    </row>
    <row r="7" spans="2:4">
      <c r="B7" s="533">
        <v>43867</v>
      </c>
      <c r="C7" s="85">
        <v>3.6057609656824509E-2</v>
      </c>
      <c r="D7" s="85">
        <v>0</v>
      </c>
    </row>
    <row r="8" spans="2:4">
      <c r="B8" s="533">
        <v>43868</v>
      </c>
      <c r="C8" s="85">
        <v>3.6079725543658125E-2</v>
      </c>
      <c r="D8" s="85">
        <v>3.21682617041914E-5</v>
      </c>
    </row>
    <row r="9" spans="2:4">
      <c r="B9" s="533">
        <v>43871</v>
      </c>
      <c r="C9" s="85">
        <v>3.7068032670347827E-2</v>
      </c>
      <c r="D9" s="85">
        <v>4.4340888760057126E-5</v>
      </c>
    </row>
    <row r="10" spans="2:4">
      <c r="B10" s="533">
        <v>43872</v>
      </c>
      <c r="C10" s="85">
        <v>3.8003886138054326E-2</v>
      </c>
      <c r="D10" s="85">
        <v>5.2857847713345631E-5</v>
      </c>
    </row>
    <row r="11" spans="2:4">
      <c r="B11" s="533">
        <v>43873</v>
      </c>
      <c r="C11" s="85">
        <v>4.002834002622447E-2</v>
      </c>
      <c r="D11" s="85">
        <v>5.9315343779124983E-5</v>
      </c>
    </row>
    <row r="12" spans="2:4">
      <c r="B12" s="533">
        <v>43874</v>
      </c>
      <c r="C12" s="85">
        <v>4.1127032134610095E-2</v>
      </c>
      <c r="D12" s="85">
        <v>6.43365234083828E-5</v>
      </c>
    </row>
    <row r="13" spans="2:4">
      <c r="B13" s="533">
        <v>43875</v>
      </c>
      <c r="C13" s="85">
        <v>4.1128832109240766E-2</v>
      </c>
      <c r="D13" s="85">
        <v>6.8239187970051804E-5</v>
      </c>
    </row>
    <row r="14" spans="2:4">
      <c r="B14" s="533">
        <v>43878</v>
      </c>
      <c r="C14" s="85">
        <v>4.1448107960614239E-2</v>
      </c>
      <c r="D14" s="85">
        <v>7.1207482747530126E-5</v>
      </c>
    </row>
    <row r="15" spans="2:4">
      <c r="B15" s="533">
        <v>43879</v>
      </c>
      <c r="C15" s="85">
        <v>4.0852516236493892E-2</v>
      </c>
      <c r="D15" s="85">
        <v>7.3354922926553517E-5</v>
      </c>
    </row>
    <row r="16" spans="2:4">
      <c r="B16" s="533">
        <v>43880</v>
      </c>
      <c r="C16" s="85">
        <v>4.0728340325019818E-2</v>
      </c>
      <c r="D16" s="85">
        <v>7.475228511406508E-5</v>
      </c>
    </row>
    <row r="17" spans="2:4">
      <c r="B17" s="533">
        <v>43881</v>
      </c>
      <c r="C17" s="85">
        <v>4.0277911675773999E-2</v>
      </c>
      <c r="D17" s="85">
        <v>7.5441260831731944E-5</v>
      </c>
    </row>
    <row r="18" spans="2:4">
      <c r="B18" s="533">
        <v>43882</v>
      </c>
      <c r="C18" s="85">
        <v>4.0835126271651659E-2</v>
      </c>
      <c r="D18" s="85">
        <v>7.5441260831731903E-5</v>
      </c>
    </row>
    <row r="19" spans="2:4">
      <c r="B19" s="533">
        <v>43887</v>
      </c>
      <c r="C19" s="85">
        <v>4.0873239476407267E-2</v>
      </c>
      <c r="D19" s="85">
        <v>7.4752285114065053E-5</v>
      </c>
    </row>
    <row r="20" spans="2:4">
      <c r="B20" s="533">
        <v>43888</v>
      </c>
      <c r="C20" s="85">
        <v>6.0492171338819047E-2</v>
      </c>
      <c r="D20" s="85">
        <v>7.335492292655353E-5</v>
      </c>
    </row>
    <row r="21" spans="2:4">
      <c r="B21" s="533">
        <v>43889</v>
      </c>
      <c r="C21" s="85">
        <v>5.9165060519738459E-2</v>
      </c>
      <c r="D21" s="85">
        <v>7.1207482747530113E-5</v>
      </c>
    </row>
    <row r="22" spans="2:4">
      <c r="B22" s="533">
        <v>43892</v>
      </c>
      <c r="C22" s="85">
        <v>5.7693919898445543E-2</v>
      </c>
      <c r="D22" s="85">
        <v>6.8239187970051845E-5</v>
      </c>
    </row>
    <row r="23" spans="2:4">
      <c r="B23" s="533">
        <v>43893</v>
      </c>
      <c r="C23" s="85">
        <v>6.2353798183860248E-2</v>
      </c>
      <c r="D23" s="85">
        <v>6.4336523408382813E-5</v>
      </c>
    </row>
    <row r="24" spans="2:4">
      <c r="B24" s="533">
        <v>43894</v>
      </c>
      <c r="C24" s="85">
        <v>6.234808631104282E-2</v>
      </c>
      <c r="D24" s="85">
        <v>5.931534377912501E-5</v>
      </c>
    </row>
    <row r="25" spans="2:4">
      <c r="B25" s="533">
        <v>43895</v>
      </c>
      <c r="C25" s="85">
        <v>6.4488125618165623E-2</v>
      </c>
      <c r="D25" s="85">
        <v>5.2857847713345611E-5</v>
      </c>
    </row>
    <row r="26" spans="2:4">
      <c r="B26" s="533">
        <v>43896</v>
      </c>
      <c r="C26" s="85">
        <v>7.0626822466262562E-2</v>
      </c>
      <c r="D26" s="85">
        <v>4.4340888760057098E-5</v>
      </c>
    </row>
    <row r="27" spans="2:4">
      <c r="B27" s="533">
        <v>43899</v>
      </c>
      <c r="C27" s="85">
        <v>7.439042028783667E-2</v>
      </c>
      <c r="D27" s="85">
        <v>3.2168261704191393E-5</v>
      </c>
    </row>
    <row r="28" spans="2:4">
      <c r="B28" s="533">
        <v>43900</v>
      </c>
      <c r="C28" s="85">
        <v>0.10070506353027531</v>
      </c>
      <c r="D28" s="85">
        <v>0</v>
      </c>
    </row>
    <row r="29" spans="2:4">
      <c r="B29" s="533">
        <v>43901</v>
      </c>
      <c r="C29" s="85">
        <v>0.11141671375914708</v>
      </c>
      <c r="D29" s="85">
        <v>0</v>
      </c>
    </row>
    <row r="30" spans="2:4">
      <c r="B30" s="533">
        <v>43902</v>
      </c>
      <c r="C30" s="85">
        <v>0.11965397019673363</v>
      </c>
      <c r="D30" s="85">
        <v>0</v>
      </c>
    </row>
    <row r="31" spans="2:4">
      <c r="B31" s="533">
        <v>43903</v>
      </c>
      <c r="C31" s="85">
        <v>0.14550763028038047</v>
      </c>
      <c r="D31" s="85">
        <v>0</v>
      </c>
    </row>
    <row r="32" spans="2:4">
      <c r="B32" s="533">
        <v>43906</v>
      </c>
      <c r="C32" s="85">
        <v>0.16920370149743669</v>
      </c>
      <c r="D32" s="85">
        <v>0</v>
      </c>
    </row>
    <row r="33" spans="2:4">
      <c r="B33" s="533">
        <v>43907</v>
      </c>
      <c r="C33" s="85">
        <v>0.1796536937587852</v>
      </c>
      <c r="D33" s="85">
        <v>0</v>
      </c>
    </row>
    <row r="34" spans="2:4">
      <c r="B34" s="533">
        <v>43908</v>
      </c>
      <c r="C34" s="85">
        <v>0.18271854079939504</v>
      </c>
      <c r="D34" s="85">
        <v>0</v>
      </c>
    </row>
    <row r="35" spans="2:4">
      <c r="B35" s="533">
        <v>43909</v>
      </c>
      <c r="C35" s="85">
        <v>0.19108783382627734</v>
      </c>
      <c r="D35" s="85">
        <v>0</v>
      </c>
    </row>
    <row r="36" spans="2:4">
      <c r="B36" s="533">
        <v>43910</v>
      </c>
      <c r="C36" s="85">
        <v>0.19090373654724069</v>
      </c>
      <c r="D36" s="85">
        <v>6.4567899355409285E-5</v>
      </c>
    </row>
    <row r="37" spans="2:4">
      <c r="B37" s="533">
        <v>43913</v>
      </c>
      <c r="C37" s="85">
        <v>0.19057576220781361</v>
      </c>
      <c r="D37" s="85">
        <v>8.9000707253501636E-5</v>
      </c>
    </row>
    <row r="38" spans="2:4">
      <c r="B38" s="533">
        <v>43914</v>
      </c>
      <c r="C38" s="85">
        <v>0.18935546726210759</v>
      </c>
      <c r="D38" s="85">
        <v>1.0609588490304282E-4</v>
      </c>
    </row>
    <row r="39" spans="2:4">
      <c r="B39" s="533">
        <v>43915</v>
      </c>
      <c r="C39" s="85">
        <v>0.20138652799265774</v>
      </c>
      <c r="D39" s="85">
        <v>1.1905732372424172E-4</v>
      </c>
    </row>
    <row r="40" spans="2:4">
      <c r="B40" s="533">
        <v>43916</v>
      </c>
      <c r="C40" s="85">
        <v>0.20683227909981095</v>
      </c>
      <c r="D40" s="85">
        <v>1.2913579871081857E-4</v>
      </c>
    </row>
    <row r="41" spans="2:4">
      <c r="B41" s="533">
        <v>43917</v>
      </c>
      <c r="C41" s="85">
        <v>0.20697973815204201</v>
      </c>
      <c r="D41" s="85">
        <v>1.3696919844354122E-4</v>
      </c>
    </row>
    <row r="42" spans="2:4">
      <c r="B42" s="533">
        <v>43920</v>
      </c>
      <c r="C42" s="85">
        <v>0.20722648000470958</v>
      </c>
      <c r="D42" s="85">
        <v>1.4292713798692779E-4</v>
      </c>
    </row>
    <row r="43" spans="2:4">
      <c r="B43" s="533">
        <v>43921</v>
      </c>
      <c r="C43" s="85">
        <v>0.20801538114950546</v>
      </c>
      <c r="D43" s="85">
        <v>1.4723746419062427E-4</v>
      </c>
    </row>
    <row r="44" spans="2:4">
      <c r="B44" s="533">
        <v>43922</v>
      </c>
      <c r="C44" s="85">
        <v>0.20585688360826973</v>
      </c>
      <c r="D44" s="85">
        <v>1.5004223934185804E-4</v>
      </c>
    </row>
    <row r="45" spans="2:4">
      <c r="B45" s="533">
        <v>43923</v>
      </c>
      <c r="C45" s="85">
        <v>0.20589339901741943</v>
      </c>
      <c r="D45" s="85">
        <v>1.5142514635765235E-4</v>
      </c>
    </row>
    <row r="46" spans="2:4">
      <c r="B46" s="533">
        <v>43924</v>
      </c>
      <c r="C46" s="85">
        <v>0.2048135122706401</v>
      </c>
      <c r="D46" s="85">
        <v>1.5142514635765241E-4</v>
      </c>
    </row>
    <row r="47" spans="2:4">
      <c r="B47" s="533">
        <v>43927</v>
      </c>
      <c r="C47" s="85">
        <v>0.20386373079814829</v>
      </c>
      <c r="D47" s="85">
        <v>1.5004223934185807E-4</v>
      </c>
    </row>
    <row r="48" spans="2:4">
      <c r="B48" s="533">
        <v>43928</v>
      </c>
      <c r="C48" s="85">
        <v>0.20768099756426509</v>
      </c>
      <c r="D48" s="85">
        <v>1.4723746419062427E-4</v>
      </c>
    </row>
    <row r="49" spans="2:4">
      <c r="B49" s="533">
        <v>43929</v>
      </c>
      <c r="C49" s="85">
        <v>0.19634251193510144</v>
      </c>
      <c r="D49" s="85">
        <v>1.4292713798692773E-4</v>
      </c>
    </row>
    <row r="50" spans="2:4">
      <c r="B50" s="533">
        <v>43930</v>
      </c>
      <c r="C50" s="85">
        <v>0.19191180606545261</v>
      </c>
      <c r="D50" s="85">
        <v>1.3696919844354122E-4</v>
      </c>
    </row>
    <row r="51" spans="2:4">
      <c r="B51" s="533">
        <v>43934</v>
      </c>
      <c r="C51" s="85">
        <v>0.1859106050736245</v>
      </c>
      <c r="D51" s="85">
        <v>1.2913579871081852E-4</v>
      </c>
    </row>
    <row r="52" spans="2:4">
      <c r="B52" s="533">
        <v>43935</v>
      </c>
      <c r="C52" s="85">
        <v>0.16093406644792879</v>
      </c>
      <c r="D52" s="85">
        <v>1.1905732372424177E-4</v>
      </c>
    </row>
    <row r="53" spans="2:4">
      <c r="B53" s="533">
        <v>43936</v>
      </c>
      <c r="C53" s="85">
        <v>0.14143488189010603</v>
      </c>
      <c r="D53" s="85">
        <v>1.060958849030428E-4</v>
      </c>
    </row>
    <row r="54" spans="2:4">
      <c r="B54" s="533">
        <v>43937</v>
      </c>
      <c r="C54" s="85">
        <v>0.11927773990248906</v>
      </c>
      <c r="D54" s="85">
        <v>8.9000707253501636E-5</v>
      </c>
    </row>
    <row r="55" spans="2:4">
      <c r="B55" s="533">
        <v>43938</v>
      </c>
      <c r="C55" s="85">
        <v>0.11774882696511425</v>
      </c>
      <c r="D55" s="85">
        <v>6.4567899355409298E-5</v>
      </c>
    </row>
    <row r="56" spans="2:4">
      <c r="B56" s="533">
        <v>43941</v>
      </c>
      <c r="C56" s="85">
        <v>9.1811707249654706E-2</v>
      </c>
      <c r="D56" s="85">
        <v>0</v>
      </c>
    </row>
    <row r="57" spans="2:4">
      <c r="B57" s="533">
        <v>43943</v>
      </c>
      <c r="C57" s="85">
        <v>9.1782476998504406E-2</v>
      </c>
      <c r="D57" s="85">
        <v>0</v>
      </c>
    </row>
    <row r="58" spans="2:4">
      <c r="B58" s="533">
        <v>43944</v>
      </c>
      <c r="C58" s="85">
        <v>9.1530361539322314E-2</v>
      </c>
      <c r="D58" s="85">
        <v>0</v>
      </c>
    </row>
    <row r="59" spans="2:4">
      <c r="B59" s="533">
        <v>43945</v>
      </c>
      <c r="C59" s="85">
        <v>8.5628690857130138E-2</v>
      </c>
      <c r="D59" s="85">
        <v>0</v>
      </c>
    </row>
    <row r="60" spans="2:4">
      <c r="B60" s="533">
        <v>43948</v>
      </c>
      <c r="C60" s="85">
        <v>8.0991755712453123E-2</v>
      </c>
      <c r="D60" s="85">
        <v>0</v>
      </c>
    </row>
    <row r="61" spans="2:4">
      <c r="B61" s="533">
        <v>43949</v>
      </c>
      <c r="C61" s="85">
        <v>7.6147479763496909E-2</v>
      </c>
      <c r="D61" s="85">
        <v>0</v>
      </c>
    </row>
    <row r="62" spans="2:4">
      <c r="B62" s="533">
        <v>43950</v>
      </c>
      <c r="C62" s="85">
        <v>7.3511867162606478E-2</v>
      </c>
      <c r="D62" s="85">
        <v>0</v>
      </c>
    </row>
    <row r="63" spans="2:4">
      <c r="B63" s="533">
        <v>43951</v>
      </c>
      <c r="C63" s="85">
        <v>6.9137398416738008E-2</v>
      </c>
      <c r="D63" s="85">
        <v>0</v>
      </c>
    </row>
    <row r="64" spans="2:4">
      <c r="B64" s="533">
        <v>43955</v>
      </c>
      <c r="C64" s="85">
        <v>7.0582165101404692E-2</v>
      </c>
      <c r="D64" s="85">
        <v>0</v>
      </c>
    </row>
    <row r="65" spans="2:4">
      <c r="B65" s="533">
        <v>43956</v>
      </c>
      <c r="C65" s="85">
        <v>7.0629298864415005E-2</v>
      </c>
      <c r="D65" s="85">
        <v>0</v>
      </c>
    </row>
    <row r="66" spans="2:4">
      <c r="B66" s="533">
        <v>43957</v>
      </c>
      <c r="C66" s="85">
        <v>6.709262840379894E-2</v>
      </c>
      <c r="D66" s="85">
        <v>0</v>
      </c>
    </row>
    <row r="67" spans="2:4">
      <c r="B67" s="533">
        <v>43958</v>
      </c>
      <c r="C67" s="85">
        <v>6.7093970636191241E-2</v>
      </c>
      <c r="D67" s="85">
        <v>0</v>
      </c>
    </row>
    <row r="68" spans="2:4">
      <c r="B68" s="533">
        <v>43959</v>
      </c>
      <c r="C68" s="85">
        <v>6.4014310010003128E-2</v>
      </c>
      <c r="D68" s="85">
        <v>9.7435883242058598E-5</v>
      </c>
    </row>
    <row r="69" spans="2:4">
      <c r="B69" s="533">
        <v>43962</v>
      </c>
      <c r="C69" s="85">
        <v>5.58859124189343E-2</v>
      </c>
      <c r="D69" s="85">
        <v>1.3430609648115062E-4</v>
      </c>
    </row>
    <row r="70" spans="2:4">
      <c r="B70" s="533">
        <v>43963</v>
      </c>
      <c r="C70" s="85">
        <v>5.5314459094028136E-2</v>
      </c>
      <c r="D70" s="85">
        <v>1.6010349348634527E-4</v>
      </c>
    </row>
    <row r="71" spans="2:4">
      <c r="B71" s="533">
        <v>43964</v>
      </c>
      <c r="C71" s="85">
        <v>5.5929811457431616E-2</v>
      </c>
      <c r="D71" s="85">
        <v>1.7966289145715167E-4</v>
      </c>
    </row>
    <row r="72" spans="2:4">
      <c r="B72" s="533">
        <v>43965</v>
      </c>
      <c r="C72" s="85">
        <v>5.5891416095752405E-2</v>
      </c>
      <c r="D72" s="85">
        <v>1.948717664841172E-4</v>
      </c>
    </row>
    <row r="73" spans="2:4">
      <c r="B73" s="533">
        <v>43966</v>
      </c>
      <c r="C73" s="85">
        <v>5.5598018416929157E-2</v>
      </c>
      <c r="D73" s="85">
        <v>2.0669272131408097E-4</v>
      </c>
    </row>
    <row r="74" spans="2:4">
      <c r="B74" s="533">
        <v>43969</v>
      </c>
      <c r="C74" s="85">
        <v>5.3841438605445352E-2</v>
      </c>
      <c r="D74" s="85">
        <v>2.1568352181259551E-4</v>
      </c>
    </row>
    <row r="75" spans="2:4">
      <c r="B75" s="533">
        <v>43970</v>
      </c>
      <c r="C75" s="85">
        <v>5.6416322149715099E-2</v>
      </c>
      <c r="D75" s="85">
        <v>2.2218799919084827E-4</v>
      </c>
    </row>
    <row r="76" spans="2:4">
      <c r="B76" s="533">
        <v>43971</v>
      </c>
      <c r="C76" s="85">
        <v>5.6399175679162E-2</v>
      </c>
      <c r="D76" s="85">
        <v>2.2642053187170197E-4</v>
      </c>
    </row>
    <row r="77" spans="2:4">
      <c r="B77" s="533">
        <v>43972</v>
      </c>
      <c r="C77" s="85">
        <v>5.6214780949940542E-2</v>
      </c>
      <c r="D77" s="85">
        <v>2.2850740116543361E-4</v>
      </c>
    </row>
    <row r="78" spans="2:4">
      <c r="B78" s="533">
        <v>43973</v>
      </c>
      <c r="C78" s="85">
        <v>5.6204642896816315E-2</v>
      </c>
      <c r="D78" s="85">
        <v>2.2850740116543361E-4</v>
      </c>
    </row>
    <row r="79" spans="2:4">
      <c r="B79" s="533">
        <v>43976</v>
      </c>
      <c r="C79" s="85">
        <v>5.3077335471654968E-2</v>
      </c>
      <c r="D79" s="85">
        <v>2.2642053187170194E-4</v>
      </c>
    </row>
    <row r="80" spans="2:4">
      <c r="B80" s="533">
        <v>43977</v>
      </c>
      <c r="C80" s="85">
        <v>5.6082055652092816E-2</v>
      </c>
      <c r="D80" s="85">
        <v>2.2218799919084827E-4</v>
      </c>
    </row>
    <row r="81" spans="2:4">
      <c r="B81" s="533">
        <v>43978</v>
      </c>
      <c r="C81" s="85">
        <v>4.498494109766011E-2</v>
      </c>
      <c r="D81" s="85">
        <v>2.1568352181259556E-4</v>
      </c>
    </row>
    <row r="82" spans="2:4">
      <c r="B82" s="533">
        <v>43979</v>
      </c>
      <c r="C82" s="85">
        <v>4.3856122141177123E-2</v>
      </c>
      <c r="D82" s="85">
        <v>2.0669272131408097E-4</v>
      </c>
    </row>
    <row r="83" spans="2:4">
      <c r="B83" s="533">
        <v>43980</v>
      </c>
      <c r="C83" s="85">
        <v>4.1546355233115465E-2</v>
      </c>
      <c r="D83" s="85">
        <v>1.9487176648411709E-4</v>
      </c>
    </row>
    <row r="84" spans="2:4">
      <c r="B84" s="533">
        <v>43983</v>
      </c>
      <c r="C84" s="85">
        <v>4.1041201524990446E-2</v>
      </c>
      <c r="D84" s="85">
        <v>1.7966289145715178E-4</v>
      </c>
    </row>
    <row r="85" spans="2:4">
      <c r="B85" s="533">
        <v>43984</v>
      </c>
      <c r="C85" s="85">
        <v>3.8663472104315165E-2</v>
      </c>
      <c r="D85" s="85">
        <v>1.6010349348634522E-4</v>
      </c>
    </row>
    <row r="86" spans="2:4">
      <c r="B86" s="533">
        <v>43985</v>
      </c>
      <c r="C86" s="85">
        <v>3.6568760922355691E-2</v>
      </c>
      <c r="D86" s="85">
        <v>1.3430609648115059E-4</v>
      </c>
    </row>
    <row r="87" spans="2:4">
      <c r="B87" s="533">
        <v>43986</v>
      </c>
      <c r="C87" s="85">
        <v>3.7875407738521494E-2</v>
      </c>
      <c r="D87" s="85">
        <v>9.7435883242058598E-5</v>
      </c>
    </row>
    <row r="88" spans="2:4">
      <c r="B88" s="533">
        <v>43987</v>
      </c>
      <c r="C88" s="85">
        <v>3.7838043826510619E-2</v>
      </c>
      <c r="D88" s="85">
        <v>0</v>
      </c>
    </row>
    <row r="89" spans="2:4">
      <c r="B89" s="533">
        <v>43990</v>
      </c>
      <c r="C89" s="85">
        <v>3.7802748857239138E-2</v>
      </c>
      <c r="D89" s="85">
        <v>0</v>
      </c>
    </row>
    <row r="90" spans="2:4">
      <c r="B90" s="533">
        <v>43991</v>
      </c>
      <c r="C90" s="85">
        <v>3.9124673084586808E-2</v>
      </c>
      <c r="D90" s="85">
        <v>0</v>
      </c>
    </row>
    <row r="91" spans="2:4">
      <c r="B91" s="533">
        <v>43992</v>
      </c>
      <c r="C91" s="85">
        <v>3.9356750139341645E-2</v>
      </c>
      <c r="D91" s="85">
        <v>0</v>
      </c>
    </row>
    <row r="92" spans="2:4">
      <c r="B92" s="533">
        <v>43994</v>
      </c>
      <c r="C92" s="85">
        <v>3.8882456154754851E-2</v>
      </c>
      <c r="D92" s="85">
        <v>0</v>
      </c>
    </row>
    <row r="93" spans="2:4">
      <c r="B93" s="533">
        <v>43997</v>
      </c>
      <c r="C93" s="85">
        <v>4.2494138563207537E-2</v>
      </c>
      <c r="D93" s="85">
        <v>0</v>
      </c>
    </row>
    <row r="94" spans="2:4">
      <c r="B94" s="533">
        <v>43998</v>
      </c>
      <c r="C94" s="85">
        <v>4.2706558431510826E-2</v>
      </c>
      <c r="D94" s="85">
        <v>0</v>
      </c>
    </row>
    <row r="95" spans="2:4">
      <c r="B95" s="533">
        <v>43999</v>
      </c>
      <c r="C95" s="85">
        <v>4.1330166860539863E-2</v>
      </c>
      <c r="D95" s="85">
        <v>0</v>
      </c>
    </row>
    <row r="96" spans="2:4">
      <c r="B96" s="533">
        <v>44000</v>
      </c>
      <c r="C96" s="85">
        <v>3.9635591224260663E-2</v>
      </c>
      <c r="D96" s="85">
        <v>0</v>
      </c>
    </row>
    <row r="97" spans="2:4">
      <c r="B97" s="533">
        <v>44001</v>
      </c>
      <c r="C97" s="85">
        <v>3.9554828569493924E-2</v>
      </c>
      <c r="D97" s="85">
        <v>9.8145822441025564E-5</v>
      </c>
    </row>
    <row r="98" spans="2:4">
      <c r="B98" s="533">
        <v>44004</v>
      </c>
      <c r="C98" s="85">
        <v>3.9639291735179813E-2</v>
      </c>
      <c r="D98" s="85">
        <v>1.3528468013410867E-4</v>
      </c>
    </row>
    <row r="99" spans="2:4">
      <c r="B99" s="533">
        <v>44005</v>
      </c>
      <c r="C99" s="85">
        <v>4.0583040622915893E-2</v>
      </c>
      <c r="D99" s="85">
        <v>1.6127004262753934E-4</v>
      </c>
    </row>
    <row r="100" spans="2:4">
      <c r="B100" s="533">
        <v>44006</v>
      </c>
      <c r="C100" s="85">
        <v>3.9188685360617363E-2</v>
      </c>
      <c r="D100" s="85">
        <v>1.8097195465852182E-4</v>
      </c>
    </row>
    <row r="101" spans="2:4">
      <c r="B101" s="533">
        <v>44007</v>
      </c>
      <c r="C101" s="85">
        <v>3.787598202488255E-2</v>
      </c>
      <c r="D101" s="85">
        <v>1.9629164488205113E-4</v>
      </c>
    </row>
    <row r="102" spans="2:4">
      <c r="B102" s="533">
        <v>44008</v>
      </c>
      <c r="C102" s="85">
        <v>3.8197360333396026E-2</v>
      </c>
      <c r="D102" s="85">
        <v>2.0819872977954004E-4</v>
      </c>
    </row>
    <row r="103" spans="2:4">
      <c r="B103" s="533">
        <v>44011</v>
      </c>
      <c r="C103" s="85">
        <v>4.0181606572735888E-2</v>
      </c>
      <c r="D103" s="85">
        <v>2.1725503922087532E-4</v>
      </c>
    </row>
    <row r="104" spans="2:4">
      <c r="B104" s="533">
        <v>44012</v>
      </c>
      <c r="C104" s="85">
        <v>4.0454968092287713E-2</v>
      </c>
      <c r="D104" s="85">
        <v>2.2380690964680171E-4</v>
      </c>
    </row>
    <row r="105" spans="2:4">
      <c r="B105" s="533">
        <v>44013</v>
      </c>
      <c r="C105" s="85">
        <v>4.0458385071981066E-2</v>
      </c>
      <c r="D105" s="85">
        <v>2.2807028148835335E-4</v>
      </c>
    </row>
    <row r="106" spans="2:4">
      <c r="B106" s="533">
        <v>44014</v>
      </c>
      <c r="C106" s="85">
        <v>4.0219798792292018E-2</v>
      </c>
      <c r="D106" s="85">
        <v>2.3017235616910916E-4</v>
      </c>
    </row>
    <row r="107" spans="2:4">
      <c r="B107" s="533">
        <v>44015</v>
      </c>
      <c r="C107" s="85">
        <v>3.9365880131332014E-2</v>
      </c>
      <c r="D107" s="85">
        <v>2.3017235616910913E-4</v>
      </c>
    </row>
    <row r="108" spans="2:4">
      <c r="B108" s="533">
        <v>44018</v>
      </c>
      <c r="C108" s="85">
        <v>3.776631594779923E-2</v>
      </c>
      <c r="D108" s="85">
        <v>2.280702814883533E-4</v>
      </c>
    </row>
    <row r="109" spans="2:4">
      <c r="B109" s="533">
        <v>44019</v>
      </c>
      <c r="C109" s="85">
        <v>3.9859197880662937E-2</v>
      </c>
      <c r="D109" s="85">
        <v>2.2380690964680174E-4</v>
      </c>
    </row>
    <row r="110" spans="2:4">
      <c r="B110" s="533">
        <v>44020</v>
      </c>
      <c r="C110" s="85">
        <v>4.0953961271849484E-2</v>
      </c>
      <c r="D110" s="85">
        <v>2.1725503922087532E-4</v>
      </c>
    </row>
    <row r="111" spans="2:4">
      <c r="B111" s="533">
        <v>44021</v>
      </c>
      <c r="C111" s="85">
        <v>3.9965372886747508E-2</v>
      </c>
      <c r="D111" s="85">
        <v>2.0819872977954009E-4</v>
      </c>
    </row>
    <row r="112" spans="2:4">
      <c r="B112" s="533">
        <v>44022</v>
      </c>
      <c r="C112" s="85">
        <v>3.9440447361865819E-2</v>
      </c>
      <c r="D112" s="85">
        <v>1.9629164488205118E-4</v>
      </c>
    </row>
    <row r="113" spans="2:4">
      <c r="B113" s="533">
        <v>44025</v>
      </c>
      <c r="C113" s="85">
        <v>3.7922760683645293E-2</v>
      </c>
      <c r="D113" s="85">
        <v>1.8097195465852187E-4</v>
      </c>
    </row>
    <row r="114" spans="2:4">
      <c r="B114" s="533">
        <v>44026</v>
      </c>
      <c r="C114" s="85">
        <v>3.6030198291587427E-2</v>
      </c>
      <c r="D114" s="85">
        <v>1.6127004262753936E-4</v>
      </c>
    </row>
    <row r="115" spans="2:4">
      <c r="B115" s="533">
        <v>44027</v>
      </c>
      <c r="C115" s="85">
        <v>3.6127749001615875E-2</v>
      </c>
      <c r="D115" s="85">
        <v>1.3528468013410862E-4</v>
      </c>
    </row>
    <row r="116" spans="2:4">
      <c r="B116" s="533">
        <v>44028</v>
      </c>
      <c r="C116" s="85">
        <v>3.5971257990705684E-2</v>
      </c>
      <c r="D116" s="85">
        <v>9.8145822441025578E-5</v>
      </c>
    </row>
    <row r="117" spans="2:4">
      <c r="B117" s="533">
        <v>44029</v>
      </c>
      <c r="C117" s="85">
        <v>3.6935658337790528E-2</v>
      </c>
      <c r="D117" s="85">
        <v>0</v>
      </c>
    </row>
    <row r="118" spans="2:4">
      <c r="B118" s="533">
        <v>44032</v>
      </c>
      <c r="C118" s="85">
        <v>3.9526843150350682E-2</v>
      </c>
      <c r="D118" s="85">
        <v>0</v>
      </c>
    </row>
    <row r="119" spans="2:4">
      <c r="B119" s="533">
        <v>44033</v>
      </c>
      <c r="C119" s="85">
        <v>4.0551398411287201E-2</v>
      </c>
      <c r="D119" s="85">
        <v>0</v>
      </c>
    </row>
    <row r="120" spans="2:4">
      <c r="B120" s="533">
        <v>44034</v>
      </c>
      <c r="C120" s="85">
        <v>4.0286863265168275E-2</v>
      </c>
      <c r="D120" s="85">
        <v>0</v>
      </c>
    </row>
    <row r="121" spans="2:4">
      <c r="B121" s="533">
        <v>44035</v>
      </c>
      <c r="C121" s="85">
        <v>4.0422777003747558E-2</v>
      </c>
      <c r="D121" s="85">
        <v>0</v>
      </c>
    </row>
    <row r="122" spans="2:4">
      <c r="B122" s="533">
        <v>44036</v>
      </c>
      <c r="C122" s="85">
        <v>4.1108393629226136E-2</v>
      </c>
      <c r="D122" s="85">
        <v>0</v>
      </c>
    </row>
    <row r="123" spans="2:4">
      <c r="B123" s="533">
        <v>44039</v>
      </c>
      <c r="C123" s="85">
        <v>4.0719602089154018E-2</v>
      </c>
      <c r="D123" s="85">
        <v>0</v>
      </c>
    </row>
    <row r="124" spans="2:4">
      <c r="B124" s="533">
        <v>44040</v>
      </c>
      <c r="C124" s="85">
        <v>3.8262919008535332E-2</v>
      </c>
      <c r="D124" s="85">
        <v>0</v>
      </c>
    </row>
    <row r="125" spans="2:4">
      <c r="B125" s="533">
        <v>44041</v>
      </c>
      <c r="C125" s="85">
        <v>3.7846711746696071E-2</v>
      </c>
      <c r="D125" s="85">
        <v>0</v>
      </c>
    </row>
    <row r="126" spans="2:4">
      <c r="B126" s="533">
        <v>44042</v>
      </c>
      <c r="C126" s="85">
        <v>3.8461776528100504E-2</v>
      </c>
      <c r="D126" s="85">
        <v>0</v>
      </c>
    </row>
    <row r="127" spans="2:4">
      <c r="B127" s="533">
        <v>44043</v>
      </c>
      <c r="C127" s="85">
        <v>3.8530820183481557E-2</v>
      </c>
      <c r="D127" s="85">
        <v>0</v>
      </c>
    </row>
    <row r="128" spans="2:4">
      <c r="B128" s="533">
        <v>44046</v>
      </c>
      <c r="C128" s="85">
        <v>3.9832705985119565E-2</v>
      </c>
      <c r="D128" s="85">
        <v>0</v>
      </c>
    </row>
    <row r="129" spans="2:4">
      <c r="B129" s="533">
        <v>44047</v>
      </c>
      <c r="C129" s="85">
        <v>3.9687570389055342E-2</v>
      </c>
      <c r="D129" s="85">
        <v>0</v>
      </c>
    </row>
    <row r="130" spans="2:4">
      <c r="B130" s="533">
        <v>44048</v>
      </c>
      <c r="C130" s="85">
        <v>3.81042012611141E-2</v>
      </c>
      <c r="D130" s="85">
        <v>0</v>
      </c>
    </row>
    <row r="131" spans="2:4">
      <c r="B131" s="533">
        <v>44049</v>
      </c>
      <c r="C131" s="85">
        <v>3.8212541635280886E-2</v>
      </c>
      <c r="D131" s="85">
        <v>0</v>
      </c>
    </row>
    <row r="132" spans="2:4">
      <c r="B132" s="533">
        <v>44050</v>
      </c>
      <c r="C132" s="85">
        <v>3.777784774520012E-2</v>
      </c>
      <c r="D132" s="85">
        <v>3.287483668000706E-5</v>
      </c>
    </row>
    <row r="133" spans="2:4">
      <c r="B133" s="533">
        <v>44053</v>
      </c>
      <c r="C133" s="85">
        <v>3.9027608182875859E-2</v>
      </c>
      <c r="D133" s="85">
        <v>4.5314835151422119E-5</v>
      </c>
    </row>
    <row r="134" spans="2:4">
      <c r="B134" s="533">
        <v>44054</v>
      </c>
      <c r="C134" s="85">
        <v>3.8797037089826902E-2</v>
      </c>
      <c r="D134" s="85">
        <v>5.4018868871814331E-5</v>
      </c>
    </row>
    <row r="135" spans="2:4">
      <c r="B135" s="533">
        <v>44055</v>
      </c>
      <c r="C135" s="85">
        <v>3.9504825283068312E-2</v>
      </c>
      <c r="D135" s="85">
        <v>6.0618203659513598E-5</v>
      </c>
    </row>
    <row r="136" spans="2:4">
      <c r="B136" s="533">
        <v>44056</v>
      </c>
      <c r="C136" s="85">
        <v>3.9020552676952355E-2</v>
      </c>
      <c r="D136" s="85">
        <v>6.574967336001412E-5</v>
      </c>
    </row>
    <row r="137" spans="2:4">
      <c r="B137" s="533">
        <v>44057</v>
      </c>
      <c r="C137" s="85">
        <v>3.9129294484776714E-2</v>
      </c>
      <c r="D137" s="85">
        <v>6.9738059840499704E-5</v>
      </c>
    </row>
    <row r="138" spans="2:4">
      <c r="B138" s="533">
        <v>44060</v>
      </c>
      <c r="C138" s="85">
        <v>3.7733896259219551E-2</v>
      </c>
      <c r="D138" s="85">
        <v>7.2771553130409231E-5</v>
      </c>
    </row>
    <row r="139" spans="2:4">
      <c r="B139" s="533">
        <v>44061</v>
      </c>
      <c r="C139" s="85">
        <v>3.4662546387229556E-2</v>
      </c>
      <c r="D139" s="85">
        <v>7.4966161773383575E-5</v>
      </c>
    </row>
    <row r="140" spans="2:4">
      <c r="B140" s="533">
        <v>44062</v>
      </c>
      <c r="C140" s="85">
        <v>3.6568190540711906E-2</v>
      </c>
      <c r="D140" s="85">
        <v>7.6394216982573633E-5</v>
      </c>
    </row>
    <row r="141" spans="2:4">
      <c r="B141" s="533">
        <v>44063</v>
      </c>
      <c r="C141" s="85">
        <v>3.7617185712976509E-2</v>
      </c>
      <c r="D141" s="85">
        <v>7.7098326032763219E-5</v>
      </c>
    </row>
    <row r="142" spans="2:4">
      <c r="B142" s="533">
        <v>44064</v>
      </c>
      <c r="C142" s="85">
        <v>3.7678207128993925E-2</v>
      </c>
      <c r="D142" s="85">
        <v>7.7098326032763232E-5</v>
      </c>
    </row>
    <row r="143" spans="2:4">
      <c r="B143" s="533">
        <v>44067</v>
      </c>
      <c r="C143" s="85">
        <v>3.5704391614848126E-2</v>
      </c>
      <c r="D143" s="85">
        <v>7.6394216982573633E-5</v>
      </c>
    </row>
    <row r="144" spans="2:4">
      <c r="B144" s="533">
        <v>44068</v>
      </c>
      <c r="C144" s="85">
        <v>3.5766407486481376E-2</v>
      </c>
      <c r="D144" s="85">
        <v>7.4966161773383548E-5</v>
      </c>
    </row>
    <row r="145" spans="2:4">
      <c r="B145" s="533">
        <v>44069</v>
      </c>
      <c r="C145" s="85">
        <v>3.4096620220579701E-2</v>
      </c>
      <c r="D145" s="85">
        <v>7.2771553130409204E-5</v>
      </c>
    </row>
    <row r="146" spans="2:4">
      <c r="B146" s="533">
        <v>44070</v>
      </c>
      <c r="C146" s="85">
        <v>3.4271827840393995E-2</v>
      </c>
      <c r="D146" s="85">
        <v>6.9738059840499691E-5</v>
      </c>
    </row>
    <row r="147" spans="2:4">
      <c r="B147" s="533">
        <v>44071</v>
      </c>
      <c r="C147" s="85">
        <v>3.2827401113458513E-2</v>
      </c>
      <c r="D147" s="85">
        <v>6.574967336001412E-5</v>
      </c>
    </row>
    <row r="148" spans="2:4">
      <c r="B148" s="533">
        <v>44074</v>
      </c>
      <c r="C148" s="85">
        <v>3.3768001073934836E-2</v>
      </c>
      <c r="D148" s="85">
        <v>6.0618203659513639E-5</v>
      </c>
    </row>
    <row r="149" spans="2:4">
      <c r="B149" s="533">
        <v>44075</v>
      </c>
      <c r="C149" s="85">
        <v>3.5231493803249421E-2</v>
      </c>
      <c r="D149" s="85">
        <v>5.4018868871814331E-5</v>
      </c>
    </row>
    <row r="150" spans="2:4">
      <c r="B150" s="533">
        <v>44076</v>
      </c>
      <c r="C150" s="85">
        <v>3.7504190261046053E-2</v>
      </c>
      <c r="D150" s="85">
        <v>4.5314835151422099E-5</v>
      </c>
    </row>
    <row r="151" spans="2:4">
      <c r="B151" s="533">
        <v>44077</v>
      </c>
      <c r="C151" s="85">
        <v>3.6877892727712171E-2</v>
      </c>
      <c r="D151" s="85">
        <v>3.287483668000708E-5</v>
      </c>
    </row>
    <row r="152" spans="2:4">
      <c r="B152" s="533">
        <v>44078</v>
      </c>
      <c r="C152" s="85">
        <v>3.8726316533659932E-2</v>
      </c>
      <c r="D152" s="85">
        <v>0</v>
      </c>
    </row>
    <row r="153" spans="2:4">
      <c r="B153" s="533">
        <v>44082</v>
      </c>
      <c r="C153" s="85">
        <v>3.702961517717298E-2</v>
      </c>
      <c r="D153" s="85">
        <v>0</v>
      </c>
    </row>
    <row r="154" spans="2:4">
      <c r="B154" s="533">
        <v>44083</v>
      </c>
      <c r="C154" s="85">
        <v>3.8346074225946117E-2</v>
      </c>
      <c r="D154" s="85">
        <v>0</v>
      </c>
    </row>
    <row r="155" spans="2:4">
      <c r="B155" s="533">
        <v>44084</v>
      </c>
      <c r="C155" s="85">
        <v>3.9508743397139598E-2</v>
      </c>
      <c r="D155" s="85">
        <v>0</v>
      </c>
    </row>
    <row r="156" spans="2:4">
      <c r="B156" s="533">
        <v>44085</v>
      </c>
      <c r="C156" s="85">
        <v>4.1088673229950294E-2</v>
      </c>
      <c r="D156" s="85">
        <v>0</v>
      </c>
    </row>
    <row r="157" spans="2:4">
      <c r="B157" s="533">
        <v>44088</v>
      </c>
      <c r="C157" s="85">
        <v>4.1024024872582922E-2</v>
      </c>
      <c r="D157" s="85">
        <v>0</v>
      </c>
    </row>
    <row r="158" spans="2:4">
      <c r="B158" s="533">
        <v>44089</v>
      </c>
      <c r="C158" s="85">
        <v>4.2710251174329514E-2</v>
      </c>
      <c r="D158" s="85">
        <v>0</v>
      </c>
    </row>
    <row r="159" spans="2:4">
      <c r="B159" s="533">
        <v>44090</v>
      </c>
      <c r="C159" s="85">
        <v>4.2382543763679663E-2</v>
      </c>
      <c r="D159" s="85">
        <v>0</v>
      </c>
    </row>
    <row r="160" spans="2:4">
      <c r="B160" s="533">
        <v>44091</v>
      </c>
      <c r="C160" s="85">
        <v>4.2249228067511739E-2</v>
      </c>
      <c r="D160" s="85">
        <v>0</v>
      </c>
    </row>
    <row r="161" spans="2:4">
      <c r="B161" s="533">
        <v>44092</v>
      </c>
      <c r="C161" s="85">
        <v>3.8454976318497279E-2</v>
      </c>
      <c r="D161" s="85">
        <v>0</v>
      </c>
    </row>
    <row r="162" spans="2:4">
      <c r="B162" s="533">
        <v>44095</v>
      </c>
      <c r="C162" s="85">
        <v>3.8990602344540243E-2</v>
      </c>
      <c r="D162" s="85">
        <v>0</v>
      </c>
    </row>
    <row r="163" spans="2:4">
      <c r="B163" s="533">
        <v>44096</v>
      </c>
      <c r="C163" s="85">
        <v>4.0585389703137041E-2</v>
      </c>
      <c r="D163" s="85">
        <v>0</v>
      </c>
    </row>
    <row r="164" spans="2:4">
      <c r="B164" s="533">
        <v>44097</v>
      </c>
      <c r="C164" s="85">
        <v>4.0980009984999705E-2</v>
      </c>
      <c r="D164" s="85">
        <v>0</v>
      </c>
    </row>
    <row r="165" spans="2:4">
      <c r="B165" s="533">
        <v>44098</v>
      </c>
      <c r="C165" s="85">
        <v>4.1314392101336195E-2</v>
      </c>
      <c r="D165" s="85">
        <v>0</v>
      </c>
    </row>
    <row r="166" spans="2:4">
      <c r="B166" s="533">
        <v>44099</v>
      </c>
      <c r="C166" s="85">
        <v>4.1778193124103455E-2</v>
      </c>
      <c r="D166" s="85">
        <v>0</v>
      </c>
    </row>
    <row r="167" spans="2:4">
      <c r="B167" s="533">
        <v>44102</v>
      </c>
      <c r="C167" s="85">
        <v>4.1951508454300707E-2</v>
      </c>
      <c r="D167" s="85">
        <v>0</v>
      </c>
    </row>
    <row r="168" spans="2:4">
      <c r="B168" s="533">
        <v>44103</v>
      </c>
      <c r="C168" s="85">
        <v>4.2883835101210563E-2</v>
      </c>
      <c r="D168" s="85">
        <v>0</v>
      </c>
    </row>
    <row r="169" spans="2:4">
      <c r="B169" s="533">
        <v>44104</v>
      </c>
      <c r="C169" s="85">
        <v>4.1484016883861691E-2</v>
      </c>
      <c r="D169" s="85">
        <v>0</v>
      </c>
    </row>
    <row r="170" spans="2:4">
      <c r="B170" s="533">
        <v>44105</v>
      </c>
      <c r="C170" s="85">
        <v>4.1451825006843572E-2</v>
      </c>
      <c r="D170" s="85">
        <v>0</v>
      </c>
    </row>
    <row r="171" spans="2:4">
      <c r="B171" s="533">
        <v>44106</v>
      </c>
      <c r="C171" s="85">
        <v>3.937333051535738E-2</v>
      </c>
      <c r="D171" s="85">
        <v>0</v>
      </c>
    </row>
    <row r="172" spans="2:4">
      <c r="B172" s="533">
        <v>44109</v>
      </c>
      <c r="C172" s="85">
        <v>4.0108080998042667E-2</v>
      </c>
      <c r="D172" s="85">
        <v>0</v>
      </c>
    </row>
    <row r="173" spans="2:4">
      <c r="B173" s="533">
        <v>44110</v>
      </c>
      <c r="C173" s="85">
        <v>3.9927283054908551E-2</v>
      </c>
      <c r="D173" s="85">
        <v>0</v>
      </c>
    </row>
    <row r="174" spans="2:4">
      <c r="B174" s="533">
        <v>44111</v>
      </c>
      <c r="C174" s="85">
        <v>3.9822617682574543E-2</v>
      </c>
      <c r="D174" s="85">
        <v>0</v>
      </c>
    </row>
    <row r="175" spans="2:4">
      <c r="B175" s="533">
        <v>44112</v>
      </c>
      <c r="C175" s="85">
        <v>3.8340078632439184E-2</v>
      </c>
      <c r="D175" s="85">
        <v>0</v>
      </c>
    </row>
    <row r="176" spans="2:4">
      <c r="B176" s="533">
        <v>44113</v>
      </c>
      <c r="C176" s="85">
        <v>3.909314685842484E-2</v>
      </c>
      <c r="D176" s="85">
        <v>0</v>
      </c>
    </row>
    <row r="177" spans="2:4">
      <c r="B177" s="533">
        <v>44117</v>
      </c>
      <c r="C177" s="85">
        <v>3.6282817211679912E-2</v>
      </c>
      <c r="D177" s="85">
        <v>0</v>
      </c>
    </row>
    <row r="178" spans="2:4">
      <c r="B178" s="533">
        <v>44118</v>
      </c>
      <c r="C178" s="85">
        <v>3.7113130137231713E-2</v>
      </c>
      <c r="D178" s="85">
        <v>0</v>
      </c>
    </row>
    <row r="179" spans="2:4">
      <c r="B179" s="533">
        <v>44119</v>
      </c>
      <c r="C179" s="85">
        <v>3.4984783703628043E-2</v>
      </c>
      <c r="D179" s="85">
        <v>0</v>
      </c>
    </row>
    <row r="180" spans="2:4">
      <c r="B180" s="533">
        <v>44120</v>
      </c>
      <c r="C180" s="85">
        <v>3.5025414491542256E-2</v>
      </c>
      <c r="D180" s="85">
        <v>0</v>
      </c>
    </row>
    <row r="181" spans="2:4">
      <c r="B181" s="533">
        <v>44123</v>
      </c>
      <c r="C181" s="85">
        <v>3.4681273217403323E-2</v>
      </c>
      <c r="D181" s="85">
        <v>0</v>
      </c>
    </row>
    <row r="182" spans="2:4">
      <c r="B182" s="533">
        <v>44124</v>
      </c>
      <c r="C182" s="85">
        <v>3.4722114688476712E-2</v>
      </c>
      <c r="D182" s="85">
        <v>0</v>
      </c>
    </row>
    <row r="183" spans="2:4">
      <c r="B183" s="533">
        <v>44125</v>
      </c>
      <c r="C183" s="85">
        <v>3.5076150205304905E-2</v>
      </c>
      <c r="D183" s="85">
        <v>0</v>
      </c>
    </row>
    <row r="184" spans="2:4">
      <c r="B184" s="533">
        <v>44126</v>
      </c>
      <c r="C184" s="85">
        <v>3.2052093967419364E-2</v>
      </c>
      <c r="D184" s="85">
        <v>0</v>
      </c>
    </row>
    <row r="185" spans="2:4">
      <c r="B185" s="533">
        <v>44127</v>
      </c>
      <c r="C185" s="85">
        <v>3.2022655267868377E-2</v>
      </c>
      <c r="D185" s="85">
        <v>0</v>
      </c>
    </row>
    <row r="186" spans="2:4">
      <c r="B186" s="533">
        <v>44130</v>
      </c>
      <c r="C186" s="85">
        <v>2.9463144997325393E-2</v>
      </c>
      <c r="D186" s="85">
        <v>0</v>
      </c>
    </row>
    <row r="187" spans="2:4">
      <c r="B187" s="533">
        <v>44131</v>
      </c>
      <c r="C187" s="85">
        <v>3.0448621407964106E-2</v>
      </c>
      <c r="D187" s="85">
        <v>0</v>
      </c>
    </row>
    <row r="188" spans="2:4">
      <c r="B188" s="533">
        <v>44132</v>
      </c>
      <c r="C188" s="85">
        <v>3.1315513032078267E-2</v>
      </c>
      <c r="D188" s="85">
        <v>0</v>
      </c>
    </row>
    <row r="189" spans="2:4">
      <c r="B189" s="533">
        <v>44133</v>
      </c>
      <c r="C189" s="85">
        <v>3.9421274145020294E-2</v>
      </c>
      <c r="D189" s="85">
        <v>0</v>
      </c>
    </row>
    <row r="190" spans="2:4">
      <c r="B190" s="533">
        <v>44134</v>
      </c>
      <c r="C190" s="85">
        <v>3.9976325990448265E-2</v>
      </c>
      <c r="D190" s="85">
        <v>0</v>
      </c>
    </row>
    <row r="191" spans="2:4">
      <c r="B191" s="533">
        <v>44138</v>
      </c>
      <c r="C191" s="85">
        <v>4.3008795229954849E-2</v>
      </c>
      <c r="D191" s="85">
        <v>0</v>
      </c>
    </row>
    <row r="192" spans="2:4">
      <c r="B192" s="533">
        <v>44139</v>
      </c>
      <c r="C192" s="85">
        <v>4.4702938332779767E-2</v>
      </c>
      <c r="D192" s="85">
        <v>0</v>
      </c>
    </row>
    <row r="193" spans="2:4">
      <c r="B193" s="533">
        <v>44140</v>
      </c>
      <c r="C193" s="85">
        <v>4.4765692837304527E-2</v>
      </c>
      <c r="D193" s="85">
        <v>0</v>
      </c>
    </row>
    <row r="194" spans="2:4">
      <c r="B194" s="533">
        <v>44141</v>
      </c>
      <c r="C194" s="85">
        <v>4.8191282191579712E-2</v>
      </c>
      <c r="D194" s="85">
        <v>0</v>
      </c>
    </row>
    <row r="195" spans="2:4">
      <c r="B195" s="533">
        <v>44144</v>
      </c>
      <c r="C195" s="85">
        <v>4.7876189032183117E-2</v>
      </c>
      <c r="D195" s="85">
        <v>0</v>
      </c>
    </row>
    <row r="196" spans="2:4">
      <c r="B196" s="533">
        <v>44145</v>
      </c>
      <c r="C196" s="85">
        <v>4.838304464184736E-2</v>
      </c>
      <c r="D196" s="85">
        <v>0</v>
      </c>
    </row>
    <row r="197" spans="2:4">
      <c r="B197" s="533">
        <v>44146</v>
      </c>
      <c r="C197" s="85">
        <v>4.7549798605639335E-2</v>
      </c>
      <c r="D197" s="85">
        <v>0</v>
      </c>
    </row>
    <row r="198" spans="2:4">
      <c r="B198" s="533">
        <v>44147</v>
      </c>
      <c r="C198" s="85">
        <v>4.7648964472713697E-2</v>
      </c>
      <c r="D198" s="85">
        <v>0</v>
      </c>
    </row>
    <row r="199" spans="2:4">
      <c r="B199" s="533">
        <v>44148</v>
      </c>
      <c r="C199" s="85">
        <v>5.0201694400763476E-2</v>
      </c>
      <c r="D199" s="85">
        <v>0</v>
      </c>
    </row>
    <row r="200" spans="2:4">
      <c r="B200" s="533">
        <v>44151</v>
      </c>
      <c r="C200" s="85">
        <v>5.1607814985486326E-2</v>
      </c>
      <c r="D200" s="85">
        <v>0</v>
      </c>
    </row>
    <row r="201" spans="2:4">
      <c r="B201" s="533">
        <v>44152</v>
      </c>
      <c r="C201" s="85">
        <v>5.1983516374462052E-2</v>
      </c>
      <c r="D201" s="85">
        <v>0</v>
      </c>
    </row>
    <row r="202" spans="2:4">
      <c r="B202" s="533">
        <v>44153</v>
      </c>
      <c r="C202" s="85">
        <v>5.19050247915534E-2</v>
      </c>
      <c r="D202" s="85">
        <v>0</v>
      </c>
    </row>
    <row r="203" spans="2:4">
      <c r="B203" s="533">
        <v>44154</v>
      </c>
      <c r="C203" s="85">
        <v>5.2638310994247581E-2</v>
      </c>
      <c r="D203" s="85">
        <v>0</v>
      </c>
    </row>
    <row r="204" spans="2:4">
      <c r="B204" s="533">
        <v>44155</v>
      </c>
      <c r="C204" s="85">
        <v>5.1430500462183795E-2</v>
      </c>
      <c r="D204" s="85">
        <v>0</v>
      </c>
    </row>
    <row r="205" spans="2:4">
      <c r="B205" s="533">
        <v>44158</v>
      </c>
      <c r="C205" s="85">
        <v>5.1420810575773052E-2</v>
      </c>
      <c r="D205" s="85">
        <v>0</v>
      </c>
    </row>
    <row r="206" spans="2:4">
      <c r="B206" s="533">
        <v>44159</v>
      </c>
      <c r="C206" s="85">
        <v>5.1966875744546052E-2</v>
      </c>
      <c r="D206" s="85">
        <v>0</v>
      </c>
    </row>
    <row r="207" spans="2:4">
      <c r="B207" s="533">
        <v>44160</v>
      </c>
      <c r="C207" s="85">
        <v>5.3569380348699569E-2</v>
      </c>
      <c r="D207" s="85">
        <v>0</v>
      </c>
    </row>
    <row r="208" spans="2:4">
      <c r="B208" s="533">
        <v>44161</v>
      </c>
      <c r="C208" s="85">
        <v>5.289443802166232E-2</v>
      </c>
      <c r="D208" s="85">
        <v>0</v>
      </c>
    </row>
    <row r="209" spans="2:4">
      <c r="B209" s="533">
        <v>44162</v>
      </c>
      <c r="C209" s="85">
        <v>5.2196176916035814E-2</v>
      </c>
      <c r="D209" s="85">
        <v>0</v>
      </c>
    </row>
    <row r="210" spans="2:4">
      <c r="B210" s="533">
        <v>44165</v>
      </c>
      <c r="C210" s="85">
        <v>4.3090765235841655E-2</v>
      </c>
      <c r="D210" s="85">
        <v>0</v>
      </c>
    </row>
    <row r="211" spans="2:4">
      <c r="B211" s="533">
        <v>44166</v>
      </c>
      <c r="C211" s="85">
        <v>4.4576452578342092E-2</v>
      </c>
      <c r="D211" s="85">
        <v>0</v>
      </c>
    </row>
    <row r="212" spans="2:4">
      <c r="B212" s="533">
        <v>44167</v>
      </c>
      <c r="C212" s="85">
        <v>4.0706417282135365E-2</v>
      </c>
      <c r="D212" s="85">
        <v>0</v>
      </c>
    </row>
    <row r="213" spans="2:4">
      <c r="B213" s="533">
        <v>44168</v>
      </c>
      <c r="C213" s="85">
        <v>3.9579835564440745E-2</v>
      </c>
      <c r="D213" s="85">
        <v>0</v>
      </c>
    </row>
    <row r="214" spans="2:4">
      <c r="B214" s="533">
        <v>44169</v>
      </c>
      <c r="C214" s="85">
        <v>3.854490903951277E-2</v>
      </c>
      <c r="D214" s="85">
        <v>0</v>
      </c>
    </row>
    <row r="215" spans="2:4">
      <c r="B215" s="533">
        <v>44172</v>
      </c>
      <c r="C215" s="85">
        <v>3.4422309389844336E-2</v>
      </c>
      <c r="D215" s="85">
        <v>0</v>
      </c>
    </row>
    <row r="216" spans="2:4">
      <c r="B216" s="533">
        <v>44173</v>
      </c>
      <c r="C216" s="85">
        <v>3.4939125402471592E-2</v>
      </c>
      <c r="D216" s="85">
        <v>0</v>
      </c>
    </row>
    <row r="217" spans="2:4">
      <c r="B217" s="533">
        <v>44174</v>
      </c>
      <c r="C217" s="85">
        <v>3.4295735226422229E-2</v>
      </c>
      <c r="D217" s="85">
        <v>0</v>
      </c>
    </row>
    <row r="218" spans="2:4">
      <c r="B218" s="533">
        <v>44175</v>
      </c>
      <c r="C218" s="85">
        <v>3.5132108637322926E-2</v>
      </c>
      <c r="D218" s="85">
        <v>0</v>
      </c>
    </row>
    <row r="219" spans="2:4">
      <c r="B219" s="533">
        <v>44176</v>
      </c>
      <c r="C219" s="85">
        <v>3.5469008547944277E-2</v>
      </c>
      <c r="D219" s="85">
        <v>0</v>
      </c>
    </row>
    <row r="220" spans="2:4">
      <c r="B220" s="533">
        <v>44179</v>
      </c>
      <c r="C220" s="85">
        <v>3.0151457684674692E-2</v>
      </c>
      <c r="D220" s="85">
        <v>0</v>
      </c>
    </row>
    <row r="221" spans="2:4">
      <c r="B221" s="533">
        <v>44180</v>
      </c>
      <c r="C221" s="85">
        <v>2.8868117117325207E-2</v>
      </c>
      <c r="D221" s="85">
        <v>0</v>
      </c>
    </row>
    <row r="222" spans="2:4">
      <c r="B222" s="533">
        <v>44181</v>
      </c>
      <c r="C222" s="85">
        <v>2.9651626647798527E-2</v>
      </c>
      <c r="D222" s="85">
        <v>0</v>
      </c>
    </row>
    <row r="223" spans="2:4">
      <c r="B223" s="533">
        <v>44182</v>
      </c>
      <c r="C223" s="85">
        <v>3.0068329721357475E-2</v>
      </c>
      <c r="D223" s="85">
        <v>0</v>
      </c>
    </row>
    <row r="224" spans="2:4">
      <c r="B224" s="533">
        <v>44183</v>
      </c>
      <c r="C224" s="85">
        <v>2.7927876160541147E-2</v>
      </c>
      <c r="D224" s="85">
        <v>0</v>
      </c>
    </row>
    <row r="225" spans="2:4">
      <c r="B225" s="533">
        <v>44186</v>
      </c>
      <c r="C225" s="85">
        <v>2.8368732665305634E-2</v>
      </c>
      <c r="D225" s="85">
        <v>0</v>
      </c>
    </row>
    <row r="226" spans="2:4">
      <c r="B226" s="533">
        <v>44187</v>
      </c>
      <c r="C226" s="85">
        <v>3.1897892967719201E-2</v>
      </c>
      <c r="D226" s="85">
        <v>0</v>
      </c>
    </row>
    <row r="227" spans="2:4">
      <c r="B227" s="533">
        <v>44188</v>
      </c>
      <c r="C227" s="85">
        <v>3.1307427905770811E-2</v>
      </c>
      <c r="D227" s="85">
        <v>0</v>
      </c>
    </row>
    <row r="228" spans="2:4">
      <c r="B228" s="533">
        <v>44189</v>
      </c>
      <c r="C228" s="85">
        <v>2.9835060851375581E-2</v>
      </c>
      <c r="D228" s="85">
        <v>0</v>
      </c>
    </row>
    <row r="229" spans="2:4">
      <c r="B229" s="533">
        <v>44193</v>
      </c>
      <c r="C229" s="85">
        <v>2.9964673204623815E-2</v>
      </c>
      <c r="D229" s="85">
        <v>0</v>
      </c>
    </row>
    <row r="230" spans="2:4">
      <c r="B230" s="533">
        <v>44194</v>
      </c>
      <c r="C230" s="85">
        <v>3.027953502007567E-2</v>
      </c>
      <c r="D230" s="85">
        <v>0</v>
      </c>
    </row>
    <row r="231" spans="2:4">
      <c r="B231" s="533">
        <v>44195</v>
      </c>
      <c r="C231" s="85">
        <v>3.0147574740485298E-2</v>
      </c>
      <c r="D231" s="85">
        <v>0</v>
      </c>
    </row>
    <row r="232" spans="2:4">
      <c r="B232" s="533">
        <v>44196</v>
      </c>
      <c r="C232" s="85">
        <v>2.7633497430956867E-2</v>
      </c>
      <c r="D232" s="85">
        <v>0</v>
      </c>
    </row>
    <row r="233" spans="2:4">
      <c r="B233" s="533">
        <v>44200</v>
      </c>
      <c r="C233" s="85">
        <v>2.5649979009883028E-2</v>
      </c>
      <c r="D233" s="85">
        <v>0</v>
      </c>
    </row>
    <row r="234" spans="2:4">
      <c r="B234" s="533">
        <v>44201</v>
      </c>
      <c r="C234" s="85">
        <v>2.5867478696186018E-2</v>
      </c>
      <c r="D234" s="85">
        <v>0</v>
      </c>
    </row>
    <row r="235" spans="2:4">
      <c r="B235" s="533">
        <v>44202</v>
      </c>
      <c r="C235" s="85">
        <v>2.6083813459966635E-2</v>
      </c>
      <c r="D235" s="85">
        <v>0</v>
      </c>
    </row>
    <row r="236" spans="2:4">
      <c r="B236" s="533">
        <v>44203</v>
      </c>
      <c r="C236" s="85">
        <v>2.5643448235906162E-2</v>
      </c>
      <c r="D236" s="85">
        <v>0</v>
      </c>
    </row>
    <row r="237" spans="2:4">
      <c r="B237" s="533">
        <v>44204</v>
      </c>
      <c r="C237" s="85">
        <v>2.8831533311775185E-2</v>
      </c>
      <c r="D237" s="85">
        <v>0</v>
      </c>
    </row>
    <row r="238" spans="2:4">
      <c r="B238" s="533">
        <v>44207</v>
      </c>
      <c r="C238" s="85">
        <v>3.1062939177826404E-2</v>
      </c>
      <c r="D238" s="85">
        <v>0</v>
      </c>
    </row>
    <row r="239" spans="2:4">
      <c r="B239" s="533">
        <v>44208</v>
      </c>
      <c r="C239" s="85">
        <v>3.2501616980855574E-2</v>
      </c>
      <c r="D239" s="85">
        <v>0</v>
      </c>
    </row>
    <row r="240" spans="2:4">
      <c r="B240" s="533">
        <v>44209</v>
      </c>
      <c r="C240" s="85">
        <v>3.2110159026634347E-2</v>
      </c>
      <c r="D240" s="85">
        <v>0</v>
      </c>
    </row>
    <row r="241" spans="2:4">
      <c r="B241" s="533">
        <v>44210</v>
      </c>
      <c r="C241" s="85">
        <v>3.4394326095705155E-2</v>
      </c>
      <c r="D241" s="85">
        <v>0</v>
      </c>
    </row>
    <row r="242" spans="2:4">
      <c r="B242" s="533">
        <v>44211</v>
      </c>
      <c r="C242" s="85">
        <v>3.4308302291156466E-2</v>
      </c>
      <c r="D242" s="85">
        <v>0</v>
      </c>
    </row>
    <row r="243" spans="2:4">
      <c r="B243" s="533">
        <v>44214</v>
      </c>
      <c r="C243" s="85">
        <v>3.6672031631199767E-2</v>
      </c>
      <c r="D243" s="85">
        <v>0</v>
      </c>
    </row>
    <row r="244" spans="2:4">
      <c r="B244" s="533">
        <v>44215</v>
      </c>
      <c r="C244" s="85">
        <v>3.6085624538843605E-2</v>
      </c>
      <c r="D244" s="85">
        <v>0</v>
      </c>
    </row>
    <row r="245" spans="2:4">
      <c r="B245" s="533">
        <v>44216</v>
      </c>
      <c r="C245" s="85">
        <v>3.584431769354577E-2</v>
      </c>
      <c r="D245" s="85">
        <v>0</v>
      </c>
    </row>
    <row r="246" spans="2:4">
      <c r="B246" s="533">
        <v>44217</v>
      </c>
      <c r="C246" s="85">
        <v>3.5737044649638249E-2</v>
      </c>
      <c r="D246" s="85">
        <v>0</v>
      </c>
    </row>
    <row r="247" spans="2:4">
      <c r="B247" s="533">
        <v>44218</v>
      </c>
      <c r="C247" s="85">
        <v>3.3430909218965403E-2</v>
      </c>
      <c r="D247" s="85">
        <v>0</v>
      </c>
    </row>
    <row r="248" spans="2:4">
      <c r="B248" s="533">
        <v>44221</v>
      </c>
      <c r="C248" s="85">
        <v>3.4478962069068468E-2</v>
      </c>
      <c r="D248" s="85">
        <v>0</v>
      </c>
    </row>
    <row r="249" spans="2:4">
      <c r="B249" s="533">
        <v>44222</v>
      </c>
      <c r="C249" s="85">
        <v>3.3268268919017081E-2</v>
      </c>
      <c r="D249" s="85">
        <v>0</v>
      </c>
    </row>
    <row r="250" spans="2:4">
      <c r="B250" s="533">
        <v>44223</v>
      </c>
      <c r="C250" s="85">
        <v>3.4370526462677381E-2</v>
      </c>
      <c r="D250" s="85">
        <v>0</v>
      </c>
    </row>
    <row r="251" spans="2:4">
      <c r="B251" s="533">
        <v>44224</v>
      </c>
      <c r="C251" s="85">
        <v>3.5797290469469223E-2</v>
      </c>
      <c r="D251" s="85">
        <v>0</v>
      </c>
    </row>
    <row r="252" spans="2:4">
      <c r="B252" s="533">
        <v>44225</v>
      </c>
      <c r="C252" s="85">
        <v>3.9020959329701801E-2</v>
      </c>
      <c r="D252" s="85">
        <v>0</v>
      </c>
    </row>
    <row r="253" spans="2:4">
      <c r="B253" s="533">
        <v>44228</v>
      </c>
      <c r="C253" s="85">
        <v>4.3314962324945271E-2</v>
      </c>
      <c r="D253" s="85">
        <v>0</v>
      </c>
    </row>
    <row r="254" spans="2:4">
      <c r="B254" s="533">
        <v>44229</v>
      </c>
      <c r="C254" s="85">
        <v>4.7628002726602947E-2</v>
      </c>
      <c r="D254" s="85">
        <v>0</v>
      </c>
    </row>
    <row r="255" spans="2:4">
      <c r="B255" s="533">
        <v>44230</v>
      </c>
      <c r="C255" s="85">
        <v>4.8331571829998046E-2</v>
      </c>
      <c r="D255" s="85">
        <v>0</v>
      </c>
    </row>
    <row r="256" spans="2:4">
      <c r="B256" s="533">
        <v>44231</v>
      </c>
      <c r="C256" s="85">
        <v>4.889710194998232E-2</v>
      </c>
      <c r="D256" s="85">
        <v>0</v>
      </c>
    </row>
    <row r="257" spans="2:4">
      <c r="B257" s="533">
        <v>44232</v>
      </c>
      <c r="C257" s="85">
        <v>4.8996602981967272E-2</v>
      </c>
      <c r="D257" s="85">
        <v>0</v>
      </c>
    </row>
    <row r="258" spans="2:4">
      <c r="B258" s="533">
        <v>44235</v>
      </c>
      <c r="C258" s="85">
        <v>4.7927244873014335E-2</v>
      </c>
      <c r="D258" s="85">
        <v>0</v>
      </c>
    </row>
    <row r="259" spans="2:4">
      <c r="B259" s="533">
        <v>44236</v>
      </c>
      <c r="C259" s="85">
        <v>4.5863399963422945E-2</v>
      </c>
      <c r="D259" s="85">
        <v>0</v>
      </c>
    </row>
    <row r="260" spans="2:4">
      <c r="B260" s="533">
        <v>44237</v>
      </c>
      <c r="C260" s="85">
        <v>4.4799704425486392E-2</v>
      </c>
      <c r="D260" s="85">
        <v>0</v>
      </c>
    </row>
    <row r="261" spans="2:4">
      <c r="B261" s="533">
        <v>44238</v>
      </c>
      <c r="C261" s="85">
        <v>4.5316823834868014E-2</v>
      </c>
      <c r="D261" s="85">
        <v>0</v>
      </c>
    </row>
    <row r="262" spans="2:4">
      <c r="B262" s="533">
        <v>44239</v>
      </c>
      <c r="C262" s="85">
        <v>4.4471945533253836E-2</v>
      </c>
      <c r="D262" s="85">
        <v>0</v>
      </c>
    </row>
    <row r="263" spans="2:4">
      <c r="B263" s="533">
        <v>44244</v>
      </c>
      <c r="C263" s="85">
        <v>4.4075412379533489E-2</v>
      </c>
      <c r="D263" s="85">
        <v>0</v>
      </c>
    </row>
    <row r="264" spans="2:4">
      <c r="B264" s="533">
        <v>44245</v>
      </c>
      <c r="C264" s="85">
        <v>4.2062916982823419E-2</v>
      </c>
      <c r="D264" s="85">
        <v>0</v>
      </c>
    </row>
    <row r="265" spans="2:4">
      <c r="B265" s="533">
        <v>44246</v>
      </c>
      <c r="C265" s="85">
        <v>4.2597491890156894E-2</v>
      </c>
      <c r="D265" s="85">
        <v>0</v>
      </c>
    </row>
    <row r="266" spans="2:4">
      <c r="B266" s="533">
        <v>44249</v>
      </c>
      <c r="C266" s="85">
        <v>4.2635663314409052E-2</v>
      </c>
      <c r="D266" s="85">
        <v>0</v>
      </c>
    </row>
    <row r="267" spans="2:4">
      <c r="B267" s="533">
        <v>44250</v>
      </c>
      <c r="C267" s="85">
        <v>4.9098273851717E-2</v>
      </c>
      <c r="D267" s="85">
        <v>0</v>
      </c>
    </row>
    <row r="268" spans="2:4">
      <c r="B268" s="533">
        <v>44251</v>
      </c>
      <c r="C268" s="85">
        <v>4.9518630554100496E-2</v>
      </c>
      <c r="D268" s="85">
        <v>0</v>
      </c>
    </row>
    <row r="269" spans="2:4">
      <c r="B269" s="533">
        <v>44252</v>
      </c>
      <c r="C269" s="85">
        <v>4.9041271870842618E-2</v>
      </c>
      <c r="D269" s="85">
        <v>0</v>
      </c>
    </row>
    <row r="270" spans="2:4">
      <c r="B270" s="533">
        <v>44253</v>
      </c>
      <c r="C270" s="85">
        <v>5.4051548836677371E-2</v>
      </c>
      <c r="D270" s="85">
        <v>0</v>
      </c>
    </row>
    <row r="271" spans="2:4">
      <c r="B271" s="533">
        <v>44256</v>
      </c>
      <c r="C271" s="85">
        <v>5.5843879280040629E-2</v>
      </c>
      <c r="D271" s="85">
        <v>0</v>
      </c>
    </row>
    <row r="272" spans="2:4">
      <c r="B272" s="533">
        <v>44257</v>
      </c>
      <c r="C272" s="85">
        <v>5.5336926079326394E-2</v>
      </c>
      <c r="D272" s="85">
        <v>0</v>
      </c>
    </row>
    <row r="273" spans="2:4">
      <c r="B273" s="533">
        <v>44258</v>
      </c>
      <c r="C273" s="85">
        <v>5.3281348410791088E-2</v>
      </c>
      <c r="D273" s="85">
        <v>0</v>
      </c>
    </row>
    <row r="274" spans="2:4">
      <c r="B274" s="533">
        <v>44259</v>
      </c>
      <c r="C274" s="85">
        <v>4.963934105133691E-2</v>
      </c>
      <c r="D274" s="85">
        <v>0</v>
      </c>
    </row>
    <row r="275" spans="2:4">
      <c r="B275" s="533">
        <v>44260</v>
      </c>
      <c r="C275" s="85">
        <v>4.5983737203424496E-2</v>
      </c>
      <c r="D275" s="85">
        <v>0</v>
      </c>
    </row>
    <row r="276" spans="2:4">
      <c r="B276" s="533">
        <v>44263</v>
      </c>
      <c r="C276" s="85">
        <v>4.7798334719393744E-2</v>
      </c>
      <c r="D276" s="85">
        <v>0</v>
      </c>
    </row>
    <row r="277" spans="2:4">
      <c r="B277" s="533">
        <v>44264</v>
      </c>
      <c r="C277" s="85">
        <v>5.2674042170122851E-2</v>
      </c>
      <c r="D277" s="85">
        <v>0</v>
      </c>
    </row>
    <row r="278" spans="2:4">
      <c r="B278" s="533">
        <v>44265</v>
      </c>
      <c r="C278" s="85">
        <v>5.2244280692864027E-2</v>
      </c>
      <c r="D278" s="85">
        <v>0</v>
      </c>
    </row>
    <row r="279" spans="2:4">
      <c r="B279" s="533">
        <v>44266</v>
      </c>
      <c r="C279" s="85">
        <v>5.0202992427241966E-2</v>
      </c>
      <c r="D279" s="85">
        <v>0</v>
      </c>
    </row>
    <row r="280" spans="2:4">
      <c r="B280" s="533">
        <v>44267</v>
      </c>
      <c r="C280" s="85">
        <v>5.3280086342712842E-2</v>
      </c>
      <c r="D280" s="85">
        <v>0</v>
      </c>
    </row>
    <row r="281" spans="2:4">
      <c r="B281" s="533">
        <v>44270</v>
      </c>
      <c r="C281" s="85">
        <v>5.3306117064806834E-2</v>
      </c>
      <c r="D281" s="85">
        <v>0</v>
      </c>
    </row>
    <row r="282" spans="2:4">
      <c r="B282" s="533">
        <v>44271</v>
      </c>
      <c r="C282" s="85">
        <v>5.3127603970157609E-2</v>
      </c>
      <c r="D282" s="85">
        <v>0</v>
      </c>
    </row>
    <row r="283" spans="2:4">
      <c r="B283" s="533">
        <v>44272</v>
      </c>
      <c r="C283" s="85">
        <v>5.2721725155861182E-2</v>
      </c>
      <c r="D283" s="85">
        <v>0</v>
      </c>
    </row>
    <row r="284" spans="2:4">
      <c r="B284" s="533">
        <v>44273</v>
      </c>
      <c r="C284" s="85">
        <v>5.3863320775369719E-2</v>
      </c>
      <c r="D284" s="85">
        <v>0</v>
      </c>
    </row>
    <row r="285" spans="2:4">
      <c r="B285" s="533">
        <v>44274</v>
      </c>
      <c r="C285" s="85">
        <v>5.5090421625879502E-2</v>
      </c>
      <c r="D285" s="85">
        <v>9.8384778086191179E-5</v>
      </c>
    </row>
    <row r="286" spans="2:4">
      <c r="B286" s="533">
        <v>44277</v>
      </c>
      <c r="C286" s="85">
        <v>5.514195633715413E-2</v>
      </c>
      <c r="D286" s="85">
        <v>1.356140577603637E-4</v>
      </c>
    </row>
    <row r="287" spans="2:4">
      <c r="B287" s="533">
        <v>44278</v>
      </c>
      <c r="C287" s="85">
        <v>5.4939813586441441E-2</v>
      </c>
      <c r="D287" s="85">
        <v>1.6166268681884057E-4</v>
      </c>
    </row>
    <row r="288" spans="2:4">
      <c r="B288" s="533">
        <v>44279</v>
      </c>
      <c r="C288" s="85">
        <v>5.1346933611048237E-2</v>
      </c>
      <c r="D288" s="85">
        <v>1.814125670973069E-4</v>
      </c>
    </row>
    <row r="289" spans="2:4">
      <c r="B289" s="533">
        <v>44280</v>
      </c>
      <c r="C289" s="85">
        <v>5.0625101112812494E-2</v>
      </c>
      <c r="D289" s="85">
        <v>1.9676955617238236E-4</v>
      </c>
    </row>
    <row r="290" spans="2:4">
      <c r="B290" s="533">
        <v>44281</v>
      </c>
      <c r="C290" s="85">
        <v>5.1023171825716661E-2</v>
      </c>
      <c r="D290" s="85">
        <v>2.0870563125083828E-4</v>
      </c>
    </row>
    <row r="291" spans="2:4">
      <c r="B291" s="533">
        <v>44284</v>
      </c>
      <c r="C291" s="85">
        <v>4.8074865824220381E-2</v>
      </c>
      <c r="D291" s="85">
        <v>2.1778399008981009E-4</v>
      </c>
    </row>
    <row r="292" spans="2:4">
      <c r="B292" s="533">
        <v>44285</v>
      </c>
      <c r="C292" s="85">
        <v>4.538717217059883E-2</v>
      </c>
      <c r="D292" s="85">
        <v>2.2435181235541478E-4</v>
      </c>
    </row>
    <row r="293" spans="2:4">
      <c r="B293" s="533">
        <v>44286</v>
      </c>
      <c r="C293" s="85">
        <v>4.4702264247605976E-2</v>
      </c>
      <c r="D293" s="85">
        <v>2.2862556422887845E-4</v>
      </c>
    </row>
    <row r="294" spans="2:4">
      <c r="B294" s="533">
        <v>44287</v>
      </c>
      <c r="C294" s="85">
        <v>4.4711403383167231E-2</v>
      </c>
      <c r="D294" s="85">
        <v>2.3073275683110098E-4</v>
      </c>
    </row>
    <row r="295" spans="2:4">
      <c r="B295" s="533">
        <v>44291</v>
      </c>
      <c r="C295" s="85">
        <v>4.4422784512321838E-2</v>
      </c>
      <c r="D295" s="85">
        <v>2.3073275683110098E-4</v>
      </c>
    </row>
    <row r="296" spans="2:4">
      <c r="B296" s="533">
        <v>44292</v>
      </c>
      <c r="C296" s="85">
        <v>4.5117014336261675E-2</v>
      </c>
      <c r="D296" s="85">
        <v>2.2862556422887853E-4</v>
      </c>
    </row>
    <row r="297" spans="2:4">
      <c r="B297" s="533">
        <v>44293</v>
      </c>
      <c r="C297" s="85">
        <v>4.2420836106940446E-2</v>
      </c>
      <c r="D297" s="85">
        <v>2.243518123554147E-4</v>
      </c>
    </row>
    <row r="298" spans="2:4">
      <c r="B298" s="533">
        <v>44294</v>
      </c>
      <c r="C298" s="85">
        <v>3.4175457895487434E-2</v>
      </c>
      <c r="D298" s="85">
        <v>2.1778399008981006E-4</v>
      </c>
    </row>
    <row r="299" spans="2:4">
      <c r="B299" s="533">
        <v>44295</v>
      </c>
      <c r="C299" s="85">
        <v>3.4329336792222533E-2</v>
      </c>
      <c r="D299" s="85">
        <v>2.087056312508382E-4</v>
      </c>
    </row>
    <row r="300" spans="2:4">
      <c r="B300" s="533">
        <v>44298</v>
      </c>
      <c r="C300" s="85">
        <v>3.4366316706212867E-2</v>
      </c>
      <c r="D300" s="85">
        <v>1.9676955617238233E-4</v>
      </c>
    </row>
    <row r="301" spans="2:4">
      <c r="B301" s="533">
        <v>44299</v>
      </c>
      <c r="C301" s="85">
        <v>3.0645062803478239E-2</v>
      </c>
      <c r="D301" s="85">
        <v>1.8141256709730698E-4</v>
      </c>
    </row>
    <row r="302" spans="2:4">
      <c r="B302" s="533">
        <v>44300</v>
      </c>
      <c r="C302" s="85">
        <v>3.0547140461061405E-2</v>
      </c>
      <c r="D302" s="85">
        <v>1.6166268681884046E-4</v>
      </c>
    </row>
    <row r="303" spans="2:4">
      <c r="B303" s="533">
        <v>44301</v>
      </c>
      <c r="C303" s="85">
        <v>3.0605550308165912E-2</v>
      </c>
      <c r="D303" s="85">
        <v>1.3561405776036376E-4</v>
      </c>
    </row>
    <row r="304" spans="2:4">
      <c r="B304" s="533">
        <v>44302</v>
      </c>
      <c r="C304" s="85">
        <v>3.0534845700322999E-2</v>
      </c>
      <c r="D304" s="85">
        <v>9.8384778086191112E-5</v>
      </c>
    </row>
    <row r="305" spans="2:4">
      <c r="B305" s="533">
        <v>44305</v>
      </c>
      <c r="C305" s="85">
        <v>2.9111767957811136E-2</v>
      </c>
      <c r="D305" s="85">
        <v>0</v>
      </c>
    </row>
    <row r="306" spans="2:4">
      <c r="B306" s="533">
        <v>44306</v>
      </c>
      <c r="C306" s="85">
        <v>2.3257373780343565E-2</v>
      </c>
      <c r="D306" s="85">
        <v>0</v>
      </c>
    </row>
    <row r="307" spans="2:4">
      <c r="B307" s="533">
        <v>44308</v>
      </c>
      <c r="C307" s="85">
        <v>2.4980179469076828E-2</v>
      </c>
      <c r="D307" s="85">
        <v>0</v>
      </c>
    </row>
    <row r="308" spans="2:4">
      <c r="B308" s="533">
        <v>44309</v>
      </c>
      <c r="C308" s="85">
        <v>2.481924623171591E-2</v>
      </c>
      <c r="D308" s="85">
        <v>0</v>
      </c>
    </row>
    <row r="309" spans="2:4">
      <c r="B309" s="533">
        <v>44312</v>
      </c>
      <c r="C309" s="85">
        <v>2.2777462655837095E-2</v>
      </c>
      <c r="D309" s="85">
        <v>0</v>
      </c>
    </row>
    <row r="310" spans="2:4">
      <c r="B310" s="533">
        <v>44313</v>
      </c>
      <c r="C310" s="85">
        <v>2.0528694776595007E-2</v>
      </c>
      <c r="D310" s="85">
        <v>0</v>
      </c>
    </row>
    <row r="311" spans="2:4">
      <c r="B311" s="533">
        <v>44314</v>
      </c>
      <c r="C311" s="85">
        <v>2.0243979059912005E-2</v>
      </c>
      <c r="D311" s="85">
        <v>0</v>
      </c>
    </row>
    <row r="312" spans="2:4">
      <c r="B312" s="533">
        <v>44315</v>
      </c>
      <c r="C312" s="85">
        <v>1.8741490583035526E-2</v>
      </c>
      <c r="D312" s="85">
        <v>0</v>
      </c>
    </row>
    <row r="313" spans="2:4">
      <c r="B313" s="533">
        <v>44316</v>
      </c>
      <c r="C313" s="85">
        <v>1.8745423639037088E-2</v>
      </c>
      <c r="D313" s="85">
        <v>0</v>
      </c>
    </row>
    <row r="314" spans="2:4">
      <c r="B314" s="533">
        <v>44319</v>
      </c>
      <c r="C314" s="85">
        <v>1.8670058315038606E-2</v>
      </c>
      <c r="D314" s="85">
        <v>0</v>
      </c>
    </row>
    <row r="315" spans="2:4">
      <c r="B315" s="533">
        <v>44320</v>
      </c>
      <c r="C315" s="85">
        <v>1.8758843885744041E-2</v>
      </c>
      <c r="D315" s="85">
        <v>0</v>
      </c>
    </row>
    <row r="316" spans="2:4">
      <c r="B316" s="533">
        <v>44321</v>
      </c>
      <c r="C316" s="85">
        <v>1.9912077111947365E-2</v>
      </c>
      <c r="D316" s="85">
        <v>0</v>
      </c>
    </row>
    <row r="317" spans="2:4">
      <c r="B317" s="533">
        <v>44322</v>
      </c>
      <c r="C317" s="85">
        <v>1.8941836444796616E-2</v>
      </c>
      <c r="D317" s="85">
        <v>0</v>
      </c>
    </row>
    <row r="318" spans="2:4">
      <c r="B318" s="533">
        <v>44323</v>
      </c>
      <c r="C318" s="85">
        <v>1.900478790848065E-2</v>
      </c>
      <c r="D318" s="85">
        <v>9.7671383413077973E-5</v>
      </c>
    </row>
    <row r="319" spans="2:4">
      <c r="B319" s="533">
        <v>44326</v>
      </c>
      <c r="C319" s="85">
        <v>2.0457372715315895E-2</v>
      </c>
      <c r="D319" s="85">
        <v>1.346307110649963E-4</v>
      </c>
    </row>
    <row r="320" spans="2:4">
      <c r="B320" s="533">
        <v>44327</v>
      </c>
      <c r="C320" s="85">
        <v>2.110119705033333E-2</v>
      </c>
      <c r="D320" s="85">
        <v>1.604904597542362E-4</v>
      </c>
    </row>
    <row r="321" spans="2:4">
      <c r="B321" s="533">
        <v>44328</v>
      </c>
      <c r="C321" s="85">
        <v>2.120351707208713E-2</v>
      </c>
      <c r="D321" s="85">
        <v>1.8009713231643425E-4</v>
      </c>
    </row>
    <row r="322" spans="2:4">
      <c r="B322" s="533">
        <v>44329</v>
      </c>
      <c r="C322" s="85">
        <v>2.6145968546674184E-2</v>
      </c>
      <c r="D322" s="85">
        <v>1.9534276682615595E-4</v>
      </c>
    </row>
    <row r="323" spans="2:4">
      <c r="B323" s="533">
        <v>44330</v>
      </c>
      <c r="C323" s="85">
        <v>2.6049830278349943E-2</v>
      </c>
      <c r="D323" s="85">
        <v>2.0719229261777612E-4</v>
      </c>
    </row>
    <row r="324" spans="2:4">
      <c r="B324" s="533">
        <v>44333</v>
      </c>
      <c r="C324" s="85">
        <v>2.6583435704476809E-2</v>
      </c>
      <c r="D324" s="85">
        <v>2.1620482366344179E-4</v>
      </c>
    </row>
    <row r="325" spans="2:4">
      <c r="B325" s="533">
        <v>44334</v>
      </c>
      <c r="C325" s="85">
        <v>2.7519147034140615E-2</v>
      </c>
      <c r="D325" s="85">
        <v>2.2272502220605409E-4</v>
      </c>
    </row>
    <row r="326" spans="2:4">
      <c r="B326" s="533">
        <v>44335</v>
      </c>
      <c r="C326" s="85">
        <v>2.7287368039328682E-2</v>
      </c>
      <c r="D326" s="85">
        <v>2.2696778481593418E-4</v>
      </c>
    </row>
    <row r="327" spans="2:4">
      <c r="B327" s="533">
        <v>44336</v>
      </c>
      <c r="C327" s="85">
        <v>2.7624700866570484E-2</v>
      </c>
      <c r="D327" s="85">
        <v>2.2905969802222885E-4</v>
      </c>
    </row>
    <row r="328" spans="2:4">
      <c r="B328" s="533">
        <v>44337</v>
      </c>
      <c r="C328" s="85">
        <v>2.6826244129014486E-2</v>
      </c>
      <c r="D328" s="85">
        <v>2.2905969802222885E-4</v>
      </c>
    </row>
    <row r="329" spans="2:4">
      <c r="B329" s="533">
        <v>44340</v>
      </c>
      <c r="C329" s="85">
        <v>2.6570886258369078E-2</v>
      </c>
      <c r="D329" s="85">
        <v>2.2696778481593415E-4</v>
      </c>
    </row>
    <row r="330" spans="2:4">
      <c r="B330" s="533">
        <v>44341</v>
      </c>
      <c r="C330" s="85">
        <v>2.5596817291800834E-2</v>
      </c>
      <c r="D330" s="85">
        <v>2.2272502220605414E-4</v>
      </c>
    </row>
    <row r="331" spans="2:4">
      <c r="B331" s="533">
        <v>44342</v>
      </c>
      <c r="C331" s="85">
        <v>2.5840338133695222E-2</v>
      </c>
      <c r="D331" s="85">
        <v>2.1620482366344182E-4</v>
      </c>
    </row>
    <row r="332" spans="2:4">
      <c r="B332" s="533">
        <v>44343</v>
      </c>
      <c r="C332" s="85">
        <v>2.5914584740805754E-2</v>
      </c>
      <c r="D332" s="85">
        <v>2.0719229261777612E-4</v>
      </c>
    </row>
    <row r="333" spans="2:4">
      <c r="B333" s="533">
        <v>44344</v>
      </c>
      <c r="C333" s="85">
        <v>2.6114351663681559E-2</v>
      </c>
      <c r="D333" s="85">
        <v>1.9534276682615589E-4</v>
      </c>
    </row>
    <row r="334" spans="2:4">
      <c r="B334" s="533">
        <v>44347</v>
      </c>
      <c r="C334" s="85">
        <v>2.6536778078667327E-2</v>
      </c>
      <c r="D334" s="85">
        <v>1.8009713231643425E-4</v>
      </c>
    </row>
    <row r="335" spans="2:4">
      <c r="B335" s="533">
        <v>44348</v>
      </c>
      <c r="C335" s="85">
        <v>2.6307010739358865E-2</v>
      </c>
      <c r="D335" s="85">
        <v>1.6049045975423612E-4</v>
      </c>
    </row>
    <row r="336" spans="2:4">
      <c r="B336" s="533">
        <v>44349</v>
      </c>
      <c r="C336" s="85">
        <v>2.6396444886752305E-2</v>
      </c>
      <c r="D336" s="85">
        <v>1.3463071106499638E-4</v>
      </c>
    </row>
    <row r="337" spans="2:4">
      <c r="B337" s="533">
        <v>44351</v>
      </c>
      <c r="C337" s="85">
        <v>2.5314694176660889E-2</v>
      </c>
      <c r="D337" s="85">
        <v>9.7671383413077919E-5</v>
      </c>
    </row>
    <row r="338" spans="2:4">
      <c r="B338" s="533">
        <v>44354</v>
      </c>
      <c r="C338" s="85">
        <v>2.5045736443498934E-2</v>
      </c>
      <c r="D338" s="85">
        <v>0</v>
      </c>
    </row>
    <row r="339" spans="2:4">
      <c r="B339" s="533">
        <v>44355</v>
      </c>
      <c r="C339" s="85">
        <v>2.5167633455547778E-2</v>
      </c>
      <c r="D339" s="85">
        <v>0</v>
      </c>
    </row>
    <row r="340" spans="2:4">
      <c r="B340" s="533">
        <v>44356</v>
      </c>
      <c r="C340" s="85">
        <v>2.4693622291482364E-2</v>
      </c>
      <c r="D340" s="85">
        <v>0</v>
      </c>
    </row>
    <row r="341" spans="2:4">
      <c r="B341" s="533">
        <v>44357</v>
      </c>
      <c r="C341" s="85">
        <v>2.3776283239962937E-2</v>
      </c>
      <c r="D341" s="85">
        <v>0</v>
      </c>
    </row>
    <row r="342" spans="2:4">
      <c r="B342" s="533">
        <v>44358</v>
      </c>
      <c r="C342" s="85">
        <v>2.3730154206846252E-2</v>
      </c>
      <c r="D342" s="85">
        <v>0</v>
      </c>
    </row>
    <row r="343" spans="2:4">
      <c r="B343" s="533">
        <v>44361</v>
      </c>
      <c r="C343" s="85">
        <v>1.7292923637835227E-2</v>
      </c>
      <c r="D343" s="85">
        <v>0</v>
      </c>
    </row>
    <row r="344" spans="2:4">
      <c r="B344" s="533">
        <v>44362</v>
      </c>
      <c r="C344" s="85">
        <v>1.7286390686481579E-2</v>
      </c>
      <c r="D344" s="85">
        <v>0</v>
      </c>
    </row>
    <row r="345" spans="2:4">
      <c r="B345" s="533">
        <v>44363</v>
      </c>
      <c r="C345" s="85">
        <v>1.6860188621771972E-2</v>
      </c>
      <c r="D345" s="85">
        <v>0</v>
      </c>
    </row>
    <row r="346" spans="2:4">
      <c r="B346" s="533">
        <v>44364</v>
      </c>
      <c r="C346" s="85">
        <v>1.5940199484401292E-2</v>
      </c>
      <c r="D346" s="85">
        <v>0</v>
      </c>
    </row>
    <row r="347" spans="2:4">
      <c r="B347" s="533">
        <v>44365</v>
      </c>
      <c r="C347" s="85">
        <v>1.7807039599488067E-2</v>
      </c>
      <c r="D347" s="85">
        <v>9.6968280219231347E-5</v>
      </c>
    </row>
    <row r="348" spans="2:4">
      <c r="B348" s="533">
        <v>44368</v>
      </c>
      <c r="C348" s="85">
        <v>1.6910960358159657E-2</v>
      </c>
      <c r="D348" s="85">
        <v>1.3366155019482311E-4</v>
      </c>
    </row>
    <row r="349" spans="2:4">
      <c r="B349" s="533">
        <v>44369</v>
      </c>
      <c r="C349" s="85">
        <v>1.7641337005373865E-2</v>
      </c>
      <c r="D349" s="85">
        <v>1.5933514331566503E-4</v>
      </c>
    </row>
    <row r="350" spans="2:4">
      <c r="B350" s="533">
        <v>44370</v>
      </c>
      <c r="C350" s="85">
        <v>1.7687178121817401E-2</v>
      </c>
      <c r="D350" s="85">
        <v>1.7880067408568759E-4</v>
      </c>
    </row>
    <row r="351" spans="2:4">
      <c r="B351" s="533">
        <v>44371</v>
      </c>
      <c r="C351" s="85">
        <v>1.7096419023311344E-2</v>
      </c>
      <c r="D351" s="85">
        <v>1.9393656043846269E-4</v>
      </c>
    </row>
    <row r="352" spans="2:4">
      <c r="B352" s="533">
        <v>44372</v>
      </c>
      <c r="C352" s="85">
        <v>1.6592954630888695E-2</v>
      </c>
      <c r="D352" s="85">
        <v>2.0570078550904755E-4</v>
      </c>
    </row>
    <row r="353" spans="2:4">
      <c r="B353" s="533">
        <v>44375</v>
      </c>
      <c r="C353" s="85">
        <v>1.6736719414496545E-2</v>
      </c>
      <c r="D353" s="85">
        <v>2.1464843839755584E-4</v>
      </c>
    </row>
    <row r="354" spans="2:4">
      <c r="B354" s="533">
        <v>44376</v>
      </c>
      <c r="C354" s="85">
        <v>1.6273870414995725E-2</v>
      </c>
      <c r="D354" s="85">
        <v>2.2112170024018893E-4</v>
      </c>
    </row>
    <row r="355" spans="2:4">
      <c r="B355" s="533">
        <v>44377</v>
      </c>
      <c r="C355" s="85">
        <v>1.5719033224572174E-2</v>
      </c>
      <c r="D355" s="85">
        <v>2.2533392063967428E-4</v>
      </c>
    </row>
    <row r="356" spans="2:4">
      <c r="B356" s="533">
        <v>44378</v>
      </c>
      <c r="C356" s="85">
        <v>1.513138593560048E-2</v>
      </c>
      <c r="D356" s="85">
        <v>2.2741077487162866E-4</v>
      </c>
    </row>
    <row r="357" spans="2:4">
      <c r="B357" s="533">
        <v>44379</v>
      </c>
      <c r="C357" s="85">
        <v>1.4920315708339236E-2</v>
      </c>
      <c r="D357" s="85">
        <v>2.2741077487162858E-4</v>
      </c>
    </row>
    <row r="358" spans="2:4">
      <c r="B358" s="533">
        <v>44382</v>
      </c>
      <c r="C358" s="85">
        <v>1.6489638396202818E-2</v>
      </c>
      <c r="D358" s="85">
        <v>2.2533392063967428E-4</v>
      </c>
    </row>
    <row r="359" spans="2:4">
      <c r="B359" s="533">
        <v>44383</v>
      </c>
      <c r="C359" s="85">
        <v>1.6579006757617466E-2</v>
      </c>
      <c r="D359" s="85">
        <v>2.2112170024018884E-4</v>
      </c>
    </row>
    <row r="360" spans="2:4">
      <c r="B360" s="533">
        <v>44384</v>
      </c>
      <c r="C360" s="85">
        <v>2.0893563386929447E-2</v>
      </c>
      <c r="D360" s="85">
        <v>2.1464843839755579E-4</v>
      </c>
    </row>
    <row r="361" spans="2:4">
      <c r="B361" s="533">
        <v>44385</v>
      </c>
      <c r="C361" s="85">
        <v>2.0627987272273021E-2</v>
      </c>
      <c r="D361" s="85">
        <v>2.0570078550904758E-4</v>
      </c>
    </row>
    <row r="362" spans="2:4">
      <c r="B362" s="533">
        <v>44386</v>
      </c>
      <c r="C362" s="85">
        <v>2.4101104981804004E-2</v>
      </c>
      <c r="D362" s="85">
        <v>1.9393656043846269E-4</v>
      </c>
    </row>
    <row r="363" spans="2:4">
      <c r="B363" s="533">
        <v>44389</v>
      </c>
      <c r="C363" s="85">
        <v>2.4159636604765455E-2</v>
      </c>
      <c r="D363" s="85">
        <v>1.788006740856877E-4</v>
      </c>
    </row>
    <row r="364" spans="2:4">
      <c r="B364" s="533">
        <v>44390</v>
      </c>
      <c r="C364" s="85">
        <v>2.5643596426969648E-2</v>
      </c>
      <c r="D364" s="85">
        <v>1.5933514331566498E-4</v>
      </c>
    </row>
    <row r="365" spans="2:4">
      <c r="B365" s="533">
        <v>44391</v>
      </c>
      <c r="C365" s="85">
        <v>2.5710134722332925E-2</v>
      </c>
      <c r="D365" s="85">
        <v>1.3366155019482314E-4</v>
      </c>
    </row>
    <row r="366" spans="2:4">
      <c r="B366" s="533">
        <v>44392</v>
      </c>
      <c r="C366" s="85">
        <v>2.5696554474844736E-2</v>
      </c>
      <c r="D366" s="85">
        <v>9.6968280219231307E-5</v>
      </c>
    </row>
    <row r="367" spans="2:4">
      <c r="B367" s="533">
        <v>44393</v>
      </c>
      <c r="C367" s="85">
        <v>2.6077911729816525E-2</v>
      </c>
      <c r="D367" s="85">
        <v>0</v>
      </c>
    </row>
    <row r="368" spans="2:4">
      <c r="B368" s="533">
        <v>44396</v>
      </c>
      <c r="C368" s="85">
        <v>2.5233813681887273E-2</v>
      </c>
      <c r="D368" s="85">
        <v>0</v>
      </c>
    </row>
    <row r="369" spans="2:4">
      <c r="B369" s="533">
        <v>44397</v>
      </c>
      <c r="C369" s="85">
        <v>3.0635400834882642E-2</v>
      </c>
      <c r="D369" s="85">
        <v>0</v>
      </c>
    </row>
    <row r="370" spans="2:4">
      <c r="B370" s="533">
        <v>44398</v>
      </c>
      <c r="C370" s="85">
        <v>3.0398260478404195E-2</v>
      </c>
      <c r="D370" s="85">
        <v>0</v>
      </c>
    </row>
    <row r="371" spans="2:4">
      <c r="B371" s="533">
        <v>44399</v>
      </c>
      <c r="C371" s="85">
        <v>3.1356938404452896E-2</v>
      </c>
      <c r="D371" s="85">
        <v>0</v>
      </c>
    </row>
    <row r="372" spans="2:4">
      <c r="B372" s="533">
        <v>44400</v>
      </c>
      <c r="C372" s="85">
        <v>3.2229757594727577E-2</v>
      </c>
      <c r="D372" s="85">
        <v>0</v>
      </c>
    </row>
    <row r="373" spans="2:4">
      <c r="B373" s="533">
        <v>44403</v>
      </c>
      <c r="C373" s="85">
        <v>3.1999852657635615E-2</v>
      </c>
      <c r="D373" s="85">
        <v>0</v>
      </c>
    </row>
    <row r="374" spans="2:4">
      <c r="B374" s="533">
        <v>44404</v>
      </c>
      <c r="C374" s="85">
        <v>3.2224979055474161E-2</v>
      </c>
      <c r="D374" s="85">
        <v>0</v>
      </c>
    </row>
    <row r="375" spans="2:4">
      <c r="B375" s="533">
        <v>44405</v>
      </c>
      <c r="C375" s="85">
        <v>3.5003547345155636E-2</v>
      </c>
      <c r="D375" s="85">
        <v>0</v>
      </c>
    </row>
    <row r="376" spans="2:4">
      <c r="B376" s="533">
        <v>44406</v>
      </c>
      <c r="C376" s="85">
        <v>3.6567716796085274E-2</v>
      </c>
      <c r="D376" s="85">
        <v>0</v>
      </c>
    </row>
    <row r="377" spans="2:4">
      <c r="B377" s="533">
        <v>44407</v>
      </c>
      <c r="C377" s="85">
        <v>3.7056821606900089E-2</v>
      </c>
      <c r="D377" s="85">
        <v>0</v>
      </c>
    </row>
    <row r="378" spans="2:4">
      <c r="B378" s="533">
        <v>44410</v>
      </c>
      <c r="C378" s="85">
        <v>3.9504093752396573E-2</v>
      </c>
      <c r="D378" s="85">
        <v>0</v>
      </c>
    </row>
    <row r="379" spans="2:4">
      <c r="B379" s="533">
        <v>44411</v>
      </c>
      <c r="C379" s="85">
        <v>3.8463991911902543E-2</v>
      </c>
      <c r="D379" s="85">
        <v>0</v>
      </c>
    </row>
    <row r="380" spans="2:4">
      <c r="B380" s="533">
        <v>44412</v>
      </c>
      <c r="C380" s="85">
        <v>3.8709047037329553E-2</v>
      </c>
      <c r="D380" s="85">
        <v>0</v>
      </c>
    </row>
    <row r="381" spans="2:4">
      <c r="B381" s="533">
        <v>44413</v>
      </c>
      <c r="C381" s="85">
        <v>3.7362246001774596E-2</v>
      </c>
      <c r="D381" s="85">
        <v>0</v>
      </c>
    </row>
    <row r="382" spans="2:4">
      <c r="B382" s="533">
        <v>44414</v>
      </c>
      <c r="C382" s="85">
        <v>3.7430146485711926E-2</v>
      </c>
      <c r="D382" s="85">
        <v>1.2821469847325003E-4</v>
      </c>
    </row>
    <row r="383" spans="2:4">
      <c r="B383" s="533">
        <v>44417</v>
      </c>
      <c r="C383" s="85">
        <v>3.6108351026757066E-2</v>
      </c>
      <c r="D383" s="85">
        <v>1.7673176544898261E-4</v>
      </c>
    </row>
    <row r="384" spans="2:4">
      <c r="B384" s="533">
        <v>44418</v>
      </c>
      <c r="C384" s="85">
        <v>3.5999667506282633E-2</v>
      </c>
      <c r="D384" s="85">
        <v>2.1067824767256665E-4</v>
      </c>
    </row>
    <row r="385" spans="2:4">
      <c r="B385" s="533">
        <v>44419</v>
      </c>
      <c r="C385" s="85">
        <v>3.4788830679720974E-2</v>
      </c>
      <c r="D385" s="85">
        <v>2.3641622253050624E-4</v>
      </c>
    </row>
    <row r="386" spans="2:4">
      <c r="B386" s="533">
        <v>44420</v>
      </c>
      <c r="C386" s="85">
        <v>3.4343243114159462E-2</v>
      </c>
      <c r="D386" s="85">
        <v>2.5642939694650005E-4</v>
      </c>
    </row>
    <row r="387" spans="2:4">
      <c r="B387" s="533">
        <v>44421</v>
      </c>
      <c r="C387" s="85">
        <v>3.4554782334481851E-2</v>
      </c>
      <c r="D387" s="85">
        <v>2.7198444821467069E-4</v>
      </c>
    </row>
    <row r="388" spans="2:4">
      <c r="B388" s="533">
        <v>44424</v>
      </c>
      <c r="C388" s="85">
        <v>3.475953340340552E-2</v>
      </c>
      <c r="D388" s="85">
        <v>2.8381533368102837E-4</v>
      </c>
    </row>
    <row r="389" spans="2:4">
      <c r="B389" s="533">
        <v>44425</v>
      </c>
      <c r="C389" s="85">
        <v>3.8337224913923003E-2</v>
      </c>
      <c r="D389" s="85">
        <v>2.9237449667139127E-4</v>
      </c>
    </row>
    <row r="390" spans="2:4">
      <c r="B390" s="533">
        <v>44426</v>
      </c>
      <c r="C390" s="85">
        <v>3.6955441215907367E-2</v>
      </c>
      <c r="D390" s="85">
        <v>2.9794403515554169E-4</v>
      </c>
    </row>
    <row r="391" spans="2:4">
      <c r="B391" s="533">
        <v>44427</v>
      </c>
      <c r="C391" s="85">
        <v>3.6008488687783585E-2</v>
      </c>
      <c r="D391" s="85">
        <v>3.0069012117997051E-4</v>
      </c>
    </row>
    <row r="392" spans="2:4">
      <c r="B392" s="533">
        <v>44428</v>
      </c>
      <c r="C392" s="85">
        <v>3.5198793354377936E-2</v>
      </c>
      <c r="D392" s="85">
        <v>3.0069012117997057E-4</v>
      </c>
    </row>
    <row r="393" spans="2:4">
      <c r="B393" s="533">
        <v>44431</v>
      </c>
      <c r="C393" s="85">
        <v>3.4728805372492615E-2</v>
      </c>
      <c r="D393" s="85">
        <v>2.9794403515554175E-4</v>
      </c>
    </row>
    <row r="394" spans="2:4">
      <c r="B394" s="533">
        <v>44432</v>
      </c>
      <c r="C394" s="85">
        <v>3.4928704916216358E-2</v>
      </c>
      <c r="D394" s="85">
        <v>2.9237449667139127E-4</v>
      </c>
    </row>
    <row r="395" spans="2:4">
      <c r="B395" s="533">
        <v>44433</v>
      </c>
      <c r="C395" s="85">
        <v>3.7661680365760973E-2</v>
      </c>
      <c r="D395" s="85">
        <v>2.8381533368102837E-4</v>
      </c>
    </row>
    <row r="396" spans="2:4">
      <c r="B396" s="533">
        <v>44434</v>
      </c>
      <c r="C396" s="85">
        <v>3.5666050597461287E-2</v>
      </c>
      <c r="D396" s="85">
        <v>2.7198444821467074E-4</v>
      </c>
    </row>
    <row r="397" spans="2:4">
      <c r="B397" s="533">
        <v>44435</v>
      </c>
      <c r="C397" s="85">
        <v>3.5117882994158647E-2</v>
      </c>
      <c r="D397" s="85">
        <v>2.5642939694649989E-4</v>
      </c>
    </row>
    <row r="398" spans="2:4">
      <c r="B398" s="533">
        <v>44438</v>
      </c>
      <c r="C398" s="85">
        <v>3.6519582291844814E-2</v>
      </c>
      <c r="D398" s="85">
        <v>2.3641622253050618E-4</v>
      </c>
    </row>
    <row r="399" spans="2:4">
      <c r="B399" s="533">
        <v>44439</v>
      </c>
      <c r="C399" s="85">
        <v>3.377210172470297E-2</v>
      </c>
      <c r="D399" s="85">
        <v>2.1067824767256662E-4</v>
      </c>
    </row>
    <row r="400" spans="2:4">
      <c r="B400" s="533">
        <v>44440</v>
      </c>
      <c r="C400" s="85">
        <v>3.3933875761736579E-2</v>
      </c>
      <c r="D400" s="85">
        <v>1.7673176544898256E-4</v>
      </c>
    </row>
    <row r="401" spans="2:4">
      <c r="B401" s="533">
        <v>44441</v>
      </c>
      <c r="C401" s="85">
        <v>3.3936808389741904E-2</v>
      </c>
      <c r="D401" s="85">
        <v>1.2821469847325008E-4</v>
      </c>
    </row>
    <row r="402" spans="2:4">
      <c r="B402" s="533">
        <v>44442</v>
      </c>
      <c r="C402" s="85">
        <v>3.4401175376502641E-2</v>
      </c>
      <c r="D402" s="85">
        <v>0</v>
      </c>
    </row>
    <row r="403" spans="2:4">
      <c r="B403" s="533">
        <v>44445</v>
      </c>
      <c r="C403" s="85">
        <v>3.4262126777459802E-2</v>
      </c>
      <c r="D403" s="85">
        <v>0</v>
      </c>
    </row>
    <row r="404" spans="2:4">
      <c r="B404" s="533">
        <v>44447</v>
      </c>
      <c r="C404" s="85">
        <v>3.3934599468172365E-2</v>
      </c>
      <c r="D404" s="85">
        <v>0</v>
      </c>
    </row>
    <row r="405" spans="2:4">
      <c r="B405" s="533">
        <v>44448</v>
      </c>
      <c r="C405" s="85">
        <v>3.5645582114495679E-2</v>
      </c>
      <c r="D405" s="85">
        <v>0</v>
      </c>
    </row>
    <row r="406" spans="2:4">
      <c r="B406" s="533">
        <v>44449</v>
      </c>
      <c r="C406" s="85">
        <v>3.5868732523781692E-2</v>
      </c>
      <c r="D406" s="85">
        <v>0</v>
      </c>
    </row>
    <row r="407" spans="2:4">
      <c r="B407" s="533">
        <v>44452</v>
      </c>
      <c r="C407" s="85">
        <v>3.5865664224134036E-2</v>
      </c>
      <c r="D407" s="85">
        <v>0</v>
      </c>
    </row>
    <row r="408" spans="2:4">
      <c r="B408" s="533">
        <v>44453</v>
      </c>
      <c r="C408" s="85">
        <v>3.6453596770459784E-2</v>
      </c>
      <c r="D408" s="85">
        <v>0</v>
      </c>
    </row>
    <row r="409" spans="2:4">
      <c r="B409" s="533">
        <v>44454</v>
      </c>
      <c r="C409" s="85">
        <v>3.6078540847363477E-2</v>
      </c>
      <c r="D409" s="85">
        <v>0</v>
      </c>
    </row>
    <row r="410" spans="2:4">
      <c r="B410" s="533">
        <v>44455</v>
      </c>
      <c r="C410" s="85">
        <v>3.1527241827757888E-2</v>
      </c>
      <c r="D410" s="85">
        <v>0</v>
      </c>
    </row>
    <row r="411" spans="2:4">
      <c r="B411" s="533">
        <v>44456</v>
      </c>
      <c r="C411" s="85">
        <v>2.8236038396971946E-2</v>
      </c>
      <c r="D411" s="85">
        <v>0</v>
      </c>
    </row>
    <row r="412" spans="2:4">
      <c r="B412" s="533">
        <v>44459</v>
      </c>
      <c r="C412" s="85">
        <v>2.9205436517778988E-2</v>
      </c>
      <c r="D412" s="85">
        <v>0</v>
      </c>
    </row>
    <row r="413" spans="2:4">
      <c r="B413" s="533">
        <v>44460</v>
      </c>
      <c r="C413" s="85">
        <v>3.4559400494026664E-2</v>
      </c>
      <c r="D413" s="85">
        <v>0</v>
      </c>
    </row>
    <row r="414" spans="2:4">
      <c r="B414" s="533">
        <v>44461</v>
      </c>
      <c r="C414" s="85">
        <v>3.44180152057285E-2</v>
      </c>
      <c r="D414" s="85">
        <v>0</v>
      </c>
    </row>
    <row r="415" spans="2:4">
      <c r="B415" s="533">
        <v>44462</v>
      </c>
      <c r="C415" s="85">
        <v>3.6335152844484082E-2</v>
      </c>
      <c r="D415" s="85">
        <v>0</v>
      </c>
    </row>
    <row r="416" spans="2:4">
      <c r="B416" s="533">
        <v>44463</v>
      </c>
      <c r="C416" s="85">
        <v>3.7529054442968272E-2</v>
      </c>
      <c r="D416" s="85">
        <v>1.2700589366195108E-4</v>
      </c>
    </row>
    <row r="417" spans="2:4">
      <c r="B417" s="533">
        <v>44466</v>
      </c>
      <c r="C417" s="85">
        <v>3.6961168291144958E-2</v>
      </c>
      <c r="D417" s="85">
        <v>1.7506554300391204E-4</v>
      </c>
    </row>
    <row r="418" spans="2:4">
      <c r="B418" s="533">
        <v>44467</v>
      </c>
      <c r="C418" s="85">
        <v>3.5839583915191563E-2</v>
      </c>
      <c r="D418" s="85">
        <v>2.0869197868425907E-4</v>
      </c>
    </row>
    <row r="419" spans="2:4">
      <c r="B419" s="533">
        <v>44468</v>
      </c>
      <c r="C419" s="85">
        <v>3.6520387498578881E-2</v>
      </c>
      <c r="D419" s="85">
        <v>2.3418729659091419E-4</v>
      </c>
    </row>
    <row r="420" spans="2:4">
      <c r="B420" s="533">
        <v>44469</v>
      </c>
      <c r="C420" s="85">
        <v>3.6629360154981409E-2</v>
      </c>
      <c r="D420" s="85">
        <v>2.540117873239022E-4</v>
      </c>
    </row>
    <row r="421" spans="2:4">
      <c r="B421" s="533">
        <v>44470</v>
      </c>
      <c r="C421" s="85">
        <v>3.6446936168415371E-2</v>
      </c>
      <c r="D421" s="85">
        <v>2.694201859770695E-4</v>
      </c>
    </row>
    <row r="422" spans="2:4">
      <c r="B422" s="533">
        <v>44473</v>
      </c>
      <c r="C422" s="85">
        <v>3.7192650441548555E-2</v>
      </c>
      <c r="D422" s="85">
        <v>2.8113953016583606E-4</v>
      </c>
    </row>
    <row r="423" spans="2:4">
      <c r="B423" s="533">
        <v>44474</v>
      </c>
      <c r="C423" s="85">
        <v>3.7966877429693742E-2</v>
      </c>
      <c r="D423" s="85">
        <v>2.8961799759222203E-4</v>
      </c>
    </row>
    <row r="424" spans="2:4">
      <c r="B424" s="533">
        <v>44475</v>
      </c>
      <c r="C424" s="85">
        <v>3.7927941759130612E-2</v>
      </c>
      <c r="D424" s="85">
        <v>2.9513502661375604E-4</v>
      </c>
    </row>
    <row r="425" spans="2:4">
      <c r="B425" s="533">
        <v>44476</v>
      </c>
      <c r="C425" s="85">
        <v>3.7766782019316783E-2</v>
      </c>
      <c r="D425" s="85">
        <v>2.9785522261123698E-4</v>
      </c>
    </row>
    <row r="426" spans="2:4">
      <c r="B426" s="533">
        <v>44477</v>
      </c>
      <c r="C426" s="85">
        <v>3.6036043012206982E-2</v>
      </c>
      <c r="D426" s="85">
        <v>2.9785522261123703E-4</v>
      </c>
    </row>
    <row r="427" spans="2:4">
      <c r="B427" s="533">
        <v>44480</v>
      </c>
      <c r="C427" s="85">
        <v>3.6934819406056439E-2</v>
      </c>
      <c r="D427" s="85">
        <v>2.9513502661375615E-4</v>
      </c>
    </row>
    <row r="428" spans="2:4">
      <c r="B428" s="533">
        <v>44482</v>
      </c>
      <c r="C428" s="85">
        <v>3.7016672909790299E-2</v>
      </c>
      <c r="D428" s="85">
        <v>2.8961799759222203E-4</v>
      </c>
    </row>
    <row r="429" spans="2:4">
      <c r="B429" s="533">
        <v>44483</v>
      </c>
      <c r="C429" s="85">
        <v>3.6551542316877392E-2</v>
      </c>
      <c r="D429" s="85">
        <v>2.81139530165836E-4</v>
      </c>
    </row>
    <row r="430" spans="2:4">
      <c r="B430" s="533">
        <v>44484</v>
      </c>
      <c r="C430" s="85">
        <v>3.6692140950225556E-2</v>
      </c>
      <c r="D430" s="85">
        <v>2.6942018597706939E-4</v>
      </c>
    </row>
    <row r="431" spans="2:4">
      <c r="B431" s="533">
        <v>44487</v>
      </c>
      <c r="C431" s="85">
        <v>3.7083043924591247E-2</v>
      </c>
      <c r="D431" s="85">
        <v>2.5401178732390215E-4</v>
      </c>
    </row>
    <row r="432" spans="2:4">
      <c r="B432" s="533">
        <v>44488</v>
      </c>
      <c r="C432" s="85">
        <v>3.7062993077600227E-2</v>
      </c>
      <c r="D432" s="85">
        <v>2.3418729659091428E-4</v>
      </c>
    </row>
    <row r="433" spans="2:4">
      <c r="B433" s="533">
        <v>44489</v>
      </c>
      <c r="C433" s="85">
        <v>3.8634203250186933E-2</v>
      </c>
      <c r="D433" s="85">
        <v>2.0869197868425915E-4</v>
      </c>
    </row>
    <row r="434" spans="2:4">
      <c r="B434" s="533">
        <v>44490</v>
      </c>
      <c r="C434" s="85">
        <v>3.333289500102906E-2</v>
      </c>
      <c r="D434" s="85">
        <v>1.7506554300391193E-4</v>
      </c>
    </row>
    <row r="435" spans="2:4">
      <c r="B435" s="533">
        <v>44491</v>
      </c>
      <c r="C435" s="85">
        <v>3.4970490192755971E-2</v>
      </c>
      <c r="D435" s="85">
        <v>1.2700589366195116E-4</v>
      </c>
    </row>
    <row r="436" spans="2:4">
      <c r="B436" s="533">
        <v>44494</v>
      </c>
      <c r="C436" s="85">
        <v>3.5441002346593635E-2</v>
      </c>
      <c r="D436" s="85">
        <v>0</v>
      </c>
    </row>
    <row r="437" spans="2:4">
      <c r="B437" s="533">
        <v>44495</v>
      </c>
      <c r="C437" s="85">
        <v>3.2720986338005638E-2</v>
      </c>
      <c r="D437" s="85">
        <v>0</v>
      </c>
    </row>
    <row r="438" spans="2:4">
      <c r="B438" s="533">
        <v>44496</v>
      </c>
      <c r="C438" s="85">
        <v>3.4825521475299652E-2</v>
      </c>
      <c r="D438" s="85">
        <v>0</v>
      </c>
    </row>
    <row r="439" spans="2:4">
      <c r="B439" s="533">
        <v>44497</v>
      </c>
      <c r="C439" s="85">
        <v>3.524807787112183E-2</v>
      </c>
      <c r="D439" s="85">
        <v>0</v>
      </c>
    </row>
    <row r="440" spans="2:4">
      <c r="B440" s="533">
        <v>44498</v>
      </c>
      <c r="C440" s="85">
        <v>3.3334051451139504E-2</v>
      </c>
      <c r="D440" s="85">
        <v>1.8829164991564332E-4</v>
      </c>
    </row>
    <row r="441" spans="2:4">
      <c r="B441" s="533">
        <v>44501</v>
      </c>
      <c r="C441" s="85">
        <v>3.3187989494854103E-2</v>
      </c>
      <c r="D441" s="85">
        <v>2.5954212820487323E-4</v>
      </c>
    </row>
    <row r="442" spans="2:4">
      <c r="B442" s="533">
        <v>44503</v>
      </c>
      <c r="C442" s="85">
        <v>3.4649960271910828E-2</v>
      </c>
      <c r="D442" s="85">
        <v>3.0939475214599067E-4</v>
      </c>
    </row>
    <row r="443" spans="2:4">
      <c r="B443" s="533">
        <v>44504</v>
      </c>
      <c r="C443" s="85">
        <v>3.4666727303855699E-2</v>
      </c>
      <c r="D443" s="85">
        <v>3.4719264746686042E-4</v>
      </c>
    </row>
    <row r="444" spans="2:4">
      <c r="B444" s="533">
        <v>44505</v>
      </c>
      <c r="C444" s="85">
        <v>3.377791858948008E-2</v>
      </c>
      <c r="D444" s="85">
        <v>3.7658329983128669E-4</v>
      </c>
    </row>
    <row r="445" spans="2:4">
      <c r="B445" s="533">
        <v>44508</v>
      </c>
      <c r="C445" s="85">
        <v>3.4297636368057195E-2</v>
      </c>
      <c r="D445" s="85">
        <v>3.994269074884644E-4</v>
      </c>
    </row>
    <row r="446" spans="2:4">
      <c r="B446" s="533">
        <v>44509</v>
      </c>
      <c r="C446" s="85">
        <v>3.4229312041280123E-2</v>
      </c>
      <c r="D446" s="85">
        <v>4.1680133468713896E-4</v>
      </c>
    </row>
    <row r="447" spans="2:4">
      <c r="B447" s="533">
        <v>44510</v>
      </c>
      <c r="C447" s="85">
        <v>3.3778124982360429E-2</v>
      </c>
      <c r="D447" s="85">
        <v>4.2937102397037338E-4</v>
      </c>
    </row>
    <row r="448" spans="2:4">
      <c r="B448" s="533">
        <v>44511</v>
      </c>
      <c r="C448" s="85">
        <v>3.3476786356013664E-2</v>
      </c>
      <c r="D448" s="85">
        <v>4.3755025461192224E-4</v>
      </c>
    </row>
    <row r="449" spans="2:4">
      <c r="B449" s="533">
        <v>44512</v>
      </c>
      <c r="C449" s="85">
        <v>3.5825300001959548E-2</v>
      </c>
      <c r="D449" s="85">
        <v>4.4158306110374473E-4</v>
      </c>
    </row>
    <row r="450" spans="2:4">
      <c r="B450" s="533">
        <v>44516</v>
      </c>
      <c r="C450" s="85">
        <v>3.5851225501558073E-2</v>
      </c>
      <c r="D450" s="85">
        <v>4.4158306110374473E-4</v>
      </c>
    </row>
    <row r="451" spans="2:4">
      <c r="B451" s="533">
        <v>44517</v>
      </c>
      <c r="C451" s="85">
        <v>3.6136683173663905E-2</v>
      </c>
      <c r="D451" s="85">
        <v>4.3755025461192224E-4</v>
      </c>
    </row>
    <row r="452" spans="2:4">
      <c r="B452" s="533">
        <v>44518</v>
      </c>
      <c r="C452" s="85">
        <v>3.6027944256322192E-2</v>
      </c>
      <c r="D452" s="85">
        <v>4.2937102397037327E-4</v>
      </c>
    </row>
    <row r="453" spans="2:4">
      <c r="B453" s="533">
        <v>44519</v>
      </c>
      <c r="C453" s="85">
        <v>3.5758521230459681E-2</v>
      </c>
      <c r="D453" s="85">
        <v>4.168013346871388E-4</v>
      </c>
    </row>
    <row r="454" spans="2:4">
      <c r="B454" s="533">
        <v>44522</v>
      </c>
      <c r="C454" s="85">
        <v>3.4191352843829806E-2</v>
      </c>
      <c r="D454" s="85">
        <v>3.9942690748846451E-4</v>
      </c>
    </row>
    <row r="455" spans="2:4">
      <c r="B455" s="533">
        <v>44523</v>
      </c>
      <c r="C455" s="85">
        <v>3.4668728684354826E-2</v>
      </c>
      <c r="D455" s="85">
        <v>3.765832998312868E-4</v>
      </c>
    </row>
    <row r="456" spans="2:4">
      <c r="B456" s="533">
        <v>44524</v>
      </c>
      <c r="C456" s="85">
        <v>3.3987977937668647E-2</v>
      </c>
      <c r="D456" s="85">
        <v>3.4719264746686036E-4</v>
      </c>
    </row>
    <row r="457" spans="2:4">
      <c r="B457" s="533">
        <v>44525</v>
      </c>
      <c r="C457" s="85">
        <v>3.1748930968697818E-2</v>
      </c>
      <c r="D457" s="85">
        <v>3.0939475214599067E-4</v>
      </c>
    </row>
    <row r="458" spans="2:4">
      <c r="B458" s="533">
        <v>44526</v>
      </c>
      <c r="C458" s="85">
        <v>3.1685254598228671E-2</v>
      </c>
      <c r="D458" s="85">
        <v>2.5954212820487334E-4</v>
      </c>
    </row>
    <row r="459" spans="2:4">
      <c r="B459" s="533">
        <v>44529</v>
      </c>
      <c r="C459" s="85">
        <v>4.1134385810521833E-2</v>
      </c>
      <c r="D459" s="85">
        <v>1.8829164991564337E-4</v>
      </c>
    </row>
    <row r="460" spans="2:4">
      <c r="B460" s="533">
        <v>44530</v>
      </c>
      <c r="C460" s="85">
        <v>4.0850165530794236E-2</v>
      </c>
      <c r="D460" s="85">
        <v>0</v>
      </c>
    </row>
    <row r="461" spans="2:4">
      <c r="B461" s="533">
        <v>44531</v>
      </c>
      <c r="C461" s="85">
        <v>4.3873809448651525E-2</v>
      </c>
      <c r="D461" s="85">
        <v>0</v>
      </c>
    </row>
    <row r="462" spans="2:4">
      <c r="B462" s="533">
        <v>44532</v>
      </c>
      <c r="C462" s="85">
        <v>4.4015515558482619E-2</v>
      </c>
      <c r="D462" s="85">
        <v>0</v>
      </c>
    </row>
    <row r="463" spans="2:4">
      <c r="B463" s="533">
        <v>44533</v>
      </c>
      <c r="C463" s="85">
        <v>4.7010783496057217E-2</v>
      </c>
      <c r="D463" s="85">
        <v>0</v>
      </c>
    </row>
    <row r="464" spans="2:4">
      <c r="B464" s="533">
        <v>44536</v>
      </c>
      <c r="C464" s="85">
        <v>4.6565665345186878E-2</v>
      </c>
      <c r="D464" s="85">
        <v>0</v>
      </c>
    </row>
    <row r="465" spans="2:4">
      <c r="B465" s="533">
        <v>44537</v>
      </c>
      <c r="C465" s="85">
        <v>4.6569090756616235E-2</v>
      </c>
      <c r="D465" s="85">
        <v>0</v>
      </c>
    </row>
    <row r="466" spans="2:4">
      <c r="B466" s="533">
        <v>44538</v>
      </c>
      <c r="C466" s="85">
        <v>4.6424955141958248E-2</v>
      </c>
      <c r="D466" s="85">
        <v>0</v>
      </c>
    </row>
    <row r="467" spans="2:4">
      <c r="B467" s="533">
        <v>44539</v>
      </c>
      <c r="C467" s="85">
        <v>4.662536500506171E-2</v>
      </c>
      <c r="D467" s="85">
        <v>0</v>
      </c>
    </row>
    <row r="468" spans="2:4">
      <c r="B468" s="533">
        <v>44540</v>
      </c>
      <c r="C468" s="85">
        <v>4.7273681215093927E-2</v>
      </c>
      <c r="D468" s="85">
        <v>1.8569632265812893E-4</v>
      </c>
    </row>
    <row r="469" spans="2:4">
      <c r="B469" s="533">
        <v>44543</v>
      </c>
      <c r="C469" s="85">
        <v>4.7535698950311595E-2</v>
      </c>
      <c r="D469" s="85">
        <v>2.5596471646035254E-4</v>
      </c>
    </row>
    <row r="470" spans="2:4">
      <c r="B470" s="533">
        <v>44544</v>
      </c>
      <c r="C470" s="85">
        <v>4.6061700170078088E-2</v>
      </c>
      <c r="D470" s="85">
        <v>3.051301942968447E-4</v>
      </c>
    </row>
    <row r="471" spans="2:4">
      <c r="B471" s="533">
        <v>44545</v>
      </c>
      <c r="C471" s="85">
        <v>4.6320350676175563E-2</v>
      </c>
      <c r="D471" s="85">
        <v>3.424071004604849E-4</v>
      </c>
    </row>
    <row r="472" spans="2:4">
      <c r="B472" s="533">
        <v>44546</v>
      </c>
      <c r="C472" s="85">
        <v>4.6224301757461332E-2</v>
      </c>
      <c r="D472" s="85">
        <v>3.7139264531625796E-4</v>
      </c>
    </row>
    <row r="473" spans="2:4">
      <c r="B473" s="533">
        <v>44547</v>
      </c>
      <c r="C473" s="85">
        <v>4.5555659771244809E-2</v>
      </c>
      <c r="D473" s="85">
        <v>3.9392138697890442E-4</v>
      </c>
    </row>
    <row r="474" spans="2:4">
      <c r="B474" s="533">
        <v>44550</v>
      </c>
      <c r="C474" s="85">
        <v>4.5927710991358339E-2</v>
      </c>
      <c r="D474" s="85">
        <v>4.1105633290205426E-4</v>
      </c>
    </row>
    <row r="475" spans="2:4">
      <c r="B475" s="533">
        <v>44551</v>
      </c>
      <c r="C475" s="85">
        <v>4.8301219227963696E-2</v>
      </c>
      <c r="D475" s="85">
        <v>4.2345276725215769E-4</v>
      </c>
    </row>
    <row r="476" spans="2:4">
      <c r="B476" s="533">
        <v>44552</v>
      </c>
      <c r="C476" s="85">
        <v>4.929562352753708E-2</v>
      </c>
      <c r="D476" s="85">
        <v>4.3151925906413549E-4</v>
      </c>
    </row>
    <row r="477" spans="2:4">
      <c r="B477" s="533">
        <v>44553</v>
      </c>
      <c r="C477" s="85">
        <v>4.8971708568788248E-2</v>
      </c>
      <c r="D477" s="85">
        <v>4.3549647916847232E-4</v>
      </c>
    </row>
    <row r="478" spans="2:4">
      <c r="B478" s="533">
        <v>44554</v>
      </c>
      <c r="C478" s="85">
        <v>4.8881321027765004E-2</v>
      </c>
      <c r="D478" s="85">
        <v>4.3549647916847243E-4</v>
      </c>
    </row>
    <row r="479" spans="2:4">
      <c r="B479" s="533">
        <v>44557</v>
      </c>
      <c r="C479" s="85">
        <v>4.8031354016051873E-2</v>
      </c>
      <c r="D479" s="85">
        <v>4.3151925906413554E-4</v>
      </c>
    </row>
    <row r="480" spans="2:4">
      <c r="B480" s="533">
        <v>44558</v>
      </c>
      <c r="C480" s="85">
        <v>3.8452538416244658E-2</v>
      </c>
      <c r="D480" s="85">
        <v>4.2345276725215775E-4</v>
      </c>
    </row>
    <row r="481" spans="2:4">
      <c r="B481" s="533">
        <v>44559</v>
      </c>
      <c r="C481" s="85">
        <v>3.8128731078088049E-2</v>
      </c>
      <c r="D481" s="85">
        <v>4.1105633290205421E-4</v>
      </c>
    </row>
    <row r="482" spans="2:4">
      <c r="B482" s="533">
        <v>44560</v>
      </c>
      <c r="C482" s="85">
        <v>3.4363210256467054E-2</v>
      </c>
      <c r="D482" s="85">
        <v>3.9392138697890431E-4</v>
      </c>
    </row>
    <row r="483" spans="2:4">
      <c r="B483" s="533">
        <v>44561</v>
      </c>
      <c r="C483" s="85">
        <v>3.4290500408864368E-2</v>
      </c>
      <c r="D483" s="85">
        <v>3.7139264531625774E-4</v>
      </c>
    </row>
    <row r="484" spans="2:4">
      <c r="B484" s="533">
        <v>44564</v>
      </c>
      <c r="C484" s="85">
        <v>2.9708649870807791E-2</v>
      </c>
      <c r="D484" s="85">
        <v>3.424071004604849E-4</v>
      </c>
    </row>
    <row r="485" spans="2:4">
      <c r="B485" s="533">
        <v>44565</v>
      </c>
      <c r="C485" s="85">
        <v>2.9555082228021251E-2</v>
      </c>
      <c r="D485" s="85">
        <v>3.0513019429684486E-4</v>
      </c>
    </row>
    <row r="486" spans="2:4">
      <c r="B486" s="533">
        <v>44566</v>
      </c>
      <c r="C486" s="85">
        <v>2.8836049891365956E-2</v>
      </c>
      <c r="D486" s="85">
        <v>2.5596471646035249E-4</v>
      </c>
    </row>
    <row r="487" spans="2:4">
      <c r="B487" s="533">
        <v>44567</v>
      </c>
      <c r="C487" s="85">
        <v>3.2862572693613958E-2</v>
      </c>
      <c r="D487" s="85">
        <v>1.8569632265812906E-4</v>
      </c>
    </row>
    <row r="488" spans="2:4">
      <c r="B488" s="533">
        <v>44568</v>
      </c>
      <c r="C488" s="85">
        <v>3.2679915952763219E-2</v>
      </c>
      <c r="D488" s="85">
        <v>0</v>
      </c>
    </row>
    <row r="489" spans="2:4">
      <c r="B489" s="533">
        <v>44571</v>
      </c>
      <c r="C489" s="85">
        <v>3.2639680299637999E-2</v>
      </c>
      <c r="D489" s="85">
        <v>0</v>
      </c>
    </row>
    <row r="490" spans="2:4">
      <c r="B490" s="533">
        <v>44572</v>
      </c>
      <c r="C490" s="85">
        <v>3.1026327896847988E-2</v>
      </c>
      <c r="D490" s="85">
        <v>0</v>
      </c>
    </row>
    <row r="491" spans="2:4">
      <c r="B491" s="533">
        <v>44573</v>
      </c>
      <c r="C491" s="85">
        <v>3.1792021863143047E-2</v>
      </c>
      <c r="D491" s="85">
        <v>0</v>
      </c>
    </row>
    <row r="492" spans="2:4">
      <c r="B492" s="533">
        <v>44574</v>
      </c>
      <c r="C492" s="85">
        <v>3.334694187376621E-2</v>
      </c>
      <c r="D492" s="85">
        <v>0</v>
      </c>
    </row>
    <row r="493" spans="2:4">
      <c r="B493" s="533">
        <v>44575</v>
      </c>
      <c r="C493" s="85">
        <v>3.3209066445553E-2</v>
      </c>
      <c r="D493" s="85">
        <v>0</v>
      </c>
    </row>
    <row r="494" spans="2:4">
      <c r="B494" s="533">
        <v>44578</v>
      </c>
      <c r="C494" s="85">
        <v>3.4233056930734813E-2</v>
      </c>
      <c r="D494" s="85">
        <v>0</v>
      </c>
    </row>
    <row r="495" spans="2:4">
      <c r="B495" s="533">
        <v>44579</v>
      </c>
      <c r="C495" s="85">
        <v>3.3669995667485797E-2</v>
      </c>
      <c r="D495" s="85">
        <v>0</v>
      </c>
    </row>
    <row r="496" spans="2:4">
      <c r="B496" s="533">
        <v>44580</v>
      </c>
      <c r="C496" s="85">
        <v>2.8911648119749847E-2</v>
      </c>
      <c r="D496" s="85">
        <v>0</v>
      </c>
    </row>
    <row r="497" spans="2:4">
      <c r="B497" s="533">
        <v>44581</v>
      </c>
      <c r="C497" s="85">
        <v>2.7410407257119549E-2</v>
      </c>
      <c r="D497" s="85">
        <v>0</v>
      </c>
    </row>
    <row r="498" spans="2:4">
      <c r="B498" s="533">
        <v>44582</v>
      </c>
      <c r="C498" s="85">
        <v>2.83010790602218E-2</v>
      </c>
      <c r="D498" s="85">
        <v>0</v>
      </c>
    </row>
    <row r="499" spans="2:4">
      <c r="B499" s="533">
        <v>44585</v>
      </c>
      <c r="C499" s="85">
        <v>2.9760771995133536E-2</v>
      </c>
      <c r="D499" s="85">
        <v>0</v>
      </c>
    </row>
    <row r="500" spans="2:4">
      <c r="B500" s="533">
        <v>44586</v>
      </c>
      <c r="C500" s="85">
        <v>3.0418557431282228E-2</v>
      </c>
      <c r="D500" s="85">
        <v>0</v>
      </c>
    </row>
    <row r="501" spans="2:4">
      <c r="B501" s="533">
        <v>44587</v>
      </c>
      <c r="C501" s="85">
        <v>3.122018491416502E-2</v>
      </c>
      <c r="D501" s="85">
        <v>0</v>
      </c>
    </row>
    <row r="502" spans="2:4">
      <c r="B502" s="533">
        <v>44588</v>
      </c>
      <c r="C502" s="85">
        <v>3.2193037574741921E-2</v>
      </c>
      <c r="D502" s="85">
        <v>0</v>
      </c>
    </row>
    <row r="503" spans="2:4">
      <c r="B503" s="533">
        <v>44589</v>
      </c>
      <c r="C503" s="85">
        <v>3.1914492663066507E-2</v>
      </c>
      <c r="D503" s="85">
        <v>0</v>
      </c>
    </row>
    <row r="504" spans="2:4">
      <c r="B504" s="533">
        <v>44592</v>
      </c>
      <c r="C504" s="85">
        <v>3.1287864474386543E-2</v>
      </c>
      <c r="D504" s="85">
        <v>0</v>
      </c>
    </row>
    <row r="505" spans="2:4">
      <c r="B505" s="533">
        <v>44593</v>
      </c>
      <c r="C505" s="85">
        <v>3.1508789412882529E-2</v>
      </c>
      <c r="D505" s="85">
        <v>0</v>
      </c>
    </row>
    <row r="506" spans="2:4">
      <c r="B506" s="533">
        <v>44594</v>
      </c>
      <c r="C506" s="85">
        <v>3.1200512070330526E-2</v>
      </c>
      <c r="D506" s="85">
        <v>0</v>
      </c>
    </row>
    <row r="507" spans="2:4">
      <c r="B507" s="533">
        <v>44595</v>
      </c>
      <c r="C507" s="85">
        <v>3.0921425031649925E-2</v>
      </c>
      <c r="D507" s="85">
        <v>0</v>
      </c>
    </row>
    <row r="508" spans="2:4">
      <c r="B508" s="533">
        <v>44596</v>
      </c>
      <c r="C508" s="85">
        <v>2.4275246444091205E-2</v>
      </c>
      <c r="D508" s="85">
        <v>1.8317170615485387E-4</v>
      </c>
    </row>
    <row r="509" spans="2:4">
      <c r="B509" s="533">
        <v>44599</v>
      </c>
      <c r="C509" s="85">
        <v>2.4785164325761205E-2</v>
      </c>
      <c r="D509" s="85">
        <v>2.5248477276420503E-4</v>
      </c>
    </row>
    <row r="510" spans="2:4">
      <c r="B510" s="533">
        <v>44600</v>
      </c>
      <c r="C510" s="85">
        <v>2.5023849296725589E-2</v>
      </c>
      <c r="D510" s="85">
        <v>3.0098182607316405E-4</v>
      </c>
    </row>
    <row r="511" spans="2:4">
      <c r="B511" s="533">
        <v>44601</v>
      </c>
      <c r="C511" s="85">
        <v>2.4733249620619454E-2</v>
      </c>
      <c r="D511" s="85">
        <v>3.3775193764257292E-4</v>
      </c>
    </row>
    <row r="512" spans="2:4">
      <c r="B512" s="533">
        <v>44602</v>
      </c>
      <c r="C512" s="85">
        <v>2.4427881411683658E-2</v>
      </c>
      <c r="D512" s="85">
        <v>3.6634341230970774E-4</v>
      </c>
    </row>
    <row r="513" spans="2:4">
      <c r="B513" s="533">
        <v>44603</v>
      </c>
      <c r="C513" s="85">
        <v>2.3031302908269772E-2</v>
      </c>
      <c r="D513" s="85">
        <v>3.8856586663082055E-4</v>
      </c>
    </row>
    <row r="514" spans="2:4">
      <c r="B514" s="533">
        <v>44606</v>
      </c>
      <c r="C514" s="85">
        <v>2.2771090315569713E-2</v>
      </c>
      <c r="D514" s="85">
        <v>4.0546785604389491E-4</v>
      </c>
    </row>
    <row r="515" spans="2:4">
      <c r="B515" s="533">
        <v>44607</v>
      </c>
      <c r="C515" s="85">
        <v>2.1912359707039763E-2</v>
      </c>
      <c r="D515" s="85">
        <v>4.1769575586248989E-4</v>
      </c>
    </row>
    <row r="516" spans="2:4">
      <c r="B516" s="533">
        <v>44608</v>
      </c>
      <c r="C516" s="85">
        <v>2.1673921831241567E-2</v>
      </c>
      <c r="D516" s="85">
        <v>4.256525804604887E-4</v>
      </c>
    </row>
    <row r="517" spans="2:4">
      <c r="B517" s="533">
        <v>44609</v>
      </c>
      <c r="C517" s="85">
        <v>2.1762894151867038E-2</v>
      </c>
      <c r="D517" s="85">
        <v>4.2957572865123648E-4</v>
      </c>
    </row>
    <row r="518" spans="2:4">
      <c r="B518" s="533">
        <v>44610</v>
      </c>
      <c r="C518" s="85">
        <v>2.3766068331876094E-2</v>
      </c>
      <c r="D518" s="85">
        <v>4.2957572865123648E-4</v>
      </c>
    </row>
    <row r="519" spans="2:4">
      <c r="B519" s="533">
        <v>44613</v>
      </c>
      <c r="C519" s="85">
        <v>2.4123327648123621E-2</v>
      </c>
      <c r="D519" s="85">
        <v>4.2565258046048854E-4</v>
      </c>
    </row>
    <row r="520" spans="2:4">
      <c r="B520" s="533">
        <v>44614</v>
      </c>
      <c r="C520" s="85">
        <v>2.3902219951108413E-2</v>
      </c>
      <c r="D520" s="85">
        <v>4.1769575586248983E-4</v>
      </c>
    </row>
    <row r="521" spans="2:4">
      <c r="B521" s="533">
        <v>44615</v>
      </c>
      <c r="C521" s="85">
        <v>2.3177445720338481E-2</v>
      </c>
      <c r="D521" s="85">
        <v>4.0546785604389507E-4</v>
      </c>
    </row>
    <row r="522" spans="2:4">
      <c r="B522" s="533">
        <v>44616</v>
      </c>
      <c r="C522" s="85">
        <v>2.2187714347471271E-2</v>
      </c>
      <c r="D522" s="85">
        <v>3.8856586663082071E-4</v>
      </c>
    </row>
    <row r="523" spans="2:4">
      <c r="B523" s="533">
        <v>44617</v>
      </c>
      <c r="C523" s="85">
        <v>2.0422340119193225E-2</v>
      </c>
      <c r="D523" s="85">
        <v>3.6634341230970763E-4</v>
      </c>
    </row>
    <row r="524" spans="2:4">
      <c r="B524" s="533">
        <v>44622</v>
      </c>
      <c r="C524" s="85">
        <v>2.213173139141815E-2</v>
      </c>
      <c r="D524" s="85">
        <v>3.3775193764257276E-4</v>
      </c>
    </row>
    <row r="525" spans="2:4">
      <c r="B525" s="533">
        <v>44623</v>
      </c>
      <c r="C525" s="85">
        <v>2.2145485715606539E-2</v>
      </c>
      <c r="D525" s="85">
        <v>3.00981826073164E-4</v>
      </c>
    </row>
    <row r="526" spans="2:4">
      <c r="B526" s="533">
        <v>44624</v>
      </c>
      <c r="C526" s="85">
        <v>2.1599319271348675E-2</v>
      </c>
      <c r="D526" s="85">
        <v>2.5248477276420514E-4</v>
      </c>
    </row>
    <row r="527" spans="2:4">
      <c r="B527" s="533">
        <v>44627</v>
      </c>
      <c r="C527" s="85">
        <v>2.2287783611766629E-2</v>
      </c>
      <c r="D527" s="85">
        <v>1.8317170615485381E-4</v>
      </c>
    </row>
    <row r="528" spans="2:4">
      <c r="B528" s="533">
        <v>44628</v>
      </c>
      <c r="C528" s="85">
        <v>2.5018804731554503E-2</v>
      </c>
      <c r="D528" s="85">
        <v>0</v>
      </c>
    </row>
    <row r="529" spans="2:4">
      <c r="B529" s="533">
        <v>44629</v>
      </c>
      <c r="C529" s="85">
        <v>2.5173127948327371E-2</v>
      </c>
      <c r="D529" s="85">
        <v>0</v>
      </c>
    </row>
    <row r="530" spans="2:4">
      <c r="B530" s="533">
        <v>44630</v>
      </c>
      <c r="C530" s="85">
        <v>2.8473181333323046E-2</v>
      </c>
      <c r="D530" s="85">
        <v>0</v>
      </c>
    </row>
    <row r="531" spans="2:4">
      <c r="B531" s="533">
        <v>44631</v>
      </c>
      <c r="C531" s="85">
        <v>2.8634946040762426E-2</v>
      </c>
      <c r="D531" s="85">
        <v>0</v>
      </c>
    </row>
    <row r="532" spans="2:4">
      <c r="B532" s="533">
        <v>44634</v>
      </c>
      <c r="C532" s="85">
        <v>3.0278210661467159E-2</v>
      </c>
      <c r="D532" s="85">
        <v>0</v>
      </c>
    </row>
    <row r="533" spans="2:4">
      <c r="B533" s="533">
        <v>44635</v>
      </c>
      <c r="C533" s="85">
        <v>3.0992654391810596E-2</v>
      </c>
      <c r="D533" s="85">
        <v>0</v>
      </c>
    </row>
    <row r="534" spans="2:4">
      <c r="B534" s="533">
        <v>44636</v>
      </c>
      <c r="C534" s="85">
        <v>3.0266076806658236E-2</v>
      </c>
      <c r="D534" s="85">
        <v>0</v>
      </c>
    </row>
    <row r="535" spans="2:4">
      <c r="B535" s="533">
        <v>44637</v>
      </c>
      <c r="C535" s="85">
        <v>3.4554169534086507E-2</v>
      </c>
      <c r="D535" s="85">
        <v>0</v>
      </c>
    </row>
    <row r="536" spans="2:4">
      <c r="B536" s="533">
        <v>44638</v>
      </c>
      <c r="C536" s="85">
        <v>3.7181263820220828E-2</v>
      </c>
      <c r="D536" s="85">
        <v>1.2074552889006053E-4</v>
      </c>
    </row>
    <row r="537" spans="2:4">
      <c r="B537" s="533">
        <v>44641</v>
      </c>
      <c r="C537" s="85">
        <v>3.9371239006596767E-2</v>
      </c>
      <c r="D537" s="85">
        <v>1.6643622568175129E-4</v>
      </c>
    </row>
    <row r="538" spans="2:4">
      <c r="B538" s="533">
        <v>44642</v>
      </c>
      <c r="C538" s="85">
        <v>4.0412445266733599E-2</v>
      </c>
      <c r="D538" s="85">
        <v>1.9840514967293363E-4</v>
      </c>
    </row>
    <row r="539" spans="2:4">
      <c r="B539" s="533">
        <v>44643</v>
      </c>
      <c r="C539" s="85">
        <v>4.0682216854233982E-2</v>
      </c>
      <c r="D539" s="85">
        <v>2.2264375432425114E-4</v>
      </c>
    </row>
    <row r="540" spans="2:4">
      <c r="B540" s="533">
        <v>44644</v>
      </c>
      <c r="C540" s="85">
        <v>3.9575586849220017E-2</v>
      </c>
      <c r="D540" s="85">
        <v>2.4149105778012106E-4</v>
      </c>
    </row>
    <row r="541" spans="2:4">
      <c r="B541" s="533">
        <v>44645</v>
      </c>
      <c r="C541" s="85">
        <v>3.9335538622660225E-2</v>
      </c>
      <c r="D541" s="85">
        <v>2.5613994682835396E-4</v>
      </c>
    </row>
    <row r="542" spans="2:4">
      <c r="B542" s="533">
        <v>44648</v>
      </c>
      <c r="C542" s="85">
        <v>3.9535746714099533E-2</v>
      </c>
      <c r="D542" s="85">
        <v>2.6728162200197783E-4</v>
      </c>
    </row>
    <row r="543" spans="2:4">
      <c r="B543" s="533">
        <v>44649</v>
      </c>
      <c r="C543" s="85">
        <v>3.9202407396689738E-2</v>
      </c>
      <c r="D543" s="85">
        <v>2.7534216946209001E-4</v>
      </c>
    </row>
    <row r="544" spans="2:4">
      <c r="B544" s="533">
        <v>44650</v>
      </c>
      <c r="C544" s="85">
        <v>3.8813535528923644E-2</v>
      </c>
      <c r="D544" s="85">
        <v>2.805872535121266E-4</v>
      </c>
    </row>
    <row r="545" spans="2:4">
      <c r="B545" s="533">
        <v>44651</v>
      </c>
      <c r="C545" s="85">
        <v>3.8889689387764909E-2</v>
      </c>
      <c r="D545" s="85">
        <v>2.8317336581707754E-4</v>
      </c>
    </row>
    <row r="546" spans="2:4">
      <c r="B546" s="533">
        <v>44652</v>
      </c>
      <c r="C546" s="85">
        <v>3.9358261038128596E-2</v>
      </c>
      <c r="D546" s="85">
        <v>2.8317336581707754E-4</v>
      </c>
    </row>
    <row r="547" spans="2:4">
      <c r="B547" s="533">
        <v>44655</v>
      </c>
      <c r="C547" s="85">
        <v>4.109432022928422E-2</v>
      </c>
      <c r="D547" s="85">
        <v>2.8058725351212655E-4</v>
      </c>
    </row>
    <row r="548" spans="2:4">
      <c r="B548" s="533">
        <v>44656</v>
      </c>
      <c r="C548" s="85">
        <v>3.9829275217036726E-2</v>
      </c>
      <c r="D548" s="85">
        <v>2.7534216946209007E-4</v>
      </c>
    </row>
    <row r="549" spans="2:4">
      <c r="B549" s="533">
        <v>44657</v>
      </c>
      <c r="C549" s="85">
        <v>3.8152176320406725E-2</v>
      </c>
      <c r="D549" s="85">
        <v>2.6728162200197788E-4</v>
      </c>
    </row>
    <row r="550" spans="2:4">
      <c r="B550" s="533">
        <v>44658</v>
      </c>
      <c r="C550" s="85">
        <v>3.9511856014757832E-2</v>
      </c>
      <c r="D550" s="85">
        <v>2.5613994682835401E-4</v>
      </c>
    </row>
    <row r="551" spans="2:4">
      <c r="B551" s="533">
        <v>44659</v>
      </c>
      <c r="C551" s="85">
        <v>3.7889723051471404E-2</v>
      </c>
      <c r="D551" s="85">
        <v>2.4149105778012097E-4</v>
      </c>
    </row>
    <row r="552" spans="2:4">
      <c r="B552" s="533">
        <v>44662</v>
      </c>
      <c r="C552" s="85">
        <v>3.7902365055662322E-2</v>
      </c>
      <c r="D552" s="85">
        <v>2.2264375432425116E-4</v>
      </c>
    </row>
    <row r="553" spans="2:4">
      <c r="B553" s="533">
        <v>44663</v>
      </c>
      <c r="C553" s="85">
        <v>3.8387306200995674E-2</v>
      </c>
      <c r="D553" s="85">
        <v>1.9840514967293357E-4</v>
      </c>
    </row>
    <row r="554" spans="2:4">
      <c r="B554" s="533">
        <v>44664</v>
      </c>
      <c r="C554" s="85">
        <v>3.7059552153978298E-2</v>
      </c>
      <c r="D554" s="85">
        <v>1.6643622568175129E-4</v>
      </c>
    </row>
    <row r="555" spans="2:4">
      <c r="B555" s="533">
        <v>44665</v>
      </c>
      <c r="C555" s="85">
        <v>3.6741472308197708E-2</v>
      </c>
      <c r="D555" s="85">
        <v>1.2074552889006064E-4</v>
      </c>
    </row>
    <row r="556" spans="2:4">
      <c r="B556" s="533">
        <v>44669</v>
      </c>
      <c r="C556" s="85">
        <v>3.4769365550223343E-2</v>
      </c>
      <c r="D556" s="85">
        <v>0</v>
      </c>
    </row>
    <row r="557" spans="2:4">
      <c r="B557" s="533">
        <v>44670</v>
      </c>
      <c r="C557" s="85">
        <v>3.3023262447040638E-2</v>
      </c>
      <c r="D557" s="85">
        <v>0</v>
      </c>
    </row>
    <row r="558" spans="2:4">
      <c r="B558" s="533">
        <v>44671</v>
      </c>
      <c r="C558" s="85">
        <v>3.1199484008651992E-2</v>
      </c>
      <c r="D558" s="85">
        <v>0</v>
      </c>
    </row>
    <row r="559" spans="2:4">
      <c r="B559" s="533">
        <v>44673</v>
      </c>
      <c r="C559" s="85">
        <v>3.0103953452516298E-2</v>
      </c>
      <c r="D559" s="85">
        <v>0</v>
      </c>
    </row>
    <row r="560" spans="2:4">
      <c r="B560" s="533">
        <v>44676</v>
      </c>
      <c r="C560" s="85">
        <v>3.1568117222505451E-2</v>
      </c>
      <c r="D560" s="85">
        <v>0</v>
      </c>
    </row>
    <row r="561" spans="2:4">
      <c r="B561" s="533">
        <v>44677</v>
      </c>
      <c r="C561" s="85">
        <v>3.1692516850927166E-2</v>
      </c>
      <c r="D561" s="85">
        <v>0</v>
      </c>
    </row>
    <row r="562" spans="2:4">
      <c r="B562" s="533">
        <v>44678</v>
      </c>
      <c r="C562" s="85">
        <v>2.9661998893539782E-2</v>
      </c>
      <c r="D562" s="85">
        <v>0</v>
      </c>
    </row>
    <row r="563" spans="2:4">
      <c r="B563" s="533">
        <v>44679</v>
      </c>
      <c r="C563" s="85">
        <v>2.9032166397530257E-2</v>
      </c>
      <c r="D563" s="85">
        <v>0</v>
      </c>
    </row>
    <row r="564" spans="2:4">
      <c r="B564" s="533">
        <v>44680</v>
      </c>
      <c r="C564" s="85">
        <v>3.1153699123093431E-2</v>
      </c>
      <c r="D564" s="85">
        <v>0</v>
      </c>
    </row>
    <row r="565" spans="2:4">
      <c r="B565" s="533">
        <v>44683</v>
      </c>
      <c r="C565" s="85">
        <v>3.1446601127900722E-2</v>
      </c>
      <c r="D565" s="85">
        <v>0</v>
      </c>
    </row>
    <row r="566" spans="2:4">
      <c r="B566" s="533">
        <v>44684</v>
      </c>
      <c r="C566" s="85">
        <v>3.1589373613708963E-2</v>
      </c>
      <c r="D566" s="85">
        <v>0</v>
      </c>
    </row>
    <row r="567" spans="2:4">
      <c r="B567" s="533">
        <v>44685</v>
      </c>
      <c r="C567" s="85">
        <v>3.1537088584356762E-2</v>
      </c>
      <c r="D567" s="85">
        <v>0</v>
      </c>
    </row>
    <row r="568" spans="2:4">
      <c r="B568" s="533">
        <v>44686</v>
      </c>
      <c r="C568" s="85">
        <v>3.1678861724372349E-2</v>
      </c>
      <c r="D568" s="85">
        <v>0</v>
      </c>
    </row>
    <row r="569" spans="2:4">
      <c r="B569" s="533">
        <v>44687</v>
      </c>
      <c r="C569" s="85">
        <v>3.4892905022089304E-2</v>
      </c>
      <c r="D569" s="85">
        <v>1.1967312486161258E-4</v>
      </c>
    </row>
    <row r="570" spans="2:4">
      <c r="B570" s="533">
        <v>44690</v>
      </c>
      <c r="C570" s="85">
        <v>3.4791343855094428E-2</v>
      </c>
      <c r="D570" s="85">
        <v>1.6495801874074484E-4</v>
      </c>
    </row>
    <row r="571" spans="2:4">
      <c r="B571" s="533">
        <v>44691</v>
      </c>
      <c r="C571" s="85">
        <v>3.7078957384284475E-2</v>
      </c>
      <c r="D571" s="85">
        <v>1.9664301004151255E-4</v>
      </c>
    </row>
    <row r="572" spans="2:4">
      <c r="B572" s="533">
        <v>44692</v>
      </c>
      <c r="C572" s="85">
        <v>3.6915226893940015E-2</v>
      </c>
      <c r="D572" s="85">
        <v>2.2066633900096001E-4</v>
      </c>
    </row>
    <row r="573" spans="2:4">
      <c r="B573" s="533">
        <v>44693</v>
      </c>
      <c r="C573" s="85">
        <v>3.7066913870157057E-2</v>
      </c>
      <c r="D573" s="85">
        <v>2.3934624972322513E-4</v>
      </c>
    </row>
    <row r="574" spans="2:4">
      <c r="B574" s="533">
        <v>44694</v>
      </c>
      <c r="C574" s="85">
        <v>3.581296346605236E-2</v>
      </c>
      <c r="D574" s="85">
        <v>2.5386503434629201E-4</v>
      </c>
    </row>
    <row r="575" spans="2:4">
      <c r="B575" s="533">
        <v>44697</v>
      </c>
      <c r="C575" s="85">
        <v>3.8038372334622497E-2</v>
      </c>
      <c r="D575" s="85">
        <v>2.64907754490693E-4</v>
      </c>
    </row>
    <row r="576" spans="2:4">
      <c r="B576" s="533">
        <v>44698</v>
      </c>
      <c r="C576" s="85">
        <v>3.807204351186564E-2</v>
      </c>
      <c r="D576" s="85">
        <v>2.7289671202406261E-4</v>
      </c>
    </row>
    <row r="577" spans="2:4">
      <c r="B577" s="533">
        <v>44699</v>
      </c>
      <c r="C577" s="85">
        <v>3.8955268162221238E-2</v>
      </c>
      <c r="D577" s="85">
        <v>2.7809521174657574E-4</v>
      </c>
    </row>
    <row r="578" spans="2:4">
      <c r="B578" s="533">
        <v>44700</v>
      </c>
      <c r="C578" s="85">
        <v>4.1268213904812945E-2</v>
      </c>
      <c r="D578" s="85">
        <v>2.8065835543911242E-4</v>
      </c>
    </row>
    <row r="579" spans="2:4">
      <c r="B579" s="533">
        <v>44701</v>
      </c>
      <c r="C579" s="85">
        <v>4.1411795980229121E-2</v>
      </c>
      <c r="D579" s="85">
        <v>2.8065835543911237E-4</v>
      </c>
    </row>
    <row r="580" spans="2:4">
      <c r="B580" s="533">
        <v>44704</v>
      </c>
      <c r="C580" s="85">
        <v>4.1792467393860985E-2</v>
      </c>
      <c r="D580" s="85">
        <v>2.7809521174657574E-4</v>
      </c>
    </row>
    <row r="581" spans="2:4">
      <c r="B581" s="533">
        <v>44705</v>
      </c>
      <c r="C581" s="85">
        <v>4.0363876801103357E-2</v>
      </c>
      <c r="D581" s="85">
        <v>2.7289671202406271E-4</v>
      </c>
    </row>
    <row r="582" spans="2:4">
      <c r="B582" s="533">
        <v>44706</v>
      </c>
      <c r="C582" s="85">
        <v>4.0634977041273966E-2</v>
      </c>
      <c r="D582" s="85">
        <v>2.64907754490693E-4</v>
      </c>
    </row>
    <row r="583" spans="2:4">
      <c r="B583" s="533">
        <v>44707</v>
      </c>
      <c r="C583" s="85">
        <v>3.9865128643053346E-2</v>
      </c>
      <c r="D583" s="85">
        <v>2.5386503434629185E-4</v>
      </c>
    </row>
    <row r="584" spans="2:4">
      <c r="B584" s="533">
        <v>44708</v>
      </c>
      <c r="C584" s="85">
        <v>4.0315538649993959E-2</v>
      </c>
      <c r="D584" s="85">
        <v>2.3934624972322515E-4</v>
      </c>
    </row>
    <row r="585" spans="2:4">
      <c r="B585" s="533">
        <v>44711</v>
      </c>
      <c r="C585" s="85">
        <v>3.9198127910547678E-2</v>
      </c>
      <c r="D585" s="85">
        <v>2.2066633900095998E-4</v>
      </c>
    </row>
    <row r="586" spans="2:4">
      <c r="B586" s="533">
        <v>44712</v>
      </c>
      <c r="C586" s="85">
        <v>3.8994613284948181E-2</v>
      </c>
      <c r="D586" s="85">
        <v>1.966430100415125E-4</v>
      </c>
    </row>
    <row r="587" spans="2:4">
      <c r="B587" s="533">
        <v>44713</v>
      </c>
      <c r="C587" s="85">
        <v>3.8667023530089155E-2</v>
      </c>
      <c r="D587" s="85">
        <v>1.6495801874074478E-4</v>
      </c>
    </row>
    <row r="588" spans="2:4">
      <c r="B588" s="533">
        <v>44714</v>
      </c>
      <c r="C588" s="85">
        <v>3.8674884299232042E-2</v>
      </c>
      <c r="D588" s="85">
        <v>1.1967312486161255E-4</v>
      </c>
    </row>
    <row r="589" spans="2:4">
      <c r="B589" s="533">
        <v>44715</v>
      </c>
      <c r="C589" s="85">
        <v>3.5880611874387409E-2</v>
      </c>
      <c r="D589" s="85">
        <v>0</v>
      </c>
    </row>
    <row r="590" spans="2:4">
      <c r="B590" s="533">
        <v>44718</v>
      </c>
      <c r="C590" s="85">
        <v>3.2252737887568335E-2</v>
      </c>
      <c r="D590" s="85">
        <v>0</v>
      </c>
    </row>
    <row r="591" spans="2:4">
      <c r="B591" s="533">
        <v>44719</v>
      </c>
      <c r="C591" s="85">
        <v>3.1496538417684843E-2</v>
      </c>
      <c r="D591" s="85">
        <v>0</v>
      </c>
    </row>
    <row r="592" spans="2:4">
      <c r="B592" s="533">
        <v>44720</v>
      </c>
      <c r="C592" s="85">
        <v>2.6619210042395675E-2</v>
      </c>
      <c r="D592" s="85">
        <v>0</v>
      </c>
    </row>
    <row r="593" spans="2:4">
      <c r="B593" s="533">
        <v>44721</v>
      </c>
      <c r="C593" s="85">
        <v>2.7175796515673409E-2</v>
      </c>
      <c r="D593" s="85">
        <v>0</v>
      </c>
    </row>
    <row r="594" spans="2:4">
      <c r="B594" s="533">
        <v>44722</v>
      </c>
      <c r="C594" s="85">
        <v>2.7760136600789471E-2</v>
      </c>
      <c r="D594" s="85">
        <v>0</v>
      </c>
    </row>
    <row r="595" spans="2:4">
      <c r="B595" s="533">
        <v>44725</v>
      </c>
      <c r="C595" s="85">
        <v>2.8640995117294218E-2</v>
      </c>
      <c r="D595" s="85">
        <v>0</v>
      </c>
    </row>
    <row r="596" spans="2:4">
      <c r="B596" s="533">
        <v>44726</v>
      </c>
      <c r="C596" s="85">
        <v>2.8332943676729911E-2</v>
      </c>
      <c r="D596" s="85">
        <v>0</v>
      </c>
    </row>
    <row r="597" spans="2:4">
      <c r="B597" s="533">
        <v>44727</v>
      </c>
      <c r="C597" s="85">
        <v>2.773656620526679E-2</v>
      </c>
      <c r="D597" s="85">
        <v>0</v>
      </c>
    </row>
    <row r="598" spans="2:4">
      <c r="B598" s="533">
        <v>44729</v>
      </c>
      <c r="C598" s="85">
        <v>2.7492223841005844E-2</v>
      </c>
      <c r="D598" s="85">
        <v>0</v>
      </c>
    </row>
    <row r="599" spans="2:4">
      <c r="B599" s="533">
        <v>44732</v>
      </c>
      <c r="C599" s="85">
        <v>2.7472708186785013E-2</v>
      </c>
      <c r="D599" s="85">
        <v>5.9440342564717105E-5</v>
      </c>
    </row>
    <row r="600" spans="2:4">
      <c r="B600" s="533">
        <v>44733</v>
      </c>
      <c r="C600" s="85">
        <v>2.7306190909199814E-2</v>
      </c>
      <c r="D600" s="85">
        <v>8.1932857975300399E-5</v>
      </c>
    </row>
    <row r="601" spans="2:4">
      <c r="B601" s="533">
        <v>44734</v>
      </c>
      <c r="C601" s="85">
        <v>2.666442688452789E-2</v>
      </c>
      <c r="D601" s="85">
        <v>9.7670449345590106E-5</v>
      </c>
    </row>
    <row r="602" spans="2:4">
      <c r="B602" s="533">
        <v>44735</v>
      </c>
      <c r="C602" s="85">
        <v>2.5110114995521998E-2</v>
      </c>
      <c r="D602" s="85">
        <v>1.0960257616642562E-4</v>
      </c>
    </row>
    <row r="603" spans="2:4">
      <c r="B603" s="533">
        <v>44736</v>
      </c>
      <c r="C603" s="85">
        <v>2.4697536089199772E-2</v>
      </c>
      <c r="D603" s="85">
        <v>1.1888068512943421E-4</v>
      </c>
    </row>
    <row r="604" spans="2:4">
      <c r="B604" s="533">
        <v>44739</v>
      </c>
      <c r="C604" s="85">
        <v>2.4504995320606238E-2</v>
      </c>
      <c r="D604" s="85">
        <v>1.2609200791068853E-4</v>
      </c>
    </row>
    <row r="605" spans="2:4">
      <c r="B605" s="533">
        <v>44740</v>
      </c>
      <c r="C605" s="85">
        <v>2.4396593386709856E-2</v>
      </c>
      <c r="D605" s="85">
        <v>1.3157680718361238E-4</v>
      </c>
    </row>
    <row r="606" spans="2:4">
      <c r="B606" s="533">
        <v>44741</v>
      </c>
      <c r="C606" s="85">
        <v>2.3770456321266772E-2</v>
      </c>
      <c r="D606" s="85">
        <v>1.3554483570352941E-4</v>
      </c>
    </row>
    <row r="607" spans="2:4">
      <c r="B607" s="533">
        <v>44742</v>
      </c>
      <c r="C607" s="85">
        <v>2.3898031452352392E-2</v>
      </c>
      <c r="D607" s="85">
        <v>1.3812687410760791E-4</v>
      </c>
    </row>
    <row r="608" spans="2:4">
      <c r="B608" s="533">
        <v>44743</v>
      </c>
      <c r="C608" s="85">
        <v>2.3670927721594591E-2</v>
      </c>
      <c r="D608" s="85">
        <v>1.393999597674263E-4</v>
      </c>
    </row>
    <row r="609" spans="2:4">
      <c r="B609" s="533">
        <v>44746</v>
      </c>
      <c r="C609" s="85">
        <v>2.3751647871137326E-2</v>
      </c>
      <c r="D609" s="85">
        <v>1.3939995976742627E-4</v>
      </c>
    </row>
    <row r="610" spans="2:4">
      <c r="B610" s="533">
        <v>44747</v>
      </c>
      <c r="C610" s="85">
        <v>2.2478268862423097E-2</v>
      </c>
      <c r="D610" s="85">
        <v>1.3812687410760788E-4</v>
      </c>
    </row>
    <row r="611" spans="2:4">
      <c r="B611" s="533">
        <v>44748</v>
      </c>
      <c r="C611" s="85">
        <v>2.2466202998790825E-2</v>
      </c>
      <c r="D611" s="85">
        <v>1.3554483570352944E-4</v>
      </c>
    </row>
    <row r="612" spans="2:4">
      <c r="B612" s="533">
        <v>44749</v>
      </c>
      <c r="C612" s="85">
        <v>2.2536016417329507E-2</v>
      </c>
      <c r="D612" s="85">
        <v>1.3157680718361241E-4</v>
      </c>
    </row>
    <row r="613" spans="2:4">
      <c r="B613" s="533">
        <v>44750</v>
      </c>
      <c r="C613" s="85">
        <v>2.5735562656739264E-2</v>
      </c>
      <c r="D613" s="85">
        <v>1.2609200791068855E-4</v>
      </c>
    </row>
    <row r="614" spans="2:4">
      <c r="B614" s="533">
        <v>44753</v>
      </c>
      <c r="C614" s="85">
        <v>2.5765878129268414E-2</v>
      </c>
      <c r="D614" s="85">
        <v>1.1888068512943424E-4</v>
      </c>
    </row>
    <row r="615" spans="2:4">
      <c r="B615" s="533">
        <v>44754</v>
      </c>
      <c r="C615" s="85">
        <v>2.7694046401215568E-2</v>
      </c>
      <c r="D615" s="85">
        <v>1.0960257616642564E-4</v>
      </c>
    </row>
    <row r="616" spans="2:4">
      <c r="B616" s="533">
        <v>44755</v>
      </c>
      <c r="C616" s="85">
        <v>2.740876244600381E-2</v>
      </c>
      <c r="D616" s="85">
        <v>9.7670449345590106E-5</v>
      </c>
    </row>
    <row r="617" spans="2:4">
      <c r="B617" s="533">
        <v>44756</v>
      </c>
      <c r="C617" s="85">
        <v>2.620570036384326E-2</v>
      </c>
      <c r="D617" s="85">
        <v>8.1932857975300412E-5</v>
      </c>
    </row>
    <row r="618" spans="2:4">
      <c r="B618" s="533">
        <v>44757</v>
      </c>
      <c r="C618" s="85">
        <v>2.6297568254478269E-2</v>
      </c>
      <c r="D618" s="85">
        <v>5.9440342564717058E-5</v>
      </c>
    </row>
    <row r="619" spans="2:4">
      <c r="B619" s="533">
        <v>44760</v>
      </c>
      <c r="C619" s="85">
        <v>2.5097854056669665E-2</v>
      </c>
      <c r="D619" s="85">
        <v>0</v>
      </c>
    </row>
    <row r="620" spans="2:4">
      <c r="B620" s="533">
        <v>44761</v>
      </c>
      <c r="C620" s="85">
        <v>2.1580183500938089E-2</v>
      </c>
      <c r="D620" s="85">
        <v>0</v>
      </c>
    </row>
    <row r="621" spans="2:4">
      <c r="B621" s="533">
        <v>44762</v>
      </c>
      <c r="C621" s="85">
        <v>2.2158576428371522E-2</v>
      </c>
      <c r="D621" s="85">
        <v>0</v>
      </c>
    </row>
    <row r="622" spans="2:4">
      <c r="B622" s="533">
        <v>44763</v>
      </c>
      <c r="C622" s="85">
        <v>2.3174096970167608E-2</v>
      </c>
      <c r="D622" s="85">
        <v>0</v>
      </c>
    </row>
    <row r="623" spans="2:4">
      <c r="B623" s="533">
        <v>44764</v>
      </c>
      <c r="C623" s="85">
        <v>2.3160913606607783E-2</v>
      </c>
      <c r="D623" s="85">
        <v>0</v>
      </c>
    </row>
    <row r="624" spans="2:4">
      <c r="B624" s="533">
        <v>44767</v>
      </c>
      <c r="C624" s="85">
        <v>2.329450934453817E-2</v>
      </c>
      <c r="D624" s="85">
        <v>0</v>
      </c>
    </row>
    <row r="625" spans="2:4">
      <c r="B625" s="533">
        <v>44768</v>
      </c>
      <c r="C625" s="85">
        <v>2.3139732990127209E-2</v>
      </c>
      <c r="D625" s="85">
        <v>0</v>
      </c>
    </row>
    <row r="626" spans="2:4">
      <c r="B626" s="533">
        <v>44769</v>
      </c>
      <c r="C626" s="85">
        <v>2.1482218696270733E-2</v>
      </c>
      <c r="D626" s="85">
        <v>0</v>
      </c>
    </row>
    <row r="627" spans="2:4">
      <c r="B627" s="533">
        <v>44770</v>
      </c>
      <c r="C627" s="85">
        <v>2.4657521194692906E-2</v>
      </c>
      <c r="D627" s="85">
        <v>0</v>
      </c>
    </row>
    <row r="628" spans="2:4">
      <c r="B628" s="533">
        <v>44771</v>
      </c>
      <c r="C628" s="85">
        <v>2.5040731287406835E-2</v>
      </c>
      <c r="D628" s="85">
        <v>0</v>
      </c>
    </row>
    <row r="629" spans="2:4">
      <c r="B629" s="533">
        <v>44774</v>
      </c>
      <c r="C629" s="85">
        <v>2.5292696492383131E-2</v>
      </c>
      <c r="D629" s="85">
        <v>0</v>
      </c>
    </row>
    <row r="630" spans="2:4">
      <c r="B630" s="533">
        <v>44775</v>
      </c>
      <c r="C630" s="85">
        <v>2.5581879277088999E-2</v>
      </c>
      <c r="D630" s="85">
        <v>0</v>
      </c>
    </row>
    <row r="631" spans="2:4">
      <c r="B631" s="533">
        <v>44776</v>
      </c>
      <c r="C631" s="85">
        <v>2.5531241910255353E-2</v>
      </c>
      <c r="D631" s="85">
        <v>0</v>
      </c>
    </row>
    <row r="632" spans="2:4">
      <c r="B632" s="533">
        <v>44777</v>
      </c>
      <c r="C632" s="85">
        <v>2.6780600517947957E-2</v>
      </c>
      <c r="D632" s="85">
        <v>0</v>
      </c>
    </row>
    <row r="633" spans="2:4">
      <c r="B633" s="533">
        <v>44778</v>
      </c>
      <c r="C633" s="85">
        <v>2.9373061172925728E-2</v>
      </c>
      <c r="D633" s="85">
        <v>5.917929680366913E-5</v>
      </c>
    </row>
    <row r="634" spans="2:4">
      <c r="B634" s="533">
        <v>44781</v>
      </c>
      <c r="C634" s="85">
        <v>2.8029446264843116E-2</v>
      </c>
      <c r="D634" s="85">
        <v>8.1573031225619231E-5</v>
      </c>
    </row>
    <row r="635" spans="2:4">
      <c r="B635" s="533">
        <v>44782</v>
      </c>
      <c r="C635" s="85">
        <v>2.7884512788721488E-2</v>
      </c>
      <c r="D635" s="85">
        <v>9.7241507389988856E-5</v>
      </c>
    </row>
    <row r="636" spans="2:4">
      <c r="B636" s="533">
        <v>44783</v>
      </c>
      <c r="C636" s="85">
        <v>2.4256364532104273E-2</v>
      </c>
      <c r="D636" s="85">
        <v>1.0912123156655167E-4</v>
      </c>
    </row>
    <row r="637" spans="2:4">
      <c r="B637" s="533">
        <v>44784</v>
      </c>
      <c r="C637" s="85">
        <v>2.3712807946872153E-2</v>
      </c>
      <c r="D637" s="85">
        <v>1.1835859360733825E-4</v>
      </c>
    </row>
    <row r="638" spans="2:4">
      <c r="B638" s="533">
        <v>44785</v>
      </c>
      <c r="C638" s="85">
        <v>2.5112193769452791E-2</v>
      </c>
      <c r="D638" s="85">
        <v>1.2553824622717744E-4</v>
      </c>
    </row>
    <row r="639" spans="2:4">
      <c r="B639" s="533">
        <v>44788</v>
      </c>
      <c r="C639" s="85">
        <v>2.6069060894762422E-2</v>
      </c>
      <c r="D639" s="85">
        <v>1.3099895775870181E-4</v>
      </c>
    </row>
    <row r="640" spans="2:4">
      <c r="B640" s="533">
        <v>44789</v>
      </c>
      <c r="C640" s="85">
        <v>2.6024639482572991E-2</v>
      </c>
      <c r="D640" s="85">
        <v>1.3494955978038297E-4</v>
      </c>
    </row>
    <row r="641" spans="2:4">
      <c r="B641" s="533">
        <v>44790</v>
      </c>
      <c r="C641" s="85">
        <v>2.6474795966555914E-2</v>
      </c>
      <c r="D641" s="85">
        <v>1.3752025857652583E-4</v>
      </c>
    </row>
    <row r="642" spans="2:4">
      <c r="B642" s="533">
        <v>44791</v>
      </c>
      <c r="C642" s="85">
        <v>2.6490861159860081E-2</v>
      </c>
      <c r="D642" s="85">
        <v>1.3878775319159896E-4</v>
      </c>
    </row>
    <row r="643" spans="2:4">
      <c r="B643" s="533">
        <v>44792</v>
      </c>
      <c r="C643" s="85">
        <v>2.6358638901393297E-2</v>
      </c>
      <c r="D643" s="85">
        <v>1.3878775319159899E-4</v>
      </c>
    </row>
    <row r="644" spans="2:4">
      <c r="B644" s="533">
        <v>44795</v>
      </c>
      <c r="C644" s="85">
        <v>2.8774120140252823E-2</v>
      </c>
      <c r="D644" s="85">
        <v>1.375202585765258E-4</v>
      </c>
    </row>
    <row r="645" spans="2:4">
      <c r="B645" s="533">
        <v>44796</v>
      </c>
      <c r="C645" s="85">
        <v>2.8336740324314446E-2</v>
      </c>
      <c r="D645" s="85">
        <v>1.3494955978038295E-4</v>
      </c>
    </row>
    <row r="646" spans="2:4">
      <c r="B646" s="533">
        <v>44797</v>
      </c>
      <c r="C646" s="85">
        <v>2.8974683871714653E-2</v>
      </c>
      <c r="D646" s="85">
        <v>1.3099895775870181E-4</v>
      </c>
    </row>
    <row r="647" spans="2:4">
      <c r="B647" s="533">
        <v>44798</v>
      </c>
      <c r="C647" s="85">
        <v>2.8235747004753925E-2</v>
      </c>
      <c r="D647" s="85">
        <v>1.2553824622717753E-4</v>
      </c>
    </row>
    <row r="648" spans="2:4">
      <c r="B648" s="533">
        <v>44799</v>
      </c>
      <c r="C648" s="85">
        <v>2.735181303166408E-2</v>
      </c>
      <c r="D648" s="85">
        <v>1.1835859360733831E-4</v>
      </c>
    </row>
    <row r="649" spans="2:4">
      <c r="B649" s="533">
        <v>44802</v>
      </c>
      <c r="C649" s="85">
        <v>2.7783696683742271E-2</v>
      </c>
      <c r="D649" s="85">
        <v>1.0912123156655169E-4</v>
      </c>
    </row>
    <row r="650" spans="2:4">
      <c r="B650" s="533">
        <v>44803</v>
      </c>
      <c r="C650" s="85">
        <v>2.7728110331138905E-2</v>
      </c>
      <c r="D650" s="85">
        <v>9.724150738998891E-5</v>
      </c>
    </row>
    <row r="651" spans="2:4">
      <c r="B651" s="533">
        <v>44804</v>
      </c>
      <c r="C651" s="85">
        <v>2.8738510077173044E-2</v>
      </c>
      <c r="D651" s="85">
        <v>8.1573031225619258E-5</v>
      </c>
    </row>
    <row r="652" spans="2:4">
      <c r="B652" s="533">
        <v>44805</v>
      </c>
      <c r="C652" s="85">
        <v>2.8632206812255086E-2</v>
      </c>
      <c r="D652" s="85">
        <v>5.9179296803669163E-5</v>
      </c>
    </row>
    <row r="653" spans="2:4">
      <c r="B653" s="533">
        <v>44806</v>
      </c>
      <c r="C653" s="85">
        <v>2.7996056498723099E-2</v>
      </c>
      <c r="D653" s="85">
        <v>0</v>
      </c>
    </row>
    <row r="654" spans="2:4">
      <c r="B654" s="533">
        <v>44809</v>
      </c>
      <c r="C654" s="85">
        <v>2.5342074320556924E-2</v>
      </c>
      <c r="D654" s="85">
        <v>0</v>
      </c>
    </row>
    <row r="655" spans="2:4">
      <c r="B655" s="533">
        <v>44810</v>
      </c>
      <c r="C655" s="85">
        <v>2.5509317692667573E-2</v>
      </c>
      <c r="D655" s="85">
        <v>0</v>
      </c>
    </row>
    <row r="656" spans="2:4">
      <c r="B656" s="533">
        <v>44812</v>
      </c>
      <c r="C656" s="85">
        <v>2.7834617304943625E-2</v>
      </c>
      <c r="D656" s="85">
        <v>0</v>
      </c>
    </row>
    <row r="657" spans="2:4">
      <c r="B657" s="533">
        <v>44813</v>
      </c>
      <c r="C657" s="85">
        <v>2.7705807658527631E-2</v>
      </c>
      <c r="D657" s="85">
        <v>0</v>
      </c>
    </row>
    <row r="658" spans="2:4">
      <c r="B658" s="533">
        <v>44816</v>
      </c>
      <c r="C658" s="85">
        <v>2.9483408559510909E-2</v>
      </c>
      <c r="D658" s="85">
        <v>0</v>
      </c>
    </row>
    <row r="659" spans="2:4">
      <c r="B659" s="533">
        <v>44817</v>
      </c>
      <c r="C659" s="85">
        <v>2.8543456301509586E-2</v>
      </c>
      <c r="D659" s="85">
        <v>0</v>
      </c>
    </row>
    <row r="660" spans="2:4">
      <c r="B660" s="533">
        <v>44818</v>
      </c>
      <c r="C660" s="85">
        <v>2.7015489501818896E-2</v>
      </c>
      <c r="D660" s="85">
        <v>0</v>
      </c>
    </row>
    <row r="661" spans="2:4">
      <c r="B661" s="533">
        <v>44819</v>
      </c>
      <c r="C661" s="85">
        <v>2.675975670571961E-2</v>
      </c>
      <c r="D661" s="85">
        <v>0</v>
      </c>
    </row>
    <row r="662" spans="2:4">
      <c r="B662" s="533">
        <v>44820</v>
      </c>
      <c r="C662" s="85">
        <v>2.6608995030151881E-2</v>
      </c>
      <c r="D662" s="85">
        <v>0</v>
      </c>
    </row>
    <row r="663" spans="2:4">
      <c r="B663" s="533">
        <v>44823</v>
      </c>
      <c r="C663" s="85">
        <v>2.7177222728907279E-2</v>
      </c>
      <c r="D663" s="85">
        <v>0</v>
      </c>
    </row>
    <row r="664" spans="2:4">
      <c r="B664" s="533">
        <v>44824</v>
      </c>
      <c r="C664" s="85">
        <v>2.7520716621998585E-2</v>
      </c>
      <c r="D664" s="85">
        <v>0</v>
      </c>
    </row>
    <row r="665" spans="2:4">
      <c r="B665" s="533">
        <v>44825</v>
      </c>
      <c r="C665" s="85">
        <v>2.637616897576579E-2</v>
      </c>
      <c r="D665" s="85">
        <v>0</v>
      </c>
    </row>
    <row r="666" spans="2:4">
      <c r="B666" s="533">
        <v>44826</v>
      </c>
      <c r="C666" s="85">
        <v>2.6287688312754031E-2</v>
      </c>
      <c r="D666" s="85">
        <v>0</v>
      </c>
    </row>
    <row r="667" spans="2:4">
      <c r="B667" s="533">
        <v>44827</v>
      </c>
      <c r="C667" s="85">
        <v>2.7345877035255779E-2</v>
      </c>
      <c r="D667" s="85">
        <v>0</v>
      </c>
    </row>
    <row r="668" spans="2:4">
      <c r="B668" s="533">
        <v>44830</v>
      </c>
      <c r="C668" s="85">
        <v>2.7870419017931105E-2</v>
      </c>
      <c r="D668" s="85">
        <v>0</v>
      </c>
    </row>
    <row r="669" spans="2:4">
      <c r="B669" s="533">
        <v>44831</v>
      </c>
      <c r="C669" s="85">
        <v>3.0970102290398406E-2</v>
      </c>
      <c r="D669" s="85">
        <v>0</v>
      </c>
    </row>
    <row r="670" spans="2:4">
      <c r="B670" s="533">
        <v>44832</v>
      </c>
      <c r="C670" s="85">
        <v>3.1221933117245144E-2</v>
      </c>
      <c r="D670" s="85">
        <v>0</v>
      </c>
    </row>
    <row r="671" spans="2:4">
      <c r="B671" s="533">
        <v>44833</v>
      </c>
      <c r="C671" s="85">
        <v>3.123313595162254E-2</v>
      </c>
      <c r="D671" s="85">
        <v>0</v>
      </c>
    </row>
    <row r="672" spans="2:4">
      <c r="B672" s="533">
        <v>44834</v>
      </c>
      <c r="C672" s="85">
        <v>3.0497037702844742E-2</v>
      </c>
      <c r="D672" s="85">
        <v>0</v>
      </c>
    </row>
    <row r="673" spans="2:4">
      <c r="B673" s="533">
        <v>44837</v>
      </c>
      <c r="C673" s="85">
        <v>3.1625572013177304E-2</v>
      </c>
      <c r="D673" s="85">
        <v>0</v>
      </c>
    </row>
    <row r="674" spans="2:4">
      <c r="B674" s="533">
        <v>44838</v>
      </c>
      <c r="C674" s="85">
        <v>3.9093626686572097E-2</v>
      </c>
      <c r="D674" s="85">
        <v>0</v>
      </c>
    </row>
    <row r="675" spans="2:4">
      <c r="B675" s="533">
        <v>44839</v>
      </c>
      <c r="C675" s="85">
        <v>3.9144506725113784E-2</v>
      </c>
      <c r="D675" s="85">
        <v>0</v>
      </c>
    </row>
    <row r="676" spans="2:4">
      <c r="B676" s="533">
        <v>44840</v>
      </c>
      <c r="C676" s="85">
        <v>3.9043131266999487E-2</v>
      </c>
      <c r="D676" s="85">
        <v>0</v>
      </c>
    </row>
    <row r="677" spans="2:4">
      <c r="B677" s="533">
        <v>44841</v>
      </c>
      <c r="C677" s="85">
        <v>3.7107232987554604E-2</v>
      </c>
      <c r="D677" s="85">
        <v>0</v>
      </c>
    </row>
    <row r="678" spans="2:4">
      <c r="B678" s="533">
        <v>44844</v>
      </c>
      <c r="C678" s="85">
        <v>3.7547560265852944E-2</v>
      </c>
      <c r="D678" s="85">
        <v>0</v>
      </c>
    </row>
    <row r="679" spans="2:4">
      <c r="B679" s="533">
        <v>44845</v>
      </c>
      <c r="C679" s="85">
        <v>3.6159923647103666E-2</v>
      </c>
      <c r="D679" s="85">
        <v>0</v>
      </c>
    </row>
    <row r="680" spans="2:4">
      <c r="B680" s="533">
        <v>44847</v>
      </c>
      <c r="C680" s="85">
        <v>3.7099834441963617E-2</v>
      </c>
      <c r="D680" s="85">
        <v>0</v>
      </c>
    </row>
    <row r="681" spans="2:4">
      <c r="B681" s="533">
        <v>44848</v>
      </c>
      <c r="C681" s="1">
        <v>3.6804469875599141E-2</v>
      </c>
      <c r="D681" s="1">
        <v>0</v>
      </c>
    </row>
    <row r="682" spans="2:4">
      <c r="B682" s="533">
        <v>44851</v>
      </c>
      <c r="C682" s="1">
        <v>3.7178284491931064E-2</v>
      </c>
      <c r="D682" s="1">
        <v>0</v>
      </c>
    </row>
    <row r="683" spans="2:4">
      <c r="B683" s="533">
        <v>44852</v>
      </c>
      <c r="C683" s="1">
        <v>3.7404294726860257E-2</v>
      </c>
      <c r="D683" s="1">
        <v>0</v>
      </c>
    </row>
    <row r="684" spans="2:4">
      <c r="B684" s="533">
        <v>44853</v>
      </c>
      <c r="C684" s="1">
        <v>3.8009724397371304E-2</v>
      </c>
      <c r="D684" s="1">
        <v>0</v>
      </c>
    </row>
    <row r="685" spans="2:4">
      <c r="B685" s="533">
        <v>44854</v>
      </c>
      <c r="C685" s="1">
        <v>3.7770505531580727E-2</v>
      </c>
      <c r="D685" s="1">
        <v>0</v>
      </c>
    </row>
    <row r="686" spans="2:4">
      <c r="B686" s="533">
        <v>44855</v>
      </c>
      <c r="C686" s="1">
        <v>3.7501618823220131E-2</v>
      </c>
      <c r="D686" s="1">
        <v>0</v>
      </c>
    </row>
    <row r="687" spans="2:4">
      <c r="B687" s="533">
        <v>44858</v>
      </c>
      <c r="C687" s="1">
        <v>3.8335464597841595E-2</v>
      </c>
      <c r="D687" s="1">
        <v>0</v>
      </c>
    </row>
    <row r="688" spans="2:4">
      <c r="B688" s="533">
        <v>44859</v>
      </c>
      <c r="C688" s="1">
        <v>3.9418629095770125E-2</v>
      </c>
      <c r="D688" s="1">
        <v>0</v>
      </c>
    </row>
    <row r="689" spans="2:4">
      <c r="B689" s="533">
        <v>44860</v>
      </c>
      <c r="C689" s="1">
        <v>3.9529638212853289E-2</v>
      </c>
      <c r="D689" s="1">
        <v>0</v>
      </c>
    </row>
    <row r="690" spans="2:4">
      <c r="B690" s="533">
        <v>44861</v>
      </c>
      <c r="C690" s="1">
        <v>3.8517190391056381E-2</v>
      </c>
      <c r="D690" s="1">
        <v>0</v>
      </c>
    </row>
    <row r="691" spans="2:4">
      <c r="B691" s="533">
        <v>44862</v>
      </c>
      <c r="C691" s="1">
        <v>3.9578408303042913E-2</v>
      </c>
      <c r="D691" s="1">
        <v>0</v>
      </c>
    </row>
    <row r="692" spans="2:4">
      <c r="B692" s="533">
        <v>44865</v>
      </c>
      <c r="C692" s="1">
        <v>3.9465744720562905E-2</v>
      </c>
      <c r="D692" s="1">
        <v>0</v>
      </c>
    </row>
    <row r="693" spans="2:4">
      <c r="B693" s="533">
        <v>44866</v>
      </c>
      <c r="C693" s="1">
        <v>4.0623875246844868E-2</v>
      </c>
      <c r="D693" s="1">
        <v>0</v>
      </c>
    </row>
    <row r="694" spans="2:4">
      <c r="B694" s="533">
        <v>44868</v>
      </c>
      <c r="C694" s="1">
        <v>4.0051834693620482E-2</v>
      </c>
      <c r="D694" s="1">
        <v>0</v>
      </c>
    </row>
    <row r="695" spans="2:4">
      <c r="B695" s="533">
        <v>44869</v>
      </c>
      <c r="C695" s="1">
        <v>3.2189827784124742E-2</v>
      </c>
      <c r="D695" s="1">
        <v>0</v>
      </c>
    </row>
    <row r="696" spans="2:4">
      <c r="B696" s="533">
        <v>44872</v>
      </c>
      <c r="C696" s="1">
        <v>3.2693547101758619E-2</v>
      </c>
      <c r="D696" s="1">
        <v>0</v>
      </c>
    </row>
    <row r="697" spans="2:4">
      <c r="B697" s="533">
        <v>44873</v>
      </c>
      <c r="C697" s="1">
        <v>3.4395358062534312E-2</v>
      </c>
      <c r="D697" s="1">
        <v>0</v>
      </c>
    </row>
    <row r="698" spans="2:4">
      <c r="B698" s="533">
        <v>44874</v>
      </c>
      <c r="C698" s="1">
        <v>3.4320359980935855E-2</v>
      </c>
      <c r="D698" s="1">
        <v>0</v>
      </c>
    </row>
    <row r="699" spans="2:4">
      <c r="B699" s="533">
        <v>44875</v>
      </c>
      <c r="C699" s="1">
        <v>3.4833983685450917E-2</v>
      </c>
      <c r="D699" s="1">
        <v>0</v>
      </c>
    </row>
    <row r="700" spans="2:4">
      <c r="B700" s="533">
        <v>44879</v>
      </c>
      <c r="C700" s="1">
        <v>3.5911881672139698E-2</v>
      </c>
      <c r="D700" s="1">
        <v>0</v>
      </c>
    </row>
    <row r="701" spans="2:4">
      <c r="B701" s="533">
        <v>44881</v>
      </c>
      <c r="C701" s="1">
        <v>3.6702815850862332E-2</v>
      </c>
      <c r="D701" s="1">
        <v>0</v>
      </c>
    </row>
    <row r="702" spans="2:4">
      <c r="B702" s="533">
        <v>44882</v>
      </c>
      <c r="C702" s="1">
        <v>3.8155152413539062E-2</v>
      </c>
      <c r="D702" s="1">
        <v>0</v>
      </c>
    </row>
    <row r="703" spans="2:4">
      <c r="B703" s="533">
        <v>44883</v>
      </c>
      <c r="C703" s="1">
        <v>3.8252212672874902E-2</v>
      </c>
      <c r="D703" s="1">
        <v>0</v>
      </c>
    </row>
    <row r="704" spans="2:4">
      <c r="B704" s="533">
        <v>44886</v>
      </c>
      <c r="C704" s="1">
        <v>3.7856148099946016E-2</v>
      </c>
      <c r="D704" s="1">
        <v>0</v>
      </c>
    </row>
    <row r="705" spans="2:4">
      <c r="B705" s="533">
        <v>44887</v>
      </c>
      <c r="C705" s="1">
        <v>3.6595516286322009E-2</v>
      </c>
      <c r="D705" s="1">
        <v>0</v>
      </c>
    </row>
    <row r="706" spans="2:4">
      <c r="B706" s="533">
        <v>44888</v>
      </c>
      <c r="C706" s="1">
        <v>3.6561986683172482E-2</v>
      </c>
      <c r="D706" s="1">
        <v>0</v>
      </c>
    </row>
    <row r="707" spans="2:4">
      <c r="B707" s="533">
        <v>44889</v>
      </c>
      <c r="C707" s="1">
        <v>3.6568906729268977E-2</v>
      </c>
      <c r="D707" s="1">
        <v>0</v>
      </c>
    </row>
    <row r="708" spans="2:4">
      <c r="B708" s="533">
        <v>44890</v>
      </c>
      <c r="C708" s="1">
        <v>3.713561165982298E-2</v>
      </c>
      <c r="D708" s="1">
        <v>0</v>
      </c>
    </row>
    <row r="709" spans="2:4">
      <c r="B709" s="533">
        <v>44893</v>
      </c>
      <c r="C709" s="1">
        <v>3.5762436376213819E-2</v>
      </c>
      <c r="D709" s="1">
        <v>0</v>
      </c>
    </row>
    <row r="710" spans="2:4">
      <c r="B710" s="533">
        <v>44894</v>
      </c>
      <c r="C710" s="1">
        <v>3.5332767584917824E-2</v>
      </c>
      <c r="D710" s="1">
        <v>0</v>
      </c>
    </row>
    <row r="711" spans="2:4">
      <c r="B711" s="533">
        <v>44895</v>
      </c>
      <c r="C711" s="1">
        <v>3.5713225925210854E-2</v>
      </c>
      <c r="D711" s="1">
        <v>0</v>
      </c>
    </row>
    <row r="712" spans="2:4">
      <c r="B712" s="533">
        <v>44896</v>
      </c>
      <c r="C712" s="1">
        <v>3.569910625395778E-2</v>
      </c>
      <c r="D712" s="1">
        <v>0</v>
      </c>
    </row>
    <row r="713" spans="2:4">
      <c r="B713" s="533">
        <v>44897</v>
      </c>
      <c r="C713" s="1">
        <v>3.5872829691977692E-2</v>
      </c>
      <c r="D713" s="1">
        <v>0</v>
      </c>
    </row>
    <row r="714" spans="2:4">
      <c r="B714" s="533">
        <v>44900</v>
      </c>
      <c r="C714" s="1">
        <v>3.4201899059574305E-2</v>
      </c>
      <c r="D714" s="1">
        <v>0</v>
      </c>
    </row>
    <row r="715" spans="2:4">
      <c r="B715" s="533">
        <v>44901</v>
      </c>
      <c r="C715" s="1">
        <v>3.5426818003433953E-2</v>
      </c>
      <c r="D715" s="1">
        <v>0</v>
      </c>
    </row>
    <row r="716" spans="2:4">
      <c r="B716" s="533">
        <v>44902</v>
      </c>
      <c r="C716" s="1">
        <v>3.5638793316058313E-2</v>
      </c>
      <c r="D716" s="1">
        <v>0</v>
      </c>
    </row>
    <row r="717" spans="2:4">
      <c r="B717" s="533">
        <v>44903</v>
      </c>
      <c r="C717" s="1">
        <v>3.459603226778471E-2</v>
      </c>
      <c r="D717" s="1">
        <v>0</v>
      </c>
    </row>
    <row r="718" spans="2:4">
      <c r="B718" s="533">
        <v>44904</v>
      </c>
      <c r="C718" s="1">
        <v>3.3517889416319183E-2</v>
      </c>
      <c r="D718" s="1">
        <v>0</v>
      </c>
    </row>
    <row r="719" spans="2:4">
      <c r="B719" s="533">
        <v>44907</v>
      </c>
      <c r="C719" s="1">
        <v>3.3494096917487511E-2</v>
      </c>
      <c r="D719" s="1">
        <v>0</v>
      </c>
    </row>
    <row r="720" spans="2:4">
      <c r="B720" s="533">
        <v>44908</v>
      </c>
      <c r="C720" s="1">
        <v>3.3631889286452797E-2</v>
      </c>
      <c r="D720" s="1">
        <v>0</v>
      </c>
    </row>
    <row r="721" spans="2:4">
      <c r="B721" s="533">
        <v>44909</v>
      </c>
      <c r="C721" s="1">
        <v>3.3136445343948467E-2</v>
      </c>
      <c r="D721" s="1">
        <v>0</v>
      </c>
    </row>
    <row r="722" spans="2:4">
      <c r="B722" s="533">
        <v>44910</v>
      </c>
      <c r="C722" s="1">
        <v>3.1992124148519312E-2</v>
      </c>
      <c r="D722" s="1">
        <v>0</v>
      </c>
    </row>
    <row r="723" spans="2:4">
      <c r="B723" s="533">
        <v>44911</v>
      </c>
      <c r="C723" s="1">
        <v>3.0506965387660723E-2</v>
      </c>
      <c r="D723" s="1">
        <v>0</v>
      </c>
    </row>
    <row r="724" spans="2:4">
      <c r="B724" s="533">
        <v>44914</v>
      </c>
      <c r="C724" s="1">
        <v>3.041055865220877E-2</v>
      </c>
      <c r="D724" s="1">
        <v>0</v>
      </c>
    </row>
    <row r="725" spans="2:4">
      <c r="B725" s="533">
        <v>44915</v>
      </c>
      <c r="C725" s="1">
        <v>3.1166488744991162E-2</v>
      </c>
      <c r="D725" s="1">
        <v>0</v>
      </c>
    </row>
    <row r="726" spans="2:4">
      <c r="B726" s="533">
        <v>44916</v>
      </c>
      <c r="C726" s="1">
        <v>3.2057836515676147E-2</v>
      </c>
      <c r="D726" s="1">
        <v>0</v>
      </c>
    </row>
    <row r="727" spans="2:4">
      <c r="B727" s="533">
        <v>44917</v>
      </c>
      <c r="C727" s="1">
        <v>3.2127231817583146E-2</v>
      </c>
      <c r="D727" s="1">
        <v>0</v>
      </c>
    </row>
    <row r="728" spans="2:4">
      <c r="B728" s="533">
        <v>44918</v>
      </c>
      <c r="C728" s="1">
        <v>3.1858684653323942E-2</v>
      </c>
      <c r="D728" s="1">
        <v>0</v>
      </c>
    </row>
    <row r="729" spans="2:4">
      <c r="B729" s="533">
        <v>44921</v>
      </c>
      <c r="C729" s="1">
        <v>3.0981335572059121E-2</v>
      </c>
      <c r="D729" s="1">
        <v>0</v>
      </c>
    </row>
    <row r="730" spans="2:4">
      <c r="B730" s="533">
        <v>44922</v>
      </c>
      <c r="C730" s="1">
        <v>2.9703366388679663E-2</v>
      </c>
      <c r="D730" s="1">
        <v>0</v>
      </c>
    </row>
    <row r="731" spans="2:4">
      <c r="B731" s="533">
        <v>44923</v>
      </c>
      <c r="C731" s="1">
        <v>2.9578853268216493E-2</v>
      </c>
      <c r="D731" s="1">
        <v>0</v>
      </c>
    </row>
    <row r="732" spans="2:4">
      <c r="B732" s="533">
        <v>44924</v>
      </c>
      <c r="C732" s="1">
        <v>2.9128030948933188E-2</v>
      </c>
      <c r="D732" s="1">
        <v>0</v>
      </c>
    </row>
    <row r="733" spans="2:4">
      <c r="B733" s="533">
        <v>44925</v>
      </c>
      <c r="C733" s="1">
        <v>2.7020257489020313E-2</v>
      </c>
      <c r="D733" s="1">
        <v>0</v>
      </c>
    </row>
    <row r="734" spans="2:4">
      <c r="B734" s="533">
        <v>44928</v>
      </c>
      <c r="C734" s="1">
        <v>2.6439607469959624E-2</v>
      </c>
      <c r="D734" s="1">
        <v>0</v>
      </c>
    </row>
    <row r="735" spans="2:4">
      <c r="B735" s="533">
        <v>44929</v>
      </c>
      <c r="C735" s="1">
        <v>2.9129851596615738E-2</v>
      </c>
      <c r="D735" s="1">
        <v>0</v>
      </c>
    </row>
    <row r="736" spans="2:4">
      <c r="B736" s="533">
        <v>44930</v>
      </c>
      <c r="C736" s="1">
        <v>2.8445627595483029E-2</v>
      </c>
      <c r="D736" s="1">
        <v>0</v>
      </c>
    </row>
    <row r="737" spans="2:4">
      <c r="B737" s="533">
        <v>44931</v>
      </c>
      <c r="C737" s="1">
        <v>2.850526452742197E-2</v>
      </c>
      <c r="D737" s="1">
        <v>0</v>
      </c>
    </row>
    <row r="738" spans="2:4">
      <c r="B738" s="533">
        <v>44932</v>
      </c>
      <c r="C738" s="1">
        <v>2.9142503683021893E-2</v>
      </c>
      <c r="D738" s="1">
        <v>0</v>
      </c>
    </row>
    <row r="739" spans="2:4">
      <c r="B739" s="533">
        <v>44935</v>
      </c>
      <c r="C739" s="1">
        <v>2.9004395702897031E-2</v>
      </c>
      <c r="D739" s="1">
        <v>0</v>
      </c>
    </row>
    <row r="740" spans="2:4">
      <c r="B740" s="533">
        <v>44936</v>
      </c>
      <c r="C740" s="1">
        <v>2.8980667715692819E-2</v>
      </c>
      <c r="D740" s="1">
        <v>0</v>
      </c>
    </row>
    <row r="741" spans="2:4">
      <c r="B741" s="533">
        <v>44937</v>
      </c>
      <c r="C741" s="1">
        <v>2.8027797954708389E-2</v>
      </c>
      <c r="D741" s="1">
        <v>0</v>
      </c>
    </row>
    <row r="742" spans="2:4">
      <c r="B742" s="533">
        <v>44938</v>
      </c>
      <c r="C742" s="1">
        <v>2.8551067666288444E-2</v>
      </c>
      <c r="D742" s="1">
        <v>0</v>
      </c>
    </row>
    <row r="743" spans="2:4">
      <c r="B743" s="533">
        <v>44939</v>
      </c>
      <c r="C743" s="1">
        <v>2.8296024308249981E-2</v>
      </c>
      <c r="D743" s="1">
        <v>0</v>
      </c>
    </row>
    <row r="744" spans="2:4">
      <c r="B744" s="533">
        <v>44942</v>
      </c>
      <c r="C744" s="1">
        <v>2.8244432303103344E-2</v>
      </c>
      <c r="D744" s="1">
        <v>0</v>
      </c>
    </row>
    <row r="745" spans="2:4">
      <c r="B745" s="533">
        <v>44943</v>
      </c>
      <c r="C745" s="1">
        <v>2.7695142302104347E-2</v>
      </c>
      <c r="D745" s="1">
        <v>0</v>
      </c>
    </row>
    <row r="746" spans="2:4">
      <c r="B746" s="533">
        <v>44944</v>
      </c>
      <c r="C746" s="1">
        <v>2.7587320045269446E-2</v>
      </c>
      <c r="D746" s="1">
        <v>0</v>
      </c>
    </row>
    <row r="747" spans="2:4">
      <c r="B747" s="533">
        <v>44945</v>
      </c>
      <c r="C747" s="1">
        <v>2.6937303968896043E-2</v>
      </c>
      <c r="D747" s="1">
        <v>0</v>
      </c>
    </row>
    <row r="748" spans="2:4">
      <c r="B748" s="533">
        <v>44946</v>
      </c>
      <c r="C748" s="1">
        <v>2.6827589580654138E-2</v>
      </c>
      <c r="D748" s="1">
        <v>0</v>
      </c>
    </row>
    <row r="749" spans="2:4">
      <c r="B749" s="533">
        <v>44949</v>
      </c>
      <c r="C749" s="1">
        <v>2.7171945023412181E-2</v>
      </c>
      <c r="D749" s="1">
        <v>0</v>
      </c>
    </row>
    <row r="750" spans="2:4">
      <c r="B750" s="533">
        <v>44950</v>
      </c>
      <c r="C750" s="1">
        <v>2.6618455500299565E-2</v>
      </c>
      <c r="D750" s="1">
        <v>0</v>
      </c>
    </row>
    <row r="751" spans="2:4">
      <c r="B751" s="533">
        <v>44951</v>
      </c>
      <c r="C751" s="1">
        <v>2.6501492745858609E-2</v>
      </c>
      <c r="D751" s="1">
        <v>0</v>
      </c>
    </row>
    <row r="752" spans="2:4">
      <c r="B752" s="533">
        <v>44952</v>
      </c>
      <c r="C752" s="1">
        <v>2.6515795956311681E-2</v>
      </c>
      <c r="D752" s="1">
        <v>0</v>
      </c>
    </row>
    <row r="753" spans="2:4">
      <c r="B753" s="533">
        <v>44953</v>
      </c>
      <c r="C753" s="1">
        <v>2.5748303955376545E-2</v>
      </c>
      <c r="D753" s="1">
        <v>0</v>
      </c>
    </row>
    <row r="754" spans="2:4">
      <c r="B754" s="533">
        <v>44956</v>
      </c>
      <c r="C754" s="1">
        <v>2.6151360786546094E-2</v>
      </c>
      <c r="D754" s="1">
        <v>0</v>
      </c>
    </row>
    <row r="755" spans="2:4">
      <c r="B755" s="533">
        <v>44957</v>
      </c>
      <c r="C755" s="1">
        <v>2.6758112753855982E-2</v>
      </c>
      <c r="D755" s="1">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76"/>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328" customFormat="1" ht="30">
      <c r="C2" s="551" t="s">
        <v>1425</v>
      </c>
      <c r="D2" s="551" t="s">
        <v>64</v>
      </c>
      <c r="F2"/>
      <c r="G2"/>
    </row>
    <row r="3" spans="2:7">
      <c r="B3" s="532">
        <v>43832</v>
      </c>
      <c r="C3" s="529">
        <v>0</v>
      </c>
      <c r="D3" s="529">
        <v>0</v>
      </c>
    </row>
    <row r="4" spans="2:7">
      <c r="B4" s="532">
        <v>43833</v>
      </c>
      <c r="C4" s="529">
        <v>-1.0761505771735846E-3</v>
      </c>
      <c r="D4" s="529">
        <v>0</v>
      </c>
    </row>
    <row r="5" spans="2:7">
      <c r="B5" s="532">
        <v>43836</v>
      </c>
      <c r="C5" s="529">
        <v>-2.2551268115994505E-3</v>
      </c>
      <c r="D5" s="529">
        <v>0</v>
      </c>
    </row>
    <row r="6" spans="2:7">
      <c r="B6" s="532">
        <v>43837</v>
      </c>
      <c r="C6" s="529">
        <v>-2.0382347326876049E-3</v>
      </c>
      <c r="D6" s="529">
        <v>0</v>
      </c>
    </row>
    <row r="7" spans="2:7">
      <c r="B7" s="532">
        <v>43838</v>
      </c>
      <c r="C7" s="529">
        <v>-2.5189449928453289E-3</v>
      </c>
      <c r="D7" s="529">
        <v>0</v>
      </c>
    </row>
    <row r="8" spans="2:7">
      <c r="B8" s="532">
        <v>43839</v>
      </c>
      <c r="C8" s="529">
        <v>-1.7831250175341928E-3</v>
      </c>
      <c r="D8" s="529">
        <v>0</v>
      </c>
    </row>
    <row r="9" spans="2:7">
      <c r="B9" s="532">
        <v>43840</v>
      </c>
      <c r="C9" s="529">
        <v>-1.7188233119308505E-3</v>
      </c>
      <c r="D9" s="529">
        <v>0</v>
      </c>
    </row>
    <row r="10" spans="2:7">
      <c r="B10" s="532">
        <v>43843</v>
      </c>
      <c r="C10" s="529">
        <v>0</v>
      </c>
      <c r="D10" s="529">
        <v>0</v>
      </c>
    </row>
    <row r="11" spans="2:7">
      <c r="B11" s="532">
        <v>43844</v>
      </c>
      <c r="C11" s="529">
        <v>0</v>
      </c>
      <c r="D11" s="529">
        <v>0</v>
      </c>
    </row>
    <row r="12" spans="2:7">
      <c r="B12" s="532">
        <v>43845</v>
      </c>
      <c r="C12" s="529">
        <v>-8.4802396531047375E-4</v>
      </c>
      <c r="D12" s="529">
        <v>0</v>
      </c>
    </row>
    <row r="13" spans="2:7">
      <c r="B13" s="532">
        <v>43846</v>
      </c>
      <c r="C13" s="529">
        <v>-2.131080885636738E-4</v>
      </c>
      <c r="D13" s="529">
        <v>0</v>
      </c>
    </row>
    <row r="14" spans="2:7">
      <c r="B14" s="532">
        <v>43847</v>
      </c>
      <c r="C14" s="529">
        <v>0</v>
      </c>
      <c r="D14" s="529">
        <v>0</v>
      </c>
    </row>
    <row r="15" spans="2:7">
      <c r="B15" s="532">
        <v>43850</v>
      </c>
      <c r="C15" s="529">
        <v>0</v>
      </c>
      <c r="D15" s="529">
        <v>0</v>
      </c>
    </row>
    <row r="16" spans="2:7">
      <c r="B16" s="532">
        <v>43851</v>
      </c>
      <c r="C16" s="529">
        <v>-2.8875369768232018E-3</v>
      </c>
      <c r="D16" s="529">
        <v>0</v>
      </c>
    </row>
    <row r="17" spans="2:4">
      <c r="B17" s="532">
        <v>43852</v>
      </c>
      <c r="C17" s="529">
        <v>-7.3255814795858409E-4</v>
      </c>
      <c r="D17" s="529">
        <v>0</v>
      </c>
    </row>
    <row r="18" spans="2:4">
      <c r="B18" s="532">
        <v>43853</v>
      </c>
      <c r="C18" s="529">
        <v>0</v>
      </c>
      <c r="D18" s="529">
        <v>0</v>
      </c>
    </row>
    <row r="19" spans="2:4">
      <c r="B19" s="532">
        <v>43854</v>
      </c>
      <c r="C19" s="529">
        <v>-2.0405304825259485E-3</v>
      </c>
      <c r="D19" s="529">
        <v>0</v>
      </c>
    </row>
    <row r="20" spans="2:4">
      <c r="B20" s="532">
        <v>43857</v>
      </c>
      <c r="C20" s="529">
        <v>-8.0147164881797517E-3</v>
      </c>
      <c r="D20" s="529">
        <v>0</v>
      </c>
    </row>
    <row r="21" spans="2:4">
      <c r="B21" s="532">
        <v>43858</v>
      </c>
      <c r="C21" s="529">
        <v>-4.3062415984622682E-3</v>
      </c>
      <c r="D21" s="529">
        <v>0</v>
      </c>
    </row>
    <row r="22" spans="2:4">
      <c r="B22" s="532">
        <v>43859</v>
      </c>
      <c r="C22" s="529">
        <v>-5.1646067938638796E-3</v>
      </c>
      <c r="D22" s="529">
        <v>0</v>
      </c>
    </row>
    <row r="23" spans="2:4">
      <c r="B23" s="532">
        <v>43860</v>
      </c>
      <c r="C23" s="529">
        <v>-5.7341962143471203E-3</v>
      </c>
      <c r="D23" s="529">
        <v>0</v>
      </c>
    </row>
    <row r="24" spans="2:4">
      <c r="B24" s="532">
        <v>43861</v>
      </c>
      <c r="C24" s="529">
        <v>-7.8213317730042586E-3</v>
      </c>
      <c r="D24" s="529">
        <v>0</v>
      </c>
    </row>
    <row r="25" spans="2:4">
      <c r="B25" s="532">
        <v>43864</v>
      </c>
      <c r="C25" s="529">
        <v>-6.4509197461435352E-3</v>
      </c>
      <c r="D25" s="529">
        <v>0</v>
      </c>
    </row>
    <row r="26" spans="2:4">
      <c r="B26" s="532">
        <v>43865</v>
      </c>
      <c r="C26" s="529">
        <v>-4.0640200005875871E-3</v>
      </c>
      <c r="D26" s="529">
        <v>0</v>
      </c>
    </row>
    <row r="27" spans="2:4">
      <c r="B27" s="532">
        <v>43866</v>
      </c>
      <c r="C27" s="529">
        <v>-1.6813842407247259E-3</v>
      </c>
      <c r="D27" s="529">
        <v>0</v>
      </c>
    </row>
    <row r="28" spans="2:4">
      <c r="B28" s="532">
        <v>43867</v>
      </c>
      <c r="C28" s="529">
        <v>-2.239140964366948E-3</v>
      </c>
      <c r="D28" s="529">
        <v>0</v>
      </c>
    </row>
    <row r="29" spans="2:4">
      <c r="B29" s="532">
        <v>43868</v>
      </c>
      <c r="C29" s="529">
        <v>-4.4620347673259841E-3</v>
      </c>
      <c r="D29" s="529">
        <v>0</v>
      </c>
    </row>
    <row r="30" spans="2:4">
      <c r="B30" s="532">
        <v>43871</v>
      </c>
      <c r="C30" s="529">
        <v>-6.728569959694064E-3</v>
      </c>
      <c r="D30" s="529">
        <v>0</v>
      </c>
    </row>
    <row r="31" spans="2:4">
      <c r="B31" s="532">
        <v>43872</v>
      </c>
      <c r="C31" s="529">
        <v>-1.8068530143868777E-3</v>
      </c>
      <c r="D31" s="529">
        <v>0</v>
      </c>
    </row>
    <row r="32" spans="2:4">
      <c r="B32" s="532">
        <v>43873</v>
      </c>
      <c r="C32" s="529">
        <v>0</v>
      </c>
      <c r="D32" s="529">
        <v>0</v>
      </c>
    </row>
    <row r="33" spans="2:4">
      <c r="B33" s="532">
        <v>43874</v>
      </c>
      <c r="C33" s="529">
        <v>-8.5350000117923042E-4</v>
      </c>
      <c r="D33" s="529">
        <v>0</v>
      </c>
    </row>
    <row r="34" spans="2:4">
      <c r="B34" s="532">
        <v>43875</v>
      </c>
      <c r="C34" s="529">
        <v>-2.1598327232111858E-3</v>
      </c>
      <c r="D34" s="529">
        <v>0</v>
      </c>
    </row>
    <row r="35" spans="2:4">
      <c r="B35" s="532">
        <v>43878</v>
      </c>
      <c r="C35" s="529">
        <v>-2.856538832555211E-4</v>
      </c>
      <c r="D35" s="529">
        <v>0</v>
      </c>
    </row>
    <row r="36" spans="2:4">
      <c r="B36" s="532">
        <v>43879</v>
      </c>
      <c r="C36" s="529">
        <v>-6.155406726232604E-4</v>
      </c>
      <c r="D36" s="529">
        <v>0</v>
      </c>
    </row>
    <row r="37" spans="2:4">
      <c r="B37" s="532">
        <v>43880</v>
      </c>
      <c r="C37" s="529">
        <v>0</v>
      </c>
      <c r="D37" s="529">
        <v>0</v>
      </c>
    </row>
    <row r="38" spans="2:4">
      <c r="B38" s="532">
        <v>43881</v>
      </c>
      <c r="C38" s="529">
        <v>-2.5129026782778618E-3</v>
      </c>
      <c r="D38" s="529">
        <v>0</v>
      </c>
    </row>
    <row r="39" spans="2:4">
      <c r="B39" s="532">
        <v>43882</v>
      </c>
      <c r="C39" s="529">
        <v>-4.0758411227224123E-3</v>
      </c>
      <c r="D39" s="529">
        <v>0</v>
      </c>
    </row>
    <row r="40" spans="2:4">
      <c r="B40" s="532">
        <v>43887</v>
      </c>
      <c r="C40" s="529">
        <v>-1.7313294939814594E-2</v>
      </c>
      <c r="D40" s="529">
        <v>0</v>
      </c>
    </row>
    <row r="41" spans="2:4">
      <c r="B41" s="532">
        <v>43888</v>
      </c>
      <c r="C41" s="529">
        <v>-2.1828501026424862E-2</v>
      </c>
      <c r="D41" s="529">
        <v>0</v>
      </c>
    </row>
    <row r="42" spans="2:4">
      <c r="B42" s="532">
        <v>43889</v>
      </c>
      <c r="C42" s="529">
        <v>-2.0386963739383424E-2</v>
      </c>
      <c r="D42" s="529">
        <v>0</v>
      </c>
    </row>
    <row r="43" spans="2:4">
      <c r="B43" s="532">
        <v>43892</v>
      </c>
      <c r="C43" s="529">
        <v>-1.411443719960026E-2</v>
      </c>
      <c r="D43" s="529">
        <v>0</v>
      </c>
    </row>
    <row r="44" spans="2:4">
      <c r="B44" s="532">
        <v>43893</v>
      </c>
      <c r="C44" s="529">
        <v>-1.4562586912294395E-2</v>
      </c>
      <c r="D44" s="529">
        <v>0</v>
      </c>
    </row>
    <row r="45" spans="2:4">
      <c r="B45" s="532">
        <v>43894</v>
      </c>
      <c r="C45" s="529">
        <v>-9.5612624502240395E-3</v>
      </c>
      <c r="D45" s="529">
        <v>0</v>
      </c>
    </row>
    <row r="46" spans="2:4">
      <c r="B46" s="532">
        <v>43895</v>
      </c>
      <c r="C46" s="529">
        <v>-1.808899440855305E-2</v>
      </c>
      <c r="D46" s="529">
        <v>0</v>
      </c>
    </row>
    <row r="47" spans="2:4">
      <c r="B47" s="532">
        <v>43896</v>
      </c>
      <c r="C47" s="529">
        <v>-2.598488491111961E-2</v>
      </c>
      <c r="D47" s="529">
        <v>0</v>
      </c>
    </row>
    <row r="48" spans="2:4">
      <c r="B48" s="532">
        <v>43899</v>
      </c>
      <c r="C48" s="529">
        <v>-4.6855568410189674E-2</v>
      </c>
      <c r="D48" s="529">
        <v>0</v>
      </c>
    </row>
    <row r="49" spans="2:4">
      <c r="B49" s="532">
        <v>43900</v>
      </c>
      <c r="C49" s="529">
        <v>-3.5336108452469484E-2</v>
      </c>
      <c r="D49" s="529">
        <v>0</v>
      </c>
    </row>
    <row r="50" spans="2:4">
      <c r="B50" s="532">
        <v>43901</v>
      </c>
      <c r="C50" s="529">
        <v>-4.9145758993088262E-2</v>
      </c>
      <c r="D50" s="529">
        <v>0</v>
      </c>
    </row>
    <row r="51" spans="2:4">
      <c r="B51" s="532">
        <v>43902</v>
      </c>
      <c r="C51" s="529">
        <v>-7.4322500367761557E-2</v>
      </c>
      <c r="D51" s="529">
        <v>0</v>
      </c>
    </row>
    <row r="52" spans="2:4">
      <c r="B52" s="532">
        <v>43903</v>
      </c>
      <c r="C52" s="529">
        <v>-5.269032195107981E-2</v>
      </c>
      <c r="D52" s="529">
        <v>0</v>
      </c>
    </row>
    <row r="53" spans="2:4">
      <c r="B53" s="532">
        <v>43906</v>
      </c>
      <c r="C53" s="529">
        <v>-7.2804032571239019E-2</v>
      </c>
      <c r="D53" s="529">
        <v>0</v>
      </c>
    </row>
    <row r="54" spans="2:4">
      <c r="B54" s="532">
        <v>43907</v>
      </c>
      <c r="C54" s="529">
        <v>-6.6623701252324752E-2</v>
      </c>
      <c r="D54" s="529">
        <v>0</v>
      </c>
    </row>
    <row r="55" spans="2:4">
      <c r="B55" s="532">
        <v>43908</v>
      </c>
      <c r="C55" s="529">
        <v>-8.5109875304399174E-2</v>
      </c>
      <c r="D55" s="529">
        <v>0</v>
      </c>
    </row>
    <row r="56" spans="2:4">
      <c r="B56" s="532">
        <v>43909</v>
      </c>
      <c r="C56" s="529">
        <v>-8.3872067485381452E-2</v>
      </c>
      <c r="D56" s="529">
        <v>0</v>
      </c>
    </row>
    <row r="57" spans="2:4">
      <c r="B57" s="532">
        <v>43910</v>
      </c>
      <c r="C57" s="529">
        <v>-8.5918151791391506E-2</v>
      </c>
      <c r="D57" s="529">
        <v>0</v>
      </c>
    </row>
    <row r="58" spans="2:4">
      <c r="B58" s="532">
        <v>43913</v>
      </c>
      <c r="C58" s="529">
        <v>-9.2943702770610703E-2</v>
      </c>
      <c r="D58" s="529">
        <v>0</v>
      </c>
    </row>
    <row r="59" spans="2:4">
      <c r="B59" s="532">
        <v>43914</v>
      </c>
      <c r="C59" s="529">
        <v>-7.8675840582643208E-2</v>
      </c>
      <c r="D59" s="529">
        <v>0</v>
      </c>
    </row>
    <row r="60" spans="2:4">
      <c r="B60" s="532">
        <v>43915</v>
      </c>
      <c r="C60" s="529">
        <v>-6.9164140404979646E-2</v>
      </c>
      <c r="D60" s="529">
        <v>0</v>
      </c>
    </row>
    <row r="61" spans="2:4">
      <c r="B61" s="532">
        <v>43916</v>
      </c>
      <c r="C61" s="529">
        <v>-6.1439208700416414E-2</v>
      </c>
      <c r="D61" s="529">
        <v>0</v>
      </c>
    </row>
    <row r="62" spans="2:4">
      <c r="B62" s="532">
        <v>43917</v>
      </c>
      <c r="C62" s="529">
        <v>-6.7024358481215573E-2</v>
      </c>
      <c r="D62" s="529">
        <v>0</v>
      </c>
    </row>
    <row r="63" spans="2:4">
      <c r="B63" s="532">
        <v>43920</v>
      </c>
      <c r="C63" s="529">
        <v>-6.3077371048931741E-2</v>
      </c>
      <c r="D63" s="529">
        <v>0</v>
      </c>
    </row>
    <row r="64" spans="2:4">
      <c r="B64" s="532">
        <v>43921</v>
      </c>
      <c r="C64" s="529">
        <v>-6.5891593648613078E-2</v>
      </c>
      <c r="D64" s="529">
        <v>0</v>
      </c>
    </row>
    <row r="65" spans="2:4">
      <c r="B65" s="532">
        <v>43922</v>
      </c>
      <c r="C65" s="529">
        <v>-7.056223579801002E-2</v>
      </c>
      <c r="D65" s="529">
        <v>0</v>
      </c>
    </row>
    <row r="66" spans="2:4">
      <c r="B66" s="532">
        <v>43923</v>
      </c>
      <c r="C66" s="529">
        <v>-6.852993201363522E-2</v>
      </c>
      <c r="D66" s="529">
        <v>0</v>
      </c>
    </row>
    <row r="67" spans="2:4">
      <c r="B67" s="532">
        <v>43924</v>
      </c>
      <c r="C67" s="529">
        <v>-7.2461317688283122E-2</v>
      </c>
      <c r="D67" s="529">
        <v>0</v>
      </c>
    </row>
    <row r="68" spans="2:4">
      <c r="B68" s="532">
        <v>43927</v>
      </c>
      <c r="C68" s="529">
        <v>-6.2560038261362139E-2</v>
      </c>
      <c r="D68" s="529">
        <v>0</v>
      </c>
    </row>
    <row r="69" spans="2:4">
      <c r="B69" s="532">
        <v>43928</v>
      </c>
      <c r="C69" s="529">
        <v>-5.8419361818132787E-2</v>
      </c>
      <c r="D69" s="529">
        <v>0</v>
      </c>
    </row>
    <row r="70" spans="2:4">
      <c r="B70" s="532">
        <v>43929</v>
      </c>
      <c r="C70" s="529">
        <v>-5.4851510325785058E-2</v>
      </c>
      <c r="D70" s="529">
        <v>0</v>
      </c>
    </row>
    <row r="71" spans="2:4">
      <c r="B71" s="532">
        <v>43930</v>
      </c>
      <c r="C71" s="529">
        <v>-5.486910043149229E-2</v>
      </c>
      <c r="D71" s="529">
        <v>0</v>
      </c>
    </row>
    <row r="72" spans="2:4">
      <c r="B72" s="532">
        <v>43934</v>
      </c>
      <c r="C72" s="529">
        <v>-5.2424788294177516E-2</v>
      </c>
      <c r="D72" s="529">
        <v>0</v>
      </c>
    </row>
    <row r="73" spans="2:4">
      <c r="B73" s="532">
        <v>43935</v>
      </c>
      <c r="C73" s="529">
        <v>-4.739088613719955E-2</v>
      </c>
      <c r="D73" s="529">
        <v>0</v>
      </c>
    </row>
    <row r="74" spans="2:4">
      <c r="B74" s="532">
        <v>43936</v>
      </c>
      <c r="C74" s="529">
        <v>-4.8403049362788608E-2</v>
      </c>
      <c r="D74" s="529">
        <v>0</v>
      </c>
    </row>
    <row r="75" spans="2:4">
      <c r="B75" s="532">
        <v>43937</v>
      </c>
      <c r="C75" s="529">
        <v>-4.8082480153833762E-2</v>
      </c>
      <c r="D75" s="529">
        <v>0</v>
      </c>
    </row>
    <row r="76" spans="2:4">
      <c r="B76" s="532">
        <v>43938</v>
      </c>
      <c r="C76" s="529">
        <v>-4.6009712366433142E-2</v>
      </c>
      <c r="D76" s="529">
        <v>0</v>
      </c>
    </row>
    <row r="77" spans="2:4">
      <c r="B77" s="532">
        <v>43941</v>
      </c>
      <c r="C77" s="529">
        <v>-4.4147507892851934E-2</v>
      </c>
      <c r="D77" s="529">
        <v>0</v>
      </c>
    </row>
    <row r="78" spans="2:4">
      <c r="B78" s="532">
        <v>43943</v>
      </c>
      <c r="C78" s="529">
        <v>-3.8159169077829902E-2</v>
      </c>
      <c r="D78" s="529">
        <v>0</v>
      </c>
    </row>
    <row r="79" spans="2:4">
      <c r="B79" s="532">
        <v>43944</v>
      </c>
      <c r="C79" s="529">
        <v>-3.9797446785878599E-2</v>
      </c>
      <c r="D79" s="529">
        <v>0</v>
      </c>
    </row>
    <row r="80" spans="2:4">
      <c r="B80" s="532">
        <v>43945</v>
      </c>
      <c r="C80" s="529">
        <v>-4.8263198766139492E-2</v>
      </c>
      <c r="D80" s="529">
        <v>0</v>
      </c>
    </row>
    <row r="81" spans="2:4">
      <c r="B81" s="532">
        <v>43948</v>
      </c>
      <c r="C81" s="529">
        <v>-4.3150388332474643E-2</v>
      </c>
      <c r="D81" s="529">
        <v>0</v>
      </c>
    </row>
    <row r="82" spans="2:4">
      <c r="B82" s="532">
        <v>43949</v>
      </c>
      <c r="C82" s="529">
        <v>-3.8033621186290945E-2</v>
      </c>
      <c r="D82" s="529">
        <v>0</v>
      </c>
    </row>
    <row r="83" spans="2:4">
      <c r="B83" s="532">
        <v>43950</v>
      </c>
      <c r="C83" s="529">
        <v>-3.5362481212465324E-2</v>
      </c>
      <c r="D83" s="529">
        <v>0</v>
      </c>
    </row>
    <row r="84" spans="2:4">
      <c r="B84" s="532">
        <v>43951</v>
      </c>
      <c r="C84" s="529">
        <v>-3.8797283536400107E-2</v>
      </c>
      <c r="D84" s="529">
        <v>0</v>
      </c>
    </row>
    <row r="85" spans="2:4">
      <c r="B85" s="532">
        <v>43955</v>
      </c>
      <c r="C85" s="529">
        <v>-4.1746957449715238E-2</v>
      </c>
      <c r="D85" s="529">
        <v>0</v>
      </c>
    </row>
    <row r="86" spans="2:4">
      <c r="B86" s="532">
        <v>43956</v>
      </c>
      <c r="C86" s="529">
        <v>-3.9947175982135374E-2</v>
      </c>
      <c r="D86" s="529">
        <v>0</v>
      </c>
    </row>
    <row r="87" spans="2:4">
      <c r="B87" s="532">
        <v>43957</v>
      </c>
      <c r="C87" s="529">
        <v>-3.913584400430814E-2</v>
      </c>
      <c r="D87" s="529">
        <v>0</v>
      </c>
    </row>
    <row r="88" spans="2:4">
      <c r="B88" s="532">
        <v>43958</v>
      </c>
      <c r="C88" s="529">
        <v>-3.8185524186806652E-2</v>
      </c>
      <c r="D88" s="529">
        <v>0</v>
      </c>
    </row>
    <row r="89" spans="2:4">
      <c r="B89" s="532">
        <v>43959</v>
      </c>
      <c r="C89" s="529">
        <v>-3.533938147634863E-2</v>
      </c>
      <c r="D89" s="529">
        <v>0</v>
      </c>
    </row>
    <row r="90" spans="2:4">
      <c r="B90" s="532">
        <v>43962</v>
      </c>
      <c r="C90" s="529">
        <v>-3.6250253921541353E-2</v>
      </c>
      <c r="D90" s="529">
        <v>0</v>
      </c>
    </row>
    <row r="91" spans="2:4">
      <c r="B91" s="532">
        <v>43963</v>
      </c>
      <c r="C91" s="529">
        <v>-3.8894559530455397E-2</v>
      </c>
      <c r="D91" s="529">
        <v>0</v>
      </c>
    </row>
    <row r="92" spans="2:4">
      <c r="B92" s="532">
        <v>43964</v>
      </c>
      <c r="C92" s="529">
        <v>-3.866711730997241E-2</v>
      </c>
      <c r="D92" s="529">
        <v>0</v>
      </c>
    </row>
    <row r="93" spans="2:4">
      <c r="B93" s="532">
        <v>43965</v>
      </c>
      <c r="C93" s="529">
        <v>-3.7227568232174879E-2</v>
      </c>
      <c r="D93" s="529">
        <v>0</v>
      </c>
    </row>
    <row r="94" spans="2:4">
      <c r="B94" s="532">
        <v>43966</v>
      </c>
      <c r="C94" s="529">
        <v>-3.9066580733687406E-2</v>
      </c>
      <c r="D94" s="529">
        <v>0</v>
      </c>
    </row>
    <row r="95" spans="2:4">
      <c r="B95" s="532">
        <v>43969</v>
      </c>
      <c r="C95" s="529">
        <v>-3.3574010349020522E-2</v>
      </c>
      <c r="D95" s="529">
        <v>0</v>
      </c>
    </row>
    <row r="96" spans="2:4">
      <c r="B96" s="532">
        <v>43970</v>
      </c>
      <c r="C96" s="529">
        <v>-3.2944550356078017E-2</v>
      </c>
      <c r="D96" s="529">
        <v>0</v>
      </c>
    </row>
    <row r="97" spans="2:4">
      <c r="B97" s="532">
        <v>43971</v>
      </c>
      <c r="C97" s="529">
        <v>-3.1665027573231752E-2</v>
      </c>
      <c r="D97" s="529">
        <v>0</v>
      </c>
    </row>
    <row r="98" spans="2:4">
      <c r="B98" s="532">
        <v>43972</v>
      </c>
      <c r="C98" s="529">
        <v>-2.9812631884891916E-2</v>
      </c>
      <c r="D98" s="529">
        <v>0</v>
      </c>
    </row>
    <row r="99" spans="2:4">
      <c r="B99" s="532">
        <v>43973</v>
      </c>
      <c r="C99" s="529">
        <v>-3.1340382860252314E-2</v>
      </c>
      <c r="D99" s="529">
        <v>0</v>
      </c>
    </row>
    <row r="100" spans="2:4">
      <c r="B100" s="532">
        <v>43976</v>
      </c>
      <c r="C100" s="529">
        <v>-2.531926328458145E-2</v>
      </c>
      <c r="D100" s="529">
        <v>0</v>
      </c>
    </row>
    <row r="101" spans="2:4">
      <c r="B101" s="532">
        <v>43977</v>
      </c>
      <c r="C101" s="529">
        <v>-2.5571354493457044E-2</v>
      </c>
      <c r="D101" s="529">
        <v>0</v>
      </c>
    </row>
    <row r="102" spans="2:4">
      <c r="B102" s="532">
        <v>43978</v>
      </c>
      <c r="C102" s="529">
        <v>-2.1434456764825027E-2</v>
      </c>
      <c r="D102" s="529">
        <v>0</v>
      </c>
    </row>
    <row r="103" spans="2:4">
      <c r="B103" s="532">
        <v>43979</v>
      </c>
      <c r="C103" s="529">
        <v>-2.2255353649715648E-2</v>
      </c>
      <c r="D103" s="529">
        <v>0</v>
      </c>
    </row>
    <row r="104" spans="2:4">
      <c r="B104" s="532">
        <v>43980</v>
      </c>
      <c r="C104" s="529">
        <v>-2.0743987934157104E-2</v>
      </c>
      <c r="D104" s="529">
        <v>0</v>
      </c>
    </row>
    <row r="105" spans="2:4">
      <c r="B105" s="532">
        <v>43983</v>
      </c>
      <c r="C105" s="529">
        <v>-1.7966755371672694E-2</v>
      </c>
      <c r="D105" s="529">
        <v>0</v>
      </c>
    </row>
    <row r="106" spans="2:4">
      <c r="B106" s="532">
        <v>43984</v>
      </c>
      <c r="C106" s="529">
        <v>-1.4634807839198904E-2</v>
      </c>
      <c r="D106" s="529">
        <v>0</v>
      </c>
    </row>
    <row r="107" spans="2:4">
      <c r="B107" s="532">
        <v>43985</v>
      </c>
      <c r="C107" s="529">
        <v>-1.0419369412640211E-2</v>
      </c>
      <c r="D107" s="529">
        <v>0</v>
      </c>
    </row>
    <row r="108" spans="2:4">
      <c r="B108" s="532">
        <v>43986</v>
      </c>
      <c r="C108" s="529">
        <v>-8.5736133757274846E-3</v>
      </c>
      <c r="D108" s="529">
        <v>0</v>
      </c>
    </row>
    <row r="109" spans="2:4">
      <c r="B109" s="532">
        <v>43987</v>
      </c>
      <c r="C109" s="529">
        <v>-6.8477507674640226E-3</v>
      </c>
      <c r="D109" s="529">
        <v>0</v>
      </c>
    </row>
    <row r="110" spans="2:4">
      <c r="B110" s="532">
        <v>43990</v>
      </c>
      <c r="C110" s="529">
        <v>-2.0824744325723676E-3</v>
      </c>
      <c r="D110" s="529">
        <v>0</v>
      </c>
    </row>
    <row r="111" spans="2:4">
      <c r="B111" s="532">
        <v>43991</v>
      </c>
      <c r="C111" s="529">
        <v>-3.3055935150706484E-3</v>
      </c>
      <c r="D111" s="529">
        <v>0</v>
      </c>
    </row>
    <row r="112" spans="2:4">
      <c r="B112" s="532">
        <v>43992</v>
      </c>
      <c r="C112" s="529">
        <v>-5.6709288870934182E-3</v>
      </c>
      <c r="D112" s="529">
        <v>0</v>
      </c>
    </row>
    <row r="113" spans="2:4">
      <c r="B113" s="532">
        <v>43994</v>
      </c>
      <c r="C113" s="529">
        <v>-9.2345589760025604E-3</v>
      </c>
      <c r="D113" s="529">
        <v>0</v>
      </c>
    </row>
    <row r="114" spans="2:4">
      <c r="B114" s="532">
        <v>43997</v>
      </c>
      <c r="C114" s="529">
        <v>-9.0582065157115421E-3</v>
      </c>
      <c r="D114" s="529">
        <v>0</v>
      </c>
    </row>
    <row r="115" spans="2:4">
      <c r="B115" s="532">
        <v>43998</v>
      </c>
      <c r="C115" s="529">
        <v>-6.2012703055649432E-3</v>
      </c>
      <c r="D115" s="529">
        <v>0</v>
      </c>
    </row>
    <row r="116" spans="2:4">
      <c r="B116" s="532">
        <v>43999</v>
      </c>
      <c r="C116" s="529">
        <v>-2.2530753691205607E-3</v>
      </c>
      <c r="D116" s="529">
        <v>0</v>
      </c>
    </row>
    <row r="117" spans="2:4">
      <c r="B117" s="532">
        <v>44000</v>
      </c>
      <c r="C117" s="529">
        <v>-1.6366851496263379E-4</v>
      </c>
      <c r="D117" s="529">
        <v>0</v>
      </c>
    </row>
    <row r="118" spans="2:4">
      <c r="B118" s="532">
        <v>44001</v>
      </c>
      <c r="C118" s="529">
        <v>0</v>
      </c>
      <c r="D118" s="529">
        <v>0</v>
      </c>
    </row>
    <row r="119" spans="2:4">
      <c r="B119" s="532">
        <v>44004</v>
      </c>
      <c r="C119" s="529">
        <v>-1.0503757109153744E-3</v>
      </c>
      <c r="D119" s="529">
        <v>0</v>
      </c>
    </row>
    <row r="120" spans="2:4">
      <c r="B120" s="532">
        <v>44005</v>
      </c>
      <c r="C120" s="529">
        <v>0</v>
      </c>
      <c r="D120" s="529">
        <v>0</v>
      </c>
    </row>
    <row r="121" spans="2:4">
      <c r="B121" s="532">
        <v>44006</v>
      </c>
      <c r="C121" s="529">
        <v>-2.5649285796867094E-3</v>
      </c>
      <c r="D121" s="529">
        <v>0</v>
      </c>
    </row>
    <row r="122" spans="2:4">
      <c r="B122" s="532">
        <v>44007</v>
      </c>
      <c r="C122" s="529">
        <v>0</v>
      </c>
      <c r="D122" s="529">
        <v>0</v>
      </c>
    </row>
    <row r="123" spans="2:4">
      <c r="B123" s="532">
        <v>44008</v>
      </c>
      <c r="C123" s="529">
        <v>-3.6529991878319068E-3</v>
      </c>
      <c r="D123" s="529">
        <v>0</v>
      </c>
    </row>
    <row r="124" spans="2:4">
      <c r="B124" s="532">
        <v>44011</v>
      </c>
      <c r="C124" s="529">
        <v>-3.3024376706847214E-4</v>
      </c>
      <c r="D124" s="529">
        <v>0</v>
      </c>
    </row>
    <row r="125" spans="2:4">
      <c r="B125" s="532">
        <v>44012</v>
      </c>
      <c r="C125" s="529">
        <v>0</v>
      </c>
      <c r="D125" s="529">
        <v>0</v>
      </c>
    </row>
    <row r="126" spans="2:4">
      <c r="B126" s="532">
        <v>44013</v>
      </c>
      <c r="C126" s="529">
        <v>0</v>
      </c>
      <c r="D126" s="529">
        <v>0</v>
      </c>
    </row>
    <row r="127" spans="2:4">
      <c r="B127" s="532">
        <v>44014</v>
      </c>
      <c r="C127" s="529">
        <v>0</v>
      </c>
      <c r="D127" s="529">
        <v>0</v>
      </c>
    </row>
    <row r="128" spans="2:4">
      <c r="B128" s="532">
        <v>44015</v>
      </c>
      <c r="C128" s="529">
        <v>0</v>
      </c>
      <c r="D128" s="529">
        <v>0</v>
      </c>
    </row>
    <row r="129" spans="2:4">
      <c r="B129" s="532">
        <v>44018</v>
      </c>
      <c r="C129" s="529">
        <v>0</v>
      </c>
      <c r="D129" s="529">
        <v>0</v>
      </c>
    </row>
    <row r="130" spans="2:4">
      <c r="B130" s="532">
        <v>44019</v>
      </c>
      <c r="C130" s="529">
        <v>-1.9538319436663842E-3</v>
      </c>
      <c r="D130" s="529">
        <v>0</v>
      </c>
    </row>
    <row r="131" spans="2:4">
      <c r="B131" s="532">
        <v>44020</v>
      </c>
      <c r="C131" s="529">
        <v>0</v>
      </c>
      <c r="D131" s="529">
        <v>0</v>
      </c>
    </row>
    <row r="132" spans="2:4">
      <c r="B132" s="532">
        <v>44021</v>
      </c>
      <c r="C132" s="529">
        <v>0</v>
      </c>
      <c r="D132" s="529">
        <v>0</v>
      </c>
    </row>
    <row r="133" spans="2:4">
      <c r="B133" s="532">
        <v>44022</v>
      </c>
      <c r="C133" s="529">
        <v>0</v>
      </c>
      <c r="D133" s="529">
        <v>0</v>
      </c>
    </row>
    <row r="134" spans="2:4">
      <c r="B134" s="532">
        <v>44025</v>
      </c>
      <c r="C134" s="529">
        <v>-2.0867987026611523E-3</v>
      </c>
      <c r="D134" s="529">
        <v>0</v>
      </c>
    </row>
    <row r="135" spans="2:4">
      <c r="B135" s="532">
        <v>44026</v>
      </c>
      <c r="C135" s="529">
        <v>0</v>
      </c>
      <c r="D135" s="529">
        <v>0</v>
      </c>
    </row>
    <row r="136" spans="2:4">
      <c r="B136" s="532">
        <v>44027</v>
      </c>
      <c r="C136" s="529">
        <v>0</v>
      </c>
      <c r="D136" s="529">
        <v>0</v>
      </c>
    </row>
    <row r="137" spans="2:4">
      <c r="B137" s="532">
        <v>44028</v>
      </c>
      <c r="C137" s="529">
        <v>-2.7894594162659603E-3</v>
      </c>
      <c r="D137" s="529">
        <v>0</v>
      </c>
    </row>
    <row r="138" spans="2:4">
      <c r="B138" s="532">
        <v>44029</v>
      </c>
      <c r="C138" s="529">
        <v>0</v>
      </c>
      <c r="D138" s="529">
        <v>0</v>
      </c>
    </row>
    <row r="139" spans="2:4">
      <c r="B139" s="532">
        <v>44032</v>
      </c>
      <c r="C139" s="529">
        <v>0</v>
      </c>
      <c r="D139" s="529">
        <v>0</v>
      </c>
    </row>
    <row r="140" spans="2:4">
      <c r="B140" s="532">
        <v>44033</v>
      </c>
      <c r="C140" s="529">
        <v>-6.0167187330062433E-4</v>
      </c>
      <c r="D140" s="529">
        <v>0</v>
      </c>
    </row>
    <row r="141" spans="2:4">
      <c r="B141" s="532">
        <v>44034</v>
      </c>
      <c r="C141" s="529">
        <v>-4.1006365969731284E-4</v>
      </c>
      <c r="D141" s="529">
        <v>0</v>
      </c>
    </row>
    <row r="142" spans="2:4">
      <c r="B142" s="532">
        <v>44035</v>
      </c>
      <c r="C142" s="529">
        <v>-3.560439508698332E-3</v>
      </c>
      <c r="D142" s="529">
        <v>0</v>
      </c>
    </row>
    <row r="143" spans="2:4">
      <c r="B143" s="532">
        <v>44036</v>
      </c>
      <c r="C143" s="529">
        <v>-4.1352128305097713E-3</v>
      </c>
      <c r="D143" s="529">
        <v>0</v>
      </c>
    </row>
    <row r="144" spans="2:4">
      <c r="B144" s="532">
        <v>44039</v>
      </c>
      <c r="C144" s="529">
        <v>-5.5510594242436095E-4</v>
      </c>
      <c r="D144" s="529">
        <v>0</v>
      </c>
    </row>
    <row r="145" spans="2:4">
      <c r="B145" s="532">
        <v>44040</v>
      </c>
      <c r="C145" s="529">
        <v>-8.0666469077206315E-4</v>
      </c>
      <c r="D145" s="529">
        <v>0</v>
      </c>
    </row>
    <row r="146" spans="2:4">
      <c r="B146" s="532">
        <v>44041</v>
      </c>
      <c r="C146" s="529">
        <v>0</v>
      </c>
      <c r="D146" s="529">
        <v>0</v>
      </c>
    </row>
    <row r="147" spans="2:4">
      <c r="B147" s="532">
        <v>44042</v>
      </c>
      <c r="C147" s="529">
        <v>-1.775942128966479E-4</v>
      </c>
      <c r="D147" s="529">
        <v>0</v>
      </c>
    </row>
    <row r="148" spans="2:4">
      <c r="B148" s="532">
        <v>44043</v>
      </c>
      <c r="C148" s="529">
        <v>-2.0798478391992337E-3</v>
      </c>
      <c r="D148" s="529">
        <v>0</v>
      </c>
    </row>
    <row r="149" spans="2:4">
      <c r="B149" s="532">
        <v>44046</v>
      </c>
      <c r="C149" s="529">
        <v>-8.1484572337398031E-4</v>
      </c>
      <c r="D149" s="529">
        <v>0</v>
      </c>
    </row>
    <row r="150" spans="2:4">
      <c r="B150" s="532">
        <v>44047</v>
      </c>
      <c r="C150" s="529">
        <v>-2.3622532535482188E-3</v>
      </c>
      <c r="D150" s="529">
        <v>0</v>
      </c>
    </row>
    <row r="151" spans="2:4">
      <c r="B151" s="532">
        <v>44048</v>
      </c>
      <c r="C151" s="529">
        <v>0</v>
      </c>
      <c r="D151" s="529">
        <v>0</v>
      </c>
    </row>
    <row r="152" spans="2:4">
      <c r="B152" s="532">
        <v>44049</v>
      </c>
      <c r="C152" s="529">
        <v>0</v>
      </c>
      <c r="D152" s="529">
        <v>0</v>
      </c>
    </row>
    <row r="153" spans="2:4">
      <c r="B153" s="532">
        <v>44050</v>
      </c>
      <c r="C153" s="529">
        <v>-2.1318994597441243E-3</v>
      </c>
      <c r="D153" s="529">
        <v>0</v>
      </c>
    </row>
    <row r="154" spans="2:4">
      <c r="B154" s="532">
        <v>44053</v>
      </c>
      <c r="C154" s="529">
        <v>-1.6196530750877125E-3</v>
      </c>
      <c r="D154" s="529">
        <v>0</v>
      </c>
    </row>
    <row r="155" spans="2:4">
      <c r="B155" s="532">
        <v>44054</v>
      </c>
      <c r="C155" s="529">
        <v>-4.441988075420622E-3</v>
      </c>
      <c r="D155" s="529">
        <v>0</v>
      </c>
    </row>
    <row r="156" spans="2:4">
      <c r="B156" s="532">
        <v>44055</v>
      </c>
      <c r="C156" s="529">
        <v>-3.8238377872413798E-3</v>
      </c>
      <c r="D156" s="529">
        <v>0</v>
      </c>
    </row>
    <row r="157" spans="2:4">
      <c r="B157" s="532">
        <v>44056</v>
      </c>
      <c r="C157" s="529">
        <v>-5.6412231435808424E-3</v>
      </c>
      <c r="D157" s="529">
        <v>0</v>
      </c>
    </row>
    <row r="158" spans="2:4">
      <c r="B158" s="532">
        <v>44057</v>
      </c>
      <c r="C158" s="529">
        <v>-3.9188112839138034E-3</v>
      </c>
      <c r="D158" s="529">
        <v>0</v>
      </c>
    </row>
    <row r="159" spans="2:4">
      <c r="B159" s="532">
        <v>44060</v>
      </c>
      <c r="C159" s="529">
        <v>-5.528532998635316E-3</v>
      </c>
      <c r="D159" s="529">
        <v>0</v>
      </c>
    </row>
    <row r="160" spans="2:4">
      <c r="B160" s="532">
        <v>44061</v>
      </c>
      <c r="C160" s="529">
        <v>-4.7337915313316881E-4</v>
      </c>
      <c r="D160" s="529">
        <v>0</v>
      </c>
    </row>
    <row r="161" spans="2:4">
      <c r="B161" s="532">
        <v>44062</v>
      </c>
      <c r="C161" s="529">
        <v>-2.8961524205919353E-3</v>
      </c>
      <c r="D161" s="529">
        <v>0</v>
      </c>
    </row>
    <row r="162" spans="2:4">
      <c r="B162" s="532">
        <v>44063</v>
      </c>
      <c r="C162" s="529">
        <v>-2.0389337356623294E-3</v>
      </c>
      <c r="D162" s="529">
        <v>0</v>
      </c>
    </row>
    <row r="163" spans="2:4">
      <c r="B163" s="532">
        <v>44064</v>
      </c>
      <c r="C163" s="529">
        <v>-1.2668915335452002E-3</v>
      </c>
      <c r="D163" s="529">
        <v>0</v>
      </c>
    </row>
    <row r="164" spans="2:4">
      <c r="B164" s="532">
        <v>44067</v>
      </c>
      <c r="C164" s="529">
        <v>0</v>
      </c>
      <c r="D164" s="529">
        <v>0</v>
      </c>
    </row>
    <row r="165" spans="2:4">
      <c r="B165" s="532">
        <v>44068</v>
      </c>
      <c r="C165" s="529">
        <v>0</v>
      </c>
      <c r="D165" s="529">
        <v>0</v>
      </c>
    </row>
    <row r="166" spans="2:4">
      <c r="B166" s="532">
        <v>44069</v>
      </c>
      <c r="C166" s="529">
        <v>-8.0011207215113789E-4</v>
      </c>
      <c r="D166" s="529">
        <v>0</v>
      </c>
    </row>
    <row r="167" spans="2:4">
      <c r="B167" s="532">
        <v>44070</v>
      </c>
      <c r="C167" s="529">
        <v>-1.1045231283254298E-3</v>
      </c>
      <c r="D167" s="529">
        <v>0</v>
      </c>
    </row>
    <row r="168" spans="2:4">
      <c r="B168" s="532">
        <v>44071</v>
      </c>
      <c r="C168" s="529">
        <v>0</v>
      </c>
      <c r="D168" s="529">
        <v>0</v>
      </c>
    </row>
    <row r="169" spans="2:4">
      <c r="B169" s="532">
        <v>44074</v>
      </c>
      <c r="C169" s="529">
        <v>-3.34126498269538E-3</v>
      </c>
      <c r="D169" s="529">
        <v>0</v>
      </c>
    </row>
    <row r="170" spans="2:4">
      <c r="B170" s="532">
        <v>44075</v>
      </c>
      <c r="C170" s="529">
        <v>0</v>
      </c>
      <c r="D170" s="529">
        <v>0</v>
      </c>
    </row>
    <row r="171" spans="2:4">
      <c r="B171" s="532">
        <v>44076</v>
      </c>
      <c r="C171" s="529">
        <v>0</v>
      </c>
      <c r="D171" s="529">
        <v>0</v>
      </c>
    </row>
    <row r="172" spans="2:4">
      <c r="B172" s="532">
        <v>44077</v>
      </c>
      <c r="C172" s="529">
        <v>-4.4317511338799465E-3</v>
      </c>
      <c r="D172" s="529">
        <v>0</v>
      </c>
    </row>
    <row r="173" spans="2:4">
      <c r="B173" s="532">
        <v>44078</v>
      </c>
      <c r="C173" s="529">
        <v>-3.8523538866878093E-3</v>
      </c>
      <c r="D173" s="529">
        <v>0</v>
      </c>
    </row>
    <row r="174" spans="2:4">
      <c r="B174" s="532">
        <v>44082</v>
      </c>
      <c r="C174" s="529">
        <v>-7.4434625022523626E-3</v>
      </c>
      <c r="D174" s="529">
        <v>0</v>
      </c>
    </row>
    <row r="175" spans="2:4">
      <c r="B175" s="532">
        <v>44083</v>
      </c>
      <c r="C175" s="529">
        <v>-4.7049973501634978E-3</v>
      </c>
      <c r="D175" s="529">
        <v>0</v>
      </c>
    </row>
    <row r="176" spans="2:4">
      <c r="B176" s="532">
        <v>44084</v>
      </c>
      <c r="C176" s="529">
        <v>-9.0066009340973308E-3</v>
      </c>
      <c r="D176" s="529">
        <v>0</v>
      </c>
    </row>
    <row r="177" spans="2:4">
      <c r="B177" s="532">
        <v>44085</v>
      </c>
      <c r="C177" s="529">
        <v>-8.8831559576227903E-3</v>
      </c>
      <c r="D177" s="529">
        <v>0</v>
      </c>
    </row>
    <row r="178" spans="2:4">
      <c r="B178" s="532">
        <v>44088</v>
      </c>
      <c r="C178" s="529">
        <v>-4.9548886440253792E-3</v>
      </c>
      <c r="D178" s="529">
        <v>0</v>
      </c>
    </row>
    <row r="179" spans="2:4">
      <c r="B179" s="532">
        <v>44089</v>
      </c>
      <c r="C179" s="529">
        <v>-4.4205523180154138E-3</v>
      </c>
      <c r="D179" s="529">
        <v>0</v>
      </c>
    </row>
    <row r="180" spans="2:4">
      <c r="B180" s="532">
        <v>44090</v>
      </c>
      <c r="C180" s="529">
        <v>-5.7389539576422344E-3</v>
      </c>
      <c r="D180" s="529">
        <v>0</v>
      </c>
    </row>
    <row r="181" spans="2:4">
      <c r="B181" s="532">
        <v>44091</v>
      </c>
      <c r="C181" s="529">
        <v>-5.5915794758885085E-3</v>
      </c>
      <c r="D181" s="529">
        <v>0</v>
      </c>
    </row>
    <row r="182" spans="2:4">
      <c r="B182" s="532">
        <v>44092</v>
      </c>
      <c r="C182" s="529">
        <v>-8.6511032815573818E-3</v>
      </c>
      <c r="D182" s="529">
        <v>0</v>
      </c>
    </row>
    <row r="183" spans="2:4">
      <c r="B183" s="532">
        <v>44095</v>
      </c>
      <c r="C183" s="529">
        <v>-1.2273524440276518E-2</v>
      </c>
      <c r="D183" s="529">
        <v>0</v>
      </c>
    </row>
    <row r="184" spans="2:4">
      <c r="B184" s="532">
        <v>44096</v>
      </c>
      <c r="C184" s="529">
        <v>-1.0641001141926232E-2</v>
      </c>
      <c r="D184" s="529">
        <v>0</v>
      </c>
    </row>
    <row r="185" spans="2:4">
      <c r="B185" s="532">
        <v>44097</v>
      </c>
      <c r="C185" s="529">
        <v>-1.3630877486202175E-2</v>
      </c>
      <c r="D185" s="529">
        <v>0</v>
      </c>
    </row>
    <row r="186" spans="2:4">
      <c r="B186" s="532">
        <v>44098</v>
      </c>
      <c r="C186" s="529">
        <v>-1.2162675973005688E-2</v>
      </c>
      <c r="D186" s="529">
        <v>0</v>
      </c>
    </row>
    <row r="187" spans="2:4">
      <c r="B187" s="532">
        <v>44099</v>
      </c>
      <c r="C187" s="529">
        <v>-1.1437088897658265E-2</v>
      </c>
      <c r="D187" s="529">
        <v>0</v>
      </c>
    </row>
    <row r="188" spans="2:4">
      <c r="B188" s="532">
        <v>44102</v>
      </c>
      <c r="C188" s="529">
        <v>-1.4429278649325528E-2</v>
      </c>
      <c r="D188" s="529">
        <v>0</v>
      </c>
    </row>
    <row r="189" spans="2:4">
      <c r="B189" s="532">
        <v>44103</v>
      </c>
      <c r="C189" s="529">
        <v>-1.5712020092402912E-2</v>
      </c>
      <c r="D189" s="529">
        <v>0</v>
      </c>
    </row>
    <row r="190" spans="2:4">
      <c r="B190" s="532">
        <v>44104</v>
      </c>
      <c r="C190" s="529">
        <v>-1.3594785462062942E-2</v>
      </c>
      <c r="D190" s="529">
        <v>0</v>
      </c>
    </row>
    <row r="191" spans="2:4">
      <c r="B191" s="532">
        <v>44105</v>
      </c>
      <c r="C191" s="529">
        <v>-1.1349207402987616E-2</v>
      </c>
      <c r="D191" s="529">
        <v>0</v>
      </c>
    </row>
    <row r="192" spans="2:4">
      <c r="B192" s="532">
        <v>44106</v>
      </c>
      <c r="C192" s="529">
        <v>-1.4249834276718665E-2</v>
      </c>
      <c r="D192" s="529">
        <v>0</v>
      </c>
    </row>
    <row r="193" spans="2:4">
      <c r="B193" s="532">
        <v>44109</v>
      </c>
      <c r="C193" s="529">
        <v>-1.1013848578465213E-2</v>
      </c>
      <c r="D193" s="529">
        <v>0</v>
      </c>
    </row>
    <row r="194" spans="2:4">
      <c r="B194" s="532">
        <v>44110</v>
      </c>
      <c r="C194" s="529">
        <v>-1.1752938195239371E-2</v>
      </c>
      <c r="D194" s="529">
        <v>0</v>
      </c>
    </row>
    <row r="195" spans="2:4">
      <c r="B195" s="532">
        <v>44111</v>
      </c>
      <c r="C195" s="529">
        <v>-1.0814145177873713E-2</v>
      </c>
      <c r="D195" s="529">
        <v>0</v>
      </c>
    </row>
    <row r="196" spans="2:4">
      <c r="B196" s="532">
        <v>44112</v>
      </c>
      <c r="C196" s="529">
        <v>-7.3503721824016433E-3</v>
      </c>
      <c r="D196" s="529">
        <v>0</v>
      </c>
    </row>
    <row r="197" spans="2:4">
      <c r="B197" s="532">
        <v>44113</v>
      </c>
      <c r="C197" s="529">
        <v>-6.324850451942754E-3</v>
      </c>
      <c r="D197" s="529">
        <v>0</v>
      </c>
    </row>
    <row r="198" spans="2:4">
      <c r="B198" s="532">
        <v>44117</v>
      </c>
      <c r="C198" s="529">
        <v>-3.8994341552732736E-3</v>
      </c>
      <c r="D198" s="529">
        <v>0</v>
      </c>
    </row>
    <row r="199" spans="2:4">
      <c r="B199" s="532">
        <v>44118</v>
      </c>
      <c r="C199" s="529">
        <v>-2.4910015104607774E-3</v>
      </c>
      <c r="D199" s="529">
        <v>0</v>
      </c>
    </row>
    <row r="200" spans="2:4">
      <c r="B200" s="532">
        <v>44119</v>
      </c>
      <c r="C200" s="529">
        <v>-3.0538769676484723E-3</v>
      </c>
      <c r="D200" s="529">
        <v>0</v>
      </c>
    </row>
    <row r="201" spans="2:4">
      <c r="B201" s="532">
        <v>44120</v>
      </c>
      <c r="C201" s="529">
        <v>-3.1094566720382133E-3</v>
      </c>
      <c r="D201" s="529">
        <v>0</v>
      </c>
    </row>
    <row r="202" spans="2:4">
      <c r="B202" s="532">
        <v>44123</v>
      </c>
      <c r="C202" s="529">
        <v>-3.4796023729349868E-3</v>
      </c>
      <c r="D202" s="529">
        <v>0</v>
      </c>
    </row>
    <row r="203" spans="2:4">
      <c r="B203" s="532">
        <v>44124</v>
      </c>
      <c r="C203" s="529">
        <v>0</v>
      </c>
      <c r="D203" s="529">
        <v>0</v>
      </c>
    </row>
    <row r="204" spans="2:4">
      <c r="B204" s="532">
        <v>44125</v>
      </c>
      <c r="C204" s="529">
        <v>0</v>
      </c>
      <c r="D204" s="529">
        <v>0</v>
      </c>
    </row>
    <row r="205" spans="2:4">
      <c r="B205" s="532">
        <v>44126</v>
      </c>
      <c r="C205" s="529">
        <v>0</v>
      </c>
      <c r="D205" s="529">
        <v>0</v>
      </c>
    </row>
    <row r="206" spans="2:4">
      <c r="B206" s="532">
        <v>44127</v>
      </c>
      <c r="C206" s="529">
        <v>-2.8235157757117157E-4</v>
      </c>
      <c r="D206" s="529">
        <v>0</v>
      </c>
    </row>
    <row r="207" spans="2:4">
      <c r="B207" s="532">
        <v>44130</v>
      </c>
      <c r="C207" s="529">
        <v>-1.8925939548245507E-3</v>
      </c>
      <c r="D207" s="529">
        <v>0</v>
      </c>
    </row>
    <row r="208" spans="2:4">
      <c r="B208" s="532">
        <v>44131</v>
      </c>
      <c r="C208" s="529">
        <v>-3.4005730468954498E-3</v>
      </c>
      <c r="D208" s="529">
        <v>0</v>
      </c>
    </row>
    <row r="209" spans="2:4">
      <c r="B209" s="532">
        <v>44132</v>
      </c>
      <c r="C209" s="529">
        <v>-1.0663040964272175E-2</v>
      </c>
      <c r="D209" s="529">
        <v>0</v>
      </c>
    </row>
    <row r="210" spans="2:4">
      <c r="B210" s="532">
        <v>44133</v>
      </c>
      <c r="C210" s="529">
        <v>-7.644820879554648E-3</v>
      </c>
      <c r="D210" s="529">
        <v>0</v>
      </c>
    </row>
    <row r="211" spans="2:4">
      <c r="B211" s="532">
        <v>44134</v>
      </c>
      <c r="C211" s="529">
        <v>-1.2116050983607574E-2</v>
      </c>
      <c r="D211" s="529">
        <v>0</v>
      </c>
    </row>
    <row r="212" spans="2:4">
      <c r="B212" s="532">
        <v>44138</v>
      </c>
      <c r="C212" s="529">
        <v>-7.8384530124554486E-3</v>
      </c>
      <c r="D212" s="529">
        <v>0</v>
      </c>
    </row>
    <row r="213" spans="2:4">
      <c r="B213" s="532">
        <v>44139</v>
      </c>
      <c r="C213" s="529">
        <v>-3.8637607566058829E-3</v>
      </c>
      <c r="D213" s="529">
        <v>0</v>
      </c>
    </row>
    <row r="214" spans="2:4">
      <c r="B214" s="532">
        <v>44140</v>
      </c>
      <c r="C214" s="529">
        <v>0</v>
      </c>
      <c r="D214" s="529">
        <v>0</v>
      </c>
    </row>
    <row r="215" spans="2:4">
      <c r="B215" s="532">
        <v>44141</v>
      </c>
      <c r="C215" s="529">
        <v>0</v>
      </c>
      <c r="D215" s="529">
        <v>0</v>
      </c>
    </row>
    <row r="216" spans="2:4">
      <c r="B216" s="532">
        <v>44144</v>
      </c>
      <c r="C216" s="529">
        <v>0</v>
      </c>
      <c r="D216" s="529">
        <v>0</v>
      </c>
    </row>
    <row r="217" spans="2:4">
      <c r="B217" s="532">
        <v>44145</v>
      </c>
      <c r="C217" s="529">
        <v>0</v>
      </c>
      <c r="D217" s="529">
        <v>0</v>
      </c>
    </row>
    <row r="218" spans="2:4">
      <c r="B218" s="532">
        <v>44146</v>
      </c>
      <c r="C218" s="529">
        <v>-8.4152453948993511E-5</v>
      </c>
      <c r="D218" s="529">
        <v>0</v>
      </c>
    </row>
    <row r="219" spans="2:4">
      <c r="B219" s="532">
        <v>44147</v>
      </c>
      <c r="C219" s="529">
        <v>-4.3483485135709099E-3</v>
      </c>
      <c r="D219" s="529">
        <v>0</v>
      </c>
    </row>
    <row r="220" spans="2:4">
      <c r="B220" s="532">
        <v>44148</v>
      </c>
      <c r="C220" s="529">
        <v>-2.5982713743655239E-4</v>
      </c>
      <c r="D220" s="529">
        <v>0</v>
      </c>
    </row>
    <row r="221" spans="2:4">
      <c r="B221" s="532">
        <v>44151</v>
      </c>
      <c r="C221" s="529">
        <v>0</v>
      </c>
      <c r="D221" s="529">
        <v>0</v>
      </c>
    </row>
    <row r="222" spans="2:4">
      <c r="B222" s="532">
        <v>44152</v>
      </c>
      <c r="C222" s="529">
        <v>0</v>
      </c>
      <c r="D222" s="529">
        <v>0</v>
      </c>
    </row>
    <row r="223" spans="2:4">
      <c r="B223" s="532">
        <v>44153</v>
      </c>
      <c r="C223" s="529">
        <v>-2.0057820295017459E-3</v>
      </c>
      <c r="D223" s="529">
        <v>0</v>
      </c>
    </row>
    <row r="224" spans="2:4">
      <c r="B224" s="532">
        <v>44154</v>
      </c>
      <c r="C224" s="529">
        <v>-1.0155510164313597E-3</v>
      </c>
      <c r="D224" s="529">
        <v>0</v>
      </c>
    </row>
    <row r="225" spans="2:4">
      <c r="B225" s="532">
        <v>44155</v>
      </c>
      <c r="C225" s="529">
        <v>-1.3455936736083141E-3</v>
      </c>
      <c r="D225" s="529">
        <v>0</v>
      </c>
    </row>
    <row r="226" spans="2:4">
      <c r="B226" s="532">
        <v>44158</v>
      </c>
      <c r="C226" s="529">
        <v>0</v>
      </c>
      <c r="D226" s="529">
        <v>0</v>
      </c>
    </row>
    <row r="227" spans="2:4">
      <c r="B227" s="532">
        <v>44159</v>
      </c>
      <c r="C227" s="529">
        <v>0</v>
      </c>
      <c r="D227" s="529">
        <v>0</v>
      </c>
    </row>
    <row r="228" spans="2:4">
      <c r="B228" s="532">
        <v>44160</v>
      </c>
      <c r="C228" s="529">
        <v>0</v>
      </c>
      <c r="D228" s="529">
        <v>0</v>
      </c>
    </row>
    <row r="229" spans="2:4">
      <c r="B229" s="532">
        <v>44161</v>
      </c>
      <c r="C229" s="529">
        <v>0</v>
      </c>
      <c r="D229" s="529">
        <v>0</v>
      </c>
    </row>
    <row r="230" spans="2:4">
      <c r="B230" s="532">
        <v>44162</v>
      </c>
      <c r="C230" s="529">
        <v>0</v>
      </c>
      <c r="D230" s="529">
        <v>0</v>
      </c>
    </row>
    <row r="231" spans="2:4">
      <c r="B231" s="532">
        <v>44165</v>
      </c>
      <c r="C231" s="529">
        <v>-2.3888032235107604E-3</v>
      </c>
      <c r="D231" s="529">
        <v>0</v>
      </c>
    </row>
    <row r="232" spans="2:4">
      <c r="B232" s="532">
        <v>44166</v>
      </c>
      <c r="C232" s="529">
        <v>0</v>
      </c>
      <c r="D232" s="529">
        <v>0</v>
      </c>
    </row>
    <row r="233" spans="2:4">
      <c r="B233" s="532">
        <v>44167</v>
      </c>
      <c r="C233" s="529">
        <v>0</v>
      </c>
      <c r="D233" s="529">
        <v>0</v>
      </c>
    </row>
    <row r="234" spans="2:4">
      <c r="B234" s="532">
        <v>44168</v>
      </c>
      <c r="C234" s="529">
        <v>0</v>
      </c>
      <c r="D234" s="529">
        <v>0</v>
      </c>
    </row>
    <row r="235" spans="2:4">
      <c r="B235" s="532">
        <v>44169</v>
      </c>
      <c r="C235" s="529">
        <v>0</v>
      </c>
      <c r="D235" s="529">
        <v>0</v>
      </c>
    </row>
    <row r="236" spans="2:4">
      <c r="B236" s="532">
        <v>44172</v>
      </c>
      <c r="C236" s="529">
        <v>-6.8388743031544408E-4</v>
      </c>
      <c r="D236" s="529">
        <v>0</v>
      </c>
    </row>
    <row r="237" spans="2:4">
      <c r="B237" s="532">
        <v>44173</v>
      </c>
      <c r="C237" s="529">
        <v>0</v>
      </c>
      <c r="D237" s="529">
        <v>0</v>
      </c>
    </row>
    <row r="238" spans="2:4">
      <c r="B238" s="532">
        <v>44174</v>
      </c>
      <c r="C238" s="529">
        <v>-1.2797526708120399E-3</v>
      </c>
      <c r="D238" s="529">
        <v>0</v>
      </c>
    </row>
    <row r="239" spans="2:4">
      <c r="B239" s="532">
        <v>44175</v>
      </c>
      <c r="C239" s="529">
        <v>0</v>
      </c>
      <c r="D239" s="529">
        <v>0</v>
      </c>
    </row>
    <row r="240" spans="2:4">
      <c r="B240" s="532">
        <v>44176</v>
      </c>
      <c r="C240" s="529">
        <v>0</v>
      </c>
      <c r="D240" s="529">
        <v>0</v>
      </c>
    </row>
    <row r="241" spans="2:4">
      <c r="B241" s="532">
        <v>44179</v>
      </c>
      <c r="C241" s="529">
        <v>-4.1608342654164687E-4</v>
      </c>
      <c r="D241" s="529">
        <v>0</v>
      </c>
    </row>
    <row r="242" spans="2:4">
      <c r="B242" s="532">
        <v>44180</v>
      </c>
      <c r="C242" s="529">
        <v>0</v>
      </c>
      <c r="D242" s="529">
        <v>0</v>
      </c>
    </row>
    <row r="243" spans="2:4">
      <c r="B243" s="532">
        <v>44181</v>
      </c>
      <c r="C243" s="529">
        <v>0</v>
      </c>
      <c r="D243" s="529">
        <v>0</v>
      </c>
    </row>
    <row r="244" spans="2:4">
      <c r="B244" s="532">
        <v>44182</v>
      </c>
      <c r="C244" s="529">
        <v>0</v>
      </c>
      <c r="D244" s="529">
        <v>0</v>
      </c>
    </row>
    <row r="245" spans="2:4">
      <c r="B245" s="532">
        <v>44183</v>
      </c>
      <c r="C245" s="529">
        <v>-1.4201378611611304E-4</v>
      </c>
      <c r="D245" s="529">
        <v>0</v>
      </c>
    </row>
    <row r="246" spans="2:4">
      <c r="B246" s="532">
        <v>44186</v>
      </c>
      <c r="C246" s="529">
        <v>-3.3947611920799314E-3</v>
      </c>
      <c r="D246" s="529">
        <v>0</v>
      </c>
    </row>
    <row r="247" spans="2:4">
      <c r="B247" s="532">
        <v>44187</v>
      </c>
      <c r="C247" s="529">
        <v>-2.7348883861937345E-3</v>
      </c>
      <c r="D247" s="529">
        <v>0</v>
      </c>
    </row>
    <row r="248" spans="2:4">
      <c r="B248" s="532">
        <v>44188</v>
      </c>
      <c r="C248" s="529">
        <v>0</v>
      </c>
      <c r="D248" s="529">
        <v>0</v>
      </c>
    </row>
    <row r="249" spans="2:4">
      <c r="B249" s="532">
        <v>44189</v>
      </c>
      <c r="C249" s="529">
        <v>0</v>
      </c>
      <c r="D249" s="529">
        <v>0</v>
      </c>
    </row>
    <row r="250" spans="2:4">
      <c r="B250" s="532">
        <v>44193</v>
      </c>
      <c r="C250" s="529">
        <v>0</v>
      </c>
      <c r="D250" s="529">
        <v>0</v>
      </c>
    </row>
    <row r="251" spans="2:4">
      <c r="B251" s="532">
        <v>44194</v>
      </c>
      <c r="C251" s="529">
        <v>0</v>
      </c>
      <c r="D251" s="529">
        <v>0</v>
      </c>
    </row>
    <row r="252" spans="2:4">
      <c r="B252" s="532">
        <v>44195</v>
      </c>
      <c r="C252" s="529">
        <v>0</v>
      </c>
      <c r="D252" s="529">
        <v>0</v>
      </c>
    </row>
    <row r="253" spans="2:4">
      <c r="B253" s="532">
        <v>44196</v>
      </c>
      <c r="C253" s="529">
        <v>0</v>
      </c>
      <c r="D253" s="529">
        <v>0</v>
      </c>
    </row>
    <row r="254" spans="2:4">
      <c r="B254" s="532">
        <v>44200</v>
      </c>
      <c r="C254" s="529">
        <v>0</v>
      </c>
      <c r="D254" s="529">
        <v>0</v>
      </c>
    </row>
    <row r="255" spans="2:4">
      <c r="B255" s="532">
        <v>44201</v>
      </c>
      <c r="C255" s="529">
        <v>0</v>
      </c>
      <c r="D255" s="529">
        <v>0</v>
      </c>
    </row>
    <row r="256" spans="2:4">
      <c r="B256" s="532">
        <v>44202</v>
      </c>
      <c r="C256" s="529">
        <v>-4.4919120921149691E-4</v>
      </c>
      <c r="D256" s="529">
        <v>0</v>
      </c>
    </row>
    <row r="257" spans="2:4">
      <c r="B257" s="532">
        <v>44203</v>
      </c>
      <c r="C257" s="529">
        <v>0</v>
      </c>
      <c r="D257" s="529">
        <v>0</v>
      </c>
    </row>
    <row r="258" spans="2:4">
      <c r="B258" s="532">
        <v>44204</v>
      </c>
      <c r="C258" s="529">
        <v>0</v>
      </c>
      <c r="D258" s="529">
        <v>0</v>
      </c>
    </row>
    <row r="259" spans="2:4">
      <c r="B259" s="532">
        <v>44207</v>
      </c>
      <c r="C259" s="529">
        <v>-2.4920521222518977E-3</v>
      </c>
      <c r="D259" s="529">
        <v>0</v>
      </c>
    </row>
    <row r="260" spans="2:4">
      <c r="B260" s="532">
        <v>44208</v>
      </c>
      <c r="C260" s="529">
        <v>-9.9998609827911533E-4</v>
      </c>
      <c r="D260" s="529">
        <v>0</v>
      </c>
    </row>
    <row r="261" spans="2:4">
      <c r="B261" s="532">
        <v>44209</v>
      </c>
      <c r="C261" s="529">
        <v>-3.4676841563265892E-3</v>
      </c>
      <c r="D261" s="529">
        <v>0</v>
      </c>
    </row>
    <row r="262" spans="2:4">
      <c r="B262" s="532">
        <v>44210</v>
      </c>
      <c r="C262" s="529">
        <v>-1.0843662790089859E-3</v>
      </c>
      <c r="D262" s="529">
        <v>0</v>
      </c>
    </row>
    <row r="263" spans="2:4">
      <c r="B263" s="532">
        <v>44211</v>
      </c>
      <c r="C263" s="529">
        <v>-4.7678699283998371E-3</v>
      </c>
      <c r="D263" s="529">
        <v>0</v>
      </c>
    </row>
    <row r="264" spans="2:4">
      <c r="B264" s="532">
        <v>44214</v>
      </c>
      <c r="C264" s="529">
        <v>-3.7128539978691366E-3</v>
      </c>
      <c r="D264" s="529">
        <v>0</v>
      </c>
    </row>
    <row r="265" spans="2:4">
      <c r="B265" s="532">
        <v>44215</v>
      </c>
      <c r="C265" s="529">
        <v>-3.2275375002681628E-3</v>
      </c>
      <c r="D265" s="529">
        <v>0</v>
      </c>
    </row>
    <row r="266" spans="2:4">
      <c r="B266" s="532">
        <v>44216</v>
      </c>
      <c r="C266" s="529">
        <v>-2.6532126842137016E-3</v>
      </c>
      <c r="D266" s="529">
        <v>0</v>
      </c>
    </row>
    <row r="267" spans="2:4">
      <c r="B267" s="532">
        <v>44217</v>
      </c>
      <c r="C267" s="529">
        <v>-3.5340414524072106E-3</v>
      </c>
      <c r="D267" s="529">
        <v>0</v>
      </c>
    </row>
    <row r="268" spans="2:4">
      <c r="B268" s="532">
        <v>44218</v>
      </c>
      <c r="C268" s="529">
        <v>-5.2282608540965558E-3</v>
      </c>
      <c r="D268" s="529">
        <v>0</v>
      </c>
    </row>
    <row r="269" spans="2:4">
      <c r="B269" s="532">
        <v>44221</v>
      </c>
      <c r="C269" s="529">
        <v>-5.0377612993226517E-3</v>
      </c>
      <c r="D269" s="529">
        <v>0</v>
      </c>
    </row>
    <row r="270" spans="2:4">
      <c r="B270" s="532">
        <v>44222</v>
      </c>
      <c r="C270" s="529">
        <v>-7.0673546180135549E-3</v>
      </c>
      <c r="D270" s="529">
        <v>0</v>
      </c>
    </row>
    <row r="271" spans="2:4">
      <c r="B271" s="532">
        <v>44223</v>
      </c>
      <c r="C271" s="529">
        <v>-1.0233305406656346E-2</v>
      </c>
      <c r="D271" s="529">
        <v>0</v>
      </c>
    </row>
    <row r="272" spans="2:4">
      <c r="B272" s="532">
        <v>44224</v>
      </c>
      <c r="C272" s="529">
        <v>-5.425055525560496E-3</v>
      </c>
      <c r="D272" s="529">
        <v>0</v>
      </c>
    </row>
    <row r="273" spans="2:4">
      <c r="B273" s="532">
        <v>44225</v>
      </c>
      <c r="C273" s="529">
        <v>-1.0698751609368062E-2</v>
      </c>
      <c r="D273" s="529">
        <v>0</v>
      </c>
    </row>
    <row r="274" spans="2:4">
      <c r="B274" s="532">
        <v>44228</v>
      </c>
      <c r="C274" s="529">
        <v>-4.8684528717217734E-3</v>
      </c>
      <c r="D274" s="529">
        <v>0</v>
      </c>
    </row>
    <row r="275" spans="2:4">
      <c r="B275" s="532">
        <v>44229</v>
      </c>
      <c r="C275" s="529">
        <v>-2.1137064818719242E-3</v>
      </c>
      <c r="D275" s="529">
        <v>0</v>
      </c>
    </row>
    <row r="276" spans="2:4">
      <c r="B276" s="532">
        <v>44230</v>
      </c>
      <c r="C276" s="529">
        <v>0</v>
      </c>
      <c r="D276" s="529">
        <v>0</v>
      </c>
    </row>
    <row r="277" spans="2:4">
      <c r="B277" s="532">
        <v>44231</v>
      </c>
      <c r="C277" s="529">
        <v>0</v>
      </c>
      <c r="D277" s="529">
        <v>0</v>
      </c>
    </row>
    <row r="278" spans="2:4">
      <c r="B278" s="532">
        <v>44232</v>
      </c>
      <c r="C278" s="529">
        <v>0</v>
      </c>
      <c r="D278" s="529">
        <v>0</v>
      </c>
    </row>
    <row r="279" spans="2:4">
      <c r="B279" s="532">
        <v>44235</v>
      </c>
      <c r="C279" s="529">
        <v>0</v>
      </c>
      <c r="D279" s="529">
        <v>0</v>
      </c>
    </row>
    <row r="280" spans="2:4">
      <c r="B280" s="532">
        <v>44236</v>
      </c>
      <c r="C280" s="529">
        <v>-3.0805158148039524E-4</v>
      </c>
      <c r="D280" s="529">
        <v>0</v>
      </c>
    </row>
    <row r="281" spans="2:4">
      <c r="B281" s="532">
        <v>44237</v>
      </c>
      <c r="C281" s="529">
        <v>-2.1437967453951101E-3</v>
      </c>
      <c r="D281" s="529">
        <v>0</v>
      </c>
    </row>
    <row r="282" spans="2:4">
      <c r="B282" s="532">
        <v>44238</v>
      </c>
      <c r="C282" s="529">
        <v>-2.5112109996305865E-4</v>
      </c>
      <c r="D282" s="529">
        <v>0</v>
      </c>
    </row>
    <row r="283" spans="2:4">
      <c r="B283" s="532">
        <v>44239</v>
      </c>
      <c r="C283" s="529">
        <v>0</v>
      </c>
      <c r="D283" s="529">
        <v>0</v>
      </c>
    </row>
    <row r="284" spans="2:4">
      <c r="B284" s="532">
        <v>44244</v>
      </c>
      <c r="C284" s="529">
        <v>0</v>
      </c>
      <c r="D284" s="529">
        <v>0</v>
      </c>
    </row>
    <row r="285" spans="2:4">
      <c r="B285" s="532">
        <v>44245</v>
      </c>
      <c r="C285" s="529">
        <v>-1.2297414534772066E-3</v>
      </c>
      <c r="D285" s="529">
        <v>0</v>
      </c>
    </row>
    <row r="286" spans="2:4">
      <c r="B286" s="532">
        <v>44246</v>
      </c>
      <c r="C286" s="529">
        <v>0</v>
      </c>
      <c r="D286" s="529">
        <v>0</v>
      </c>
    </row>
    <row r="287" spans="2:4">
      <c r="B287" s="532">
        <v>44249</v>
      </c>
      <c r="C287" s="529">
        <v>-6.4754115900742537E-3</v>
      </c>
      <c r="D287" s="529">
        <v>0</v>
      </c>
    </row>
    <row r="288" spans="2:4">
      <c r="B288" s="532">
        <v>44250</v>
      </c>
      <c r="C288" s="529">
        <v>-3.7202921681311896E-3</v>
      </c>
      <c r="D288" s="529">
        <v>0</v>
      </c>
    </row>
    <row r="289" spans="2:4">
      <c r="B289" s="532">
        <v>44251</v>
      </c>
      <c r="C289" s="529">
        <v>-1.8245462837630511E-3</v>
      </c>
      <c r="D289" s="529">
        <v>0</v>
      </c>
    </row>
    <row r="290" spans="2:4">
      <c r="B290" s="532">
        <v>44252</v>
      </c>
      <c r="C290" s="529">
        <v>-7.802092506428826E-3</v>
      </c>
      <c r="D290" s="529">
        <v>0</v>
      </c>
    </row>
    <row r="291" spans="2:4">
      <c r="B291" s="532">
        <v>44253</v>
      </c>
      <c r="C291" s="529">
        <v>-1.2106286928702303E-2</v>
      </c>
      <c r="D291" s="529">
        <v>0</v>
      </c>
    </row>
    <row r="292" spans="2:4">
      <c r="B292" s="532">
        <v>44256</v>
      </c>
      <c r="C292" s="529">
        <v>-8.6957659843567292E-3</v>
      </c>
      <c r="D292" s="529">
        <v>0</v>
      </c>
    </row>
    <row r="293" spans="2:4">
      <c r="B293" s="532">
        <v>44257</v>
      </c>
      <c r="C293" s="529">
        <v>-8.4750906858822583E-3</v>
      </c>
      <c r="D293" s="529">
        <v>0</v>
      </c>
    </row>
    <row r="294" spans="2:4">
      <c r="B294" s="532">
        <v>44258</v>
      </c>
      <c r="C294" s="529">
        <v>-9.5844867024951208E-3</v>
      </c>
      <c r="D294" s="529">
        <v>0</v>
      </c>
    </row>
    <row r="295" spans="2:4">
      <c r="B295" s="532">
        <v>44259</v>
      </c>
      <c r="C295" s="529">
        <v>-9.4439000114442395E-3</v>
      </c>
      <c r="D295" s="529">
        <v>0</v>
      </c>
    </row>
    <row r="296" spans="2:4">
      <c r="B296" s="532">
        <v>44260</v>
      </c>
      <c r="C296" s="529">
        <v>-4.6421307069886009E-3</v>
      </c>
      <c r="D296" s="529">
        <v>0</v>
      </c>
    </row>
    <row r="297" spans="2:4">
      <c r="B297" s="532">
        <v>44263</v>
      </c>
      <c r="C297" s="529">
        <v>-1.139355052889679E-2</v>
      </c>
      <c r="D297" s="529">
        <v>0</v>
      </c>
    </row>
    <row r="298" spans="2:4">
      <c r="B298" s="532">
        <v>44264</v>
      </c>
      <c r="C298" s="529">
        <v>-1.1272311778238731E-2</v>
      </c>
      <c r="D298" s="529">
        <v>0</v>
      </c>
    </row>
    <row r="299" spans="2:4">
      <c r="B299" s="532">
        <v>44265</v>
      </c>
      <c r="C299" s="529">
        <v>-1.0735812102723674E-2</v>
      </c>
      <c r="D299" s="529">
        <v>0</v>
      </c>
    </row>
    <row r="300" spans="2:4">
      <c r="B300" s="532">
        <v>44266</v>
      </c>
      <c r="C300" s="529">
        <v>-5.6391683451499919E-3</v>
      </c>
      <c r="D300" s="529">
        <v>0</v>
      </c>
    </row>
    <row r="301" spans="2:4">
      <c r="B301" s="532">
        <v>44267</v>
      </c>
      <c r="C301" s="529">
        <v>-6.2543171511449946E-3</v>
      </c>
      <c r="D301" s="529">
        <v>0</v>
      </c>
    </row>
    <row r="302" spans="2:4">
      <c r="B302" s="532">
        <v>44270</v>
      </c>
      <c r="C302" s="529">
        <v>-4.9828461538443669E-3</v>
      </c>
      <c r="D302" s="529">
        <v>0</v>
      </c>
    </row>
    <row r="303" spans="2:4">
      <c r="B303" s="532">
        <v>44271</v>
      </c>
      <c r="C303" s="529">
        <v>-5.0633676417703999E-3</v>
      </c>
      <c r="D303" s="529">
        <v>0</v>
      </c>
    </row>
    <row r="304" spans="2:4">
      <c r="B304" s="532">
        <v>44272</v>
      </c>
      <c r="C304" s="529">
        <v>-1.6418677527808567E-3</v>
      </c>
      <c r="D304" s="529">
        <v>0</v>
      </c>
    </row>
    <row r="305" spans="2:4">
      <c r="B305" s="532">
        <v>44273</v>
      </c>
      <c r="C305" s="529">
        <v>-6.1205944792595002E-3</v>
      </c>
      <c r="D305" s="529">
        <v>0</v>
      </c>
    </row>
    <row r="306" spans="2:4">
      <c r="B306" s="532">
        <v>44274</v>
      </c>
      <c r="C306" s="529">
        <v>-5.1466196144551724E-3</v>
      </c>
      <c r="D306" s="529">
        <v>0</v>
      </c>
    </row>
    <row r="307" spans="2:4">
      <c r="B307" s="532">
        <v>44277</v>
      </c>
      <c r="C307" s="529">
        <v>-5.9915337956536474E-3</v>
      </c>
      <c r="D307" s="529">
        <v>0</v>
      </c>
    </row>
    <row r="308" spans="2:4">
      <c r="B308" s="532">
        <v>44278</v>
      </c>
      <c r="C308" s="529">
        <v>-8.927739464439477E-3</v>
      </c>
      <c r="D308" s="529">
        <v>0</v>
      </c>
    </row>
    <row r="309" spans="2:4">
      <c r="B309" s="532">
        <v>44279</v>
      </c>
      <c r="C309" s="529">
        <v>-1.082239758565906E-2</v>
      </c>
      <c r="D309" s="529">
        <v>0</v>
      </c>
    </row>
    <row r="310" spans="2:4">
      <c r="B310" s="532">
        <v>44280</v>
      </c>
      <c r="C310" s="529">
        <v>-8.2868854935529423E-3</v>
      </c>
      <c r="D310" s="529">
        <v>0</v>
      </c>
    </row>
    <row r="311" spans="2:4">
      <c r="B311" s="532">
        <v>44281</v>
      </c>
      <c r="C311" s="529">
        <v>-5.1612108057241812E-3</v>
      </c>
      <c r="D311" s="529">
        <v>0</v>
      </c>
    </row>
    <row r="312" spans="2:4">
      <c r="B312" s="532">
        <v>44284</v>
      </c>
      <c r="C312" s="529">
        <v>-4.6059269504682421E-3</v>
      </c>
      <c r="D312" s="529">
        <v>0</v>
      </c>
    </row>
    <row r="313" spans="2:4">
      <c r="B313" s="532">
        <v>44285</v>
      </c>
      <c r="C313" s="529">
        <v>-2.1459506305261389E-3</v>
      </c>
      <c r="D313" s="529">
        <v>0</v>
      </c>
    </row>
    <row r="314" spans="2:4">
      <c r="B314" s="532">
        <v>44286</v>
      </c>
      <c r="C314" s="529">
        <v>-1.5394923377197722E-3</v>
      </c>
      <c r="D314" s="529">
        <v>0</v>
      </c>
    </row>
    <row r="315" spans="2:4">
      <c r="B315" s="532">
        <v>44287</v>
      </c>
      <c r="C315" s="529">
        <v>-1.4181690693118032E-3</v>
      </c>
      <c r="D315" s="529">
        <v>0</v>
      </c>
    </row>
    <row r="316" spans="2:4">
      <c r="B316" s="532">
        <v>44291</v>
      </c>
      <c r="C316" s="529">
        <v>0</v>
      </c>
      <c r="D316" s="529">
        <v>0</v>
      </c>
    </row>
    <row r="317" spans="2:4">
      <c r="B317" s="532">
        <v>44292</v>
      </c>
      <c r="C317" s="529">
        <v>0</v>
      </c>
      <c r="D317" s="529">
        <v>0</v>
      </c>
    </row>
    <row r="318" spans="2:4">
      <c r="B318" s="532">
        <v>44293</v>
      </c>
      <c r="C318" s="529">
        <v>0</v>
      </c>
      <c r="D318" s="529">
        <v>0</v>
      </c>
    </row>
    <row r="319" spans="2:4">
      <c r="B319" s="532">
        <v>44294</v>
      </c>
      <c r="C319" s="529">
        <v>0</v>
      </c>
      <c r="D319" s="529">
        <v>0</v>
      </c>
    </row>
    <row r="320" spans="2:4">
      <c r="B320" s="532">
        <v>44295</v>
      </c>
      <c r="C320" s="529">
        <v>0</v>
      </c>
      <c r="D320" s="529">
        <v>0</v>
      </c>
    </row>
    <row r="321" spans="2:4">
      <c r="B321" s="532">
        <v>44298</v>
      </c>
      <c r="C321" s="529">
        <v>0</v>
      </c>
      <c r="D321" s="529">
        <v>0</v>
      </c>
    </row>
    <row r="322" spans="2:4">
      <c r="B322" s="532">
        <v>44299</v>
      </c>
      <c r="C322" s="529">
        <v>-3.7486433666777952E-4</v>
      </c>
      <c r="D322" s="529">
        <v>0</v>
      </c>
    </row>
    <row r="323" spans="2:4">
      <c r="B323" s="532">
        <v>44300</v>
      </c>
      <c r="C323" s="529">
        <v>0</v>
      </c>
      <c r="D323" s="529">
        <v>0</v>
      </c>
    </row>
    <row r="324" spans="2:4">
      <c r="B324" s="532">
        <v>44301</v>
      </c>
      <c r="C324" s="529">
        <v>0</v>
      </c>
      <c r="D324" s="529">
        <v>0</v>
      </c>
    </row>
    <row r="325" spans="2:4">
      <c r="B325" s="532">
        <v>44302</v>
      </c>
      <c r="C325" s="529">
        <v>0</v>
      </c>
      <c r="D325" s="529">
        <v>0</v>
      </c>
    </row>
    <row r="326" spans="2:4">
      <c r="B326" s="532">
        <v>44305</v>
      </c>
      <c r="C326" s="529">
        <v>-1.5414694916504601E-5</v>
      </c>
      <c r="D326" s="529">
        <v>0</v>
      </c>
    </row>
    <row r="327" spans="2:4">
      <c r="B327" s="532">
        <v>44306</v>
      </c>
      <c r="C327" s="529">
        <v>-2.0267335368108208E-3</v>
      </c>
      <c r="D327" s="529">
        <v>0</v>
      </c>
    </row>
    <row r="328" spans="2:4">
      <c r="B328" s="532">
        <v>44308</v>
      </c>
      <c r="C328" s="529">
        <v>-2.6174285143353293E-3</v>
      </c>
      <c r="D328" s="529">
        <v>0</v>
      </c>
    </row>
    <row r="329" spans="2:4">
      <c r="B329" s="532">
        <v>44309</v>
      </c>
      <c r="C329" s="529">
        <v>0</v>
      </c>
      <c r="D329" s="529">
        <v>0</v>
      </c>
    </row>
    <row r="330" spans="2:4">
      <c r="B330" s="532">
        <v>44312</v>
      </c>
      <c r="C330" s="529">
        <v>0</v>
      </c>
      <c r="D330" s="529">
        <v>0</v>
      </c>
    </row>
    <row r="331" spans="2:4">
      <c r="B331" s="532">
        <v>44313</v>
      </c>
      <c r="C331" s="529">
        <v>-3.4561928663401353E-4</v>
      </c>
      <c r="D331" s="529">
        <v>0</v>
      </c>
    </row>
    <row r="332" spans="2:4">
      <c r="B332" s="532">
        <v>44314</v>
      </c>
      <c r="C332" s="529">
        <v>0</v>
      </c>
      <c r="D332" s="529">
        <v>0</v>
      </c>
    </row>
    <row r="333" spans="2:4">
      <c r="B333" s="532">
        <v>44315</v>
      </c>
      <c r="C333" s="529">
        <v>0</v>
      </c>
      <c r="D333" s="529">
        <v>0</v>
      </c>
    </row>
    <row r="334" spans="2:4">
      <c r="B334" s="532">
        <v>44316</v>
      </c>
      <c r="C334" s="529">
        <v>-9.7741726496713977E-4</v>
      </c>
      <c r="D334" s="529">
        <v>0</v>
      </c>
    </row>
    <row r="335" spans="2:4">
      <c r="B335" s="532">
        <v>44319</v>
      </c>
      <c r="C335" s="529">
        <v>-8.8534438989562592E-4</v>
      </c>
      <c r="D335" s="529">
        <v>0</v>
      </c>
    </row>
    <row r="336" spans="2:4">
      <c r="B336" s="532">
        <v>44320</v>
      </c>
      <c r="C336" s="529">
        <v>-2.293536301457344E-3</v>
      </c>
      <c r="D336" s="529">
        <v>0</v>
      </c>
    </row>
    <row r="337" spans="2:4">
      <c r="B337" s="532">
        <v>44321</v>
      </c>
      <c r="C337" s="529">
        <v>-4.1173040226083479E-4</v>
      </c>
      <c r="D337" s="529">
        <v>0</v>
      </c>
    </row>
    <row r="338" spans="2:4">
      <c r="B338" s="532">
        <v>44322</v>
      </c>
      <c r="C338" s="529">
        <v>0</v>
      </c>
      <c r="D338" s="529">
        <v>0</v>
      </c>
    </row>
    <row r="339" spans="2:4">
      <c r="B339" s="532">
        <v>44323</v>
      </c>
      <c r="C339" s="529">
        <v>0</v>
      </c>
      <c r="D339" s="529">
        <v>0</v>
      </c>
    </row>
    <row r="340" spans="2:4">
      <c r="B340" s="532">
        <v>44326</v>
      </c>
      <c r="C340" s="529">
        <v>-1.353362777097411E-3</v>
      </c>
      <c r="D340" s="529">
        <v>0</v>
      </c>
    </row>
    <row r="341" spans="2:4">
      <c r="B341" s="532">
        <v>44327</v>
      </c>
      <c r="C341" s="529">
        <v>-1.7189192495370431E-4</v>
      </c>
      <c r="D341" s="529">
        <v>0</v>
      </c>
    </row>
    <row r="342" spans="2:4">
      <c r="B342" s="532">
        <v>44328</v>
      </c>
      <c r="C342" s="529">
        <v>-4.2600721061808455E-3</v>
      </c>
      <c r="D342" s="529">
        <v>0</v>
      </c>
    </row>
    <row r="343" spans="2:4">
      <c r="B343" s="532">
        <v>44329</v>
      </c>
      <c r="C343" s="529">
        <v>-4.1392167437844796E-3</v>
      </c>
      <c r="D343" s="529">
        <v>0</v>
      </c>
    </row>
    <row r="344" spans="2:4">
      <c r="B344" s="532">
        <v>44330</v>
      </c>
      <c r="C344" s="529">
        <v>-1.9195460730909719E-3</v>
      </c>
      <c r="D344" s="529">
        <v>0</v>
      </c>
    </row>
    <row r="345" spans="2:4">
      <c r="B345" s="532">
        <v>44333</v>
      </c>
      <c r="C345" s="529">
        <v>0</v>
      </c>
      <c r="D345" s="529">
        <v>0</v>
      </c>
    </row>
    <row r="346" spans="2:4">
      <c r="B346" s="532">
        <v>44334</v>
      </c>
      <c r="C346" s="529">
        <v>-4.5201825867913215E-4</v>
      </c>
      <c r="D346" s="529">
        <v>0</v>
      </c>
    </row>
    <row r="347" spans="2:4">
      <c r="B347" s="532">
        <v>44335</v>
      </c>
      <c r="C347" s="529">
        <v>-1.4347942557207949E-3</v>
      </c>
      <c r="D347" s="529">
        <v>0</v>
      </c>
    </row>
    <row r="348" spans="2:4">
      <c r="B348" s="532">
        <v>44336</v>
      </c>
      <c r="C348" s="529">
        <v>0</v>
      </c>
      <c r="D348" s="529">
        <v>0</v>
      </c>
    </row>
    <row r="349" spans="2:4">
      <c r="B349" s="532">
        <v>44337</v>
      </c>
      <c r="C349" s="529">
        <v>0</v>
      </c>
      <c r="D349" s="529">
        <v>0</v>
      </c>
    </row>
    <row r="350" spans="2:4">
      <c r="B350" s="532">
        <v>44340</v>
      </c>
      <c r="C350" s="529">
        <v>0</v>
      </c>
      <c r="D350" s="529">
        <v>0</v>
      </c>
    </row>
    <row r="351" spans="2:4">
      <c r="B351" s="532">
        <v>44341</v>
      </c>
      <c r="C351" s="529">
        <v>-8.1525127686310483E-4</v>
      </c>
      <c r="D351" s="529">
        <v>0</v>
      </c>
    </row>
    <row r="352" spans="2:4">
      <c r="B352" s="532">
        <v>44342</v>
      </c>
      <c r="C352" s="529">
        <v>0</v>
      </c>
      <c r="D352" s="529">
        <v>0</v>
      </c>
    </row>
    <row r="353" spans="2:4">
      <c r="B353" s="532">
        <v>44343</v>
      </c>
      <c r="C353" s="529">
        <v>0</v>
      </c>
      <c r="D353" s="529">
        <v>0</v>
      </c>
    </row>
    <row r="354" spans="2:4">
      <c r="B354" s="532">
        <v>44344</v>
      </c>
      <c r="C354" s="529">
        <v>0</v>
      </c>
      <c r="D354" s="529">
        <v>0</v>
      </c>
    </row>
    <row r="355" spans="2:4">
      <c r="B355" s="532">
        <v>44347</v>
      </c>
      <c r="C355" s="529">
        <v>0</v>
      </c>
      <c r="D355" s="529">
        <v>0</v>
      </c>
    </row>
    <row r="356" spans="2:4">
      <c r="B356" s="532">
        <v>44348</v>
      </c>
      <c r="C356" s="529">
        <v>0</v>
      </c>
      <c r="D356" s="529">
        <v>0</v>
      </c>
    </row>
    <row r="357" spans="2:4">
      <c r="B357" s="532">
        <v>44349</v>
      </c>
      <c r="C357" s="529">
        <v>0</v>
      </c>
      <c r="D357" s="529">
        <v>0</v>
      </c>
    </row>
    <row r="358" spans="2:4">
      <c r="B358" s="532">
        <v>44351</v>
      </c>
      <c r="C358" s="529">
        <v>0</v>
      </c>
      <c r="D358" s="529">
        <v>0</v>
      </c>
    </row>
    <row r="359" spans="2:4">
      <c r="B359" s="532">
        <v>44354</v>
      </c>
      <c r="C359" s="529">
        <v>0</v>
      </c>
      <c r="D359" s="529">
        <v>0</v>
      </c>
    </row>
    <row r="360" spans="2:4">
      <c r="B360" s="532">
        <v>44355</v>
      </c>
      <c r="C360" s="529">
        <v>-9.1964535730459929E-4</v>
      </c>
      <c r="D360" s="529">
        <v>0</v>
      </c>
    </row>
    <row r="361" spans="2:4">
      <c r="B361" s="532">
        <v>44356</v>
      </c>
      <c r="C361" s="529">
        <v>-7.0662214574701565E-4</v>
      </c>
      <c r="D361" s="529">
        <v>0</v>
      </c>
    </row>
    <row r="362" spans="2:4">
      <c r="B362" s="532">
        <v>44357</v>
      </c>
      <c r="C362" s="529">
        <v>0</v>
      </c>
      <c r="D362" s="529">
        <v>0</v>
      </c>
    </row>
    <row r="363" spans="2:4">
      <c r="B363" s="532">
        <v>44358</v>
      </c>
      <c r="C363" s="529">
        <v>-3.6701613433820501E-4</v>
      </c>
      <c r="D363" s="529">
        <v>0</v>
      </c>
    </row>
    <row r="364" spans="2:4">
      <c r="B364" s="532">
        <v>44361</v>
      </c>
      <c r="C364" s="529">
        <v>0</v>
      </c>
      <c r="D364" s="529">
        <v>0</v>
      </c>
    </row>
    <row r="365" spans="2:4">
      <c r="B365" s="532">
        <v>44362</v>
      </c>
      <c r="C365" s="529">
        <v>-2.6811176941587966E-5</v>
      </c>
      <c r="D365" s="529">
        <v>0</v>
      </c>
    </row>
    <row r="366" spans="2:4">
      <c r="B366" s="532">
        <v>44363</v>
      </c>
      <c r="C366" s="529">
        <v>-7.0666338183311694E-5</v>
      </c>
      <c r="D366" s="529">
        <v>0</v>
      </c>
    </row>
    <row r="367" spans="2:4">
      <c r="B367" s="532">
        <v>44364</v>
      </c>
      <c r="C367" s="529">
        <v>-1.9780415812977736E-3</v>
      </c>
      <c r="D367" s="529">
        <v>0</v>
      </c>
    </row>
    <row r="368" spans="2:4">
      <c r="B368" s="532">
        <v>44365</v>
      </c>
      <c r="C368" s="529">
        <v>-1.3707818975281505E-3</v>
      </c>
      <c r="D368" s="529">
        <v>0</v>
      </c>
    </row>
    <row r="369" spans="2:4">
      <c r="B369" s="532">
        <v>44368</v>
      </c>
      <c r="C369" s="529">
        <v>0</v>
      </c>
      <c r="D369" s="529">
        <v>0</v>
      </c>
    </row>
    <row r="370" spans="2:4">
      <c r="B370" s="532">
        <v>44369</v>
      </c>
      <c r="C370" s="529">
        <v>0</v>
      </c>
      <c r="D370" s="529">
        <v>0</v>
      </c>
    </row>
    <row r="371" spans="2:4">
      <c r="B371" s="532">
        <v>44370</v>
      </c>
      <c r="C371" s="529">
        <v>0</v>
      </c>
      <c r="D371" s="529">
        <v>0</v>
      </c>
    </row>
    <row r="372" spans="2:4">
      <c r="B372" s="532">
        <v>44371</v>
      </c>
      <c r="C372" s="529">
        <v>0</v>
      </c>
      <c r="D372" s="529">
        <v>0</v>
      </c>
    </row>
    <row r="373" spans="2:4">
      <c r="B373" s="532">
        <v>44372</v>
      </c>
      <c r="C373" s="529">
        <v>-1.5528824120347728E-4</v>
      </c>
      <c r="D373" s="529">
        <v>0</v>
      </c>
    </row>
    <row r="374" spans="2:4">
      <c r="B374" s="532">
        <v>44375</v>
      </c>
      <c r="C374" s="529">
        <v>0</v>
      </c>
      <c r="D374" s="529">
        <v>0</v>
      </c>
    </row>
    <row r="375" spans="2:4">
      <c r="B375" s="532">
        <v>44376</v>
      </c>
      <c r="C375" s="529">
        <v>0</v>
      </c>
      <c r="D375" s="529">
        <v>0</v>
      </c>
    </row>
    <row r="376" spans="2:4">
      <c r="B376" s="532">
        <v>44377</v>
      </c>
      <c r="C376" s="529">
        <v>0</v>
      </c>
      <c r="D376" s="529">
        <v>0</v>
      </c>
    </row>
    <row r="377" spans="2:4">
      <c r="B377" s="532">
        <v>44378</v>
      </c>
      <c r="C377" s="529">
        <v>-3.2312187654714997E-4</v>
      </c>
      <c r="D377" s="529">
        <v>0</v>
      </c>
    </row>
    <row r="378" spans="2:4">
      <c r="B378" s="532">
        <v>44379</v>
      </c>
      <c r="C378" s="529">
        <v>0</v>
      </c>
      <c r="D378" s="529">
        <v>0</v>
      </c>
    </row>
    <row r="379" spans="2:4">
      <c r="B379" s="532">
        <v>44382</v>
      </c>
      <c r="C379" s="529">
        <v>-1.5190537300080464E-4</v>
      </c>
      <c r="D379" s="529">
        <v>0</v>
      </c>
    </row>
    <row r="380" spans="2:4">
      <c r="B380" s="532">
        <v>44383</v>
      </c>
      <c r="C380" s="529">
        <v>-3.4674148149370643E-3</v>
      </c>
      <c r="D380" s="529">
        <v>0</v>
      </c>
    </row>
    <row r="381" spans="2:4">
      <c r="B381" s="532">
        <v>44384</v>
      </c>
      <c r="C381" s="529">
        <v>-2.3110993148436343E-3</v>
      </c>
      <c r="D381" s="529">
        <v>0</v>
      </c>
    </row>
    <row r="382" spans="2:4">
      <c r="B382" s="532">
        <v>44385</v>
      </c>
      <c r="C382" s="529">
        <v>-5.5954346668121158E-3</v>
      </c>
      <c r="D382" s="529">
        <v>0</v>
      </c>
    </row>
    <row r="383" spans="2:4">
      <c r="B383" s="532">
        <v>44386</v>
      </c>
      <c r="C383" s="529">
        <v>-4.4855039772062621E-3</v>
      </c>
      <c r="D383" s="529">
        <v>0</v>
      </c>
    </row>
    <row r="384" spans="2:4">
      <c r="B384" s="532">
        <v>44389</v>
      </c>
      <c r="C384" s="529">
        <v>-1.6185280425230486E-3</v>
      </c>
      <c r="D384" s="529">
        <v>0</v>
      </c>
    </row>
    <row r="385" spans="2:4">
      <c r="B385" s="532">
        <v>44390</v>
      </c>
      <c r="C385" s="529">
        <v>0</v>
      </c>
      <c r="D385" s="529">
        <v>0</v>
      </c>
    </row>
    <row r="386" spans="2:4">
      <c r="B386" s="532">
        <v>44391</v>
      </c>
      <c r="C386" s="529">
        <v>0</v>
      </c>
      <c r="D386" s="529">
        <v>0</v>
      </c>
    </row>
    <row r="387" spans="2:4">
      <c r="B387" s="532">
        <v>44392</v>
      </c>
      <c r="C387" s="529">
        <v>-9.7628384325887385E-4</v>
      </c>
      <c r="D387" s="529">
        <v>0</v>
      </c>
    </row>
    <row r="388" spans="2:4">
      <c r="B388" s="532">
        <v>44393</v>
      </c>
      <c r="C388" s="529">
        <v>-1.8649455175706597E-3</v>
      </c>
      <c r="D388" s="529">
        <v>0</v>
      </c>
    </row>
    <row r="389" spans="2:4">
      <c r="B389" s="532">
        <v>44396</v>
      </c>
      <c r="C389" s="529">
        <v>-6.6114592461918864E-3</v>
      </c>
      <c r="D389" s="529">
        <v>0</v>
      </c>
    </row>
    <row r="390" spans="2:4">
      <c r="B390" s="532">
        <v>44397</v>
      </c>
      <c r="C390" s="529">
        <v>-4.3894654727173466E-3</v>
      </c>
      <c r="D390" s="529">
        <v>0</v>
      </c>
    </row>
    <row r="391" spans="2:4">
      <c r="B391" s="532">
        <v>44398</v>
      </c>
      <c r="C391" s="529">
        <v>-1.9961690044741909E-3</v>
      </c>
      <c r="D391" s="529">
        <v>0</v>
      </c>
    </row>
    <row r="392" spans="2:4">
      <c r="B392" s="532">
        <v>44399</v>
      </c>
      <c r="C392" s="529">
        <v>0</v>
      </c>
      <c r="D392" s="529">
        <v>0</v>
      </c>
    </row>
    <row r="393" spans="2:4">
      <c r="B393" s="532">
        <v>44400</v>
      </c>
      <c r="C393" s="529">
        <v>-5.9557340767824041E-4</v>
      </c>
      <c r="D393" s="529">
        <v>0</v>
      </c>
    </row>
    <row r="394" spans="2:4">
      <c r="B394" s="532">
        <v>44403</v>
      </c>
      <c r="C394" s="529">
        <v>-1.5628670664388222E-3</v>
      </c>
      <c r="D394" s="529">
        <v>0</v>
      </c>
    </row>
    <row r="395" spans="2:4">
      <c r="B395" s="532">
        <v>44404</v>
      </c>
      <c r="C395" s="529">
        <v>-5.6038727448531889E-3</v>
      </c>
      <c r="D395" s="529">
        <v>0</v>
      </c>
    </row>
    <row r="396" spans="2:4">
      <c r="B396" s="532">
        <v>44405</v>
      </c>
      <c r="C396" s="529">
        <v>-2.5575284940718701E-3</v>
      </c>
      <c r="D396" s="529">
        <v>0</v>
      </c>
    </row>
    <row r="397" spans="2:4">
      <c r="B397" s="532">
        <v>44406</v>
      </c>
      <c r="C397" s="529">
        <v>-7.2066204106568943E-4</v>
      </c>
      <c r="D397" s="529">
        <v>0</v>
      </c>
    </row>
    <row r="398" spans="2:4">
      <c r="B398" s="532">
        <v>44407</v>
      </c>
      <c r="C398" s="529">
        <v>-4.6610974246793502E-3</v>
      </c>
      <c r="D398" s="529">
        <v>0</v>
      </c>
    </row>
    <row r="399" spans="2:4">
      <c r="B399" s="532">
        <v>44410</v>
      </c>
      <c r="C399" s="529">
        <v>-3.9606857526148787E-3</v>
      </c>
      <c r="D399" s="529">
        <v>0</v>
      </c>
    </row>
    <row r="400" spans="2:4">
      <c r="B400" s="532">
        <v>44411</v>
      </c>
      <c r="C400" s="529">
        <v>-2.8327960271880004E-3</v>
      </c>
      <c r="D400" s="529">
        <v>0</v>
      </c>
    </row>
    <row r="401" spans="2:4">
      <c r="B401" s="532">
        <v>44412</v>
      </c>
      <c r="C401" s="529">
        <v>-4.3379903214991744E-3</v>
      </c>
      <c r="D401" s="529">
        <v>0</v>
      </c>
    </row>
    <row r="402" spans="2:4">
      <c r="B402" s="532">
        <v>44413</v>
      </c>
      <c r="C402" s="529">
        <v>-3.0138426765540238E-3</v>
      </c>
      <c r="D402" s="529">
        <v>0</v>
      </c>
    </row>
    <row r="403" spans="2:4">
      <c r="B403" s="532">
        <v>44414</v>
      </c>
      <c r="C403" s="529">
        <v>-9.9590646821212658E-4</v>
      </c>
      <c r="D403" s="529">
        <v>0</v>
      </c>
    </row>
    <row r="404" spans="2:4">
      <c r="B404" s="532">
        <v>44417</v>
      </c>
      <c r="C404" s="529">
        <v>-4.2055820800346311E-4</v>
      </c>
      <c r="D404" s="529">
        <v>0</v>
      </c>
    </row>
    <row r="405" spans="2:4">
      <c r="B405" s="532">
        <v>44418</v>
      </c>
      <c r="C405" s="529">
        <v>0</v>
      </c>
      <c r="D405" s="529">
        <v>0</v>
      </c>
    </row>
    <row r="406" spans="2:4">
      <c r="B406" s="532">
        <v>44419</v>
      </c>
      <c r="C406" s="529">
        <v>0</v>
      </c>
      <c r="D406" s="529">
        <v>0</v>
      </c>
    </row>
    <row r="407" spans="2:4">
      <c r="B407" s="532">
        <v>44420</v>
      </c>
      <c r="C407" s="529">
        <v>-1.0876634860605972E-3</v>
      </c>
      <c r="D407" s="529">
        <v>0</v>
      </c>
    </row>
    <row r="408" spans="2:4">
      <c r="B408" s="532">
        <v>44421</v>
      </c>
      <c r="C408" s="529">
        <v>-2.5555410423041547E-3</v>
      </c>
      <c r="D408" s="529">
        <v>0</v>
      </c>
    </row>
    <row r="409" spans="2:4">
      <c r="B409" s="532">
        <v>44424</v>
      </c>
      <c r="C409" s="529">
        <v>-7.402939929242236E-3</v>
      </c>
      <c r="D409" s="529">
        <v>0</v>
      </c>
    </row>
    <row r="410" spans="2:4">
      <c r="B410" s="532">
        <v>44425</v>
      </c>
      <c r="C410" s="529">
        <v>-1.1051909759927314E-2</v>
      </c>
      <c r="D410" s="529">
        <v>0</v>
      </c>
    </row>
    <row r="411" spans="2:4">
      <c r="B411" s="532">
        <v>44426</v>
      </c>
      <c r="C411" s="529">
        <v>-1.1934272036834281E-2</v>
      </c>
      <c r="D411" s="529">
        <v>0</v>
      </c>
    </row>
    <row r="412" spans="2:4">
      <c r="B412" s="532">
        <v>44427</v>
      </c>
      <c r="C412" s="529">
        <v>-1.0634124819621116E-2</v>
      </c>
      <c r="D412" s="529">
        <v>0</v>
      </c>
    </row>
    <row r="413" spans="2:4">
      <c r="B413" s="532">
        <v>44428</v>
      </c>
      <c r="C413" s="529">
        <v>-8.5995878195990194E-3</v>
      </c>
      <c r="D413" s="529">
        <v>0</v>
      </c>
    </row>
    <row r="414" spans="2:4">
      <c r="B414" s="532">
        <v>44431</v>
      </c>
      <c r="C414" s="529">
        <v>-7.8712389774666658E-3</v>
      </c>
      <c r="D414" s="529">
        <v>0</v>
      </c>
    </row>
    <row r="415" spans="2:4">
      <c r="B415" s="532">
        <v>44432</v>
      </c>
      <c r="C415" s="529">
        <v>-3.9862723317096727E-3</v>
      </c>
      <c r="D415" s="529">
        <v>0</v>
      </c>
    </row>
    <row r="416" spans="2:4">
      <c r="B416" s="532">
        <v>44433</v>
      </c>
      <c r="C416" s="529">
        <v>-1.8135918041681798E-3</v>
      </c>
      <c r="D416" s="529">
        <v>0</v>
      </c>
    </row>
    <row r="417" spans="2:4">
      <c r="B417" s="532">
        <v>44434</v>
      </c>
      <c r="C417" s="529">
        <v>-4.1421947804923809E-3</v>
      </c>
      <c r="D417" s="529">
        <v>0</v>
      </c>
    </row>
    <row r="418" spans="2:4">
      <c r="B418" s="532">
        <v>44435</v>
      </c>
      <c r="C418" s="529">
        <v>-7.3878408060212841E-4</v>
      </c>
      <c r="D418" s="529">
        <v>0</v>
      </c>
    </row>
    <row r="419" spans="2:4">
      <c r="B419" s="532">
        <v>44438</v>
      </c>
      <c r="C419" s="529">
        <v>-1.1216868963691562E-3</v>
      </c>
      <c r="D419" s="529">
        <v>0</v>
      </c>
    </row>
    <row r="420" spans="2:4">
      <c r="B420" s="532">
        <v>44439</v>
      </c>
      <c r="C420" s="529">
        <v>-2.086756093365838E-3</v>
      </c>
      <c r="D420" s="529">
        <v>0</v>
      </c>
    </row>
    <row r="421" spans="2:4">
      <c r="B421" s="532">
        <v>44440</v>
      </c>
      <c r="C421" s="529">
        <v>-9.4873955738794535E-4</v>
      </c>
      <c r="D421" s="529">
        <v>0</v>
      </c>
    </row>
    <row r="422" spans="2:4">
      <c r="B422" s="532">
        <v>44441</v>
      </c>
      <c r="C422" s="529">
        <v>-3.1386868352044628E-3</v>
      </c>
      <c r="D422" s="529">
        <v>0</v>
      </c>
    </row>
    <row r="423" spans="2:4">
      <c r="B423" s="532">
        <v>44442</v>
      </c>
      <c r="C423" s="529">
        <v>-2.1783916631200606E-3</v>
      </c>
      <c r="D423" s="529">
        <v>0</v>
      </c>
    </row>
    <row r="424" spans="2:4">
      <c r="B424" s="532">
        <v>44445</v>
      </c>
      <c r="C424" s="529">
        <v>-7.0104045438001972E-4</v>
      </c>
      <c r="D424" s="529">
        <v>0</v>
      </c>
    </row>
    <row r="425" spans="2:4">
      <c r="B425" s="532">
        <v>44447</v>
      </c>
      <c r="C425" s="529">
        <v>-3.977945226483981E-3</v>
      </c>
      <c r="D425" s="529">
        <v>0</v>
      </c>
    </row>
    <row r="426" spans="2:4">
      <c r="B426" s="532">
        <v>44448</v>
      </c>
      <c r="C426" s="529">
        <v>-2.7559875263862832E-3</v>
      </c>
      <c r="D426" s="529">
        <v>0</v>
      </c>
    </row>
    <row r="427" spans="2:4">
      <c r="B427" s="532">
        <v>44449</v>
      </c>
      <c r="C427" s="529">
        <v>-3.0081409970806883E-3</v>
      </c>
      <c r="D427" s="529">
        <v>0</v>
      </c>
    </row>
    <row r="428" spans="2:4">
      <c r="B428" s="532">
        <v>44452</v>
      </c>
      <c r="C428" s="529">
        <v>-9.3800465724303006E-4</v>
      </c>
      <c r="D428" s="529">
        <v>0</v>
      </c>
    </row>
    <row r="429" spans="2:4">
      <c r="B429" s="532">
        <v>44453</v>
      </c>
      <c r="C429" s="529">
        <v>-6.7522328369773454E-4</v>
      </c>
      <c r="D429" s="529">
        <v>0</v>
      </c>
    </row>
    <row r="430" spans="2:4">
      <c r="B430" s="532">
        <v>44454</v>
      </c>
      <c r="C430" s="529">
        <v>0</v>
      </c>
      <c r="D430" s="529">
        <v>0</v>
      </c>
    </row>
    <row r="431" spans="2:4">
      <c r="B431" s="532">
        <v>44455</v>
      </c>
      <c r="C431" s="529">
        <v>-2.8727758884872223E-4</v>
      </c>
      <c r="D431" s="529">
        <v>0</v>
      </c>
    </row>
    <row r="432" spans="2:4">
      <c r="B432" s="532">
        <v>44456</v>
      </c>
      <c r="C432" s="529">
        <v>-2.356483114806962E-3</v>
      </c>
      <c r="D432" s="529">
        <v>0</v>
      </c>
    </row>
    <row r="433" spans="2:4">
      <c r="B433" s="532">
        <v>44459</v>
      </c>
      <c r="C433" s="529">
        <v>-7.4646284193234935E-3</v>
      </c>
      <c r="D433" s="529">
        <v>0</v>
      </c>
    </row>
    <row r="434" spans="2:4">
      <c r="B434" s="532">
        <v>44460</v>
      </c>
      <c r="C434" s="529">
        <v>-5.6484147123192496E-3</v>
      </c>
      <c r="D434" s="529">
        <v>0</v>
      </c>
    </row>
    <row r="435" spans="2:4">
      <c r="B435" s="532">
        <v>44461</v>
      </c>
      <c r="C435" s="529">
        <v>-2.0539061975433093E-3</v>
      </c>
      <c r="D435" s="529">
        <v>0</v>
      </c>
    </row>
    <row r="436" spans="2:4">
      <c r="B436" s="532">
        <v>44462</v>
      </c>
      <c r="C436" s="529">
        <v>0</v>
      </c>
      <c r="D436" s="529">
        <v>0</v>
      </c>
    </row>
    <row r="437" spans="2:4">
      <c r="B437" s="532">
        <v>44463</v>
      </c>
      <c r="C437" s="529">
        <v>0</v>
      </c>
      <c r="D437" s="529">
        <v>0</v>
      </c>
    </row>
    <row r="438" spans="2:4">
      <c r="B438" s="532">
        <v>44466</v>
      </c>
      <c r="C438" s="529">
        <v>0</v>
      </c>
      <c r="D438" s="529">
        <v>0</v>
      </c>
    </row>
    <row r="439" spans="2:4">
      <c r="B439" s="532">
        <v>44467</v>
      </c>
      <c r="C439" s="529">
        <v>-3.5463113663823931E-3</v>
      </c>
      <c r="D439" s="529">
        <v>0</v>
      </c>
    </row>
    <row r="440" spans="2:4">
      <c r="B440" s="532">
        <v>44468</v>
      </c>
      <c r="C440" s="529">
        <v>-2.5046571820371843E-3</v>
      </c>
      <c r="D440" s="529">
        <v>0</v>
      </c>
    </row>
    <row r="441" spans="2:4">
      <c r="B441" s="532">
        <v>44469</v>
      </c>
      <c r="C441" s="529">
        <v>-1.9129568872395808E-3</v>
      </c>
      <c r="D441" s="529">
        <v>0</v>
      </c>
    </row>
    <row r="442" spans="2:4">
      <c r="B442" s="532">
        <v>44470</v>
      </c>
      <c r="C442" s="529">
        <v>0</v>
      </c>
      <c r="D442" s="529">
        <v>0</v>
      </c>
    </row>
    <row r="443" spans="2:4">
      <c r="B443" s="532">
        <v>44473</v>
      </c>
      <c r="C443" s="529">
        <v>-3.0371373523124801E-3</v>
      </c>
      <c r="D443" s="529">
        <v>0</v>
      </c>
    </row>
    <row r="444" spans="2:4">
      <c r="B444" s="532">
        <v>44474</v>
      </c>
      <c r="C444" s="529">
        <v>-2.2694475896596344E-3</v>
      </c>
      <c r="D444" s="529">
        <v>0</v>
      </c>
    </row>
    <row r="445" spans="2:4">
      <c r="B445" s="532">
        <v>44475</v>
      </c>
      <c r="C445" s="529">
        <v>-2.9244713227062347E-3</v>
      </c>
      <c r="D445" s="529">
        <v>0</v>
      </c>
    </row>
    <row r="446" spans="2:4">
      <c r="B446" s="532">
        <v>44476</v>
      </c>
      <c r="C446" s="529">
        <v>-1.3757994781172789E-3</v>
      </c>
      <c r="D446" s="529">
        <v>0</v>
      </c>
    </row>
    <row r="447" spans="2:4">
      <c r="B447" s="532">
        <v>44477</v>
      </c>
      <c r="C447" s="529">
        <v>0</v>
      </c>
      <c r="D447" s="529">
        <v>0</v>
      </c>
    </row>
    <row r="448" spans="2:4">
      <c r="B448" s="532">
        <v>44480</v>
      </c>
      <c r="C448" s="529">
        <v>-5.5689657770952028E-4</v>
      </c>
      <c r="D448" s="529">
        <v>0</v>
      </c>
    </row>
    <row r="449" spans="2:4">
      <c r="B449" s="532">
        <v>44482</v>
      </c>
      <c r="C449" s="529">
        <v>-4.2276452895328998E-4</v>
      </c>
      <c r="D449" s="529">
        <v>0</v>
      </c>
    </row>
    <row r="450" spans="2:4">
      <c r="B450" s="532">
        <v>44483</v>
      </c>
      <c r="C450" s="529">
        <v>0</v>
      </c>
      <c r="D450" s="529">
        <v>0</v>
      </c>
    </row>
    <row r="451" spans="2:4">
      <c r="B451" s="532">
        <v>44484</v>
      </c>
      <c r="C451" s="529">
        <v>0</v>
      </c>
      <c r="D451" s="529">
        <v>0</v>
      </c>
    </row>
    <row r="452" spans="2:4">
      <c r="B452" s="532">
        <v>44487</v>
      </c>
      <c r="C452" s="529">
        <v>0</v>
      </c>
      <c r="D452" s="529">
        <v>0</v>
      </c>
    </row>
    <row r="453" spans="2:4">
      <c r="B453" s="532">
        <v>44488</v>
      </c>
      <c r="C453" s="529">
        <v>-3.5759694407520026E-3</v>
      </c>
      <c r="D453" s="529">
        <v>0</v>
      </c>
    </row>
    <row r="454" spans="2:4">
      <c r="B454" s="532">
        <v>44489</v>
      </c>
      <c r="C454" s="529">
        <v>-3.6398123496956813E-3</v>
      </c>
      <c r="D454" s="529">
        <v>0</v>
      </c>
    </row>
    <row r="455" spans="2:4">
      <c r="B455" s="532">
        <v>44490</v>
      </c>
      <c r="C455" s="529">
        <v>-6.3717095042231664E-3</v>
      </c>
      <c r="D455" s="529">
        <v>0</v>
      </c>
    </row>
    <row r="456" spans="2:4">
      <c r="B456" s="532">
        <v>44491</v>
      </c>
      <c r="C456" s="529">
        <v>-9.7829503311170907E-3</v>
      </c>
      <c r="D456" s="529">
        <v>0</v>
      </c>
    </row>
    <row r="457" spans="2:4">
      <c r="B457" s="532">
        <v>44494</v>
      </c>
      <c r="C457" s="529">
        <v>-7.072879100225915E-3</v>
      </c>
      <c r="D457" s="529">
        <v>0</v>
      </c>
    </row>
    <row r="458" spans="2:4">
      <c r="B458" s="532">
        <v>44495</v>
      </c>
      <c r="C458" s="529">
        <v>-1.0624754872037512E-2</v>
      </c>
      <c r="D458" s="529">
        <v>0</v>
      </c>
    </row>
    <row r="459" spans="2:4">
      <c r="B459" s="532">
        <v>44496</v>
      </c>
      <c r="C459" s="529">
        <v>-1.2743228703503862E-2</v>
      </c>
      <c r="D459" s="529">
        <v>0</v>
      </c>
    </row>
    <row r="460" spans="2:4">
      <c r="B460" s="532">
        <v>44497</v>
      </c>
      <c r="C460" s="529">
        <v>-1.28040032741773E-2</v>
      </c>
      <c r="D460" s="529">
        <v>0</v>
      </c>
    </row>
    <row r="461" spans="2:4">
      <c r="B461" s="532">
        <v>44498</v>
      </c>
      <c r="C461" s="529">
        <v>-1.3855372666146115E-2</v>
      </c>
      <c r="D461" s="529">
        <v>0</v>
      </c>
    </row>
    <row r="462" spans="2:4">
      <c r="B462" s="532">
        <v>44501</v>
      </c>
      <c r="C462" s="529">
        <v>-1.1111499346237563E-2</v>
      </c>
      <c r="D462" s="529">
        <v>0</v>
      </c>
    </row>
    <row r="463" spans="2:4">
      <c r="B463" s="532">
        <v>44503</v>
      </c>
      <c r="C463" s="529">
        <v>-8.5609504687589322E-3</v>
      </c>
      <c r="D463" s="529">
        <v>0</v>
      </c>
    </row>
    <row r="464" spans="2:4">
      <c r="B464" s="532">
        <v>44504</v>
      </c>
      <c r="C464" s="529">
        <v>-1.0517966065041517E-2</v>
      </c>
      <c r="D464" s="529">
        <v>0</v>
      </c>
    </row>
    <row r="465" spans="2:4">
      <c r="B465" s="532">
        <v>44505</v>
      </c>
      <c r="C465" s="529">
        <v>-8.6961693481723001E-3</v>
      </c>
      <c r="D465" s="529">
        <v>0</v>
      </c>
    </row>
    <row r="466" spans="2:4">
      <c r="B466" s="532">
        <v>44508</v>
      </c>
      <c r="C466" s="529">
        <v>-8.7588686257352721E-3</v>
      </c>
      <c r="D466" s="529">
        <v>0</v>
      </c>
    </row>
    <row r="467" spans="2:4">
      <c r="B467" s="532">
        <v>44509</v>
      </c>
      <c r="C467" s="529">
        <v>-8.672940704652965E-3</v>
      </c>
      <c r="D467" s="529">
        <v>0</v>
      </c>
    </row>
    <row r="468" spans="2:4">
      <c r="B468" s="532">
        <v>44510</v>
      </c>
      <c r="C468" s="529">
        <v>-6.1199914726716154E-3</v>
      </c>
      <c r="D468" s="529">
        <v>0</v>
      </c>
    </row>
    <row r="469" spans="2:4">
      <c r="B469" s="532">
        <v>44511</v>
      </c>
      <c r="C469" s="529">
        <v>-2.4170286341093083E-3</v>
      </c>
      <c r="D469" s="529">
        <v>0</v>
      </c>
    </row>
    <row r="470" spans="2:4">
      <c r="B470" s="532">
        <v>44512</v>
      </c>
      <c r="C470" s="529">
        <v>-2.7195144293735707E-3</v>
      </c>
      <c r="D470" s="529">
        <v>0</v>
      </c>
    </row>
    <row r="471" spans="2:4">
      <c r="B471" s="532">
        <v>44516</v>
      </c>
      <c r="C471" s="529">
        <v>-4.5305264425073988E-3</v>
      </c>
      <c r="D471" s="529">
        <v>0</v>
      </c>
    </row>
    <row r="472" spans="2:4">
      <c r="B472" s="532">
        <v>44517</v>
      </c>
      <c r="C472" s="529">
        <v>-6.6677048055661103E-3</v>
      </c>
      <c r="D472" s="529">
        <v>0</v>
      </c>
    </row>
    <row r="473" spans="2:4">
      <c r="B473" s="532">
        <v>44518</v>
      </c>
      <c r="C473" s="529">
        <v>-6.3157435168258447E-3</v>
      </c>
      <c r="D473" s="529">
        <v>0</v>
      </c>
    </row>
    <row r="474" spans="2:4">
      <c r="B474" s="532">
        <v>44519</v>
      </c>
      <c r="C474" s="529">
        <v>-4.9608597732397897E-3</v>
      </c>
      <c r="D474" s="529">
        <v>0</v>
      </c>
    </row>
    <row r="475" spans="2:4">
      <c r="B475" s="532">
        <v>44522</v>
      </c>
      <c r="C475" s="529">
        <v>-6.7119987188778429E-3</v>
      </c>
      <c r="D475" s="529">
        <v>0</v>
      </c>
    </row>
    <row r="476" spans="2:4">
      <c r="B476" s="532">
        <v>44523</v>
      </c>
      <c r="C476" s="529">
        <v>-4.9093979776726471E-3</v>
      </c>
      <c r="D476" s="529">
        <v>0</v>
      </c>
    </row>
    <row r="477" spans="2:4">
      <c r="B477" s="532">
        <v>44524</v>
      </c>
      <c r="C477" s="529">
        <v>-3.8493041354836777E-3</v>
      </c>
      <c r="D477" s="529">
        <v>0</v>
      </c>
    </row>
    <row r="478" spans="2:4">
      <c r="B478" s="532">
        <v>44525</v>
      </c>
      <c r="C478" s="529">
        <v>-1.1923537430682529E-3</v>
      </c>
      <c r="D478" s="529">
        <v>0</v>
      </c>
    </row>
    <row r="479" spans="2:4">
      <c r="B479" s="532">
        <v>44526</v>
      </c>
      <c r="C479" s="529">
        <v>-9.4605224782791097E-3</v>
      </c>
      <c r="D479" s="529">
        <v>0</v>
      </c>
    </row>
    <row r="480" spans="2:4">
      <c r="B480" s="532">
        <v>44529</v>
      </c>
      <c r="C480" s="529">
        <v>-7.4933016063795099E-3</v>
      </c>
      <c r="D480" s="529">
        <v>0</v>
      </c>
    </row>
    <row r="481" spans="2:4">
      <c r="B481" s="532">
        <v>44530</v>
      </c>
      <c r="C481" s="529">
        <v>-1.1934199202246587E-2</v>
      </c>
      <c r="D481" s="529">
        <v>0</v>
      </c>
    </row>
    <row r="482" spans="2:4">
      <c r="B482" s="532">
        <v>44531</v>
      </c>
      <c r="C482" s="529">
        <v>-1.3380685026749828E-2</v>
      </c>
      <c r="D482" s="529">
        <v>0</v>
      </c>
    </row>
    <row r="483" spans="2:4">
      <c r="B483" s="532">
        <v>44532</v>
      </c>
      <c r="C483" s="529">
        <v>-7.889143119630404E-3</v>
      </c>
      <c r="D483" s="529">
        <v>0</v>
      </c>
    </row>
    <row r="484" spans="2:4">
      <c r="B484" s="532">
        <v>44533</v>
      </c>
      <c r="C484" s="529">
        <v>-6.1876013352021308E-3</v>
      </c>
      <c r="D484" s="529">
        <v>0</v>
      </c>
    </row>
    <row r="485" spans="2:4">
      <c r="B485" s="532">
        <v>44536</v>
      </c>
      <c r="C485" s="529">
        <v>-3.7767998567467265E-3</v>
      </c>
      <c r="D485" s="529">
        <v>0</v>
      </c>
    </row>
    <row r="486" spans="2:4">
      <c r="B486" s="532">
        <v>44537</v>
      </c>
      <c r="C486" s="529">
        <v>-2.3671307959154397E-3</v>
      </c>
      <c r="D486" s="529">
        <v>0</v>
      </c>
    </row>
    <row r="487" spans="2:4">
      <c r="B487" s="532">
        <v>44538</v>
      </c>
      <c r="C487" s="529">
        <v>-7.097867486719478E-4</v>
      </c>
      <c r="D487" s="529">
        <v>0</v>
      </c>
    </row>
    <row r="488" spans="2:4">
      <c r="B488" s="532">
        <v>44539</v>
      </c>
      <c r="C488" s="529">
        <v>-2.6335275668081248E-3</v>
      </c>
      <c r="D488" s="529">
        <v>0</v>
      </c>
    </row>
    <row r="489" spans="2:4">
      <c r="B489" s="532">
        <v>44540</v>
      </c>
      <c r="C489" s="529">
        <v>0</v>
      </c>
      <c r="D489" s="529">
        <v>0</v>
      </c>
    </row>
    <row r="490" spans="2:4">
      <c r="B490" s="532">
        <v>44543</v>
      </c>
      <c r="C490" s="529">
        <v>-7.3148348736740143E-4</v>
      </c>
      <c r="D490" s="529">
        <v>0</v>
      </c>
    </row>
    <row r="491" spans="2:4">
      <c r="B491" s="532">
        <v>44544</v>
      </c>
      <c r="C491" s="529">
        <v>-2.1159664493274333E-3</v>
      </c>
      <c r="D491" s="529">
        <v>0</v>
      </c>
    </row>
    <row r="492" spans="2:4">
      <c r="B492" s="532">
        <v>44545</v>
      </c>
      <c r="C492" s="529">
        <v>-2.2759002472194645E-4</v>
      </c>
      <c r="D492" s="529">
        <v>0</v>
      </c>
    </row>
    <row r="493" spans="2:4">
      <c r="B493" s="532">
        <v>44546</v>
      </c>
      <c r="C493" s="529">
        <v>-7.9899988477816208E-4</v>
      </c>
      <c r="D493" s="529">
        <v>0</v>
      </c>
    </row>
    <row r="494" spans="2:4">
      <c r="B494" s="532">
        <v>44547</v>
      </c>
      <c r="C494" s="529">
        <v>-2.2257436070556302E-3</v>
      </c>
      <c r="D494" s="529">
        <v>0</v>
      </c>
    </row>
    <row r="495" spans="2:4">
      <c r="B495" s="532">
        <v>44550</v>
      </c>
      <c r="C495" s="529">
        <v>-6.6414668754869455E-3</v>
      </c>
      <c r="D495" s="529">
        <v>0</v>
      </c>
    </row>
    <row r="496" spans="2:4">
      <c r="B496" s="532">
        <v>44551</v>
      </c>
      <c r="C496" s="529">
        <v>-3.2207028989754694E-3</v>
      </c>
      <c r="D496" s="529">
        <v>0</v>
      </c>
    </row>
    <row r="497" spans="2:4">
      <c r="B497" s="532">
        <v>44552</v>
      </c>
      <c r="C497" s="529">
        <v>-2.7540360093787353E-3</v>
      </c>
      <c r="D497" s="529">
        <v>0</v>
      </c>
    </row>
    <row r="498" spans="2:4">
      <c r="B498" s="532">
        <v>44553</v>
      </c>
      <c r="C498" s="529">
        <v>-2.2286527154312674E-3</v>
      </c>
      <c r="D498" s="529">
        <v>0</v>
      </c>
    </row>
    <row r="499" spans="2:4">
      <c r="B499" s="532">
        <v>44554</v>
      </c>
      <c r="C499" s="529">
        <v>-2.0039989586495555E-3</v>
      </c>
      <c r="D499" s="529">
        <v>0</v>
      </c>
    </row>
    <row r="500" spans="2:4">
      <c r="B500" s="532">
        <v>44557</v>
      </c>
      <c r="C500" s="529">
        <v>0</v>
      </c>
      <c r="D500" s="529">
        <v>0</v>
      </c>
    </row>
    <row r="501" spans="2:4">
      <c r="B501" s="532">
        <v>44558</v>
      </c>
      <c r="C501" s="529">
        <v>-1.9172602684669471E-4</v>
      </c>
      <c r="D501" s="529">
        <v>0</v>
      </c>
    </row>
    <row r="502" spans="2:4">
      <c r="B502" s="532">
        <v>44559</v>
      </c>
      <c r="C502" s="529">
        <v>-9.9200092054652078E-4</v>
      </c>
      <c r="D502" s="529">
        <v>0</v>
      </c>
    </row>
    <row r="503" spans="2:4">
      <c r="B503" s="532">
        <v>44560</v>
      </c>
      <c r="C503" s="529">
        <v>0</v>
      </c>
      <c r="D503" s="529">
        <v>0</v>
      </c>
    </row>
    <row r="504" spans="2:4">
      <c r="B504" s="532">
        <v>44561</v>
      </c>
      <c r="C504" s="529">
        <v>0</v>
      </c>
      <c r="D504" s="529">
        <v>0</v>
      </c>
    </row>
    <row r="505" spans="2:4">
      <c r="B505" s="532">
        <v>44564</v>
      </c>
      <c r="C505" s="529">
        <v>-4.7598677408200452E-4</v>
      </c>
      <c r="D505" s="529">
        <v>0</v>
      </c>
    </row>
    <row r="506" spans="2:4">
      <c r="B506" s="532">
        <v>44565</v>
      </c>
      <c r="C506" s="529">
        <v>-1.1190847980614427E-3</v>
      </c>
      <c r="D506" s="529">
        <v>0</v>
      </c>
    </row>
    <row r="507" spans="2:4">
      <c r="B507" s="532">
        <v>44566</v>
      </c>
      <c r="C507" s="529">
        <v>-5.7447620054100756E-3</v>
      </c>
      <c r="D507" s="529">
        <v>0</v>
      </c>
    </row>
    <row r="508" spans="2:4">
      <c r="B508" s="532">
        <v>44567</v>
      </c>
      <c r="C508" s="529">
        <v>-4.4135127578195377E-3</v>
      </c>
      <c r="D508" s="529">
        <v>0</v>
      </c>
    </row>
    <row r="509" spans="2:4">
      <c r="B509" s="532">
        <v>44568</v>
      </c>
      <c r="C509" s="529">
        <v>-2.4796318640714077E-3</v>
      </c>
      <c r="D509" s="529">
        <v>0</v>
      </c>
    </row>
    <row r="510" spans="2:4">
      <c r="B510" s="532">
        <v>44571</v>
      </c>
      <c r="C510" s="529">
        <v>-2.7226091268957031E-3</v>
      </c>
      <c r="D510" s="529">
        <v>0</v>
      </c>
    </row>
    <row r="511" spans="2:4">
      <c r="B511" s="532">
        <v>44572</v>
      </c>
      <c r="C511" s="529">
        <v>-5.3678430529546795E-4</v>
      </c>
      <c r="D511" s="529">
        <v>0</v>
      </c>
    </row>
    <row r="512" spans="2:4">
      <c r="B512" s="532">
        <v>44573</v>
      </c>
      <c r="C512" s="529">
        <v>0</v>
      </c>
      <c r="D512" s="529">
        <v>0</v>
      </c>
    </row>
    <row r="513" spans="2:4">
      <c r="B513" s="532">
        <v>44574</v>
      </c>
      <c r="C513" s="529">
        <v>-1.0772273502381857E-3</v>
      </c>
      <c r="D513" s="529">
        <v>0</v>
      </c>
    </row>
    <row r="514" spans="2:4">
      <c r="B514" s="532">
        <v>44575</v>
      </c>
      <c r="C514" s="529">
        <v>0</v>
      </c>
      <c r="D514" s="529">
        <v>0</v>
      </c>
    </row>
    <row r="515" spans="2:4">
      <c r="B515" s="532">
        <v>44578</v>
      </c>
      <c r="C515" s="529">
        <v>-8.8202745712750996E-6</v>
      </c>
      <c r="D515" s="529">
        <v>0</v>
      </c>
    </row>
    <row r="516" spans="2:4">
      <c r="B516" s="532">
        <v>44579</v>
      </c>
      <c r="C516" s="529">
        <v>0</v>
      </c>
      <c r="D516" s="529">
        <v>0</v>
      </c>
    </row>
    <row r="517" spans="2:4">
      <c r="B517" s="532">
        <v>44580</v>
      </c>
      <c r="C517" s="529">
        <v>0</v>
      </c>
      <c r="D517" s="529">
        <v>0</v>
      </c>
    </row>
    <row r="518" spans="2:4">
      <c r="B518" s="532">
        <v>44581</v>
      </c>
      <c r="C518" s="529">
        <v>0</v>
      </c>
      <c r="D518" s="529">
        <v>0</v>
      </c>
    </row>
    <row r="519" spans="2:4">
      <c r="B519" s="532">
        <v>44582</v>
      </c>
      <c r="C519" s="529">
        <v>-2.0171241005774165E-3</v>
      </c>
      <c r="D519" s="529">
        <v>0</v>
      </c>
    </row>
    <row r="520" spans="2:4">
      <c r="B520" s="532">
        <v>44585</v>
      </c>
      <c r="C520" s="529">
        <v>-3.3127538743172869E-3</v>
      </c>
      <c r="D520" s="529">
        <v>0</v>
      </c>
    </row>
    <row r="521" spans="2:4">
      <c r="B521" s="532">
        <v>44586</v>
      </c>
      <c r="C521" s="529">
        <v>-2.5424841254062525E-4</v>
      </c>
      <c r="D521" s="529">
        <v>0</v>
      </c>
    </row>
    <row r="522" spans="2:4">
      <c r="B522" s="532">
        <v>44587</v>
      </c>
      <c r="C522" s="529">
        <v>0</v>
      </c>
      <c r="D522" s="529">
        <v>0</v>
      </c>
    </row>
    <row r="523" spans="2:4">
      <c r="B523" s="532">
        <v>44588</v>
      </c>
      <c r="C523" s="529">
        <v>0</v>
      </c>
      <c r="D523" s="529">
        <v>0</v>
      </c>
    </row>
    <row r="524" spans="2:4">
      <c r="B524" s="532">
        <v>44589</v>
      </c>
      <c r="C524" s="529">
        <v>0</v>
      </c>
      <c r="D524" s="529">
        <v>0</v>
      </c>
    </row>
    <row r="525" spans="2:4">
      <c r="B525" s="532">
        <v>44592</v>
      </c>
      <c r="C525" s="529">
        <v>0</v>
      </c>
      <c r="D525" s="529">
        <v>0</v>
      </c>
    </row>
    <row r="526" spans="2:4">
      <c r="B526" s="532">
        <v>44593</v>
      </c>
      <c r="C526" s="529">
        <v>0</v>
      </c>
      <c r="D526" s="529">
        <v>0</v>
      </c>
    </row>
    <row r="527" spans="2:4">
      <c r="B527" s="532">
        <v>44594</v>
      </c>
      <c r="C527" s="529">
        <v>-5.7621461550194653E-5</v>
      </c>
      <c r="D527" s="529">
        <v>0</v>
      </c>
    </row>
    <row r="528" spans="2:4">
      <c r="B528" s="532">
        <v>44595</v>
      </c>
      <c r="C528" s="529">
        <v>-1.4392160489795636E-4</v>
      </c>
      <c r="D528" s="529">
        <v>0</v>
      </c>
    </row>
    <row r="529" spans="2:4">
      <c r="B529" s="532">
        <v>44596</v>
      </c>
      <c r="C529" s="529">
        <v>0</v>
      </c>
      <c r="D529" s="529">
        <v>0</v>
      </c>
    </row>
    <row r="530" spans="2:4">
      <c r="B530" s="532">
        <v>44599</v>
      </c>
      <c r="C530" s="529">
        <v>-1.6644148060374064E-4</v>
      </c>
      <c r="D530" s="529">
        <v>0</v>
      </c>
    </row>
    <row r="531" spans="2:4">
      <c r="B531" s="532">
        <v>44600</v>
      </c>
      <c r="C531" s="529">
        <v>0</v>
      </c>
      <c r="D531" s="529">
        <v>0</v>
      </c>
    </row>
    <row r="532" spans="2:4">
      <c r="B532" s="532">
        <v>44601</v>
      </c>
      <c r="C532" s="529">
        <v>0</v>
      </c>
      <c r="D532" s="529">
        <v>0</v>
      </c>
    </row>
    <row r="533" spans="2:4">
      <c r="B533" s="532">
        <v>44602</v>
      </c>
      <c r="C533" s="529">
        <v>0</v>
      </c>
      <c r="D533" s="529">
        <v>0</v>
      </c>
    </row>
    <row r="534" spans="2:4">
      <c r="B534" s="532">
        <v>44603</v>
      </c>
      <c r="C534" s="529">
        <v>-8.1933742325623893E-4</v>
      </c>
      <c r="D534" s="529">
        <v>0</v>
      </c>
    </row>
    <row r="535" spans="2:4">
      <c r="B535" s="532">
        <v>44606</v>
      </c>
      <c r="C535" s="529">
        <v>0</v>
      </c>
      <c r="D535" s="529">
        <v>0</v>
      </c>
    </row>
    <row r="536" spans="2:4">
      <c r="B536" s="532">
        <v>44607</v>
      </c>
      <c r="C536" s="529">
        <v>0</v>
      </c>
      <c r="D536" s="529">
        <v>0</v>
      </c>
    </row>
    <row r="537" spans="2:4">
      <c r="B537" s="532">
        <v>44608</v>
      </c>
      <c r="C537" s="529">
        <v>0</v>
      </c>
      <c r="D537" s="529">
        <v>0</v>
      </c>
    </row>
    <row r="538" spans="2:4">
      <c r="B538" s="532">
        <v>44609</v>
      </c>
      <c r="C538" s="529">
        <v>-1.9608197325656773E-3</v>
      </c>
      <c r="D538" s="529">
        <v>0</v>
      </c>
    </row>
    <row r="539" spans="2:4">
      <c r="B539" s="532">
        <v>44610</v>
      </c>
      <c r="C539" s="529">
        <v>-3.6030129890812779E-3</v>
      </c>
      <c r="D539" s="529">
        <v>0</v>
      </c>
    </row>
    <row r="540" spans="2:4">
      <c r="B540" s="532">
        <v>44613</v>
      </c>
      <c r="C540" s="529">
        <v>-5.4377825691016568E-3</v>
      </c>
      <c r="D540" s="529">
        <v>0</v>
      </c>
    </row>
    <row r="541" spans="2:4">
      <c r="B541" s="532">
        <v>44614</v>
      </c>
      <c r="C541" s="529">
        <v>-3.7810991795169668E-3</v>
      </c>
      <c r="D541" s="529">
        <v>0</v>
      </c>
    </row>
    <row r="542" spans="2:4">
      <c r="B542" s="532">
        <v>44615</v>
      </c>
      <c r="C542" s="529">
        <v>-4.6031914565770604E-3</v>
      </c>
      <c r="D542" s="529">
        <v>0</v>
      </c>
    </row>
    <row r="543" spans="2:4">
      <c r="B543" s="532">
        <v>44616</v>
      </c>
      <c r="C543" s="529">
        <v>-4.7363903942293506E-3</v>
      </c>
      <c r="D543" s="529">
        <v>0</v>
      </c>
    </row>
    <row r="544" spans="2:4">
      <c r="B544" s="532">
        <v>44617</v>
      </c>
      <c r="C544" s="529">
        <v>-1.5182437210254918E-3</v>
      </c>
      <c r="D544" s="529">
        <v>0</v>
      </c>
    </row>
    <row r="545" spans="2:4">
      <c r="B545" s="532">
        <v>44622</v>
      </c>
      <c r="C545" s="529">
        <v>-7.7624735581438564E-4</v>
      </c>
      <c r="D545" s="529">
        <v>0</v>
      </c>
    </row>
    <row r="546" spans="2:4">
      <c r="B546" s="532">
        <v>44623</v>
      </c>
      <c r="C546" s="529">
        <v>-1.8221670023665926E-4</v>
      </c>
      <c r="D546" s="529">
        <v>0</v>
      </c>
    </row>
    <row r="547" spans="2:4">
      <c r="B547" s="532">
        <v>44624</v>
      </c>
      <c r="C547" s="529">
        <v>-1.5827075622243392E-3</v>
      </c>
      <c r="D547" s="529">
        <v>0</v>
      </c>
    </row>
    <row r="548" spans="2:4">
      <c r="B548" s="532">
        <v>44627</v>
      </c>
      <c r="C548" s="529">
        <v>-4.6390183969402532E-3</v>
      </c>
      <c r="D548" s="529">
        <v>0</v>
      </c>
    </row>
    <row r="549" spans="2:4">
      <c r="B549" s="532">
        <v>44628</v>
      </c>
      <c r="C549" s="529">
        <v>-3.6067232620738965E-3</v>
      </c>
      <c r="D549" s="529">
        <v>0</v>
      </c>
    </row>
    <row r="550" spans="2:4">
      <c r="B550" s="532">
        <v>44629</v>
      </c>
      <c r="C550" s="529">
        <v>0</v>
      </c>
      <c r="D550" s="529">
        <v>0</v>
      </c>
    </row>
    <row r="551" spans="2:4">
      <c r="B551" s="532">
        <v>44630</v>
      </c>
      <c r="C551" s="529">
        <v>0</v>
      </c>
      <c r="D551" s="529">
        <v>0</v>
      </c>
    </row>
    <row r="552" spans="2:4">
      <c r="B552" s="532">
        <v>44631</v>
      </c>
      <c r="C552" s="529">
        <v>-2.5171377309403109E-3</v>
      </c>
      <c r="D552" s="529">
        <v>0</v>
      </c>
    </row>
    <row r="553" spans="2:4">
      <c r="B553" s="532">
        <v>44634</v>
      </c>
      <c r="C553" s="529">
        <v>-4.4217377034097005E-3</v>
      </c>
      <c r="D553" s="529">
        <v>0</v>
      </c>
    </row>
    <row r="554" spans="2:4">
      <c r="B554" s="532">
        <v>44635</v>
      </c>
      <c r="C554" s="529">
        <v>-4.3926210695824919E-3</v>
      </c>
      <c r="D554" s="529">
        <v>0</v>
      </c>
    </row>
    <row r="555" spans="2:4">
      <c r="B555" s="532">
        <v>44636</v>
      </c>
      <c r="C555" s="529">
        <v>0</v>
      </c>
      <c r="D555" s="529">
        <v>0</v>
      </c>
    </row>
    <row r="556" spans="2:4">
      <c r="B556" s="532">
        <v>44637</v>
      </c>
      <c r="C556" s="529">
        <v>0</v>
      </c>
      <c r="D556" s="529">
        <v>0</v>
      </c>
    </row>
    <row r="557" spans="2:4">
      <c r="B557" s="532">
        <v>44638</v>
      </c>
      <c r="C557" s="529">
        <v>0</v>
      </c>
      <c r="D557" s="529">
        <v>0</v>
      </c>
    </row>
    <row r="558" spans="2:4">
      <c r="B558" s="532">
        <v>44641</v>
      </c>
      <c r="C558" s="529">
        <v>0</v>
      </c>
      <c r="D558" s="529">
        <v>0</v>
      </c>
    </row>
    <row r="559" spans="2:4">
      <c r="B559" s="532">
        <v>44642</v>
      </c>
      <c r="C559" s="529">
        <v>0</v>
      </c>
      <c r="D559" s="529">
        <v>0</v>
      </c>
    </row>
    <row r="560" spans="2:4">
      <c r="B560" s="532">
        <v>44643</v>
      </c>
      <c r="C560" s="529">
        <v>0</v>
      </c>
      <c r="D560" s="529">
        <v>0</v>
      </c>
    </row>
    <row r="561" spans="2:4">
      <c r="B561" s="532">
        <v>44644</v>
      </c>
      <c r="C561" s="529">
        <v>0</v>
      </c>
      <c r="D561" s="529">
        <v>0</v>
      </c>
    </row>
    <row r="562" spans="2:4">
      <c r="B562" s="532">
        <v>44645</v>
      </c>
      <c r="C562" s="529">
        <v>0</v>
      </c>
      <c r="D562" s="529">
        <v>0</v>
      </c>
    </row>
    <row r="563" spans="2:4">
      <c r="B563" s="532">
        <v>44648</v>
      </c>
      <c r="C563" s="529">
        <v>-2.9482089560872726E-4</v>
      </c>
      <c r="D563" s="529">
        <v>0</v>
      </c>
    </row>
    <row r="564" spans="2:4">
      <c r="B564" s="532">
        <v>44649</v>
      </c>
      <c r="C564" s="529">
        <v>0</v>
      </c>
      <c r="D564" s="529">
        <v>0</v>
      </c>
    </row>
    <row r="565" spans="2:4">
      <c r="B565" s="532">
        <v>44650</v>
      </c>
      <c r="C565" s="529">
        <v>-4.0402064209399402E-4</v>
      </c>
      <c r="D565" s="529">
        <v>0</v>
      </c>
    </row>
    <row r="566" spans="2:4">
      <c r="B566" s="532">
        <v>44651</v>
      </c>
      <c r="C566" s="529">
        <v>-8.9308742768956506E-4</v>
      </c>
      <c r="D566" s="529">
        <v>0</v>
      </c>
    </row>
    <row r="567" spans="2:4">
      <c r="B567" s="532">
        <v>44652</v>
      </c>
      <c r="C567" s="529">
        <v>0</v>
      </c>
      <c r="D567" s="529">
        <v>0</v>
      </c>
    </row>
    <row r="568" spans="2:4">
      <c r="B568" s="532">
        <v>44655</v>
      </c>
      <c r="C568" s="529">
        <v>0</v>
      </c>
      <c r="D568" s="529">
        <v>0</v>
      </c>
    </row>
    <row r="569" spans="2:4">
      <c r="B569" s="532">
        <v>44656</v>
      </c>
      <c r="C569" s="529">
        <v>-1.7256236022973326E-3</v>
      </c>
      <c r="D569" s="529">
        <v>0</v>
      </c>
    </row>
    <row r="570" spans="2:4">
      <c r="B570" s="532">
        <v>44657</v>
      </c>
      <c r="C570" s="529">
        <v>-3.0933554098550031E-3</v>
      </c>
      <c r="D570" s="529">
        <v>0</v>
      </c>
    </row>
    <row r="571" spans="2:4">
      <c r="B571" s="532">
        <v>44658</v>
      </c>
      <c r="C571" s="529">
        <v>-1.6652701067283449E-3</v>
      </c>
      <c r="D571" s="529">
        <v>0</v>
      </c>
    </row>
    <row r="572" spans="2:4">
      <c r="B572" s="532">
        <v>44659</v>
      </c>
      <c r="C572" s="529">
        <v>-5.1704531566088008E-4</v>
      </c>
      <c r="D572" s="529">
        <v>0</v>
      </c>
    </row>
    <row r="573" spans="2:4">
      <c r="B573" s="532">
        <v>44662</v>
      </c>
      <c r="C573" s="529">
        <v>-3.4059594980867525E-3</v>
      </c>
      <c r="D573" s="529">
        <v>0</v>
      </c>
    </row>
    <row r="574" spans="2:4">
      <c r="B574" s="532">
        <v>44663</v>
      </c>
      <c r="C574" s="529">
        <v>-3.6748262071532034E-3</v>
      </c>
      <c r="D574" s="529">
        <v>0</v>
      </c>
    </row>
    <row r="575" spans="2:4">
      <c r="B575" s="532">
        <v>44664</v>
      </c>
      <c r="C575" s="529">
        <v>-1.552963714074429E-3</v>
      </c>
      <c r="D575" s="529">
        <v>0</v>
      </c>
    </row>
    <row r="576" spans="2:4">
      <c r="B576" s="532">
        <v>44665</v>
      </c>
      <c r="C576" s="529">
        <v>-1.1303326667926328E-3</v>
      </c>
      <c r="D576" s="529">
        <v>0</v>
      </c>
    </row>
    <row r="577" spans="2:4">
      <c r="B577" s="532">
        <v>44669</v>
      </c>
      <c r="C577" s="529">
        <v>-5.9293708302154968E-4</v>
      </c>
      <c r="D577" s="529">
        <v>0</v>
      </c>
    </row>
    <row r="578" spans="2:4">
      <c r="B578" s="532">
        <v>44670</v>
      </c>
      <c r="C578" s="529">
        <v>-3.0301096645202197E-4</v>
      </c>
      <c r="D578" s="529">
        <v>0</v>
      </c>
    </row>
    <row r="579" spans="2:4">
      <c r="B579" s="532">
        <v>44671</v>
      </c>
      <c r="C579" s="529">
        <v>0</v>
      </c>
      <c r="D579" s="529">
        <v>0</v>
      </c>
    </row>
    <row r="580" spans="2:4">
      <c r="B580" s="532">
        <v>44673</v>
      </c>
      <c r="C580" s="529">
        <v>-3.6208664396883972E-3</v>
      </c>
      <c r="D580" s="529">
        <v>0</v>
      </c>
    </row>
    <row r="581" spans="2:4">
      <c r="B581" s="532">
        <v>44676</v>
      </c>
      <c r="C581" s="529">
        <v>-4.3489698893842688E-3</v>
      </c>
      <c r="D581" s="529">
        <v>0</v>
      </c>
    </row>
    <row r="582" spans="2:4">
      <c r="B582" s="532">
        <v>44677</v>
      </c>
      <c r="C582" s="529">
        <v>-6.3049642250108118E-3</v>
      </c>
      <c r="D582" s="529">
        <v>0</v>
      </c>
    </row>
    <row r="583" spans="2:4">
      <c r="B583" s="532">
        <v>44678</v>
      </c>
      <c r="C583" s="529">
        <v>-4.3937997522477401E-3</v>
      </c>
      <c r="D583" s="529">
        <v>0</v>
      </c>
    </row>
    <row r="584" spans="2:4">
      <c r="B584" s="532">
        <v>44679</v>
      </c>
      <c r="C584" s="529">
        <v>-9.4184802409280621E-4</v>
      </c>
      <c r="D584" s="529">
        <v>0</v>
      </c>
    </row>
    <row r="585" spans="2:4">
      <c r="B585" s="532">
        <v>44680</v>
      </c>
      <c r="C585" s="529">
        <v>-2.2090453588525794E-3</v>
      </c>
      <c r="D585" s="529">
        <v>0</v>
      </c>
    </row>
    <row r="586" spans="2:4">
      <c r="B586" s="532">
        <v>44683</v>
      </c>
      <c r="C586" s="529">
        <v>-3.089098549338809E-3</v>
      </c>
      <c r="D586" s="529">
        <v>0</v>
      </c>
    </row>
    <row r="587" spans="2:4">
      <c r="B587" s="532">
        <v>44684</v>
      </c>
      <c r="C587" s="529">
        <v>-2.5632976782588024E-3</v>
      </c>
      <c r="D587" s="529">
        <v>0</v>
      </c>
    </row>
    <row r="588" spans="2:4">
      <c r="B588" s="532">
        <v>44685</v>
      </c>
      <c r="C588" s="529">
        <v>0</v>
      </c>
      <c r="D588" s="529">
        <v>0</v>
      </c>
    </row>
    <row r="589" spans="2:4">
      <c r="B589" s="532">
        <v>44686</v>
      </c>
      <c r="C589" s="529">
        <v>-4.2484388700012587E-3</v>
      </c>
      <c r="D589" s="529">
        <v>0</v>
      </c>
    </row>
    <row r="590" spans="2:4">
      <c r="B590" s="532">
        <v>44687</v>
      </c>
      <c r="C590" s="529">
        <v>-5.7800452107789058E-3</v>
      </c>
      <c r="D590" s="529">
        <v>0</v>
      </c>
    </row>
    <row r="591" spans="2:4">
      <c r="B591" s="532">
        <v>44690</v>
      </c>
      <c r="C591" s="529">
        <v>-9.7821465734306834E-3</v>
      </c>
      <c r="D591" s="529">
        <v>0</v>
      </c>
    </row>
    <row r="592" spans="2:4">
      <c r="B592" s="532">
        <v>44691</v>
      </c>
      <c r="C592" s="529">
        <v>-8.7089812844673986E-3</v>
      </c>
      <c r="D592" s="529">
        <v>0</v>
      </c>
    </row>
    <row r="593" spans="2:4">
      <c r="B593" s="532">
        <v>44692</v>
      </c>
      <c r="C593" s="529">
        <v>-7.2591306430914715E-3</v>
      </c>
      <c r="D593" s="529">
        <v>0</v>
      </c>
    </row>
    <row r="594" spans="2:4">
      <c r="B594" s="532">
        <v>44693</v>
      </c>
      <c r="C594" s="529">
        <v>-7.0140100318061283E-3</v>
      </c>
      <c r="D594" s="529">
        <v>0</v>
      </c>
    </row>
    <row r="595" spans="2:4">
      <c r="B595" s="532">
        <v>44694</v>
      </c>
      <c r="C595" s="529">
        <v>-3.2617322492707324E-3</v>
      </c>
      <c r="D595" s="529">
        <v>0</v>
      </c>
    </row>
    <row r="596" spans="2:4">
      <c r="B596" s="532">
        <v>44697</v>
      </c>
      <c r="C596" s="529">
        <v>-1.0856596001395102E-3</v>
      </c>
      <c r="D596" s="529">
        <v>0</v>
      </c>
    </row>
    <row r="597" spans="2:4">
      <c r="B597" s="532">
        <v>44698</v>
      </c>
      <c r="C597" s="529">
        <v>0</v>
      </c>
      <c r="D597" s="529">
        <v>0</v>
      </c>
    </row>
    <row r="598" spans="2:4">
      <c r="B598" s="532">
        <v>44699</v>
      </c>
      <c r="C598" s="529">
        <v>-3.7872446748362654E-3</v>
      </c>
      <c r="D598" s="529">
        <v>0</v>
      </c>
    </row>
    <row r="599" spans="2:4">
      <c r="B599" s="532">
        <v>44700</v>
      </c>
      <c r="C599" s="529">
        <v>-2.6955539145010476E-3</v>
      </c>
      <c r="D599" s="529">
        <v>0</v>
      </c>
    </row>
    <row r="600" spans="2:4">
      <c r="B600" s="532">
        <v>44701</v>
      </c>
      <c r="C600" s="529">
        <v>-8.4441558444792175E-4</v>
      </c>
      <c r="D600" s="529">
        <v>0</v>
      </c>
    </row>
    <row r="601" spans="2:4">
      <c r="B601" s="532">
        <v>44704</v>
      </c>
      <c r="C601" s="529">
        <v>0</v>
      </c>
      <c r="D601" s="529">
        <v>0</v>
      </c>
    </row>
    <row r="602" spans="2:4">
      <c r="B602" s="532">
        <v>44705</v>
      </c>
      <c r="C602" s="529">
        <v>-1.350018304758116E-3</v>
      </c>
      <c r="D602" s="529">
        <v>0</v>
      </c>
    </row>
    <row r="603" spans="2:4">
      <c r="B603" s="532">
        <v>44706</v>
      </c>
      <c r="C603" s="529">
        <v>0</v>
      </c>
      <c r="D603" s="529">
        <v>0</v>
      </c>
    </row>
    <row r="604" spans="2:4">
      <c r="B604" s="532">
        <v>44707</v>
      </c>
      <c r="C604" s="529">
        <v>0</v>
      </c>
      <c r="D604" s="529">
        <v>0</v>
      </c>
    </row>
    <row r="605" spans="2:4">
      <c r="B605" s="532">
        <v>44708</v>
      </c>
      <c r="C605" s="529">
        <v>0</v>
      </c>
      <c r="D605" s="529">
        <v>0</v>
      </c>
    </row>
    <row r="606" spans="2:4">
      <c r="B606" s="532">
        <v>44711</v>
      </c>
      <c r="C606" s="529">
        <v>-8.5581803983869609E-4</v>
      </c>
      <c r="D606" s="529">
        <v>0</v>
      </c>
    </row>
    <row r="607" spans="2:4">
      <c r="B607" s="532">
        <v>44712</v>
      </c>
      <c r="C607" s="529">
        <v>-6.1932421969723706E-6</v>
      </c>
      <c r="D607" s="529">
        <v>0</v>
      </c>
    </row>
    <row r="608" spans="2:4">
      <c r="B608" s="532">
        <v>44713</v>
      </c>
      <c r="C608" s="529">
        <v>0</v>
      </c>
      <c r="D608" s="529">
        <v>0</v>
      </c>
    </row>
    <row r="609" spans="2:4">
      <c r="B609" s="532">
        <v>44714</v>
      </c>
      <c r="C609" s="529">
        <v>0</v>
      </c>
      <c r="D609" s="529">
        <v>0</v>
      </c>
    </row>
    <row r="610" spans="2:4">
      <c r="B610" s="532">
        <v>44715</v>
      </c>
      <c r="C610" s="529">
        <v>-1.0917645251560248E-3</v>
      </c>
      <c r="D610" s="529">
        <v>0</v>
      </c>
    </row>
    <row r="611" spans="2:4">
      <c r="B611" s="532">
        <v>44718</v>
      </c>
      <c r="C611" s="529">
        <v>-1.3841407523813576E-3</v>
      </c>
      <c r="D611" s="529">
        <v>0</v>
      </c>
    </row>
    <row r="612" spans="2:4">
      <c r="B612" s="532">
        <v>44719</v>
      </c>
      <c r="C612" s="529">
        <v>-7.3394739568299894E-4</v>
      </c>
      <c r="D612" s="529">
        <v>0</v>
      </c>
    </row>
    <row r="613" spans="2:4">
      <c r="B613" s="532">
        <v>44720</v>
      </c>
      <c r="C613" s="529">
        <v>-1.4151600737043468E-3</v>
      </c>
      <c r="D613" s="529">
        <v>0</v>
      </c>
    </row>
    <row r="614" spans="2:4">
      <c r="B614" s="532">
        <v>44721</v>
      </c>
      <c r="C614" s="529">
        <v>-2.3673632839910086E-3</v>
      </c>
      <c r="D614" s="529">
        <v>0</v>
      </c>
    </row>
    <row r="615" spans="2:4">
      <c r="B615" s="532">
        <v>44722</v>
      </c>
      <c r="C615" s="529">
        <v>-3.7393446038762601E-3</v>
      </c>
      <c r="D615" s="529">
        <v>0</v>
      </c>
    </row>
    <row r="616" spans="2:4">
      <c r="B616" s="532">
        <v>44725</v>
      </c>
      <c r="C616" s="529">
        <v>-6.2279939840265142E-3</v>
      </c>
      <c r="D616" s="529">
        <v>0</v>
      </c>
    </row>
    <row r="617" spans="2:4">
      <c r="B617" s="532">
        <v>44726</v>
      </c>
      <c r="C617" s="529">
        <v>-6.7658716585545786E-3</v>
      </c>
      <c r="D617" s="529">
        <v>0</v>
      </c>
    </row>
    <row r="618" spans="2:4">
      <c r="B618" s="532">
        <v>44727</v>
      </c>
      <c r="C618" s="529">
        <v>-4.4286597778154801E-3</v>
      </c>
      <c r="D618" s="529">
        <v>0</v>
      </c>
    </row>
    <row r="619" spans="2:4">
      <c r="B619" s="532">
        <v>44729</v>
      </c>
      <c r="C619" s="529">
        <v>-8.1880485262444402E-3</v>
      </c>
      <c r="D619" s="529">
        <v>0</v>
      </c>
    </row>
    <row r="620" spans="2:4">
      <c r="B620" s="532">
        <v>44732</v>
      </c>
      <c r="C620" s="529">
        <v>-8.1469726904682682E-3</v>
      </c>
      <c r="D620" s="529">
        <v>0</v>
      </c>
    </row>
    <row r="621" spans="2:4">
      <c r="B621" s="532">
        <v>44733</v>
      </c>
      <c r="C621" s="529">
        <v>-7.8149310875851308E-3</v>
      </c>
      <c r="D621" s="529">
        <v>0</v>
      </c>
    </row>
    <row r="622" spans="2:4">
      <c r="B622" s="532">
        <v>44734</v>
      </c>
      <c r="C622" s="529">
        <v>-8.2553383261726454E-3</v>
      </c>
      <c r="D622" s="529">
        <v>0</v>
      </c>
    </row>
    <row r="623" spans="2:4">
      <c r="B623" s="532">
        <v>44735</v>
      </c>
      <c r="C623" s="529">
        <v>-8.5423463896390217E-3</v>
      </c>
      <c r="D623" s="529">
        <v>0</v>
      </c>
    </row>
    <row r="624" spans="2:4">
      <c r="B624" s="532">
        <v>44736</v>
      </c>
      <c r="C624" s="529">
        <v>-7.3848930870262786E-3</v>
      </c>
      <c r="D624" s="529">
        <v>0</v>
      </c>
    </row>
    <row r="625" spans="2:4">
      <c r="B625" s="532">
        <v>44739</v>
      </c>
      <c r="C625" s="529">
        <v>-4.7008801149152069E-3</v>
      </c>
      <c r="D625" s="529">
        <v>0</v>
      </c>
    </row>
    <row r="626" spans="2:4">
      <c r="B626" s="532">
        <v>44740</v>
      </c>
      <c r="C626" s="529">
        <v>-4.7131966077051946E-3</v>
      </c>
      <c r="D626" s="529">
        <v>0</v>
      </c>
    </row>
    <row r="627" spans="2:4">
      <c r="B627" s="532">
        <v>44741</v>
      </c>
      <c r="C627" s="529">
        <v>-5.8423775997279437E-3</v>
      </c>
      <c r="D627" s="529">
        <v>0</v>
      </c>
    </row>
    <row r="628" spans="2:4">
      <c r="B628" s="532">
        <v>44742</v>
      </c>
      <c r="C628" s="529">
        <v>-6.1677921980954897E-3</v>
      </c>
      <c r="D628" s="529">
        <v>0</v>
      </c>
    </row>
    <row r="629" spans="2:4">
      <c r="B629" s="532">
        <v>44743</v>
      </c>
      <c r="C629" s="529">
        <v>-5.1307610470255893E-3</v>
      </c>
      <c r="D629" s="529">
        <v>0</v>
      </c>
    </row>
    <row r="630" spans="2:4">
      <c r="B630" s="532">
        <v>44746</v>
      </c>
      <c r="C630" s="529">
        <v>-6.1551313906422767E-3</v>
      </c>
      <c r="D630" s="529">
        <v>0</v>
      </c>
    </row>
    <row r="631" spans="2:4">
      <c r="B631" s="532">
        <v>44747</v>
      </c>
      <c r="C631" s="529">
        <v>-7.2115725397691177E-3</v>
      </c>
      <c r="D631" s="529">
        <v>0</v>
      </c>
    </row>
    <row r="632" spans="2:4">
      <c r="B632" s="532">
        <v>44748</v>
      </c>
      <c r="C632" s="529">
        <v>-6.9804725648624499E-3</v>
      </c>
      <c r="D632" s="529">
        <v>0</v>
      </c>
    </row>
    <row r="633" spans="2:4">
      <c r="B633" s="532">
        <v>44749</v>
      </c>
      <c r="C633" s="529">
        <v>-3.516935845476965E-3</v>
      </c>
      <c r="D633" s="529">
        <v>0</v>
      </c>
    </row>
    <row r="634" spans="2:4">
      <c r="B634" s="532">
        <v>44750</v>
      </c>
      <c r="C634" s="529">
        <v>-4.3039853526327665E-3</v>
      </c>
      <c r="D634" s="529">
        <v>0</v>
      </c>
    </row>
    <row r="635" spans="2:4">
      <c r="B635" s="532">
        <v>44753</v>
      </c>
      <c r="C635" s="529">
        <v>-7.5092535826706275E-3</v>
      </c>
      <c r="D635" s="529">
        <v>0</v>
      </c>
    </row>
    <row r="636" spans="2:4">
      <c r="B636" s="532">
        <v>44754</v>
      </c>
      <c r="C636" s="529">
        <v>-7.8790569532327659E-3</v>
      </c>
      <c r="D636" s="529">
        <v>0</v>
      </c>
    </row>
    <row r="637" spans="2:4">
      <c r="B637" s="532">
        <v>44755</v>
      </c>
      <c r="C637" s="529">
        <v>-7.5225462948887989E-3</v>
      </c>
      <c r="D637" s="529">
        <v>0</v>
      </c>
    </row>
    <row r="638" spans="2:4">
      <c r="B638" s="532">
        <v>44756</v>
      </c>
      <c r="C638" s="529">
        <v>-8.3753402079136396E-3</v>
      </c>
      <c r="D638" s="529">
        <v>0</v>
      </c>
    </row>
    <row r="639" spans="2:4">
      <c r="B639" s="532">
        <v>44757</v>
      </c>
      <c r="C639" s="529">
        <v>-7.526494081678492E-3</v>
      </c>
      <c r="D639" s="529">
        <v>0</v>
      </c>
    </row>
    <row r="640" spans="2:4">
      <c r="B640" s="532">
        <v>44760</v>
      </c>
      <c r="C640" s="529">
        <v>-7.8793401776258154E-3</v>
      </c>
      <c r="D640" s="529">
        <v>0</v>
      </c>
    </row>
    <row r="641" spans="2:4">
      <c r="B641" s="532">
        <v>44761</v>
      </c>
      <c r="C641" s="529">
        <v>-6.3886609304382169E-3</v>
      </c>
      <c r="D641" s="529">
        <v>0</v>
      </c>
    </row>
    <row r="642" spans="2:4">
      <c r="B642" s="532">
        <v>44762</v>
      </c>
      <c r="C642" s="529">
        <v>-4.3051608663455809E-3</v>
      </c>
      <c r="D642" s="529">
        <v>0</v>
      </c>
    </row>
    <row r="643" spans="2:4">
      <c r="B643" s="532">
        <v>44763</v>
      </c>
      <c r="C643" s="529">
        <v>-3.5079064805126903E-3</v>
      </c>
      <c r="D643" s="529">
        <v>0</v>
      </c>
    </row>
    <row r="644" spans="2:4">
      <c r="B644" s="532">
        <v>44764</v>
      </c>
      <c r="C644" s="529">
        <v>-4.1670294680178355E-3</v>
      </c>
      <c r="D644" s="529">
        <v>0</v>
      </c>
    </row>
    <row r="645" spans="2:4">
      <c r="B645" s="532">
        <v>44767</v>
      </c>
      <c r="C645" s="529">
        <v>-3.3907903233142411E-3</v>
      </c>
      <c r="D645" s="529">
        <v>0</v>
      </c>
    </row>
    <row r="646" spans="2:4">
      <c r="B646" s="532">
        <v>44768</v>
      </c>
      <c r="C646" s="529">
        <v>-4.0172799355806532E-3</v>
      </c>
      <c r="D646" s="529">
        <v>0</v>
      </c>
    </row>
    <row r="647" spans="2:4">
      <c r="B647" s="532">
        <v>44769</v>
      </c>
      <c r="C647" s="529">
        <v>-4.1515194914953923E-4</v>
      </c>
      <c r="D647" s="529">
        <v>0</v>
      </c>
    </row>
    <row r="648" spans="2:4">
      <c r="B648" s="532">
        <v>44770</v>
      </c>
      <c r="C648" s="529">
        <v>0</v>
      </c>
      <c r="D648" s="529">
        <v>0</v>
      </c>
    </row>
    <row r="649" spans="2:4">
      <c r="B649" s="532">
        <v>44771</v>
      </c>
      <c r="C649" s="529">
        <v>0</v>
      </c>
      <c r="D649" s="529">
        <v>0</v>
      </c>
    </row>
    <row r="650" spans="2:4">
      <c r="B650" s="532">
        <v>44774</v>
      </c>
      <c r="C650" s="529">
        <v>-8.5868050824078335E-4</v>
      </c>
      <c r="D650" s="529">
        <v>0</v>
      </c>
    </row>
    <row r="651" spans="2:4">
      <c r="B651" s="532">
        <v>44775</v>
      </c>
      <c r="C651" s="529">
        <v>0</v>
      </c>
      <c r="D651" s="529">
        <v>0</v>
      </c>
    </row>
    <row r="652" spans="2:4">
      <c r="B652" s="532">
        <v>44776</v>
      </c>
      <c r="C652" s="529">
        <v>0</v>
      </c>
      <c r="D652" s="529">
        <v>0</v>
      </c>
    </row>
    <row r="653" spans="2:4">
      <c r="B653" s="532">
        <v>44777</v>
      </c>
      <c r="C653" s="529">
        <v>0</v>
      </c>
      <c r="D653" s="529">
        <v>0</v>
      </c>
    </row>
    <row r="654" spans="2:4">
      <c r="B654" s="532">
        <v>44778</v>
      </c>
      <c r="C654" s="529">
        <v>0</v>
      </c>
      <c r="D654" s="529">
        <v>0</v>
      </c>
    </row>
    <row r="655" spans="2:4">
      <c r="B655" s="532">
        <v>44781</v>
      </c>
      <c r="C655" s="529">
        <v>0</v>
      </c>
      <c r="D655" s="529">
        <v>0</v>
      </c>
    </row>
    <row r="656" spans="2:4">
      <c r="B656" s="532">
        <v>44782</v>
      </c>
      <c r="C656" s="529">
        <v>-5.0140012135968526E-4</v>
      </c>
      <c r="D656" s="529">
        <v>0</v>
      </c>
    </row>
    <row r="657" spans="2:4">
      <c r="B657" s="532">
        <v>44783</v>
      </c>
      <c r="C657" s="529">
        <v>0</v>
      </c>
      <c r="D657" s="529">
        <v>0</v>
      </c>
    </row>
    <row r="658" spans="2:4">
      <c r="B658" s="532">
        <v>44784</v>
      </c>
      <c r="C658" s="529">
        <v>-1.3606479028116514E-3</v>
      </c>
      <c r="D658" s="529">
        <v>0</v>
      </c>
    </row>
    <row r="659" spans="2:4">
      <c r="B659" s="532">
        <v>44785</v>
      </c>
      <c r="C659" s="529">
        <v>0</v>
      </c>
      <c r="D659" s="529">
        <v>0</v>
      </c>
    </row>
    <row r="660" spans="2:4">
      <c r="B660" s="532">
        <v>44788</v>
      </c>
      <c r="C660" s="529">
        <v>0</v>
      </c>
      <c r="D660" s="529">
        <v>0</v>
      </c>
    </row>
    <row r="661" spans="2:4">
      <c r="B661" s="532">
        <v>44789</v>
      </c>
      <c r="C661" s="529">
        <v>-8.5257151325102143E-4</v>
      </c>
      <c r="D661" s="529">
        <v>0</v>
      </c>
    </row>
    <row r="662" spans="2:4">
      <c r="B662" s="532">
        <v>44790</v>
      </c>
      <c r="C662" s="529">
        <v>0</v>
      </c>
      <c r="D662" s="529">
        <v>0</v>
      </c>
    </row>
    <row r="663" spans="2:4">
      <c r="B663" s="532">
        <v>44791</v>
      </c>
      <c r="C663" s="529">
        <v>0</v>
      </c>
      <c r="D663" s="529">
        <v>0</v>
      </c>
    </row>
    <row r="664" spans="2:4">
      <c r="B664" s="532">
        <v>44792</v>
      </c>
      <c r="C664" s="529">
        <v>-2.1182893595742547E-3</v>
      </c>
      <c r="D664" s="529">
        <v>0</v>
      </c>
    </row>
    <row r="665" spans="2:4">
      <c r="B665" s="532">
        <v>44795</v>
      </c>
      <c r="C665" s="529">
        <v>-2.0881074109877495E-3</v>
      </c>
      <c r="D665" s="529">
        <v>0</v>
      </c>
    </row>
    <row r="666" spans="2:4">
      <c r="B666" s="532">
        <v>44796</v>
      </c>
      <c r="C666" s="529">
        <v>0</v>
      </c>
      <c r="D666" s="529">
        <v>0</v>
      </c>
    </row>
    <row r="667" spans="2:4">
      <c r="B667" s="532">
        <v>44797</v>
      </c>
      <c r="C667" s="529">
        <v>0</v>
      </c>
      <c r="D667" s="529">
        <v>0</v>
      </c>
    </row>
    <row r="668" spans="2:4">
      <c r="B668" s="532">
        <v>44798</v>
      </c>
      <c r="C668" s="529">
        <v>0</v>
      </c>
      <c r="D668" s="529">
        <v>0</v>
      </c>
    </row>
    <row r="669" spans="2:4">
      <c r="B669" s="532">
        <v>44799</v>
      </c>
      <c r="C669" s="529">
        <v>-4.7563520926641178E-4</v>
      </c>
      <c r="D669" s="529">
        <v>0</v>
      </c>
    </row>
    <row r="670" spans="2:4">
      <c r="B670" s="532">
        <v>44802</v>
      </c>
      <c r="C670" s="529">
        <v>0</v>
      </c>
      <c r="D670" s="529">
        <v>0</v>
      </c>
    </row>
    <row r="671" spans="2:4">
      <c r="B671" s="532">
        <v>44803</v>
      </c>
      <c r="C671" s="529">
        <v>-1.8284189518735783E-3</v>
      </c>
      <c r="D671" s="529">
        <v>0</v>
      </c>
    </row>
    <row r="672" spans="2:4">
      <c r="B672" s="532">
        <v>44804</v>
      </c>
      <c r="C672" s="529">
        <v>-1.0599474005680287E-3</v>
      </c>
      <c r="D672" s="529">
        <v>0</v>
      </c>
    </row>
    <row r="673" spans="2:4">
      <c r="B673" s="532">
        <v>44805</v>
      </c>
      <c r="C673" s="529">
        <v>0</v>
      </c>
      <c r="D673" s="529">
        <v>0</v>
      </c>
    </row>
    <row r="674" spans="2:4">
      <c r="B674" s="532">
        <v>44806</v>
      </c>
      <c r="C674" s="529">
        <v>0</v>
      </c>
      <c r="D674" s="529">
        <v>0</v>
      </c>
    </row>
    <row r="675" spans="2:4">
      <c r="B675" s="532">
        <v>44809</v>
      </c>
      <c r="C675" s="529">
        <v>0</v>
      </c>
      <c r="D675" s="529">
        <v>0</v>
      </c>
    </row>
    <row r="676" spans="2:4">
      <c r="B676" s="532">
        <v>44810</v>
      </c>
      <c r="C676" s="529">
        <v>-2.8847366960527143E-3</v>
      </c>
      <c r="D676" s="529">
        <v>0</v>
      </c>
    </row>
    <row r="677" spans="2:4">
      <c r="B677" s="532">
        <v>44812</v>
      </c>
      <c r="C677" s="529">
        <v>-3.0737332059657119E-3</v>
      </c>
      <c r="D677" s="529">
        <v>0</v>
      </c>
    </row>
    <row r="678" spans="2:4">
      <c r="B678" s="532">
        <v>44813</v>
      </c>
      <c r="C678" s="529">
        <v>0</v>
      </c>
      <c r="D678" s="529">
        <v>0</v>
      </c>
    </row>
    <row r="679" spans="2:4">
      <c r="B679" s="532">
        <v>44816</v>
      </c>
      <c r="C679" s="529">
        <v>0</v>
      </c>
      <c r="D679" s="529">
        <v>0</v>
      </c>
    </row>
    <row r="680" spans="2:4">
      <c r="B680" s="532">
        <v>44817</v>
      </c>
      <c r="C680" s="529">
        <v>-1.5163359460738102E-3</v>
      </c>
      <c r="D680" s="529">
        <v>0</v>
      </c>
    </row>
    <row r="681" spans="2:4">
      <c r="B681" s="532">
        <v>44818</v>
      </c>
      <c r="C681" s="529">
        <v>-7.0947144056698885E-4</v>
      </c>
      <c r="D681" s="529">
        <v>0</v>
      </c>
    </row>
    <row r="682" spans="2:4">
      <c r="B682" s="532">
        <v>44819</v>
      </c>
      <c r="C682" s="529">
        <v>-1.2904245215626942E-3</v>
      </c>
      <c r="D682" s="529">
        <v>0</v>
      </c>
    </row>
    <row r="683" spans="2:4">
      <c r="B683" s="532">
        <v>44820</v>
      </c>
      <c r="C683" s="529">
        <v>-2.5148512302543002E-3</v>
      </c>
      <c r="D683" s="529">
        <v>0</v>
      </c>
    </row>
    <row r="684" spans="2:4">
      <c r="B684" s="532">
        <v>44823</v>
      </c>
      <c r="C684" s="529">
        <v>-4.9088653478801536E-4</v>
      </c>
      <c r="D684" s="529">
        <v>0</v>
      </c>
    </row>
    <row r="685" spans="2:4">
      <c r="B685" s="532">
        <v>44824</v>
      </c>
      <c r="C685" s="529">
        <v>0</v>
      </c>
      <c r="D685" s="529">
        <v>0</v>
      </c>
    </row>
    <row r="686" spans="2:4">
      <c r="B686" s="532">
        <v>44825</v>
      </c>
      <c r="C686" s="529">
        <v>0</v>
      </c>
      <c r="D686" s="529">
        <v>0</v>
      </c>
    </row>
    <row r="687" spans="2:4">
      <c r="B687" s="532">
        <v>44826</v>
      </c>
      <c r="C687" s="529">
        <v>0</v>
      </c>
      <c r="D687" s="529">
        <v>0</v>
      </c>
    </row>
    <row r="688" spans="2:4">
      <c r="B688" s="532">
        <v>44827</v>
      </c>
      <c r="C688" s="529">
        <v>-1.5173525448675118E-3</v>
      </c>
      <c r="D688" s="529">
        <v>0</v>
      </c>
    </row>
    <row r="689" spans="2:4">
      <c r="B689" s="532">
        <v>44830</v>
      </c>
      <c r="C689" s="529">
        <v>-4.9662859578096796E-3</v>
      </c>
      <c r="D689" s="529">
        <v>0</v>
      </c>
    </row>
    <row r="690" spans="2:4">
      <c r="B690" s="532">
        <v>44831</v>
      </c>
      <c r="C690" s="529">
        <v>-6.0249524818578593E-3</v>
      </c>
      <c r="D690" s="529">
        <v>0</v>
      </c>
    </row>
    <row r="691" spans="2:4">
      <c r="B691" s="532">
        <v>44832</v>
      </c>
      <c r="C691" s="529">
        <v>-6.4695579796445468E-3</v>
      </c>
      <c r="D691" s="529">
        <v>0</v>
      </c>
    </row>
    <row r="692" spans="2:4">
      <c r="B692" s="532">
        <v>44833</v>
      </c>
      <c r="C692" s="529">
        <v>-7.0096810371990115E-3</v>
      </c>
      <c r="D692" s="529">
        <v>0</v>
      </c>
    </row>
    <row r="693" spans="2:4">
      <c r="B693" s="532">
        <v>44834</v>
      </c>
      <c r="C693" s="529">
        <v>-4.2120355759430739E-3</v>
      </c>
      <c r="D693" s="529">
        <v>0</v>
      </c>
    </row>
    <row r="694" spans="2:4">
      <c r="B694" s="532">
        <v>44837</v>
      </c>
      <c r="C694" s="529">
        <v>0</v>
      </c>
      <c r="D694" s="529">
        <v>0</v>
      </c>
    </row>
    <row r="695" spans="2:4">
      <c r="B695" s="532">
        <v>44838</v>
      </c>
      <c r="C695" s="529">
        <v>-1.5480918996724213E-6</v>
      </c>
      <c r="D695" s="529">
        <v>0</v>
      </c>
    </row>
    <row r="696" spans="2:4">
      <c r="B696" s="532">
        <v>44839</v>
      </c>
      <c r="C696" s="529">
        <v>0</v>
      </c>
      <c r="D696" s="529">
        <v>0</v>
      </c>
    </row>
    <row r="697" spans="2:4">
      <c r="B697" s="532">
        <v>44840</v>
      </c>
      <c r="C697" s="529">
        <v>0</v>
      </c>
      <c r="D697" s="529">
        <v>0</v>
      </c>
    </row>
    <row r="698" spans="2:4">
      <c r="B698" s="532">
        <v>44841</v>
      </c>
      <c r="C698" s="529">
        <v>-1.1437178530961933E-3</v>
      </c>
      <c r="D698" s="529">
        <v>0</v>
      </c>
    </row>
    <row r="699" spans="2:4">
      <c r="B699" s="532">
        <v>44844</v>
      </c>
      <c r="C699" s="529">
        <v>-1.3846678100709608E-3</v>
      </c>
      <c r="D699" s="529">
        <v>0</v>
      </c>
    </row>
    <row r="700" spans="2:4">
      <c r="B700" s="532">
        <v>44845</v>
      </c>
      <c r="C700" s="529">
        <v>-3.2957247990478278E-3</v>
      </c>
      <c r="D700" s="529">
        <v>0</v>
      </c>
    </row>
    <row r="701" spans="2:4">
      <c r="B701" s="532">
        <v>44847</v>
      </c>
      <c r="C701" s="529">
        <v>-4.2712505734446848E-3</v>
      </c>
      <c r="D701" s="529">
        <v>0</v>
      </c>
    </row>
    <row r="702" spans="2:4">
      <c r="B702" s="532">
        <v>44848</v>
      </c>
      <c r="C702">
        <v>-5.4253577694419741E-3</v>
      </c>
      <c r="D702">
        <v>0</v>
      </c>
    </row>
    <row r="703" spans="2:4">
      <c r="B703" s="532">
        <v>44851</v>
      </c>
      <c r="C703">
        <v>-3.4572221180780849E-3</v>
      </c>
      <c r="D703">
        <v>0</v>
      </c>
    </row>
    <row r="704" spans="2:4">
      <c r="B704" s="532">
        <v>44852</v>
      </c>
      <c r="C704">
        <v>-2.097646442755785E-4</v>
      </c>
      <c r="D704">
        <v>0</v>
      </c>
    </row>
    <row r="705" spans="2:4">
      <c r="B705" s="532">
        <v>44853</v>
      </c>
      <c r="C705">
        <v>0</v>
      </c>
      <c r="D705">
        <v>0</v>
      </c>
    </row>
    <row r="706" spans="2:4">
      <c r="B706" s="532">
        <v>44854</v>
      </c>
      <c r="C706">
        <v>0</v>
      </c>
      <c r="D706">
        <v>0</v>
      </c>
    </row>
    <row r="707" spans="2:4">
      <c r="B707" s="532">
        <v>44855</v>
      </c>
      <c r="C707">
        <v>0</v>
      </c>
      <c r="D707">
        <v>0</v>
      </c>
    </row>
    <row r="708" spans="2:4">
      <c r="B708" s="532">
        <v>44858</v>
      </c>
      <c r="C708">
        <v>-3.7651091550949811E-3</v>
      </c>
      <c r="D708">
        <v>0</v>
      </c>
    </row>
    <row r="709" spans="2:4">
      <c r="B709" s="532">
        <v>44859</v>
      </c>
      <c r="C709">
        <v>-5.4628441322422949E-3</v>
      </c>
      <c r="D709">
        <v>0</v>
      </c>
    </row>
    <row r="710" spans="2:4">
      <c r="B710" s="532">
        <v>44860</v>
      </c>
      <c r="C710">
        <v>-7.9124245478807698E-3</v>
      </c>
      <c r="D710">
        <v>0</v>
      </c>
    </row>
    <row r="711" spans="2:4">
      <c r="B711" s="532">
        <v>44861</v>
      </c>
      <c r="C711">
        <v>-4.3872290493707222E-3</v>
      </c>
      <c r="D711">
        <v>0</v>
      </c>
    </row>
    <row r="712" spans="2:4">
      <c r="B712" s="532">
        <v>44862</v>
      </c>
      <c r="C712">
        <v>-3.0660645431233036E-3</v>
      </c>
      <c r="D712">
        <v>0</v>
      </c>
    </row>
    <row r="713" spans="2:4">
      <c r="B713" s="532">
        <v>44865</v>
      </c>
      <c r="C713">
        <v>0</v>
      </c>
      <c r="D713">
        <v>0</v>
      </c>
    </row>
    <row r="714" spans="2:4">
      <c r="B714" s="532">
        <v>44866</v>
      </c>
      <c r="C714">
        <v>0</v>
      </c>
      <c r="D714">
        <v>0</v>
      </c>
    </row>
    <row r="715" spans="2:4">
      <c r="B715" s="532">
        <v>44868</v>
      </c>
      <c r="C715">
        <v>0</v>
      </c>
      <c r="D715">
        <v>0</v>
      </c>
    </row>
    <row r="716" spans="2:4">
      <c r="B716" s="532">
        <v>44869</v>
      </c>
      <c r="C716">
        <v>0</v>
      </c>
      <c r="D716">
        <v>0</v>
      </c>
    </row>
    <row r="717" spans="2:4">
      <c r="B717" s="532">
        <v>44872</v>
      </c>
      <c r="C717">
        <v>-2.8506969187458431E-3</v>
      </c>
      <c r="D717">
        <v>0</v>
      </c>
    </row>
    <row r="718" spans="2:4">
      <c r="B718" s="532">
        <v>44873</v>
      </c>
      <c r="C718">
        <v>-3.4180462415672741E-3</v>
      </c>
      <c r="D718">
        <v>0</v>
      </c>
    </row>
    <row r="719" spans="2:4">
      <c r="B719" s="532">
        <v>44874</v>
      </c>
      <c r="C719">
        <v>-5.3809533206820026E-3</v>
      </c>
      <c r="D719">
        <v>0</v>
      </c>
    </row>
    <row r="720" spans="2:4">
      <c r="B720" s="532">
        <v>44875</v>
      </c>
      <c r="C720">
        <v>-7.7569633790640635E-3</v>
      </c>
      <c r="D720">
        <v>0</v>
      </c>
    </row>
    <row r="721" spans="2:4">
      <c r="B721" s="532">
        <v>44879</v>
      </c>
      <c r="C721">
        <v>-4.4768021312929784E-3</v>
      </c>
      <c r="D721">
        <v>0</v>
      </c>
    </row>
    <row r="722" spans="2:4">
      <c r="B722" s="532">
        <v>44881</v>
      </c>
      <c r="C722">
        <v>-7.4250006189928719E-3</v>
      </c>
      <c r="D722">
        <v>0</v>
      </c>
    </row>
    <row r="723" spans="2:4">
      <c r="B723" s="532">
        <v>44882</v>
      </c>
      <c r="C723">
        <v>-8.776826075975297E-3</v>
      </c>
      <c r="D723">
        <v>0</v>
      </c>
    </row>
    <row r="724" spans="2:4">
      <c r="B724" s="532">
        <v>44883</v>
      </c>
      <c r="C724">
        <v>-9.3922934516452727E-3</v>
      </c>
      <c r="D724">
        <v>0</v>
      </c>
    </row>
    <row r="725" spans="2:4">
      <c r="B725" s="532">
        <v>44886</v>
      </c>
      <c r="C725">
        <v>-7.831699307650708E-3</v>
      </c>
      <c r="D725">
        <v>0</v>
      </c>
    </row>
    <row r="726" spans="2:4">
      <c r="B726" s="532">
        <v>44887</v>
      </c>
      <c r="C726">
        <v>-8.9796390937044723E-3</v>
      </c>
      <c r="D726">
        <v>0</v>
      </c>
    </row>
    <row r="727" spans="2:4">
      <c r="B727" s="532">
        <v>44888</v>
      </c>
      <c r="C727">
        <v>-9.9303863432396167E-3</v>
      </c>
      <c r="D727">
        <v>0</v>
      </c>
    </row>
    <row r="728" spans="2:4">
      <c r="B728" s="532">
        <v>44889</v>
      </c>
      <c r="C728">
        <v>-6.4895993055328338E-3</v>
      </c>
      <c r="D728">
        <v>0</v>
      </c>
    </row>
    <row r="729" spans="2:4">
      <c r="B729" s="532">
        <v>44890</v>
      </c>
      <c r="C729">
        <v>-8.8413081821717698E-3</v>
      </c>
      <c r="D729">
        <v>0</v>
      </c>
    </row>
    <row r="730" spans="2:4">
      <c r="B730" s="532">
        <v>44893</v>
      </c>
      <c r="C730">
        <v>-9.3912500181384528E-3</v>
      </c>
      <c r="D730">
        <v>0</v>
      </c>
    </row>
    <row r="731" spans="2:4">
      <c r="B731" s="532">
        <v>44894</v>
      </c>
      <c r="C731">
        <v>-6.2783092287677089E-3</v>
      </c>
      <c r="D731">
        <v>0</v>
      </c>
    </row>
    <row r="732" spans="2:4">
      <c r="B732" s="532">
        <v>44895</v>
      </c>
      <c r="C732">
        <v>-2.7600553495552571E-3</v>
      </c>
      <c r="D732">
        <v>0</v>
      </c>
    </row>
    <row r="733" spans="2:4">
      <c r="B733" s="532">
        <v>44896</v>
      </c>
      <c r="C733">
        <v>-4.0593800237838096E-3</v>
      </c>
      <c r="D733">
        <v>0</v>
      </c>
    </row>
    <row r="734" spans="2:4">
      <c r="B734" s="532">
        <v>44897</v>
      </c>
      <c r="C734">
        <v>-1.8399491966556436E-3</v>
      </c>
      <c r="D734">
        <v>0</v>
      </c>
    </row>
    <row r="735" spans="2:4">
      <c r="B735" s="532">
        <v>44900</v>
      </c>
      <c r="C735">
        <v>-4.6724082729554528E-3</v>
      </c>
      <c r="D735">
        <v>0</v>
      </c>
    </row>
    <row r="736" spans="2:4">
      <c r="B736" s="532">
        <v>44901</v>
      </c>
      <c r="C736">
        <v>-5.9536519157697976E-3</v>
      </c>
      <c r="D736">
        <v>0</v>
      </c>
    </row>
    <row r="737" spans="2:4">
      <c r="B737" s="532">
        <v>44902</v>
      </c>
      <c r="C737">
        <v>-6.321483119614224E-3</v>
      </c>
      <c r="D737">
        <v>0</v>
      </c>
    </row>
    <row r="738" spans="2:4">
      <c r="B738" s="532">
        <v>44903</v>
      </c>
      <c r="C738">
        <v>-7.3527802557439292E-3</v>
      </c>
      <c r="D738">
        <v>0</v>
      </c>
    </row>
    <row r="739" spans="2:4">
      <c r="B739" s="532">
        <v>44904</v>
      </c>
      <c r="C739">
        <v>-7.5502022381255252E-3</v>
      </c>
      <c r="D739">
        <v>0</v>
      </c>
    </row>
    <row r="740" spans="2:4">
      <c r="B740" s="532">
        <v>44907</v>
      </c>
      <c r="C740">
        <v>-9.7092822242924592E-3</v>
      </c>
      <c r="D740">
        <v>0</v>
      </c>
    </row>
    <row r="741" spans="2:4">
      <c r="B741" s="532">
        <v>44908</v>
      </c>
      <c r="C741">
        <v>-1.1326425737321011E-2</v>
      </c>
      <c r="D741">
        <v>0</v>
      </c>
    </row>
    <row r="742" spans="2:4">
      <c r="B742" s="532">
        <v>44909</v>
      </c>
      <c r="C742">
        <v>-9.0887321690709122E-3</v>
      </c>
      <c r="D742">
        <v>0</v>
      </c>
    </row>
    <row r="743" spans="2:4">
      <c r="B743" s="532">
        <v>44910</v>
      </c>
      <c r="C743">
        <v>-8.7616582392744391E-3</v>
      </c>
      <c r="D743">
        <v>0</v>
      </c>
    </row>
    <row r="744" spans="2:4">
      <c r="B744" s="532">
        <v>44911</v>
      </c>
      <c r="C744">
        <v>-9.909990278833769E-3</v>
      </c>
      <c r="D744">
        <v>0</v>
      </c>
    </row>
    <row r="745" spans="2:4">
      <c r="B745" s="532">
        <v>44914</v>
      </c>
      <c r="C745">
        <v>-7.8503088516602704E-3</v>
      </c>
      <c r="D745">
        <v>0</v>
      </c>
    </row>
    <row r="746" spans="2:4">
      <c r="B746" s="532">
        <v>44915</v>
      </c>
      <c r="C746">
        <v>-5.1485885600203174E-3</v>
      </c>
      <c r="D746">
        <v>0</v>
      </c>
    </row>
    <row r="747" spans="2:4">
      <c r="B747" s="532">
        <v>44916</v>
      </c>
      <c r="C747">
        <v>-3.4730265344560252E-3</v>
      </c>
      <c r="D747">
        <v>0</v>
      </c>
    </row>
    <row r="748" spans="2:4">
      <c r="B748" s="532">
        <v>44917</v>
      </c>
      <c r="C748">
        <v>-2.7587748573778548E-3</v>
      </c>
      <c r="D748">
        <v>0</v>
      </c>
    </row>
    <row r="749" spans="2:4">
      <c r="B749" s="532">
        <v>44918</v>
      </c>
      <c r="C749">
        <v>-1.3262284460902052E-4</v>
      </c>
      <c r="D749">
        <v>0</v>
      </c>
    </row>
    <row r="750" spans="2:4">
      <c r="B750" s="532">
        <v>44921</v>
      </c>
      <c r="C750">
        <v>-7.371936290931913E-4</v>
      </c>
      <c r="D750">
        <v>0</v>
      </c>
    </row>
    <row r="751" spans="2:4">
      <c r="B751" s="532">
        <v>44922</v>
      </c>
      <c r="C751">
        <v>-8.8123855228516845E-4</v>
      </c>
      <c r="D751">
        <v>0</v>
      </c>
    </row>
    <row r="752" spans="2:4">
      <c r="B752" s="532">
        <v>44923</v>
      </c>
      <c r="C752">
        <v>0</v>
      </c>
      <c r="D752">
        <v>0</v>
      </c>
    </row>
    <row r="753" spans="2:4">
      <c r="B753" s="532">
        <v>44924</v>
      </c>
      <c r="C753">
        <v>0</v>
      </c>
      <c r="D753">
        <v>0</v>
      </c>
    </row>
    <row r="754" spans="2:4">
      <c r="B754" s="532">
        <v>44925</v>
      </c>
      <c r="C754">
        <v>0</v>
      </c>
      <c r="D754">
        <v>0</v>
      </c>
    </row>
    <row r="755" spans="2:4">
      <c r="B755" s="532">
        <v>44928</v>
      </c>
      <c r="C755">
        <v>-3.8653444965812689E-3</v>
      </c>
      <c r="D755">
        <v>0</v>
      </c>
    </row>
    <row r="756" spans="2:4">
      <c r="B756" s="532">
        <v>44929</v>
      </c>
      <c r="C756">
        <v>-6.061996636267053E-3</v>
      </c>
      <c r="D756">
        <v>0</v>
      </c>
    </row>
    <row r="757" spans="2:4">
      <c r="B757" s="532">
        <v>44930</v>
      </c>
      <c r="C757">
        <v>-4.3704823689005856E-3</v>
      </c>
      <c r="D757">
        <v>0</v>
      </c>
    </row>
    <row r="758" spans="2:4">
      <c r="B758" s="532">
        <v>44931</v>
      </c>
      <c r="C758">
        <v>-2.2180350790748093E-3</v>
      </c>
      <c r="D758">
        <v>0</v>
      </c>
    </row>
    <row r="759" spans="2:4">
      <c r="B759" s="532">
        <v>44932</v>
      </c>
      <c r="C759">
        <v>-6.0628942212026526E-4</v>
      </c>
      <c r="D759">
        <v>0</v>
      </c>
    </row>
    <row r="760" spans="2:4">
      <c r="B760" s="532">
        <v>44935</v>
      </c>
      <c r="C760">
        <v>0</v>
      </c>
      <c r="D760">
        <v>0</v>
      </c>
    </row>
    <row r="761" spans="2:4">
      <c r="B761" s="532">
        <v>44936</v>
      </c>
      <c r="C761">
        <v>0</v>
      </c>
      <c r="D761">
        <v>0</v>
      </c>
    </row>
    <row r="762" spans="2:4">
      <c r="B762" s="532">
        <v>44937</v>
      </c>
      <c r="C762">
        <v>0</v>
      </c>
      <c r="D762">
        <v>0</v>
      </c>
    </row>
    <row r="763" spans="2:4">
      <c r="B763" s="532">
        <v>44938</v>
      </c>
      <c r="C763">
        <v>0</v>
      </c>
      <c r="D763">
        <v>0</v>
      </c>
    </row>
    <row r="764" spans="2:4">
      <c r="B764" s="532">
        <v>44939</v>
      </c>
      <c r="C764">
        <v>0</v>
      </c>
      <c r="D764">
        <v>0</v>
      </c>
    </row>
    <row r="765" spans="2:4">
      <c r="B765" s="532">
        <v>44942</v>
      </c>
      <c r="C765">
        <v>-4.3028167468239786E-4</v>
      </c>
      <c r="D765">
        <v>0</v>
      </c>
    </row>
    <row r="766" spans="2:4">
      <c r="B766" s="532">
        <v>44943</v>
      </c>
      <c r="C766">
        <v>0</v>
      </c>
      <c r="D766">
        <v>0</v>
      </c>
    </row>
    <row r="767" spans="2:4">
      <c r="B767" s="532">
        <v>44944</v>
      </c>
      <c r="C767">
        <v>0</v>
      </c>
      <c r="D767">
        <v>0</v>
      </c>
    </row>
    <row r="768" spans="2:4">
      <c r="B768" s="532">
        <v>44945</v>
      </c>
      <c r="C768">
        <v>0</v>
      </c>
      <c r="D768">
        <v>0</v>
      </c>
    </row>
    <row r="769" spans="2:4">
      <c r="B769" s="532">
        <v>44946</v>
      </c>
      <c r="C769">
        <v>-3.9289575964207568E-4</v>
      </c>
      <c r="D769">
        <v>0</v>
      </c>
    </row>
    <row r="770" spans="2:4">
      <c r="B770" s="532">
        <v>44949</v>
      </c>
      <c r="C770">
        <v>-6.3175281897454028E-4</v>
      </c>
      <c r="D770">
        <v>0</v>
      </c>
    </row>
    <row r="771" spans="2:4">
      <c r="B771" s="532">
        <v>44950</v>
      </c>
      <c r="C771">
        <v>0</v>
      </c>
      <c r="D771">
        <v>0</v>
      </c>
    </row>
    <row r="772" spans="2:4">
      <c r="B772" s="532">
        <v>44951</v>
      </c>
      <c r="C772">
        <v>0</v>
      </c>
      <c r="D772">
        <v>0</v>
      </c>
    </row>
    <row r="773" spans="2:4">
      <c r="B773" s="532">
        <v>44952</v>
      </c>
      <c r="C773">
        <v>0</v>
      </c>
      <c r="D773">
        <v>0</v>
      </c>
    </row>
    <row r="774" spans="2:4">
      <c r="B774" s="532">
        <v>44953</v>
      </c>
      <c r="C774">
        <v>-5.5958928169808075E-4</v>
      </c>
      <c r="D774">
        <v>0</v>
      </c>
    </row>
    <row r="775" spans="2:4">
      <c r="B775" s="532">
        <v>44956</v>
      </c>
      <c r="C775">
        <v>-1.5130887498374657E-3</v>
      </c>
      <c r="D775">
        <v>0</v>
      </c>
    </row>
    <row r="776" spans="2:4">
      <c r="B776" s="532">
        <v>44957</v>
      </c>
      <c r="C776">
        <v>0</v>
      </c>
      <c r="D776">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Capa</vt:lpstr>
      <vt:lpstr>Gross-up</vt:lpstr>
      <vt:lpstr>Rebalanceamento</vt:lpstr>
      <vt:lpstr>Rebalanceamento Final</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RF &amp; RV Guide</vt:lpstr>
      <vt:lpstr>AA DB</vt:lpstr>
      <vt:lpstr>Taxas Diárias</vt:lpstr>
      <vt:lpstr>Capa Rebalanceamento</vt:lpstr>
      <vt:lpstr>Disclaimer</vt:lpstr>
      <vt:lpstr>Fechamento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2022-12-14T21:19:19Z</cp:lastPrinted>
  <dcterms:created xsi:type="dcterms:W3CDTF">2020-12-28T22:16:49Z</dcterms:created>
  <dcterms:modified xsi:type="dcterms:W3CDTF">2023-04-13T18:52:09Z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